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文案内容\客户资料\联动表-2026.9.14\"/>
    </mc:Choice>
  </mc:AlternateContent>
  <bookViews>
    <workbookView windowWidth="27945" windowHeight="12375" tabRatio="945" firstSheet="7" activeTab="24"/>
  </bookViews>
  <sheets>
    <sheet name="主页" sheetId="1" r:id="rId1"/>
    <sheet name="使用说明" sheetId="2" r:id="rId2"/>
    <sheet name="对接源_01水果" sheetId="3" r:id="rId3"/>
    <sheet name="对接源_02物料" sheetId="4" r:id="rId4"/>
    <sheet name="对接源_01入库吨位" sheetId="5" r:id="rId5"/>
    <sheet name="进销存对接" sheetId="6" r:id="rId6"/>
    <sheet name="原料入库计价" sheetId="7" r:id="rId7"/>
    <sheet name="收入成本映射" sheetId="8" r:id="rId8"/>
    <sheet name="自动规则" sheetId="9" r:id="rId9"/>
    <sheet name="科目表" sheetId="10" r:id="rId10"/>
    <sheet name="期初余额" sheetId="11" r:id="rId11"/>
    <sheet name="资金日记账" sheetId="12" r:id="rId12"/>
    <sheet name="成本费用登记表" sheetId="13" r:id="rId13"/>
    <sheet name="对账补充行" sheetId="14" r:id="rId14"/>
    <sheet name="记账凭证" sheetId="15" r:id="rId15"/>
    <sheet name="资金与往来余额表" sheetId="16" r:id="rId16"/>
    <sheet name="应收应付汇总表" sheetId="17" r:id="rId17"/>
    <sheet name="收入月度汇总" sheetId="18" r:id="rId18"/>
    <sheet name="费用月度汇总" sheetId="19" r:id="rId19"/>
    <sheet name="应付账款明细" sheetId="20" r:id="rId20"/>
    <sheet name="往来对账单" sheetId="21" r:id="rId21"/>
    <sheet name="常用分录参考" sheetId="22" r:id="rId22"/>
    <sheet name="科目余额表" sheetId="23" r:id="rId23"/>
    <sheet name="资产负债表" sheetId="24" r:id="rId24"/>
    <sheet name="利润表" sheetId="25" r:id="rId25"/>
    <sheet name="_自动清单" sheetId="26" state="hidden" r:id="rId26"/>
  </sheets>
  <externalReferences>
    <externalReference r:id="rId27"/>
    <externalReference r:id="rId28"/>
  </externalReferences>
  <definedNames>
    <definedName name="_xlnm._FilterDatabase" localSheetId="5" hidden="1">进销存对接!$A$3:$V$306</definedName>
    <definedName name="_xlnm._FilterDatabase" localSheetId="9" hidden="1">科目表!$A$3:$G$81</definedName>
    <definedName name="_xlnm._FilterDatabase" localSheetId="11" hidden="1">资金日记账!$A$3:$V$603</definedName>
    <definedName name="_xlnm._FilterDatabase" localSheetId="12" hidden="1">成本费用登记表!$A$3:$Y$304</definedName>
    <definedName name="_xlnm._FilterDatabase" localSheetId="14" hidden="1">记账凭证!$A$3:$P$3610</definedName>
    <definedName name="_xlnm._FilterDatabase" localSheetId="22" hidden="1">科目余额表!$A$3:$J$82</definedName>
    <definedName name="_xlnm.Print_Titles" localSheetId="1">使用说明!$1:$3</definedName>
    <definedName name="_xlnm.Print_Area" localSheetId="2">对接源_01水果!$A$1:$T$22</definedName>
    <definedName name="_xlnm.Print_Area" localSheetId="3">对接源_02物料!$A$1:$T$22</definedName>
    <definedName name="_xlnm.Print_Titles" localSheetId="5">进销存对接!$1:$3</definedName>
    <definedName name="_xlnm.Print_Titles" localSheetId="7">收入成本映射!$1:$3</definedName>
    <definedName name="_xlnm.Print_Area" localSheetId="8">自动规则!$A$1:$E$32</definedName>
    <definedName name="_xlnm.Print_Titles" localSheetId="9">科目表!$1:$3</definedName>
    <definedName name="_xlnm.Print_Titles" localSheetId="10">期初余额!$1:$3</definedName>
    <definedName name="_xlnm.Print_Titles" localSheetId="11">资金日记账!$1:$3</definedName>
    <definedName name="_xlnm.Print_Titles" localSheetId="12">成本费用登记表!$1:$3</definedName>
    <definedName name="_xlnm.Print_Titles" localSheetId="14">记账凭证!$1:$3</definedName>
    <definedName name="_xlnm.Print_Titles" localSheetId="15">资金与往来余额表!$1:$3</definedName>
    <definedName name="_xlnm.Print_Area" localSheetId="16">应收应付汇总表!$A$1:$M$18</definedName>
    <definedName name="_xlnm.Print_Titles" localSheetId="20">往来对账单!$1:$5</definedName>
    <definedName name="_xlnm.Print_Area" localSheetId="20">往来对账单!$A$1:$H$59</definedName>
    <definedName name="_xlnm.Print_Titles" localSheetId="21">常用分录参考!$1:$3</definedName>
    <definedName name="_xlnm.Print_Titles" localSheetId="22">科目余额表!$1:$3</definedName>
    <definedName name="_xlnm.Print_Titles" localSheetId="23">资产负债表!$1:$3</definedName>
    <definedName name="_xlnm.Print_Titles" localSheetId="24">利润表!$1:$3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</author>
  </authors>
  <commentList>
    <comment ref="G3" authorId="0">
      <text>
        <r>
          <rPr>
            <sz val="10"/>
            <rFont val="宋体"/>
            <charset val="134"/>
          </rPr>
          <t xml:space="preserve">
根据这列的业务类型，指定L列对应的会计科目
</t>
        </r>
      </text>
    </comment>
    <comment ref="H3" authorId="0">
      <text>
        <r>
          <rPr>
            <sz val="10"/>
            <rFont val="宋体"/>
            <charset val="134"/>
          </rPr>
          <t xml:space="preserve">
费用月度汇总提取这列项目，需要选择正确
</t>
        </r>
      </text>
    </comment>
  </commentList>
</comments>
</file>

<file path=xl/sharedStrings.xml><?xml version="1.0" encoding="utf-8"?>
<sst xmlns="http://schemas.openxmlformats.org/spreadsheetml/2006/main" count="2039" uniqueCount="871">
  <si>
    <t>03　财 务 账 套 与 报 表</t>
  </si>
  <si>
    <t>小企业会计准则 ｜ 全部按含税金额记账 ｜ 与 01、02 两本业务册跨文件自动联动　｜　点下面蓝色表名可直接跳转</t>
  </si>
  <si>
    <t>一、跨册对接（自动取数，勿手工填）</t>
  </si>
  <si>
    <t>序号</t>
  </si>
  <si>
    <t>子表名称</t>
  </si>
  <si>
    <t>用途说明</t>
  </si>
  <si>
    <t>属性</t>
  </si>
  <si>
    <t>对接源_01水果</t>
  </si>
  <si>
    <t>跨文件取《01》财务取数接口（24 个月收入成本 ＋ 按客户往来）</t>
  </si>
  <si>
    <t>自动</t>
  </si>
  <si>
    <t>对接源_02物料</t>
  </si>
  <si>
    <t>跨文件取《02》财务取数接口</t>
  </si>
  <si>
    <t>对接源_01入库吨位</t>
  </si>
  <si>
    <t>跨文件取《01》入库吨位汇总：周转打冷／仓储加工的筐数、总重、吨位</t>
  </si>
  <si>
    <t>进销存对接</t>
  </si>
  <si>
    <t>合并两张对接源，配科目；全部按含税金额记账</t>
  </si>
  <si>
    <t>二、日常录入</t>
  </si>
  <si>
    <t>原料入库计价</t>
  </si>
  <si>
    <t>★全展开：每个货主＋品种自动拆 周转打冷/仓储加工/装卸费 三行，只填计价方式与单价</t>
  </si>
  <si>
    <t>录入+自动</t>
  </si>
  <si>
    <t>资金日记账</t>
  </si>
  <si>
    <t>出纳每天记收付款（已去掉凭证字号/票据/经办人）；支出选费用项目就自动进成本</t>
  </si>
  <si>
    <t>录入</t>
  </si>
  <si>
    <t>成本费用登记表</t>
  </si>
  <si>
    <t>费用发生额与本单已付金额，差额＝应付账款</t>
  </si>
  <si>
    <t>对账补充行</t>
  </si>
  <si>
    <t>借款、还款、优惠、抹零等台账里没有、对账单要体现的行</t>
  </si>
  <si>
    <t>期初余额</t>
  </si>
  <si>
    <t>建账时填一次</t>
  </si>
  <si>
    <t>三、账簿 · 往来 · 成本（全部自动）</t>
  </si>
  <si>
    <t>记账凭证</t>
  </si>
  <si>
    <t>按进销存对接、资金日记账、成本费用表自动生成，手工区在 3010 行以后</t>
  </si>
  <si>
    <t>资金与往来余额表</t>
  </si>
  <si>
    <t>资金账户结存与往来单位余额</t>
  </si>
  <si>
    <t>应收应付汇总表</t>
  </si>
  <si>
    <t>每家单位的应收、应付、净往来</t>
  </si>
  <si>
    <t>收入月度汇总</t>
  </si>
  <si>
    <t>★按【资金日记账】往来单位 × 24 个月统计收入</t>
  </si>
  <si>
    <t>费用月度汇总</t>
  </si>
  <si>
    <t>成本项目 × 24 个月，含合计发生额、已付、应付余额</t>
  </si>
  <si>
    <t>应付账款明细</t>
  </si>
  <si>
    <t>按供应商/对象看发生额、已付、还欠多少</t>
  </si>
  <si>
    <t>往来对账单</t>
  </si>
  <si>
    <t>★50 行分项汇总：仓储费/周转费/装卸费/成品销售/筐子款/物料款 ＋ 购买果品款（负数抵扣）</t>
  </si>
  <si>
    <t>科目余额表</t>
  </si>
  <si>
    <t>★起止日期总开关：期初＋本期发生＋期末</t>
  </si>
  <si>
    <t>资产负债表</t>
  </si>
  <si>
    <t>跟科目余额表的日期走</t>
  </si>
  <si>
    <t>利润表</t>
  </si>
  <si>
    <t>本期与本年累计两套日期</t>
  </si>
  <si>
    <t>四、规则与码表</t>
  </si>
  <si>
    <t>自动规则</t>
  </si>
  <si>
    <t>业务类型 → 收付款科目</t>
  </si>
  <si>
    <t>码表</t>
  </si>
  <si>
    <t>收入成本映射</t>
  </si>
  <si>
    <t>项目 → 记账类别与借贷科目（税率一律 0%，全部含税记账）</t>
  </si>
  <si>
    <t>科目表</t>
  </si>
  <si>
    <t>会计科目 ＋ 往来单位/业务类型/收入项目/费用项目/费用对应科目</t>
  </si>
  <si>
    <t>常用分录参考</t>
  </si>
  <si>
    <t>常见业务的借贷科目参考</t>
  </si>
  <si>
    <t>图例：浅绿＝公式自动生成，请勿覆盖　｜　浅蓝＝需要手工录入　｜　浅黄＝码表/规则，偶尔维护</t>
  </si>
  <si>
    <t>财 务 账 套 与 报 表  使 用 说 明</t>
  </si>
  <si>
    <t>口径：小企业会计准则 ｜ 一般纳税人（价税分离）｜ 与两本业务册跨文件自动联动</t>
  </si>
  <si>
    <t>一、三个文件必须放在同一个文件夹</t>
  </si>
  <si>
    <t/>
  </si>
  <si>
    <t>　01_水果进销存台账模板.xlsx</t>
  </si>
  <si>
    <t>　02_物料与周转物台账模板.xlsx</t>
  </si>
  <si>
    <t>　03_财务账套与报表模板.xlsx</t>
  </si>
  <si>
    <t>　文件名一个字都不要改，也不要分开存放，否则链接会断，单元格会变成错误值。</t>
  </si>
  <si>
    <t>　万一断了：Excel 顶部菜单【数据】→【编辑链接】→【更改源】，重新指向那两个文件即可，只需修一次。</t>
  </si>
  <si>
    <t>二、每次打开要点“更新”</t>
  </si>
  <si>
    <t>　打开本文件时 Excel/WPS 会问“是否更新链接”，点【更新】，两本业务册的数就进来了。</t>
  </si>
  <si>
    <t>　如果没弹窗：【数据】→【编辑链接】→【立即更新值】。三个文件都打开时会实时联动。</t>
  </si>
  <si>
    <t>三、数据怎么自动进来的</t>
  </si>
  <si>
    <t>　业务册明细（仓管每天录）→ 业务册【财务取数接口】按月自动汇总</t>
  </si>
  <si>
    <t>　→ 本册【对接源_01水果】/【对接源_02物料】各自跨文件取一本册子，来源册不用手工区分</t>
  </si>
  <si>
    <t>　→ 本册【进销存对接】自动把两张对接源按顺序合并，配好税率和科目、拆出不含税与税额</t>
  </si>
  <si>
    <t>　→ 本册【记账凭证】自动生成分录 →【科目余额表】→【资产负债表】/【利润表】，全程不用手工抄数字。</t>
  </si>
  <si>
    <t>四、只有这四处需要人填</t>
  </si>
  <si>
    <t>　① 业务册【计费规则】的仓储费/加工费/装卸费单价（填一次）</t>
  </si>
  <si>
    <t>　② 本册【收入成本映射】的税率、【自动规则】的业务类型对应科目（已给默认值，和会计确认后改）</t>
  </si>
  <si>
    <t>　③ 本册【期初余额】，以及【应收应付汇总表】的"期初应收""期初应付"两列（建账时填一次）</t>
  </si>
  <si>
    <t>　④ 本册【资金日记账】（出纳每天记收付款）和【成本费用登记表】（工资/水电/折旧/租金等没有台账来源的支出）</t>
  </si>
  <si>
    <t>五、记账凭证分四个区</t>
  </si>
  <si>
    <t>　自动区A（第4～909行）：由【进销存对接】自动生成，绿底，勿改</t>
  </si>
  <si>
    <t>　自动区B（第910～2109行）：由【资金日记账】自动生成</t>
  </si>
  <si>
    <t>　自动区C（第2110～3009行）：由【成本费用登记表】自动生成</t>
  </si>
  <si>
    <t>　手工区 （第3010～3609行）：调整分录、结转损益等自己录</t>
  </si>
  <si>
    <t>　表尾有借贷平衡校验，必须为 0。</t>
  </si>
  <si>
    <t>六、防止重复记账的口径</t>
  </si>
  <si>
    <t>　· 业务发生（权责发生制）一律挂【应收账款】/【应付账款】，由自动区A、C 生成。</t>
  </si>
  <si>
    <t>　· 实际收付钱走【资金日记账】，对应科目选“应收账款/应付账款”，由自动区B 生成。</t>
  </si>
  <si>
    <t>　· 两条线各记各的，不会重复；应收账款余额 = 已确认收入 − 已收到的钱。</t>
  </si>
  <si>
    <t>七、本次升级新增和改动的地方</t>
  </si>
  <si>
    <t>① 【对接源_01水果】【对接源_02物料】：一个子表对应一本业务册，各自跨文件取数；</t>
  </si>
  <si>
    <t>　　【进销存对接】的"来源册"改成公式自动判断，后期新增品种、客户都不用再手工区分。</t>
  </si>
  <si>
    <t>② 【资金日记账】的"对应科目"不用再手工筛选了：按【自动规则】表的"业务类型 + 收/支方向"自动指定。</t>
  </si>
  <si>
    <t>　　个别单据要例外，就在日记账最右边 V 列"科目手工覆盖"选一个科目，那一行以手工的为准。</t>
  </si>
  <si>
    <t>③ 【自动规则】是新增的表：业务类型 → 收款科目 / 付款科目 的对照，想改口径直接改 C、D 两列。</t>
  </si>
  <si>
    <t>④ 【资金与往来余额表】下半部的往来单位改成自动生成，取自进销存对接、资金日记账、成本费用表和手工凭证。</t>
  </si>
  <si>
    <t>⑤ 【应收应付汇总表】是新增的表：一眼看清每家单位的应收余额、应付余额和净往来，只有两列期初要手工填。</t>
  </si>
  <si>
    <t>⑥ 【往来对账单】是新增的表：选单位＋起止日期，上面出汇总（含净往来一句话结论），下面逐笔列明细，可直接打印。</t>
  </si>
  <si>
    <t>⑦ 【主页】是新增的索引表，点蓝色表名直接跳转。</t>
  </si>
  <si>
    <t>⑧ 修复了原文件里两处指向【使用说明】的错误引用（进销存对接 C9 与 C161），现已全部指向【财务取数接口】。</t>
  </si>
  <si>
    <t>八、链接断了怎么办（兜底机制）</t>
  </si>
  <si>
    <t>① 三处地方会同时报警，不会不声不响地少算：</t>
  </si>
  <si>
    <t>　　·【主页】顶部"联动状态"栏；·【对接源】两张子表右侧的绿色提示框；</t>
  </si>
  <si>
    <t>　　·【进销存对接】【记账凭证】【科目余额表】【资产负债表】【利润表】【往来对账单】的副标题会变红。</t>
  </si>
  <si>
    <t>② 链接断了不会满屏 #REF!：所有跨文件公式都套了容错，取不到数就显示空白，不会污染报表。</t>
  </si>
  <si>
    <t>③ 应急备份：链接正常时，在【对接源】表里选中 B5:H168（02 那张是 B5:H156）→ 复制 →</t>
  </si>
  <si>
    <t>　　在 I5 上点右键"选择性粘贴 → 数值"。以后万一链接断了或文件挪了地方，本表会自动改用这份备份，</t>
  </si>
  <si>
    <t>　　报表照样能出，只是不是最新数，且各处会提示"正在用应急备份"。建议每月底结完账做一次。</t>
  </si>
  <si>
    <t>④ 彻底修复：菜单【数据】→【编辑链接】→【更改源】，重新指向那两个 xlsx 文件；或【立即更新值】。</t>
  </si>
  <si>
    <t>九、这一版的两处变化</t>
  </si>
  <si>
    <t>① 逐笔业务对账搬到《04 综合查询对账单》了：那本册子把 01、02 两册所有业务合并在一起，选个客户加起止日期就能出对账单，业务和老板用那本；本册【往来对账单】保留给会计核对科目用。</t>
  </si>
  <si>
    <t>② 新增"押金"业务类型：《02》里收退的周转筐、次果筐押金，在【资金日记账】登记实际收付时，业务类型选"押金"，对应科目会自动带出"其他应付款"。</t>
  </si>
  <si>
    <t>　　押金是欠客户的钱，不算收入；只有客户明确不退筐、押金转成赔偿时，才手工做一笔转其他业务收入。</t>
  </si>
  <si>
    <t>★ 本 次 更 新（2026-09）</t>
  </si>
  <si>
    <t>1、新增【原料入库计价】：原料入库的单价放在本册。上半部「原料入库单价表」按 货主＋品种 填计价方式与单价（货主填「通用」表示该品种通用价）；下半部自动按《01》的入库筐数/总重算出入库金额。计价方式三选一：按筐数×单价、按总重KG×单价、按吨位×单价。</t>
  </si>
  <si>
    <t>2、新增【对接源_01入库吨位】：跨文件取《01》的入库吨位汇总（货主＋品种的筐数、总重、吨位），供上表计价用，断链时同样有应急备份区。</t>
  </si>
  <si>
    <t>3、新增【对账补充行】：借款、还款、优惠、抹零、未退筐等台账里没有、但对账单要体现的行填在这里；金额自动＝数量×单价，也可用「金额手工覆盖」列直接写死（优惠、抹零填负数）。</t>
  </si>
  <si>
    <t>4、【往来对账单】改成对账单版式：抬头＋客户/品类/电话，列为 日期｜摘要｜单位｜入库毛重｜单价｜金额（元）｜已付款｜备注；底部三行显示 对账日期／对账时段／是否含税 与 合计金额／已付款／应收款，最后一行黄底显示中文大写欠款金额，可直接打印。</t>
  </si>
  <si>
    <t>5、对账单取数＝【原料入库计价】＋【资金日记账】＋【成本费用登记表】＋【对账补充行】四张表，按客户与起止日期自动筛选；「品类」栏自动汇总该客户的全部品种。</t>
  </si>
  <si>
    <t>★ 本 次 更 新（2026-09 · 第三版）</t>
  </si>
  <si>
    <t>1、【原料入库计价】重做：上表只填 货主/客户、品种、项目类别（周转打冷／仓储加工／装卸费／其他服务费）、计价方式，再填单价，数量与合计金额自动算；货主填「通用」＝该品种所有客户同价。下表按「货主＋品种＋项目类别」自动展开全部入库并套用单价，最下面还有按货主的汇总。</t>
  </si>
  <si>
    <t>2、【对接源_01入库吨位】跟着 01 改版：新增「周转打冷入库总筐数」「仓储加工入库总筐数」以及两类各自的总重KG。</t>
  </si>
  <si>
    <t>3、★应付账款怎么做：一切费用（工资、装卸费、电费、水费、差旅、维修、招待…）都在【成本费用登记表】登记，「价税合计」填本次发生额（＝成本），「本单已付金额」填已经付掉的钱，差额就是应付账款。例：本月电费 10000 元只付了 5000，就填 10000 和 5000，应付余额自动显示 5000。付款那笔现金流同时记到【资金日记账】。</t>
  </si>
  <si>
    <t>4、★当场付清、不挂账的小额支出：可以只记【资金日记账】，在 W 列选「费用类别」、X 列填「否」，也会自动算进成本；如果这笔已经在成本费用表登记过，X 列填「是」，避免重复计算。</t>
  </si>
  <si>
    <t>5、新增【费用月度汇总】：成本项目 × 24 个月的交叉表（只填 F2 起始年月），每月各项费用一目了然，右边还有合计发生额、其中已付、应付余额。</t>
  </si>
  <si>
    <t>6、新增【应付账款明细】：按供应商/对象看发生额、已付、还欠多少 —— 应付员工装卸费、应付供电局电费都在这里。</t>
  </si>
  <si>
    <t>7、【往来对账单】的数据来源＝原料入库计价 ＋ 资金日记账 ＋ 成本费用登记表 ＋ 对账补充行，按客户与起止日期自动筛选。</t>
  </si>
  <si>
    <t>★ 修 正 记 录（2026-09 · 第四版）</t>
  </si>
  <si>
    <t>1、【对接源_02物料】扩到 306 行，和 02 册重建后的【财务取数接口】1:1 对上；【进销存对接】的取数范围同步扩大，年月不再错乱（现在跟着 01 的起始年月走）。</t>
  </si>
  <si>
    <t>2、★全部改成按【含税金额】记账：不再拆不含税金额和税额。【收入成本映射】的税率一律 0% 且不参与计算；【进销存对接】和【成本费用登记表】的分录都变成「分录①＝借方科目 借 含税金额、分录②＝贷方科目 贷 含税金额」，分录③（增值税那行）取消。科目表里的应交增值税科目保留，只是不会再有自动发生额。</t>
  </si>
  <si>
    <t>3、【收入成本映射】按两本业务册的实际项目重建：仓储费/周转费/装卸费/水果销售/运费/其他服务费/筐子销售/物料销售/筐子租赁费/托盘租赁费 ＋ 三个采购入库 ＋ 结转与不记账项。项目名必须和业务册一字不差。</t>
  </si>
  <si>
    <t>4、修正【原料入库计价】上表「货主/客户」「品种」两个下拉：原来指错了辅助列所以选不出内容，现在自动列出《01》实际有入库的货主与品种。</t>
  </si>
  <si>
    <t>5、【科目表】的往来单位、业务类型、收入项目、费用项目已按《01》《02》最新【基础资料】重新生成。</t>
  </si>
  <si>
    <t>★ 优 化 记 录（2026-09 · 第五版）</t>
  </si>
  <si>
    <t>1、【资金日记账】W 列「费用项目」的下拉改成取【科目表】M 列（已按你 2025 年的成本项目扩充到 48 项），和【成本费用登记表】共用同一份清单，两边口径一致。</t>
  </si>
  <si>
    <t>2、X 列改成：只有这笔费用「已经在【成本费用登记表】登记过」才填「是」；没登记的留空就行，不用一条条选「否」。【费用月度汇总】按「不等于是」取数，留空的照样算进成本，登记过的不会重复计算。</t>
  </si>
  <si>
    <t>3、【资金日记账】新增 Y 列「年月（自动）」、【成本费用登记表】新增 AC 列「年月（自动）」，都是按日期自动生成 yyyy年m月，供费用月度汇总按表头直接匹配。</t>
  </si>
  <si>
    <t>4、【费用月度汇总】表头改成真实年月（2026年8月、2026年9月…），不再显示「第1月/第2月」；统计口径改成按【资金日记账】的费用项目列＋年月列匹配，成本项目清单也优先取资金日记账里用过的项目。</t>
  </si>
  <si>
    <t>★ 补 正（2026-09 · 第六版）</t>
  </si>
  <si>
    <t>1、你在【资金日记账】里插进来的 H 列「费用项目」现在是正式的那一列了：下拉直接取【科目表】M 列（48 项费用科目）。原来我加在最右边那一列已经取消，右边 W 列恢复成「科目手工覆盖」。</t>
  </si>
  <si>
    <t>2、【费用月度汇总】改成按 H 列费用项目 ＋ J 列支出金额 ＋ Y 列年月统计（上一版还在读旧列号，所以一直取不到数）。成本项目清单也先取【资金日记账】里实际用过的费用项目，再并上【成本费用登记表】的。</t>
  </si>
  <si>
    <t>3、【成本费用登记表】里 2025 年的 4 行示例数据（冷库电费/职工薪酬/折旧费/房屋租金）已清掉——费用月度汇总里冒出这四项就是它们带出来的。</t>
  </si>
  <si>
    <t>★ 报 表 日 期（2026-09 · 第七版）</t>
  </si>
  <si>
    <t>1、【科目余额表】第 2 行新增「开始日期／结束日期」，是三张报表的总开关：期初＝建账期初＋区间之前的全部发生额，本期发生＝区间内的凭证，期末＝期初±本期。留空＝不限时间。</t>
  </si>
  <si>
    <t>2、【资产负债表】跟着【科目余额表】走：C/G 列期末余额＝结束日期时点，D/H 列年初余额＝开始日期时点，右上角「报表日期」自动显示结束日期。要换期间到【科目余额表】改。</t>
  </si>
  <si>
    <t>3、【资产负债表】未分配利润的算法改了：＝未分配利润科目余额 ＋ 全部未结转的损益余额（含以前期间）。原来只加本期净利润，跨月看报表会差一块、不平衡；现在任意区间都能配平（已用 8 月／9 月／整年三个区间验过）。</t>
  </si>
  <si>
    <t>4、【利润表】第 3 行三个日期都能填：本期起始、本期截止（留空＝跟科目余额表一致），F3「本年累计起始」（留空＝跟本期起始一致）。C 列＝本期区间发生额，D 列＝本年累计。</t>
  </si>
  <si>
    <t>5、顺手补的：【科目表】新增 U 列「费用对应科目」，和 M 列「费用项目」配对。出纳在【资金日记账】H 列选了费用项目，L 列对应科目就自动记到成本/费用科目（比如「电费」→主营业务成本、「招待费」→管理费用），不用再手工挑科目，费用也就真正进了利润表。U 列可以按你们的口径随时改。</t>
  </si>
  <si>
    <t>★ 本 次 更 新（2026-09 · 第八版）</t>
  </si>
  <si>
    <t>1、【原料入库计价】改成全展开：每个「货主＋品种」自动拆成 周转打冷 / 仓储加工 / 装卸费 三行，筐数、总重、吨位全部自动带出来，一条都不会漏；你只要在每行填「计价方式」和「单价」。没有这项收费的行，单价留空即可。下面的按货主汇总还会提示「有几行还没填单价」。</t>
  </si>
  <si>
    <t>2、【往来对账单】改成 50 行分项汇总：仓储费、周转费、装卸费、成品销售款、客户购买筐子款、客户购买物料款，以及「公司购买客户果品款（应付抵扣）」——这一行是负数，直接冲减应收；后面接资金日记账的收付款和对账补充行。</t>
  </si>
  <si>
    <t>3、新增【收入月度汇总】：按【资金日记账】的往来单位 × 24 个月统计收入，和【费用月度汇总】一个样式。</t>
  </si>
  <si>
    <t>4、【资金日记账】删掉凭证字号、票据单号、经办人三列（22 列）。</t>
  </si>
  <si>
    <t>5、装卸费怎么做账：收客户的那头在【原料入库计价】里按「装卸费」这一行填单价（比如 50 元/吨），自动进往来对账单的应收；付给装卸工的那头在【成本费用登记表】登记（费用项目＝装卸费，对象＝装卸队/员工，本单已付金额填实付），差额就是应付账款。两头都进【费用月度汇总】和利润表，毛利自动出来。</t>
  </si>
  <si>
    <t>对 接 源 · 01 水果进销存台账（跨文件自动取数 · 断链时自动改用应急备份）</t>
  </si>
  <si>
    <t>有效行数</t>
  </si>
  <si>
    <t>链接探针</t>
  </si>
  <si>
    <t>一、实 际 使 用 值（链接正常时＝自动取数；链接断了自动切到右边备份）</t>
  </si>
  <si>
    <t>二、应 急 备 份 区（手工粘贴数值）</t>
  </si>
  <si>
    <t>状态</t>
  </si>
  <si>
    <t>备份行数</t>
  </si>
  <si>
    <t>源行</t>
  </si>
  <si>
    <t>年月 / 往来单位</t>
  </si>
  <si>
    <t>项目</t>
  </si>
  <si>
    <t>计费数量 / 应收发生额</t>
  </si>
  <si>
    <t>单位 / 应付发生额</t>
  </si>
  <si>
    <t>价税合计金额</t>
  </si>
  <si>
    <t>已收金额</t>
  </si>
  <si>
    <t>备注</t>
  </si>
  <si>
    <t>备份-年月</t>
  </si>
  <si>
    <t>备份-项目</t>
  </si>
  <si>
    <t>备份-数量</t>
  </si>
  <si>
    <t>备份-单位</t>
  </si>
  <si>
    <t>备份-金额</t>
  </si>
  <si>
    <t>备份-已收</t>
  </si>
  <si>
    <t>备份-备注</t>
  </si>
  <si>
    <t>有效</t>
  </si>
  <si>
    <t>累计</t>
  </si>
  <si>
    <t>链接可用</t>
  </si>
  <si>
    <t>当前取数来源</t>
  </si>
  <si>
    <t>对 接 源 · 02 物料与周转物台账（跨文件自动取数 · 断链时自动改用应急备份）</t>
  </si>
  <si>
    <t>对 接 源 · 01 入 库 吨 位（跨文件自动取数 · 断链时自动改用应急备份）</t>
  </si>
  <si>
    <t>一、实 际 使 用 值（链接正常＝自动取数；断链自动切到右边备份）</t>
  </si>
  <si>
    <t>货主/存放人</t>
  </si>
  <si>
    <t>品种</t>
  </si>
  <si>
    <t>周转打冷入库总筐数</t>
  </si>
  <si>
    <t>仓储加工入库总筐数</t>
  </si>
  <si>
    <t>合计总重KG</t>
  </si>
  <si>
    <t>合计吨位</t>
  </si>
  <si>
    <t>周转打冷总重KG</t>
  </si>
  <si>
    <t>仓储加工总重KG</t>
  </si>
  <si>
    <t>备份-货主</t>
  </si>
  <si>
    <t>备份-品种</t>
  </si>
  <si>
    <t>备份-打冷筐数</t>
  </si>
  <si>
    <t>备份-加工筐数</t>
  </si>
  <si>
    <t>备份-总重</t>
  </si>
  <si>
    <t>备份-吨位</t>
  </si>
  <si>
    <t>备份-打冷重</t>
  </si>
  <si>
    <t>备份-加工重</t>
  </si>
  <si>
    <t>修复说明</t>
  </si>
  <si>
    <t>进 销 存 对 接（跨文件自动取数 · 全部公式，勿手工填）</t>
  </si>
  <si>
    <t>★ 全部按【含税金额】记账，不再拆不含税与税额。分录①＝借方科目 借 价税合计，分录②＝贷方科目 贷 价税合计，分录③不用。科目由【收入成本映射】按项目自动指定。</t>
  </si>
  <si>
    <t>来源册</t>
  </si>
  <si>
    <t>记账类别</t>
  </si>
  <si>
    <t>税率（不再使用）</t>
  </si>
  <si>
    <t>记账金额（含税）</t>
  </si>
  <si>
    <t>税额（已取消＝0）</t>
  </si>
  <si>
    <t>分录①科目</t>
  </si>
  <si>
    <t>分录①借方</t>
  </si>
  <si>
    <t>分录①贷方</t>
  </si>
  <si>
    <t>分录②科目</t>
  </si>
  <si>
    <t>分录②借方</t>
  </si>
  <si>
    <t>分录②贷方</t>
  </si>
  <si>
    <t>分录③科目</t>
  </si>
  <si>
    <t>分录③借方</t>
  </si>
  <si>
    <t>分录③贷方</t>
  </si>
  <si>
    <t>合计</t>
  </si>
  <si>
    <t>原 料 入 库 计 价（全展开 · 每个「货主＋品种」自动拆 周转打冷 / 仓储加工 / 装卸费 三行）</t>
  </si>
  <si>
    <t>★ 左边货主、品种、项目类别、筐数、总重、吨位全部自动从《01 入库吨位汇总》带过来，一条不会漏；你只要在每行填「计价方式」和「单价」，金额自动算。没有这项收费的行，单价留空就行。</t>
  </si>
  <si>
    <t>　　自 动 带 出 ←→ 手 工 填 单 价 ←→ 自 动 算 金 额　　</t>
  </si>
  <si>
    <t>货主/客户</t>
  </si>
  <si>
    <t>项目类别</t>
  </si>
  <si>
    <t>入库总筐数</t>
  </si>
  <si>
    <t>入库总重KG</t>
  </si>
  <si>
    <t>入库吨位</t>
  </si>
  <si>
    <t>计价方式</t>
  </si>
  <si>
    <t>单价（元）</t>
  </si>
  <si>
    <t>计价基数</t>
  </si>
  <si>
    <t>金额（元）</t>
  </si>
  <si>
    <t>收付方向</t>
  </si>
  <si>
    <t>计价日期</t>
  </si>
  <si>
    <t>按 货 主 / 客 户 汇 总（供【往来对账单】与应收取数）</t>
  </si>
  <si>
    <t>周转费金额</t>
  </si>
  <si>
    <t>仓储费金额</t>
  </si>
  <si>
    <t>装卸费金额</t>
  </si>
  <si>
    <t>合计金额</t>
  </si>
  <si>
    <t>周转筐数</t>
  </si>
  <si>
    <t>仓储筐数</t>
  </si>
  <si>
    <t>合计筐数</t>
  </si>
  <si>
    <t>未定价行数</t>
  </si>
  <si>
    <t>收 入 / 成 本 → 科 目 与 税 率 映 射</t>
  </si>
  <si>
    <t>★ 全部按【含税金额】记账，不再拆不含税与税额，所以「税率」列一律 0% 且不参与计算。项目名称必须和《01》《02》【财务取数接口】里的项目一字不差，否则找不到科目。</t>
  </si>
  <si>
    <t>项目（与业务册接口表一致）</t>
  </si>
  <si>
    <t>税率</t>
  </si>
  <si>
    <t>分录借方科目</t>
  </si>
  <si>
    <t>分录贷方科目</t>
  </si>
  <si>
    <t>说明</t>
  </si>
  <si>
    <t>仓储费</t>
  </si>
  <si>
    <t>收入型</t>
  </si>
  <si>
    <t>0%</t>
  </si>
  <si>
    <t>应收账款</t>
  </si>
  <si>
    <t>主营业务收入—仓储费</t>
  </si>
  <si>
    <t>客户仓储加工的入库筐数×单价</t>
  </si>
  <si>
    <t>周转费</t>
  </si>
  <si>
    <t>主营业务收入—周转费</t>
  </si>
  <si>
    <t>周转打冷的入库筐数×单价</t>
  </si>
  <si>
    <t>装卸费</t>
  </si>
  <si>
    <t>主营业务收入—装卸费</t>
  </si>
  <si>
    <t>入库＋成品出库筐数×单价</t>
  </si>
  <si>
    <t>水果销售</t>
  </si>
  <si>
    <t>主营业务收入—水果销售</t>
  </si>
  <si>
    <t>成品出库中公司自购自销/果然鲜销售</t>
  </si>
  <si>
    <t>运费</t>
  </si>
  <si>
    <t>其他业务收入—运费</t>
  </si>
  <si>
    <t>成品出库的自结/代发运费与其他费用</t>
  </si>
  <si>
    <t>其他服务费</t>
  </si>
  <si>
    <t>其他业务收入—其他服务费</t>
  </si>
  <si>
    <t>手工填的其他服务收入</t>
  </si>
  <si>
    <t>筐子销售</t>
  </si>
  <si>
    <t>其他业务收入—筐子销售</t>
  </si>
  <si>
    <t>周转筐销售出库</t>
  </si>
  <si>
    <t>物料销售</t>
  </si>
  <si>
    <t>其他业务收入—物料销售</t>
  </si>
  <si>
    <t>包装物料销售出库</t>
  </si>
  <si>
    <t>筐子租赁费</t>
  </si>
  <si>
    <t>其他业务收入—筐子租赁费</t>
  </si>
  <si>
    <t>筐子/托盘租赁</t>
  </si>
  <si>
    <t>托盘租赁费</t>
  </si>
  <si>
    <t>托盘租赁</t>
  </si>
  <si>
    <t>押金收取</t>
  </si>
  <si>
    <t>不记账</t>
  </si>
  <si>
    <t>押金往来，另在【资金日记账】记其他应付款</t>
  </si>
  <si>
    <t>押金退还</t>
  </si>
  <si>
    <t>自购水果采购入库</t>
  </si>
  <si>
    <t>成本型</t>
  </si>
  <si>
    <t>库存商品—自购水果</t>
  </si>
  <si>
    <t>应付账款</t>
  </si>
  <si>
    <t>公司自购自销的入库数量×采购单价</t>
  </si>
  <si>
    <t>包装物料采购入库</t>
  </si>
  <si>
    <t>原材料—包装物料</t>
  </si>
  <si>
    <t>周转筐托盘采购入库</t>
  </si>
  <si>
    <t>周转材料—周转筐托盘</t>
  </si>
  <si>
    <t>周转筐/托盘采购入库</t>
  </si>
  <si>
    <t>自购水果销售成本</t>
  </si>
  <si>
    <t>结转型</t>
  </si>
  <si>
    <t>主营业务成本</t>
  </si>
  <si>
    <t>按加权平均单价结转</t>
  </si>
  <si>
    <t>客户应收</t>
  </si>
  <si>
    <t>仅供【往来余额表】按客户取数</t>
  </si>
  <si>
    <t>自购水果累计入库</t>
  </si>
  <si>
    <t>仅供核对</t>
  </si>
  <si>
    <t>自购水果累计出库</t>
  </si>
  <si>
    <t>加权平均单价（元/筐件）</t>
  </si>
  <si>
    <t>期末结存</t>
  </si>
  <si>
    <t>包装物料期末库存</t>
  </si>
  <si>
    <t>公司筐子期末总量</t>
  </si>
  <si>
    <t>客户自备筐结存（表外备查）</t>
  </si>
  <si>
    <t>表外备查</t>
  </si>
  <si>
    <t>自 动 规 则 · 业 务 类 型 → 对 应 科 目</t>
  </si>
  <si>
    <t>【资金日记账】的"对应科目"按本表自动判断，不用再手工筛选。想改口径就改 C / D 两列；个别单据要例外，就在日记账最右边"科目手工覆盖"填上。★ 已新增"押金"一行：收退押金请在日记账把业务类型选"押金"</t>
  </si>
  <si>
    <t>业务类型</t>
  </si>
  <si>
    <t>收到钱时（收入金额&gt;0）</t>
  </si>
  <si>
    <t>付出钱时（支出金额&gt;0）</t>
  </si>
  <si>
    <t>收客户仓储费 → 冲减应收；付出＝退款冲回</t>
  </si>
  <si>
    <t>加工费</t>
  </si>
  <si>
    <t>收客户加工费 → 冲减应收</t>
  </si>
  <si>
    <t>收客户装卸费 → 冲减应收</t>
  </si>
  <si>
    <t>运费收入</t>
  </si>
  <si>
    <t>代垫或代收运费 → 冲减应收</t>
  </si>
  <si>
    <t>次果筐、周转筐使用费 → 冲减应收</t>
  </si>
  <si>
    <t>筐子卖断的货款 → 冲减应收</t>
  </si>
  <si>
    <t>包装物料销售货款 → 冲减应收</t>
  </si>
  <si>
    <t>托盘租赁费 → 冲减应收</t>
  </si>
  <si>
    <t>公司自销 / 果然鲜销售货款 → 冲减应收</t>
  </si>
  <si>
    <t>水果采购</t>
  </si>
  <si>
    <t>付水果采购款 → 冲减应付</t>
  </si>
  <si>
    <t>包装物料采购</t>
  </si>
  <si>
    <t>付物料采购款 → 冲减应付</t>
  </si>
  <si>
    <t>周转筐采购</t>
  </si>
  <si>
    <t>付筐子、托盘采购款 → 冲减应付</t>
  </si>
  <si>
    <t>人工工资</t>
  </si>
  <si>
    <t>与【成本费用登记表】口径一致；若单独计提工资可改成"应付职工薪酬"</t>
  </si>
  <si>
    <t>水电费</t>
  </si>
  <si>
    <t>电费、水费 → 冲减应付</t>
  </si>
  <si>
    <t>运输费</t>
  </si>
  <si>
    <t>对外支付的运费 → 冲减应付</t>
  </si>
  <si>
    <t>租金</t>
  </si>
  <si>
    <t>房租、场地租金 → 冲减应付</t>
  </si>
  <si>
    <t>折旧摊销</t>
  </si>
  <si>
    <t>累计折旧</t>
  </si>
  <si>
    <t>折旧一般不走资金，这里只作兜底</t>
  </si>
  <si>
    <t>税费</t>
  </si>
  <si>
    <t>应交增值税—已交税金</t>
  </si>
  <si>
    <t>缴纳增值税；缴其他税种可手工覆盖成对应的应交税费科目</t>
  </si>
  <si>
    <t>借款</t>
  </si>
  <si>
    <t>短期借款</t>
  </si>
  <si>
    <t>借入＝贷记短期借款；归还本金＝借记短期借款</t>
  </si>
  <si>
    <t>还款</t>
  </si>
  <si>
    <t>客户还我们的钱→应收账款；我们还别人的钱→应付账款</t>
  </si>
  <si>
    <t>投资</t>
  </si>
  <si>
    <t>实收资本</t>
  </si>
  <si>
    <t>股东投入或抽回</t>
  </si>
  <si>
    <t>其他</t>
  </si>
  <si>
    <t>其他应收款</t>
  </si>
  <si>
    <t>其他应付款</t>
  </si>
  <si>
    <t>兜底：没匹配到业务类型时也走这一行的口径</t>
  </si>
  <si>
    <t>押金</t>
  </si>
  <si>
    <t>收客户押金＝贷记其他应付款（是欠客户的钱，不是收入）；退押金＝借记冲减。客户不退筐、押金转赔偿时，再手工做一笔转其他业务收入</t>
  </si>
  <si>
    <t>提示：新增业务类型请先在【科目表】J 列加一行，再回到本表填上收 / 付两个科目；本表找不到的业务类型，收款默认走"其他应收款"，付款默认走"其他应付款"。</t>
  </si>
  <si>
    <t>会 计 科 目 表（小企业会计准则）</t>
  </si>
  <si>
    <t>★「报表项目」是资产负债表/利润表取数的钥匙，新增科目必须填。M 列「费用项目」和 U 列「费用对应科目」是一对：出纳在【资金日记账】选了费用项目，这笔现金支出就自动记到 U 列指定的会计科目（成本/费用），不用再手工选对应科目。U 列可以按你们的口径改。</t>
  </si>
  <si>
    <t>科目编码</t>
  </si>
  <si>
    <t>科目名称</t>
  </si>
  <si>
    <t>科目类别</t>
  </si>
  <si>
    <t>余额方向</t>
  </si>
  <si>
    <t>报表项目</t>
  </si>
  <si>
    <t>损益方向</t>
  </si>
  <si>
    <t>往来单位</t>
  </si>
  <si>
    <t>资金账户</t>
  </si>
  <si>
    <t>收入项目</t>
  </si>
  <si>
    <t>费用项目</t>
  </si>
  <si>
    <t>结算方式</t>
  </si>
  <si>
    <t>是否</t>
  </si>
  <si>
    <t>对应会计科目</t>
  </si>
  <si>
    <t>费用对应科目</t>
  </si>
  <si>
    <t>1001</t>
  </si>
  <si>
    <t>库存现金</t>
  </si>
  <si>
    <t>资产</t>
  </si>
  <si>
    <t>借</t>
  </si>
  <si>
    <t>货币资金</t>
  </si>
  <si>
    <t>聂新平</t>
  </si>
  <si>
    <t>电费</t>
  </si>
  <si>
    <t>现金</t>
  </si>
  <si>
    <t>是</t>
  </si>
  <si>
    <t>1002</t>
  </si>
  <si>
    <t>银行存款</t>
  </si>
  <si>
    <t>王照雪</t>
  </si>
  <si>
    <t>基本户-银行存款</t>
  </si>
  <si>
    <t>水费</t>
  </si>
  <si>
    <t>银行转账</t>
  </si>
  <si>
    <t>1%</t>
  </si>
  <si>
    <t>否</t>
  </si>
  <si>
    <t>1012</t>
  </si>
  <si>
    <t>其他货币资金</t>
  </si>
  <si>
    <t>伍元虎</t>
  </si>
  <si>
    <t>一般户-银行存款</t>
  </si>
  <si>
    <t>小工费</t>
  </si>
  <si>
    <t>微信</t>
  </si>
  <si>
    <t>3%</t>
  </si>
  <si>
    <t>1121</t>
  </si>
  <si>
    <t>应收票据</t>
  </si>
  <si>
    <t>麦麦提</t>
  </si>
  <si>
    <t>支付宝</t>
  </si>
  <si>
    <t>5%</t>
  </si>
  <si>
    <t>1122</t>
  </si>
  <si>
    <t>热合曼</t>
  </si>
  <si>
    <t>自己人工资</t>
  </si>
  <si>
    <t>承兑汇票</t>
  </si>
  <si>
    <t>6%</t>
  </si>
  <si>
    <t>管理费用</t>
  </si>
  <si>
    <t>1123</t>
  </si>
  <si>
    <t>预付账款</t>
  </si>
  <si>
    <t>预付款项</t>
  </si>
  <si>
    <t>王灵云</t>
  </si>
  <si>
    <t>抵账</t>
  </si>
  <si>
    <t>9%</t>
  </si>
  <si>
    <t>1131</t>
  </si>
  <si>
    <t>应收股利</t>
  </si>
  <si>
    <t>马锦祥</t>
  </si>
  <si>
    <t>筐子运费</t>
  </si>
  <si>
    <t>赊销挂账</t>
  </si>
  <si>
    <t>13%</t>
  </si>
  <si>
    <t>1132</t>
  </si>
  <si>
    <t>应收利息</t>
  </si>
  <si>
    <t>贾建国</t>
  </si>
  <si>
    <t>预收冲抵</t>
  </si>
  <si>
    <t>1221</t>
  </si>
  <si>
    <t>荆建君</t>
  </si>
  <si>
    <t>维修费</t>
  </si>
  <si>
    <t>1231</t>
  </si>
  <si>
    <t>坏账准备</t>
  </si>
  <si>
    <t>贷</t>
  </si>
  <si>
    <t>艾合买提</t>
  </si>
  <si>
    <t>冷库配件</t>
  </si>
  <si>
    <t>1401</t>
  </si>
  <si>
    <t>材料采购</t>
  </si>
  <si>
    <t>存货</t>
  </si>
  <si>
    <t>王浩</t>
  </si>
  <si>
    <t>冷媒</t>
  </si>
  <si>
    <t>1403</t>
  </si>
  <si>
    <t>电商/主播</t>
  </si>
  <si>
    <t>除垢剂</t>
  </si>
  <si>
    <t>1405</t>
  </si>
  <si>
    <t>吐尔逊</t>
  </si>
  <si>
    <t>水泵</t>
  </si>
  <si>
    <t>1406</t>
  </si>
  <si>
    <t>库存商品—加工成品</t>
  </si>
  <si>
    <t>张艺</t>
  </si>
  <si>
    <t>电焊</t>
  </si>
  <si>
    <t>1407</t>
  </si>
  <si>
    <t>郭勇义</t>
  </si>
  <si>
    <t>消防</t>
  </si>
  <si>
    <t>1471</t>
  </si>
  <si>
    <t>存货跌价准备</t>
  </si>
  <si>
    <t>王庆文</t>
  </si>
  <si>
    <t>监控</t>
  </si>
  <si>
    <t>1601</t>
  </si>
  <si>
    <t>固定资产</t>
  </si>
  <si>
    <t>固定资产原价</t>
  </si>
  <si>
    <t>果然鲜</t>
  </si>
  <si>
    <t>装卸费支出</t>
  </si>
  <si>
    <t>网线</t>
  </si>
  <si>
    <t>1602</t>
  </si>
  <si>
    <t>努尔敦</t>
  </si>
  <si>
    <t>水泥</t>
  </si>
  <si>
    <t>1604</t>
  </si>
  <si>
    <t>在建工程</t>
  </si>
  <si>
    <t>鑫旺塑业</t>
  </si>
  <si>
    <t>新建栅子</t>
  </si>
  <si>
    <t>1701</t>
  </si>
  <si>
    <t>无形资产</t>
  </si>
  <si>
    <t>华鑫塑业</t>
  </si>
  <si>
    <t>房间装修家具</t>
  </si>
  <si>
    <t>1702</t>
  </si>
  <si>
    <t>累计摊销</t>
  </si>
  <si>
    <t>全修塑业</t>
  </si>
  <si>
    <t>五金店</t>
  </si>
  <si>
    <t>1801</t>
  </si>
  <si>
    <t>长期待摊费用</t>
  </si>
  <si>
    <t>新顺发泡网</t>
  </si>
  <si>
    <t>灯</t>
  </si>
  <si>
    <t>2001</t>
  </si>
  <si>
    <t>负债</t>
  </si>
  <si>
    <t>武宁气泡垫</t>
  </si>
  <si>
    <t>办公设备用品</t>
  </si>
  <si>
    <t>2201</t>
  </si>
  <si>
    <t>应付票据</t>
  </si>
  <si>
    <t>打印及广告</t>
  </si>
  <si>
    <t>销售费用</t>
  </si>
  <si>
    <t>2202</t>
  </si>
  <si>
    <t>日用品</t>
  </si>
  <si>
    <t>2203</t>
  </si>
  <si>
    <t>预收账款</t>
  </si>
  <si>
    <t>预收款项</t>
  </si>
  <si>
    <t>厨房吃</t>
  </si>
  <si>
    <t>2211</t>
  </si>
  <si>
    <t>应付职工薪酬</t>
  </si>
  <si>
    <t>吃饭</t>
  </si>
  <si>
    <t>222101</t>
  </si>
  <si>
    <t>应交增值税—销项税额</t>
  </si>
  <si>
    <t>应交税费</t>
  </si>
  <si>
    <t>员工福利奖金补贴</t>
  </si>
  <si>
    <t>222102</t>
  </si>
  <si>
    <t>应交增值税—进项税额</t>
  </si>
  <si>
    <t>员工医药费</t>
  </si>
  <si>
    <t>222103</t>
  </si>
  <si>
    <t>招待费</t>
  </si>
  <si>
    <t>222104</t>
  </si>
  <si>
    <t>应交增值税—进项税额转出</t>
  </si>
  <si>
    <t>差旅费</t>
  </si>
  <si>
    <t>222105</t>
  </si>
  <si>
    <t>未交增值税</t>
  </si>
  <si>
    <t>送礼</t>
  </si>
  <si>
    <t>222106</t>
  </si>
  <si>
    <t>应交城市维护建设税</t>
  </si>
  <si>
    <t>好处费</t>
  </si>
  <si>
    <t>222107</t>
  </si>
  <si>
    <t>应交教育费附加</t>
  </si>
  <si>
    <t>花</t>
  </si>
  <si>
    <t>222108</t>
  </si>
  <si>
    <t>应交地方教育附加</t>
  </si>
  <si>
    <t>领导拿货</t>
  </si>
  <si>
    <t>222109</t>
  </si>
  <si>
    <t>应交企业所得税</t>
  </si>
  <si>
    <t>话费</t>
  </si>
  <si>
    <t>222110</t>
  </si>
  <si>
    <t>应交个人所得税</t>
  </si>
  <si>
    <t>保险费</t>
  </si>
  <si>
    <t>2231</t>
  </si>
  <si>
    <t>应付利息</t>
  </si>
  <si>
    <t>停车费</t>
  </si>
  <si>
    <t>2232</t>
  </si>
  <si>
    <t>应付利润</t>
  </si>
  <si>
    <t>车违章及加油</t>
  </si>
  <si>
    <t>2241</t>
  </si>
  <si>
    <t>垃圾费</t>
  </si>
  <si>
    <t>2401</t>
  </si>
  <si>
    <t>递延收益</t>
  </si>
  <si>
    <t>房租</t>
  </si>
  <si>
    <t>2501</t>
  </si>
  <si>
    <t>长期借款</t>
  </si>
  <si>
    <t>2701</t>
  </si>
  <si>
    <t>长期应付款</t>
  </si>
  <si>
    <t>财务</t>
  </si>
  <si>
    <t>财务费用</t>
  </si>
  <si>
    <t>3001</t>
  </si>
  <si>
    <t>权益</t>
  </si>
  <si>
    <t>手续费</t>
  </si>
  <si>
    <t>3002</t>
  </si>
  <si>
    <t>资本公积</t>
  </si>
  <si>
    <t>利息支出</t>
  </si>
  <si>
    <t>3101</t>
  </si>
  <si>
    <t>盈余公积</t>
  </si>
  <si>
    <t>税金及附加</t>
  </si>
  <si>
    <t>3103</t>
  </si>
  <si>
    <t>本年利润</t>
  </si>
  <si>
    <t>未分配利润</t>
  </si>
  <si>
    <t>采购成本</t>
  </si>
  <si>
    <t>3104</t>
  </si>
  <si>
    <t>利润分配—未分配利润</t>
  </si>
  <si>
    <t>5001</t>
  </si>
  <si>
    <t>主营业务收入—加工费</t>
  </si>
  <si>
    <t>损益</t>
  </si>
  <si>
    <t>营业收入</t>
  </si>
  <si>
    <t>收入</t>
  </si>
  <si>
    <t>家用</t>
  </si>
  <si>
    <t>5002</t>
  </si>
  <si>
    <t>赔付出库</t>
  </si>
  <si>
    <t>5003</t>
  </si>
  <si>
    <t>5004</t>
  </si>
  <si>
    <t>5051</t>
  </si>
  <si>
    <t>其他业务收入—筐子租售</t>
  </si>
  <si>
    <t>5052</t>
  </si>
  <si>
    <t>5053</t>
  </si>
  <si>
    <t>其他业务收入—运费及其他</t>
  </si>
  <si>
    <t>5111</t>
  </si>
  <si>
    <t>投资收益</t>
  </si>
  <si>
    <t>5301</t>
  </si>
  <si>
    <t>营业外收入</t>
  </si>
  <si>
    <t>5401</t>
  </si>
  <si>
    <t>营业成本</t>
  </si>
  <si>
    <t>费用</t>
  </si>
  <si>
    <t>5402</t>
  </si>
  <si>
    <t>其他业务成本</t>
  </si>
  <si>
    <t>5403</t>
  </si>
  <si>
    <t>5601</t>
  </si>
  <si>
    <t>5602</t>
  </si>
  <si>
    <t>5603</t>
  </si>
  <si>
    <t>5711</t>
  </si>
  <si>
    <t>营业外支出</t>
  </si>
  <si>
    <t>5801</t>
  </si>
  <si>
    <t>所得税费用</t>
  </si>
  <si>
    <t>期 初 余 额 表</t>
  </si>
  <si>
    <t>★ 只填 D、E 两列（蓝色）。资产/成本类填借方，负债/权益类填贷方；右侧另填各资金账户期初余额</t>
  </si>
  <si>
    <t>期初借方余额</t>
  </si>
  <si>
    <t>期初贷方余额</t>
  </si>
  <si>
    <t>资 金 日 记 账（出纳每天记，自动生成收付款凭证）</t>
  </si>
  <si>
    <t>★ 出纳每天记收付款，不做凭证字号/票据/经办人。★ 支出如果是费用/成本：在 G 列「费用项目」里选一项，K 列「对应科目」自动按【科目表】U 列记到成本/费用科目，【费用月度汇总】按 V 列年月算进成本。U 列只在这笔费用已经在【成本费用登记表】登记过时才填「是」。个别例外可在 T 列直接写科目名。</t>
  </si>
  <si>
    <t>日期</t>
  </si>
  <si>
    <t>摘要</t>
  </si>
  <si>
    <t>收入金额</t>
  </si>
  <si>
    <t>支出金额</t>
  </si>
  <si>
    <t>账户余额</t>
  </si>
  <si>
    <t>对应科目</t>
  </si>
  <si>
    <t>账户对应科目</t>
  </si>
  <si>
    <t>科目手工覆盖（留空＝自动）</t>
  </si>
  <si>
    <t>已在成本费用表登记?（登记过才填「是」）</t>
  </si>
  <si>
    <t>年月（自动）</t>
  </si>
  <si>
    <t>成 本 费 用 登 记 表（工资 / 水电 / 折旧 / 租金等没有业务台账来源的支出）</t>
  </si>
  <si>
    <t>★ 一切没有业务台账来源的支出都记在这里：工资、装卸费、电费、水费、差旅、维修、招待…「价税合计」＝本次发生额（成本），「本单已付金额」＝已经付掉的钱，差额就是【应付账款】。例：本月电费 10000 元、只付了 5000，H 填 10000、AA 填 5000，应付余额自动显示 5000。付款那笔现金流请同时记到【资金日记账】。</t>
  </si>
  <si>
    <t>供应商/对象</t>
  </si>
  <si>
    <t>费用类别</t>
  </si>
  <si>
    <t>数量</t>
  </si>
  <si>
    <t>单价</t>
  </si>
  <si>
    <t>价税合计</t>
  </si>
  <si>
    <t>进项税额（已取消＝0）</t>
  </si>
  <si>
    <t>票据/发票号</t>
  </si>
  <si>
    <t>是否取得专票</t>
  </si>
  <si>
    <t>付款状态</t>
  </si>
  <si>
    <t>本单已付金额</t>
  </si>
  <si>
    <t>应付余额</t>
  </si>
  <si>
    <t>对 账 补 充 行（借款 / 还款 / 优惠 / 抹零 / 未退筐 等手工行）</t>
  </si>
  <si>
    <t>★【往来对账单】= 原料入库计价 + 资金日记账 + 成本费用登记表 + 本表。凡是台账里没有、又要在对账单上体现的行，都填在这里。金额自动＝数量×单价；直接填「金额手工覆盖」列可写死金额（优惠、抹零填负数）。</t>
  </si>
  <si>
    <t>单位</t>
  </si>
  <si>
    <t>已付款</t>
  </si>
  <si>
    <t>金额手工覆盖</t>
  </si>
  <si>
    <t>记 账 凭 证（自动生成 + 手工调整）</t>
  </si>
  <si>
    <t>凭证字号</t>
  </si>
  <si>
    <t>借方金额</t>
  </si>
  <si>
    <t>贷方金额</t>
  </si>
  <si>
    <t>附单据数</t>
  </si>
  <si>
    <t>制单人</t>
  </si>
  <si>
    <t>数据来源</t>
  </si>
  <si>
    <t>合计 / 借贷平衡校验</t>
  </si>
  <si>
    <t>资 金 账 户 与 往 来 单 位 余 额 表（全部自动计算）</t>
  </si>
  <si>
    <t>一、资金账户结存（取自【资金日记账】）</t>
  </si>
  <si>
    <t>本期收入</t>
  </si>
  <si>
    <t>本期支出</t>
  </si>
  <si>
    <t>期末余额</t>
  </si>
  <si>
    <t>账面货币资金（科目余额表）</t>
  </si>
  <si>
    <t>二、往来单位余额（往来单位自动生成 · 应收＝业务册已确认的应收 − 资金日记账实收；应付＝账面凭证）</t>
  </si>
  <si>
    <t>期初应收</t>
  </si>
  <si>
    <t>本期应收发生</t>
  </si>
  <si>
    <t>资金实收</t>
  </si>
  <si>
    <t>应收余额</t>
  </si>
  <si>
    <t>期初应付</t>
  </si>
  <si>
    <t>本期应付发生</t>
  </si>
  <si>
    <t>资金实付</t>
  </si>
  <si>
    <t>应 收 应 付 汇 总 表（往来单位自动生成）</t>
  </si>
  <si>
    <t>应收余额＝期初应收＋本期应收发生−资金实收　｜　应付余额＝期初应付＋本期应付发生−资金实付　｜　净往来＝应收余额−应付余额（正数＝对方欠我们）</t>
  </si>
  <si>
    <t>净往来</t>
  </si>
  <si>
    <t>收 入 月 度 汇 总（往来单位 × 24 个月 · 全自动）</t>
  </si>
  <si>
    <t>★ 只填 F2「起始年月」。口径＝【资金日记账】E 列「往来单位」的收入金额，按 V 列年月归月；单位名单也直接取自资金日记账 E 列。</t>
  </si>
  <si>
    <t>起始年月</t>
  </si>
  <si>
    <t>各 月 小 计</t>
  </si>
  <si>
    <t>往来单位 / 月份</t>
  </si>
  <si>
    <t>合计收入</t>
  </si>
  <si>
    <t>合　计</t>
  </si>
  <si>
    <t>费 用 月 度 汇 总（成本项目 × 24 个月 · 全自动）</t>
  </si>
  <si>
    <t>★ 只填 F2「起始年月」，表头自动排出 24 个年月。口径＝【资金日记账】G 列「费用项目」的支出（「已在成本费用表登记」没填「是」的）＋【成本费用登记表】D 列「费用项目」的发生额；项目名单也自动取自这两处。</t>
  </si>
  <si>
    <t>费用项目 / 月份</t>
  </si>
  <si>
    <t>合计发生额</t>
  </si>
  <si>
    <t>其中已付</t>
  </si>
  <si>
    <t>应 付 账 款 明 细（按供应商 / 对象 · 全自动）</t>
  </si>
  <si>
    <t>★ 数据来自【成本费用登记表】：发生额＝价税合计，已付＝本单已付金额，应付余额＝两者之差。例：应付员工装卸费、应付供电局电费、应付供应商货款，都在这里看。</t>
  </si>
  <si>
    <t>供应商 / 对象</t>
  </si>
  <si>
    <t>发生笔数</t>
  </si>
  <si>
    <t>发生额合计</t>
  </si>
  <si>
    <t>已付合计</t>
  </si>
  <si>
    <t>最近一笔日期</t>
  </si>
  <si>
    <t>主要费用类别</t>
  </si>
  <si>
    <t>新疆果然鲜仓储有限公司</t>
  </si>
  <si>
    <t>对账单</t>
  </si>
  <si>
    <t>客　户:</t>
  </si>
  <si>
    <t>新顺</t>
  </si>
  <si>
    <t>开始日期:</t>
  </si>
  <si>
    <t>结束日期:</t>
  </si>
  <si>
    <t>品　类:</t>
  </si>
  <si>
    <t>对账笔数:</t>
  </si>
  <si>
    <t>是否含税:</t>
  </si>
  <si>
    <t>不含税</t>
  </si>
  <si>
    <t>电　话:</t>
  </si>
  <si>
    <t>筛选说明</t>
  </si>
  <si>
    <t>只填 B2 客户；日期留空＝不限时间</t>
  </si>
  <si>
    <t>日　期</t>
  </si>
  <si>
    <t>摘　　要</t>
  </si>
  <si>
    <t>单 位</t>
  </si>
  <si>
    <t>入库毛重</t>
  </si>
  <si>
    <t>单　价</t>
  </si>
  <si>
    <t>备　　注</t>
  </si>
  <si>
    <t>合计金额:</t>
  </si>
  <si>
    <t>已 付 款:</t>
  </si>
  <si>
    <t>应 收 款:</t>
  </si>
  <si>
    <t>截止今天，贵公司共欠我方应收账款：</t>
  </si>
  <si>
    <t>常 用 会 计 分 录 参 考</t>
  </si>
  <si>
    <t>打 √ 的已由系统自动生成，不用手工做；只有最后几条需要在【记账凭证】手工区自己录</t>
  </si>
  <si>
    <t>业务场景</t>
  </si>
  <si>
    <t>借方科目</t>
  </si>
  <si>
    <t>贷方科目</t>
  </si>
  <si>
    <t>谁来做</t>
  </si>
  <si>
    <t>仓储费 / 加工费 / 装卸费 结算</t>
  </si>
  <si>
    <t>1122 应收账款</t>
  </si>
  <si>
    <t>5001/5002/5003 主营业务收入；222101 销项税额</t>
  </si>
  <si>
    <t>√ 自动区A</t>
  </si>
  <si>
    <t>水果销售（公司自购自销）</t>
  </si>
  <si>
    <t>5004 主营业务收入—水果销售；222101 销项税额</t>
  </si>
  <si>
    <t>运费及其他收入</t>
  </si>
  <si>
    <t>5053 其他业务收入；222101 销项税额</t>
  </si>
  <si>
    <t>筐子销售 / 次果筐使用费 / 托盘租赁</t>
  </si>
  <si>
    <t>5051 其他业务收入—筐子租售；222101 销项税额</t>
  </si>
  <si>
    <t>包装物料销售给客户</t>
  </si>
  <si>
    <t>5052 其他业务收入—物料销售；222101 销项税额</t>
  </si>
  <si>
    <t>1405 库存商品—自购水果；222102 进项税额</t>
  </si>
  <si>
    <t>2202 应付账款</t>
  </si>
  <si>
    <t>1403 原材料—包装物料；222102 进项税额</t>
  </si>
  <si>
    <t>周转筐 / 托盘采购入库</t>
  </si>
  <si>
    <t>1407 周转材料；222102 进项税额</t>
  </si>
  <si>
    <t>自购水果销售结转成本</t>
  </si>
  <si>
    <t>5401 主营业务成本</t>
  </si>
  <si>
    <t>1405 库存商品—自购水果</t>
  </si>
  <si>
    <t>收到客户货款</t>
  </si>
  <si>
    <t>1001/1002/1012 资金科目</t>
  </si>
  <si>
    <t>√ 自动区B（录日记账即可）</t>
  </si>
  <si>
    <t>支付供应商货款</t>
  </si>
  <si>
    <t>1002 银行存款</t>
  </si>
  <si>
    <t>缴纳税款</t>
  </si>
  <si>
    <t>222105 未交增值税等</t>
  </si>
  <si>
    <t>计提工资 / 水电 / 折旧 / 租金</t>
  </si>
  <si>
    <t>5401 主营业务成本 / 5602 管理费用</t>
  </si>
  <si>
    <t>√ 自动区C（录成本费用登记表）</t>
  </si>
  <si>
    <t>发放工资</t>
  </si>
  <si>
    <t>2202 应付账款 或 2211 应付职工薪酬</t>
  </si>
  <si>
    <t>√ 自动区B</t>
  </si>
  <si>
    <t>月末结转应交增值税</t>
  </si>
  <si>
    <t>222101 销项税额</t>
  </si>
  <si>
    <t>222102 进项税额；222105 未交增值税</t>
  </si>
  <si>
    <t>手工区（每月一次）</t>
  </si>
  <si>
    <t>计提城建税及附加</t>
  </si>
  <si>
    <t>5403 税金及附加</t>
  </si>
  <si>
    <t>222106/107/108 附加税费</t>
  </si>
  <si>
    <t>计提企业所得税</t>
  </si>
  <si>
    <t>5801 所得税费用</t>
  </si>
  <si>
    <t>222109 应交企业所得税</t>
  </si>
  <si>
    <t>手工区（按季/年）</t>
  </si>
  <si>
    <t>年末结转损益（做完请把资产负债表开关改“是”）</t>
  </si>
  <si>
    <t>5001-5053 各收入科目；3103 本年利润</t>
  </si>
  <si>
    <t>3103 本年利润；5401-5801 各成本费用科目</t>
  </si>
  <si>
    <t>手工区（一年一次）</t>
  </si>
  <si>
    <t>盘盈盘亏、坏账、调整分录</t>
  </si>
  <si>
    <t>按实际</t>
  </si>
  <si>
    <t>手工区</t>
  </si>
  <si>
    <t>科 目 余 额 表（全部自动计算）</t>
  </si>
  <si>
    <t>开始(实际)</t>
  </si>
  <si>
    <t>★ 本表是资产负债表 / 利润表的取数底表。填右边【开始日期／结束日期】即可按区间出账：期初＝建账期初＋区间之前的发生额，本期发生＝区间内的凭证，期末＝期初±本期。留空＝不限时间（全部）。</t>
  </si>
  <si>
    <t>开始日期</t>
  </si>
  <si>
    <t>结束日期</t>
  </si>
  <si>
    <t>结束(实际)</t>
  </si>
  <si>
    <t>期初借方（含区间前）</t>
  </si>
  <si>
    <t>期初贷方（含区间前）</t>
  </si>
  <si>
    <t>本期借方发生</t>
  </si>
  <si>
    <t>本期贷方发生</t>
  </si>
  <si>
    <t>期末借方</t>
  </si>
  <si>
    <t>期末贷方</t>
  </si>
  <si>
    <t>资 产 负 债 表</t>
  </si>
  <si>
    <t>★ 本表按【科目余额表】第 2 行的起止日期出数：C/G 列「期末余额」＝结束日期时点的余额，D/H 列「年初余额」＝开始日期时点的余额。要换期间请到【科目余额表】改日期，本表会跟着变。</t>
  </si>
  <si>
    <t>本期是否已做结转损益凭证：</t>
  </si>
  <si>
    <t>选“否”＝未做结转损益凭证，未分配利润自动加上全部未结转的损益余额（含以前期间）</t>
  </si>
  <si>
    <t>编制单位：</t>
  </si>
  <si>
    <t>报表日期：</t>
  </si>
  <si>
    <t>资　产</t>
  </si>
  <si>
    <t>行次</t>
  </si>
  <si>
    <t>期末余额（结束日期时点）</t>
  </si>
  <si>
    <t>年初余额（开始日期时点）</t>
  </si>
  <si>
    <t>负债和所有者权益</t>
  </si>
  <si>
    <t>流动资产：</t>
  </si>
  <si>
    <t>流动负债：</t>
  </si>
  <si>
    <t>　货币资金</t>
  </si>
  <si>
    <t>　短期借款</t>
  </si>
  <si>
    <t>　短期投资</t>
  </si>
  <si>
    <t>　应付票据</t>
  </si>
  <si>
    <t>　应收票据</t>
  </si>
  <si>
    <t>　应付账款</t>
  </si>
  <si>
    <t>　应收账款</t>
  </si>
  <si>
    <t>　预收款项</t>
  </si>
  <si>
    <t>　预付款项</t>
  </si>
  <si>
    <t>　应付职工薪酬</t>
  </si>
  <si>
    <t>　应收股利</t>
  </si>
  <si>
    <t>　应交税费</t>
  </si>
  <si>
    <t>　应收利息</t>
  </si>
  <si>
    <t>　应付利息</t>
  </si>
  <si>
    <t>　其他应收款</t>
  </si>
  <si>
    <t>　应付利润</t>
  </si>
  <si>
    <t>　存货</t>
  </si>
  <si>
    <t>　其他应付款</t>
  </si>
  <si>
    <t>　　其中：原材料—包装物料</t>
  </si>
  <si>
    <t>　其他流动负债</t>
  </si>
  <si>
    <t>　　　　　库存商品—自购水果</t>
  </si>
  <si>
    <t>流动负债合计</t>
  </si>
  <si>
    <t>　　　　　库存商品—加工成品</t>
  </si>
  <si>
    <t>非流动负债：</t>
  </si>
  <si>
    <t>　　　　　周转材料—周转筐托盘</t>
  </si>
  <si>
    <t>　长期借款</t>
  </si>
  <si>
    <t>　其他流动资产</t>
  </si>
  <si>
    <t>　长期应付款</t>
  </si>
  <si>
    <t>流动资产合计</t>
  </si>
  <si>
    <t>　递延收益</t>
  </si>
  <si>
    <t>非流动资产：</t>
  </si>
  <si>
    <t>　其他非流动负债</t>
  </si>
  <si>
    <t>　长期债券投资</t>
  </si>
  <si>
    <t>非流动负债合计</t>
  </si>
  <si>
    <t>　长期股权投资</t>
  </si>
  <si>
    <t>负　债　合　计</t>
  </si>
  <si>
    <t>　固定资产原价</t>
  </si>
  <si>
    <t>所有者权益：</t>
  </si>
  <si>
    <t>　减：累计折旧</t>
  </si>
  <si>
    <t>　实收资本</t>
  </si>
  <si>
    <t>　固定资产账面价值</t>
  </si>
  <si>
    <t>　资本公积</t>
  </si>
  <si>
    <t>　在建工程</t>
  </si>
  <si>
    <t>　盈余公积</t>
  </si>
  <si>
    <t>　工程物资</t>
  </si>
  <si>
    <t>　未分配利润</t>
  </si>
  <si>
    <t>　固定资产清理</t>
  </si>
  <si>
    <t>所有者权益合计</t>
  </si>
  <si>
    <t>　生产性生物资产</t>
  </si>
  <si>
    <t>负债和所有者权益总计</t>
  </si>
  <si>
    <t>　无形资产</t>
  </si>
  <si>
    <t>　开发支出</t>
  </si>
  <si>
    <t>　长期待摊费用</t>
  </si>
  <si>
    <t>　其他非流动资产</t>
  </si>
  <si>
    <t>非流动资产合计</t>
  </si>
  <si>
    <t>资　产　总　计</t>
  </si>
  <si>
    <t>利 润 表</t>
  </si>
  <si>
    <t>本期起</t>
  </si>
  <si>
    <t>★ 只填第 3 行三个日期：本期起始 / 本期截止（留空＝跟【科目余额表】一致）；「本年累计起始」留空＝跟本期起始一致。C 列＝本期区间发生额，D 列＝本年累计起始到本期截止的累计。</t>
  </si>
  <si>
    <t>本期止</t>
  </si>
  <si>
    <t>本期起始日期：</t>
  </si>
  <si>
    <t>本期截止日期：</t>
  </si>
  <si>
    <t>本年累计起始：</t>
  </si>
  <si>
    <t>本年起</t>
  </si>
  <si>
    <t>项　　目</t>
  </si>
  <si>
    <t>本期金额</t>
  </si>
  <si>
    <t>本年累计金额</t>
  </si>
  <si>
    <t>一、营业收入</t>
  </si>
  <si>
    <t>　减：营业成本</t>
  </si>
  <si>
    <t>　　　税金及附加</t>
  </si>
  <si>
    <t>　　　销售费用</t>
  </si>
  <si>
    <t>　　　管理费用</t>
  </si>
  <si>
    <t>　　　财务费用</t>
  </si>
  <si>
    <t>　加：投资收益（损失以“−”号填列）</t>
  </si>
  <si>
    <t>二、营业利润（亏损以“−”号填列）</t>
  </si>
  <si>
    <t>　加：营业外收入</t>
  </si>
  <si>
    <t>　减：营业外支出</t>
  </si>
  <si>
    <t>三、利润总额（亏损总额以“−”号填列）</t>
  </si>
  <si>
    <t>　减：所得税费用</t>
  </si>
  <si>
    <t>四、净利润（净亏损以“−”号填列）</t>
  </si>
  <si>
    <t>提示：三张报表都按日期出数 —— 【科目余额表】管资产负债表；【利润表】可以单独设自己的区间，留空就跟着科目余额表走。凭证没有日期的行不会被算进任何区间。</t>
  </si>
  <si>
    <t>本表由公式自动维护，供【资金与往来余额表】【应收应付汇总表】【往来对账单】取数，请勿手工修改或删除。</t>
  </si>
  <si>
    <t>首次</t>
  </si>
  <si>
    <t>往来单位(紧凑)</t>
  </si>
  <si>
    <t>命中</t>
  </si>
  <si>
    <t>金额</t>
  </si>
  <si>
    <t>费用类别(紧凑)</t>
  </si>
  <si>
    <t>应付对象</t>
  </si>
  <si>
    <t>应付对象(紧凑)</t>
  </si>
  <si>
    <t>往来单位(有收入)</t>
  </si>
  <si>
    <t>收入往来单位(紧凑)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</si>
</sst>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"/>
    <numFmt numFmtId="177" formatCode="#,##0.00;[Red]\-#,##0.00;\-"/>
    <numFmt numFmtId="178" formatCode="yyyy\-mm\-dd"/>
    <numFmt numFmtId="179" formatCode="#,##0;[Red]\-#,##0;\-"/>
    <numFmt numFmtId="180" formatCode="#,##0.##"/>
    <numFmt numFmtId="181" formatCode="\¥#,##0.00;[Red]\-\¥#,##0.00;\¥\ \-"/>
    <numFmt numFmtId="182" formatCode="#,##0.000"/>
    <numFmt numFmtId="183" formatCode="#,##0.###"/>
    <numFmt numFmtId="184" formatCode="yyyy\-mm"/>
  </numFmts>
  <fonts count="70">
    <font>
      <sz val="11"/>
      <color theme="1"/>
      <name val="宋体"/>
      <charset val="134"/>
      <scheme val="minor"/>
    </font>
    <font>
      <b/>
      <sz val="9"/>
      <color rgb="FF1F4E79"/>
      <name val="宋体"/>
      <charset val="134"/>
    </font>
    <font>
      <b/>
      <sz val="14"/>
      <color rgb="FFFFFFFF"/>
      <name val="微软雅黑"/>
      <charset val="134"/>
    </font>
    <font>
      <sz val="8"/>
      <color rgb="FFBFBFBF"/>
      <name val="宋体"/>
      <charset val="134"/>
    </font>
    <font>
      <b/>
      <sz val="9"/>
      <color rgb="FF833C00"/>
      <name val="宋体"/>
      <charset val="134"/>
    </font>
    <font>
      <b/>
      <sz val="10"/>
      <name val="微软雅黑"/>
      <charset val="134"/>
    </font>
    <font>
      <sz val="10"/>
      <color rgb="FF1F4E79"/>
      <name val="宋体"/>
      <charset val="134"/>
    </font>
    <font>
      <b/>
      <sz val="10"/>
      <color rgb="FFFFFFFF"/>
      <name val="微软雅黑"/>
      <charset val="134"/>
    </font>
    <font>
      <sz val="10"/>
      <name val="宋体"/>
      <charset val="134"/>
    </font>
    <font>
      <sz val="10"/>
      <color rgb="FF006100"/>
      <name val="宋体"/>
      <charset val="134"/>
    </font>
    <font>
      <sz val="9"/>
      <color rgb="FF808080"/>
      <name val="宋体"/>
      <charset val="134"/>
    </font>
    <font>
      <sz val="10"/>
      <color rgb="FF0000FF"/>
      <name val="宋体"/>
      <charset val="134"/>
    </font>
    <font>
      <b/>
      <sz val="10"/>
      <color rgb="FF006100"/>
      <name val="宋体"/>
      <charset val="134"/>
    </font>
    <font>
      <b/>
      <sz val="11"/>
      <color rgb="FFC00000"/>
      <name val="微软雅黑"/>
      <charset val="134"/>
    </font>
    <font>
      <b/>
      <sz val="24"/>
      <color rgb="FFFFFFFF"/>
      <name val="黑体"/>
      <charset val="134"/>
    </font>
    <font>
      <b/>
      <sz val="16"/>
      <color rgb="FF275C70"/>
      <name val="黑体"/>
      <charset val="134"/>
    </font>
    <font>
      <b/>
      <sz val="11"/>
      <color rgb="FF1F3864"/>
      <name val="宋体"/>
      <charset val="134"/>
    </font>
    <font>
      <b/>
      <sz val="12"/>
      <color rgb="FF1F4E79"/>
      <name val="宋体"/>
      <charset val="134"/>
    </font>
    <font>
      <sz val="9"/>
      <color rgb="FF595959"/>
      <name val="宋体"/>
      <charset val="134"/>
    </font>
    <font>
      <sz val="11"/>
      <color rgb="FF006100"/>
      <name val="宋体"/>
      <charset val="134"/>
    </font>
    <font>
      <sz val="11"/>
      <color rgb="FF1F4E79"/>
      <name val="宋体"/>
      <charset val="134"/>
    </font>
    <font>
      <sz val="9"/>
      <color rgb="FF7F6000"/>
      <name val="宋体"/>
      <charset val="134"/>
    </font>
    <font>
      <b/>
      <sz val="11"/>
      <color rgb="FFFFFFFF"/>
      <name val="黑体"/>
      <charset val="134"/>
    </font>
    <font>
      <sz val="10"/>
      <color rgb="FF1F3864"/>
      <name val="宋体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b/>
      <sz val="14"/>
      <color rgb="FFFFFFFF"/>
      <name val="Noto Sans CJK SC"/>
      <charset val="134"/>
    </font>
    <font>
      <b/>
      <sz val="10"/>
      <color rgb="FFFFFFFF"/>
      <name val="Noto Sans CJK SC"/>
      <charset val="134"/>
    </font>
    <font>
      <sz val="9"/>
      <color rgb="FF006100"/>
      <name val="宋体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b/>
      <sz val="10"/>
      <color rgb="FF1F4E79"/>
      <name val="宋体"/>
      <charset val="134"/>
    </font>
    <font>
      <b/>
      <sz val="10"/>
      <color rgb="FF833C00"/>
      <name val="宋体"/>
      <charset val="134"/>
    </font>
    <font>
      <b/>
      <sz val="10"/>
      <color rgb="FFC00000"/>
      <name val="宋体"/>
      <charset val="134"/>
    </font>
    <font>
      <sz val="10"/>
      <color rgb="FF595959"/>
      <name val="Noto Sans CJK SC"/>
      <charset val="134"/>
    </font>
    <font>
      <b/>
      <sz val="10"/>
      <color rgb="FFFFFFFF"/>
      <name val="宋体"/>
      <charset val="134"/>
    </font>
    <font>
      <b/>
      <sz val="10"/>
      <color rgb="FF1F4E79"/>
      <name val="微软雅黑"/>
      <charset val="134"/>
    </font>
    <font>
      <b/>
      <sz val="10"/>
      <color rgb="FFC00000"/>
      <name val="微软雅黑"/>
      <charset val="134"/>
    </font>
    <font>
      <sz val="9"/>
      <color rgb="FF1F4E79"/>
      <name val="宋体"/>
      <charset val="134"/>
    </font>
    <font>
      <sz val="9"/>
      <color rgb="FF000000"/>
      <name val="宋体"/>
      <charset val="134"/>
    </font>
    <font>
      <b/>
      <sz val="9"/>
      <color rgb="FF006100"/>
      <name val="宋体"/>
      <charset val="134"/>
    </font>
    <font>
      <b/>
      <sz val="10"/>
      <color rgb="FF7F6000"/>
      <name val="Noto Sans CJK SC"/>
      <charset val="134"/>
    </font>
    <font>
      <b/>
      <sz val="10"/>
      <color rgb="FF595959"/>
      <name val="Noto Sans CJK SC"/>
      <charset val="134"/>
    </font>
    <font>
      <sz val="10"/>
      <color rgb="FF006100"/>
      <name val="Calibri"/>
      <charset val="1"/>
    </font>
    <font>
      <sz val="8"/>
      <color rgb="FF006100"/>
      <name val="宋体"/>
      <charset val="134"/>
    </font>
    <font>
      <b/>
      <sz val="11"/>
      <color rgb="FF1F4E79"/>
      <name val="微软雅黑"/>
      <charset val="134"/>
    </font>
    <font>
      <b/>
      <sz val="11"/>
      <color rgb="FF1F4E79"/>
      <name val="宋体"/>
      <charset val="134"/>
    </font>
    <font>
      <sz val="10"/>
      <color rgb="FFC00000"/>
      <name val="宋体"/>
      <charset val="134"/>
    </font>
    <font>
      <b/>
      <sz val="9"/>
      <color rgb="FF1F4E79"/>
      <name val="Noto Sans CJK SC"/>
      <charset val="134"/>
    </font>
    <font>
      <b/>
      <u/>
      <sz val="10"/>
      <color rgb="FF0563C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275C7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C5D9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C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E2EFDA"/>
        <bgColor rgb="FFFFF2CC"/>
      </patternFill>
    </fill>
    <fill>
      <patternFill patternType="solid">
        <fgColor rgb="FFC00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8EA9C1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0" fillId="0" borderId="0">
      <alignment vertical="center"/>
    </xf>
    <xf numFmtId="0" fontId="51" fillId="0" borderId="0">
      <alignment vertical="center"/>
    </xf>
    <xf numFmtId="0" fontId="0" fillId="21" borderId="9">
      <alignment vertical="center"/>
    </xf>
    <xf numFmtId="0" fontId="52" fillId="0" borderId="0">
      <alignment vertical="center"/>
    </xf>
    <xf numFmtId="0" fontId="53" fillId="0" borderId="0">
      <alignment vertical="center"/>
    </xf>
    <xf numFmtId="0" fontId="54" fillId="0" borderId="0">
      <alignment vertical="center"/>
    </xf>
    <xf numFmtId="0" fontId="55" fillId="0" borderId="10">
      <alignment vertical="center"/>
    </xf>
    <xf numFmtId="0" fontId="56" fillId="0" borderId="10">
      <alignment vertical="center"/>
    </xf>
    <xf numFmtId="0" fontId="57" fillId="0" borderId="11">
      <alignment vertical="center"/>
    </xf>
    <xf numFmtId="0" fontId="57" fillId="0" borderId="0">
      <alignment vertical="center"/>
    </xf>
    <xf numFmtId="0" fontId="58" fillId="22" borderId="12">
      <alignment vertical="center"/>
    </xf>
    <xf numFmtId="0" fontId="59" fillId="11" borderId="13">
      <alignment vertical="center"/>
    </xf>
    <xf numFmtId="0" fontId="60" fillId="11" borderId="12">
      <alignment vertical="center"/>
    </xf>
    <xf numFmtId="0" fontId="61" fillId="23" borderId="14">
      <alignment vertical="center"/>
    </xf>
    <xf numFmtId="0" fontId="62" fillId="0" borderId="15">
      <alignment vertical="center"/>
    </xf>
    <xf numFmtId="0" fontId="63" fillId="0" borderId="16">
      <alignment vertical="center"/>
    </xf>
    <xf numFmtId="0" fontId="64" fillId="24" borderId="0">
      <alignment vertical="center"/>
    </xf>
    <xf numFmtId="0" fontId="65" fillId="25" borderId="0">
      <alignment vertical="center"/>
    </xf>
    <xf numFmtId="0" fontId="66" fillId="26" borderId="0">
      <alignment vertical="center"/>
    </xf>
    <xf numFmtId="0" fontId="67" fillId="27" borderId="0">
      <alignment vertical="center"/>
    </xf>
    <xf numFmtId="0" fontId="68" fillId="28" borderId="0">
      <alignment vertical="center"/>
    </xf>
    <xf numFmtId="0" fontId="68" fillId="29" borderId="0">
      <alignment vertical="center"/>
    </xf>
    <xf numFmtId="0" fontId="67" fillId="30" borderId="0">
      <alignment vertical="center"/>
    </xf>
    <xf numFmtId="0" fontId="67" fillId="31" borderId="0">
      <alignment vertical="center"/>
    </xf>
    <xf numFmtId="0" fontId="68" fillId="32" borderId="0">
      <alignment vertical="center"/>
    </xf>
    <xf numFmtId="0" fontId="68" fillId="33" borderId="0">
      <alignment vertical="center"/>
    </xf>
    <xf numFmtId="0" fontId="67" fillId="34" borderId="0">
      <alignment vertical="center"/>
    </xf>
    <xf numFmtId="0" fontId="67" fillId="35" borderId="0">
      <alignment vertical="center"/>
    </xf>
    <xf numFmtId="0" fontId="68" fillId="36" borderId="0">
      <alignment vertical="center"/>
    </xf>
    <xf numFmtId="0" fontId="68" fillId="37" borderId="0">
      <alignment vertical="center"/>
    </xf>
    <xf numFmtId="0" fontId="67" fillId="38" borderId="0">
      <alignment vertical="center"/>
    </xf>
    <xf numFmtId="0" fontId="67" fillId="39" borderId="0">
      <alignment vertical="center"/>
    </xf>
    <xf numFmtId="0" fontId="68" fillId="40" borderId="0">
      <alignment vertical="center"/>
    </xf>
    <xf numFmtId="0" fontId="68" fillId="41" borderId="0">
      <alignment vertical="center"/>
    </xf>
    <xf numFmtId="0" fontId="67" fillId="42" borderId="0">
      <alignment vertical="center"/>
    </xf>
    <xf numFmtId="0" fontId="67" fillId="43" borderId="0">
      <alignment vertical="center"/>
    </xf>
    <xf numFmtId="0" fontId="68" fillId="44" borderId="0">
      <alignment vertical="center"/>
    </xf>
    <xf numFmtId="0" fontId="68" fillId="45" borderId="0">
      <alignment vertical="center"/>
    </xf>
    <xf numFmtId="0" fontId="67" fillId="46" borderId="0">
      <alignment vertical="center"/>
    </xf>
    <xf numFmtId="0" fontId="67" fillId="47" borderId="0">
      <alignment vertical="center"/>
    </xf>
    <xf numFmtId="0" fontId="68" fillId="48" borderId="0">
      <alignment vertical="center"/>
    </xf>
    <xf numFmtId="0" fontId="68" fillId="49" borderId="0">
      <alignment vertical="center"/>
    </xf>
    <xf numFmtId="0" fontId="67" fillId="50" borderId="0">
      <alignment vertical="center"/>
    </xf>
  </cellStyleXfs>
  <cellXfs count="15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176" fontId="3" fillId="0" borderId="0" xfId="0" applyNumberFormat="1" applyFont="1"/>
    <xf numFmtId="0" fontId="4" fillId="3" borderId="0" xfId="0" applyFont="1" applyFill="1" applyAlignment="1">
      <alignment horizontal="left" vertical="center" wrapText="1"/>
    </xf>
    <xf numFmtId="0" fontId="5" fillId="0" borderId="0" xfId="0" applyFont="1"/>
    <xf numFmtId="176" fontId="6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177" fontId="9" fillId="0" borderId="1" xfId="0" applyNumberFormat="1" applyFont="1" applyBorder="1"/>
    <xf numFmtId="0" fontId="5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177" fontId="5" fillId="4" borderId="1" xfId="0" applyNumberFormat="1" applyFont="1" applyFill="1" applyBorder="1"/>
    <xf numFmtId="0" fontId="10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/>
    <xf numFmtId="178" fontId="12" fillId="7" borderId="1" xfId="0" applyNumberFormat="1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177" fontId="9" fillId="8" borderId="1" xfId="0" applyNumberFormat="1" applyFont="1" applyFill="1" applyBorder="1"/>
    <xf numFmtId="0" fontId="1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77" fontId="9" fillId="7" borderId="1" xfId="0" applyNumberFormat="1" applyFont="1" applyFill="1" applyBorder="1" applyAlignment="1">
      <alignment horizontal="right" vertical="center"/>
    </xf>
    <xf numFmtId="0" fontId="0" fillId="8" borderId="1" xfId="0" applyFill="1" applyBorder="1"/>
    <xf numFmtId="0" fontId="5" fillId="8" borderId="1" xfId="0" applyFont="1" applyFill="1" applyBorder="1"/>
    <xf numFmtId="177" fontId="5" fillId="8" borderId="1" xfId="0" applyNumberFormat="1" applyFont="1" applyFill="1" applyBorder="1"/>
    <xf numFmtId="0" fontId="10" fillId="0" borderId="0" xfId="0" applyFont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4" fillId="9" borderId="0" xfId="0" applyFont="1" applyFill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0" fillId="9" borderId="0" xfId="0" applyFill="1"/>
    <xf numFmtId="0" fontId="16" fillId="0" borderId="0" xfId="0" applyFont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8" fillId="11" borderId="1" xfId="0" applyFont="1" applyFill="1" applyBorder="1" applyAlignment="1">
      <alignment horizontal="right" vertical="center"/>
    </xf>
    <xf numFmtId="0" fontId="19" fillId="7" borderId="1" xfId="0" applyFont="1" applyFill="1" applyBorder="1" applyAlignment="1">
      <alignment horizontal="left" vertical="center"/>
    </xf>
    <xf numFmtId="179" fontId="9" fillId="7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left" vertical="center"/>
    </xf>
    <xf numFmtId="0" fontId="0" fillId="0" borderId="5" xfId="0" applyBorder="1"/>
    <xf numFmtId="0" fontId="22" fillId="6" borderId="6" xfId="0" applyFont="1" applyFill="1" applyBorder="1" applyAlignment="1">
      <alignment horizontal="center" vertical="center"/>
    </xf>
    <xf numFmtId="176" fontId="23" fillId="0" borderId="6" xfId="0" applyNumberFormat="1" applyFont="1" applyBorder="1" applyAlignment="1">
      <alignment horizontal="center" vertical="center"/>
    </xf>
    <xf numFmtId="0" fontId="23" fillId="0" borderId="6" xfId="0" applyFont="1" applyBorder="1" applyAlignment="1">
      <alignment horizontal="left" vertical="center"/>
    </xf>
    <xf numFmtId="0" fontId="23" fillId="0" borderId="6" xfId="0" applyFont="1" applyBorder="1" applyAlignment="1">
      <alignment horizontal="center" vertical="center"/>
    </xf>
    <xf numFmtId="180" fontId="23" fillId="0" borderId="6" xfId="0" applyNumberFormat="1" applyFont="1" applyBorder="1" applyAlignment="1">
      <alignment horizontal="center" vertical="center"/>
    </xf>
    <xf numFmtId="177" fontId="23" fillId="0" borderId="6" xfId="0" applyNumberFormat="1" applyFont="1" applyBorder="1" applyAlignment="1">
      <alignment horizontal="center" vertical="center"/>
    </xf>
    <xf numFmtId="176" fontId="16" fillId="12" borderId="6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177" fontId="16" fillId="12" borderId="6" xfId="0" applyNumberFormat="1" applyFont="1" applyFill="1" applyBorder="1" applyAlignment="1">
      <alignment horizontal="center" vertical="center"/>
    </xf>
    <xf numFmtId="181" fontId="16" fillId="0" borderId="6" xfId="0" applyNumberFormat="1" applyFont="1" applyBorder="1" applyAlignment="1">
      <alignment horizontal="center" vertical="center"/>
    </xf>
    <xf numFmtId="176" fontId="16" fillId="13" borderId="6" xfId="0" applyNumberFormat="1" applyFont="1" applyFill="1" applyBorder="1" applyAlignment="1">
      <alignment horizontal="center" vertical="center"/>
    </xf>
    <xf numFmtId="177" fontId="16" fillId="13" borderId="6" xfId="0" applyNumberFormat="1" applyFont="1" applyFill="1" applyBorder="1" applyAlignment="1">
      <alignment horizontal="center" vertical="center"/>
    </xf>
    <xf numFmtId="176" fontId="24" fillId="14" borderId="6" xfId="0" applyNumberFormat="1" applyFont="1" applyFill="1" applyBorder="1" applyAlignment="1">
      <alignment horizontal="center" vertical="center"/>
    </xf>
    <xf numFmtId="177" fontId="25" fillId="15" borderId="6" xfId="0" applyNumberFormat="1" applyFont="1" applyFill="1" applyBorder="1" applyAlignment="1">
      <alignment horizontal="center" vertical="center"/>
    </xf>
    <xf numFmtId="176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180" fontId="23" fillId="0" borderId="0" xfId="0" applyNumberFormat="1" applyFont="1" applyAlignment="1">
      <alignment horizontal="center" vertical="center"/>
    </xf>
    <xf numFmtId="177" fontId="23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81" fontId="1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7" fillId="6" borderId="1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177" fontId="9" fillId="7" borderId="1" xfId="0" applyNumberFormat="1" applyFont="1" applyFill="1" applyBorder="1" applyAlignment="1">
      <alignment horizontal="center" vertical="center"/>
    </xf>
    <xf numFmtId="176" fontId="9" fillId="7" borderId="1" xfId="0" applyNumberFormat="1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179" fontId="30" fillId="5" borderId="1" xfId="0" applyNumberFormat="1" applyFont="1" applyFill="1" applyBorder="1" applyAlignment="1">
      <alignment horizontal="center" vertical="center"/>
    </xf>
    <xf numFmtId="177" fontId="30" fillId="5" borderId="1" xfId="0" applyNumberFormat="1" applyFont="1" applyFill="1" applyBorder="1" applyAlignment="1">
      <alignment horizontal="center" vertical="center"/>
    </xf>
    <xf numFmtId="57" fontId="31" fillId="4" borderId="1" xfId="0" applyNumberFormat="1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left" vertical="center"/>
    </xf>
    <xf numFmtId="0" fontId="32" fillId="16" borderId="1" xfId="0" applyFont="1" applyFill="1" applyBorder="1" applyAlignment="1">
      <alignment horizontal="center" vertical="center"/>
    </xf>
    <xf numFmtId="177" fontId="33" fillId="16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177" fontId="12" fillId="7" borderId="1" xfId="0" applyNumberFormat="1" applyFont="1" applyFill="1" applyBorder="1" applyAlignment="1">
      <alignment horizontal="center" vertical="center"/>
    </xf>
    <xf numFmtId="0" fontId="34" fillId="11" borderId="0" xfId="0" applyFont="1" applyFill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right" vertical="center"/>
    </xf>
    <xf numFmtId="0" fontId="29" fillId="0" borderId="1" xfId="0" applyFont="1" applyBorder="1" applyAlignment="1">
      <alignment horizontal="left" vertical="center"/>
    </xf>
    <xf numFmtId="0" fontId="35" fillId="6" borderId="1" xfId="0" applyFont="1" applyFill="1" applyBorder="1" applyAlignment="1">
      <alignment horizontal="center" vertical="center"/>
    </xf>
    <xf numFmtId="177" fontId="35" fillId="6" borderId="1" xfId="0" applyNumberFormat="1" applyFont="1" applyFill="1" applyBorder="1" applyAlignment="1">
      <alignment horizontal="right" vertical="center"/>
    </xf>
    <xf numFmtId="0" fontId="36" fillId="8" borderId="0" xfId="0" applyFont="1" applyFill="1" applyAlignment="1">
      <alignment horizontal="left" vertical="center" wrapText="1"/>
    </xf>
    <xf numFmtId="0" fontId="5" fillId="0" borderId="1" xfId="0" applyFont="1" applyBorder="1"/>
    <xf numFmtId="0" fontId="0" fillId="0" borderId="1" xfId="0" applyBorder="1"/>
    <xf numFmtId="177" fontId="5" fillId="0" borderId="1" xfId="0" applyNumberFormat="1" applyFont="1" applyBorder="1"/>
    <xf numFmtId="0" fontId="37" fillId="0" borderId="1" xfId="0" applyFont="1" applyBorder="1"/>
    <xf numFmtId="177" fontId="11" fillId="3" borderId="1" xfId="0" applyNumberFormat="1" applyFont="1" applyFill="1" applyBorder="1" applyAlignment="1">
      <alignment horizontal="right" vertical="center"/>
    </xf>
    <xf numFmtId="178" fontId="9" fillId="7" borderId="1" xfId="0" applyNumberFormat="1" applyFont="1" applyFill="1" applyBorder="1" applyAlignment="1">
      <alignment horizontal="center" vertical="center" wrapText="1"/>
    </xf>
    <xf numFmtId="178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77" fontId="8" fillId="3" borderId="1" xfId="0" applyNumberFormat="1" applyFont="1" applyFill="1" applyBorder="1" applyAlignment="1">
      <alignment horizontal="right" vertical="center"/>
    </xf>
    <xf numFmtId="179" fontId="8" fillId="3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177" fontId="6" fillId="4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right" vertical="center"/>
    </xf>
    <xf numFmtId="0" fontId="27" fillId="17" borderId="1" xfId="0" applyFont="1" applyFill="1" applyBorder="1" applyAlignment="1">
      <alignment horizontal="center" vertical="center" wrapText="1"/>
    </xf>
    <xf numFmtId="177" fontId="9" fillId="7" borderId="1" xfId="0" applyNumberFormat="1" applyFont="1" applyFill="1" applyBorder="1" applyAlignment="1">
      <alignment horizontal="left" vertical="center"/>
    </xf>
    <xf numFmtId="177" fontId="11" fillId="0" borderId="1" xfId="0" applyNumberFormat="1" applyFont="1" applyBorder="1" applyAlignment="1">
      <alignment horizontal="right" vertical="center"/>
    </xf>
    <xf numFmtId="177" fontId="11" fillId="0" borderId="1" xfId="0" applyNumberFormat="1" applyFont="1" applyBorder="1"/>
    <xf numFmtId="0" fontId="27" fillId="6" borderId="1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0" fontId="38" fillId="4" borderId="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30" fillId="4" borderId="1" xfId="0" applyFont="1" applyFill="1" applyBorder="1" applyAlignment="1">
      <alignment horizontal="left" vertical="center"/>
    </xf>
    <xf numFmtId="0" fontId="27" fillId="6" borderId="0" xfId="0" applyFont="1" applyFill="1" applyAlignment="1">
      <alignment horizontal="left" vertical="center"/>
    </xf>
    <xf numFmtId="182" fontId="9" fillId="7" borderId="1" xfId="0" applyNumberFormat="1" applyFont="1" applyFill="1" applyBorder="1" applyAlignment="1">
      <alignment horizontal="center" vertical="center"/>
    </xf>
    <xf numFmtId="183" fontId="9" fillId="7" borderId="1" xfId="0" applyNumberFormat="1" applyFont="1" applyFill="1" applyBorder="1" applyAlignment="1">
      <alignment horizontal="center" vertical="center"/>
    </xf>
    <xf numFmtId="182" fontId="30" fillId="5" borderId="1" xfId="0" applyNumberFormat="1" applyFont="1" applyFill="1" applyBorder="1" applyAlignment="1">
      <alignment horizontal="center" vertical="center"/>
    </xf>
    <xf numFmtId="184" fontId="9" fillId="7" borderId="1" xfId="0" applyNumberFormat="1" applyFont="1" applyFill="1" applyBorder="1" applyAlignment="1">
      <alignment horizontal="center" vertical="center" wrapText="1"/>
    </xf>
    <xf numFmtId="179" fontId="9" fillId="7" borderId="1" xfId="0" applyNumberFormat="1" applyFont="1" applyFill="1" applyBorder="1" applyAlignment="1">
      <alignment horizontal="right" vertical="center"/>
    </xf>
    <xf numFmtId="0" fontId="39" fillId="11" borderId="1" xfId="0" applyFont="1" applyFill="1" applyBorder="1" applyAlignment="1">
      <alignment horizontal="right" vertical="center"/>
    </xf>
    <xf numFmtId="0" fontId="40" fillId="7" borderId="0" xfId="0" applyFont="1" applyFill="1" applyAlignment="1">
      <alignment horizontal="left" vertical="center"/>
    </xf>
    <xf numFmtId="0" fontId="41" fillId="3" borderId="0" xfId="0" applyFont="1" applyFill="1" applyAlignment="1">
      <alignment horizontal="left" vertical="center"/>
    </xf>
    <xf numFmtId="0" fontId="42" fillId="11" borderId="0" xfId="0" applyFont="1" applyFill="1" applyAlignment="1">
      <alignment horizontal="left" vertical="center"/>
    </xf>
    <xf numFmtId="179" fontId="38" fillId="4" borderId="1" xfId="0" applyNumberFormat="1" applyFont="1" applyFill="1" applyBorder="1" applyAlignment="1">
      <alignment horizontal="center" vertical="center"/>
    </xf>
    <xf numFmtId="177" fontId="38" fillId="4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184" fontId="43" fillId="18" borderId="1" xfId="0" applyNumberFormat="1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left" vertical="top" wrapText="1"/>
    </xf>
    <xf numFmtId="0" fontId="4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27" fillId="19" borderId="0" xfId="0" applyFont="1" applyFill="1" applyAlignment="1">
      <alignment horizontal="left" vertical="center"/>
    </xf>
    <xf numFmtId="0" fontId="27" fillId="20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0" fontId="48" fillId="11" borderId="1" xfId="0" applyFont="1" applyFill="1" applyBorder="1" applyAlignment="1">
      <alignment horizontal="center" vertical="center"/>
    </xf>
    <xf numFmtId="0" fontId="49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0" fontId="2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name val="宋体"/>
        <scheme val="none"/>
        <b val="1"/>
        <sz val="10"/>
        <color rgb="FFC00000"/>
      </font>
      <fill>
        <patternFill patternType="solid">
          <fgColor rgb="FFFFC7CE"/>
          <bgColor rgb="FFFFC7CE"/>
        </patternFill>
      </fill>
    </dxf>
    <dxf>
      <font>
        <name val="宋体"/>
        <scheme val="none"/>
        <sz val="10"/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externalLink" Target="externalLinks/externalLink2.xml"/><Relationship Id="rId27" Type="http://schemas.openxmlformats.org/officeDocument/2006/relationships/externalLink" Target="externalLinks/externalLink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2_&#29289;&#26009;&#19982;&#21608;&#36716;&#29289;&#21488;&#36134;&#27169;&#2649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1_&#27700;&#26524;&#36827;&#38144;&#23384;&#21488;&#36134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对接源_01水果筐数"/>
      <sheetName val="周转筐出入库明细"/>
      <sheetName val="包装物料出入库明细"/>
      <sheetName val="客户自备加工筐明细"/>
      <sheetName val="次果筐明细"/>
      <sheetName val="物料库存结余"/>
      <sheetName val="筐子库存汇总"/>
      <sheetName val="筐子往来汇总"/>
      <sheetName val="筐子采购汇总"/>
      <sheetName val="筐子销售汇总"/>
      <sheetName val="自备筐汇总"/>
      <sheetName val="次果筐汇总"/>
      <sheetName val="押金汇总"/>
      <sheetName val="客户领用物料汇总"/>
      <sheetName val="实盘库存盘点"/>
      <sheetName val="收入结算汇总"/>
      <sheetName val="对账明细接口"/>
      <sheetName val="财务取数接口"/>
      <sheetName val="字段对照"/>
      <sheetName val="_自动清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B4" t="str">
            <v/>
          </cell>
          <cell r="C4" t="str">
            <v>筐子销售</v>
          </cell>
          <cell r="D4" t="str">
            <v/>
          </cell>
          <cell r="E4" t="str">
            <v>个</v>
          </cell>
        </row>
        <row r="4">
          <cell r="G4" t="str">
            <v/>
          </cell>
          <cell r="H4" t="str">
            <v/>
          </cell>
        </row>
        <row r="5">
          <cell r="B5" t="str">
            <v/>
          </cell>
          <cell r="C5" t="str">
            <v>筐子销售</v>
          </cell>
          <cell r="D5" t="str">
            <v/>
          </cell>
          <cell r="E5" t="str">
            <v>个</v>
          </cell>
        </row>
        <row r="5">
          <cell r="G5" t="str">
            <v/>
          </cell>
          <cell r="H5" t="str">
            <v/>
          </cell>
        </row>
        <row r="6">
          <cell r="B6" t="str">
            <v/>
          </cell>
          <cell r="C6" t="str">
            <v>筐子销售</v>
          </cell>
          <cell r="D6" t="str">
            <v/>
          </cell>
          <cell r="E6" t="str">
            <v>个</v>
          </cell>
        </row>
        <row r="6">
          <cell r="G6" t="str">
            <v/>
          </cell>
          <cell r="H6" t="str">
            <v/>
          </cell>
        </row>
        <row r="7">
          <cell r="B7" t="str">
            <v/>
          </cell>
          <cell r="C7" t="str">
            <v>筐子销售</v>
          </cell>
          <cell r="D7" t="str">
            <v/>
          </cell>
          <cell r="E7" t="str">
            <v>个</v>
          </cell>
        </row>
        <row r="7">
          <cell r="G7" t="str">
            <v/>
          </cell>
          <cell r="H7" t="str">
            <v/>
          </cell>
        </row>
        <row r="8">
          <cell r="B8" t="str">
            <v/>
          </cell>
          <cell r="C8" t="str">
            <v>筐子销售</v>
          </cell>
          <cell r="D8" t="str">
            <v/>
          </cell>
          <cell r="E8" t="str">
            <v>个</v>
          </cell>
        </row>
        <row r="8">
          <cell r="G8" t="str">
            <v/>
          </cell>
          <cell r="H8" t="str">
            <v/>
          </cell>
        </row>
        <row r="9">
          <cell r="B9" t="str">
            <v/>
          </cell>
          <cell r="C9" t="str">
            <v>筐子销售</v>
          </cell>
          <cell r="D9" t="str">
            <v/>
          </cell>
          <cell r="E9" t="str">
            <v>个</v>
          </cell>
        </row>
        <row r="9">
          <cell r="G9" t="str">
            <v/>
          </cell>
          <cell r="H9" t="str">
            <v/>
          </cell>
        </row>
        <row r="10">
          <cell r="B10" t="str">
            <v/>
          </cell>
          <cell r="C10" t="str">
            <v>筐子销售</v>
          </cell>
          <cell r="D10" t="str">
            <v/>
          </cell>
          <cell r="E10" t="str">
            <v>个</v>
          </cell>
        </row>
        <row r="10">
          <cell r="G10" t="str">
            <v/>
          </cell>
          <cell r="H10" t="str">
            <v/>
          </cell>
        </row>
        <row r="11">
          <cell r="B11" t="str">
            <v/>
          </cell>
          <cell r="C11" t="str">
            <v>筐子销售</v>
          </cell>
          <cell r="D11" t="str">
            <v/>
          </cell>
          <cell r="E11" t="str">
            <v>个</v>
          </cell>
        </row>
        <row r="11">
          <cell r="G11" t="str">
            <v/>
          </cell>
          <cell r="H11" t="str">
            <v/>
          </cell>
        </row>
        <row r="12">
          <cell r="B12" t="str">
            <v/>
          </cell>
          <cell r="C12" t="str">
            <v>筐子销售</v>
          </cell>
          <cell r="D12" t="str">
            <v/>
          </cell>
          <cell r="E12" t="str">
            <v>个</v>
          </cell>
        </row>
        <row r="12">
          <cell r="G12" t="str">
            <v/>
          </cell>
          <cell r="H12" t="str">
            <v/>
          </cell>
        </row>
        <row r="13">
          <cell r="B13" t="str">
            <v/>
          </cell>
          <cell r="C13" t="str">
            <v>筐子销售</v>
          </cell>
          <cell r="D13" t="str">
            <v/>
          </cell>
          <cell r="E13" t="str">
            <v>个</v>
          </cell>
        </row>
        <row r="13">
          <cell r="G13" t="str">
            <v/>
          </cell>
          <cell r="H13" t="str">
            <v/>
          </cell>
        </row>
        <row r="14">
          <cell r="B14" t="str">
            <v/>
          </cell>
          <cell r="C14" t="str">
            <v>筐子销售</v>
          </cell>
          <cell r="D14" t="str">
            <v/>
          </cell>
          <cell r="E14" t="str">
            <v>个</v>
          </cell>
        </row>
        <row r="14">
          <cell r="G14" t="str">
            <v/>
          </cell>
          <cell r="H14" t="str">
            <v/>
          </cell>
        </row>
        <row r="15">
          <cell r="B15" t="str">
            <v/>
          </cell>
          <cell r="C15" t="str">
            <v>筐子销售</v>
          </cell>
          <cell r="D15" t="str">
            <v/>
          </cell>
          <cell r="E15" t="str">
            <v>个</v>
          </cell>
        </row>
        <row r="15">
          <cell r="G15" t="str">
            <v/>
          </cell>
          <cell r="H15" t="str">
            <v/>
          </cell>
        </row>
        <row r="16">
          <cell r="B16" t="str">
            <v/>
          </cell>
          <cell r="C16" t="str">
            <v>筐子销售</v>
          </cell>
          <cell r="D16" t="str">
            <v/>
          </cell>
          <cell r="E16" t="str">
            <v>个</v>
          </cell>
        </row>
        <row r="16">
          <cell r="G16" t="str">
            <v/>
          </cell>
          <cell r="H16" t="str">
            <v/>
          </cell>
        </row>
        <row r="17">
          <cell r="B17" t="str">
            <v/>
          </cell>
          <cell r="C17" t="str">
            <v>筐子销售</v>
          </cell>
          <cell r="D17" t="str">
            <v/>
          </cell>
          <cell r="E17" t="str">
            <v>个</v>
          </cell>
        </row>
        <row r="17">
          <cell r="G17" t="str">
            <v/>
          </cell>
          <cell r="H17" t="str">
            <v/>
          </cell>
        </row>
        <row r="18">
          <cell r="B18" t="str">
            <v/>
          </cell>
          <cell r="C18" t="str">
            <v>筐子销售</v>
          </cell>
          <cell r="D18" t="str">
            <v/>
          </cell>
          <cell r="E18" t="str">
            <v>个</v>
          </cell>
        </row>
        <row r="18">
          <cell r="G18" t="str">
            <v/>
          </cell>
          <cell r="H18" t="str">
            <v/>
          </cell>
        </row>
        <row r="19">
          <cell r="B19" t="str">
            <v/>
          </cell>
          <cell r="C19" t="str">
            <v>筐子销售</v>
          </cell>
          <cell r="D19" t="str">
            <v/>
          </cell>
          <cell r="E19" t="str">
            <v>个</v>
          </cell>
        </row>
        <row r="19">
          <cell r="G19" t="str">
            <v/>
          </cell>
          <cell r="H19" t="str">
            <v/>
          </cell>
        </row>
        <row r="20">
          <cell r="B20" t="str">
            <v/>
          </cell>
          <cell r="C20" t="str">
            <v>筐子销售</v>
          </cell>
          <cell r="D20" t="str">
            <v/>
          </cell>
          <cell r="E20" t="str">
            <v>个</v>
          </cell>
        </row>
        <row r="20">
          <cell r="G20" t="str">
            <v/>
          </cell>
          <cell r="H20" t="str">
            <v/>
          </cell>
        </row>
        <row r="21">
          <cell r="B21" t="str">
            <v/>
          </cell>
          <cell r="C21" t="str">
            <v>筐子销售</v>
          </cell>
          <cell r="D21" t="str">
            <v/>
          </cell>
          <cell r="E21" t="str">
            <v>个</v>
          </cell>
        </row>
        <row r="21">
          <cell r="G21" t="str">
            <v/>
          </cell>
          <cell r="H21" t="str">
            <v/>
          </cell>
        </row>
        <row r="22">
          <cell r="B22" t="str">
            <v/>
          </cell>
          <cell r="C22" t="str">
            <v>筐子销售</v>
          </cell>
          <cell r="D22" t="str">
            <v/>
          </cell>
          <cell r="E22" t="str">
            <v>个</v>
          </cell>
        </row>
        <row r="22">
          <cell r="G22" t="str">
            <v/>
          </cell>
          <cell r="H22" t="str">
            <v/>
          </cell>
        </row>
        <row r="23">
          <cell r="B23" t="str">
            <v/>
          </cell>
          <cell r="C23" t="str">
            <v>筐子销售</v>
          </cell>
          <cell r="D23" t="str">
            <v/>
          </cell>
          <cell r="E23" t="str">
            <v>个</v>
          </cell>
        </row>
        <row r="23">
          <cell r="G23" t="str">
            <v/>
          </cell>
          <cell r="H23" t="str">
            <v/>
          </cell>
        </row>
        <row r="24">
          <cell r="B24" t="str">
            <v/>
          </cell>
          <cell r="C24" t="str">
            <v>筐子销售</v>
          </cell>
          <cell r="D24" t="str">
            <v/>
          </cell>
          <cell r="E24" t="str">
            <v>个</v>
          </cell>
        </row>
        <row r="24">
          <cell r="G24" t="str">
            <v/>
          </cell>
          <cell r="H24" t="str">
            <v/>
          </cell>
        </row>
        <row r="25">
          <cell r="B25" t="str">
            <v/>
          </cell>
          <cell r="C25" t="str">
            <v>筐子销售</v>
          </cell>
          <cell r="D25" t="str">
            <v/>
          </cell>
          <cell r="E25" t="str">
            <v>个</v>
          </cell>
        </row>
        <row r="25">
          <cell r="G25" t="str">
            <v/>
          </cell>
          <cell r="H25" t="str">
            <v/>
          </cell>
        </row>
        <row r="26">
          <cell r="B26" t="str">
            <v/>
          </cell>
          <cell r="C26" t="str">
            <v>筐子销售</v>
          </cell>
          <cell r="D26" t="str">
            <v/>
          </cell>
          <cell r="E26" t="str">
            <v>个</v>
          </cell>
        </row>
        <row r="26">
          <cell r="G26" t="str">
            <v/>
          </cell>
          <cell r="H26" t="str">
            <v/>
          </cell>
        </row>
        <row r="27">
          <cell r="B27" t="str">
            <v/>
          </cell>
          <cell r="C27" t="str">
            <v>筐子销售</v>
          </cell>
          <cell r="D27" t="str">
            <v/>
          </cell>
          <cell r="E27" t="str">
            <v>个</v>
          </cell>
        </row>
        <row r="27">
          <cell r="G27" t="str">
            <v/>
          </cell>
          <cell r="H27" t="str">
            <v/>
          </cell>
        </row>
        <row r="28">
          <cell r="B28" t="str">
            <v/>
          </cell>
          <cell r="C28" t="str">
            <v>物料销售</v>
          </cell>
          <cell r="D28" t="str">
            <v/>
          </cell>
          <cell r="E28" t="str">
            <v>包</v>
          </cell>
        </row>
        <row r="28">
          <cell r="G28" t="str">
            <v/>
          </cell>
          <cell r="H28" t="str">
            <v/>
          </cell>
        </row>
        <row r="29">
          <cell r="B29" t="str">
            <v/>
          </cell>
          <cell r="C29" t="str">
            <v>物料销售</v>
          </cell>
          <cell r="D29" t="str">
            <v/>
          </cell>
          <cell r="E29" t="str">
            <v>包</v>
          </cell>
        </row>
        <row r="29">
          <cell r="G29" t="str">
            <v/>
          </cell>
          <cell r="H29" t="str">
            <v/>
          </cell>
        </row>
        <row r="30">
          <cell r="B30" t="str">
            <v/>
          </cell>
          <cell r="C30" t="str">
            <v>物料销售</v>
          </cell>
          <cell r="D30" t="str">
            <v/>
          </cell>
          <cell r="E30" t="str">
            <v>包</v>
          </cell>
        </row>
        <row r="30">
          <cell r="G30" t="str">
            <v/>
          </cell>
          <cell r="H30" t="str">
            <v/>
          </cell>
        </row>
        <row r="31">
          <cell r="B31" t="str">
            <v/>
          </cell>
          <cell r="C31" t="str">
            <v>物料销售</v>
          </cell>
          <cell r="D31" t="str">
            <v/>
          </cell>
          <cell r="E31" t="str">
            <v>包</v>
          </cell>
        </row>
        <row r="31">
          <cell r="G31" t="str">
            <v/>
          </cell>
          <cell r="H31" t="str">
            <v/>
          </cell>
        </row>
        <row r="32">
          <cell r="B32" t="str">
            <v/>
          </cell>
          <cell r="C32" t="str">
            <v>物料销售</v>
          </cell>
          <cell r="D32" t="str">
            <v/>
          </cell>
          <cell r="E32" t="str">
            <v>包</v>
          </cell>
        </row>
        <row r="32">
          <cell r="G32" t="str">
            <v/>
          </cell>
          <cell r="H32" t="str">
            <v/>
          </cell>
        </row>
        <row r="33">
          <cell r="B33" t="str">
            <v/>
          </cell>
          <cell r="C33" t="str">
            <v>物料销售</v>
          </cell>
          <cell r="D33" t="str">
            <v/>
          </cell>
          <cell r="E33" t="str">
            <v>包</v>
          </cell>
        </row>
        <row r="33">
          <cell r="G33" t="str">
            <v/>
          </cell>
          <cell r="H33" t="str">
            <v/>
          </cell>
        </row>
        <row r="34">
          <cell r="B34" t="str">
            <v/>
          </cell>
          <cell r="C34" t="str">
            <v>物料销售</v>
          </cell>
          <cell r="D34" t="str">
            <v/>
          </cell>
          <cell r="E34" t="str">
            <v>包</v>
          </cell>
        </row>
        <row r="34">
          <cell r="G34" t="str">
            <v/>
          </cell>
          <cell r="H34" t="str">
            <v/>
          </cell>
        </row>
        <row r="35">
          <cell r="B35" t="str">
            <v/>
          </cell>
          <cell r="C35" t="str">
            <v>物料销售</v>
          </cell>
          <cell r="D35" t="str">
            <v/>
          </cell>
          <cell r="E35" t="str">
            <v>包</v>
          </cell>
        </row>
        <row r="35">
          <cell r="G35" t="str">
            <v/>
          </cell>
          <cell r="H35" t="str">
            <v/>
          </cell>
        </row>
        <row r="36">
          <cell r="B36" t="str">
            <v/>
          </cell>
          <cell r="C36" t="str">
            <v>物料销售</v>
          </cell>
          <cell r="D36" t="str">
            <v/>
          </cell>
          <cell r="E36" t="str">
            <v>包</v>
          </cell>
        </row>
        <row r="36">
          <cell r="G36" t="str">
            <v/>
          </cell>
          <cell r="H36" t="str">
            <v/>
          </cell>
        </row>
        <row r="37">
          <cell r="B37" t="str">
            <v/>
          </cell>
          <cell r="C37" t="str">
            <v>物料销售</v>
          </cell>
          <cell r="D37" t="str">
            <v/>
          </cell>
          <cell r="E37" t="str">
            <v>包</v>
          </cell>
        </row>
        <row r="37">
          <cell r="G37" t="str">
            <v/>
          </cell>
          <cell r="H37" t="str">
            <v/>
          </cell>
        </row>
        <row r="38">
          <cell r="B38" t="str">
            <v/>
          </cell>
          <cell r="C38" t="str">
            <v>物料销售</v>
          </cell>
          <cell r="D38" t="str">
            <v/>
          </cell>
          <cell r="E38" t="str">
            <v>包</v>
          </cell>
        </row>
        <row r="38">
          <cell r="G38" t="str">
            <v/>
          </cell>
          <cell r="H38" t="str">
            <v/>
          </cell>
        </row>
        <row r="39">
          <cell r="B39" t="str">
            <v/>
          </cell>
          <cell r="C39" t="str">
            <v>物料销售</v>
          </cell>
          <cell r="D39" t="str">
            <v/>
          </cell>
          <cell r="E39" t="str">
            <v>包</v>
          </cell>
        </row>
        <row r="39">
          <cell r="G39" t="str">
            <v/>
          </cell>
          <cell r="H39" t="str">
            <v/>
          </cell>
        </row>
        <row r="40">
          <cell r="B40" t="str">
            <v/>
          </cell>
          <cell r="C40" t="str">
            <v>物料销售</v>
          </cell>
          <cell r="D40" t="str">
            <v/>
          </cell>
          <cell r="E40" t="str">
            <v>包</v>
          </cell>
        </row>
        <row r="40">
          <cell r="G40" t="str">
            <v/>
          </cell>
          <cell r="H40" t="str">
            <v/>
          </cell>
        </row>
        <row r="41">
          <cell r="B41" t="str">
            <v/>
          </cell>
          <cell r="C41" t="str">
            <v>物料销售</v>
          </cell>
          <cell r="D41" t="str">
            <v/>
          </cell>
          <cell r="E41" t="str">
            <v>包</v>
          </cell>
        </row>
        <row r="41">
          <cell r="G41" t="str">
            <v/>
          </cell>
          <cell r="H41" t="str">
            <v/>
          </cell>
        </row>
        <row r="42">
          <cell r="B42" t="str">
            <v/>
          </cell>
          <cell r="C42" t="str">
            <v>物料销售</v>
          </cell>
          <cell r="D42" t="str">
            <v/>
          </cell>
          <cell r="E42" t="str">
            <v>包</v>
          </cell>
        </row>
        <row r="42">
          <cell r="G42" t="str">
            <v/>
          </cell>
          <cell r="H42" t="str">
            <v/>
          </cell>
        </row>
        <row r="43">
          <cell r="B43" t="str">
            <v/>
          </cell>
          <cell r="C43" t="str">
            <v>物料销售</v>
          </cell>
          <cell r="D43" t="str">
            <v/>
          </cell>
          <cell r="E43" t="str">
            <v>包</v>
          </cell>
        </row>
        <row r="43">
          <cell r="G43" t="str">
            <v/>
          </cell>
          <cell r="H43" t="str">
            <v/>
          </cell>
        </row>
        <row r="44">
          <cell r="B44" t="str">
            <v/>
          </cell>
          <cell r="C44" t="str">
            <v>物料销售</v>
          </cell>
          <cell r="D44" t="str">
            <v/>
          </cell>
          <cell r="E44" t="str">
            <v>包</v>
          </cell>
        </row>
        <row r="44">
          <cell r="G44" t="str">
            <v/>
          </cell>
          <cell r="H44" t="str">
            <v/>
          </cell>
        </row>
        <row r="45">
          <cell r="B45" t="str">
            <v/>
          </cell>
          <cell r="C45" t="str">
            <v>物料销售</v>
          </cell>
          <cell r="D45" t="str">
            <v/>
          </cell>
          <cell r="E45" t="str">
            <v>包</v>
          </cell>
        </row>
        <row r="45">
          <cell r="G45" t="str">
            <v/>
          </cell>
          <cell r="H45" t="str">
            <v/>
          </cell>
        </row>
        <row r="46">
          <cell r="B46" t="str">
            <v/>
          </cell>
          <cell r="C46" t="str">
            <v>物料销售</v>
          </cell>
          <cell r="D46" t="str">
            <v/>
          </cell>
          <cell r="E46" t="str">
            <v>包</v>
          </cell>
        </row>
        <row r="46">
          <cell r="G46" t="str">
            <v/>
          </cell>
          <cell r="H46" t="str">
            <v/>
          </cell>
        </row>
        <row r="47">
          <cell r="B47" t="str">
            <v/>
          </cell>
          <cell r="C47" t="str">
            <v>物料销售</v>
          </cell>
          <cell r="D47" t="str">
            <v/>
          </cell>
          <cell r="E47" t="str">
            <v>包</v>
          </cell>
        </row>
        <row r="47">
          <cell r="G47" t="str">
            <v/>
          </cell>
          <cell r="H47" t="str">
            <v/>
          </cell>
        </row>
        <row r="48">
          <cell r="B48" t="str">
            <v/>
          </cell>
          <cell r="C48" t="str">
            <v>物料销售</v>
          </cell>
          <cell r="D48" t="str">
            <v/>
          </cell>
          <cell r="E48" t="str">
            <v>包</v>
          </cell>
        </row>
        <row r="48">
          <cell r="G48" t="str">
            <v/>
          </cell>
          <cell r="H48" t="str">
            <v/>
          </cell>
        </row>
        <row r="49">
          <cell r="B49" t="str">
            <v/>
          </cell>
          <cell r="C49" t="str">
            <v>物料销售</v>
          </cell>
          <cell r="D49" t="str">
            <v/>
          </cell>
          <cell r="E49" t="str">
            <v>包</v>
          </cell>
        </row>
        <row r="49">
          <cell r="G49" t="str">
            <v/>
          </cell>
          <cell r="H49" t="str">
            <v/>
          </cell>
        </row>
        <row r="50">
          <cell r="B50" t="str">
            <v/>
          </cell>
          <cell r="C50" t="str">
            <v>物料销售</v>
          </cell>
          <cell r="D50" t="str">
            <v/>
          </cell>
          <cell r="E50" t="str">
            <v>包</v>
          </cell>
        </row>
        <row r="50">
          <cell r="G50" t="str">
            <v/>
          </cell>
          <cell r="H50" t="str">
            <v/>
          </cell>
        </row>
        <row r="51">
          <cell r="B51" t="str">
            <v/>
          </cell>
          <cell r="C51" t="str">
            <v>物料销售</v>
          </cell>
          <cell r="D51" t="str">
            <v/>
          </cell>
          <cell r="E51" t="str">
            <v>包</v>
          </cell>
        </row>
        <row r="51">
          <cell r="G51" t="str">
            <v/>
          </cell>
          <cell r="H51" t="str">
            <v/>
          </cell>
        </row>
        <row r="52">
          <cell r="B52" t="str">
            <v/>
          </cell>
          <cell r="C52" t="str">
            <v>押金收取</v>
          </cell>
          <cell r="D52">
            <v>0</v>
          </cell>
          <cell r="E52" t="str">
            <v>元</v>
          </cell>
        </row>
        <row r="52">
          <cell r="G52" t="str">
            <v/>
          </cell>
          <cell r="H52">
            <v>0</v>
          </cell>
        </row>
        <row r="53">
          <cell r="B53" t="str">
            <v/>
          </cell>
          <cell r="C53" t="str">
            <v>押金收取</v>
          </cell>
          <cell r="D53">
            <v>0</v>
          </cell>
          <cell r="E53" t="str">
            <v>元</v>
          </cell>
        </row>
        <row r="53">
          <cell r="G53" t="str">
            <v/>
          </cell>
          <cell r="H53">
            <v>0</v>
          </cell>
        </row>
        <row r="54">
          <cell r="B54" t="str">
            <v/>
          </cell>
          <cell r="C54" t="str">
            <v>押金收取</v>
          </cell>
          <cell r="D54">
            <v>0</v>
          </cell>
          <cell r="E54" t="str">
            <v>元</v>
          </cell>
        </row>
        <row r="54">
          <cell r="G54" t="str">
            <v/>
          </cell>
          <cell r="H54">
            <v>0</v>
          </cell>
        </row>
        <row r="55">
          <cell r="B55" t="str">
            <v/>
          </cell>
          <cell r="C55" t="str">
            <v>押金收取</v>
          </cell>
          <cell r="D55">
            <v>0</v>
          </cell>
          <cell r="E55" t="str">
            <v>元</v>
          </cell>
        </row>
        <row r="55">
          <cell r="G55" t="str">
            <v/>
          </cell>
          <cell r="H55">
            <v>0</v>
          </cell>
        </row>
        <row r="56">
          <cell r="B56" t="str">
            <v/>
          </cell>
          <cell r="C56" t="str">
            <v>押金收取</v>
          </cell>
          <cell r="D56">
            <v>0</v>
          </cell>
          <cell r="E56" t="str">
            <v>元</v>
          </cell>
        </row>
        <row r="56">
          <cell r="G56" t="str">
            <v/>
          </cell>
          <cell r="H56">
            <v>0</v>
          </cell>
        </row>
        <row r="57">
          <cell r="B57" t="str">
            <v/>
          </cell>
          <cell r="C57" t="str">
            <v>押金收取</v>
          </cell>
          <cell r="D57">
            <v>0</v>
          </cell>
          <cell r="E57" t="str">
            <v>元</v>
          </cell>
        </row>
        <row r="57">
          <cell r="G57" t="str">
            <v/>
          </cell>
          <cell r="H57">
            <v>0</v>
          </cell>
        </row>
        <row r="58">
          <cell r="B58" t="str">
            <v/>
          </cell>
          <cell r="C58" t="str">
            <v>押金收取</v>
          </cell>
          <cell r="D58">
            <v>0</v>
          </cell>
          <cell r="E58" t="str">
            <v>元</v>
          </cell>
        </row>
        <row r="58">
          <cell r="G58" t="str">
            <v/>
          </cell>
          <cell r="H58">
            <v>0</v>
          </cell>
        </row>
        <row r="59">
          <cell r="B59" t="str">
            <v/>
          </cell>
          <cell r="C59" t="str">
            <v>押金收取</v>
          </cell>
          <cell r="D59">
            <v>0</v>
          </cell>
          <cell r="E59" t="str">
            <v>元</v>
          </cell>
        </row>
        <row r="59">
          <cell r="G59" t="str">
            <v/>
          </cell>
          <cell r="H59">
            <v>0</v>
          </cell>
        </row>
        <row r="60">
          <cell r="B60" t="str">
            <v/>
          </cell>
          <cell r="C60" t="str">
            <v>押金收取</v>
          </cell>
          <cell r="D60">
            <v>0</v>
          </cell>
          <cell r="E60" t="str">
            <v>元</v>
          </cell>
        </row>
        <row r="60">
          <cell r="G60" t="str">
            <v/>
          </cell>
          <cell r="H60">
            <v>0</v>
          </cell>
        </row>
        <row r="61">
          <cell r="B61" t="str">
            <v/>
          </cell>
          <cell r="C61" t="str">
            <v>押金收取</v>
          </cell>
          <cell r="D61">
            <v>0</v>
          </cell>
          <cell r="E61" t="str">
            <v>元</v>
          </cell>
        </row>
        <row r="61">
          <cell r="G61" t="str">
            <v/>
          </cell>
          <cell r="H61">
            <v>0</v>
          </cell>
        </row>
        <row r="62">
          <cell r="B62" t="str">
            <v/>
          </cell>
          <cell r="C62" t="str">
            <v>押金收取</v>
          </cell>
          <cell r="D62">
            <v>0</v>
          </cell>
          <cell r="E62" t="str">
            <v>元</v>
          </cell>
        </row>
        <row r="62">
          <cell r="G62" t="str">
            <v/>
          </cell>
          <cell r="H62">
            <v>0</v>
          </cell>
        </row>
        <row r="63">
          <cell r="B63" t="str">
            <v/>
          </cell>
          <cell r="C63" t="str">
            <v>押金收取</v>
          </cell>
          <cell r="D63">
            <v>0</v>
          </cell>
          <cell r="E63" t="str">
            <v>元</v>
          </cell>
        </row>
        <row r="63">
          <cell r="G63" t="str">
            <v/>
          </cell>
          <cell r="H63">
            <v>0</v>
          </cell>
        </row>
        <row r="64">
          <cell r="B64" t="str">
            <v/>
          </cell>
          <cell r="C64" t="str">
            <v>押金收取</v>
          </cell>
          <cell r="D64">
            <v>0</v>
          </cell>
          <cell r="E64" t="str">
            <v>元</v>
          </cell>
        </row>
        <row r="64">
          <cell r="G64" t="str">
            <v/>
          </cell>
          <cell r="H64">
            <v>0</v>
          </cell>
        </row>
        <row r="65">
          <cell r="B65" t="str">
            <v/>
          </cell>
          <cell r="C65" t="str">
            <v>押金收取</v>
          </cell>
          <cell r="D65">
            <v>0</v>
          </cell>
          <cell r="E65" t="str">
            <v>元</v>
          </cell>
        </row>
        <row r="65">
          <cell r="G65" t="str">
            <v/>
          </cell>
          <cell r="H65">
            <v>0</v>
          </cell>
        </row>
        <row r="66">
          <cell r="B66" t="str">
            <v/>
          </cell>
          <cell r="C66" t="str">
            <v>押金收取</v>
          </cell>
          <cell r="D66">
            <v>0</v>
          </cell>
          <cell r="E66" t="str">
            <v>元</v>
          </cell>
        </row>
        <row r="66">
          <cell r="G66" t="str">
            <v/>
          </cell>
          <cell r="H66">
            <v>0</v>
          </cell>
        </row>
        <row r="67">
          <cell r="B67" t="str">
            <v/>
          </cell>
          <cell r="C67" t="str">
            <v>押金收取</v>
          </cell>
          <cell r="D67">
            <v>0</v>
          </cell>
          <cell r="E67" t="str">
            <v>元</v>
          </cell>
        </row>
        <row r="67">
          <cell r="G67" t="str">
            <v/>
          </cell>
          <cell r="H67">
            <v>0</v>
          </cell>
        </row>
        <row r="68">
          <cell r="B68" t="str">
            <v/>
          </cell>
          <cell r="C68" t="str">
            <v>押金收取</v>
          </cell>
          <cell r="D68">
            <v>0</v>
          </cell>
          <cell r="E68" t="str">
            <v>元</v>
          </cell>
        </row>
        <row r="68">
          <cell r="G68" t="str">
            <v/>
          </cell>
          <cell r="H68">
            <v>0</v>
          </cell>
        </row>
        <row r="69">
          <cell r="B69" t="str">
            <v/>
          </cell>
          <cell r="C69" t="str">
            <v>押金收取</v>
          </cell>
          <cell r="D69">
            <v>0</v>
          </cell>
          <cell r="E69" t="str">
            <v>元</v>
          </cell>
        </row>
        <row r="69">
          <cell r="G69" t="str">
            <v/>
          </cell>
          <cell r="H69">
            <v>0</v>
          </cell>
        </row>
        <row r="70">
          <cell r="B70" t="str">
            <v/>
          </cell>
          <cell r="C70" t="str">
            <v>押金收取</v>
          </cell>
          <cell r="D70">
            <v>0</v>
          </cell>
          <cell r="E70" t="str">
            <v>元</v>
          </cell>
        </row>
        <row r="70">
          <cell r="G70" t="str">
            <v/>
          </cell>
          <cell r="H70">
            <v>0</v>
          </cell>
        </row>
        <row r="71">
          <cell r="B71" t="str">
            <v/>
          </cell>
          <cell r="C71" t="str">
            <v>押金收取</v>
          </cell>
          <cell r="D71">
            <v>0</v>
          </cell>
          <cell r="E71" t="str">
            <v>元</v>
          </cell>
        </row>
        <row r="71">
          <cell r="G71" t="str">
            <v/>
          </cell>
          <cell r="H71">
            <v>0</v>
          </cell>
        </row>
        <row r="72">
          <cell r="B72" t="str">
            <v/>
          </cell>
          <cell r="C72" t="str">
            <v>押金收取</v>
          </cell>
          <cell r="D72">
            <v>0</v>
          </cell>
          <cell r="E72" t="str">
            <v>元</v>
          </cell>
        </row>
        <row r="72">
          <cell r="G72" t="str">
            <v/>
          </cell>
          <cell r="H72">
            <v>0</v>
          </cell>
        </row>
        <row r="73">
          <cell r="B73" t="str">
            <v/>
          </cell>
          <cell r="C73" t="str">
            <v>押金收取</v>
          </cell>
          <cell r="D73">
            <v>0</v>
          </cell>
          <cell r="E73" t="str">
            <v>元</v>
          </cell>
        </row>
        <row r="73">
          <cell r="G73" t="str">
            <v/>
          </cell>
          <cell r="H73">
            <v>0</v>
          </cell>
        </row>
        <row r="74">
          <cell r="B74" t="str">
            <v/>
          </cell>
          <cell r="C74" t="str">
            <v>押金收取</v>
          </cell>
          <cell r="D74">
            <v>0</v>
          </cell>
          <cell r="E74" t="str">
            <v>元</v>
          </cell>
        </row>
        <row r="74">
          <cell r="G74" t="str">
            <v/>
          </cell>
          <cell r="H74">
            <v>0</v>
          </cell>
        </row>
        <row r="75">
          <cell r="B75" t="str">
            <v/>
          </cell>
          <cell r="C75" t="str">
            <v>押金收取</v>
          </cell>
          <cell r="D75">
            <v>0</v>
          </cell>
          <cell r="E75" t="str">
            <v>元</v>
          </cell>
        </row>
        <row r="75">
          <cell r="G75" t="str">
            <v/>
          </cell>
          <cell r="H75">
            <v>0</v>
          </cell>
        </row>
        <row r="76">
          <cell r="B76" t="str">
            <v/>
          </cell>
          <cell r="C76" t="str">
            <v>押金退还</v>
          </cell>
          <cell r="D76">
            <v>0</v>
          </cell>
          <cell r="E76" t="str">
            <v>元</v>
          </cell>
        </row>
        <row r="76">
          <cell r="G76" t="str">
            <v/>
          </cell>
          <cell r="H76">
            <v>0</v>
          </cell>
        </row>
        <row r="77">
          <cell r="B77" t="str">
            <v/>
          </cell>
          <cell r="C77" t="str">
            <v>押金退还</v>
          </cell>
          <cell r="D77">
            <v>0</v>
          </cell>
          <cell r="E77" t="str">
            <v>元</v>
          </cell>
        </row>
        <row r="77">
          <cell r="G77" t="str">
            <v/>
          </cell>
          <cell r="H77">
            <v>0</v>
          </cell>
        </row>
        <row r="78">
          <cell r="B78" t="str">
            <v/>
          </cell>
          <cell r="C78" t="str">
            <v>押金退还</v>
          </cell>
          <cell r="D78">
            <v>0</v>
          </cell>
          <cell r="E78" t="str">
            <v>元</v>
          </cell>
        </row>
        <row r="78">
          <cell r="G78" t="str">
            <v/>
          </cell>
          <cell r="H78">
            <v>0</v>
          </cell>
        </row>
        <row r="79">
          <cell r="B79" t="str">
            <v/>
          </cell>
          <cell r="C79" t="str">
            <v>押金退还</v>
          </cell>
          <cell r="D79">
            <v>0</v>
          </cell>
          <cell r="E79" t="str">
            <v>元</v>
          </cell>
        </row>
        <row r="79">
          <cell r="G79" t="str">
            <v/>
          </cell>
          <cell r="H79">
            <v>0</v>
          </cell>
        </row>
        <row r="80">
          <cell r="B80" t="str">
            <v/>
          </cell>
          <cell r="C80" t="str">
            <v>押金退还</v>
          </cell>
          <cell r="D80">
            <v>0</v>
          </cell>
          <cell r="E80" t="str">
            <v>元</v>
          </cell>
        </row>
        <row r="80">
          <cell r="G80" t="str">
            <v/>
          </cell>
          <cell r="H80">
            <v>0</v>
          </cell>
        </row>
        <row r="81">
          <cell r="B81" t="str">
            <v/>
          </cell>
          <cell r="C81" t="str">
            <v>押金退还</v>
          </cell>
          <cell r="D81">
            <v>0</v>
          </cell>
          <cell r="E81" t="str">
            <v>元</v>
          </cell>
        </row>
        <row r="81">
          <cell r="G81" t="str">
            <v/>
          </cell>
          <cell r="H81">
            <v>0</v>
          </cell>
        </row>
        <row r="82">
          <cell r="B82" t="str">
            <v/>
          </cell>
          <cell r="C82" t="str">
            <v>押金退还</v>
          </cell>
          <cell r="D82">
            <v>0</v>
          </cell>
          <cell r="E82" t="str">
            <v>元</v>
          </cell>
        </row>
        <row r="82">
          <cell r="G82" t="str">
            <v/>
          </cell>
          <cell r="H82">
            <v>0</v>
          </cell>
        </row>
        <row r="83">
          <cell r="B83" t="str">
            <v/>
          </cell>
          <cell r="C83" t="str">
            <v>押金退还</v>
          </cell>
          <cell r="D83">
            <v>0</v>
          </cell>
          <cell r="E83" t="str">
            <v>元</v>
          </cell>
        </row>
        <row r="83">
          <cell r="G83" t="str">
            <v/>
          </cell>
          <cell r="H83">
            <v>0</v>
          </cell>
        </row>
        <row r="84">
          <cell r="B84" t="str">
            <v/>
          </cell>
          <cell r="C84" t="str">
            <v>押金退还</v>
          </cell>
          <cell r="D84">
            <v>0</v>
          </cell>
          <cell r="E84" t="str">
            <v>元</v>
          </cell>
        </row>
        <row r="84">
          <cell r="G84" t="str">
            <v/>
          </cell>
          <cell r="H84">
            <v>0</v>
          </cell>
        </row>
        <row r="85">
          <cell r="B85" t="str">
            <v/>
          </cell>
          <cell r="C85" t="str">
            <v>押金退还</v>
          </cell>
          <cell r="D85">
            <v>0</v>
          </cell>
          <cell r="E85" t="str">
            <v>元</v>
          </cell>
        </row>
        <row r="85">
          <cell r="G85" t="str">
            <v/>
          </cell>
          <cell r="H85">
            <v>0</v>
          </cell>
        </row>
        <row r="86">
          <cell r="B86" t="str">
            <v/>
          </cell>
          <cell r="C86" t="str">
            <v>押金退还</v>
          </cell>
          <cell r="D86">
            <v>0</v>
          </cell>
          <cell r="E86" t="str">
            <v>元</v>
          </cell>
        </row>
        <row r="86">
          <cell r="G86" t="str">
            <v/>
          </cell>
          <cell r="H86">
            <v>0</v>
          </cell>
        </row>
        <row r="87">
          <cell r="B87" t="str">
            <v/>
          </cell>
          <cell r="C87" t="str">
            <v>押金退还</v>
          </cell>
          <cell r="D87">
            <v>0</v>
          </cell>
          <cell r="E87" t="str">
            <v>元</v>
          </cell>
        </row>
        <row r="87">
          <cell r="G87" t="str">
            <v/>
          </cell>
          <cell r="H87">
            <v>0</v>
          </cell>
        </row>
        <row r="88">
          <cell r="B88" t="str">
            <v/>
          </cell>
          <cell r="C88" t="str">
            <v>押金退还</v>
          </cell>
          <cell r="D88">
            <v>0</v>
          </cell>
          <cell r="E88" t="str">
            <v>元</v>
          </cell>
        </row>
        <row r="88">
          <cell r="G88" t="str">
            <v/>
          </cell>
          <cell r="H88">
            <v>0</v>
          </cell>
        </row>
        <row r="89">
          <cell r="B89" t="str">
            <v/>
          </cell>
          <cell r="C89" t="str">
            <v>押金退还</v>
          </cell>
          <cell r="D89">
            <v>0</v>
          </cell>
          <cell r="E89" t="str">
            <v>元</v>
          </cell>
        </row>
        <row r="89">
          <cell r="G89" t="str">
            <v/>
          </cell>
          <cell r="H89">
            <v>0</v>
          </cell>
        </row>
        <row r="90">
          <cell r="B90" t="str">
            <v/>
          </cell>
          <cell r="C90" t="str">
            <v>押金退还</v>
          </cell>
          <cell r="D90">
            <v>0</v>
          </cell>
          <cell r="E90" t="str">
            <v>元</v>
          </cell>
        </row>
        <row r="90">
          <cell r="G90" t="str">
            <v/>
          </cell>
          <cell r="H90">
            <v>0</v>
          </cell>
        </row>
        <row r="91">
          <cell r="B91" t="str">
            <v/>
          </cell>
          <cell r="C91" t="str">
            <v>押金退还</v>
          </cell>
          <cell r="D91">
            <v>0</v>
          </cell>
          <cell r="E91" t="str">
            <v>元</v>
          </cell>
        </row>
        <row r="91">
          <cell r="G91" t="str">
            <v/>
          </cell>
          <cell r="H91">
            <v>0</v>
          </cell>
        </row>
        <row r="92">
          <cell r="B92" t="str">
            <v/>
          </cell>
          <cell r="C92" t="str">
            <v>押金退还</v>
          </cell>
          <cell r="D92">
            <v>0</v>
          </cell>
          <cell r="E92" t="str">
            <v>元</v>
          </cell>
        </row>
        <row r="92">
          <cell r="G92" t="str">
            <v/>
          </cell>
          <cell r="H92">
            <v>0</v>
          </cell>
        </row>
        <row r="93">
          <cell r="B93" t="str">
            <v/>
          </cell>
          <cell r="C93" t="str">
            <v>押金退还</v>
          </cell>
          <cell r="D93">
            <v>0</v>
          </cell>
          <cell r="E93" t="str">
            <v>元</v>
          </cell>
        </row>
        <row r="93">
          <cell r="G93" t="str">
            <v/>
          </cell>
          <cell r="H93">
            <v>0</v>
          </cell>
        </row>
        <row r="94">
          <cell r="B94" t="str">
            <v/>
          </cell>
          <cell r="C94" t="str">
            <v>押金退还</v>
          </cell>
          <cell r="D94">
            <v>0</v>
          </cell>
          <cell r="E94" t="str">
            <v>元</v>
          </cell>
        </row>
        <row r="94">
          <cell r="G94" t="str">
            <v/>
          </cell>
          <cell r="H94">
            <v>0</v>
          </cell>
        </row>
        <row r="95">
          <cell r="B95" t="str">
            <v/>
          </cell>
          <cell r="C95" t="str">
            <v>押金退还</v>
          </cell>
          <cell r="D95">
            <v>0</v>
          </cell>
          <cell r="E95" t="str">
            <v>元</v>
          </cell>
        </row>
        <row r="95">
          <cell r="G95" t="str">
            <v/>
          </cell>
          <cell r="H95">
            <v>0</v>
          </cell>
        </row>
        <row r="96">
          <cell r="B96" t="str">
            <v/>
          </cell>
          <cell r="C96" t="str">
            <v>押金退还</v>
          </cell>
          <cell r="D96">
            <v>0</v>
          </cell>
          <cell r="E96" t="str">
            <v>元</v>
          </cell>
        </row>
        <row r="96">
          <cell r="G96" t="str">
            <v/>
          </cell>
          <cell r="H96">
            <v>0</v>
          </cell>
        </row>
        <row r="97">
          <cell r="B97" t="str">
            <v/>
          </cell>
          <cell r="C97" t="str">
            <v>押金退还</v>
          </cell>
          <cell r="D97">
            <v>0</v>
          </cell>
          <cell r="E97" t="str">
            <v>元</v>
          </cell>
        </row>
        <row r="97">
          <cell r="G97" t="str">
            <v/>
          </cell>
          <cell r="H97">
            <v>0</v>
          </cell>
        </row>
        <row r="98">
          <cell r="B98" t="str">
            <v/>
          </cell>
          <cell r="C98" t="str">
            <v>押金退还</v>
          </cell>
          <cell r="D98">
            <v>0</v>
          </cell>
          <cell r="E98" t="str">
            <v>元</v>
          </cell>
        </row>
        <row r="98">
          <cell r="G98" t="str">
            <v/>
          </cell>
          <cell r="H98">
            <v>0</v>
          </cell>
        </row>
        <row r="99">
          <cell r="B99" t="str">
            <v/>
          </cell>
          <cell r="C99" t="str">
            <v>押金退还</v>
          </cell>
          <cell r="D99">
            <v>0</v>
          </cell>
          <cell r="E99" t="str">
            <v>元</v>
          </cell>
        </row>
        <row r="99">
          <cell r="G99" t="str">
            <v/>
          </cell>
          <cell r="H99">
            <v>0</v>
          </cell>
        </row>
        <row r="102">
          <cell r="B102" t="str">
            <v>年月</v>
          </cell>
          <cell r="C102" t="str">
            <v>项目</v>
          </cell>
          <cell r="D102" t="str">
            <v>计费数量</v>
          </cell>
          <cell r="E102" t="str">
            <v>计量单位</v>
          </cell>
        </row>
        <row r="102">
          <cell r="G102" t="str">
            <v>价税合计金额</v>
          </cell>
          <cell r="H102" t="str">
            <v>已收金额</v>
          </cell>
          <cell r="I102" t="str">
            <v>备注</v>
          </cell>
        </row>
        <row r="103">
          <cell r="B103" t="str">
            <v/>
          </cell>
          <cell r="C103" t="str">
            <v>包装物料采购入库</v>
          </cell>
          <cell r="D103" t="str">
            <v/>
          </cell>
          <cell r="E103" t="str">
            <v>包</v>
          </cell>
        </row>
        <row r="103">
          <cell r="G103" t="str">
            <v/>
          </cell>
          <cell r="H103">
            <v>0</v>
          </cell>
        </row>
        <row r="104">
          <cell r="B104" t="str">
            <v/>
          </cell>
          <cell r="C104" t="str">
            <v>包装物料采购入库</v>
          </cell>
          <cell r="D104" t="str">
            <v/>
          </cell>
          <cell r="E104" t="str">
            <v>包</v>
          </cell>
        </row>
        <row r="104">
          <cell r="G104" t="str">
            <v/>
          </cell>
          <cell r="H104">
            <v>0</v>
          </cell>
        </row>
        <row r="105">
          <cell r="B105" t="str">
            <v/>
          </cell>
          <cell r="C105" t="str">
            <v>包装物料采购入库</v>
          </cell>
          <cell r="D105" t="str">
            <v/>
          </cell>
          <cell r="E105" t="str">
            <v>包</v>
          </cell>
        </row>
        <row r="105">
          <cell r="G105" t="str">
            <v/>
          </cell>
          <cell r="H105">
            <v>0</v>
          </cell>
        </row>
        <row r="106">
          <cell r="B106" t="str">
            <v/>
          </cell>
          <cell r="C106" t="str">
            <v>包装物料采购入库</v>
          </cell>
          <cell r="D106" t="str">
            <v/>
          </cell>
          <cell r="E106" t="str">
            <v>包</v>
          </cell>
        </row>
        <row r="106">
          <cell r="G106" t="str">
            <v/>
          </cell>
          <cell r="H106">
            <v>0</v>
          </cell>
        </row>
        <row r="107">
          <cell r="B107" t="str">
            <v/>
          </cell>
          <cell r="C107" t="str">
            <v>包装物料采购入库</v>
          </cell>
          <cell r="D107" t="str">
            <v/>
          </cell>
          <cell r="E107" t="str">
            <v>包</v>
          </cell>
        </row>
        <row r="107">
          <cell r="G107" t="str">
            <v/>
          </cell>
          <cell r="H107">
            <v>0</v>
          </cell>
        </row>
        <row r="108">
          <cell r="B108" t="str">
            <v/>
          </cell>
          <cell r="C108" t="str">
            <v>包装物料采购入库</v>
          </cell>
          <cell r="D108" t="str">
            <v/>
          </cell>
          <cell r="E108" t="str">
            <v>包</v>
          </cell>
        </row>
        <row r="108">
          <cell r="G108" t="str">
            <v/>
          </cell>
          <cell r="H108">
            <v>0</v>
          </cell>
        </row>
        <row r="109">
          <cell r="B109" t="str">
            <v/>
          </cell>
          <cell r="C109" t="str">
            <v>包装物料采购入库</v>
          </cell>
          <cell r="D109" t="str">
            <v/>
          </cell>
          <cell r="E109" t="str">
            <v>包</v>
          </cell>
        </row>
        <row r="109">
          <cell r="G109" t="str">
            <v/>
          </cell>
          <cell r="H109">
            <v>0</v>
          </cell>
        </row>
        <row r="110">
          <cell r="B110" t="str">
            <v/>
          </cell>
          <cell r="C110" t="str">
            <v>包装物料采购入库</v>
          </cell>
          <cell r="D110" t="str">
            <v/>
          </cell>
          <cell r="E110" t="str">
            <v>包</v>
          </cell>
        </row>
        <row r="110">
          <cell r="G110" t="str">
            <v/>
          </cell>
          <cell r="H110">
            <v>0</v>
          </cell>
        </row>
        <row r="111">
          <cell r="B111" t="str">
            <v/>
          </cell>
          <cell r="C111" t="str">
            <v>包装物料采购入库</v>
          </cell>
          <cell r="D111" t="str">
            <v/>
          </cell>
          <cell r="E111" t="str">
            <v>包</v>
          </cell>
        </row>
        <row r="111">
          <cell r="G111" t="str">
            <v/>
          </cell>
          <cell r="H111">
            <v>0</v>
          </cell>
        </row>
        <row r="112">
          <cell r="B112" t="str">
            <v/>
          </cell>
          <cell r="C112" t="str">
            <v>包装物料采购入库</v>
          </cell>
          <cell r="D112" t="str">
            <v/>
          </cell>
          <cell r="E112" t="str">
            <v>包</v>
          </cell>
        </row>
        <row r="112">
          <cell r="G112" t="str">
            <v/>
          </cell>
          <cell r="H112">
            <v>0</v>
          </cell>
        </row>
        <row r="113">
          <cell r="B113" t="str">
            <v/>
          </cell>
          <cell r="C113" t="str">
            <v>包装物料采购入库</v>
          </cell>
          <cell r="D113" t="str">
            <v/>
          </cell>
          <cell r="E113" t="str">
            <v>包</v>
          </cell>
        </row>
        <row r="113">
          <cell r="G113" t="str">
            <v/>
          </cell>
          <cell r="H113">
            <v>0</v>
          </cell>
        </row>
        <row r="114">
          <cell r="B114" t="str">
            <v/>
          </cell>
          <cell r="C114" t="str">
            <v>包装物料采购入库</v>
          </cell>
          <cell r="D114" t="str">
            <v/>
          </cell>
          <cell r="E114" t="str">
            <v>包</v>
          </cell>
        </row>
        <row r="114">
          <cell r="G114" t="str">
            <v/>
          </cell>
          <cell r="H114">
            <v>0</v>
          </cell>
        </row>
        <row r="115">
          <cell r="B115" t="str">
            <v/>
          </cell>
          <cell r="C115" t="str">
            <v>包装物料采购入库</v>
          </cell>
          <cell r="D115" t="str">
            <v/>
          </cell>
          <cell r="E115" t="str">
            <v>包</v>
          </cell>
        </row>
        <row r="115">
          <cell r="G115" t="str">
            <v/>
          </cell>
          <cell r="H115">
            <v>0</v>
          </cell>
        </row>
        <row r="116">
          <cell r="B116" t="str">
            <v/>
          </cell>
          <cell r="C116" t="str">
            <v>包装物料采购入库</v>
          </cell>
          <cell r="D116" t="str">
            <v/>
          </cell>
          <cell r="E116" t="str">
            <v>包</v>
          </cell>
        </row>
        <row r="116">
          <cell r="G116" t="str">
            <v/>
          </cell>
          <cell r="H116">
            <v>0</v>
          </cell>
        </row>
        <row r="117">
          <cell r="B117" t="str">
            <v/>
          </cell>
          <cell r="C117" t="str">
            <v>包装物料采购入库</v>
          </cell>
          <cell r="D117" t="str">
            <v/>
          </cell>
          <cell r="E117" t="str">
            <v>包</v>
          </cell>
        </row>
        <row r="117">
          <cell r="G117" t="str">
            <v/>
          </cell>
          <cell r="H117">
            <v>0</v>
          </cell>
        </row>
        <row r="118">
          <cell r="B118" t="str">
            <v/>
          </cell>
          <cell r="C118" t="str">
            <v>包装物料采购入库</v>
          </cell>
          <cell r="D118" t="str">
            <v/>
          </cell>
          <cell r="E118" t="str">
            <v>包</v>
          </cell>
        </row>
        <row r="118">
          <cell r="G118" t="str">
            <v/>
          </cell>
          <cell r="H118">
            <v>0</v>
          </cell>
        </row>
        <row r="119">
          <cell r="B119" t="str">
            <v/>
          </cell>
          <cell r="C119" t="str">
            <v>包装物料采购入库</v>
          </cell>
          <cell r="D119" t="str">
            <v/>
          </cell>
          <cell r="E119" t="str">
            <v>包</v>
          </cell>
        </row>
        <row r="119">
          <cell r="G119" t="str">
            <v/>
          </cell>
          <cell r="H119">
            <v>0</v>
          </cell>
        </row>
        <row r="120">
          <cell r="B120" t="str">
            <v/>
          </cell>
          <cell r="C120" t="str">
            <v>包装物料采购入库</v>
          </cell>
          <cell r="D120" t="str">
            <v/>
          </cell>
          <cell r="E120" t="str">
            <v>包</v>
          </cell>
        </row>
        <row r="120">
          <cell r="G120" t="str">
            <v/>
          </cell>
          <cell r="H120">
            <v>0</v>
          </cell>
        </row>
        <row r="121">
          <cell r="B121" t="str">
            <v/>
          </cell>
          <cell r="C121" t="str">
            <v>包装物料采购入库</v>
          </cell>
          <cell r="D121" t="str">
            <v/>
          </cell>
          <cell r="E121" t="str">
            <v>包</v>
          </cell>
        </row>
        <row r="121">
          <cell r="G121" t="str">
            <v/>
          </cell>
          <cell r="H121">
            <v>0</v>
          </cell>
        </row>
        <row r="122">
          <cell r="B122" t="str">
            <v/>
          </cell>
          <cell r="C122" t="str">
            <v>包装物料采购入库</v>
          </cell>
          <cell r="D122" t="str">
            <v/>
          </cell>
          <cell r="E122" t="str">
            <v>包</v>
          </cell>
        </row>
        <row r="122">
          <cell r="G122" t="str">
            <v/>
          </cell>
          <cell r="H122">
            <v>0</v>
          </cell>
        </row>
        <row r="123">
          <cell r="B123" t="str">
            <v/>
          </cell>
          <cell r="C123" t="str">
            <v>包装物料采购入库</v>
          </cell>
          <cell r="D123" t="str">
            <v/>
          </cell>
          <cell r="E123" t="str">
            <v>包</v>
          </cell>
        </row>
        <row r="123">
          <cell r="G123" t="str">
            <v/>
          </cell>
          <cell r="H123">
            <v>0</v>
          </cell>
        </row>
        <row r="124">
          <cell r="B124" t="str">
            <v/>
          </cell>
          <cell r="C124" t="str">
            <v>包装物料采购入库</v>
          </cell>
          <cell r="D124" t="str">
            <v/>
          </cell>
          <cell r="E124" t="str">
            <v>包</v>
          </cell>
        </row>
        <row r="124">
          <cell r="G124" t="str">
            <v/>
          </cell>
          <cell r="H124">
            <v>0</v>
          </cell>
        </row>
        <row r="125">
          <cell r="B125" t="str">
            <v/>
          </cell>
          <cell r="C125" t="str">
            <v>包装物料采购入库</v>
          </cell>
          <cell r="D125" t="str">
            <v/>
          </cell>
          <cell r="E125" t="str">
            <v>包</v>
          </cell>
        </row>
        <row r="125">
          <cell r="G125" t="str">
            <v/>
          </cell>
          <cell r="H125">
            <v>0</v>
          </cell>
        </row>
        <row r="126">
          <cell r="B126" t="str">
            <v/>
          </cell>
          <cell r="C126" t="str">
            <v>包装物料采购入库</v>
          </cell>
          <cell r="D126" t="str">
            <v/>
          </cell>
          <cell r="E126" t="str">
            <v>包</v>
          </cell>
        </row>
        <row r="126">
          <cell r="G126" t="str">
            <v/>
          </cell>
          <cell r="H126">
            <v>0</v>
          </cell>
        </row>
        <row r="127">
          <cell r="B127" t="str">
            <v/>
          </cell>
          <cell r="C127" t="str">
            <v>周转筐托盘采购入库</v>
          </cell>
          <cell r="D127" t="str">
            <v/>
          </cell>
          <cell r="E127" t="str">
            <v>个</v>
          </cell>
        </row>
        <row r="127">
          <cell r="G127" t="str">
            <v/>
          </cell>
          <cell r="H127">
            <v>0</v>
          </cell>
        </row>
        <row r="128">
          <cell r="B128" t="str">
            <v/>
          </cell>
          <cell r="C128" t="str">
            <v>周转筐托盘采购入库</v>
          </cell>
          <cell r="D128" t="str">
            <v/>
          </cell>
          <cell r="E128" t="str">
            <v>个</v>
          </cell>
        </row>
        <row r="128">
          <cell r="G128" t="str">
            <v/>
          </cell>
          <cell r="H128">
            <v>0</v>
          </cell>
        </row>
        <row r="129">
          <cell r="B129" t="str">
            <v/>
          </cell>
          <cell r="C129" t="str">
            <v>周转筐托盘采购入库</v>
          </cell>
          <cell r="D129" t="str">
            <v/>
          </cell>
          <cell r="E129" t="str">
            <v>个</v>
          </cell>
        </row>
        <row r="129">
          <cell r="G129" t="str">
            <v/>
          </cell>
          <cell r="H129">
            <v>0</v>
          </cell>
        </row>
        <row r="130">
          <cell r="B130" t="str">
            <v/>
          </cell>
          <cell r="C130" t="str">
            <v>周转筐托盘采购入库</v>
          </cell>
          <cell r="D130" t="str">
            <v/>
          </cell>
          <cell r="E130" t="str">
            <v>个</v>
          </cell>
        </row>
        <row r="130">
          <cell r="G130" t="str">
            <v/>
          </cell>
          <cell r="H130">
            <v>0</v>
          </cell>
        </row>
        <row r="131">
          <cell r="B131" t="str">
            <v/>
          </cell>
          <cell r="C131" t="str">
            <v>周转筐托盘采购入库</v>
          </cell>
          <cell r="D131" t="str">
            <v/>
          </cell>
          <cell r="E131" t="str">
            <v>个</v>
          </cell>
        </row>
        <row r="131">
          <cell r="G131" t="str">
            <v/>
          </cell>
          <cell r="H131">
            <v>0</v>
          </cell>
        </row>
        <row r="132">
          <cell r="B132" t="str">
            <v/>
          </cell>
          <cell r="C132" t="str">
            <v>周转筐托盘采购入库</v>
          </cell>
          <cell r="D132" t="str">
            <v/>
          </cell>
          <cell r="E132" t="str">
            <v>个</v>
          </cell>
        </row>
        <row r="132">
          <cell r="G132" t="str">
            <v/>
          </cell>
          <cell r="H132">
            <v>0</v>
          </cell>
        </row>
        <row r="133">
          <cell r="B133" t="str">
            <v/>
          </cell>
          <cell r="C133" t="str">
            <v>周转筐托盘采购入库</v>
          </cell>
          <cell r="D133" t="str">
            <v/>
          </cell>
          <cell r="E133" t="str">
            <v>个</v>
          </cell>
        </row>
        <row r="133">
          <cell r="G133" t="str">
            <v/>
          </cell>
          <cell r="H133">
            <v>0</v>
          </cell>
        </row>
        <row r="134">
          <cell r="B134" t="str">
            <v/>
          </cell>
          <cell r="C134" t="str">
            <v>周转筐托盘采购入库</v>
          </cell>
          <cell r="D134" t="str">
            <v/>
          </cell>
          <cell r="E134" t="str">
            <v>个</v>
          </cell>
        </row>
        <row r="134">
          <cell r="G134" t="str">
            <v/>
          </cell>
          <cell r="H134">
            <v>0</v>
          </cell>
        </row>
        <row r="135">
          <cell r="B135" t="str">
            <v/>
          </cell>
          <cell r="C135" t="str">
            <v>周转筐托盘采购入库</v>
          </cell>
          <cell r="D135" t="str">
            <v/>
          </cell>
          <cell r="E135" t="str">
            <v>个</v>
          </cell>
        </row>
        <row r="135">
          <cell r="G135" t="str">
            <v/>
          </cell>
          <cell r="H135">
            <v>0</v>
          </cell>
        </row>
        <row r="136">
          <cell r="B136" t="str">
            <v/>
          </cell>
          <cell r="C136" t="str">
            <v>周转筐托盘采购入库</v>
          </cell>
          <cell r="D136" t="str">
            <v/>
          </cell>
          <cell r="E136" t="str">
            <v>个</v>
          </cell>
        </row>
        <row r="136">
          <cell r="G136" t="str">
            <v/>
          </cell>
          <cell r="H136">
            <v>0</v>
          </cell>
        </row>
        <row r="137">
          <cell r="B137" t="str">
            <v/>
          </cell>
          <cell r="C137" t="str">
            <v>周转筐托盘采购入库</v>
          </cell>
          <cell r="D137" t="str">
            <v/>
          </cell>
          <cell r="E137" t="str">
            <v>个</v>
          </cell>
        </row>
        <row r="137">
          <cell r="G137" t="str">
            <v/>
          </cell>
          <cell r="H137">
            <v>0</v>
          </cell>
        </row>
        <row r="138">
          <cell r="B138" t="str">
            <v/>
          </cell>
          <cell r="C138" t="str">
            <v>周转筐托盘采购入库</v>
          </cell>
          <cell r="D138" t="str">
            <v/>
          </cell>
          <cell r="E138" t="str">
            <v>个</v>
          </cell>
        </row>
        <row r="138">
          <cell r="G138" t="str">
            <v/>
          </cell>
          <cell r="H138">
            <v>0</v>
          </cell>
        </row>
        <row r="139">
          <cell r="B139" t="str">
            <v/>
          </cell>
          <cell r="C139" t="str">
            <v>周转筐托盘采购入库</v>
          </cell>
          <cell r="D139" t="str">
            <v/>
          </cell>
          <cell r="E139" t="str">
            <v>个</v>
          </cell>
        </row>
        <row r="139">
          <cell r="G139" t="str">
            <v/>
          </cell>
          <cell r="H139">
            <v>0</v>
          </cell>
        </row>
        <row r="140">
          <cell r="B140" t="str">
            <v/>
          </cell>
          <cell r="C140" t="str">
            <v>周转筐托盘采购入库</v>
          </cell>
          <cell r="D140" t="str">
            <v/>
          </cell>
          <cell r="E140" t="str">
            <v>个</v>
          </cell>
        </row>
        <row r="140">
          <cell r="G140" t="str">
            <v/>
          </cell>
          <cell r="H140">
            <v>0</v>
          </cell>
        </row>
        <row r="141">
          <cell r="B141" t="str">
            <v/>
          </cell>
          <cell r="C141" t="str">
            <v>周转筐托盘采购入库</v>
          </cell>
          <cell r="D141" t="str">
            <v/>
          </cell>
          <cell r="E141" t="str">
            <v>个</v>
          </cell>
        </row>
        <row r="141">
          <cell r="G141" t="str">
            <v/>
          </cell>
          <cell r="H141">
            <v>0</v>
          </cell>
        </row>
        <row r="142">
          <cell r="B142" t="str">
            <v/>
          </cell>
          <cell r="C142" t="str">
            <v>周转筐托盘采购入库</v>
          </cell>
          <cell r="D142" t="str">
            <v/>
          </cell>
          <cell r="E142" t="str">
            <v>个</v>
          </cell>
        </row>
        <row r="142">
          <cell r="G142" t="str">
            <v/>
          </cell>
          <cell r="H142">
            <v>0</v>
          </cell>
        </row>
        <row r="143">
          <cell r="B143" t="str">
            <v/>
          </cell>
          <cell r="C143" t="str">
            <v>周转筐托盘采购入库</v>
          </cell>
          <cell r="D143" t="str">
            <v/>
          </cell>
          <cell r="E143" t="str">
            <v>个</v>
          </cell>
        </row>
        <row r="143">
          <cell r="G143" t="str">
            <v/>
          </cell>
          <cell r="H143">
            <v>0</v>
          </cell>
        </row>
        <row r="144">
          <cell r="B144" t="str">
            <v/>
          </cell>
          <cell r="C144" t="str">
            <v>周转筐托盘采购入库</v>
          </cell>
          <cell r="D144" t="str">
            <v/>
          </cell>
          <cell r="E144" t="str">
            <v>个</v>
          </cell>
        </row>
        <row r="144">
          <cell r="G144" t="str">
            <v/>
          </cell>
          <cell r="H144">
            <v>0</v>
          </cell>
        </row>
        <row r="145">
          <cell r="B145" t="str">
            <v/>
          </cell>
          <cell r="C145" t="str">
            <v>周转筐托盘采购入库</v>
          </cell>
          <cell r="D145" t="str">
            <v/>
          </cell>
          <cell r="E145" t="str">
            <v>个</v>
          </cell>
        </row>
        <row r="145">
          <cell r="G145" t="str">
            <v/>
          </cell>
          <cell r="H145">
            <v>0</v>
          </cell>
        </row>
        <row r="146">
          <cell r="B146" t="str">
            <v/>
          </cell>
          <cell r="C146" t="str">
            <v>周转筐托盘采购入库</v>
          </cell>
          <cell r="D146" t="str">
            <v/>
          </cell>
          <cell r="E146" t="str">
            <v>个</v>
          </cell>
        </row>
        <row r="146">
          <cell r="G146" t="str">
            <v/>
          </cell>
          <cell r="H146">
            <v>0</v>
          </cell>
        </row>
        <row r="147">
          <cell r="B147" t="str">
            <v/>
          </cell>
          <cell r="C147" t="str">
            <v>周转筐托盘采购入库</v>
          </cell>
          <cell r="D147" t="str">
            <v/>
          </cell>
          <cell r="E147" t="str">
            <v>个</v>
          </cell>
        </row>
        <row r="147">
          <cell r="G147" t="str">
            <v/>
          </cell>
          <cell r="H147">
            <v>0</v>
          </cell>
        </row>
        <row r="148">
          <cell r="B148" t="str">
            <v/>
          </cell>
          <cell r="C148" t="str">
            <v>周转筐托盘采购入库</v>
          </cell>
          <cell r="D148" t="str">
            <v/>
          </cell>
          <cell r="E148" t="str">
            <v>个</v>
          </cell>
        </row>
        <row r="148">
          <cell r="G148" t="str">
            <v/>
          </cell>
          <cell r="H148">
            <v>0</v>
          </cell>
        </row>
        <row r="149">
          <cell r="B149" t="str">
            <v/>
          </cell>
          <cell r="C149" t="str">
            <v>周转筐托盘采购入库</v>
          </cell>
          <cell r="D149" t="str">
            <v/>
          </cell>
          <cell r="E149" t="str">
            <v>个</v>
          </cell>
        </row>
        <row r="149">
          <cell r="G149" t="str">
            <v/>
          </cell>
          <cell r="H149">
            <v>0</v>
          </cell>
        </row>
        <row r="150">
          <cell r="B150" t="str">
            <v/>
          </cell>
          <cell r="C150" t="str">
            <v>周转筐托盘采购入库</v>
          </cell>
          <cell r="D150" t="str">
            <v/>
          </cell>
          <cell r="E150" t="str">
            <v>个</v>
          </cell>
        </row>
        <row r="150">
          <cell r="G150" t="str">
            <v/>
          </cell>
          <cell r="H150">
            <v>0</v>
          </cell>
        </row>
        <row r="153">
          <cell r="B153" t="str">
            <v>年月</v>
          </cell>
          <cell r="C153" t="str">
            <v>项目</v>
          </cell>
          <cell r="D153" t="str">
            <v>计费数量</v>
          </cell>
          <cell r="E153" t="str">
            <v>计量单位</v>
          </cell>
        </row>
        <row r="153">
          <cell r="G153" t="str">
            <v>价税合计金额</v>
          </cell>
          <cell r="H153" t="str">
            <v>已收金额</v>
          </cell>
          <cell r="I153" t="str">
            <v>备注</v>
          </cell>
        </row>
        <row r="154">
          <cell r="B154" t="str">
            <v/>
          </cell>
          <cell r="C154" t="str">
            <v>包装物料期末库存</v>
          </cell>
          <cell r="D154">
            <v>23490</v>
          </cell>
          <cell r="E154" t="str">
            <v>包</v>
          </cell>
        </row>
        <row r="154">
          <cell r="G154">
            <v>0</v>
          </cell>
        </row>
        <row r="155">
          <cell r="B155" t="str">
            <v/>
          </cell>
          <cell r="C155" t="str">
            <v>公司筐子期末总量</v>
          </cell>
          <cell r="D155">
            <v>180226</v>
          </cell>
          <cell r="E155" t="str">
            <v>个</v>
          </cell>
        </row>
        <row r="156">
          <cell r="B156" t="str">
            <v/>
          </cell>
          <cell r="C156" t="str">
            <v>客户自备筐结存（表外备查）</v>
          </cell>
          <cell r="D156">
            <v>2362</v>
          </cell>
          <cell r="E156" t="str">
            <v>个</v>
          </cell>
        </row>
        <row r="159">
          <cell r="B159" t="str">
            <v>往来单位</v>
          </cell>
          <cell r="C159" t="str">
            <v>项目</v>
          </cell>
          <cell r="D159" t="str">
            <v>应收发生额</v>
          </cell>
          <cell r="E159" t="str">
            <v>应付发生额</v>
          </cell>
        </row>
        <row r="159">
          <cell r="G159" t="str">
            <v>应收合计</v>
          </cell>
          <cell r="H159" t="str">
            <v>已收金额</v>
          </cell>
          <cell r="I159" t="str">
            <v>备注</v>
          </cell>
        </row>
        <row r="160">
          <cell r="B160" t="str">
            <v>聂新平</v>
          </cell>
          <cell r="C160" t="str">
            <v>筐子销售款</v>
          </cell>
          <cell r="D160">
            <v>0</v>
          </cell>
          <cell r="E160">
            <v>0</v>
          </cell>
        </row>
        <row r="160">
          <cell r="G160">
            <v>0</v>
          </cell>
          <cell r="H160">
            <v>0</v>
          </cell>
        </row>
        <row r="161">
          <cell r="B161" t="str">
            <v>聂新平</v>
          </cell>
          <cell r="C161" t="str">
            <v>物料销售款</v>
          </cell>
          <cell r="D161">
            <v>0</v>
          </cell>
          <cell r="E161">
            <v>0</v>
          </cell>
        </row>
        <row r="161">
          <cell r="G161">
            <v>0</v>
          </cell>
          <cell r="H161">
            <v>0</v>
          </cell>
        </row>
        <row r="162">
          <cell r="B162" t="str">
            <v>王照雪</v>
          </cell>
          <cell r="C162" t="str">
            <v>筐子销售款</v>
          </cell>
          <cell r="D162">
            <v>0</v>
          </cell>
          <cell r="E162">
            <v>0</v>
          </cell>
        </row>
        <row r="162">
          <cell r="G162">
            <v>0</v>
          </cell>
          <cell r="H162">
            <v>0</v>
          </cell>
        </row>
        <row r="163">
          <cell r="B163" t="str">
            <v>王照雪</v>
          </cell>
          <cell r="C163" t="str">
            <v>物料销售款</v>
          </cell>
          <cell r="D163">
            <v>0</v>
          </cell>
          <cell r="E163">
            <v>0</v>
          </cell>
        </row>
        <row r="163">
          <cell r="G163">
            <v>0</v>
          </cell>
          <cell r="H163">
            <v>0</v>
          </cell>
        </row>
        <row r="164">
          <cell r="B164" t="str">
            <v>伍元虎</v>
          </cell>
          <cell r="C164" t="str">
            <v>筐子销售款</v>
          </cell>
          <cell r="D164">
            <v>0</v>
          </cell>
          <cell r="E164">
            <v>0</v>
          </cell>
        </row>
        <row r="164">
          <cell r="G164">
            <v>0</v>
          </cell>
          <cell r="H164">
            <v>0</v>
          </cell>
        </row>
        <row r="165">
          <cell r="B165" t="str">
            <v>伍元虎</v>
          </cell>
          <cell r="C165" t="str">
            <v>物料销售款</v>
          </cell>
          <cell r="D165">
            <v>0</v>
          </cell>
          <cell r="E165">
            <v>0</v>
          </cell>
        </row>
        <row r="165">
          <cell r="G165">
            <v>0</v>
          </cell>
          <cell r="H165">
            <v>0</v>
          </cell>
        </row>
        <row r="166">
          <cell r="B166" t="str">
            <v>麦麦提</v>
          </cell>
          <cell r="C166" t="str">
            <v>筐子销售款</v>
          </cell>
          <cell r="D166">
            <v>0</v>
          </cell>
          <cell r="E166">
            <v>0</v>
          </cell>
        </row>
        <row r="166">
          <cell r="G166">
            <v>0</v>
          </cell>
          <cell r="H166">
            <v>0</v>
          </cell>
        </row>
        <row r="167">
          <cell r="B167" t="str">
            <v>麦麦提</v>
          </cell>
          <cell r="C167" t="str">
            <v>物料销售款</v>
          </cell>
          <cell r="D167">
            <v>0</v>
          </cell>
          <cell r="E167">
            <v>0</v>
          </cell>
        </row>
        <row r="167">
          <cell r="G167">
            <v>0</v>
          </cell>
          <cell r="H167">
            <v>0</v>
          </cell>
        </row>
        <row r="168">
          <cell r="B168" t="str">
            <v>热合曼</v>
          </cell>
          <cell r="C168" t="str">
            <v>筐子销售款</v>
          </cell>
          <cell r="D168">
            <v>0</v>
          </cell>
          <cell r="E168">
            <v>0</v>
          </cell>
        </row>
        <row r="168">
          <cell r="G168">
            <v>0</v>
          </cell>
          <cell r="H168">
            <v>0</v>
          </cell>
        </row>
        <row r="169">
          <cell r="B169" t="str">
            <v>热合曼</v>
          </cell>
          <cell r="C169" t="str">
            <v>物料销售款</v>
          </cell>
          <cell r="D169">
            <v>0</v>
          </cell>
          <cell r="E169">
            <v>0</v>
          </cell>
        </row>
        <row r="169">
          <cell r="G169">
            <v>0</v>
          </cell>
          <cell r="H169">
            <v>0</v>
          </cell>
        </row>
        <row r="170">
          <cell r="B170" t="str">
            <v>王灵云</v>
          </cell>
          <cell r="C170" t="str">
            <v>筐子销售款</v>
          </cell>
          <cell r="D170">
            <v>0</v>
          </cell>
          <cell r="E170">
            <v>0</v>
          </cell>
        </row>
        <row r="170">
          <cell r="G170">
            <v>0</v>
          </cell>
          <cell r="H170">
            <v>0</v>
          </cell>
        </row>
        <row r="171">
          <cell r="B171" t="str">
            <v>王灵云</v>
          </cell>
          <cell r="C171" t="str">
            <v>物料销售款</v>
          </cell>
          <cell r="D171">
            <v>0</v>
          </cell>
          <cell r="E171">
            <v>0</v>
          </cell>
        </row>
        <row r="171">
          <cell r="G171">
            <v>0</v>
          </cell>
          <cell r="H171">
            <v>0</v>
          </cell>
        </row>
        <row r="172">
          <cell r="B172" t="str">
            <v>马锦祥</v>
          </cell>
          <cell r="C172" t="str">
            <v>筐子销售款</v>
          </cell>
          <cell r="D172">
            <v>0</v>
          </cell>
          <cell r="E172">
            <v>0</v>
          </cell>
        </row>
        <row r="172">
          <cell r="G172">
            <v>0</v>
          </cell>
          <cell r="H172">
            <v>0</v>
          </cell>
        </row>
        <row r="173">
          <cell r="B173" t="str">
            <v>马锦祥</v>
          </cell>
          <cell r="C173" t="str">
            <v>物料销售款</v>
          </cell>
          <cell r="D173">
            <v>0</v>
          </cell>
          <cell r="E173">
            <v>0</v>
          </cell>
        </row>
        <row r="173">
          <cell r="G173">
            <v>0</v>
          </cell>
          <cell r="H173">
            <v>0</v>
          </cell>
        </row>
        <row r="174">
          <cell r="B174" t="str">
            <v>贾建国</v>
          </cell>
          <cell r="C174" t="str">
            <v>筐子销售款</v>
          </cell>
          <cell r="D174">
            <v>0</v>
          </cell>
          <cell r="E174">
            <v>0</v>
          </cell>
        </row>
        <row r="174">
          <cell r="G174">
            <v>0</v>
          </cell>
          <cell r="H174">
            <v>0</v>
          </cell>
        </row>
        <row r="175">
          <cell r="B175" t="str">
            <v>贾建国</v>
          </cell>
          <cell r="C175" t="str">
            <v>物料销售款</v>
          </cell>
          <cell r="D175">
            <v>0</v>
          </cell>
          <cell r="E175">
            <v>0</v>
          </cell>
        </row>
        <row r="175">
          <cell r="G175">
            <v>0</v>
          </cell>
          <cell r="H175">
            <v>0</v>
          </cell>
        </row>
        <row r="176">
          <cell r="B176" t="str">
            <v>荆建君</v>
          </cell>
          <cell r="C176" t="str">
            <v>筐子销售款</v>
          </cell>
          <cell r="D176">
            <v>0</v>
          </cell>
          <cell r="E176">
            <v>0</v>
          </cell>
        </row>
        <row r="176">
          <cell r="G176">
            <v>0</v>
          </cell>
          <cell r="H176">
            <v>0</v>
          </cell>
        </row>
        <row r="177">
          <cell r="B177" t="str">
            <v>荆建君</v>
          </cell>
          <cell r="C177" t="str">
            <v>物料销售款</v>
          </cell>
          <cell r="D177">
            <v>0</v>
          </cell>
          <cell r="E177">
            <v>0</v>
          </cell>
        </row>
        <row r="177">
          <cell r="G177">
            <v>0</v>
          </cell>
          <cell r="H177">
            <v>0</v>
          </cell>
        </row>
        <row r="178">
          <cell r="B178" t="str">
            <v>艾合买提</v>
          </cell>
          <cell r="C178" t="str">
            <v>筐子销售款</v>
          </cell>
          <cell r="D178">
            <v>0</v>
          </cell>
          <cell r="E178">
            <v>0</v>
          </cell>
        </row>
        <row r="178">
          <cell r="G178">
            <v>0</v>
          </cell>
          <cell r="H178">
            <v>0</v>
          </cell>
        </row>
        <row r="179">
          <cell r="B179" t="str">
            <v>艾合买提</v>
          </cell>
          <cell r="C179" t="str">
            <v>物料销售款</v>
          </cell>
          <cell r="D179">
            <v>0</v>
          </cell>
          <cell r="E179">
            <v>0</v>
          </cell>
        </row>
        <row r="179">
          <cell r="G179">
            <v>0</v>
          </cell>
          <cell r="H179">
            <v>0</v>
          </cell>
        </row>
        <row r="180">
          <cell r="B180" t="str">
            <v>王浩</v>
          </cell>
          <cell r="C180" t="str">
            <v>筐子销售款</v>
          </cell>
          <cell r="D180">
            <v>0</v>
          </cell>
          <cell r="E180">
            <v>0</v>
          </cell>
        </row>
        <row r="180">
          <cell r="G180">
            <v>0</v>
          </cell>
          <cell r="H180">
            <v>0</v>
          </cell>
        </row>
        <row r="181">
          <cell r="B181" t="str">
            <v>王浩</v>
          </cell>
          <cell r="C181" t="str">
            <v>物料销售款</v>
          </cell>
          <cell r="D181">
            <v>0</v>
          </cell>
          <cell r="E181">
            <v>0</v>
          </cell>
        </row>
        <row r="181">
          <cell r="G181">
            <v>0</v>
          </cell>
          <cell r="H181">
            <v>0</v>
          </cell>
        </row>
        <row r="182">
          <cell r="B182" t="str">
            <v>电商/主播</v>
          </cell>
          <cell r="C182" t="str">
            <v>筐子销售款</v>
          </cell>
          <cell r="D182">
            <v>0</v>
          </cell>
          <cell r="E182">
            <v>0</v>
          </cell>
        </row>
        <row r="182">
          <cell r="G182">
            <v>0</v>
          </cell>
          <cell r="H182">
            <v>0</v>
          </cell>
        </row>
        <row r="183">
          <cell r="B183" t="str">
            <v>电商/主播</v>
          </cell>
          <cell r="C183" t="str">
            <v>物料销售款</v>
          </cell>
          <cell r="D183">
            <v>0</v>
          </cell>
          <cell r="E183">
            <v>0</v>
          </cell>
        </row>
        <row r="183">
          <cell r="G183">
            <v>0</v>
          </cell>
          <cell r="H183">
            <v>0</v>
          </cell>
        </row>
        <row r="184">
          <cell r="B184" t="str">
            <v>吐尔逊</v>
          </cell>
          <cell r="C184" t="str">
            <v>筐子销售款</v>
          </cell>
          <cell r="D184">
            <v>0</v>
          </cell>
          <cell r="E184">
            <v>0</v>
          </cell>
        </row>
        <row r="184">
          <cell r="G184">
            <v>0</v>
          </cell>
          <cell r="H184">
            <v>0</v>
          </cell>
        </row>
        <row r="185">
          <cell r="B185" t="str">
            <v>吐尔逊</v>
          </cell>
          <cell r="C185" t="str">
            <v>物料销售款</v>
          </cell>
          <cell r="D185">
            <v>0</v>
          </cell>
          <cell r="E185">
            <v>0</v>
          </cell>
        </row>
        <row r="185">
          <cell r="G185">
            <v>0</v>
          </cell>
          <cell r="H185">
            <v>0</v>
          </cell>
        </row>
        <row r="186">
          <cell r="B186" t="str">
            <v>张艺</v>
          </cell>
          <cell r="C186" t="str">
            <v>筐子销售款</v>
          </cell>
          <cell r="D186">
            <v>0</v>
          </cell>
          <cell r="E186">
            <v>0</v>
          </cell>
        </row>
        <row r="186">
          <cell r="G186">
            <v>0</v>
          </cell>
          <cell r="H186">
            <v>0</v>
          </cell>
        </row>
        <row r="187">
          <cell r="B187" t="str">
            <v>张艺</v>
          </cell>
          <cell r="C187" t="str">
            <v>物料销售款</v>
          </cell>
          <cell r="D187">
            <v>0</v>
          </cell>
          <cell r="E187">
            <v>0</v>
          </cell>
        </row>
        <row r="187">
          <cell r="G187">
            <v>0</v>
          </cell>
          <cell r="H187">
            <v>0</v>
          </cell>
        </row>
        <row r="188">
          <cell r="B188" t="str">
            <v>郭勇义</v>
          </cell>
          <cell r="C188" t="str">
            <v>筐子销售款</v>
          </cell>
          <cell r="D188">
            <v>0</v>
          </cell>
          <cell r="E188">
            <v>0</v>
          </cell>
        </row>
        <row r="188">
          <cell r="G188">
            <v>0</v>
          </cell>
          <cell r="H188">
            <v>0</v>
          </cell>
        </row>
        <row r="189">
          <cell r="B189" t="str">
            <v>郭勇义</v>
          </cell>
          <cell r="C189" t="str">
            <v>物料销售款</v>
          </cell>
          <cell r="D189">
            <v>0</v>
          </cell>
          <cell r="E189">
            <v>0</v>
          </cell>
        </row>
        <row r="189">
          <cell r="G189">
            <v>0</v>
          </cell>
          <cell r="H189">
            <v>0</v>
          </cell>
        </row>
        <row r="190">
          <cell r="B190" t="str">
            <v>王庆文</v>
          </cell>
          <cell r="C190" t="str">
            <v>筐子销售款</v>
          </cell>
          <cell r="D190">
            <v>0</v>
          </cell>
          <cell r="E190">
            <v>0</v>
          </cell>
        </row>
        <row r="190">
          <cell r="G190">
            <v>0</v>
          </cell>
          <cell r="H190">
            <v>0</v>
          </cell>
        </row>
        <row r="191">
          <cell r="B191" t="str">
            <v>王庆文</v>
          </cell>
          <cell r="C191" t="str">
            <v>物料销售款</v>
          </cell>
          <cell r="D191">
            <v>0</v>
          </cell>
          <cell r="E191">
            <v>0</v>
          </cell>
        </row>
        <row r="191">
          <cell r="G191">
            <v>0</v>
          </cell>
          <cell r="H191">
            <v>0</v>
          </cell>
        </row>
        <row r="192">
          <cell r="B192" t="str">
            <v>果然鲜</v>
          </cell>
          <cell r="C192" t="str">
            <v>筐子销售款</v>
          </cell>
          <cell r="D192">
            <v>0</v>
          </cell>
          <cell r="E192">
            <v>0</v>
          </cell>
        </row>
        <row r="192">
          <cell r="G192">
            <v>0</v>
          </cell>
          <cell r="H192">
            <v>0</v>
          </cell>
        </row>
        <row r="193">
          <cell r="B193" t="str">
            <v>果然鲜</v>
          </cell>
          <cell r="C193" t="str">
            <v>物料销售款</v>
          </cell>
          <cell r="D193">
            <v>0</v>
          </cell>
          <cell r="E193">
            <v>0</v>
          </cell>
        </row>
        <row r="193">
          <cell r="G193">
            <v>0</v>
          </cell>
          <cell r="H193">
            <v>0</v>
          </cell>
        </row>
        <row r="194">
          <cell r="B194" t="str">
            <v>努尔敦</v>
          </cell>
          <cell r="C194" t="str">
            <v>筐子销售款</v>
          </cell>
          <cell r="D194">
            <v>0</v>
          </cell>
          <cell r="E194">
            <v>0</v>
          </cell>
        </row>
        <row r="194">
          <cell r="G194">
            <v>0</v>
          </cell>
          <cell r="H194">
            <v>0</v>
          </cell>
        </row>
        <row r="195">
          <cell r="B195" t="str">
            <v>努尔敦</v>
          </cell>
          <cell r="C195" t="str">
            <v>物料销售款</v>
          </cell>
          <cell r="D195">
            <v>0</v>
          </cell>
          <cell r="E195">
            <v>0</v>
          </cell>
        </row>
        <row r="195">
          <cell r="G195">
            <v>0</v>
          </cell>
          <cell r="H195">
            <v>0</v>
          </cell>
        </row>
        <row r="196">
          <cell r="B196" t="str">
            <v>吐尔洪</v>
          </cell>
          <cell r="C196" t="str">
            <v>筐子销售款</v>
          </cell>
          <cell r="D196">
            <v>0</v>
          </cell>
          <cell r="E196">
            <v>0</v>
          </cell>
        </row>
        <row r="196">
          <cell r="G196">
            <v>0</v>
          </cell>
          <cell r="H196">
            <v>0</v>
          </cell>
        </row>
        <row r="197">
          <cell r="B197" t="str">
            <v>吐尔洪</v>
          </cell>
          <cell r="C197" t="str">
            <v>物料销售款</v>
          </cell>
          <cell r="D197">
            <v>0</v>
          </cell>
          <cell r="E197">
            <v>0</v>
          </cell>
        </row>
        <row r="197">
          <cell r="G197">
            <v>0</v>
          </cell>
          <cell r="H197">
            <v>0</v>
          </cell>
        </row>
        <row r="198">
          <cell r="B198" t="str">
            <v>鑫旺塑业</v>
          </cell>
          <cell r="C198" t="str">
            <v>筐子销售款</v>
          </cell>
          <cell r="D198">
            <v>0</v>
          </cell>
          <cell r="E198">
            <v>0</v>
          </cell>
        </row>
        <row r="198">
          <cell r="G198">
            <v>0</v>
          </cell>
          <cell r="H198">
            <v>0</v>
          </cell>
        </row>
        <row r="199">
          <cell r="B199" t="str">
            <v>鑫旺塑业</v>
          </cell>
          <cell r="C199" t="str">
            <v>物料销售款</v>
          </cell>
          <cell r="D199">
            <v>0</v>
          </cell>
          <cell r="E199">
            <v>0</v>
          </cell>
        </row>
        <row r="199">
          <cell r="G199">
            <v>0</v>
          </cell>
          <cell r="H199">
            <v>0</v>
          </cell>
        </row>
        <row r="200">
          <cell r="B200" t="str">
            <v>华鑫塑业</v>
          </cell>
          <cell r="C200" t="str">
            <v>筐子销售款</v>
          </cell>
          <cell r="D200">
            <v>0</v>
          </cell>
          <cell r="E200">
            <v>0</v>
          </cell>
        </row>
        <row r="200">
          <cell r="G200">
            <v>0</v>
          </cell>
          <cell r="H200">
            <v>0</v>
          </cell>
        </row>
        <row r="201">
          <cell r="B201" t="str">
            <v>华鑫塑业</v>
          </cell>
          <cell r="C201" t="str">
            <v>物料销售款</v>
          </cell>
          <cell r="D201">
            <v>0</v>
          </cell>
          <cell r="E201">
            <v>0</v>
          </cell>
        </row>
        <row r="201">
          <cell r="G201">
            <v>0</v>
          </cell>
          <cell r="H201">
            <v>0</v>
          </cell>
        </row>
        <row r="202">
          <cell r="B202" t="str">
            <v>全修塑业</v>
          </cell>
          <cell r="C202" t="str">
            <v>筐子销售款</v>
          </cell>
          <cell r="D202">
            <v>0</v>
          </cell>
          <cell r="E202">
            <v>174720</v>
          </cell>
        </row>
        <row r="202">
          <cell r="G202">
            <v>0</v>
          </cell>
          <cell r="H202">
            <v>0</v>
          </cell>
        </row>
        <row r="203">
          <cell r="B203" t="str">
            <v>全修塑业</v>
          </cell>
          <cell r="C203" t="str">
            <v>物料销售款</v>
          </cell>
          <cell r="D203">
            <v>0</v>
          </cell>
          <cell r="E203">
            <v>0</v>
          </cell>
        </row>
        <row r="203">
          <cell r="G203">
            <v>0</v>
          </cell>
          <cell r="H203">
            <v>0</v>
          </cell>
        </row>
        <row r="204">
          <cell r="B204" t="str">
            <v>新顺发泡网</v>
          </cell>
          <cell r="C204" t="str">
            <v>筐子销售款</v>
          </cell>
          <cell r="D204">
            <v>0</v>
          </cell>
          <cell r="E204">
            <v>0</v>
          </cell>
        </row>
        <row r="204">
          <cell r="G204">
            <v>0</v>
          </cell>
          <cell r="H204">
            <v>0</v>
          </cell>
        </row>
        <row r="205">
          <cell r="B205" t="str">
            <v>新顺发泡网</v>
          </cell>
          <cell r="C205" t="str">
            <v>物料销售款</v>
          </cell>
          <cell r="D205">
            <v>0</v>
          </cell>
          <cell r="E205">
            <v>40848</v>
          </cell>
        </row>
        <row r="205">
          <cell r="G205">
            <v>0</v>
          </cell>
          <cell r="H205">
            <v>0</v>
          </cell>
        </row>
        <row r="206">
          <cell r="B206" t="str">
            <v>武宁气泡垫</v>
          </cell>
          <cell r="C206" t="str">
            <v>筐子销售款</v>
          </cell>
          <cell r="D206">
            <v>0</v>
          </cell>
          <cell r="E206">
            <v>0</v>
          </cell>
        </row>
        <row r="206">
          <cell r="G206">
            <v>0</v>
          </cell>
          <cell r="H206">
            <v>0</v>
          </cell>
        </row>
        <row r="207">
          <cell r="B207" t="str">
            <v>武宁气泡垫</v>
          </cell>
          <cell r="C207" t="str">
            <v>物料销售款</v>
          </cell>
          <cell r="D207">
            <v>0</v>
          </cell>
          <cell r="E207">
            <v>0</v>
          </cell>
        </row>
        <row r="207">
          <cell r="G207">
            <v>0</v>
          </cell>
          <cell r="H207">
            <v>0</v>
          </cell>
        </row>
        <row r="208">
          <cell r="B208" t="str">
            <v/>
          </cell>
          <cell r="C208" t="str">
            <v/>
          </cell>
          <cell r="D208">
            <v>0</v>
          </cell>
          <cell r="E208">
            <v>0</v>
          </cell>
        </row>
        <row r="208">
          <cell r="G208" t="str">
            <v/>
          </cell>
          <cell r="H208" t="str">
            <v/>
          </cell>
        </row>
        <row r="209">
          <cell r="B209" t="str">
            <v/>
          </cell>
          <cell r="C209" t="str">
            <v/>
          </cell>
          <cell r="D209">
            <v>0</v>
          </cell>
          <cell r="E209">
            <v>0</v>
          </cell>
        </row>
        <row r="209">
          <cell r="G209" t="str">
            <v/>
          </cell>
          <cell r="H209" t="str">
            <v/>
          </cell>
        </row>
        <row r="210">
          <cell r="B210" t="str">
            <v/>
          </cell>
          <cell r="C210" t="str">
            <v/>
          </cell>
          <cell r="D210">
            <v>0</v>
          </cell>
          <cell r="E210">
            <v>0</v>
          </cell>
        </row>
        <row r="210">
          <cell r="G210" t="str">
            <v/>
          </cell>
          <cell r="H210" t="str">
            <v/>
          </cell>
        </row>
        <row r="211">
          <cell r="B211" t="str">
            <v/>
          </cell>
          <cell r="C211" t="str">
            <v/>
          </cell>
          <cell r="D211">
            <v>0</v>
          </cell>
          <cell r="E211">
            <v>0</v>
          </cell>
        </row>
        <row r="211">
          <cell r="G211" t="str">
            <v/>
          </cell>
          <cell r="H211" t="str">
            <v/>
          </cell>
        </row>
        <row r="212">
          <cell r="B212" t="str">
            <v/>
          </cell>
          <cell r="C212" t="str">
            <v/>
          </cell>
          <cell r="D212">
            <v>0</v>
          </cell>
          <cell r="E212">
            <v>0</v>
          </cell>
        </row>
        <row r="212">
          <cell r="G212" t="str">
            <v/>
          </cell>
          <cell r="H212" t="str">
            <v/>
          </cell>
        </row>
        <row r="213">
          <cell r="B213" t="str">
            <v/>
          </cell>
          <cell r="C213" t="str">
            <v/>
          </cell>
          <cell r="D213">
            <v>0</v>
          </cell>
          <cell r="E213">
            <v>0</v>
          </cell>
        </row>
        <row r="213">
          <cell r="G213" t="str">
            <v/>
          </cell>
          <cell r="H213" t="str">
            <v/>
          </cell>
        </row>
        <row r="214">
          <cell r="B214" t="str">
            <v/>
          </cell>
          <cell r="C214" t="str">
            <v/>
          </cell>
          <cell r="D214">
            <v>0</v>
          </cell>
          <cell r="E214">
            <v>0</v>
          </cell>
        </row>
        <row r="214">
          <cell r="G214" t="str">
            <v/>
          </cell>
          <cell r="H214" t="str">
            <v/>
          </cell>
        </row>
        <row r="215">
          <cell r="B215" t="str">
            <v/>
          </cell>
          <cell r="C215" t="str">
            <v/>
          </cell>
          <cell r="D215">
            <v>0</v>
          </cell>
          <cell r="E215">
            <v>0</v>
          </cell>
        </row>
        <row r="215">
          <cell r="G215" t="str">
            <v/>
          </cell>
          <cell r="H215" t="str">
            <v/>
          </cell>
        </row>
        <row r="216">
          <cell r="B216" t="str">
            <v/>
          </cell>
          <cell r="C216" t="str">
            <v/>
          </cell>
          <cell r="D216">
            <v>0</v>
          </cell>
          <cell r="E216">
            <v>0</v>
          </cell>
        </row>
        <row r="216">
          <cell r="G216" t="str">
            <v/>
          </cell>
          <cell r="H216" t="str">
            <v/>
          </cell>
        </row>
        <row r="217">
          <cell r="B217" t="str">
            <v/>
          </cell>
          <cell r="C217" t="str">
            <v/>
          </cell>
          <cell r="D217">
            <v>0</v>
          </cell>
          <cell r="E217">
            <v>0</v>
          </cell>
        </row>
        <row r="217">
          <cell r="G217" t="str">
            <v/>
          </cell>
          <cell r="H217" t="str">
            <v/>
          </cell>
        </row>
        <row r="218">
          <cell r="B218" t="str">
            <v/>
          </cell>
          <cell r="C218" t="str">
            <v/>
          </cell>
          <cell r="D218">
            <v>0</v>
          </cell>
          <cell r="E218">
            <v>0</v>
          </cell>
        </row>
        <row r="218">
          <cell r="G218" t="str">
            <v/>
          </cell>
          <cell r="H218" t="str">
            <v/>
          </cell>
        </row>
        <row r="219">
          <cell r="B219" t="str">
            <v/>
          </cell>
          <cell r="C219" t="str">
            <v/>
          </cell>
          <cell r="D219">
            <v>0</v>
          </cell>
          <cell r="E219">
            <v>0</v>
          </cell>
        </row>
        <row r="219">
          <cell r="G219" t="str">
            <v/>
          </cell>
          <cell r="H219" t="str">
            <v/>
          </cell>
        </row>
        <row r="220">
          <cell r="B220" t="str">
            <v/>
          </cell>
          <cell r="C220" t="str">
            <v/>
          </cell>
          <cell r="D220">
            <v>0</v>
          </cell>
          <cell r="E220">
            <v>0</v>
          </cell>
        </row>
        <row r="220">
          <cell r="G220" t="str">
            <v/>
          </cell>
          <cell r="H220" t="str">
            <v/>
          </cell>
        </row>
        <row r="221">
          <cell r="B221" t="str">
            <v/>
          </cell>
          <cell r="C221" t="str">
            <v/>
          </cell>
          <cell r="D221">
            <v>0</v>
          </cell>
          <cell r="E221">
            <v>0</v>
          </cell>
        </row>
        <row r="221">
          <cell r="G221" t="str">
            <v/>
          </cell>
          <cell r="H221" t="str">
            <v/>
          </cell>
        </row>
        <row r="222">
          <cell r="B222" t="str">
            <v/>
          </cell>
          <cell r="C222" t="str">
            <v/>
          </cell>
          <cell r="D222">
            <v>0</v>
          </cell>
          <cell r="E222">
            <v>0</v>
          </cell>
        </row>
        <row r="222">
          <cell r="G222" t="str">
            <v/>
          </cell>
          <cell r="H222" t="str">
            <v/>
          </cell>
        </row>
        <row r="223">
          <cell r="B223" t="str">
            <v/>
          </cell>
          <cell r="C223" t="str">
            <v/>
          </cell>
          <cell r="D223">
            <v>0</v>
          </cell>
          <cell r="E223">
            <v>0</v>
          </cell>
        </row>
        <row r="223">
          <cell r="G223" t="str">
            <v/>
          </cell>
          <cell r="H223" t="str">
            <v/>
          </cell>
        </row>
        <row r="224">
          <cell r="B224" t="str">
            <v/>
          </cell>
          <cell r="C224" t="str">
            <v/>
          </cell>
          <cell r="D224">
            <v>0</v>
          </cell>
          <cell r="E224">
            <v>0</v>
          </cell>
        </row>
        <row r="224">
          <cell r="G224" t="str">
            <v/>
          </cell>
          <cell r="H224" t="str">
            <v/>
          </cell>
        </row>
        <row r="225">
          <cell r="B225" t="str">
            <v/>
          </cell>
          <cell r="C225" t="str">
            <v/>
          </cell>
          <cell r="D225">
            <v>0</v>
          </cell>
          <cell r="E225">
            <v>0</v>
          </cell>
        </row>
        <row r="225">
          <cell r="G225" t="str">
            <v/>
          </cell>
          <cell r="H225" t="str">
            <v/>
          </cell>
        </row>
        <row r="226">
          <cell r="B226" t="str">
            <v/>
          </cell>
          <cell r="C226" t="str">
            <v/>
          </cell>
          <cell r="D226">
            <v>0</v>
          </cell>
          <cell r="E226">
            <v>0</v>
          </cell>
        </row>
        <row r="226">
          <cell r="G226" t="str">
            <v/>
          </cell>
          <cell r="H226" t="str">
            <v/>
          </cell>
        </row>
        <row r="227">
          <cell r="B227" t="str">
            <v/>
          </cell>
          <cell r="C227" t="str">
            <v/>
          </cell>
          <cell r="D227">
            <v>0</v>
          </cell>
          <cell r="E227">
            <v>0</v>
          </cell>
        </row>
        <row r="227">
          <cell r="G227" t="str">
            <v/>
          </cell>
          <cell r="H227" t="str">
            <v/>
          </cell>
        </row>
        <row r="228">
          <cell r="B228" t="str">
            <v/>
          </cell>
          <cell r="C228" t="str">
            <v/>
          </cell>
          <cell r="D228">
            <v>0</v>
          </cell>
          <cell r="E228">
            <v>0</v>
          </cell>
        </row>
        <row r="228">
          <cell r="G228" t="str">
            <v/>
          </cell>
          <cell r="H228" t="str">
            <v/>
          </cell>
        </row>
        <row r="229">
          <cell r="B229" t="str">
            <v/>
          </cell>
          <cell r="C229" t="str">
            <v/>
          </cell>
          <cell r="D229">
            <v>0</v>
          </cell>
          <cell r="E229">
            <v>0</v>
          </cell>
        </row>
        <row r="229">
          <cell r="G229" t="str">
            <v/>
          </cell>
          <cell r="H229" t="str">
            <v/>
          </cell>
        </row>
        <row r="230">
          <cell r="B230" t="str">
            <v/>
          </cell>
          <cell r="C230" t="str">
            <v/>
          </cell>
          <cell r="D230">
            <v>0</v>
          </cell>
          <cell r="E230">
            <v>0</v>
          </cell>
        </row>
        <row r="230">
          <cell r="G230" t="str">
            <v/>
          </cell>
          <cell r="H230" t="str">
            <v/>
          </cell>
        </row>
        <row r="231">
          <cell r="B231" t="str">
            <v/>
          </cell>
          <cell r="C231" t="str">
            <v/>
          </cell>
          <cell r="D231">
            <v>0</v>
          </cell>
          <cell r="E231">
            <v>0</v>
          </cell>
        </row>
        <row r="231">
          <cell r="G231" t="str">
            <v/>
          </cell>
          <cell r="H231" t="str">
            <v/>
          </cell>
        </row>
        <row r="232">
          <cell r="B232" t="str">
            <v/>
          </cell>
          <cell r="C232" t="str">
            <v/>
          </cell>
          <cell r="D232">
            <v>0</v>
          </cell>
          <cell r="E232">
            <v>0</v>
          </cell>
        </row>
        <row r="232">
          <cell r="G232" t="str">
            <v/>
          </cell>
          <cell r="H232" t="str">
            <v/>
          </cell>
        </row>
        <row r="233">
          <cell r="B233" t="str">
            <v/>
          </cell>
          <cell r="C233" t="str">
            <v/>
          </cell>
          <cell r="D233">
            <v>0</v>
          </cell>
          <cell r="E233">
            <v>0</v>
          </cell>
        </row>
        <row r="233">
          <cell r="G233" t="str">
            <v/>
          </cell>
          <cell r="H233" t="str">
            <v/>
          </cell>
        </row>
        <row r="234">
          <cell r="B234" t="str">
            <v/>
          </cell>
          <cell r="C234" t="str">
            <v/>
          </cell>
          <cell r="D234">
            <v>0</v>
          </cell>
          <cell r="E234">
            <v>0</v>
          </cell>
        </row>
        <row r="234">
          <cell r="G234" t="str">
            <v/>
          </cell>
          <cell r="H234" t="str">
            <v/>
          </cell>
        </row>
        <row r="235">
          <cell r="B235" t="str">
            <v/>
          </cell>
          <cell r="C235" t="str">
            <v/>
          </cell>
          <cell r="D235">
            <v>0</v>
          </cell>
          <cell r="E235">
            <v>0</v>
          </cell>
        </row>
        <row r="235">
          <cell r="G235" t="str">
            <v/>
          </cell>
          <cell r="H235" t="str">
            <v/>
          </cell>
        </row>
        <row r="236">
          <cell r="B236" t="str">
            <v/>
          </cell>
          <cell r="C236" t="str">
            <v/>
          </cell>
          <cell r="D236">
            <v>0</v>
          </cell>
          <cell r="E236">
            <v>0</v>
          </cell>
        </row>
        <row r="236">
          <cell r="G236" t="str">
            <v/>
          </cell>
          <cell r="H236" t="str">
            <v/>
          </cell>
        </row>
        <row r="237">
          <cell r="B237" t="str">
            <v/>
          </cell>
          <cell r="C237" t="str">
            <v/>
          </cell>
          <cell r="D237">
            <v>0</v>
          </cell>
          <cell r="E237">
            <v>0</v>
          </cell>
        </row>
        <row r="237">
          <cell r="G237" t="str">
            <v/>
          </cell>
          <cell r="H237" t="str">
            <v/>
          </cell>
        </row>
        <row r="238">
          <cell r="B238" t="str">
            <v/>
          </cell>
          <cell r="C238" t="str">
            <v/>
          </cell>
          <cell r="D238">
            <v>0</v>
          </cell>
          <cell r="E238">
            <v>0</v>
          </cell>
        </row>
        <row r="238">
          <cell r="G238" t="str">
            <v/>
          </cell>
          <cell r="H238" t="str">
            <v/>
          </cell>
        </row>
        <row r="239">
          <cell r="B239" t="str">
            <v/>
          </cell>
          <cell r="C239" t="str">
            <v/>
          </cell>
          <cell r="D239">
            <v>0</v>
          </cell>
          <cell r="E239">
            <v>0</v>
          </cell>
        </row>
        <row r="239">
          <cell r="G239" t="str">
            <v/>
          </cell>
          <cell r="H239" t="str">
            <v/>
          </cell>
        </row>
        <row r="240">
          <cell r="B240" t="str">
            <v/>
          </cell>
          <cell r="C240" t="str">
            <v/>
          </cell>
          <cell r="D240">
            <v>0</v>
          </cell>
          <cell r="E240">
            <v>0</v>
          </cell>
        </row>
        <row r="240">
          <cell r="G240" t="str">
            <v/>
          </cell>
          <cell r="H240" t="str">
            <v/>
          </cell>
        </row>
        <row r="241">
          <cell r="B241" t="str">
            <v/>
          </cell>
          <cell r="C241" t="str">
            <v/>
          </cell>
          <cell r="D241">
            <v>0</v>
          </cell>
          <cell r="E241">
            <v>0</v>
          </cell>
        </row>
        <row r="241">
          <cell r="G241" t="str">
            <v/>
          </cell>
          <cell r="H241" t="str">
            <v/>
          </cell>
        </row>
        <row r="242">
          <cell r="B242" t="str">
            <v/>
          </cell>
          <cell r="C242" t="str">
            <v/>
          </cell>
          <cell r="D242">
            <v>0</v>
          </cell>
          <cell r="E242">
            <v>0</v>
          </cell>
        </row>
        <row r="242">
          <cell r="G242" t="str">
            <v/>
          </cell>
          <cell r="H242" t="str">
            <v/>
          </cell>
        </row>
        <row r="243">
          <cell r="B243" t="str">
            <v/>
          </cell>
          <cell r="C243" t="str">
            <v/>
          </cell>
          <cell r="D243">
            <v>0</v>
          </cell>
          <cell r="E243">
            <v>0</v>
          </cell>
        </row>
        <row r="243">
          <cell r="G243" t="str">
            <v/>
          </cell>
          <cell r="H243" t="str">
            <v/>
          </cell>
        </row>
        <row r="244">
          <cell r="B244" t="str">
            <v/>
          </cell>
          <cell r="C244" t="str">
            <v/>
          </cell>
          <cell r="D244">
            <v>0</v>
          </cell>
          <cell r="E244">
            <v>0</v>
          </cell>
        </row>
        <row r="244">
          <cell r="G244" t="str">
            <v/>
          </cell>
          <cell r="H244" t="str">
            <v/>
          </cell>
        </row>
        <row r="245">
          <cell r="B245" t="str">
            <v/>
          </cell>
          <cell r="C245" t="str">
            <v/>
          </cell>
          <cell r="D245">
            <v>0</v>
          </cell>
          <cell r="E245">
            <v>0</v>
          </cell>
        </row>
        <row r="245">
          <cell r="G245" t="str">
            <v/>
          </cell>
          <cell r="H245" t="str">
            <v/>
          </cell>
        </row>
        <row r="246">
          <cell r="B246" t="str">
            <v/>
          </cell>
          <cell r="C246" t="str">
            <v/>
          </cell>
          <cell r="D246">
            <v>0</v>
          </cell>
          <cell r="E246">
            <v>0</v>
          </cell>
        </row>
        <row r="246">
          <cell r="G246" t="str">
            <v/>
          </cell>
          <cell r="H246" t="str">
            <v/>
          </cell>
        </row>
        <row r="247">
          <cell r="B247" t="str">
            <v/>
          </cell>
          <cell r="C247" t="str">
            <v/>
          </cell>
          <cell r="D247">
            <v>0</v>
          </cell>
          <cell r="E247">
            <v>0</v>
          </cell>
        </row>
        <row r="247">
          <cell r="G247" t="str">
            <v/>
          </cell>
          <cell r="H247" t="str">
            <v/>
          </cell>
        </row>
        <row r="248">
          <cell r="B248" t="str">
            <v/>
          </cell>
          <cell r="C248" t="str">
            <v/>
          </cell>
          <cell r="D248">
            <v>0</v>
          </cell>
          <cell r="E248">
            <v>0</v>
          </cell>
        </row>
        <row r="248">
          <cell r="G248" t="str">
            <v/>
          </cell>
          <cell r="H248" t="str">
            <v/>
          </cell>
        </row>
        <row r="249">
          <cell r="B249" t="str">
            <v/>
          </cell>
          <cell r="C249" t="str">
            <v/>
          </cell>
          <cell r="D249">
            <v>0</v>
          </cell>
          <cell r="E249">
            <v>0</v>
          </cell>
        </row>
        <row r="249">
          <cell r="G249" t="str">
            <v/>
          </cell>
          <cell r="H249" t="str">
            <v/>
          </cell>
        </row>
        <row r="250">
          <cell r="B250" t="str">
            <v/>
          </cell>
          <cell r="C250" t="str">
            <v/>
          </cell>
          <cell r="D250">
            <v>0</v>
          </cell>
          <cell r="E250">
            <v>0</v>
          </cell>
        </row>
        <row r="250">
          <cell r="G250" t="str">
            <v/>
          </cell>
          <cell r="H250" t="str">
            <v/>
          </cell>
        </row>
        <row r="251">
          <cell r="B251" t="str">
            <v/>
          </cell>
          <cell r="C251" t="str">
            <v/>
          </cell>
          <cell r="D251">
            <v>0</v>
          </cell>
          <cell r="E251">
            <v>0</v>
          </cell>
        </row>
        <row r="251">
          <cell r="G251" t="str">
            <v/>
          </cell>
          <cell r="H251" t="str">
            <v/>
          </cell>
        </row>
        <row r="252">
          <cell r="B252" t="str">
            <v/>
          </cell>
          <cell r="C252" t="str">
            <v/>
          </cell>
          <cell r="D252">
            <v>0</v>
          </cell>
          <cell r="E252">
            <v>0</v>
          </cell>
        </row>
        <row r="252">
          <cell r="G252" t="str">
            <v/>
          </cell>
          <cell r="H252" t="str">
            <v/>
          </cell>
        </row>
        <row r="253">
          <cell r="B253" t="str">
            <v/>
          </cell>
          <cell r="C253" t="str">
            <v/>
          </cell>
          <cell r="D253">
            <v>0</v>
          </cell>
          <cell r="E253">
            <v>0</v>
          </cell>
        </row>
        <row r="253">
          <cell r="G253" t="str">
            <v/>
          </cell>
          <cell r="H253" t="str">
            <v/>
          </cell>
        </row>
        <row r="254">
          <cell r="B254" t="str">
            <v/>
          </cell>
          <cell r="C254" t="str">
            <v/>
          </cell>
          <cell r="D254">
            <v>0</v>
          </cell>
          <cell r="E254">
            <v>0</v>
          </cell>
        </row>
        <row r="254">
          <cell r="G254" t="str">
            <v/>
          </cell>
          <cell r="H254" t="str">
            <v/>
          </cell>
        </row>
        <row r="255">
          <cell r="B255" t="str">
            <v/>
          </cell>
          <cell r="C255" t="str">
            <v/>
          </cell>
          <cell r="D255">
            <v>0</v>
          </cell>
          <cell r="E255">
            <v>0</v>
          </cell>
        </row>
        <row r="255">
          <cell r="G255" t="str">
            <v/>
          </cell>
          <cell r="H255" t="str">
            <v/>
          </cell>
        </row>
        <row r="256">
          <cell r="B256" t="str">
            <v/>
          </cell>
          <cell r="C256" t="str">
            <v/>
          </cell>
          <cell r="D256">
            <v>0</v>
          </cell>
          <cell r="E256">
            <v>0</v>
          </cell>
        </row>
        <row r="256">
          <cell r="G256" t="str">
            <v/>
          </cell>
          <cell r="H256" t="str">
            <v/>
          </cell>
        </row>
        <row r="257">
          <cell r="B257" t="str">
            <v/>
          </cell>
          <cell r="C257" t="str">
            <v/>
          </cell>
          <cell r="D257">
            <v>0</v>
          </cell>
          <cell r="E257">
            <v>0</v>
          </cell>
        </row>
        <row r="257">
          <cell r="G257" t="str">
            <v/>
          </cell>
          <cell r="H257" t="str">
            <v/>
          </cell>
        </row>
        <row r="258">
          <cell r="B258" t="str">
            <v/>
          </cell>
          <cell r="C258" t="str">
            <v/>
          </cell>
          <cell r="D258">
            <v>0</v>
          </cell>
          <cell r="E258">
            <v>0</v>
          </cell>
        </row>
        <row r="258">
          <cell r="G258" t="str">
            <v/>
          </cell>
          <cell r="H258" t="str">
            <v/>
          </cell>
        </row>
        <row r="259">
          <cell r="B259" t="str">
            <v/>
          </cell>
          <cell r="C259" t="str">
            <v/>
          </cell>
          <cell r="D259">
            <v>0</v>
          </cell>
          <cell r="E259">
            <v>0</v>
          </cell>
        </row>
        <row r="259">
          <cell r="G259" t="str">
            <v/>
          </cell>
          <cell r="H259" t="str">
            <v/>
          </cell>
        </row>
        <row r="260">
          <cell r="B260" t="str">
            <v/>
          </cell>
          <cell r="C260" t="str">
            <v/>
          </cell>
          <cell r="D260">
            <v>0</v>
          </cell>
          <cell r="E260">
            <v>0</v>
          </cell>
        </row>
        <row r="260">
          <cell r="G260" t="str">
            <v/>
          </cell>
          <cell r="H260" t="str">
            <v/>
          </cell>
        </row>
        <row r="261">
          <cell r="B261" t="str">
            <v/>
          </cell>
          <cell r="C261" t="str">
            <v/>
          </cell>
          <cell r="D261">
            <v>0</v>
          </cell>
          <cell r="E261">
            <v>0</v>
          </cell>
        </row>
        <row r="261">
          <cell r="G261" t="str">
            <v/>
          </cell>
          <cell r="H261" t="str">
            <v/>
          </cell>
        </row>
        <row r="262">
          <cell r="B262" t="str">
            <v/>
          </cell>
          <cell r="C262" t="str">
            <v/>
          </cell>
          <cell r="D262">
            <v>0</v>
          </cell>
          <cell r="E262">
            <v>0</v>
          </cell>
        </row>
        <row r="262">
          <cell r="G262" t="str">
            <v/>
          </cell>
          <cell r="H262" t="str">
            <v/>
          </cell>
        </row>
        <row r="263">
          <cell r="B263" t="str">
            <v/>
          </cell>
          <cell r="C263" t="str">
            <v/>
          </cell>
          <cell r="D263">
            <v>0</v>
          </cell>
          <cell r="E263">
            <v>0</v>
          </cell>
        </row>
        <row r="263">
          <cell r="G263" t="str">
            <v/>
          </cell>
          <cell r="H263" t="str">
            <v/>
          </cell>
        </row>
        <row r="264">
          <cell r="B264" t="str">
            <v/>
          </cell>
          <cell r="C264" t="str">
            <v/>
          </cell>
          <cell r="D264">
            <v>0</v>
          </cell>
          <cell r="E264">
            <v>0</v>
          </cell>
        </row>
        <row r="264">
          <cell r="G264" t="str">
            <v/>
          </cell>
          <cell r="H264" t="str">
            <v/>
          </cell>
        </row>
        <row r="265">
          <cell r="B265" t="str">
            <v/>
          </cell>
          <cell r="C265" t="str">
            <v/>
          </cell>
          <cell r="D265">
            <v>0</v>
          </cell>
          <cell r="E265">
            <v>0</v>
          </cell>
        </row>
        <row r="265">
          <cell r="G265" t="str">
            <v/>
          </cell>
          <cell r="H265" t="str">
            <v/>
          </cell>
        </row>
        <row r="266">
          <cell r="B266" t="str">
            <v/>
          </cell>
          <cell r="C266" t="str">
            <v/>
          </cell>
          <cell r="D266">
            <v>0</v>
          </cell>
          <cell r="E266">
            <v>0</v>
          </cell>
        </row>
        <row r="266">
          <cell r="G266" t="str">
            <v/>
          </cell>
          <cell r="H266" t="str">
            <v/>
          </cell>
        </row>
        <row r="267">
          <cell r="B267" t="str">
            <v/>
          </cell>
          <cell r="C267" t="str">
            <v/>
          </cell>
          <cell r="D267">
            <v>0</v>
          </cell>
          <cell r="E267">
            <v>0</v>
          </cell>
        </row>
        <row r="267">
          <cell r="G267" t="str">
            <v/>
          </cell>
          <cell r="H267" t="str">
            <v/>
          </cell>
        </row>
        <row r="268">
          <cell r="B268" t="str">
            <v/>
          </cell>
          <cell r="C268" t="str">
            <v/>
          </cell>
          <cell r="D268">
            <v>0</v>
          </cell>
          <cell r="E268">
            <v>0</v>
          </cell>
        </row>
        <row r="268">
          <cell r="G268" t="str">
            <v/>
          </cell>
          <cell r="H268" t="str">
            <v/>
          </cell>
        </row>
        <row r="269">
          <cell r="B269" t="str">
            <v/>
          </cell>
          <cell r="C269" t="str">
            <v/>
          </cell>
          <cell r="D269">
            <v>0</v>
          </cell>
          <cell r="E269">
            <v>0</v>
          </cell>
        </row>
        <row r="269">
          <cell r="G269" t="str">
            <v/>
          </cell>
          <cell r="H269" t="str">
            <v/>
          </cell>
        </row>
        <row r="270">
          <cell r="B270" t="str">
            <v/>
          </cell>
          <cell r="C270" t="str">
            <v/>
          </cell>
          <cell r="D270">
            <v>0</v>
          </cell>
          <cell r="E270">
            <v>0</v>
          </cell>
        </row>
        <row r="270">
          <cell r="G270" t="str">
            <v/>
          </cell>
          <cell r="H270" t="str">
            <v/>
          </cell>
        </row>
        <row r="271">
          <cell r="B271" t="str">
            <v/>
          </cell>
          <cell r="C271" t="str">
            <v/>
          </cell>
          <cell r="D271">
            <v>0</v>
          </cell>
          <cell r="E271">
            <v>0</v>
          </cell>
        </row>
        <row r="271">
          <cell r="G271" t="str">
            <v/>
          </cell>
          <cell r="H271" t="str">
            <v/>
          </cell>
        </row>
        <row r="272">
          <cell r="B272" t="str">
            <v/>
          </cell>
          <cell r="C272" t="str">
            <v/>
          </cell>
          <cell r="D272">
            <v>0</v>
          </cell>
          <cell r="E272">
            <v>0</v>
          </cell>
        </row>
        <row r="272">
          <cell r="G272" t="str">
            <v/>
          </cell>
          <cell r="H272" t="str">
            <v/>
          </cell>
        </row>
        <row r="273">
          <cell r="B273" t="str">
            <v/>
          </cell>
          <cell r="C273" t="str">
            <v/>
          </cell>
          <cell r="D273">
            <v>0</v>
          </cell>
          <cell r="E273">
            <v>0</v>
          </cell>
        </row>
        <row r="273">
          <cell r="G273" t="str">
            <v/>
          </cell>
          <cell r="H273" t="str">
            <v/>
          </cell>
        </row>
        <row r="274">
          <cell r="B274" t="str">
            <v/>
          </cell>
          <cell r="C274" t="str">
            <v/>
          </cell>
          <cell r="D274">
            <v>0</v>
          </cell>
          <cell r="E274">
            <v>0</v>
          </cell>
        </row>
        <row r="274">
          <cell r="G274" t="str">
            <v/>
          </cell>
          <cell r="H274" t="str">
            <v/>
          </cell>
        </row>
        <row r="275">
          <cell r="B275" t="str">
            <v/>
          </cell>
          <cell r="C275" t="str">
            <v/>
          </cell>
          <cell r="D275">
            <v>0</v>
          </cell>
          <cell r="E275">
            <v>0</v>
          </cell>
        </row>
        <row r="275">
          <cell r="G275" t="str">
            <v/>
          </cell>
          <cell r="H275" t="str">
            <v/>
          </cell>
        </row>
        <row r="276">
          <cell r="B276" t="str">
            <v/>
          </cell>
          <cell r="C276" t="str">
            <v/>
          </cell>
          <cell r="D276">
            <v>0</v>
          </cell>
          <cell r="E276">
            <v>0</v>
          </cell>
        </row>
        <row r="276">
          <cell r="G276" t="str">
            <v/>
          </cell>
          <cell r="H276" t="str">
            <v/>
          </cell>
        </row>
        <row r="277">
          <cell r="B277" t="str">
            <v/>
          </cell>
          <cell r="C277" t="str">
            <v/>
          </cell>
          <cell r="D277">
            <v>0</v>
          </cell>
          <cell r="E277">
            <v>0</v>
          </cell>
        </row>
        <row r="277">
          <cell r="G277" t="str">
            <v/>
          </cell>
          <cell r="H277" t="str">
            <v/>
          </cell>
        </row>
        <row r="278">
          <cell r="B278" t="str">
            <v/>
          </cell>
          <cell r="C278" t="str">
            <v/>
          </cell>
          <cell r="D278">
            <v>0</v>
          </cell>
          <cell r="E278">
            <v>0</v>
          </cell>
        </row>
        <row r="278">
          <cell r="G278" t="str">
            <v/>
          </cell>
          <cell r="H278" t="str">
            <v/>
          </cell>
        </row>
        <row r="279">
          <cell r="B279" t="str">
            <v/>
          </cell>
          <cell r="C279" t="str">
            <v/>
          </cell>
          <cell r="D279">
            <v>0</v>
          </cell>
          <cell r="E279">
            <v>0</v>
          </cell>
        </row>
        <row r="279">
          <cell r="G279" t="str">
            <v/>
          </cell>
          <cell r="H279" t="str">
            <v/>
          </cell>
        </row>
        <row r="280">
          <cell r="B280" t="str">
            <v/>
          </cell>
          <cell r="C280" t="str">
            <v/>
          </cell>
          <cell r="D280">
            <v>0</v>
          </cell>
          <cell r="E280">
            <v>0</v>
          </cell>
        </row>
        <row r="280">
          <cell r="G280" t="str">
            <v/>
          </cell>
          <cell r="H280" t="str">
            <v/>
          </cell>
        </row>
        <row r="281">
          <cell r="B281" t="str">
            <v/>
          </cell>
          <cell r="C281" t="str">
            <v/>
          </cell>
          <cell r="D281">
            <v>0</v>
          </cell>
          <cell r="E281">
            <v>0</v>
          </cell>
        </row>
        <row r="281">
          <cell r="G281" t="str">
            <v/>
          </cell>
          <cell r="H281" t="str">
            <v/>
          </cell>
        </row>
        <row r="282">
          <cell r="B282" t="str">
            <v/>
          </cell>
          <cell r="C282" t="str">
            <v/>
          </cell>
          <cell r="D282">
            <v>0</v>
          </cell>
          <cell r="E282">
            <v>0</v>
          </cell>
        </row>
        <row r="282">
          <cell r="G282" t="str">
            <v/>
          </cell>
          <cell r="H282" t="str">
            <v/>
          </cell>
        </row>
        <row r="283">
          <cell r="B283" t="str">
            <v/>
          </cell>
          <cell r="C283" t="str">
            <v/>
          </cell>
          <cell r="D283">
            <v>0</v>
          </cell>
          <cell r="E283">
            <v>0</v>
          </cell>
        </row>
        <row r="283">
          <cell r="G283" t="str">
            <v/>
          </cell>
          <cell r="H283" t="str">
            <v/>
          </cell>
        </row>
        <row r="284">
          <cell r="B284" t="str">
            <v/>
          </cell>
          <cell r="C284" t="str">
            <v/>
          </cell>
          <cell r="D284">
            <v>0</v>
          </cell>
          <cell r="E284">
            <v>0</v>
          </cell>
        </row>
        <row r="284">
          <cell r="G284" t="str">
            <v/>
          </cell>
          <cell r="H284" t="str">
            <v/>
          </cell>
        </row>
        <row r="285">
          <cell r="B285" t="str">
            <v/>
          </cell>
          <cell r="C285" t="str">
            <v/>
          </cell>
          <cell r="D285">
            <v>0</v>
          </cell>
          <cell r="E285">
            <v>0</v>
          </cell>
        </row>
        <row r="285">
          <cell r="G285" t="str">
            <v/>
          </cell>
          <cell r="H285" t="str">
            <v/>
          </cell>
        </row>
        <row r="286">
          <cell r="B286" t="str">
            <v/>
          </cell>
          <cell r="C286" t="str">
            <v/>
          </cell>
          <cell r="D286">
            <v>0</v>
          </cell>
          <cell r="E286">
            <v>0</v>
          </cell>
        </row>
        <row r="286">
          <cell r="G286" t="str">
            <v/>
          </cell>
          <cell r="H286" t="str">
            <v/>
          </cell>
        </row>
        <row r="287">
          <cell r="B287" t="str">
            <v/>
          </cell>
          <cell r="C287" t="str">
            <v/>
          </cell>
          <cell r="D287">
            <v>0</v>
          </cell>
          <cell r="E287">
            <v>0</v>
          </cell>
        </row>
        <row r="287">
          <cell r="G287" t="str">
            <v/>
          </cell>
          <cell r="H287" t="str">
            <v/>
          </cell>
        </row>
        <row r="288">
          <cell r="B288" t="str">
            <v/>
          </cell>
          <cell r="C288" t="str">
            <v/>
          </cell>
          <cell r="D288">
            <v>0</v>
          </cell>
          <cell r="E288">
            <v>0</v>
          </cell>
        </row>
        <row r="288">
          <cell r="G288" t="str">
            <v/>
          </cell>
          <cell r="H288" t="str">
            <v/>
          </cell>
        </row>
        <row r="289">
          <cell r="B289" t="str">
            <v/>
          </cell>
          <cell r="C289" t="str">
            <v/>
          </cell>
          <cell r="D289">
            <v>0</v>
          </cell>
          <cell r="E289">
            <v>0</v>
          </cell>
        </row>
        <row r="289">
          <cell r="G289" t="str">
            <v/>
          </cell>
          <cell r="H289" t="str">
            <v/>
          </cell>
        </row>
        <row r="290">
          <cell r="B290" t="str">
            <v/>
          </cell>
          <cell r="C290" t="str">
            <v/>
          </cell>
          <cell r="D290">
            <v>0</v>
          </cell>
          <cell r="E290">
            <v>0</v>
          </cell>
        </row>
        <row r="290">
          <cell r="G290" t="str">
            <v/>
          </cell>
          <cell r="H290" t="str">
            <v/>
          </cell>
        </row>
        <row r="291">
          <cell r="B291" t="str">
            <v/>
          </cell>
          <cell r="C291" t="str">
            <v/>
          </cell>
          <cell r="D291">
            <v>0</v>
          </cell>
          <cell r="E291">
            <v>0</v>
          </cell>
        </row>
        <row r="291">
          <cell r="G291" t="str">
            <v/>
          </cell>
          <cell r="H291" t="str">
            <v/>
          </cell>
        </row>
        <row r="292">
          <cell r="B292" t="str">
            <v/>
          </cell>
          <cell r="C292" t="str">
            <v/>
          </cell>
          <cell r="D292">
            <v>0</v>
          </cell>
          <cell r="E292">
            <v>0</v>
          </cell>
        </row>
        <row r="292">
          <cell r="G292" t="str">
            <v/>
          </cell>
          <cell r="H292" t="str">
            <v/>
          </cell>
        </row>
        <row r="293">
          <cell r="B293" t="str">
            <v/>
          </cell>
          <cell r="C293" t="str">
            <v/>
          </cell>
          <cell r="D293">
            <v>0</v>
          </cell>
          <cell r="E293">
            <v>0</v>
          </cell>
        </row>
        <row r="293">
          <cell r="G293" t="str">
            <v/>
          </cell>
          <cell r="H293" t="str">
            <v/>
          </cell>
        </row>
        <row r="294">
          <cell r="B294" t="str">
            <v/>
          </cell>
          <cell r="C294" t="str">
            <v/>
          </cell>
          <cell r="D294">
            <v>0</v>
          </cell>
          <cell r="E294">
            <v>0</v>
          </cell>
        </row>
        <row r="294">
          <cell r="G294" t="str">
            <v/>
          </cell>
          <cell r="H294" t="str">
            <v/>
          </cell>
        </row>
        <row r="295">
          <cell r="B295" t="str">
            <v/>
          </cell>
          <cell r="C295" t="str">
            <v/>
          </cell>
          <cell r="D295">
            <v>0</v>
          </cell>
          <cell r="E295">
            <v>0</v>
          </cell>
        </row>
        <row r="295">
          <cell r="G295" t="str">
            <v/>
          </cell>
          <cell r="H295" t="str">
            <v/>
          </cell>
        </row>
        <row r="296">
          <cell r="B296" t="str">
            <v/>
          </cell>
          <cell r="C296" t="str">
            <v/>
          </cell>
          <cell r="D296">
            <v>0</v>
          </cell>
          <cell r="E296">
            <v>0</v>
          </cell>
        </row>
        <row r="296">
          <cell r="G296" t="str">
            <v/>
          </cell>
          <cell r="H296" t="str">
            <v/>
          </cell>
        </row>
        <row r="297">
          <cell r="B297" t="str">
            <v/>
          </cell>
          <cell r="C297" t="str">
            <v/>
          </cell>
          <cell r="D297">
            <v>0</v>
          </cell>
          <cell r="E297">
            <v>0</v>
          </cell>
        </row>
        <row r="297">
          <cell r="G297" t="str">
            <v/>
          </cell>
          <cell r="H297" t="str">
            <v/>
          </cell>
        </row>
        <row r="298">
          <cell r="B298" t="str">
            <v/>
          </cell>
          <cell r="C298" t="str">
            <v/>
          </cell>
          <cell r="D298">
            <v>0</v>
          </cell>
          <cell r="E298">
            <v>0</v>
          </cell>
        </row>
        <row r="298">
          <cell r="G298" t="str">
            <v/>
          </cell>
          <cell r="H298" t="str">
            <v/>
          </cell>
        </row>
        <row r="299">
          <cell r="B299" t="str">
            <v/>
          </cell>
          <cell r="C299" t="str">
            <v/>
          </cell>
          <cell r="D299">
            <v>0</v>
          </cell>
          <cell r="E299">
            <v>0</v>
          </cell>
        </row>
        <row r="299">
          <cell r="G299" t="str">
            <v/>
          </cell>
          <cell r="H299" t="str">
            <v/>
          </cell>
        </row>
        <row r="300">
          <cell r="B300" t="str">
            <v/>
          </cell>
          <cell r="C300" t="str">
            <v/>
          </cell>
          <cell r="D300">
            <v>0</v>
          </cell>
          <cell r="E300">
            <v>0</v>
          </cell>
        </row>
        <row r="300">
          <cell r="G300" t="str">
            <v/>
          </cell>
          <cell r="H300" t="str">
            <v/>
          </cell>
        </row>
        <row r="301">
          <cell r="B301" t="str">
            <v/>
          </cell>
          <cell r="C301" t="str">
            <v/>
          </cell>
          <cell r="D301">
            <v>0</v>
          </cell>
          <cell r="E301">
            <v>0</v>
          </cell>
        </row>
        <row r="301">
          <cell r="G301" t="str">
            <v/>
          </cell>
          <cell r="H301" t="str">
            <v/>
          </cell>
        </row>
        <row r="302">
          <cell r="B302" t="str">
            <v/>
          </cell>
          <cell r="C302" t="str">
            <v/>
          </cell>
          <cell r="D302">
            <v>0</v>
          </cell>
          <cell r="E302">
            <v>0</v>
          </cell>
        </row>
        <row r="302">
          <cell r="G302" t="str">
            <v/>
          </cell>
          <cell r="H302" t="str">
            <v/>
          </cell>
        </row>
        <row r="303">
          <cell r="B303" t="str">
            <v/>
          </cell>
          <cell r="C303" t="str">
            <v/>
          </cell>
          <cell r="D303">
            <v>0</v>
          </cell>
          <cell r="E303">
            <v>0</v>
          </cell>
        </row>
        <row r="303">
          <cell r="G303" t="str">
            <v/>
          </cell>
          <cell r="H303" t="str">
            <v/>
          </cell>
        </row>
        <row r="304">
          <cell r="B304" t="str">
            <v/>
          </cell>
          <cell r="C304" t="str">
            <v/>
          </cell>
          <cell r="D304">
            <v>0</v>
          </cell>
          <cell r="E304">
            <v>0</v>
          </cell>
        </row>
        <row r="304">
          <cell r="G304" t="str">
            <v/>
          </cell>
          <cell r="H304" t="str">
            <v/>
          </cell>
        </row>
        <row r="305">
          <cell r="B305" t="str">
            <v/>
          </cell>
          <cell r="C305" t="str">
            <v/>
          </cell>
          <cell r="D305">
            <v>0</v>
          </cell>
          <cell r="E305">
            <v>0</v>
          </cell>
        </row>
        <row r="305">
          <cell r="G305" t="str">
            <v/>
          </cell>
          <cell r="H305" t="str">
            <v/>
          </cell>
        </row>
        <row r="306">
          <cell r="B306" t="str">
            <v/>
          </cell>
          <cell r="C306" t="str">
            <v/>
          </cell>
          <cell r="D306">
            <v>0</v>
          </cell>
          <cell r="E306">
            <v>0</v>
          </cell>
        </row>
        <row r="306">
          <cell r="G306" t="str">
            <v/>
          </cell>
          <cell r="H306" t="str">
            <v/>
          </cell>
        </row>
        <row r="307">
          <cell r="B307" t="str">
            <v/>
          </cell>
          <cell r="C307" t="str">
            <v/>
          </cell>
          <cell r="D307">
            <v>0</v>
          </cell>
          <cell r="E307">
            <v>0</v>
          </cell>
        </row>
        <row r="307">
          <cell r="G307" t="str">
            <v/>
          </cell>
          <cell r="H307" t="str">
            <v/>
          </cell>
        </row>
        <row r="308">
          <cell r="B308" t="str">
            <v/>
          </cell>
          <cell r="C308" t="str">
            <v/>
          </cell>
          <cell r="D308">
            <v>0</v>
          </cell>
          <cell r="E308">
            <v>0</v>
          </cell>
        </row>
        <row r="308">
          <cell r="G308" t="str">
            <v/>
          </cell>
          <cell r="H308" t="str">
            <v/>
          </cell>
        </row>
        <row r="309">
          <cell r="B309" t="str">
            <v/>
          </cell>
          <cell r="C309" t="str">
            <v/>
          </cell>
          <cell r="D309">
            <v>0</v>
          </cell>
          <cell r="E309">
            <v>0</v>
          </cell>
        </row>
        <row r="309">
          <cell r="G309" t="str">
            <v/>
          </cell>
          <cell r="H309" t="str">
            <v/>
          </cell>
        </row>
        <row r="310">
          <cell r="B310" t="str">
            <v/>
          </cell>
          <cell r="C310" t="str">
            <v/>
          </cell>
          <cell r="D310">
            <v>0</v>
          </cell>
          <cell r="E310">
            <v>0</v>
          </cell>
        </row>
        <row r="310">
          <cell r="G310" t="str">
            <v/>
          </cell>
          <cell r="H310" t="str">
            <v/>
          </cell>
        </row>
        <row r="311">
          <cell r="B311" t="str">
            <v/>
          </cell>
          <cell r="C311" t="str">
            <v/>
          </cell>
          <cell r="D311">
            <v>0</v>
          </cell>
          <cell r="E311">
            <v>0</v>
          </cell>
        </row>
        <row r="311">
          <cell r="G311" t="str">
            <v/>
          </cell>
          <cell r="H311" t="str">
            <v/>
          </cell>
        </row>
        <row r="312">
          <cell r="B312" t="str">
            <v/>
          </cell>
          <cell r="C312" t="str">
            <v/>
          </cell>
          <cell r="D312">
            <v>0</v>
          </cell>
          <cell r="E312">
            <v>0</v>
          </cell>
        </row>
        <row r="312">
          <cell r="G312" t="str">
            <v/>
          </cell>
          <cell r="H312" t="str">
            <v/>
          </cell>
        </row>
        <row r="313">
          <cell r="B313" t="str">
            <v/>
          </cell>
          <cell r="C313" t="str">
            <v/>
          </cell>
          <cell r="D313">
            <v>0</v>
          </cell>
          <cell r="E313">
            <v>0</v>
          </cell>
        </row>
        <row r="313">
          <cell r="G313" t="str">
            <v/>
          </cell>
          <cell r="H313" t="str">
            <v/>
          </cell>
        </row>
        <row r="314">
          <cell r="B314" t="str">
            <v/>
          </cell>
          <cell r="C314" t="str">
            <v/>
          </cell>
          <cell r="D314">
            <v>0</v>
          </cell>
          <cell r="E314">
            <v>0</v>
          </cell>
        </row>
        <row r="314">
          <cell r="G314" t="str">
            <v/>
          </cell>
          <cell r="H314" t="str">
            <v/>
          </cell>
        </row>
        <row r="315">
          <cell r="B315" t="str">
            <v/>
          </cell>
          <cell r="C315" t="str">
            <v/>
          </cell>
          <cell r="D315">
            <v>0</v>
          </cell>
          <cell r="E315">
            <v>0</v>
          </cell>
        </row>
        <row r="315">
          <cell r="G315" t="str">
            <v/>
          </cell>
          <cell r="H315" t="str">
            <v/>
          </cell>
        </row>
        <row r="316">
          <cell r="B316" t="str">
            <v/>
          </cell>
          <cell r="C316" t="str">
            <v/>
          </cell>
          <cell r="D316">
            <v>0</v>
          </cell>
          <cell r="E316">
            <v>0</v>
          </cell>
        </row>
        <row r="316">
          <cell r="G316" t="str">
            <v/>
          </cell>
          <cell r="H316" t="str">
            <v/>
          </cell>
        </row>
        <row r="317">
          <cell r="B317" t="str">
            <v/>
          </cell>
          <cell r="C317" t="str">
            <v/>
          </cell>
          <cell r="D317">
            <v>0</v>
          </cell>
          <cell r="E317">
            <v>0</v>
          </cell>
        </row>
        <row r="317">
          <cell r="G317" t="str">
            <v/>
          </cell>
          <cell r="H317" t="str">
            <v/>
          </cell>
        </row>
        <row r="318">
          <cell r="B318" t="str">
            <v/>
          </cell>
          <cell r="C318" t="str">
            <v/>
          </cell>
          <cell r="D318">
            <v>0</v>
          </cell>
          <cell r="E318">
            <v>0</v>
          </cell>
        </row>
        <row r="318">
          <cell r="G318" t="str">
            <v/>
          </cell>
          <cell r="H318" t="str">
            <v/>
          </cell>
        </row>
        <row r="319">
          <cell r="B319" t="str">
            <v/>
          </cell>
          <cell r="C319" t="str">
            <v/>
          </cell>
          <cell r="D319">
            <v>0</v>
          </cell>
          <cell r="E319">
            <v>0</v>
          </cell>
        </row>
        <row r="319">
          <cell r="G319" t="str">
            <v/>
          </cell>
          <cell r="H319" t="str">
            <v/>
          </cell>
        </row>
        <row r="320">
          <cell r="B320" t="str">
            <v/>
          </cell>
          <cell r="C320" t="str">
            <v/>
          </cell>
          <cell r="D320">
            <v>0</v>
          </cell>
          <cell r="E320">
            <v>0</v>
          </cell>
        </row>
        <row r="320">
          <cell r="G320" t="str">
            <v/>
          </cell>
          <cell r="H320" t="str">
            <v/>
          </cell>
        </row>
        <row r="321">
          <cell r="B321" t="str">
            <v/>
          </cell>
          <cell r="C321" t="str">
            <v/>
          </cell>
          <cell r="D321">
            <v>0</v>
          </cell>
          <cell r="E321">
            <v>0</v>
          </cell>
        </row>
        <row r="321">
          <cell r="G321" t="str">
            <v/>
          </cell>
          <cell r="H321" t="str">
            <v/>
          </cell>
        </row>
        <row r="322">
          <cell r="B322" t="str">
            <v/>
          </cell>
          <cell r="C322" t="str">
            <v/>
          </cell>
          <cell r="D322">
            <v>0</v>
          </cell>
          <cell r="E322">
            <v>0</v>
          </cell>
        </row>
        <row r="322">
          <cell r="G322" t="str">
            <v/>
          </cell>
          <cell r="H322" t="str">
            <v/>
          </cell>
        </row>
        <row r="323">
          <cell r="B323" t="str">
            <v/>
          </cell>
          <cell r="C323" t="str">
            <v/>
          </cell>
          <cell r="D323">
            <v>0</v>
          </cell>
          <cell r="E323">
            <v>0</v>
          </cell>
        </row>
        <row r="323">
          <cell r="G323" t="str">
            <v/>
          </cell>
          <cell r="H323" t="str">
            <v/>
          </cell>
        </row>
        <row r="324">
          <cell r="B324" t="str">
            <v/>
          </cell>
          <cell r="C324" t="str">
            <v/>
          </cell>
          <cell r="D324">
            <v>0</v>
          </cell>
          <cell r="E324">
            <v>0</v>
          </cell>
        </row>
        <row r="324">
          <cell r="G324" t="str">
            <v/>
          </cell>
          <cell r="H324" t="str">
            <v/>
          </cell>
        </row>
        <row r="325">
          <cell r="B325" t="str">
            <v/>
          </cell>
          <cell r="C325" t="str">
            <v/>
          </cell>
          <cell r="D325">
            <v>0</v>
          </cell>
          <cell r="E325">
            <v>0</v>
          </cell>
        </row>
        <row r="325">
          <cell r="G325" t="str">
            <v/>
          </cell>
          <cell r="H325" t="str">
            <v/>
          </cell>
        </row>
        <row r="326">
          <cell r="B326" t="str">
            <v/>
          </cell>
          <cell r="C326" t="str">
            <v/>
          </cell>
          <cell r="D326">
            <v>0</v>
          </cell>
          <cell r="E326">
            <v>0</v>
          </cell>
        </row>
        <row r="326">
          <cell r="G326" t="str">
            <v/>
          </cell>
          <cell r="H326" t="str">
            <v/>
          </cell>
        </row>
        <row r="327">
          <cell r="B327" t="str">
            <v/>
          </cell>
          <cell r="C327" t="str">
            <v/>
          </cell>
          <cell r="D327">
            <v>0</v>
          </cell>
          <cell r="E327">
            <v>0</v>
          </cell>
        </row>
        <row r="327">
          <cell r="G327" t="str">
            <v/>
          </cell>
          <cell r="H327" t="str">
            <v/>
          </cell>
        </row>
        <row r="328">
          <cell r="B328" t="str">
            <v/>
          </cell>
          <cell r="C328" t="str">
            <v/>
          </cell>
          <cell r="D328">
            <v>0</v>
          </cell>
          <cell r="E328">
            <v>0</v>
          </cell>
        </row>
        <row r="328">
          <cell r="G328" t="str">
            <v/>
          </cell>
          <cell r="H328" t="str">
            <v/>
          </cell>
        </row>
        <row r="329">
          <cell r="B329" t="str">
            <v/>
          </cell>
          <cell r="C329" t="str">
            <v/>
          </cell>
          <cell r="D329">
            <v>0</v>
          </cell>
          <cell r="E329">
            <v>0</v>
          </cell>
        </row>
        <row r="329">
          <cell r="G329" t="str">
            <v/>
          </cell>
          <cell r="H329" t="str">
            <v/>
          </cell>
        </row>
        <row r="330">
          <cell r="B330" t="str">
            <v/>
          </cell>
          <cell r="C330" t="str">
            <v/>
          </cell>
          <cell r="D330">
            <v>0</v>
          </cell>
          <cell r="E330">
            <v>0</v>
          </cell>
        </row>
        <row r="330">
          <cell r="G330" t="str">
            <v/>
          </cell>
          <cell r="H330" t="str">
            <v/>
          </cell>
        </row>
        <row r="331">
          <cell r="B331" t="str">
            <v/>
          </cell>
          <cell r="C331" t="str">
            <v/>
          </cell>
          <cell r="D331">
            <v>0</v>
          </cell>
          <cell r="E331">
            <v>0</v>
          </cell>
        </row>
        <row r="331">
          <cell r="G331" t="str">
            <v/>
          </cell>
          <cell r="H331" t="str">
            <v/>
          </cell>
        </row>
        <row r="332">
          <cell r="B332" t="str">
            <v/>
          </cell>
          <cell r="C332" t="str">
            <v/>
          </cell>
          <cell r="D332">
            <v>0</v>
          </cell>
          <cell r="E332">
            <v>0</v>
          </cell>
        </row>
        <row r="332">
          <cell r="G332" t="str">
            <v/>
          </cell>
          <cell r="H332" t="str">
            <v/>
          </cell>
        </row>
        <row r="333">
          <cell r="B333" t="str">
            <v/>
          </cell>
          <cell r="C333" t="str">
            <v/>
          </cell>
          <cell r="D333">
            <v>0</v>
          </cell>
          <cell r="E333">
            <v>0</v>
          </cell>
        </row>
        <row r="333">
          <cell r="G333" t="str">
            <v/>
          </cell>
          <cell r="H333" t="str">
            <v/>
          </cell>
        </row>
        <row r="334">
          <cell r="B334" t="str">
            <v/>
          </cell>
          <cell r="C334" t="str">
            <v/>
          </cell>
          <cell r="D334">
            <v>0</v>
          </cell>
          <cell r="E334">
            <v>0</v>
          </cell>
        </row>
        <row r="334">
          <cell r="G334" t="str">
            <v/>
          </cell>
          <cell r="H334" t="str">
            <v/>
          </cell>
        </row>
        <row r="335">
          <cell r="B335" t="str">
            <v/>
          </cell>
          <cell r="C335" t="str">
            <v/>
          </cell>
          <cell r="D335">
            <v>0</v>
          </cell>
          <cell r="E335">
            <v>0</v>
          </cell>
        </row>
        <row r="335">
          <cell r="G335" t="str">
            <v/>
          </cell>
          <cell r="H335" t="str">
            <v/>
          </cell>
        </row>
        <row r="336">
          <cell r="B336" t="str">
            <v/>
          </cell>
          <cell r="C336" t="str">
            <v/>
          </cell>
          <cell r="D336">
            <v>0</v>
          </cell>
          <cell r="E336">
            <v>0</v>
          </cell>
        </row>
        <row r="336">
          <cell r="G336" t="str">
            <v/>
          </cell>
          <cell r="H336" t="str">
            <v/>
          </cell>
        </row>
        <row r="337">
          <cell r="B337" t="str">
            <v/>
          </cell>
          <cell r="C337" t="str">
            <v/>
          </cell>
          <cell r="D337">
            <v>0</v>
          </cell>
          <cell r="E337">
            <v>0</v>
          </cell>
        </row>
        <row r="337">
          <cell r="G337" t="str">
            <v/>
          </cell>
          <cell r="H337" t="str">
            <v/>
          </cell>
        </row>
        <row r="338">
          <cell r="B338" t="str">
            <v/>
          </cell>
          <cell r="C338" t="str">
            <v/>
          </cell>
          <cell r="D338">
            <v>0</v>
          </cell>
          <cell r="E338">
            <v>0</v>
          </cell>
        </row>
        <row r="338">
          <cell r="G338" t="str">
            <v/>
          </cell>
          <cell r="H338" t="str">
            <v/>
          </cell>
        </row>
        <row r="339">
          <cell r="B339" t="str">
            <v/>
          </cell>
          <cell r="C339" t="str">
            <v/>
          </cell>
          <cell r="D339">
            <v>0</v>
          </cell>
          <cell r="E339">
            <v>0</v>
          </cell>
        </row>
        <row r="339">
          <cell r="G339" t="str">
            <v/>
          </cell>
          <cell r="H339" t="str">
            <v/>
          </cell>
        </row>
        <row r="340">
          <cell r="B340" t="str">
            <v/>
          </cell>
          <cell r="C340" t="str">
            <v/>
          </cell>
          <cell r="D340">
            <v>0</v>
          </cell>
          <cell r="E340">
            <v>0</v>
          </cell>
        </row>
        <row r="340">
          <cell r="G340" t="str">
            <v/>
          </cell>
          <cell r="H340" t="str">
            <v/>
          </cell>
        </row>
        <row r="341">
          <cell r="B341" t="str">
            <v/>
          </cell>
          <cell r="C341" t="str">
            <v/>
          </cell>
          <cell r="D341">
            <v>0</v>
          </cell>
          <cell r="E341">
            <v>0</v>
          </cell>
        </row>
        <row r="341">
          <cell r="G341" t="str">
            <v/>
          </cell>
          <cell r="H341" t="str">
            <v/>
          </cell>
        </row>
        <row r="342">
          <cell r="B342" t="str">
            <v/>
          </cell>
          <cell r="C342" t="str">
            <v/>
          </cell>
          <cell r="D342">
            <v>0</v>
          </cell>
          <cell r="E342">
            <v>0</v>
          </cell>
        </row>
        <row r="342">
          <cell r="G342" t="str">
            <v/>
          </cell>
          <cell r="H342" t="str">
            <v/>
          </cell>
        </row>
        <row r="343">
          <cell r="B343" t="str">
            <v/>
          </cell>
          <cell r="C343" t="str">
            <v/>
          </cell>
          <cell r="D343">
            <v>0</v>
          </cell>
          <cell r="E343">
            <v>0</v>
          </cell>
        </row>
        <row r="343">
          <cell r="G343" t="str">
            <v/>
          </cell>
          <cell r="H343" t="str">
            <v/>
          </cell>
        </row>
        <row r="344">
          <cell r="B344" t="str">
            <v/>
          </cell>
          <cell r="C344" t="str">
            <v/>
          </cell>
          <cell r="D344">
            <v>0</v>
          </cell>
          <cell r="E344">
            <v>0</v>
          </cell>
        </row>
        <row r="344">
          <cell r="G344" t="str">
            <v/>
          </cell>
          <cell r="H344" t="str">
            <v/>
          </cell>
        </row>
        <row r="345">
          <cell r="B345" t="str">
            <v/>
          </cell>
          <cell r="C345" t="str">
            <v/>
          </cell>
          <cell r="D345">
            <v>0</v>
          </cell>
          <cell r="E345">
            <v>0</v>
          </cell>
        </row>
        <row r="345">
          <cell r="G345" t="str">
            <v/>
          </cell>
          <cell r="H345" t="str">
            <v/>
          </cell>
        </row>
        <row r="346">
          <cell r="B346" t="str">
            <v/>
          </cell>
          <cell r="C346" t="str">
            <v/>
          </cell>
          <cell r="D346">
            <v>0</v>
          </cell>
          <cell r="E346">
            <v>0</v>
          </cell>
        </row>
        <row r="346">
          <cell r="G346" t="str">
            <v/>
          </cell>
          <cell r="H346" t="str">
            <v/>
          </cell>
        </row>
        <row r="347">
          <cell r="B347" t="str">
            <v/>
          </cell>
          <cell r="C347" t="str">
            <v/>
          </cell>
          <cell r="D347">
            <v>0</v>
          </cell>
          <cell r="E347">
            <v>0</v>
          </cell>
        </row>
        <row r="347">
          <cell r="G347" t="str">
            <v/>
          </cell>
          <cell r="H347" t="str">
            <v/>
          </cell>
        </row>
        <row r="348">
          <cell r="B348" t="str">
            <v/>
          </cell>
          <cell r="C348" t="str">
            <v/>
          </cell>
          <cell r="D348">
            <v>0</v>
          </cell>
          <cell r="E348">
            <v>0</v>
          </cell>
        </row>
        <row r="348">
          <cell r="G348" t="str">
            <v/>
          </cell>
          <cell r="H348" t="str">
            <v/>
          </cell>
        </row>
        <row r="349">
          <cell r="B349" t="str">
            <v/>
          </cell>
          <cell r="C349" t="str">
            <v/>
          </cell>
          <cell r="D349">
            <v>0</v>
          </cell>
          <cell r="E349">
            <v>0</v>
          </cell>
        </row>
        <row r="349">
          <cell r="G349" t="str">
            <v/>
          </cell>
          <cell r="H349" t="str">
            <v/>
          </cell>
        </row>
        <row r="350">
          <cell r="B350" t="str">
            <v/>
          </cell>
          <cell r="C350" t="str">
            <v/>
          </cell>
          <cell r="D350">
            <v>0</v>
          </cell>
          <cell r="E350">
            <v>0</v>
          </cell>
        </row>
        <row r="350">
          <cell r="G350" t="str">
            <v/>
          </cell>
          <cell r="H350" t="str">
            <v/>
          </cell>
        </row>
        <row r="351">
          <cell r="B351" t="str">
            <v/>
          </cell>
          <cell r="C351" t="str">
            <v/>
          </cell>
          <cell r="D351">
            <v>0</v>
          </cell>
          <cell r="E351">
            <v>0</v>
          </cell>
        </row>
        <row r="351">
          <cell r="G351" t="str">
            <v/>
          </cell>
          <cell r="H351" t="str">
            <v/>
          </cell>
        </row>
        <row r="352">
          <cell r="B352" t="str">
            <v/>
          </cell>
          <cell r="C352" t="str">
            <v/>
          </cell>
          <cell r="D352">
            <v>0</v>
          </cell>
          <cell r="E352">
            <v>0</v>
          </cell>
        </row>
        <row r="352">
          <cell r="G352" t="str">
            <v/>
          </cell>
          <cell r="H352" t="str">
            <v/>
          </cell>
        </row>
        <row r="353">
          <cell r="B353" t="str">
            <v/>
          </cell>
          <cell r="C353" t="str">
            <v/>
          </cell>
          <cell r="D353">
            <v>0</v>
          </cell>
          <cell r="E353">
            <v>0</v>
          </cell>
        </row>
        <row r="353">
          <cell r="G353" t="str">
            <v/>
          </cell>
          <cell r="H353" t="str">
            <v/>
          </cell>
        </row>
        <row r="354">
          <cell r="B354" t="str">
            <v/>
          </cell>
          <cell r="C354" t="str">
            <v/>
          </cell>
          <cell r="D354">
            <v>0</v>
          </cell>
          <cell r="E354">
            <v>0</v>
          </cell>
        </row>
        <row r="354">
          <cell r="G354" t="str">
            <v/>
          </cell>
          <cell r="H354" t="str">
            <v/>
          </cell>
        </row>
        <row r="355">
          <cell r="B355" t="str">
            <v/>
          </cell>
          <cell r="C355" t="str">
            <v/>
          </cell>
          <cell r="D355">
            <v>0</v>
          </cell>
          <cell r="E355">
            <v>0</v>
          </cell>
        </row>
        <row r="355">
          <cell r="G355" t="str">
            <v/>
          </cell>
          <cell r="H355" t="str">
            <v/>
          </cell>
        </row>
        <row r="356">
          <cell r="B356" t="str">
            <v/>
          </cell>
          <cell r="C356" t="str">
            <v/>
          </cell>
          <cell r="D356">
            <v>0</v>
          </cell>
          <cell r="E356">
            <v>0</v>
          </cell>
        </row>
        <row r="356">
          <cell r="G356" t="str">
            <v/>
          </cell>
          <cell r="H356" t="str">
            <v/>
          </cell>
        </row>
        <row r="357">
          <cell r="B357" t="str">
            <v/>
          </cell>
          <cell r="C357" t="str">
            <v/>
          </cell>
          <cell r="D357">
            <v>0</v>
          </cell>
          <cell r="E357">
            <v>0</v>
          </cell>
        </row>
        <row r="357">
          <cell r="G357" t="str">
            <v/>
          </cell>
          <cell r="H357" t="str">
            <v/>
          </cell>
        </row>
        <row r="358">
          <cell r="B358" t="str">
            <v/>
          </cell>
          <cell r="C358" t="str">
            <v/>
          </cell>
          <cell r="D358">
            <v>0</v>
          </cell>
          <cell r="E358">
            <v>0</v>
          </cell>
        </row>
        <row r="358">
          <cell r="G358" t="str">
            <v/>
          </cell>
          <cell r="H358" t="str">
            <v/>
          </cell>
        </row>
        <row r="359">
          <cell r="B359" t="str">
            <v/>
          </cell>
          <cell r="C359" t="str">
            <v/>
          </cell>
          <cell r="D359">
            <v>0</v>
          </cell>
          <cell r="E359">
            <v>0</v>
          </cell>
        </row>
        <row r="359">
          <cell r="G359" t="str">
            <v/>
          </cell>
          <cell r="H359" t="str">
            <v/>
          </cell>
        </row>
        <row r="360">
          <cell r="B360" t="str">
            <v/>
          </cell>
          <cell r="C360" t="str">
            <v/>
          </cell>
          <cell r="D360">
            <v>0</v>
          </cell>
          <cell r="E360">
            <v>0</v>
          </cell>
        </row>
        <row r="360">
          <cell r="G360" t="str">
            <v/>
          </cell>
          <cell r="H360" t="str">
            <v/>
          </cell>
        </row>
        <row r="361">
          <cell r="B361" t="str">
            <v/>
          </cell>
          <cell r="C361" t="str">
            <v/>
          </cell>
          <cell r="D361">
            <v>0</v>
          </cell>
          <cell r="E361">
            <v>0</v>
          </cell>
        </row>
        <row r="361">
          <cell r="G361" t="str">
            <v/>
          </cell>
          <cell r="H361" t="str">
            <v/>
          </cell>
        </row>
        <row r="362">
          <cell r="B362" t="str">
            <v/>
          </cell>
          <cell r="C362" t="str">
            <v/>
          </cell>
          <cell r="D362">
            <v>0</v>
          </cell>
          <cell r="E362">
            <v>0</v>
          </cell>
        </row>
        <row r="362">
          <cell r="G362" t="str">
            <v/>
          </cell>
          <cell r="H362" t="str">
            <v/>
          </cell>
        </row>
        <row r="363">
          <cell r="B363" t="str">
            <v/>
          </cell>
          <cell r="C363" t="str">
            <v/>
          </cell>
          <cell r="D363">
            <v>0</v>
          </cell>
          <cell r="E363">
            <v>0</v>
          </cell>
        </row>
        <row r="363">
          <cell r="G363" t="str">
            <v/>
          </cell>
          <cell r="H363" t="str">
            <v/>
          </cell>
        </row>
        <row r="364">
          <cell r="B364" t="str">
            <v/>
          </cell>
          <cell r="C364" t="str">
            <v/>
          </cell>
          <cell r="D364">
            <v>0</v>
          </cell>
          <cell r="E364">
            <v>0</v>
          </cell>
        </row>
        <row r="364">
          <cell r="G364" t="str">
            <v/>
          </cell>
          <cell r="H364" t="str">
            <v/>
          </cell>
        </row>
        <row r="365">
          <cell r="B365" t="str">
            <v/>
          </cell>
          <cell r="C365" t="str">
            <v/>
          </cell>
          <cell r="D365">
            <v>0</v>
          </cell>
          <cell r="E365">
            <v>0</v>
          </cell>
        </row>
        <row r="365">
          <cell r="G365" t="str">
            <v/>
          </cell>
          <cell r="H365" t="str">
            <v/>
          </cell>
        </row>
        <row r="366">
          <cell r="B366" t="str">
            <v/>
          </cell>
          <cell r="C366" t="str">
            <v/>
          </cell>
          <cell r="D366">
            <v>0</v>
          </cell>
          <cell r="E366">
            <v>0</v>
          </cell>
        </row>
        <row r="366">
          <cell r="G366" t="str">
            <v/>
          </cell>
          <cell r="H366" t="str">
            <v/>
          </cell>
        </row>
        <row r="367">
          <cell r="B367" t="str">
            <v/>
          </cell>
          <cell r="C367" t="str">
            <v/>
          </cell>
          <cell r="D367">
            <v>0</v>
          </cell>
          <cell r="E367">
            <v>0</v>
          </cell>
        </row>
        <row r="367">
          <cell r="G367" t="str">
            <v/>
          </cell>
          <cell r="H367" t="str">
            <v/>
          </cell>
        </row>
        <row r="368">
          <cell r="B368" t="str">
            <v/>
          </cell>
          <cell r="C368" t="str">
            <v/>
          </cell>
          <cell r="D368">
            <v>0</v>
          </cell>
          <cell r="E368">
            <v>0</v>
          </cell>
        </row>
        <row r="368">
          <cell r="G368" t="str">
            <v/>
          </cell>
          <cell r="H368" t="str">
            <v/>
          </cell>
        </row>
        <row r="369">
          <cell r="B369" t="str">
            <v/>
          </cell>
          <cell r="C369" t="str">
            <v/>
          </cell>
          <cell r="D369">
            <v>0</v>
          </cell>
          <cell r="E369">
            <v>0</v>
          </cell>
        </row>
        <row r="369">
          <cell r="G369" t="str">
            <v/>
          </cell>
          <cell r="H369" t="str">
            <v/>
          </cell>
        </row>
        <row r="370">
          <cell r="B370" t="str">
            <v/>
          </cell>
          <cell r="C370" t="str">
            <v/>
          </cell>
          <cell r="D370">
            <v>0</v>
          </cell>
          <cell r="E370">
            <v>0</v>
          </cell>
        </row>
        <row r="370">
          <cell r="G370" t="str">
            <v/>
          </cell>
          <cell r="H370" t="str">
            <v/>
          </cell>
        </row>
        <row r="371">
          <cell r="B371" t="str">
            <v/>
          </cell>
          <cell r="C371" t="str">
            <v/>
          </cell>
          <cell r="D371">
            <v>0</v>
          </cell>
          <cell r="E371">
            <v>0</v>
          </cell>
        </row>
        <row r="371">
          <cell r="G371" t="str">
            <v/>
          </cell>
          <cell r="H371" t="str">
            <v/>
          </cell>
        </row>
        <row r="372">
          <cell r="B372" t="str">
            <v/>
          </cell>
          <cell r="C372" t="str">
            <v/>
          </cell>
          <cell r="D372">
            <v>0</v>
          </cell>
          <cell r="E372">
            <v>0</v>
          </cell>
        </row>
        <row r="372">
          <cell r="G372" t="str">
            <v/>
          </cell>
          <cell r="H372" t="str">
            <v/>
          </cell>
        </row>
        <row r="373">
          <cell r="B373" t="str">
            <v/>
          </cell>
          <cell r="C373" t="str">
            <v/>
          </cell>
          <cell r="D373">
            <v>0</v>
          </cell>
          <cell r="E373">
            <v>0</v>
          </cell>
        </row>
        <row r="373">
          <cell r="G373" t="str">
            <v/>
          </cell>
          <cell r="H373" t="str">
            <v/>
          </cell>
        </row>
        <row r="374">
          <cell r="B374" t="str">
            <v/>
          </cell>
          <cell r="C374" t="str">
            <v/>
          </cell>
          <cell r="D374">
            <v>0</v>
          </cell>
          <cell r="E374">
            <v>0</v>
          </cell>
        </row>
        <row r="374">
          <cell r="G374" t="str">
            <v/>
          </cell>
          <cell r="H374" t="str">
            <v/>
          </cell>
        </row>
        <row r="375">
          <cell r="B375" t="str">
            <v/>
          </cell>
          <cell r="C375" t="str">
            <v/>
          </cell>
          <cell r="D375">
            <v>0</v>
          </cell>
          <cell r="E375">
            <v>0</v>
          </cell>
        </row>
        <row r="375">
          <cell r="G375" t="str">
            <v/>
          </cell>
          <cell r="H375" t="str">
            <v/>
          </cell>
        </row>
        <row r="376">
          <cell r="B376" t="str">
            <v/>
          </cell>
          <cell r="C376" t="str">
            <v/>
          </cell>
          <cell r="D376">
            <v>0</v>
          </cell>
          <cell r="E376">
            <v>0</v>
          </cell>
        </row>
        <row r="376">
          <cell r="G376" t="str">
            <v/>
          </cell>
          <cell r="H376" t="str">
            <v/>
          </cell>
        </row>
        <row r="377">
          <cell r="B377" t="str">
            <v/>
          </cell>
          <cell r="C377" t="str">
            <v/>
          </cell>
          <cell r="D377">
            <v>0</v>
          </cell>
          <cell r="E377">
            <v>0</v>
          </cell>
        </row>
        <row r="377">
          <cell r="G377" t="str">
            <v/>
          </cell>
          <cell r="H377" t="str">
            <v/>
          </cell>
        </row>
        <row r="378">
          <cell r="B378" t="str">
            <v/>
          </cell>
          <cell r="C378" t="str">
            <v/>
          </cell>
          <cell r="D378">
            <v>0</v>
          </cell>
          <cell r="E378">
            <v>0</v>
          </cell>
        </row>
        <row r="378">
          <cell r="G378" t="str">
            <v/>
          </cell>
          <cell r="H378" t="str">
            <v/>
          </cell>
        </row>
        <row r="379">
          <cell r="B379" t="str">
            <v/>
          </cell>
          <cell r="C379" t="str">
            <v/>
          </cell>
          <cell r="D379">
            <v>0</v>
          </cell>
          <cell r="E379">
            <v>0</v>
          </cell>
        </row>
        <row r="379">
          <cell r="G379" t="str">
            <v/>
          </cell>
          <cell r="H379" t="str">
            <v/>
          </cell>
        </row>
        <row r="380">
          <cell r="B380" t="str">
            <v/>
          </cell>
          <cell r="C380" t="str">
            <v/>
          </cell>
          <cell r="D380">
            <v>0</v>
          </cell>
          <cell r="E380">
            <v>0</v>
          </cell>
        </row>
        <row r="380">
          <cell r="G380" t="str">
            <v/>
          </cell>
          <cell r="H380" t="str">
            <v/>
          </cell>
        </row>
        <row r="381">
          <cell r="B381" t="str">
            <v/>
          </cell>
          <cell r="C381" t="str">
            <v/>
          </cell>
          <cell r="D381">
            <v>0</v>
          </cell>
          <cell r="E381">
            <v>0</v>
          </cell>
        </row>
        <row r="381">
          <cell r="G381" t="str">
            <v/>
          </cell>
          <cell r="H381" t="str">
            <v/>
          </cell>
        </row>
        <row r="382">
          <cell r="B382" t="str">
            <v/>
          </cell>
          <cell r="C382" t="str">
            <v/>
          </cell>
          <cell r="D382">
            <v>0</v>
          </cell>
          <cell r="E382">
            <v>0</v>
          </cell>
        </row>
        <row r="382">
          <cell r="G382" t="str">
            <v/>
          </cell>
          <cell r="H382" t="str">
            <v/>
          </cell>
        </row>
        <row r="383">
          <cell r="B383" t="str">
            <v/>
          </cell>
          <cell r="C383" t="str">
            <v/>
          </cell>
          <cell r="D383">
            <v>0</v>
          </cell>
          <cell r="E383">
            <v>0</v>
          </cell>
        </row>
        <row r="383">
          <cell r="G383" t="str">
            <v/>
          </cell>
          <cell r="H383" t="str">
            <v/>
          </cell>
        </row>
        <row r="384">
          <cell r="B384" t="str">
            <v/>
          </cell>
          <cell r="C384" t="str">
            <v/>
          </cell>
          <cell r="D384">
            <v>0</v>
          </cell>
          <cell r="E384">
            <v>0</v>
          </cell>
        </row>
        <row r="384">
          <cell r="G384" t="str">
            <v/>
          </cell>
          <cell r="H384" t="str">
            <v/>
          </cell>
        </row>
        <row r="385">
          <cell r="B385" t="str">
            <v/>
          </cell>
          <cell r="C385" t="str">
            <v/>
          </cell>
          <cell r="D385">
            <v>0</v>
          </cell>
          <cell r="E385">
            <v>0</v>
          </cell>
        </row>
        <row r="385">
          <cell r="G385" t="str">
            <v/>
          </cell>
          <cell r="H385" t="str">
            <v/>
          </cell>
        </row>
        <row r="386">
          <cell r="B386" t="str">
            <v/>
          </cell>
          <cell r="C386" t="str">
            <v/>
          </cell>
          <cell r="D386">
            <v>0</v>
          </cell>
          <cell r="E386">
            <v>0</v>
          </cell>
        </row>
        <row r="386">
          <cell r="G386" t="str">
            <v/>
          </cell>
          <cell r="H386" t="str">
            <v/>
          </cell>
        </row>
        <row r="387">
          <cell r="B387" t="str">
            <v/>
          </cell>
          <cell r="C387" t="str">
            <v/>
          </cell>
          <cell r="D387">
            <v>0</v>
          </cell>
          <cell r="E387">
            <v>0</v>
          </cell>
        </row>
        <row r="387">
          <cell r="G387" t="str">
            <v/>
          </cell>
          <cell r="H387" t="str">
            <v/>
          </cell>
        </row>
        <row r="388">
          <cell r="B388" t="str">
            <v/>
          </cell>
          <cell r="C388" t="str">
            <v/>
          </cell>
          <cell r="D388">
            <v>0</v>
          </cell>
          <cell r="E388">
            <v>0</v>
          </cell>
        </row>
        <row r="388">
          <cell r="G388" t="str">
            <v/>
          </cell>
          <cell r="H388" t="str">
            <v/>
          </cell>
        </row>
        <row r="389">
          <cell r="B389" t="str">
            <v/>
          </cell>
          <cell r="C389" t="str">
            <v/>
          </cell>
          <cell r="D389">
            <v>0</v>
          </cell>
          <cell r="E389">
            <v>0</v>
          </cell>
        </row>
        <row r="389">
          <cell r="G389" t="str">
            <v/>
          </cell>
          <cell r="H389" t="str">
            <v/>
          </cell>
        </row>
        <row r="390">
          <cell r="B390" t="str">
            <v/>
          </cell>
          <cell r="C390" t="str">
            <v/>
          </cell>
          <cell r="D390">
            <v>0</v>
          </cell>
          <cell r="E390">
            <v>0</v>
          </cell>
        </row>
        <row r="390">
          <cell r="G390" t="str">
            <v/>
          </cell>
          <cell r="H390" t="str">
            <v/>
          </cell>
        </row>
        <row r="391">
          <cell r="B391" t="str">
            <v/>
          </cell>
          <cell r="C391" t="str">
            <v/>
          </cell>
          <cell r="D391">
            <v>0</v>
          </cell>
          <cell r="E391">
            <v>0</v>
          </cell>
        </row>
        <row r="391">
          <cell r="G391" t="str">
            <v/>
          </cell>
          <cell r="H391" t="str">
            <v/>
          </cell>
        </row>
        <row r="392">
          <cell r="B392" t="str">
            <v/>
          </cell>
          <cell r="C392" t="str">
            <v/>
          </cell>
          <cell r="D392">
            <v>0</v>
          </cell>
          <cell r="E392">
            <v>0</v>
          </cell>
        </row>
        <row r="392">
          <cell r="G392" t="str">
            <v/>
          </cell>
          <cell r="H392" t="str">
            <v/>
          </cell>
        </row>
        <row r="393">
          <cell r="B393" t="str">
            <v/>
          </cell>
          <cell r="C393" t="str">
            <v/>
          </cell>
          <cell r="D393">
            <v>0</v>
          </cell>
          <cell r="E393">
            <v>0</v>
          </cell>
        </row>
        <row r="393">
          <cell r="G393" t="str">
            <v/>
          </cell>
          <cell r="H393" t="str">
            <v/>
          </cell>
        </row>
        <row r="394">
          <cell r="B394" t="str">
            <v/>
          </cell>
          <cell r="C394" t="str">
            <v/>
          </cell>
          <cell r="D394">
            <v>0</v>
          </cell>
          <cell r="E394">
            <v>0</v>
          </cell>
        </row>
        <row r="394">
          <cell r="G394" t="str">
            <v/>
          </cell>
          <cell r="H394" t="str">
            <v/>
          </cell>
        </row>
        <row r="395">
          <cell r="B395" t="str">
            <v/>
          </cell>
          <cell r="C395" t="str">
            <v/>
          </cell>
          <cell r="D395">
            <v>0</v>
          </cell>
          <cell r="E395">
            <v>0</v>
          </cell>
        </row>
        <row r="395">
          <cell r="G395" t="str">
            <v/>
          </cell>
          <cell r="H395" t="str">
            <v/>
          </cell>
        </row>
        <row r="396">
          <cell r="B396" t="str">
            <v/>
          </cell>
          <cell r="C396" t="str">
            <v/>
          </cell>
          <cell r="D396">
            <v>0</v>
          </cell>
          <cell r="E396">
            <v>0</v>
          </cell>
        </row>
        <row r="396">
          <cell r="G396" t="str">
            <v/>
          </cell>
          <cell r="H396" t="str">
            <v/>
          </cell>
        </row>
        <row r="397">
          <cell r="B397" t="str">
            <v/>
          </cell>
          <cell r="C397" t="str">
            <v/>
          </cell>
          <cell r="D397">
            <v>0</v>
          </cell>
          <cell r="E397">
            <v>0</v>
          </cell>
        </row>
        <row r="397">
          <cell r="G397" t="str">
            <v/>
          </cell>
          <cell r="H397" t="str">
            <v/>
          </cell>
        </row>
        <row r="398">
          <cell r="B398" t="str">
            <v/>
          </cell>
          <cell r="C398" t="str">
            <v/>
          </cell>
          <cell r="D398">
            <v>0</v>
          </cell>
          <cell r="E398">
            <v>0</v>
          </cell>
        </row>
        <row r="398">
          <cell r="G398" t="str">
            <v/>
          </cell>
          <cell r="H398" t="str">
            <v/>
          </cell>
        </row>
        <row r="399">
          <cell r="B399" t="str">
            <v/>
          </cell>
          <cell r="C399" t="str">
            <v/>
          </cell>
          <cell r="D399">
            <v>0</v>
          </cell>
          <cell r="E399">
            <v>0</v>
          </cell>
        </row>
        <row r="399">
          <cell r="G399" t="str">
            <v/>
          </cell>
          <cell r="H399" t="str">
            <v/>
          </cell>
        </row>
        <row r="400">
          <cell r="B400" t="str">
            <v/>
          </cell>
          <cell r="C400" t="str">
            <v/>
          </cell>
          <cell r="D400">
            <v>0</v>
          </cell>
          <cell r="E400">
            <v>0</v>
          </cell>
        </row>
        <row r="400">
          <cell r="G400" t="str">
            <v/>
          </cell>
          <cell r="H400" t="str">
            <v/>
          </cell>
        </row>
        <row r="401">
          <cell r="B401" t="str">
            <v/>
          </cell>
          <cell r="C401" t="str">
            <v/>
          </cell>
          <cell r="D401">
            <v>0</v>
          </cell>
          <cell r="E401">
            <v>0</v>
          </cell>
        </row>
        <row r="401">
          <cell r="G401" t="str">
            <v/>
          </cell>
          <cell r="H401" t="str">
            <v/>
          </cell>
        </row>
        <row r="402">
          <cell r="B402" t="str">
            <v/>
          </cell>
          <cell r="C402" t="str">
            <v/>
          </cell>
          <cell r="D402">
            <v>0</v>
          </cell>
          <cell r="E402">
            <v>0</v>
          </cell>
        </row>
        <row r="402">
          <cell r="G402" t="str">
            <v/>
          </cell>
          <cell r="H402" t="str">
            <v/>
          </cell>
        </row>
        <row r="403">
          <cell r="B403" t="str">
            <v/>
          </cell>
          <cell r="C403" t="str">
            <v/>
          </cell>
          <cell r="D403">
            <v>0</v>
          </cell>
          <cell r="E403">
            <v>0</v>
          </cell>
        </row>
        <row r="403">
          <cell r="G403" t="str">
            <v/>
          </cell>
          <cell r="H403" t="str">
            <v/>
          </cell>
        </row>
        <row r="404">
          <cell r="B404" t="str">
            <v/>
          </cell>
          <cell r="C404" t="str">
            <v/>
          </cell>
          <cell r="D404">
            <v>0</v>
          </cell>
          <cell r="E404">
            <v>0</v>
          </cell>
        </row>
        <row r="404">
          <cell r="G404" t="str">
            <v/>
          </cell>
          <cell r="H404" t="str">
            <v/>
          </cell>
        </row>
        <row r="405">
          <cell r="B405" t="str">
            <v/>
          </cell>
          <cell r="C405" t="str">
            <v/>
          </cell>
          <cell r="D405">
            <v>0</v>
          </cell>
          <cell r="E405">
            <v>0</v>
          </cell>
        </row>
        <row r="405">
          <cell r="G405" t="str">
            <v/>
          </cell>
          <cell r="H405" t="str">
            <v/>
          </cell>
        </row>
        <row r="406">
          <cell r="B406" t="str">
            <v/>
          </cell>
          <cell r="C406" t="str">
            <v/>
          </cell>
          <cell r="D406">
            <v>0</v>
          </cell>
          <cell r="E406">
            <v>0</v>
          </cell>
        </row>
        <row r="406">
          <cell r="G406" t="str">
            <v/>
          </cell>
          <cell r="H406" t="str">
            <v/>
          </cell>
        </row>
        <row r="407">
          <cell r="B407" t="str">
            <v/>
          </cell>
          <cell r="C407" t="str">
            <v/>
          </cell>
          <cell r="D407">
            <v>0</v>
          </cell>
          <cell r="E407">
            <v>0</v>
          </cell>
        </row>
        <row r="407">
          <cell r="G407" t="str">
            <v/>
          </cell>
          <cell r="H407" t="str">
            <v/>
          </cell>
        </row>
        <row r="408">
          <cell r="B408" t="str">
            <v/>
          </cell>
          <cell r="C408" t="str">
            <v/>
          </cell>
          <cell r="D408">
            <v>0</v>
          </cell>
          <cell r="E408">
            <v>0</v>
          </cell>
        </row>
        <row r="408">
          <cell r="G408" t="str">
            <v/>
          </cell>
          <cell r="H408" t="str">
            <v/>
          </cell>
        </row>
        <row r="409">
          <cell r="B409" t="str">
            <v/>
          </cell>
          <cell r="C409" t="str">
            <v/>
          </cell>
          <cell r="D409">
            <v>0</v>
          </cell>
          <cell r="E409">
            <v>0</v>
          </cell>
        </row>
        <row r="409">
          <cell r="G409" t="str">
            <v/>
          </cell>
          <cell r="H409" t="str">
            <v/>
          </cell>
        </row>
        <row r="410">
          <cell r="B410" t="str">
            <v/>
          </cell>
          <cell r="C410" t="str">
            <v/>
          </cell>
          <cell r="D410">
            <v>0</v>
          </cell>
          <cell r="E410">
            <v>0</v>
          </cell>
        </row>
        <row r="410">
          <cell r="G410" t="str">
            <v/>
          </cell>
          <cell r="H410" t="str">
            <v/>
          </cell>
        </row>
        <row r="411">
          <cell r="B411" t="str">
            <v/>
          </cell>
          <cell r="C411" t="str">
            <v/>
          </cell>
          <cell r="D411">
            <v>0</v>
          </cell>
          <cell r="E411">
            <v>0</v>
          </cell>
        </row>
        <row r="411">
          <cell r="G411" t="str">
            <v/>
          </cell>
          <cell r="H411" t="str">
            <v/>
          </cell>
        </row>
        <row r="412">
          <cell r="B412" t="str">
            <v/>
          </cell>
          <cell r="C412" t="str">
            <v/>
          </cell>
          <cell r="D412">
            <v>0</v>
          </cell>
          <cell r="E412">
            <v>0</v>
          </cell>
        </row>
        <row r="412">
          <cell r="G412" t="str">
            <v/>
          </cell>
          <cell r="H412" t="str">
            <v/>
          </cell>
        </row>
        <row r="413">
          <cell r="B413" t="str">
            <v/>
          </cell>
          <cell r="C413" t="str">
            <v/>
          </cell>
          <cell r="D413">
            <v>0</v>
          </cell>
          <cell r="E413">
            <v>0</v>
          </cell>
        </row>
        <row r="413">
          <cell r="G413" t="str">
            <v/>
          </cell>
          <cell r="H413" t="str">
            <v/>
          </cell>
        </row>
        <row r="414">
          <cell r="B414" t="str">
            <v/>
          </cell>
          <cell r="C414" t="str">
            <v/>
          </cell>
          <cell r="D414">
            <v>0</v>
          </cell>
          <cell r="E414">
            <v>0</v>
          </cell>
        </row>
        <row r="414">
          <cell r="G414" t="str">
            <v/>
          </cell>
          <cell r="H414" t="str">
            <v/>
          </cell>
        </row>
        <row r="415">
          <cell r="B415" t="str">
            <v/>
          </cell>
          <cell r="C415" t="str">
            <v/>
          </cell>
          <cell r="D415">
            <v>0</v>
          </cell>
          <cell r="E415">
            <v>0</v>
          </cell>
        </row>
        <row r="415">
          <cell r="G415" t="str">
            <v/>
          </cell>
          <cell r="H415" t="str">
            <v/>
          </cell>
        </row>
        <row r="416">
          <cell r="B416" t="str">
            <v/>
          </cell>
          <cell r="C416" t="str">
            <v/>
          </cell>
          <cell r="D416">
            <v>0</v>
          </cell>
          <cell r="E416">
            <v>0</v>
          </cell>
        </row>
        <row r="416">
          <cell r="G416" t="str">
            <v/>
          </cell>
          <cell r="H416" t="str">
            <v/>
          </cell>
        </row>
        <row r="417">
          <cell r="B417" t="str">
            <v/>
          </cell>
          <cell r="C417" t="str">
            <v/>
          </cell>
          <cell r="D417">
            <v>0</v>
          </cell>
          <cell r="E417">
            <v>0</v>
          </cell>
        </row>
        <row r="417">
          <cell r="G417" t="str">
            <v/>
          </cell>
          <cell r="H417" t="str">
            <v/>
          </cell>
        </row>
        <row r="418">
          <cell r="B418" t="str">
            <v/>
          </cell>
          <cell r="C418" t="str">
            <v/>
          </cell>
          <cell r="D418">
            <v>0</v>
          </cell>
          <cell r="E418">
            <v>0</v>
          </cell>
        </row>
        <row r="418">
          <cell r="G418" t="str">
            <v/>
          </cell>
          <cell r="H418" t="str">
            <v/>
          </cell>
        </row>
        <row r="419">
          <cell r="B419" t="str">
            <v/>
          </cell>
          <cell r="C419" t="str">
            <v/>
          </cell>
          <cell r="D419">
            <v>0</v>
          </cell>
          <cell r="E419">
            <v>0</v>
          </cell>
        </row>
        <row r="419">
          <cell r="G419" t="str">
            <v/>
          </cell>
          <cell r="H419" t="str">
            <v/>
          </cell>
        </row>
        <row r="420">
          <cell r="B420" t="str">
            <v/>
          </cell>
          <cell r="C420" t="str">
            <v/>
          </cell>
          <cell r="D420">
            <v>0</v>
          </cell>
          <cell r="E420">
            <v>0</v>
          </cell>
        </row>
        <row r="420">
          <cell r="G420" t="str">
            <v/>
          </cell>
          <cell r="H420" t="str">
            <v/>
          </cell>
        </row>
        <row r="421">
          <cell r="B421" t="str">
            <v/>
          </cell>
          <cell r="C421" t="str">
            <v/>
          </cell>
          <cell r="D421">
            <v>0</v>
          </cell>
          <cell r="E421">
            <v>0</v>
          </cell>
        </row>
        <row r="421">
          <cell r="G421" t="str">
            <v/>
          </cell>
          <cell r="H421" t="str">
            <v/>
          </cell>
        </row>
        <row r="422">
          <cell r="B422" t="str">
            <v/>
          </cell>
          <cell r="C422" t="str">
            <v/>
          </cell>
          <cell r="D422">
            <v>0</v>
          </cell>
          <cell r="E422">
            <v>0</v>
          </cell>
        </row>
        <row r="422">
          <cell r="G422" t="str">
            <v/>
          </cell>
          <cell r="H422" t="str">
            <v/>
          </cell>
        </row>
        <row r="423">
          <cell r="B423" t="str">
            <v/>
          </cell>
          <cell r="C423" t="str">
            <v/>
          </cell>
          <cell r="D423">
            <v>0</v>
          </cell>
          <cell r="E423">
            <v>0</v>
          </cell>
        </row>
        <row r="423">
          <cell r="G423" t="str">
            <v/>
          </cell>
          <cell r="H423" t="str">
            <v/>
          </cell>
        </row>
        <row r="424">
          <cell r="B424" t="str">
            <v/>
          </cell>
          <cell r="C424" t="str">
            <v/>
          </cell>
          <cell r="D424">
            <v>0</v>
          </cell>
          <cell r="E424">
            <v>0</v>
          </cell>
        </row>
        <row r="424">
          <cell r="G424" t="str">
            <v/>
          </cell>
          <cell r="H424" t="str">
            <v/>
          </cell>
        </row>
        <row r="425">
          <cell r="B425" t="str">
            <v/>
          </cell>
          <cell r="C425" t="str">
            <v/>
          </cell>
          <cell r="D425">
            <v>0</v>
          </cell>
          <cell r="E425">
            <v>0</v>
          </cell>
        </row>
        <row r="425">
          <cell r="G425" t="str">
            <v/>
          </cell>
          <cell r="H425" t="str">
            <v/>
          </cell>
        </row>
        <row r="426">
          <cell r="B426" t="str">
            <v/>
          </cell>
          <cell r="C426" t="str">
            <v/>
          </cell>
          <cell r="D426">
            <v>0</v>
          </cell>
          <cell r="E426">
            <v>0</v>
          </cell>
        </row>
        <row r="426">
          <cell r="G426" t="str">
            <v/>
          </cell>
          <cell r="H426" t="str">
            <v/>
          </cell>
        </row>
        <row r="427">
          <cell r="B427" t="str">
            <v/>
          </cell>
          <cell r="C427" t="str">
            <v/>
          </cell>
          <cell r="D427">
            <v>0</v>
          </cell>
          <cell r="E427">
            <v>0</v>
          </cell>
        </row>
        <row r="427">
          <cell r="G427" t="str">
            <v/>
          </cell>
          <cell r="H427" t="str">
            <v/>
          </cell>
        </row>
        <row r="428">
          <cell r="B428" t="str">
            <v/>
          </cell>
          <cell r="C428" t="str">
            <v/>
          </cell>
          <cell r="D428">
            <v>0</v>
          </cell>
          <cell r="E428">
            <v>0</v>
          </cell>
        </row>
        <row r="428">
          <cell r="G428" t="str">
            <v/>
          </cell>
          <cell r="H428" t="str">
            <v/>
          </cell>
        </row>
        <row r="429">
          <cell r="B429" t="str">
            <v/>
          </cell>
          <cell r="C429" t="str">
            <v/>
          </cell>
          <cell r="D429">
            <v>0</v>
          </cell>
          <cell r="E429">
            <v>0</v>
          </cell>
        </row>
        <row r="429">
          <cell r="G429" t="str">
            <v/>
          </cell>
          <cell r="H429" t="str">
            <v/>
          </cell>
        </row>
        <row r="430">
          <cell r="B430" t="str">
            <v/>
          </cell>
          <cell r="C430" t="str">
            <v/>
          </cell>
          <cell r="D430">
            <v>0</v>
          </cell>
          <cell r="E430">
            <v>0</v>
          </cell>
        </row>
        <row r="430">
          <cell r="G430" t="str">
            <v/>
          </cell>
          <cell r="H430" t="str">
            <v/>
          </cell>
        </row>
        <row r="431">
          <cell r="B431" t="str">
            <v/>
          </cell>
          <cell r="C431" t="str">
            <v/>
          </cell>
          <cell r="D431">
            <v>0</v>
          </cell>
          <cell r="E431">
            <v>0</v>
          </cell>
        </row>
        <row r="431">
          <cell r="G431" t="str">
            <v/>
          </cell>
          <cell r="H431" t="str">
            <v/>
          </cell>
        </row>
        <row r="432">
          <cell r="B432" t="str">
            <v/>
          </cell>
          <cell r="C432" t="str">
            <v/>
          </cell>
          <cell r="D432">
            <v>0</v>
          </cell>
          <cell r="E432">
            <v>0</v>
          </cell>
        </row>
        <row r="432">
          <cell r="G432" t="str">
            <v/>
          </cell>
          <cell r="H432" t="str">
            <v/>
          </cell>
        </row>
        <row r="433">
          <cell r="B433" t="str">
            <v/>
          </cell>
          <cell r="C433" t="str">
            <v/>
          </cell>
          <cell r="D433">
            <v>0</v>
          </cell>
          <cell r="E433">
            <v>0</v>
          </cell>
        </row>
        <row r="433">
          <cell r="G433" t="str">
            <v/>
          </cell>
          <cell r="H433" t="str">
            <v/>
          </cell>
        </row>
        <row r="434">
          <cell r="B434" t="str">
            <v/>
          </cell>
          <cell r="C434" t="str">
            <v/>
          </cell>
          <cell r="D434">
            <v>0</v>
          </cell>
          <cell r="E434">
            <v>0</v>
          </cell>
        </row>
        <row r="434">
          <cell r="G434" t="str">
            <v/>
          </cell>
          <cell r="H434" t="str">
            <v/>
          </cell>
        </row>
        <row r="435">
          <cell r="B435" t="str">
            <v/>
          </cell>
          <cell r="C435" t="str">
            <v/>
          </cell>
          <cell r="D435">
            <v>0</v>
          </cell>
          <cell r="E435">
            <v>0</v>
          </cell>
        </row>
        <row r="435">
          <cell r="G435" t="str">
            <v/>
          </cell>
          <cell r="H435" t="str">
            <v/>
          </cell>
        </row>
        <row r="436">
          <cell r="B436" t="str">
            <v/>
          </cell>
          <cell r="C436" t="str">
            <v/>
          </cell>
          <cell r="D436">
            <v>0</v>
          </cell>
          <cell r="E436">
            <v>0</v>
          </cell>
        </row>
        <row r="436">
          <cell r="G436" t="str">
            <v/>
          </cell>
          <cell r="H436" t="str">
            <v/>
          </cell>
        </row>
        <row r="437">
          <cell r="B437" t="str">
            <v/>
          </cell>
          <cell r="C437" t="str">
            <v/>
          </cell>
          <cell r="D437">
            <v>0</v>
          </cell>
          <cell r="E437">
            <v>0</v>
          </cell>
        </row>
        <row r="437">
          <cell r="G437" t="str">
            <v/>
          </cell>
          <cell r="H437" t="str">
            <v/>
          </cell>
        </row>
        <row r="438">
          <cell r="B438" t="str">
            <v/>
          </cell>
          <cell r="C438" t="str">
            <v/>
          </cell>
          <cell r="D438">
            <v>0</v>
          </cell>
          <cell r="E438">
            <v>0</v>
          </cell>
        </row>
        <row r="438">
          <cell r="G438" t="str">
            <v/>
          </cell>
          <cell r="H438" t="str">
            <v/>
          </cell>
        </row>
        <row r="439">
          <cell r="B439" t="str">
            <v/>
          </cell>
          <cell r="C439" t="str">
            <v/>
          </cell>
          <cell r="D439">
            <v>0</v>
          </cell>
          <cell r="E439">
            <v>0</v>
          </cell>
        </row>
        <row r="439">
          <cell r="G439" t="str">
            <v/>
          </cell>
          <cell r="H439" t="str">
            <v/>
          </cell>
        </row>
        <row r="440">
          <cell r="B440" t="str">
            <v/>
          </cell>
          <cell r="C440" t="str">
            <v/>
          </cell>
          <cell r="D440">
            <v>0</v>
          </cell>
          <cell r="E440">
            <v>0</v>
          </cell>
        </row>
        <row r="440">
          <cell r="G440" t="str">
            <v/>
          </cell>
          <cell r="H440" t="str">
            <v/>
          </cell>
        </row>
        <row r="441">
          <cell r="B441" t="str">
            <v/>
          </cell>
          <cell r="C441" t="str">
            <v/>
          </cell>
          <cell r="D441">
            <v>0</v>
          </cell>
          <cell r="E441">
            <v>0</v>
          </cell>
        </row>
        <row r="441">
          <cell r="G441" t="str">
            <v/>
          </cell>
          <cell r="H441" t="str">
            <v/>
          </cell>
        </row>
        <row r="442">
          <cell r="B442" t="str">
            <v/>
          </cell>
          <cell r="C442" t="str">
            <v/>
          </cell>
          <cell r="D442">
            <v>0</v>
          </cell>
          <cell r="E442">
            <v>0</v>
          </cell>
        </row>
        <row r="442">
          <cell r="G442" t="str">
            <v/>
          </cell>
          <cell r="H442" t="str">
            <v/>
          </cell>
        </row>
        <row r="443">
          <cell r="B443" t="str">
            <v/>
          </cell>
          <cell r="C443" t="str">
            <v/>
          </cell>
          <cell r="D443">
            <v>0</v>
          </cell>
          <cell r="E443">
            <v>0</v>
          </cell>
        </row>
        <row r="443">
          <cell r="G443" t="str">
            <v/>
          </cell>
          <cell r="H443" t="str">
            <v/>
          </cell>
        </row>
        <row r="444">
          <cell r="B444" t="str">
            <v/>
          </cell>
          <cell r="C444" t="str">
            <v/>
          </cell>
          <cell r="D444">
            <v>0</v>
          </cell>
          <cell r="E444">
            <v>0</v>
          </cell>
        </row>
        <row r="444">
          <cell r="G444" t="str">
            <v/>
          </cell>
          <cell r="H444" t="str">
            <v/>
          </cell>
        </row>
        <row r="445">
          <cell r="B445" t="str">
            <v/>
          </cell>
          <cell r="C445" t="str">
            <v/>
          </cell>
          <cell r="D445">
            <v>0</v>
          </cell>
          <cell r="E445">
            <v>0</v>
          </cell>
        </row>
        <row r="445">
          <cell r="G445" t="str">
            <v/>
          </cell>
          <cell r="H445" t="str">
            <v/>
          </cell>
        </row>
        <row r="446">
          <cell r="B446" t="str">
            <v/>
          </cell>
          <cell r="C446" t="str">
            <v/>
          </cell>
          <cell r="D446">
            <v>0</v>
          </cell>
          <cell r="E446">
            <v>0</v>
          </cell>
        </row>
        <row r="446">
          <cell r="G446" t="str">
            <v/>
          </cell>
          <cell r="H446" t="str">
            <v/>
          </cell>
        </row>
        <row r="447">
          <cell r="B447" t="str">
            <v/>
          </cell>
          <cell r="C447" t="str">
            <v/>
          </cell>
          <cell r="D447">
            <v>0</v>
          </cell>
          <cell r="E447">
            <v>0</v>
          </cell>
        </row>
        <row r="447">
          <cell r="G447" t="str">
            <v/>
          </cell>
          <cell r="H447" t="str">
            <v/>
          </cell>
        </row>
        <row r="448">
          <cell r="B448" t="str">
            <v/>
          </cell>
          <cell r="C448" t="str">
            <v/>
          </cell>
          <cell r="D448">
            <v>0</v>
          </cell>
          <cell r="E448">
            <v>0</v>
          </cell>
        </row>
        <row r="448">
          <cell r="G448" t="str">
            <v/>
          </cell>
          <cell r="H448" t="str">
            <v/>
          </cell>
        </row>
        <row r="449">
          <cell r="B449" t="str">
            <v/>
          </cell>
          <cell r="C449" t="str">
            <v/>
          </cell>
          <cell r="D449">
            <v>0</v>
          </cell>
          <cell r="E449">
            <v>0</v>
          </cell>
        </row>
        <row r="449">
          <cell r="G449" t="str">
            <v/>
          </cell>
          <cell r="H449" t="str">
            <v/>
          </cell>
        </row>
        <row r="450">
          <cell r="B450" t="str">
            <v/>
          </cell>
          <cell r="C450" t="str">
            <v/>
          </cell>
          <cell r="D450">
            <v>0</v>
          </cell>
          <cell r="E450">
            <v>0</v>
          </cell>
        </row>
        <row r="450">
          <cell r="G450" t="str">
            <v/>
          </cell>
          <cell r="H450" t="str">
            <v/>
          </cell>
        </row>
        <row r="451">
          <cell r="B451" t="str">
            <v/>
          </cell>
          <cell r="C451" t="str">
            <v/>
          </cell>
          <cell r="D451">
            <v>0</v>
          </cell>
          <cell r="E451">
            <v>0</v>
          </cell>
        </row>
        <row r="451">
          <cell r="G451" t="str">
            <v/>
          </cell>
          <cell r="H451" t="str">
            <v/>
          </cell>
        </row>
        <row r="452">
          <cell r="B452" t="str">
            <v/>
          </cell>
          <cell r="C452" t="str">
            <v/>
          </cell>
          <cell r="D452">
            <v>0</v>
          </cell>
          <cell r="E452">
            <v>0</v>
          </cell>
        </row>
        <row r="452">
          <cell r="G452" t="str">
            <v/>
          </cell>
          <cell r="H452" t="str">
            <v/>
          </cell>
        </row>
        <row r="453">
          <cell r="B453" t="str">
            <v/>
          </cell>
          <cell r="C453" t="str">
            <v/>
          </cell>
          <cell r="D453">
            <v>0</v>
          </cell>
          <cell r="E453">
            <v>0</v>
          </cell>
        </row>
        <row r="453">
          <cell r="G453" t="str">
            <v/>
          </cell>
          <cell r="H453" t="str">
            <v/>
          </cell>
        </row>
        <row r="454">
          <cell r="B454" t="str">
            <v/>
          </cell>
          <cell r="C454" t="str">
            <v/>
          </cell>
          <cell r="D454">
            <v>0</v>
          </cell>
          <cell r="E454">
            <v>0</v>
          </cell>
        </row>
        <row r="454">
          <cell r="G454" t="str">
            <v/>
          </cell>
          <cell r="H454" t="str">
            <v/>
          </cell>
        </row>
        <row r="455">
          <cell r="B455" t="str">
            <v/>
          </cell>
          <cell r="C455" t="str">
            <v/>
          </cell>
          <cell r="D455">
            <v>0</v>
          </cell>
          <cell r="E455">
            <v>0</v>
          </cell>
        </row>
        <row r="455">
          <cell r="G455" t="str">
            <v/>
          </cell>
          <cell r="H455" t="str">
            <v/>
          </cell>
        </row>
        <row r="456">
          <cell r="B456" t="str">
            <v/>
          </cell>
          <cell r="C456" t="str">
            <v/>
          </cell>
          <cell r="D456">
            <v>0</v>
          </cell>
          <cell r="E456">
            <v>0</v>
          </cell>
        </row>
        <row r="456">
          <cell r="G456" t="str">
            <v/>
          </cell>
          <cell r="H456" t="str">
            <v/>
          </cell>
        </row>
        <row r="457">
          <cell r="B457" t="str">
            <v/>
          </cell>
          <cell r="C457" t="str">
            <v/>
          </cell>
          <cell r="D457">
            <v>0</v>
          </cell>
          <cell r="E457">
            <v>0</v>
          </cell>
        </row>
        <row r="457">
          <cell r="G457" t="str">
            <v/>
          </cell>
          <cell r="H457" t="str">
            <v/>
          </cell>
        </row>
        <row r="458">
          <cell r="B458" t="str">
            <v/>
          </cell>
          <cell r="C458" t="str">
            <v/>
          </cell>
          <cell r="D458">
            <v>0</v>
          </cell>
          <cell r="E458">
            <v>0</v>
          </cell>
        </row>
        <row r="458">
          <cell r="G458" t="str">
            <v/>
          </cell>
          <cell r="H458" t="str">
            <v/>
          </cell>
        </row>
        <row r="459">
          <cell r="B459" t="str">
            <v/>
          </cell>
          <cell r="C459" t="str">
            <v/>
          </cell>
          <cell r="D459">
            <v>0</v>
          </cell>
          <cell r="E459">
            <v>0</v>
          </cell>
        </row>
        <row r="459">
          <cell r="G459" t="str">
            <v/>
          </cell>
          <cell r="H459" t="str">
            <v/>
          </cell>
        </row>
      </sheetData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计费规则"/>
      <sheetName val="原料入库明细"/>
      <sheetName val="原料出库明细"/>
      <sheetName val="成品出库明细"/>
      <sheetName val="其他代存明细"/>
      <sheetName val="库存结余"/>
      <sheetName val="入库吨位汇总"/>
      <sheetName val="成品出库吨位汇总"/>
      <sheetName val="果然鲜销售明细"/>
      <sheetName val="其他代存汇总"/>
      <sheetName val="实盘库存盘点"/>
      <sheetName val="筐子进出接口"/>
      <sheetName val="收入结算汇总"/>
      <sheetName val="财务取数接口"/>
      <sheetName val="字段对照"/>
      <sheetName val="_自动清单"/>
      <sheetName val="对账明细接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 t="str">
            <v>聂新平</v>
          </cell>
          <cell r="C4" t="str">
            <v>苹果</v>
          </cell>
          <cell r="D4">
            <v>1729</v>
          </cell>
          <cell r="E4">
            <v>0</v>
          </cell>
        </row>
        <row r="4">
          <cell r="H4">
            <v>37692.2</v>
          </cell>
          <cell r="I4">
            <v>0</v>
          </cell>
        </row>
        <row r="4">
          <cell r="K4">
            <v>37692.2</v>
          </cell>
          <cell r="L4">
            <v>37.692</v>
          </cell>
        </row>
        <row r="5">
          <cell r="B5" t="str">
            <v>王照雪</v>
          </cell>
          <cell r="C5" t="str">
            <v>苹果</v>
          </cell>
          <cell r="D5">
            <v>1670</v>
          </cell>
          <cell r="E5">
            <v>0</v>
          </cell>
        </row>
        <row r="5">
          <cell r="H5">
            <v>29222</v>
          </cell>
          <cell r="I5">
            <v>0</v>
          </cell>
        </row>
        <row r="5">
          <cell r="K5">
            <v>29222</v>
          </cell>
          <cell r="L5">
            <v>29.222</v>
          </cell>
        </row>
        <row r="6">
          <cell r="B6" t="str">
            <v>伍元虎</v>
          </cell>
          <cell r="C6" t="str">
            <v>苹果</v>
          </cell>
          <cell r="D6">
            <v>87</v>
          </cell>
          <cell r="E6">
            <v>0</v>
          </cell>
        </row>
        <row r="6">
          <cell r="H6">
            <v>1957.5</v>
          </cell>
          <cell r="I6">
            <v>0</v>
          </cell>
        </row>
        <row r="6">
          <cell r="K6">
            <v>1957.5</v>
          </cell>
          <cell r="L6">
            <v>1.958</v>
          </cell>
        </row>
        <row r="7">
          <cell r="B7" t="str">
            <v>王照雪</v>
          </cell>
          <cell r="C7" t="str">
            <v>李子</v>
          </cell>
          <cell r="D7">
            <v>422</v>
          </cell>
          <cell r="E7">
            <v>0</v>
          </cell>
        </row>
        <row r="7">
          <cell r="H7">
            <v>6878.6</v>
          </cell>
          <cell r="I7">
            <v>0</v>
          </cell>
        </row>
        <row r="7">
          <cell r="K7">
            <v>6878.6</v>
          </cell>
          <cell r="L7">
            <v>6.879</v>
          </cell>
        </row>
        <row r="8">
          <cell r="B8" t="str">
            <v>马锦祥</v>
          </cell>
          <cell r="C8" t="str">
            <v>苹果</v>
          </cell>
          <cell r="D8">
            <v>68</v>
          </cell>
          <cell r="E8">
            <v>0</v>
          </cell>
        </row>
        <row r="8">
          <cell r="H8">
            <v>204</v>
          </cell>
          <cell r="I8">
            <v>0</v>
          </cell>
        </row>
        <row r="8">
          <cell r="K8">
            <v>204</v>
          </cell>
          <cell r="L8">
            <v>0.204</v>
          </cell>
        </row>
        <row r="9">
          <cell r="B9" t="str">
            <v>聂新平</v>
          </cell>
          <cell r="C9" t="str">
            <v>西梅</v>
          </cell>
          <cell r="D9">
            <v>9692</v>
          </cell>
          <cell r="E9">
            <v>0</v>
          </cell>
        </row>
        <row r="9">
          <cell r="H9">
            <v>35336</v>
          </cell>
          <cell r="I9">
            <v>0</v>
          </cell>
        </row>
        <row r="9">
          <cell r="K9">
            <v>35336</v>
          </cell>
          <cell r="L9">
            <v>35.336</v>
          </cell>
        </row>
        <row r="10">
          <cell r="B10" t="str">
            <v>马锦祥</v>
          </cell>
          <cell r="C10" t="str">
            <v>香梨</v>
          </cell>
          <cell r="D10">
            <v>0</v>
          </cell>
          <cell r="E10">
            <v>1900</v>
          </cell>
        </row>
        <row r="10">
          <cell r="H10">
            <v>0</v>
          </cell>
          <cell r="I10">
            <v>35942</v>
          </cell>
        </row>
        <row r="10">
          <cell r="K10">
            <v>35942</v>
          </cell>
          <cell r="L10">
            <v>35.942</v>
          </cell>
        </row>
        <row r="11">
          <cell r="B11" t="str">
            <v>麦麦提</v>
          </cell>
          <cell r="C11" t="str">
            <v>香梨</v>
          </cell>
          <cell r="D11">
            <v>0</v>
          </cell>
          <cell r="E11">
            <v>2537</v>
          </cell>
        </row>
        <row r="11">
          <cell r="H11">
            <v>0</v>
          </cell>
          <cell r="I11">
            <v>48999.1</v>
          </cell>
        </row>
        <row r="11">
          <cell r="K11">
            <v>48999.1</v>
          </cell>
          <cell r="L11">
            <v>48.999</v>
          </cell>
        </row>
        <row r="12">
          <cell r="B12" t="str">
            <v>吐尔洪</v>
          </cell>
          <cell r="C12" t="str">
            <v>香梨</v>
          </cell>
          <cell r="D12">
            <v>0</v>
          </cell>
          <cell r="E12">
            <v>1195</v>
          </cell>
        </row>
        <row r="12">
          <cell r="H12">
            <v>0</v>
          </cell>
          <cell r="I12">
            <v>23604.5</v>
          </cell>
        </row>
        <row r="12">
          <cell r="K12">
            <v>23604.5</v>
          </cell>
          <cell r="L12">
            <v>23.605</v>
          </cell>
        </row>
        <row r="13">
          <cell r="B13" t="str">
            <v>热合曼</v>
          </cell>
          <cell r="C13" t="str">
            <v>香梨</v>
          </cell>
          <cell r="D13">
            <v>0</v>
          </cell>
          <cell r="E13">
            <v>1521</v>
          </cell>
        </row>
        <row r="13">
          <cell r="H13">
            <v>0</v>
          </cell>
          <cell r="I13">
            <v>29445.3</v>
          </cell>
        </row>
        <row r="13">
          <cell r="K13">
            <v>29445.3</v>
          </cell>
          <cell r="L13">
            <v>29.445</v>
          </cell>
        </row>
        <row r="14">
          <cell r="B14" t="str">
            <v>贾建国</v>
          </cell>
          <cell r="C14" t="str">
            <v>香梨</v>
          </cell>
          <cell r="D14">
            <v>0</v>
          </cell>
          <cell r="E14">
            <v>1265</v>
          </cell>
        </row>
        <row r="14">
          <cell r="H14">
            <v>0</v>
          </cell>
          <cell r="I14">
            <v>25784.1</v>
          </cell>
        </row>
        <row r="14">
          <cell r="K14">
            <v>25784.1</v>
          </cell>
          <cell r="L14">
            <v>25.784</v>
          </cell>
        </row>
        <row r="15">
          <cell r="B15" t="str">
            <v>王灵云</v>
          </cell>
          <cell r="C15" t="str">
            <v>香梨</v>
          </cell>
          <cell r="D15">
            <v>1037</v>
          </cell>
          <cell r="E15">
            <v>0</v>
          </cell>
        </row>
        <row r="15">
          <cell r="H15">
            <v>19557.1</v>
          </cell>
          <cell r="I15">
            <v>0</v>
          </cell>
        </row>
        <row r="15">
          <cell r="K15">
            <v>19557.1</v>
          </cell>
          <cell r="L15">
            <v>19.557</v>
          </cell>
        </row>
        <row r="16">
          <cell r="B16" t="str">
            <v>杨艳玲</v>
          </cell>
          <cell r="C16" t="str">
            <v>香梨</v>
          </cell>
          <cell r="D16">
            <v>104</v>
          </cell>
          <cell r="E16">
            <v>0</v>
          </cell>
        </row>
        <row r="16">
          <cell r="H16">
            <v>1799.2</v>
          </cell>
          <cell r="I16">
            <v>0</v>
          </cell>
        </row>
        <row r="16">
          <cell r="K16">
            <v>1799.2</v>
          </cell>
          <cell r="L16">
            <v>1.799</v>
          </cell>
        </row>
        <row r="17">
          <cell r="B17" t="str">
            <v>荆建君</v>
          </cell>
          <cell r="C17" t="str">
            <v>香梨</v>
          </cell>
          <cell r="D17">
            <v>0</v>
          </cell>
          <cell r="E17">
            <v>1216</v>
          </cell>
        </row>
        <row r="17">
          <cell r="H17">
            <v>0</v>
          </cell>
          <cell r="I17">
            <v>22252.8</v>
          </cell>
        </row>
        <row r="17">
          <cell r="K17">
            <v>22252.8</v>
          </cell>
          <cell r="L17">
            <v>22.253</v>
          </cell>
        </row>
        <row r="18">
          <cell r="B18" t="str">
            <v>王照雪</v>
          </cell>
          <cell r="C18" t="str">
            <v>香梨</v>
          </cell>
          <cell r="D18">
            <v>0</v>
          </cell>
          <cell r="E18">
            <v>543</v>
          </cell>
        </row>
        <row r="18">
          <cell r="H18">
            <v>0</v>
          </cell>
          <cell r="I18">
            <v>10149.5</v>
          </cell>
        </row>
        <row r="18">
          <cell r="K18">
            <v>10149.5</v>
          </cell>
          <cell r="L18">
            <v>10.15</v>
          </cell>
        </row>
        <row r="19">
          <cell r="B19" t="str">
            <v>努尔敦</v>
          </cell>
          <cell r="C19" t="str">
            <v>香梨</v>
          </cell>
          <cell r="D19">
            <v>0</v>
          </cell>
          <cell r="E19">
            <v>1290</v>
          </cell>
        </row>
        <row r="19">
          <cell r="H19">
            <v>0</v>
          </cell>
          <cell r="I19">
            <v>25351</v>
          </cell>
        </row>
        <row r="19">
          <cell r="K19">
            <v>25351</v>
          </cell>
          <cell r="L19">
            <v>25.351</v>
          </cell>
        </row>
        <row r="20">
          <cell r="B20" t="str">
            <v>王浩</v>
          </cell>
          <cell r="C20" t="str">
            <v>香梨</v>
          </cell>
          <cell r="D20">
            <v>0</v>
          </cell>
          <cell r="E20">
            <v>1184</v>
          </cell>
        </row>
        <row r="20">
          <cell r="H20">
            <v>0</v>
          </cell>
          <cell r="I20">
            <v>21667.2</v>
          </cell>
        </row>
        <row r="20">
          <cell r="K20">
            <v>21667.2</v>
          </cell>
          <cell r="L20">
            <v>21.667</v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</row>
        <row r="21">
          <cell r="H21" t="str">
            <v/>
          </cell>
          <cell r="I21" t="str">
            <v/>
          </cell>
        </row>
        <row r="21">
          <cell r="K21" t="str">
            <v/>
          </cell>
          <cell r="L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</row>
        <row r="22">
          <cell r="H22" t="str">
            <v/>
          </cell>
          <cell r="I22" t="str">
            <v/>
          </cell>
        </row>
        <row r="22">
          <cell r="K22" t="str">
            <v/>
          </cell>
          <cell r="L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</row>
        <row r="23">
          <cell r="H23" t="str">
            <v/>
          </cell>
          <cell r="I23" t="str">
            <v/>
          </cell>
        </row>
        <row r="23">
          <cell r="K23" t="str">
            <v/>
          </cell>
          <cell r="L23" t="str">
            <v/>
          </cell>
        </row>
        <row r="24"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</row>
        <row r="24">
          <cell r="H24" t="str">
            <v/>
          </cell>
          <cell r="I24" t="str">
            <v/>
          </cell>
        </row>
        <row r="24">
          <cell r="K24" t="str">
            <v/>
          </cell>
          <cell r="L24" t="str">
            <v/>
          </cell>
        </row>
        <row r="25"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</row>
        <row r="25">
          <cell r="H25" t="str">
            <v/>
          </cell>
          <cell r="I25" t="str">
            <v/>
          </cell>
        </row>
        <row r="25">
          <cell r="K25" t="str">
            <v/>
          </cell>
          <cell r="L25" t="str">
            <v/>
          </cell>
        </row>
        <row r="26"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</row>
        <row r="26">
          <cell r="H26" t="str">
            <v/>
          </cell>
          <cell r="I26" t="str">
            <v/>
          </cell>
        </row>
        <row r="26">
          <cell r="K26" t="str">
            <v/>
          </cell>
          <cell r="L26" t="str">
            <v/>
          </cell>
        </row>
        <row r="27"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</row>
        <row r="27">
          <cell r="H27" t="str">
            <v/>
          </cell>
          <cell r="I27" t="str">
            <v/>
          </cell>
        </row>
        <row r="27">
          <cell r="K27" t="str">
            <v/>
          </cell>
          <cell r="L27" t="str">
            <v/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</row>
        <row r="28">
          <cell r="H28" t="str">
            <v/>
          </cell>
          <cell r="I28" t="str">
            <v/>
          </cell>
        </row>
        <row r="28">
          <cell r="K28" t="str">
            <v/>
          </cell>
          <cell r="L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</row>
        <row r="29">
          <cell r="H29" t="str">
            <v/>
          </cell>
          <cell r="I29" t="str">
            <v/>
          </cell>
        </row>
        <row r="29">
          <cell r="K29" t="str">
            <v/>
          </cell>
          <cell r="L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</row>
        <row r="30">
          <cell r="H30" t="str">
            <v/>
          </cell>
          <cell r="I30" t="str">
            <v/>
          </cell>
        </row>
        <row r="30">
          <cell r="K30" t="str">
            <v/>
          </cell>
          <cell r="L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</row>
        <row r="31">
          <cell r="H31" t="str">
            <v/>
          </cell>
          <cell r="I31" t="str">
            <v/>
          </cell>
        </row>
        <row r="31">
          <cell r="K31" t="str">
            <v/>
          </cell>
          <cell r="L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</row>
        <row r="32">
          <cell r="H32" t="str">
            <v/>
          </cell>
          <cell r="I32" t="str">
            <v/>
          </cell>
        </row>
        <row r="32">
          <cell r="K32" t="str">
            <v/>
          </cell>
          <cell r="L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</row>
        <row r="33">
          <cell r="H33" t="str">
            <v/>
          </cell>
          <cell r="I33" t="str">
            <v/>
          </cell>
        </row>
        <row r="33">
          <cell r="K33" t="str">
            <v/>
          </cell>
          <cell r="L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</row>
        <row r="34">
          <cell r="H34" t="str">
            <v/>
          </cell>
          <cell r="I34" t="str">
            <v/>
          </cell>
        </row>
        <row r="34">
          <cell r="K34" t="str">
            <v/>
          </cell>
          <cell r="L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</row>
        <row r="35">
          <cell r="H35" t="str">
            <v/>
          </cell>
          <cell r="I35" t="str">
            <v/>
          </cell>
        </row>
        <row r="35">
          <cell r="K35" t="str">
            <v/>
          </cell>
          <cell r="L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</row>
        <row r="36">
          <cell r="H36" t="str">
            <v/>
          </cell>
          <cell r="I36" t="str">
            <v/>
          </cell>
        </row>
        <row r="36">
          <cell r="K36" t="str">
            <v/>
          </cell>
          <cell r="L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</row>
        <row r="37">
          <cell r="H37" t="str">
            <v/>
          </cell>
          <cell r="I37" t="str">
            <v/>
          </cell>
        </row>
        <row r="37">
          <cell r="K37" t="str">
            <v/>
          </cell>
          <cell r="L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</row>
        <row r="38">
          <cell r="H38" t="str">
            <v/>
          </cell>
          <cell r="I38" t="str">
            <v/>
          </cell>
        </row>
        <row r="38">
          <cell r="K38" t="str">
            <v/>
          </cell>
          <cell r="L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</row>
        <row r="39">
          <cell r="H39" t="str">
            <v/>
          </cell>
          <cell r="I39" t="str">
            <v/>
          </cell>
        </row>
        <row r="39">
          <cell r="K39" t="str">
            <v/>
          </cell>
          <cell r="L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</row>
        <row r="40">
          <cell r="H40" t="str">
            <v/>
          </cell>
          <cell r="I40" t="str">
            <v/>
          </cell>
        </row>
        <row r="40">
          <cell r="K40" t="str">
            <v/>
          </cell>
          <cell r="L40" t="str">
            <v/>
          </cell>
        </row>
        <row r="41"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</row>
        <row r="41">
          <cell r="H41" t="str">
            <v/>
          </cell>
          <cell r="I41" t="str">
            <v/>
          </cell>
        </row>
        <row r="41">
          <cell r="K41" t="str">
            <v/>
          </cell>
          <cell r="L41" t="str">
            <v/>
          </cell>
        </row>
        <row r="42"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</row>
        <row r="42">
          <cell r="H42" t="str">
            <v/>
          </cell>
          <cell r="I42" t="str">
            <v/>
          </cell>
        </row>
        <row r="42">
          <cell r="K42" t="str">
            <v/>
          </cell>
          <cell r="L42" t="str">
            <v/>
          </cell>
        </row>
        <row r="43"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</row>
        <row r="43">
          <cell r="H43" t="str">
            <v/>
          </cell>
          <cell r="I43" t="str">
            <v/>
          </cell>
        </row>
        <row r="43">
          <cell r="K43" t="str">
            <v/>
          </cell>
          <cell r="L43" t="str">
            <v/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</row>
        <row r="44">
          <cell r="H44" t="str">
            <v/>
          </cell>
          <cell r="I44" t="str">
            <v/>
          </cell>
        </row>
        <row r="44">
          <cell r="K44" t="str">
            <v/>
          </cell>
          <cell r="L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</row>
        <row r="45">
          <cell r="H45" t="str">
            <v/>
          </cell>
          <cell r="I45" t="str">
            <v/>
          </cell>
        </row>
        <row r="45">
          <cell r="K45" t="str">
            <v/>
          </cell>
          <cell r="L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</row>
        <row r="46">
          <cell r="H46" t="str">
            <v/>
          </cell>
          <cell r="I46" t="str">
            <v/>
          </cell>
        </row>
        <row r="46">
          <cell r="K46" t="str">
            <v/>
          </cell>
          <cell r="L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</row>
        <row r="47">
          <cell r="H47" t="str">
            <v/>
          </cell>
          <cell r="I47" t="str">
            <v/>
          </cell>
        </row>
        <row r="47">
          <cell r="K47" t="str">
            <v/>
          </cell>
          <cell r="L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</row>
        <row r="48">
          <cell r="H48" t="str">
            <v/>
          </cell>
          <cell r="I48" t="str">
            <v/>
          </cell>
        </row>
        <row r="48">
          <cell r="K48" t="str">
            <v/>
          </cell>
          <cell r="L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</row>
        <row r="49">
          <cell r="H49" t="str">
            <v/>
          </cell>
          <cell r="I49" t="str">
            <v/>
          </cell>
        </row>
        <row r="49">
          <cell r="K49" t="str">
            <v/>
          </cell>
          <cell r="L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</row>
        <row r="50">
          <cell r="H50" t="str">
            <v/>
          </cell>
          <cell r="I50" t="str">
            <v/>
          </cell>
        </row>
        <row r="50">
          <cell r="K50" t="str">
            <v/>
          </cell>
          <cell r="L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</row>
        <row r="51">
          <cell r="H51" t="str">
            <v/>
          </cell>
          <cell r="I51" t="str">
            <v/>
          </cell>
        </row>
        <row r="51">
          <cell r="K51" t="str">
            <v/>
          </cell>
          <cell r="L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</row>
        <row r="52">
          <cell r="H52" t="str">
            <v/>
          </cell>
          <cell r="I52" t="str">
            <v/>
          </cell>
        </row>
        <row r="52">
          <cell r="K52" t="str">
            <v/>
          </cell>
          <cell r="L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</row>
        <row r="53">
          <cell r="H53" t="str">
            <v/>
          </cell>
          <cell r="I53" t="str">
            <v/>
          </cell>
        </row>
        <row r="53">
          <cell r="K53" t="str">
            <v/>
          </cell>
          <cell r="L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</row>
        <row r="54">
          <cell r="H54" t="str">
            <v/>
          </cell>
          <cell r="I54" t="str">
            <v/>
          </cell>
        </row>
        <row r="54">
          <cell r="K54" t="str">
            <v/>
          </cell>
          <cell r="L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</row>
        <row r="55">
          <cell r="H55" t="str">
            <v/>
          </cell>
          <cell r="I55" t="str">
            <v/>
          </cell>
        </row>
        <row r="55">
          <cell r="K55" t="str">
            <v/>
          </cell>
          <cell r="L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</row>
        <row r="56">
          <cell r="H56" t="str">
            <v/>
          </cell>
          <cell r="I56" t="str">
            <v/>
          </cell>
        </row>
        <row r="56">
          <cell r="K56" t="str">
            <v/>
          </cell>
          <cell r="L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</row>
        <row r="57">
          <cell r="H57" t="str">
            <v/>
          </cell>
          <cell r="I57" t="str">
            <v/>
          </cell>
        </row>
        <row r="57">
          <cell r="K57" t="str">
            <v/>
          </cell>
          <cell r="L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</row>
        <row r="58">
          <cell r="H58" t="str">
            <v/>
          </cell>
          <cell r="I58" t="str">
            <v/>
          </cell>
        </row>
        <row r="58">
          <cell r="K58" t="str">
            <v/>
          </cell>
          <cell r="L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</row>
        <row r="59">
          <cell r="H59" t="str">
            <v/>
          </cell>
          <cell r="I59" t="str">
            <v/>
          </cell>
        </row>
        <row r="59">
          <cell r="K59" t="str">
            <v/>
          </cell>
          <cell r="L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</row>
        <row r="60">
          <cell r="H60" t="str">
            <v/>
          </cell>
          <cell r="I60" t="str">
            <v/>
          </cell>
        </row>
        <row r="60">
          <cell r="K60" t="str">
            <v/>
          </cell>
          <cell r="L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</row>
        <row r="61">
          <cell r="H61" t="str">
            <v/>
          </cell>
          <cell r="I61" t="str">
            <v/>
          </cell>
        </row>
        <row r="61">
          <cell r="K61" t="str">
            <v/>
          </cell>
          <cell r="L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</row>
        <row r="62">
          <cell r="H62" t="str">
            <v/>
          </cell>
          <cell r="I62" t="str">
            <v/>
          </cell>
        </row>
        <row r="62">
          <cell r="K62" t="str">
            <v/>
          </cell>
          <cell r="L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</row>
        <row r="63">
          <cell r="H63" t="str">
            <v/>
          </cell>
          <cell r="I63" t="str">
            <v/>
          </cell>
        </row>
        <row r="63">
          <cell r="K63" t="str">
            <v/>
          </cell>
          <cell r="L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</row>
        <row r="64">
          <cell r="H64" t="str">
            <v/>
          </cell>
          <cell r="I64" t="str">
            <v/>
          </cell>
        </row>
        <row r="64">
          <cell r="K64" t="str">
            <v/>
          </cell>
          <cell r="L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</row>
        <row r="65">
          <cell r="H65" t="str">
            <v/>
          </cell>
          <cell r="I65" t="str">
            <v/>
          </cell>
        </row>
        <row r="65">
          <cell r="K65" t="str">
            <v/>
          </cell>
          <cell r="L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</row>
        <row r="66">
          <cell r="H66" t="str">
            <v/>
          </cell>
          <cell r="I66" t="str">
            <v/>
          </cell>
        </row>
        <row r="66">
          <cell r="K66" t="str">
            <v/>
          </cell>
          <cell r="L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</row>
        <row r="67">
          <cell r="H67" t="str">
            <v/>
          </cell>
          <cell r="I67" t="str">
            <v/>
          </cell>
        </row>
        <row r="67">
          <cell r="K67" t="str">
            <v/>
          </cell>
          <cell r="L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</row>
        <row r="68">
          <cell r="H68" t="str">
            <v/>
          </cell>
          <cell r="I68" t="str">
            <v/>
          </cell>
        </row>
        <row r="68">
          <cell r="K68" t="str">
            <v/>
          </cell>
          <cell r="L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</row>
        <row r="69">
          <cell r="H69" t="str">
            <v/>
          </cell>
          <cell r="I69" t="str">
            <v/>
          </cell>
        </row>
        <row r="69">
          <cell r="K69" t="str">
            <v/>
          </cell>
          <cell r="L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</row>
        <row r="70">
          <cell r="H70" t="str">
            <v/>
          </cell>
          <cell r="I70" t="str">
            <v/>
          </cell>
        </row>
        <row r="70">
          <cell r="K70" t="str">
            <v/>
          </cell>
          <cell r="L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</row>
        <row r="71">
          <cell r="H71" t="str">
            <v/>
          </cell>
          <cell r="I71" t="str">
            <v/>
          </cell>
        </row>
        <row r="71">
          <cell r="K71" t="str">
            <v/>
          </cell>
          <cell r="L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</row>
        <row r="72">
          <cell r="H72" t="str">
            <v/>
          </cell>
          <cell r="I72" t="str">
            <v/>
          </cell>
        </row>
        <row r="72">
          <cell r="K72" t="str">
            <v/>
          </cell>
          <cell r="L72" t="str">
            <v/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</row>
        <row r="73">
          <cell r="H73" t="str">
            <v/>
          </cell>
          <cell r="I73" t="str">
            <v/>
          </cell>
        </row>
        <row r="73">
          <cell r="K73" t="str">
            <v/>
          </cell>
          <cell r="L73" t="str">
            <v/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</row>
        <row r="74">
          <cell r="H74" t="str">
            <v/>
          </cell>
          <cell r="I74" t="str">
            <v/>
          </cell>
        </row>
        <row r="74">
          <cell r="K74" t="str">
            <v/>
          </cell>
          <cell r="L74" t="str">
            <v/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</row>
        <row r="75">
          <cell r="H75" t="str">
            <v/>
          </cell>
          <cell r="I75" t="str">
            <v/>
          </cell>
        </row>
        <row r="75">
          <cell r="K75" t="str">
            <v/>
          </cell>
          <cell r="L75" t="str">
            <v/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</row>
        <row r="76">
          <cell r="H76" t="str">
            <v/>
          </cell>
          <cell r="I76" t="str">
            <v/>
          </cell>
        </row>
        <row r="76">
          <cell r="K76" t="str">
            <v/>
          </cell>
          <cell r="L76" t="str">
            <v/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</row>
        <row r="77">
          <cell r="H77" t="str">
            <v/>
          </cell>
          <cell r="I77" t="str">
            <v/>
          </cell>
        </row>
        <row r="77">
          <cell r="K77" t="str">
            <v/>
          </cell>
          <cell r="L77" t="str">
            <v/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</row>
        <row r="78">
          <cell r="H78" t="str">
            <v/>
          </cell>
          <cell r="I78" t="str">
            <v/>
          </cell>
        </row>
        <row r="78">
          <cell r="K78" t="str">
            <v/>
          </cell>
          <cell r="L78" t="str">
            <v/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</row>
        <row r="79">
          <cell r="H79" t="str">
            <v/>
          </cell>
          <cell r="I79" t="str">
            <v/>
          </cell>
        </row>
        <row r="79">
          <cell r="K79" t="str">
            <v/>
          </cell>
          <cell r="L79" t="str">
            <v/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</row>
        <row r="80">
          <cell r="H80" t="str">
            <v/>
          </cell>
          <cell r="I80" t="str">
            <v/>
          </cell>
        </row>
        <row r="80">
          <cell r="K80" t="str">
            <v/>
          </cell>
          <cell r="L80" t="str">
            <v/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</row>
        <row r="81">
          <cell r="H81" t="str">
            <v/>
          </cell>
          <cell r="I81" t="str">
            <v/>
          </cell>
        </row>
        <row r="81">
          <cell r="K81" t="str">
            <v/>
          </cell>
          <cell r="L81" t="str">
            <v/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</row>
        <row r="82">
          <cell r="H82" t="str">
            <v/>
          </cell>
          <cell r="I82" t="str">
            <v/>
          </cell>
        </row>
        <row r="82">
          <cell r="K82" t="str">
            <v/>
          </cell>
          <cell r="L82" t="str">
            <v/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</row>
        <row r="83">
          <cell r="H83" t="str">
            <v/>
          </cell>
          <cell r="I83" t="str">
            <v/>
          </cell>
        </row>
        <row r="83">
          <cell r="K83" t="str">
            <v/>
          </cell>
          <cell r="L83" t="str">
            <v/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</row>
        <row r="84">
          <cell r="H84" t="str">
            <v/>
          </cell>
          <cell r="I84" t="str">
            <v/>
          </cell>
        </row>
        <row r="84">
          <cell r="K84" t="str">
            <v/>
          </cell>
          <cell r="L84" t="str">
            <v/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</row>
        <row r="85">
          <cell r="H85" t="str">
            <v/>
          </cell>
          <cell r="I85" t="str">
            <v/>
          </cell>
        </row>
        <row r="85">
          <cell r="K85" t="str">
            <v/>
          </cell>
          <cell r="L85" t="str">
            <v/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</row>
        <row r="86">
          <cell r="H86" t="str">
            <v/>
          </cell>
          <cell r="I86" t="str">
            <v/>
          </cell>
        </row>
        <row r="86">
          <cell r="K86" t="str">
            <v/>
          </cell>
          <cell r="L86" t="str">
            <v/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</row>
        <row r="87">
          <cell r="H87" t="str">
            <v/>
          </cell>
          <cell r="I87" t="str">
            <v/>
          </cell>
        </row>
        <row r="87">
          <cell r="K87" t="str">
            <v/>
          </cell>
          <cell r="L87" t="str">
            <v/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</row>
        <row r="88">
          <cell r="H88" t="str">
            <v/>
          </cell>
          <cell r="I88" t="str">
            <v/>
          </cell>
        </row>
        <row r="88">
          <cell r="K88" t="str">
            <v/>
          </cell>
          <cell r="L88" t="str">
            <v/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</row>
        <row r="89">
          <cell r="H89" t="str">
            <v/>
          </cell>
          <cell r="I89" t="str">
            <v/>
          </cell>
        </row>
        <row r="89">
          <cell r="K89" t="str">
            <v/>
          </cell>
          <cell r="L89" t="str">
            <v/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</row>
        <row r="90">
          <cell r="H90" t="str">
            <v/>
          </cell>
          <cell r="I90" t="str">
            <v/>
          </cell>
        </row>
        <row r="90">
          <cell r="K90" t="str">
            <v/>
          </cell>
          <cell r="L90" t="str">
            <v/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</row>
        <row r="91">
          <cell r="H91" t="str">
            <v/>
          </cell>
          <cell r="I91" t="str">
            <v/>
          </cell>
        </row>
        <row r="91">
          <cell r="K91" t="str">
            <v/>
          </cell>
          <cell r="L91" t="str">
            <v/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</row>
        <row r="92">
          <cell r="H92" t="str">
            <v/>
          </cell>
          <cell r="I92" t="str">
            <v/>
          </cell>
        </row>
        <row r="92">
          <cell r="K92" t="str">
            <v/>
          </cell>
          <cell r="L92" t="str">
            <v/>
          </cell>
        </row>
        <row r="93"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</row>
        <row r="93">
          <cell r="H93" t="str">
            <v/>
          </cell>
          <cell r="I93" t="str">
            <v/>
          </cell>
        </row>
        <row r="93">
          <cell r="K93" t="str">
            <v/>
          </cell>
          <cell r="L93" t="str">
            <v/>
          </cell>
        </row>
        <row r="94"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</row>
        <row r="94">
          <cell r="H94" t="str">
            <v/>
          </cell>
          <cell r="I94" t="str">
            <v/>
          </cell>
        </row>
        <row r="94">
          <cell r="K94" t="str">
            <v/>
          </cell>
          <cell r="L94" t="str">
            <v/>
          </cell>
        </row>
        <row r="95"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</row>
        <row r="95">
          <cell r="H95" t="str">
            <v/>
          </cell>
          <cell r="I95" t="str">
            <v/>
          </cell>
        </row>
        <row r="95">
          <cell r="K95" t="str">
            <v/>
          </cell>
          <cell r="L95" t="str">
            <v/>
          </cell>
        </row>
        <row r="96"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</row>
        <row r="96">
          <cell r="H96" t="str">
            <v/>
          </cell>
          <cell r="I96" t="str">
            <v/>
          </cell>
        </row>
        <row r="96">
          <cell r="K96" t="str">
            <v/>
          </cell>
          <cell r="L96" t="str">
            <v/>
          </cell>
        </row>
        <row r="97"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</row>
        <row r="97">
          <cell r="H97" t="str">
            <v/>
          </cell>
          <cell r="I97" t="str">
            <v/>
          </cell>
        </row>
        <row r="97">
          <cell r="K97" t="str">
            <v/>
          </cell>
          <cell r="L97" t="str">
            <v/>
          </cell>
        </row>
        <row r="98"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</row>
        <row r="98">
          <cell r="H98" t="str">
            <v/>
          </cell>
          <cell r="I98" t="str">
            <v/>
          </cell>
        </row>
        <row r="98">
          <cell r="K98" t="str">
            <v/>
          </cell>
          <cell r="L98" t="str">
            <v/>
          </cell>
        </row>
        <row r="99"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</row>
        <row r="99">
          <cell r="H99" t="str">
            <v/>
          </cell>
          <cell r="I99" t="str">
            <v/>
          </cell>
        </row>
        <row r="99">
          <cell r="K99" t="str">
            <v/>
          </cell>
          <cell r="L99" t="str">
            <v/>
          </cell>
        </row>
        <row r="100"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</row>
        <row r="100">
          <cell r="H100" t="str">
            <v/>
          </cell>
          <cell r="I100" t="str">
            <v/>
          </cell>
        </row>
        <row r="100">
          <cell r="K100" t="str">
            <v/>
          </cell>
          <cell r="L100" t="str">
            <v/>
          </cell>
        </row>
        <row r="101"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</row>
        <row r="101">
          <cell r="H101" t="str">
            <v/>
          </cell>
          <cell r="I101" t="str">
            <v/>
          </cell>
        </row>
        <row r="101">
          <cell r="K101" t="str">
            <v/>
          </cell>
          <cell r="L101" t="str">
            <v/>
          </cell>
        </row>
        <row r="102"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</row>
        <row r="102">
          <cell r="H102" t="str">
            <v/>
          </cell>
          <cell r="I102" t="str">
            <v/>
          </cell>
        </row>
        <row r="102">
          <cell r="K102" t="str">
            <v/>
          </cell>
          <cell r="L102" t="str">
            <v/>
          </cell>
        </row>
        <row r="103"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</row>
        <row r="103">
          <cell r="H103" t="str">
            <v/>
          </cell>
          <cell r="I103" t="str">
            <v/>
          </cell>
        </row>
        <row r="103">
          <cell r="K103" t="str">
            <v/>
          </cell>
          <cell r="L103" t="str">
            <v/>
          </cell>
        </row>
        <row r="104"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</row>
        <row r="104">
          <cell r="H104" t="str">
            <v/>
          </cell>
          <cell r="I104" t="str">
            <v/>
          </cell>
        </row>
        <row r="104">
          <cell r="K104" t="str">
            <v/>
          </cell>
          <cell r="L104" t="str">
            <v/>
          </cell>
        </row>
        <row r="105"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</row>
        <row r="105">
          <cell r="H105" t="str">
            <v/>
          </cell>
          <cell r="I105" t="str">
            <v/>
          </cell>
        </row>
        <row r="105">
          <cell r="K105" t="str">
            <v/>
          </cell>
          <cell r="L105" t="str">
            <v/>
          </cell>
        </row>
        <row r="106"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</row>
        <row r="106">
          <cell r="H106" t="str">
            <v/>
          </cell>
          <cell r="I106" t="str">
            <v/>
          </cell>
        </row>
        <row r="106">
          <cell r="K106" t="str">
            <v/>
          </cell>
          <cell r="L106" t="str">
            <v/>
          </cell>
        </row>
        <row r="107"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</row>
        <row r="107">
          <cell r="H107" t="str">
            <v/>
          </cell>
          <cell r="I107" t="str">
            <v/>
          </cell>
        </row>
        <row r="107">
          <cell r="K107" t="str">
            <v/>
          </cell>
          <cell r="L107" t="str">
            <v/>
          </cell>
        </row>
        <row r="108"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</row>
        <row r="108">
          <cell r="H108" t="str">
            <v/>
          </cell>
          <cell r="I108" t="str">
            <v/>
          </cell>
        </row>
        <row r="108">
          <cell r="K108" t="str">
            <v/>
          </cell>
          <cell r="L108" t="str">
            <v/>
          </cell>
        </row>
        <row r="109"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</row>
        <row r="109">
          <cell r="H109" t="str">
            <v/>
          </cell>
          <cell r="I109" t="str">
            <v/>
          </cell>
        </row>
        <row r="109">
          <cell r="K109" t="str">
            <v/>
          </cell>
          <cell r="L109" t="str">
            <v/>
          </cell>
        </row>
        <row r="110"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</row>
        <row r="110">
          <cell r="H110" t="str">
            <v/>
          </cell>
          <cell r="I110" t="str">
            <v/>
          </cell>
        </row>
        <row r="110">
          <cell r="K110" t="str">
            <v/>
          </cell>
          <cell r="L110" t="str">
            <v/>
          </cell>
        </row>
        <row r="111"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</row>
        <row r="111">
          <cell r="H111" t="str">
            <v/>
          </cell>
          <cell r="I111" t="str">
            <v/>
          </cell>
        </row>
        <row r="111">
          <cell r="K111" t="str">
            <v/>
          </cell>
          <cell r="L111" t="str">
            <v/>
          </cell>
        </row>
        <row r="112"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</row>
        <row r="112">
          <cell r="H112" t="str">
            <v/>
          </cell>
          <cell r="I112" t="str">
            <v/>
          </cell>
        </row>
        <row r="112">
          <cell r="K112" t="str">
            <v/>
          </cell>
          <cell r="L112" t="str">
            <v/>
          </cell>
        </row>
        <row r="113"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</row>
        <row r="113">
          <cell r="H113" t="str">
            <v/>
          </cell>
          <cell r="I113" t="str">
            <v/>
          </cell>
        </row>
        <row r="113">
          <cell r="K113" t="str">
            <v/>
          </cell>
          <cell r="L113" t="str">
            <v/>
          </cell>
        </row>
        <row r="114"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</row>
        <row r="114">
          <cell r="H114" t="str">
            <v/>
          </cell>
          <cell r="I114" t="str">
            <v/>
          </cell>
        </row>
        <row r="114">
          <cell r="K114" t="str">
            <v/>
          </cell>
          <cell r="L114" t="str">
            <v/>
          </cell>
        </row>
        <row r="115"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</row>
        <row r="115">
          <cell r="H115" t="str">
            <v/>
          </cell>
          <cell r="I115" t="str">
            <v/>
          </cell>
        </row>
        <row r="115">
          <cell r="K115" t="str">
            <v/>
          </cell>
          <cell r="L115" t="str">
            <v/>
          </cell>
        </row>
        <row r="116"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</row>
        <row r="116">
          <cell r="H116" t="str">
            <v/>
          </cell>
          <cell r="I116" t="str">
            <v/>
          </cell>
        </row>
        <row r="116">
          <cell r="K116" t="str">
            <v/>
          </cell>
          <cell r="L116" t="str">
            <v/>
          </cell>
        </row>
        <row r="117"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</row>
        <row r="117">
          <cell r="H117" t="str">
            <v/>
          </cell>
          <cell r="I117" t="str">
            <v/>
          </cell>
        </row>
        <row r="117">
          <cell r="K117" t="str">
            <v/>
          </cell>
          <cell r="L117" t="str">
            <v/>
          </cell>
        </row>
        <row r="118"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</row>
        <row r="118">
          <cell r="H118" t="str">
            <v/>
          </cell>
          <cell r="I118" t="str">
            <v/>
          </cell>
        </row>
        <row r="118">
          <cell r="K118" t="str">
            <v/>
          </cell>
          <cell r="L118" t="str">
            <v/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</row>
        <row r="119">
          <cell r="H119" t="str">
            <v/>
          </cell>
          <cell r="I119" t="str">
            <v/>
          </cell>
        </row>
        <row r="119">
          <cell r="K119" t="str">
            <v/>
          </cell>
          <cell r="L119" t="str">
            <v/>
          </cell>
        </row>
        <row r="120"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</row>
        <row r="120">
          <cell r="H120" t="str">
            <v/>
          </cell>
          <cell r="I120" t="str">
            <v/>
          </cell>
        </row>
        <row r="120">
          <cell r="K120" t="str">
            <v/>
          </cell>
          <cell r="L120" t="str">
            <v/>
          </cell>
        </row>
        <row r="121"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</row>
        <row r="121">
          <cell r="H121" t="str">
            <v/>
          </cell>
          <cell r="I121" t="str">
            <v/>
          </cell>
        </row>
        <row r="121">
          <cell r="K121" t="str">
            <v/>
          </cell>
          <cell r="L121" t="str">
            <v/>
          </cell>
        </row>
        <row r="122"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</row>
        <row r="122">
          <cell r="H122" t="str">
            <v/>
          </cell>
          <cell r="I122" t="str">
            <v/>
          </cell>
        </row>
        <row r="122">
          <cell r="K122" t="str">
            <v/>
          </cell>
          <cell r="L122" t="str">
            <v/>
          </cell>
        </row>
        <row r="123"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</row>
        <row r="123">
          <cell r="H123" t="str">
            <v/>
          </cell>
          <cell r="I123" t="str">
            <v/>
          </cell>
        </row>
        <row r="123">
          <cell r="K123" t="str">
            <v/>
          </cell>
          <cell r="L123" t="str">
            <v/>
          </cell>
        </row>
        <row r="124"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</row>
        <row r="124">
          <cell r="H124" t="str">
            <v/>
          </cell>
          <cell r="I124" t="str">
            <v/>
          </cell>
        </row>
        <row r="124">
          <cell r="K124" t="str">
            <v/>
          </cell>
          <cell r="L124" t="str">
            <v/>
          </cell>
        </row>
        <row r="125"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</row>
        <row r="125">
          <cell r="H125" t="str">
            <v/>
          </cell>
          <cell r="I125" t="str">
            <v/>
          </cell>
        </row>
        <row r="125">
          <cell r="K125" t="str">
            <v/>
          </cell>
          <cell r="L125" t="str">
            <v/>
          </cell>
        </row>
        <row r="126"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</row>
        <row r="126">
          <cell r="H126" t="str">
            <v/>
          </cell>
          <cell r="I126" t="str">
            <v/>
          </cell>
        </row>
        <row r="126">
          <cell r="K126" t="str">
            <v/>
          </cell>
          <cell r="L126" t="str">
            <v/>
          </cell>
        </row>
        <row r="127"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</row>
        <row r="127">
          <cell r="H127" t="str">
            <v/>
          </cell>
          <cell r="I127" t="str">
            <v/>
          </cell>
        </row>
        <row r="127">
          <cell r="K127" t="str">
            <v/>
          </cell>
          <cell r="L127" t="str">
            <v/>
          </cell>
        </row>
        <row r="128"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</row>
        <row r="128">
          <cell r="H128" t="str">
            <v/>
          </cell>
          <cell r="I128" t="str">
            <v/>
          </cell>
        </row>
        <row r="128">
          <cell r="K128" t="str">
            <v/>
          </cell>
          <cell r="L128" t="str">
            <v/>
          </cell>
        </row>
        <row r="129"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</row>
        <row r="129">
          <cell r="H129" t="str">
            <v/>
          </cell>
          <cell r="I129" t="str">
            <v/>
          </cell>
        </row>
        <row r="129">
          <cell r="K129" t="str">
            <v/>
          </cell>
          <cell r="L129" t="str">
            <v/>
          </cell>
        </row>
        <row r="130"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</row>
        <row r="130">
          <cell r="H130" t="str">
            <v/>
          </cell>
          <cell r="I130" t="str">
            <v/>
          </cell>
        </row>
        <row r="130">
          <cell r="K130" t="str">
            <v/>
          </cell>
          <cell r="L130" t="str">
            <v/>
          </cell>
        </row>
        <row r="131"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</row>
        <row r="131">
          <cell r="H131" t="str">
            <v/>
          </cell>
          <cell r="I131" t="str">
            <v/>
          </cell>
        </row>
        <row r="131">
          <cell r="K131" t="str">
            <v/>
          </cell>
          <cell r="L131" t="str">
            <v/>
          </cell>
        </row>
        <row r="132"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</row>
        <row r="132">
          <cell r="H132" t="str">
            <v/>
          </cell>
          <cell r="I132" t="str">
            <v/>
          </cell>
        </row>
        <row r="132">
          <cell r="K132" t="str">
            <v/>
          </cell>
          <cell r="L132" t="str">
            <v/>
          </cell>
        </row>
        <row r="133"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</row>
        <row r="133">
          <cell r="H133" t="str">
            <v/>
          </cell>
          <cell r="I133" t="str">
            <v/>
          </cell>
        </row>
        <row r="133">
          <cell r="K133" t="str">
            <v/>
          </cell>
          <cell r="L133" t="str">
            <v/>
          </cell>
        </row>
        <row r="134">
          <cell r="B134" t="str">
            <v/>
          </cell>
          <cell r="C134" t="str">
            <v/>
          </cell>
          <cell r="D134" t="str">
            <v/>
          </cell>
          <cell r="E134" t="str">
            <v/>
          </cell>
        </row>
        <row r="134">
          <cell r="H134" t="str">
            <v/>
          </cell>
          <cell r="I134" t="str">
            <v/>
          </cell>
        </row>
        <row r="134">
          <cell r="K134" t="str">
            <v/>
          </cell>
          <cell r="L134" t="str">
            <v/>
          </cell>
        </row>
        <row r="135">
          <cell r="B135" t="str">
            <v/>
          </cell>
          <cell r="C135" t="str">
            <v/>
          </cell>
          <cell r="D135" t="str">
            <v/>
          </cell>
          <cell r="E135" t="str">
            <v/>
          </cell>
        </row>
        <row r="135">
          <cell r="H135" t="str">
            <v/>
          </cell>
          <cell r="I135" t="str">
            <v/>
          </cell>
        </row>
        <row r="135">
          <cell r="K135" t="str">
            <v/>
          </cell>
          <cell r="L135" t="str">
            <v/>
          </cell>
        </row>
        <row r="136"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</row>
        <row r="136">
          <cell r="H136" t="str">
            <v/>
          </cell>
          <cell r="I136" t="str">
            <v/>
          </cell>
        </row>
        <row r="136">
          <cell r="K136" t="str">
            <v/>
          </cell>
          <cell r="L136" t="str">
            <v/>
          </cell>
        </row>
        <row r="137">
          <cell r="B137" t="str">
            <v/>
          </cell>
          <cell r="C137" t="str">
            <v/>
          </cell>
          <cell r="D137" t="str">
            <v/>
          </cell>
          <cell r="E137" t="str">
            <v/>
          </cell>
        </row>
        <row r="137">
          <cell r="H137" t="str">
            <v/>
          </cell>
          <cell r="I137" t="str">
            <v/>
          </cell>
        </row>
        <row r="137">
          <cell r="K137" t="str">
            <v/>
          </cell>
          <cell r="L137" t="str">
            <v/>
          </cell>
        </row>
        <row r="138">
          <cell r="B138" t="str">
            <v/>
          </cell>
          <cell r="C138" t="str">
            <v/>
          </cell>
          <cell r="D138" t="str">
            <v/>
          </cell>
          <cell r="E138" t="str">
            <v/>
          </cell>
        </row>
        <row r="138">
          <cell r="H138" t="str">
            <v/>
          </cell>
          <cell r="I138" t="str">
            <v/>
          </cell>
        </row>
        <row r="138">
          <cell r="K138" t="str">
            <v/>
          </cell>
          <cell r="L138" t="str">
            <v/>
          </cell>
        </row>
        <row r="139">
          <cell r="B139" t="str">
            <v/>
          </cell>
          <cell r="C139" t="str">
            <v/>
          </cell>
          <cell r="D139" t="str">
            <v/>
          </cell>
          <cell r="E139" t="str">
            <v/>
          </cell>
        </row>
        <row r="139">
          <cell r="H139" t="str">
            <v/>
          </cell>
          <cell r="I139" t="str">
            <v/>
          </cell>
        </row>
        <row r="139">
          <cell r="K139" t="str">
            <v/>
          </cell>
          <cell r="L139" t="str">
            <v/>
          </cell>
        </row>
        <row r="140">
          <cell r="B140" t="str">
            <v/>
          </cell>
          <cell r="C140" t="str">
            <v/>
          </cell>
          <cell r="D140" t="str">
            <v/>
          </cell>
          <cell r="E140" t="str">
            <v/>
          </cell>
        </row>
        <row r="140">
          <cell r="H140" t="str">
            <v/>
          </cell>
          <cell r="I140" t="str">
            <v/>
          </cell>
        </row>
        <row r="140">
          <cell r="K140" t="str">
            <v/>
          </cell>
          <cell r="L140" t="str">
            <v/>
          </cell>
        </row>
        <row r="141">
          <cell r="B141" t="str">
            <v/>
          </cell>
          <cell r="C141" t="str">
            <v/>
          </cell>
          <cell r="D141" t="str">
            <v/>
          </cell>
          <cell r="E141" t="str">
            <v/>
          </cell>
        </row>
        <row r="141">
          <cell r="H141" t="str">
            <v/>
          </cell>
          <cell r="I141" t="str">
            <v/>
          </cell>
        </row>
        <row r="141">
          <cell r="K141" t="str">
            <v/>
          </cell>
          <cell r="L141" t="str">
            <v/>
          </cell>
        </row>
        <row r="142">
          <cell r="B142" t="str">
            <v/>
          </cell>
          <cell r="C142" t="str">
            <v/>
          </cell>
          <cell r="D142" t="str">
            <v/>
          </cell>
          <cell r="E142" t="str">
            <v/>
          </cell>
        </row>
        <row r="142">
          <cell r="H142" t="str">
            <v/>
          </cell>
          <cell r="I142" t="str">
            <v/>
          </cell>
        </row>
        <row r="142">
          <cell r="K142" t="str">
            <v/>
          </cell>
          <cell r="L142" t="str">
            <v/>
          </cell>
        </row>
        <row r="143">
          <cell r="B143" t="str">
            <v/>
          </cell>
          <cell r="C143" t="str">
            <v/>
          </cell>
          <cell r="D143" t="str">
            <v/>
          </cell>
          <cell r="E143" t="str">
            <v/>
          </cell>
        </row>
        <row r="143">
          <cell r="H143" t="str">
            <v/>
          </cell>
          <cell r="I143" t="str">
            <v/>
          </cell>
        </row>
        <row r="143">
          <cell r="K143" t="str">
            <v/>
          </cell>
          <cell r="L143" t="str">
            <v/>
          </cell>
        </row>
        <row r="144"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</row>
        <row r="144">
          <cell r="H144" t="str">
            <v/>
          </cell>
          <cell r="I144" t="str">
            <v/>
          </cell>
        </row>
        <row r="144">
          <cell r="K144" t="str">
            <v/>
          </cell>
          <cell r="L144" t="str">
            <v/>
          </cell>
        </row>
        <row r="145">
          <cell r="B145" t="str">
            <v/>
          </cell>
          <cell r="C145" t="str">
            <v/>
          </cell>
          <cell r="D145" t="str">
            <v/>
          </cell>
          <cell r="E145" t="str">
            <v/>
          </cell>
        </row>
        <row r="145">
          <cell r="H145" t="str">
            <v/>
          </cell>
          <cell r="I145" t="str">
            <v/>
          </cell>
        </row>
        <row r="145">
          <cell r="K145" t="str">
            <v/>
          </cell>
          <cell r="L145" t="str">
            <v/>
          </cell>
        </row>
        <row r="146">
          <cell r="B146" t="str">
            <v/>
          </cell>
          <cell r="C146" t="str">
            <v/>
          </cell>
          <cell r="D146" t="str">
            <v/>
          </cell>
          <cell r="E146" t="str">
            <v/>
          </cell>
        </row>
        <row r="146">
          <cell r="H146" t="str">
            <v/>
          </cell>
          <cell r="I146" t="str">
            <v/>
          </cell>
        </row>
        <row r="146">
          <cell r="K146" t="str">
            <v/>
          </cell>
          <cell r="L146" t="str">
            <v/>
          </cell>
        </row>
        <row r="147">
          <cell r="B147" t="str">
            <v/>
          </cell>
          <cell r="C147" t="str">
            <v/>
          </cell>
          <cell r="D147" t="str">
            <v/>
          </cell>
          <cell r="E147" t="str">
            <v/>
          </cell>
        </row>
        <row r="147">
          <cell r="H147" t="str">
            <v/>
          </cell>
          <cell r="I147" t="str">
            <v/>
          </cell>
        </row>
        <row r="147">
          <cell r="K147" t="str">
            <v/>
          </cell>
          <cell r="L147" t="str">
            <v/>
          </cell>
        </row>
        <row r="148">
          <cell r="B148" t="str">
            <v/>
          </cell>
          <cell r="C148" t="str">
            <v/>
          </cell>
          <cell r="D148" t="str">
            <v/>
          </cell>
          <cell r="E148" t="str">
            <v/>
          </cell>
        </row>
        <row r="148">
          <cell r="H148" t="str">
            <v/>
          </cell>
          <cell r="I148" t="str">
            <v/>
          </cell>
        </row>
        <row r="148">
          <cell r="K148" t="str">
            <v/>
          </cell>
          <cell r="L148" t="str">
            <v/>
          </cell>
        </row>
        <row r="149">
          <cell r="B149" t="str">
            <v/>
          </cell>
          <cell r="C149" t="str">
            <v/>
          </cell>
          <cell r="D149" t="str">
            <v/>
          </cell>
          <cell r="E149" t="str">
            <v/>
          </cell>
        </row>
        <row r="149">
          <cell r="H149" t="str">
            <v/>
          </cell>
          <cell r="I149" t="str">
            <v/>
          </cell>
        </row>
        <row r="149">
          <cell r="K149" t="str">
            <v/>
          </cell>
          <cell r="L149" t="str">
            <v/>
          </cell>
        </row>
        <row r="150"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</row>
        <row r="150">
          <cell r="H150" t="str">
            <v/>
          </cell>
          <cell r="I150" t="str">
            <v/>
          </cell>
        </row>
        <row r="150">
          <cell r="K150" t="str">
            <v/>
          </cell>
          <cell r="L150" t="str">
            <v/>
          </cell>
        </row>
        <row r="151"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</row>
        <row r="151">
          <cell r="H151" t="str">
            <v/>
          </cell>
          <cell r="I151" t="str">
            <v/>
          </cell>
        </row>
        <row r="151">
          <cell r="K151" t="str">
            <v/>
          </cell>
          <cell r="L151" t="str">
            <v/>
          </cell>
        </row>
        <row r="152"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</row>
        <row r="152">
          <cell r="H152" t="str">
            <v/>
          </cell>
          <cell r="I152" t="str">
            <v/>
          </cell>
        </row>
        <row r="152">
          <cell r="K152" t="str">
            <v/>
          </cell>
          <cell r="L152" t="str">
            <v/>
          </cell>
        </row>
        <row r="153"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</row>
        <row r="153">
          <cell r="H153" t="str">
            <v/>
          </cell>
          <cell r="I153" t="str">
            <v/>
          </cell>
        </row>
        <row r="153">
          <cell r="K153" t="str">
            <v/>
          </cell>
          <cell r="L153" t="str">
            <v/>
          </cell>
        </row>
        <row r="154"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</row>
        <row r="154">
          <cell r="H154" t="str">
            <v/>
          </cell>
          <cell r="I154" t="str">
            <v/>
          </cell>
        </row>
        <row r="154">
          <cell r="K154" t="str">
            <v/>
          </cell>
          <cell r="L154" t="str">
            <v/>
          </cell>
        </row>
        <row r="155"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</row>
        <row r="155">
          <cell r="H155" t="str">
            <v/>
          </cell>
          <cell r="I155" t="str">
            <v/>
          </cell>
        </row>
        <row r="155">
          <cell r="K155" t="str">
            <v/>
          </cell>
          <cell r="L155" t="str">
            <v/>
          </cell>
        </row>
        <row r="156"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</row>
        <row r="156">
          <cell r="H156" t="str">
            <v/>
          </cell>
          <cell r="I156" t="str">
            <v/>
          </cell>
        </row>
        <row r="156">
          <cell r="K156" t="str">
            <v/>
          </cell>
          <cell r="L156" t="str">
            <v/>
          </cell>
        </row>
        <row r="157"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</row>
        <row r="157">
          <cell r="H157" t="str">
            <v/>
          </cell>
          <cell r="I157" t="str">
            <v/>
          </cell>
        </row>
        <row r="157">
          <cell r="K157" t="str">
            <v/>
          </cell>
          <cell r="L157" t="str">
            <v/>
          </cell>
        </row>
        <row r="158"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</row>
        <row r="158">
          <cell r="H158" t="str">
            <v/>
          </cell>
          <cell r="I158" t="str">
            <v/>
          </cell>
        </row>
        <row r="158">
          <cell r="K158" t="str">
            <v/>
          </cell>
          <cell r="L158" t="str">
            <v/>
          </cell>
        </row>
        <row r="159"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</row>
        <row r="159">
          <cell r="H159" t="str">
            <v/>
          </cell>
          <cell r="I159" t="str">
            <v/>
          </cell>
        </row>
        <row r="159">
          <cell r="K159" t="str">
            <v/>
          </cell>
          <cell r="L159" t="str">
            <v/>
          </cell>
        </row>
        <row r="160"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</row>
        <row r="160">
          <cell r="H160" t="str">
            <v/>
          </cell>
          <cell r="I160" t="str">
            <v/>
          </cell>
        </row>
        <row r="160">
          <cell r="K160" t="str">
            <v/>
          </cell>
          <cell r="L160" t="str">
            <v/>
          </cell>
        </row>
        <row r="161"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</row>
        <row r="161">
          <cell r="H161" t="str">
            <v/>
          </cell>
          <cell r="I161" t="str">
            <v/>
          </cell>
        </row>
        <row r="161">
          <cell r="K161" t="str">
            <v/>
          </cell>
          <cell r="L161" t="str">
            <v/>
          </cell>
        </row>
        <row r="162"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</row>
        <row r="162">
          <cell r="H162" t="str">
            <v/>
          </cell>
          <cell r="I162" t="str">
            <v/>
          </cell>
        </row>
        <row r="162">
          <cell r="K162" t="str">
            <v/>
          </cell>
          <cell r="L162" t="str">
            <v/>
          </cell>
        </row>
        <row r="163"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</row>
        <row r="163">
          <cell r="H163" t="str">
            <v/>
          </cell>
          <cell r="I163" t="str">
            <v/>
          </cell>
        </row>
        <row r="163">
          <cell r="K163" t="str">
            <v/>
          </cell>
          <cell r="L163" t="str">
            <v/>
          </cell>
        </row>
        <row r="164"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</row>
        <row r="164">
          <cell r="H164" t="str">
            <v/>
          </cell>
          <cell r="I164" t="str">
            <v/>
          </cell>
        </row>
        <row r="164">
          <cell r="K164" t="str">
            <v/>
          </cell>
          <cell r="L164" t="str">
            <v/>
          </cell>
        </row>
        <row r="165"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</row>
        <row r="165">
          <cell r="H165" t="str">
            <v/>
          </cell>
          <cell r="I165" t="str">
            <v/>
          </cell>
        </row>
        <row r="165">
          <cell r="K165" t="str">
            <v/>
          </cell>
          <cell r="L165" t="str">
            <v/>
          </cell>
        </row>
        <row r="166"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</row>
        <row r="166">
          <cell r="H166" t="str">
            <v/>
          </cell>
          <cell r="I166" t="str">
            <v/>
          </cell>
        </row>
        <row r="166">
          <cell r="K166" t="str">
            <v/>
          </cell>
          <cell r="L166" t="str">
            <v/>
          </cell>
        </row>
        <row r="167"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</row>
        <row r="167">
          <cell r="H167" t="str">
            <v/>
          </cell>
          <cell r="I167" t="str">
            <v/>
          </cell>
        </row>
        <row r="167">
          <cell r="K167" t="str">
            <v/>
          </cell>
          <cell r="L167" t="str">
            <v/>
          </cell>
        </row>
        <row r="168"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</row>
        <row r="168">
          <cell r="H168" t="str">
            <v/>
          </cell>
          <cell r="I168" t="str">
            <v/>
          </cell>
        </row>
        <row r="168">
          <cell r="K168" t="str">
            <v/>
          </cell>
          <cell r="L168" t="str">
            <v/>
          </cell>
        </row>
        <row r="169"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</row>
        <row r="169">
          <cell r="H169" t="str">
            <v/>
          </cell>
          <cell r="I169" t="str">
            <v/>
          </cell>
        </row>
        <row r="169">
          <cell r="K169" t="str">
            <v/>
          </cell>
          <cell r="L169" t="str">
            <v/>
          </cell>
        </row>
        <row r="170"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</row>
        <row r="170">
          <cell r="H170" t="str">
            <v/>
          </cell>
          <cell r="I170" t="str">
            <v/>
          </cell>
        </row>
        <row r="170">
          <cell r="K170" t="str">
            <v/>
          </cell>
          <cell r="L170" t="str">
            <v/>
          </cell>
        </row>
        <row r="171"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</row>
        <row r="171">
          <cell r="H171" t="str">
            <v/>
          </cell>
          <cell r="I171" t="str">
            <v/>
          </cell>
        </row>
        <row r="171">
          <cell r="K171" t="str">
            <v/>
          </cell>
          <cell r="L171" t="str">
            <v/>
          </cell>
        </row>
        <row r="172"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</row>
        <row r="172">
          <cell r="H172" t="str">
            <v/>
          </cell>
          <cell r="I172" t="str">
            <v/>
          </cell>
        </row>
        <row r="172">
          <cell r="K172" t="str">
            <v/>
          </cell>
          <cell r="L172" t="str">
            <v/>
          </cell>
        </row>
        <row r="173"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</row>
        <row r="173">
          <cell r="H173" t="str">
            <v/>
          </cell>
          <cell r="I173" t="str">
            <v/>
          </cell>
        </row>
        <row r="173">
          <cell r="K173" t="str">
            <v/>
          </cell>
          <cell r="L173" t="str">
            <v/>
          </cell>
        </row>
        <row r="174"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</row>
        <row r="174">
          <cell r="H174" t="str">
            <v/>
          </cell>
          <cell r="I174" t="str">
            <v/>
          </cell>
        </row>
        <row r="174">
          <cell r="K174" t="str">
            <v/>
          </cell>
          <cell r="L174" t="str">
            <v/>
          </cell>
        </row>
        <row r="175"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</row>
        <row r="175">
          <cell r="H175" t="str">
            <v/>
          </cell>
          <cell r="I175" t="str">
            <v/>
          </cell>
        </row>
        <row r="175">
          <cell r="K175" t="str">
            <v/>
          </cell>
          <cell r="L175" t="str">
            <v/>
          </cell>
        </row>
        <row r="176"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</row>
        <row r="176">
          <cell r="H176" t="str">
            <v/>
          </cell>
          <cell r="I176" t="str">
            <v/>
          </cell>
        </row>
        <row r="176">
          <cell r="K176" t="str">
            <v/>
          </cell>
          <cell r="L176" t="str">
            <v/>
          </cell>
        </row>
        <row r="177"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</row>
        <row r="177">
          <cell r="H177" t="str">
            <v/>
          </cell>
          <cell r="I177" t="str">
            <v/>
          </cell>
        </row>
        <row r="177">
          <cell r="K177" t="str">
            <v/>
          </cell>
          <cell r="L177" t="str">
            <v/>
          </cell>
        </row>
        <row r="178"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</row>
        <row r="178">
          <cell r="H178" t="str">
            <v/>
          </cell>
          <cell r="I178" t="str">
            <v/>
          </cell>
        </row>
        <row r="178">
          <cell r="K178" t="str">
            <v/>
          </cell>
          <cell r="L178" t="str">
            <v/>
          </cell>
        </row>
        <row r="179"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</row>
        <row r="179">
          <cell r="H179" t="str">
            <v/>
          </cell>
          <cell r="I179" t="str">
            <v/>
          </cell>
        </row>
        <row r="179">
          <cell r="K179" t="str">
            <v/>
          </cell>
          <cell r="L179" t="str">
            <v/>
          </cell>
        </row>
        <row r="180"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</row>
        <row r="180">
          <cell r="H180" t="str">
            <v/>
          </cell>
          <cell r="I180" t="str">
            <v/>
          </cell>
        </row>
        <row r="180">
          <cell r="K180" t="str">
            <v/>
          </cell>
          <cell r="L180" t="str">
            <v/>
          </cell>
        </row>
        <row r="181"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</row>
        <row r="181">
          <cell r="H181" t="str">
            <v/>
          </cell>
          <cell r="I181" t="str">
            <v/>
          </cell>
        </row>
        <row r="181">
          <cell r="K181" t="str">
            <v/>
          </cell>
          <cell r="L181" t="str">
            <v/>
          </cell>
        </row>
        <row r="182"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</row>
        <row r="182">
          <cell r="H182" t="str">
            <v/>
          </cell>
          <cell r="I182" t="str">
            <v/>
          </cell>
        </row>
        <row r="182">
          <cell r="K182" t="str">
            <v/>
          </cell>
          <cell r="L182" t="str">
            <v/>
          </cell>
        </row>
        <row r="183"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</row>
        <row r="183">
          <cell r="H183" t="str">
            <v/>
          </cell>
          <cell r="I183" t="str">
            <v/>
          </cell>
        </row>
        <row r="183">
          <cell r="K183" t="str">
            <v/>
          </cell>
          <cell r="L183" t="str">
            <v/>
          </cell>
        </row>
        <row r="184"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</row>
        <row r="184">
          <cell r="H184" t="str">
            <v/>
          </cell>
          <cell r="I184" t="str">
            <v/>
          </cell>
        </row>
        <row r="184">
          <cell r="K184" t="str">
            <v/>
          </cell>
          <cell r="L184" t="str">
            <v/>
          </cell>
        </row>
        <row r="185"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</row>
        <row r="185">
          <cell r="H185" t="str">
            <v/>
          </cell>
          <cell r="I185" t="str">
            <v/>
          </cell>
        </row>
        <row r="185">
          <cell r="K185" t="str">
            <v/>
          </cell>
          <cell r="L185" t="str">
            <v/>
          </cell>
        </row>
        <row r="186"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</row>
        <row r="186">
          <cell r="H186" t="str">
            <v/>
          </cell>
          <cell r="I186" t="str">
            <v/>
          </cell>
        </row>
        <row r="186">
          <cell r="K186" t="str">
            <v/>
          </cell>
          <cell r="L186" t="str">
            <v/>
          </cell>
        </row>
        <row r="187"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</row>
        <row r="187">
          <cell r="H187" t="str">
            <v/>
          </cell>
          <cell r="I187" t="str">
            <v/>
          </cell>
        </row>
        <row r="187">
          <cell r="K187" t="str">
            <v/>
          </cell>
          <cell r="L187" t="str">
            <v/>
          </cell>
        </row>
        <row r="188"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</row>
        <row r="188">
          <cell r="H188" t="str">
            <v/>
          </cell>
          <cell r="I188" t="str">
            <v/>
          </cell>
        </row>
        <row r="188">
          <cell r="K188" t="str">
            <v/>
          </cell>
          <cell r="L188" t="str">
            <v/>
          </cell>
        </row>
        <row r="189"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</row>
        <row r="189">
          <cell r="H189" t="str">
            <v/>
          </cell>
          <cell r="I189" t="str">
            <v/>
          </cell>
        </row>
        <row r="189">
          <cell r="K189" t="str">
            <v/>
          </cell>
          <cell r="L189" t="str">
            <v/>
          </cell>
        </row>
        <row r="190"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</row>
        <row r="190">
          <cell r="H190" t="str">
            <v/>
          </cell>
          <cell r="I190" t="str">
            <v/>
          </cell>
        </row>
        <row r="190">
          <cell r="K190" t="str">
            <v/>
          </cell>
          <cell r="L190" t="str">
            <v/>
          </cell>
        </row>
        <row r="191"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</row>
        <row r="191">
          <cell r="H191" t="str">
            <v/>
          </cell>
          <cell r="I191" t="str">
            <v/>
          </cell>
        </row>
        <row r="191">
          <cell r="K191" t="str">
            <v/>
          </cell>
          <cell r="L191" t="str">
            <v/>
          </cell>
        </row>
        <row r="192"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</row>
        <row r="192">
          <cell r="H192" t="str">
            <v/>
          </cell>
          <cell r="I192" t="str">
            <v/>
          </cell>
        </row>
        <row r="192">
          <cell r="K192" t="str">
            <v/>
          </cell>
          <cell r="L192" t="str">
            <v/>
          </cell>
        </row>
        <row r="193"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</row>
        <row r="193">
          <cell r="H193" t="str">
            <v/>
          </cell>
          <cell r="I193" t="str">
            <v/>
          </cell>
        </row>
        <row r="193">
          <cell r="K193" t="str">
            <v/>
          </cell>
          <cell r="L193" t="str">
            <v/>
          </cell>
        </row>
        <row r="194"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</row>
        <row r="194">
          <cell r="H194" t="str">
            <v/>
          </cell>
          <cell r="I194" t="str">
            <v/>
          </cell>
        </row>
        <row r="194">
          <cell r="K194" t="str">
            <v/>
          </cell>
          <cell r="L194" t="str">
            <v/>
          </cell>
        </row>
        <row r="195"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</row>
        <row r="195">
          <cell r="H195" t="str">
            <v/>
          </cell>
          <cell r="I195" t="str">
            <v/>
          </cell>
        </row>
        <row r="195">
          <cell r="K195" t="str">
            <v/>
          </cell>
          <cell r="L195" t="str">
            <v/>
          </cell>
        </row>
        <row r="196"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</row>
        <row r="196">
          <cell r="H196" t="str">
            <v/>
          </cell>
          <cell r="I196" t="str">
            <v/>
          </cell>
        </row>
        <row r="196">
          <cell r="K196" t="str">
            <v/>
          </cell>
          <cell r="L196" t="str">
            <v/>
          </cell>
        </row>
        <row r="197"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</row>
        <row r="197">
          <cell r="H197" t="str">
            <v/>
          </cell>
          <cell r="I197" t="str">
            <v/>
          </cell>
        </row>
        <row r="197">
          <cell r="K197" t="str">
            <v/>
          </cell>
          <cell r="L197" t="str">
            <v/>
          </cell>
        </row>
        <row r="198"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</row>
        <row r="198">
          <cell r="H198" t="str">
            <v/>
          </cell>
          <cell r="I198" t="str">
            <v/>
          </cell>
        </row>
        <row r="198">
          <cell r="K198" t="str">
            <v/>
          </cell>
          <cell r="L198" t="str">
            <v/>
          </cell>
        </row>
        <row r="199"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</row>
        <row r="199">
          <cell r="H199" t="str">
            <v/>
          </cell>
          <cell r="I199" t="str">
            <v/>
          </cell>
        </row>
        <row r="199">
          <cell r="K199" t="str">
            <v/>
          </cell>
          <cell r="L199" t="str">
            <v/>
          </cell>
        </row>
        <row r="200"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</row>
        <row r="200">
          <cell r="H200" t="str">
            <v/>
          </cell>
          <cell r="I200" t="str">
            <v/>
          </cell>
        </row>
        <row r="200">
          <cell r="K200" t="str">
            <v/>
          </cell>
          <cell r="L200" t="str">
            <v/>
          </cell>
        </row>
        <row r="201"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</row>
        <row r="201">
          <cell r="H201" t="str">
            <v/>
          </cell>
          <cell r="I201" t="str">
            <v/>
          </cell>
        </row>
        <row r="201">
          <cell r="K201" t="str">
            <v/>
          </cell>
          <cell r="L201" t="str">
            <v/>
          </cell>
        </row>
        <row r="202"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</row>
        <row r="202">
          <cell r="H202" t="str">
            <v/>
          </cell>
          <cell r="I202" t="str">
            <v/>
          </cell>
        </row>
        <row r="202">
          <cell r="K202" t="str">
            <v/>
          </cell>
          <cell r="L202" t="str">
            <v/>
          </cell>
        </row>
        <row r="203"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</row>
        <row r="203">
          <cell r="H203" t="str">
            <v/>
          </cell>
          <cell r="I203" t="str">
            <v/>
          </cell>
        </row>
        <row r="203">
          <cell r="K203" t="str">
            <v/>
          </cell>
          <cell r="L203" t="str">
            <v/>
          </cell>
        </row>
        <row r="204"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</row>
        <row r="204">
          <cell r="H204" t="str">
            <v/>
          </cell>
          <cell r="I204" t="str">
            <v/>
          </cell>
        </row>
        <row r="204">
          <cell r="K204" t="str">
            <v/>
          </cell>
          <cell r="L204" t="str">
            <v/>
          </cell>
        </row>
        <row r="205"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</row>
        <row r="205">
          <cell r="H205" t="str">
            <v/>
          </cell>
          <cell r="I205" t="str">
            <v/>
          </cell>
        </row>
        <row r="205">
          <cell r="K205" t="str">
            <v/>
          </cell>
          <cell r="L205" t="str">
            <v/>
          </cell>
        </row>
        <row r="206"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</row>
        <row r="206">
          <cell r="H206" t="str">
            <v/>
          </cell>
          <cell r="I206" t="str">
            <v/>
          </cell>
        </row>
        <row r="206">
          <cell r="K206" t="str">
            <v/>
          </cell>
          <cell r="L206" t="str">
            <v/>
          </cell>
        </row>
        <row r="207"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</row>
        <row r="207">
          <cell r="H207" t="str">
            <v/>
          </cell>
          <cell r="I207" t="str">
            <v/>
          </cell>
        </row>
        <row r="207">
          <cell r="K207" t="str">
            <v/>
          </cell>
          <cell r="L207" t="str">
            <v/>
          </cell>
        </row>
        <row r="208"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</row>
        <row r="208">
          <cell r="H208" t="str">
            <v/>
          </cell>
          <cell r="I208" t="str">
            <v/>
          </cell>
        </row>
        <row r="208">
          <cell r="K208" t="str">
            <v/>
          </cell>
          <cell r="L208" t="str">
            <v/>
          </cell>
        </row>
        <row r="209"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</row>
        <row r="209">
          <cell r="H209" t="str">
            <v/>
          </cell>
          <cell r="I209" t="str">
            <v/>
          </cell>
        </row>
        <row r="209">
          <cell r="K209" t="str">
            <v/>
          </cell>
          <cell r="L209" t="str">
            <v/>
          </cell>
        </row>
        <row r="210"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</row>
        <row r="210">
          <cell r="H210" t="str">
            <v/>
          </cell>
          <cell r="I210" t="str">
            <v/>
          </cell>
        </row>
        <row r="210">
          <cell r="K210" t="str">
            <v/>
          </cell>
          <cell r="L210" t="str">
            <v/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</row>
        <row r="211">
          <cell r="H211" t="str">
            <v/>
          </cell>
          <cell r="I211" t="str">
            <v/>
          </cell>
        </row>
        <row r="211">
          <cell r="K211" t="str">
            <v/>
          </cell>
          <cell r="L211" t="str">
            <v/>
          </cell>
        </row>
        <row r="212"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</row>
        <row r="212">
          <cell r="H212" t="str">
            <v/>
          </cell>
          <cell r="I212" t="str">
            <v/>
          </cell>
        </row>
        <row r="212">
          <cell r="K212" t="str">
            <v/>
          </cell>
          <cell r="L212" t="str">
            <v/>
          </cell>
        </row>
        <row r="213"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</row>
        <row r="213">
          <cell r="H213" t="str">
            <v/>
          </cell>
          <cell r="I213" t="str">
            <v/>
          </cell>
        </row>
        <row r="213">
          <cell r="K213" t="str">
            <v/>
          </cell>
          <cell r="L213" t="str">
            <v/>
          </cell>
        </row>
        <row r="214"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</row>
        <row r="214">
          <cell r="H214" t="str">
            <v/>
          </cell>
          <cell r="I214" t="str">
            <v/>
          </cell>
        </row>
        <row r="214">
          <cell r="K214" t="str">
            <v/>
          </cell>
          <cell r="L214" t="str">
            <v/>
          </cell>
        </row>
        <row r="215"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</row>
        <row r="215">
          <cell r="H215" t="str">
            <v/>
          </cell>
          <cell r="I215" t="str">
            <v/>
          </cell>
        </row>
        <row r="215">
          <cell r="K215" t="str">
            <v/>
          </cell>
          <cell r="L215" t="str">
            <v/>
          </cell>
        </row>
        <row r="216"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</row>
        <row r="216">
          <cell r="H216" t="str">
            <v/>
          </cell>
          <cell r="I216" t="str">
            <v/>
          </cell>
        </row>
        <row r="216">
          <cell r="K216" t="str">
            <v/>
          </cell>
          <cell r="L216" t="str">
            <v/>
          </cell>
        </row>
        <row r="217"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</row>
        <row r="217">
          <cell r="H217" t="str">
            <v/>
          </cell>
          <cell r="I217" t="str">
            <v/>
          </cell>
        </row>
        <row r="217">
          <cell r="K217" t="str">
            <v/>
          </cell>
          <cell r="L217" t="str">
            <v/>
          </cell>
        </row>
        <row r="218"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</row>
        <row r="218">
          <cell r="H218" t="str">
            <v/>
          </cell>
          <cell r="I218" t="str">
            <v/>
          </cell>
        </row>
        <row r="218">
          <cell r="K218" t="str">
            <v/>
          </cell>
          <cell r="L218" t="str">
            <v/>
          </cell>
        </row>
        <row r="219"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</row>
        <row r="219">
          <cell r="H219" t="str">
            <v/>
          </cell>
          <cell r="I219" t="str">
            <v/>
          </cell>
        </row>
        <row r="219">
          <cell r="K219" t="str">
            <v/>
          </cell>
          <cell r="L219" t="str">
            <v/>
          </cell>
        </row>
        <row r="220"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</row>
        <row r="220">
          <cell r="H220" t="str">
            <v/>
          </cell>
          <cell r="I220" t="str">
            <v/>
          </cell>
        </row>
        <row r="220">
          <cell r="K220" t="str">
            <v/>
          </cell>
          <cell r="L220" t="str">
            <v/>
          </cell>
        </row>
        <row r="221"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</row>
        <row r="221">
          <cell r="H221" t="str">
            <v/>
          </cell>
          <cell r="I221" t="str">
            <v/>
          </cell>
        </row>
        <row r="221">
          <cell r="K221" t="str">
            <v/>
          </cell>
          <cell r="L221" t="str">
            <v/>
          </cell>
        </row>
        <row r="222"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</row>
        <row r="222">
          <cell r="H222" t="str">
            <v/>
          </cell>
          <cell r="I222" t="str">
            <v/>
          </cell>
        </row>
        <row r="222">
          <cell r="K222" t="str">
            <v/>
          </cell>
          <cell r="L222" t="str">
            <v/>
          </cell>
        </row>
        <row r="223"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</row>
        <row r="223">
          <cell r="H223" t="str">
            <v/>
          </cell>
          <cell r="I223" t="str">
            <v/>
          </cell>
        </row>
        <row r="223">
          <cell r="K223" t="str">
            <v/>
          </cell>
          <cell r="L223" t="str">
            <v/>
          </cell>
        </row>
        <row r="224"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</row>
        <row r="224">
          <cell r="H224" t="str">
            <v/>
          </cell>
          <cell r="I224" t="str">
            <v/>
          </cell>
        </row>
        <row r="224">
          <cell r="K224" t="str">
            <v/>
          </cell>
          <cell r="L224" t="str">
            <v/>
          </cell>
        </row>
        <row r="225"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</row>
        <row r="225">
          <cell r="H225" t="str">
            <v/>
          </cell>
          <cell r="I225" t="str">
            <v/>
          </cell>
        </row>
        <row r="225">
          <cell r="K225" t="str">
            <v/>
          </cell>
          <cell r="L225" t="str">
            <v/>
          </cell>
        </row>
        <row r="226"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</row>
        <row r="226">
          <cell r="H226" t="str">
            <v/>
          </cell>
          <cell r="I226" t="str">
            <v/>
          </cell>
        </row>
        <row r="226">
          <cell r="K226" t="str">
            <v/>
          </cell>
          <cell r="L226" t="str">
            <v/>
          </cell>
        </row>
        <row r="227"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</row>
        <row r="227">
          <cell r="H227" t="str">
            <v/>
          </cell>
          <cell r="I227" t="str">
            <v/>
          </cell>
        </row>
        <row r="227">
          <cell r="K227" t="str">
            <v/>
          </cell>
          <cell r="L227" t="str">
            <v/>
          </cell>
        </row>
        <row r="228"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</row>
        <row r="228">
          <cell r="H228" t="str">
            <v/>
          </cell>
          <cell r="I228" t="str">
            <v/>
          </cell>
        </row>
        <row r="228">
          <cell r="K228" t="str">
            <v/>
          </cell>
          <cell r="L228" t="str">
            <v/>
          </cell>
        </row>
        <row r="229"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</row>
        <row r="229">
          <cell r="H229" t="str">
            <v/>
          </cell>
          <cell r="I229" t="str">
            <v/>
          </cell>
        </row>
        <row r="229">
          <cell r="K229" t="str">
            <v/>
          </cell>
          <cell r="L229" t="str">
            <v/>
          </cell>
        </row>
        <row r="230"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</row>
        <row r="230">
          <cell r="H230" t="str">
            <v/>
          </cell>
          <cell r="I230" t="str">
            <v/>
          </cell>
        </row>
        <row r="230">
          <cell r="K230" t="str">
            <v/>
          </cell>
          <cell r="L230" t="str">
            <v/>
          </cell>
        </row>
        <row r="231"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</row>
        <row r="231">
          <cell r="H231" t="str">
            <v/>
          </cell>
          <cell r="I231" t="str">
            <v/>
          </cell>
        </row>
        <row r="231">
          <cell r="K231" t="str">
            <v/>
          </cell>
          <cell r="L231" t="str">
            <v/>
          </cell>
        </row>
        <row r="232">
          <cell r="B232" t="str">
            <v/>
          </cell>
          <cell r="C232" t="str">
            <v/>
          </cell>
          <cell r="D232" t="str">
            <v/>
          </cell>
          <cell r="E232" t="str">
            <v/>
          </cell>
        </row>
        <row r="232">
          <cell r="H232" t="str">
            <v/>
          </cell>
          <cell r="I232" t="str">
            <v/>
          </cell>
        </row>
        <row r="232">
          <cell r="K232" t="str">
            <v/>
          </cell>
          <cell r="L232" t="str">
            <v/>
          </cell>
        </row>
        <row r="233">
          <cell r="B233" t="str">
            <v/>
          </cell>
          <cell r="C233" t="str">
            <v/>
          </cell>
          <cell r="D233" t="str">
            <v/>
          </cell>
          <cell r="E233" t="str">
            <v/>
          </cell>
        </row>
        <row r="233">
          <cell r="H233" t="str">
            <v/>
          </cell>
          <cell r="I233" t="str">
            <v/>
          </cell>
        </row>
        <row r="233">
          <cell r="K233" t="str">
            <v/>
          </cell>
          <cell r="L233" t="str">
            <v/>
          </cell>
        </row>
        <row r="234"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</row>
        <row r="234">
          <cell r="H234" t="str">
            <v/>
          </cell>
          <cell r="I234" t="str">
            <v/>
          </cell>
        </row>
        <row r="234">
          <cell r="K234" t="str">
            <v/>
          </cell>
          <cell r="L234" t="str">
            <v/>
          </cell>
        </row>
        <row r="235">
          <cell r="B235" t="str">
            <v/>
          </cell>
          <cell r="C235" t="str">
            <v/>
          </cell>
          <cell r="D235" t="str">
            <v/>
          </cell>
          <cell r="E235" t="str">
            <v/>
          </cell>
        </row>
        <row r="235">
          <cell r="H235" t="str">
            <v/>
          </cell>
          <cell r="I235" t="str">
            <v/>
          </cell>
        </row>
        <row r="235">
          <cell r="K235" t="str">
            <v/>
          </cell>
          <cell r="L235" t="str">
            <v/>
          </cell>
        </row>
        <row r="236">
          <cell r="B236" t="str">
            <v/>
          </cell>
          <cell r="C236" t="str">
            <v/>
          </cell>
          <cell r="D236" t="str">
            <v/>
          </cell>
          <cell r="E236" t="str">
            <v/>
          </cell>
        </row>
        <row r="236">
          <cell r="H236" t="str">
            <v/>
          </cell>
          <cell r="I236" t="str">
            <v/>
          </cell>
        </row>
        <row r="236">
          <cell r="K236" t="str">
            <v/>
          </cell>
          <cell r="L236" t="str">
            <v/>
          </cell>
        </row>
        <row r="237"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</row>
        <row r="237">
          <cell r="H237" t="str">
            <v/>
          </cell>
          <cell r="I237" t="str">
            <v/>
          </cell>
        </row>
        <row r="237">
          <cell r="K237" t="str">
            <v/>
          </cell>
          <cell r="L237" t="str">
            <v/>
          </cell>
        </row>
        <row r="238">
          <cell r="B238" t="str">
            <v/>
          </cell>
          <cell r="C238" t="str">
            <v/>
          </cell>
          <cell r="D238" t="str">
            <v/>
          </cell>
          <cell r="E238" t="str">
            <v/>
          </cell>
        </row>
        <row r="238">
          <cell r="H238" t="str">
            <v/>
          </cell>
          <cell r="I238" t="str">
            <v/>
          </cell>
        </row>
        <row r="238">
          <cell r="K238" t="str">
            <v/>
          </cell>
          <cell r="L238" t="str">
            <v/>
          </cell>
        </row>
        <row r="239">
          <cell r="B239" t="str">
            <v/>
          </cell>
          <cell r="C239" t="str">
            <v/>
          </cell>
          <cell r="D239" t="str">
            <v/>
          </cell>
          <cell r="E239" t="str">
            <v/>
          </cell>
        </row>
        <row r="239">
          <cell r="H239" t="str">
            <v/>
          </cell>
          <cell r="I239" t="str">
            <v/>
          </cell>
        </row>
        <row r="239">
          <cell r="K239" t="str">
            <v/>
          </cell>
          <cell r="L239" t="str">
            <v/>
          </cell>
        </row>
        <row r="240"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</row>
        <row r="240">
          <cell r="H240" t="str">
            <v/>
          </cell>
          <cell r="I240" t="str">
            <v/>
          </cell>
        </row>
        <row r="240">
          <cell r="K240" t="str">
            <v/>
          </cell>
          <cell r="L240" t="str">
            <v/>
          </cell>
        </row>
        <row r="241">
          <cell r="B241" t="str">
            <v/>
          </cell>
          <cell r="C241" t="str">
            <v/>
          </cell>
          <cell r="D241" t="str">
            <v/>
          </cell>
          <cell r="E241" t="str">
            <v/>
          </cell>
        </row>
        <row r="241">
          <cell r="H241" t="str">
            <v/>
          </cell>
          <cell r="I241" t="str">
            <v/>
          </cell>
        </row>
        <row r="241">
          <cell r="K241" t="str">
            <v/>
          </cell>
          <cell r="L241" t="str">
            <v/>
          </cell>
        </row>
        <row r="242">
          <cell r="B242" t="str">
            <v/>
          </cell>
          <cell r="C242" t="str">
            <v/>
          </cell>
          <cell r="D242" t="str">
            <v/>
          </cell>
          <cell r="E242" t="str">
            <v/>
          </cell>
        </row>
        <row r="242">
          <cell r="H242" t="str">
            <v/>
          </cell>
          <cell r="I242" t="str">
            <v/>
          </cell>
        </row>
        <row r="242">
          <cell r="K242" t="str">
            <v/>
          </cell>
          <cell r="L242" t="str">
            <v/>
          </cell>
        </row>
        <row r="243"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</row>
        <row r="243">
          <cell r="H243" t="str">
            <v/>
          </cell>
          <cell r="I243" t="str">
            <v/>
          </cell>
        </row>
        <row r="243">
          <cell r="K243" t="str">
            <v/>
          </cell>
          <cell r="L243" t="str">
            <v/>
          </cell>
        </row>
        <row r="244">
          <cell r="B244" t="str">
            <v/>
          </cell>
          <cell r="C244" t="str">
            <v/>
          </cell>
          <cell r="D244" t="str">
            <v/>
          </cell>
          <cell r="E244" t="str">
            <v/>
          </cell>
        </row>
        <row r="244">
          <cell r="H244" t="str">
            <v/>
          </cell>
          <cell r="I244" t="str">
            <v/>
          </cell>
        </row>
        <row r="244">
          <cell r="K244" t="str">
            <v/>
          </cell>
          <cell r="L244" t="str">
            <v/>
          </cell>
        </row>
        <row r="245">
          <cell r="B245" t="str">
            <v/>
          </cell>
          <cell r="C245" t="str">
            <v/>
          </cell>
          <cell r="D245" t="str">
            <v/>
          </cell>
          <cell r="E245" t="str">
            <v/>
          </cell>
        </row>
        <row r="245">
          <cell r="H245" t="str">
            <v/>
          </cell>
          <cell r="I245" t="str">
            <v/>
          </cell>
        </row>
        <row r="245">
          <cell r="K245" t="str">
            <v/>
          </cell>
          <cell r="L245" t="str">
            <v/>
          </cell>
        </row>
        <row r="246"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</row>
        <row r="246">
          <cell r="H246" t="str">
            <v/>
          </cell>
          <cell r="I246" t="str">
            <v/>
          </cell>
        </row>
        <row r="246">
          <cell r="K246" t="str">
            <v/>
          </cell>
          <cell r="L246" t="str">
            <v/>
          </cell>
        </row>
        <row r="247">
          <cell r="B247" t="str">
            <v/>
          </cell>
          <cell r="C247" t="str">
            <v/>
          </cell>
          <cell r="D247" t="str">
            <v/>
          </cell>
          <cell r="E247" t="str">
            <v/>
          </cell>
        </row>
        <row r="247">
          <cell r="H247" t="str">
            <v/>
          </cell>
          <cell r="I247" t="str">
            <v/>
          </cell>
        </row>
        <row r="247">
          <cell r="K247" t="str">
            <v/>
          </cell>
          <cell r="L247" t="str">
            <v/>
          </cell>
        </row>
        <row r="248">
          <cell r="B248" t="str">
            <v/>
          </cell>
          <cell r="C248" t="str">
            <v/>
          </cell>
          <cell r="D248" t="str">
            <v/>
          </cell>
          <cell r="E248" t="str">
            <v/>
          </cell>
        </row>
        <row r="248">
          <cell r="H248" t="str">
            <v/>
          </cell>
          <cell r="I248" t="str">
            <v/>
          </cell>
        </row>
        <row r="248">
          <cell r="K248" t="str">
            <v/>
          </cell>
          <cell r="L248" t="str">
            <v/>
          </cell>
        </row>
        <row r="249"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</row>
        <row r="249">
          <cell r="H249" t="str">
            <v/>
          </cell>
          <cell r="I249" t="str">
            <v/>
          </cell>
        </row>
        <row r="249">
          <cell r="K249" t="str">
            <v/>
          </cell>
          <cell r="L249" t="str">
            <v/>
          </cell>
        </row>
        <row r="250">
          <cell r="B250" t="str">
            <v/>
          </cell>
          <cell r="C250" t="str">
            <v/>
          </cell>
          <cell r="D250" t="str">
            <v/>
          </cell>
          <cell r="E250" t="str">
            <v/>
          </cell>
        </row>
        <row r="250">
          <cell r="H250" t="str">
            <v/>
          </cell>
          <cell r="I250" t="str">
            <v/>
          </cell>
        </row>
        <row r="250">
          <cell r="K250" t="str">
            <v/>
          </cell>
          <cell r="L250" t="str">
            <v/>
          </cell>
        </row>
        <row r="251">
          <cell r="B251" t="str">
            <v/>
          </cell>
          <cell r="C251" t="str">
            <v/>
          </cell>
          <cell r="D251" t="str">
            <v/>
          </cell>
          <cell r="E251" t="str">
            <v/>
          </cell>
        </row>
        <row r="251">
          <cell r="H251" t="str">
            <v/>
          </cell>
          <cell r="I251" t="str">
            <v/>
          </cell>
        </row>
        <row r="251">
          <cell r="K251" t="str">
            <v/>
          </cell>
          <cell r="L251" t="str">
            <v/>
          </cell>
        </row>
        <row r="252"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</row>
        <row r="252">
          <cell r="H252" t="str">
            <v/>
          </cell>
          <cell r="I252" t="str">
            <v/>
          </cell>
        </row>
        <row r="252">
          <cell r="K252" t="str">
            <v/>
          </cell>
          <cell r="L252" t="str">
            <v/>
          </cell>
        </row>
        <row r="253">
          <cell r="B253" t="str">
            <v/>
          </cell>
          <cell r="C253" t="str">
            <v/>
          </cell>
          <cell r="D253" t="str">
            <v/>
          </cell>
          <cell r="E253" t="str">
            <v/>
          </cell>
        </row>
        <row r="253">
          <cell r="H253" t="str">
            <v/>
          </cell>
          <cell r="I253" t="str">
            <v/>
          </cell>
        </row>
        <row r="253">
          <cell r="K253" t="str">
            <v/>
          </cell>
          <cell r="L253" t="str">
            <v/>
          </cell>
        </row>
        <row r="254">
          <cell r="B254" t="str">
            <v/>
          </cell>
          <cell r="C254" t="str">
            <v/>
          </cell>
          <cell r="D254" t="str">
            <v/>
          </cell>
          <cell r="E254" t="str">
            <v/>
          </cell>
        </row>
        <row r="254">
          <cell r="H254" t="str">
            <v/>
          </cell>
          <cell r="I254" t="str">
            <v/>
          </cell>
        </row>
        <row r="254">
          <cell r="K254" t="str">
            <v/>
          </cell>
          <cell r="L254" t="str">
            <v/>
          </cell>
        </row>
        <row r="255"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</row>
        <row r="255">
          <cell r="H255" t="str">
            <v/>
          </cell>
          <cell r="I255" t="str">
            <v/>
          </cell>
        </row>
        <row r="255">
          <cell r="K255" t="str">
            <v/>
          </cell>
          <cell r="L255" t="str">
            <v/>
          </cell>
        </row>
        <row r="256">
          <cell r="B256" t="str">
            <v/>
          </cell>
          <cell r="C256" t="str">
            <v/>
          </cell>
          <cell r="D256" t="str">
            <v/>
          </cell>
          <cell r="E256" t="str">
            <v/>
          </cell>
        </row>
        <row r="256">
          <cell r="H256" t="str">
            <v/>
          </cell>
          <cell r="I256" t="str">
            <v/>
          </cell>
        </row>
        <row r="256">
          <cell r="K256" t="str">
            <v/>
          </cell>
          <cell r="L256" t="str">
            <v/>
          </cell>
        </row>
        <row r="257">
          <cell r="B257" t="str">
            <v/>
          </cell>
          <cell r="C257" t="str">
            <v/>
          </cell>
          <cell r="D257" t="str">
            <v/>
          </cell>
          <cell r="E257" t="str">
            <v/>
          </cell>
        </row>
        <row r="257">
          <cell r="H257" t="str">
            <v/>
          </cell>
          <cell r="I257" t="str">
            <v/>
          </cell>
        </row>
        <row r="257">
          <cell r="K257" t="str">
            <v/>
          </cell>
          <cell r="L257" t="str">
            <v/>
          </cell>
        </row>
        <row r="258"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</row>
        <row r="258">
          <cell r="H258" t="str">
            <v/>
          </cell>
          <cell r="I258" t="str">
            <v/>
          </cell>
        </row>
        <row r="258">
          <cell r="K258" t="str">
            <v/>
          </cell>
          <cell r="L258" t="str">
            <v/>
          </cell>
        </row>
        <row r="259">
          <cell r="B259" t="str">
            <v/>
          </cell>
          <cell r="C259" t="str">
            <v/>
          </cell>
          <cell r="D259" t="str">
            <v/>
          </cell>
          <cell r="E259" t="str">
            <v/>
          </cell>
        </row>
        <row r="259">
          <cell r="H259" t="str">
            <v/>
          </cell>
          <cell r="I259" t="str">
            <v/>
          </cell>
        </row>
        <row r="259">
          <cell r="K259" t="str">
            <v/>
          </cell>
          <cell r="L259" t="str">
            <v/>
          </cell>
        </row>
        <row r="260">
          <cell r="B260" t="str">
            <v/>
          </cell>
          <cell r="C260" t="str">
            <v/>
          </cell>
          <cell r="D260" t="str">
            <v/>
          </cell>
          <cell r="E260" t="str">
            <v/>
          </cell>
        </row>
        <row r="260">
          <cell r="H260" t="str">
            <v/>
          </cell>
          <cell r="I260" t="str">
            <v/>
          </cell>
        </row>
        <row r="260">
          <cell r="K260" t="str">
            <v/>
          </cell>
          <cell r="L260" t="str">
            <v/>
          </cell>
        </row>
        <row r="261"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</row>
        <row r="261">
          <cell r="H261" t="str">
            <v/>
          </cell>
          <cell r="I261" t="str">
            <v/>
          </cell>
        </row>
        <row r="261">
          <cell r="K261" t="str">
            <v/>
          </cell>
          <cell r="L261" t="str">
            <v/>
          </cell>
        </row>
        <row r="262">
          <cell r="B262" t="str">
            <v/>
          </cell>
          <cell r="C262" t="str">
            <v/>
          </cell>
          <cell r="D262" t="str">
            <v/>
          </cell>
          <cell r="E262" t="str">
            <v/>
          </cell>
        </row>
        <row r="262">
          <cell r="H262" t="str">
            <v/>
          </cell>
          <cell r="I262" t="str">
            <v/>
          </cell>
        </row>
        <row r="262">
          <cell r="K262" t="str">
            <v/>
          </cell>
          <cell r="L262" t="str">
            <v/>
          </cell>
        </row>
        <row r="263"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</row>
        <row r="263">
          <cell r="H263" t="str">
            <v/>
          </cell>
          <cell r="I263" t="str">
            <v/>
          </cell>
        </row>
        <row r="263">
          <cell r="K263" t="str">
            <v/>
          </cell>
          <cell r="L263" t="str">
            <v/>
          </cell>
        </row>
        <row r="264"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</row>
        <row r="264">
          <cell r="H264" t="str">
            <v/>
          </cell>
          <cell r="I264" t="str">
            <v/>
          </cell>
        </row>
        <row r="264">
          <cell r="K264" t="str">
            <v/>
          </cell>
          <cell r="L264" t="str">
            <v/>
          </cell>
        </row>
        <row r="265">
          <cell r="B265" t="str">
            <v/>
          </cell>
          <cell r="C265" t="str">
            <v/>
          </cell>
          <cell r="D265" t="str">
            <v/>
          </cell>
          <cell r="E265" t="str">
            <v/>
          </cell>
        </row>
        <row r="265">
          <cell r="H265" t="str">
            <v/>
          </cell>
          <cell r="I265" t="str">
            <v/>
          </cell>
        </row>
        <row r="265">
          <cell r="K265" t="str">
            <v/>
          </cell>
          <cell r="L265" t="str">
            <v/>
          </cell>
        </row>
        <row r="266">
          <cell r="B266" t="str">
            <v/>
          </cell>
          <cell r="C266" t="str">
            <v/>
          </cell>
          <cell r="D266" t="str">
            <v/>
          </cell>
          <cell r="E266" t="str">
            <v/>
          </cell>
        </row>
        <row r="266">
          <cell r="H266" t="str">
            <v/>
          </cell>
          <cell r="I266" t="str">
            <v/>
          </cell>
        </row>
        <row r="266">
          <cell r="K266" t="str">
            <v/>
          </cell>
          <cell r="L266" t="str">
            <v/>
          </cell>
        </row>
        <row r="267"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</row>
        <row r="267">
          <cell r="H267" t="str">
            <v/>
          </cell>
          <cell r="I267" t="str">
            <v/>
          </cell>
        </row>
        <row r="267">
          <cell r="K267" t="str">
            <v/>
          </cell>
          <cell r="L267" t="str">
            <v/>
          </cell>
        </row>
        <row r="268">
          <cell r="B268" t="str">
            <v/>
          </cell>
          <cell r="C268" t="str">
            <v/>
          </cell>
          <cell r="D268" t="str">
            <v/>
          </cell>
          <cell r="E268" t="str">
            <v/>
          </cell>
        </row>
        <row r="268">
          <cell r="H268" t="str">
            <v/>
          </cell>
          <cell r="I268" t="str">
            <v/>
          </cell>
        </row>
        <row r="268">
          <cell r="K268" t="str">
            <v/>
          </cell>
          <cell r="L268" t="str">
            <v/>
          </cell>
        </row>
        <row r="269">
          <cell r="B269" t="str">
            <v/>
          </cell>
          <cell r="C269" t="str">
            <v/>
          </cell>
          <cell r="D269" t="str">
            <v/>
          </cell>
          <cell r="E269" t="str">
            <v/>
          </cell>
        </row>
        <row r="269">
          <cell r="H269" t="str">
            <v/>
          </cell>
          <cell r="I269" t="str">
            <v/>
          </cell>
        </row>
        <row r="269">
          <cell r="K269" t="str">
            <v/>
          </cell>
          <cell r="L269" t="str">
            <v/>
          </cell>
        </row>
        <row r="270"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</row>
        <row r="270">
          <cell r="H270" t="str">
            <v/>
          </cell>
          <cell r="I270" t="str">
            <v/>
          </cell>
        </row>
        <row r="270">
          <cell r="K270" t="str">
            <v/>
          </cell>
          <cell r="L270" t="str">
            <v/>
          </cell>
        </row>
        <row r="271">
          <cell r="B271" t="str">
            <v/>
          </cell>
          <cell r="C271" t="str">
            <v/>
          </cell>
          <cell r="D271" t="str">
            <v/>
          </cell>
          <cell r="E271" t="str">
            <v/>
          </cell>
        </row>
        <row r="271">
          <cell r="H271" t="str">
            <v/>
          </cell>
          <cell r="I271" t="str">
            <v/>
          </cell>
        </row>
        <row r="271">
          <cell r="K271" t="str">
            <v/>
          </cell>
          <cell r="L271" t="str">
            <v/>
          </cell>
        </row>
        <row r="272">
          <cell r="B272" t="str">
            <v/>
          </cell>
          <cell r="C272" t="str">
            <v/>
          </cell>
          <cell r="D272" t="str">
            <v/>
          </cell>
          <cell r="E272" t="str">
            <v/>
          </cell>
        </row>
        <row r="272">
          <cell r="H272" t="str">
            <v/>
          </cell>
          <cell r="I272" t="str">
            <v/>
          </cell>
        </row>
        <row r="272">
          <cell r="K272" t="str">
            <v/>
          </cell>
          <cell r="L272" t="str">
            <v/>
          </cell>
        </row>
        <row r="273"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</row>
        <row r="273">
          <cell r="H273" t="str">
            <v/>
          </cell>
          <cell r="I273" t="str">
            <v/>
          </cell>
        </row>
        <row r="273">
          <cell r="K273" t="str">
            <v/>
          </cell>
          <cell r="L273" t="str">
            <v/>
          </cell>
        </row>
        <row r="274">
          <cell r="B274" t="str">
            <v/>
          </cell>
          <cell r="C274" t="str">
            <v/>
          </cell>
          <cell r="D274" t="str">
            <v/>
          </cell>
          <cell r="E274" t="str">
            <v/>
          </cell>
        </row>
        <row r="274">
          <cell r="H274" t="str">
            <v/>
          </cell>
          <cell r="I274" t="str">
            <v/>
          </cell>
        </row>
        <row r="274">
          <cell r="K274" t="str">
            <v/>
          </cell>
          <cell r="L274" t="str">
            <v/>
          </cell>
        </row>
        <row r="275">
          <cell r="B275" t="str">
            <v/>
          </cell>
          <cell r="C275" t="str">
            <v/>
          </cell>
          <cell r="D275" t="str">
            <v/>
          </cell>
          <cell r="E275" t="str">
            <v/>
          </cell>
        </row>
        <row r="275">
          <cell r="H275" t="str">
            <v/>
          </cell>
          <cell r="I275" t="str">
            <v/>
          </cell>
        </row>
        <row r="275">
          <cell r="K275" t="str">
            <v/>
          </cell>
          <cell r="L275" t="str">
            <v/>
          </cell>
        </row>
        <row r="276"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</row>
        <row r="276">
          <cell r="H276" t="str">
            <v/>
          </cell>
          <cell r="I276" t="str">
            <v/>
          </cell>
        </row>
        <row r="276">
          <cell r="K276" t="str">
            <v/>
          </cell>
          <cell r="L276" t="str">
            <v/>
          </cell>
        </row>
        <row r="277">
          <cell r="B277" t="str">
            <v/>
          </cell>
          <cell r="C277" t="str">
            <v/>
          </cell>
          <cell r="D277" t="str">
            <v/>
          </cell>
          <cell r="E277" t="str">
            <v/>
          </cell>
        </row>
        <row r="277">
          <cell r="H277" t="str">
            <v/>
          </cell>
          <cell r="I277" t="str">
            <v/>
          </cell>
        </row>
        <row r="277">
          <cell r="K277" t="str">
            <v/>
          </cell>
          <cell r="L277" t="str">
            <v/>
          </cell>
        </row>
        <row r="278">
          <cell r="B278" t="str">
            <v/>
          </cell>
          <cell r="C278" t="str">
            <v/>
          </cell>
          <cell r="D278" t="str">
            <v/>
          </cell>
          <cell r="E278" t="str">
            <v/>
          </cell>
        </row>
        <row r="278">
          <cell r="H278" t="str">
            <v/>
          </cell>
          <cell r="I278" t="str">
            <v/>
          </cell>
        </row>
        <row r="278">
          <cell r="K278" t="str">
            <v/>
          </cell>
          <cell r="L278" t="str">
            <v/>
          </cell>
        </row>
        <row r="279"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</row>
        <row r="279">
          <cell r="H279" t="str">
            <v/>
          </cell>
          <cell r="I279" t="str">
            <v/>
          </cell>
        </row>
        <row r="279">
          <cell r="K279" t="str">
            <v/>
          </cell>
          <cell r="L279" t="str">
            <v/>
          </cell>
        </row>
        <row r="280">
          <cell r="B280" t="str">
            <v/>
          </cell>
          <cell r="C280" t="str">
            <v/>
          </cell>
          <cell r="D280" t="str">
            <v/>
          </cell>
          <cell r="E280" t="str">
            <v/>
          </cell>
        </row>
        <row r="280">
          <cell r="H280" t="str">
            <v/>
          </cell>
          <cell r="I280" t="str">
            <v/>
          </cell>
        </row>
        <row r="280">
          <cell r="K280" t="str">
            <v/>
          </cell>
          <cell r="L280" t="str">
            <v/>
          </cell>
        </row>
        <row r="281">
          <cell r="B281" t="str">
            <v/>
          </cell>
          <cell r="C281" t="str">
            <v/>
          </cell>
          <cell r="D281" t="str">
            <v/>
          </cell>
          <cell r="E281" t="str">
            <v/>
          </cell>
        </row>
        <row r="281">
          <cell r="H281" t="str">
            <v/>
          </cell>
          <cell r="I281" t="str">
            <v/>
          </cell>
        </row>
        <row r="281">
          <cell r="K281" t="str">
            <v/>
          </cell>
          <cell r="L281" t="str">
            <v/>
          </cell>
        </row>
        <row r="282"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</row>
        <row r="282">
          <cell r="H282" t="str">
            <v/>
          </cell>
          <cell r="I282" t="str">
            <v/>
          </cell>
        </row>
        <row r="282">
          <cell r="K282" t="str">
            <v/>
          </cell>
          <cell r="L282" t="str">
            <v/>
          </cell>
        </row>
        <row r="283">
          <cell r="B283" t="str">
            <v/>
          </cell>
          <cell r="C283" t="str">
            <v/>
          </cell>
          <cell r="D283" t="str">
            <v/>
          </cell>
          <cell r="E283" t="str">
            <v/>
          </cell>
        </row>
        <row r="283">
          <cell r="H283" t="str">
            <v/>
          </cell>
          <cell r="I283" t="str">
            <v/>
          </cell>
        </row>
        <row r="283">
          <cell r="K283" t="str">
            <v/>
          </cell>
          <cell r="L283" t="str">
            <v/>
          </cell>
        </row>
        <row r="284">
          <cell r="B284" t="str">
            <v/>
          </cell>
          <cell r="C284" t="str">
            <v/>
          </cell>
          <cell r="D284" t="str">
            <v/>
          </cell>
          <cell r="E284" t="str">
            <v/>
          </cell>
        </row>
        <row r="284">
          <cell r="H284" t="str">
            <v/>
          </cell>
          <cell r="I284" t="str">
            <v/>
          </cell>
        </row>
        <row r="284">
          <cell r="K284" t="str">
            <v/>
          </cell>
          <cell r="L284" t="str">
            <v/>
          </cell>
        </row>
        <row r="285"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</row>
        <row r="285">
          <cell r="H285" t="str">
            <v/>
          </cell>
          <cell r="I285" t="str">
            <v/>
          </cell>
        </row>
        <row r="285">
          <cell r="K285" t="str">
            <v/>
          </cell>
          <cell r="L285" t="str">
            <v/>
          </cell>
        </row>
        <row r="286">
          <cell r="B286" t="str">
            <v/>
          </cell>
          <cell r="C286" t="str">
            <v/>
          </cell>
          <cell r="D286" t="str">
            <v/>
          </cell>
          <cell r="E286" t="str">
            <v/>
          </cell>
        </row>
        <row r="286">
          <cell r="H286" t="str">
            <v/>
          </cell>
          <cell r="I286" t="str">
            <v/>
          </cell>
        </row>
        <row r="286">
          <cell r="K286" t="str">
            <v/>
          </cell>
          <cell r="L286" t="str">
            <v/>
          </cell>
        </row>
        <row r="287">
          <cell r="B287" t="str">
            <v/>
          </cell>
          <cell r="C287" t="str">
            <v/>
          </cell>
          <cell r="D287" t="str">
            <v/>
          </cell>
          <cell r="E287" t="str">
            <v/>
          </cell>
        </row>
        <row r="287">
          <cell r="H287" t="str">
            <v/>
          </cell>
          <cell r="I287" t="str">
            <v/>
          </cell>
        </row>
        <row r="287">
          <cell r="K287" t="str">
            <v/>
          </cell>
          <cell r="L287" t="str">
            <v/>
          </cell>
        </row>
        <row r="288"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</row>
        <row r="288">
          <cell r="H288" t="str">
            <v/>
          </cell>
          <cell r="I288" t="str">
            <v/>
          </cell>
        </row>
        <row r="288">
          <cell r="K288" t="str">
            <v/>
          </cell>
          <cell r="L288" t="str">
            <v/>
          </cell>
        </row>
        <row r="289">
          <cell r="B289" t="str">
            <v/>
          </cell>
          <cell r="C289" t="str">
            <v/>
          </cell>
          <cell r="D289" t="str">
            <v/>
          </cell>
          <cell r="E289" t="str">
            <v/>
          </cell>
        </row>
        <row r="289">
          <cell r="H289" t="str">
            <v/>
          </cell>
          <cell r="I289" t="str">
            <v/>
          </cell>
        </row>
        <row r="289">
          <cell r="K289" t="str">
            <v/>
          </cell>
          <cell r="L289" t="str">
            <v/>
          </cell>
        </row>
        <row r="290">
          <cell r="B290" t="str">
            <v/>
          </cell>
          <cell r="C290" t="str">
            <v/>
          </cell>
          <cell r="D290" t="str">
            <v/>
          </cell>
          <cell r="E290" t="str">
            <v/>
          </cell>
        </row>
        <row r="290">
          <cell r="H290" t="str">
            <v/>
          </cell>
          <cell r="I290" t="str">
            <v/>
          </cell>
        </row>
        <row r="290">
          <cell r="K290" t="str">
            <v/>
          </cell>
          <cell r="L290" t="str">
            <v/>
          </cell>
        </row>
        <row r="291">
          <cell r="B291" t="str">
            <v/>
          </cell>
          <cell r="C291" t="str">
            <v/>
          </cell>
          <cell r="D291" t="str">
            <v/>
          </cell>
          <cell r="E291" t="str">
            <v/>
          </cell>
        </row>
        <row r="291">
          <cell r="H291" t="str">
            <v/>
          </cell>
          <cell r="I291" t="str">
            <v/>
          </cell>
        </row>
        <row r="291">
          <cell r="K291" t="str">
            <v/>
          </cell>
          <cell r="L291" t="str">
            <v/>
          </cell>
        </row>
        <row r="292">
          <cell r="B292" t="str">
            <v/>
          </cell>
          <cell r="C292" t="str">
            <v/>
          </cell>
          <cell r="D292" t="str">
            <v/>
          </cell>
          <cell r="E292" t="str">
            <v/>
          </cell>
        </row>
        <row r="292">
          <cell r="H292" t="str">
            <v/>
          </cell>
          <cell r="I292" t="str">
            <v/>
          </cell>
        </row>
        <row r="292">
          <cell r="K292" t="str">
            <v/>
          </cell>
          <cell r="L292" t="str">
            <v/>
          </cell>
        </row>
        <row r="293">
          <cell r="B293" t="str">
            <v/>
          </cell>
          <cell r="C293" t="str">
            <v/>
          </cell>
          <cell r="D293" t="str">
            <v/>
          </cell>
          <cell r="E293" t="str">
            <v/>
          </cell>
        </row>
        <row r="293">
          <cell r="H293" t="str">
            <v/>
          </cell>
          <cell r="I293" t="str">
            <v/>
          </cell>
        </row>
        <row r="293">
          <cell r="K293" t="str">
            <v/>
          </cell>
          <cell r="L293" t="str">
            <v/>
          </cell>
        </row>
        <row r="294">
          <cell r="B294" t="str">
            <v/>
          </cell>
          <cell r="C294" t="str">
            <v/>
          </cell>
          <cell r="D294" t="str">
            <v/>
          </cell>
          <cell r="E294" t="str">
            <v/>
          </cell>
        </row>
        <row r="294">
          <cell r="H294" t="str">
            <v/>
          </cell>
          <cell r="I294" t="str">
            <v/>
          </cell>
        </row>
        <row r="294">
          <cell r="K294" t="str">
            <v/>
          </cell>
          <cell r="L294" t="str">
            <v/>
          </cell>
        </row>
        <row r="295">
          <cell r="B295" t="str">
            <v/>
          </cell>
          <cell r="C295" t="str">
            <v/>
          </cell>
          <cell r="D295" t="str">
            <v/>
          </cell>
          <cell r="E295" t="str">
            <v/>
          </cell>
        </row>
        <row r="295">
          <cell r="H295" t="str">
            <v/>
          </cell>
          <cell r="I295" t="str">
            <v/>
          </cell>
        </row>
        <row r="295">
          <cell r="K295" t="str">
            <v/>
          </cell>
          <cell r="L295" t="str">
            <v/>
          </cell>
        </row>
        <row r="296">
          <cell r="B296" t="str">
            <v/>
          </cell>
          <cell r="C296" t="str">
            <v/>
          </cell>
          <cell r="D296" t="str">
            <v/>
          </cell>
          <cell r="E296" t="str">
            <v/>
          </cell>
        </row>
        <row r="296">
          <cell r="H296" t="str">
            <v/>
          </cell>
          <cell r="I296" t="str">
            <v/>
          </cell>
        </row>
        <row r="296">
          <cell r="K296" t="str">
            <v/>
          </cell>
          <cell r="L296" t="str">
            <v/>
          </cell>
        </row>
        <row r="297">
          <cell r="B297" t="str">
            <v/>
          </cell>
          <cell r="C297" t="str">
            <v/>
          </cell>
          <cell r="D297" t="str">
            <v/>
          </cell>
          <cell r="E297" t="str">
            <v/>
          </cell>
        </row>
        <row r="297">
          <cell r="H297" t="str">
            <v/>
          </cell>
          <cell r="I297" t="str">
            <v/>
          </cell>
        </row>
        <row r="297">
          <cell r="K297" t="str">
            <v/>
          </cell>
          <cell r="L297" t="str">
            <v/>
          </cell>
        </row>
        <row r="298">
          <cell r="B298" t="str">
            <v/>
          </cell>
          <cell r="C298" t="str">
            <v/>
          </cell>
          <cell r="D298" t="str">
            <v/>
          </cell>
          <cell r="E298" t="str">
            <v/>
          </cell>
        </row>
        <row r="298">
          <cell r="H298" t="str">
            <v/>
          </cell>
          <cell r="I298" t="str">
            <v/>
          </cell>
        </row>
        <row r="298">
          <cell r="K298" t="str">
            <v/>
          </cell>
          <cell r="L298" t="str">
            <v/>
          </cell>
        </row>
        <row r="299">
          <cell r="B299" t="str">
            <v/>
          </cell>
          <cell r="C299" t="str">
            <v/>
          </cell>
          <cell r="D299" t="str">
            <v/>
          </cell>
          <cell r="E299" t="str">
            <v/>
          </cell>
        </row>
        <row r="299">
          <cell r="H299" t="str">
            <v/>
          </cell>
          <cell r="I299" t="str">
            <v/>
          </cell>
        </row>
        <row r="299">
          <cell r="K299" t="str">
            <v/>
          </cell>
          <cell r="L299" t="str">
            <v/>
          </cell>
        </row>
        <row r="300">
          <cell r="B300" t="str">
            <v/>
          </cell>
          <cell r="C300" t="str">
            <v/>
          </cell>
          <cell r="D300" t="str">
            <v/>
          </cell>
          <cell r="E300" t="str">
            <v/>
          </cell>
        </row>
        <row r="300">
          <cell r="H300" t="str">
            <v/>
          </cell>
          <cell r="I300" t="str">
            <v/>
          </cell>
        </row>
        <row r="300">
          <cell r="K300" t="str">
            <v/>
          </cell>
          <cell r="L300" t="str">
            <v/>
          </cell>
        </row>
        <row r="301">
          <cell r="B301" t="str">
            <v/>
          </cell>
          <cell r="C301" t="str">
            <v/>
          </cell>
          <cell r="D301" t="str">
            <v/>
          </cell>
          <cell r="E301" t="str">
            <v/>
          </cell>
        </row>
        <row r="301">
          <cell r="H301" t="str">
            <v/>
          </cell>
          <cell r="I301" t="str">
            <v/>
          </cell>
        </row>
        <row r="301">
          <cell r="K301" t="str">
            <v/>
          </cell>
          <cell r="L301" t="str">
            <v/>
          </cell>
        </row>
        <row r="302">
          <cell r="B302" t="str">
            <v/>
          </cell>
          <cell r="C302" t="str">
            <v/>
          </cell>
          <cell r="D302" t="str">
            <v/>
          </cell>
          <cell r="E302" t="str">
            <v/>
          </cell>
        </row>
        <row r="302">
          <cell r="H302" t="str">
            <v/>
          </cell>
          <cell r="I302" t="str">
            <v/>
          </cell>
        </row>
        <row r="302">
          <cell r="K302" t="str">
            <v/>
          </cell>
          <cell r="L302" t="str">
            <v/>
          </cell>
        </row>
        <row r="303">
          <cell r="B303" t="str">
            <v/>
          </cell>
          <cell r="C303" t="str">
            <v/>
          </cell>
          <cell r="D303" t="str">
            <v/>
          </cell>
          <cell r="E303" t="str">
            <v/>
          </cell>
        </row>
        <row r="303">
          <cell r="H303" t="str">
            <v/>
          </cell>
          <cell r="I303" t="str">
            <v/>
          </cell>
        </row>
        <row r="303">
          <cell r="K303" t="str">
            <v/>
          </cell>
          <cell r="L303" t="str">
            <v/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A1:D40"/>
  <sheetViews>
    <sheetView showGridLines="0" workbookViewId="0">
      <pane ySplit="3" topLeftCell="A4" activePane="bottomLeft" state="frozen"/>
      <selection/>
      <selection pane="bottomLeft" activeCell="A1" sqref="A1:D1"/>
    </sheetView>
  </sheetViews>
  <sheetFormatPr defaultColWidth="9" defaultRowHeight="13.5" outlineLevelCol="3"/>
  <cols>
    <col min="1" max="1" width="5" customWidth="1"/>
    <col min="2" max="2" width="24" customWidth="1"/>
    <col min="3" max="3" width="62" customWidth="1"/>
    <col min="4" max="4" width="16" customWidth="1"/>
  </cols>
  <sheetData>
    <row r="1" ht="38" customHeight="1" spans="1:4">
      <c r="A1" s="71" t="s">
        <v>0</v>
      </c>
    </row>
    <row r="2" ht="18" customHeight="1" spans="1:4">
      <c r="A2" s="72" t="s">
        <v>1</v>
      </c>
    </row>
    <row r="3" ht="24" customHeight="1" spans="1:4">
      <c r="A3" s="149" t="str">
        <f>IF(N(对接源_01水果!$T$1)+N(对接源_02物料!$T$1)=0,"联动状态：★★ 两本业务册的数据都没接进来 —— 请打开对接源表按提示修复链接",IF(N(对接源_01水果!$T$4)*N(对接源_02物料!$T$4)*N(对接源_01入库吨位!$V$4)=0,"联动状态：⚠ 有业务册在用【应急备份】数据（不是实时数），请尽快修复链接","联动状态：✔ 正常 —— 01水果 "&amp;N(对接源_01水果!$T$1)&amp;" 行 ＋ 02物料 "&amp;N(对接源_02物料!$T$1)&amp;" 行 ＋ 01入库吨位 "&amp;N(对接源_01入库吨位!$V$1)&amp;" 行已自动接入"))</f>
        <v>联动状态：✔ 正常 —— 01水果 5 行 ＋ 02物料 5 行 ＋ 01入库吨位 17 行已自动接入</v>
      </c>
    </row>
    <row r="5" ht="24" customHeight="1" spans="1:4">
      <c r="A5" s="121" t="s">
        <v>2</v>
      </c>
    </row>
    <row r="6" ht="20" customHeight="1" spans="1:4">
      <c r="A6" s="150" t="s">
        <v>3</v>
      </c>
      <c r="B6" s="150" t="s">
        <v>4</v>
      </c>
      <c r="C6" s="150" t="s">
        <v>5</v>
      </c>
      <c r="D6" s="150" t="s">
        <v>6</v>
      </c>
    </row>
    <row r="7" ht="19" customHeight="1" spans="1:4">
      <c r="A7" s="117">
        <v>1</v>
      </c>
      <c r="B7" s="151" t="s">
        <v>7</v>
      </c>
      <c r="C7" s="152" t="s">
        <v>8</v>
      </c>
      <c r="D7" s="74" t="s">
        <v>9</v>
      </c>
    </row>
    <row r="8" ht="19" customHeight="1" spans="1:4">
      <c r="A8" s="117">
        <v>2</v>
      </c>
      <c r="B8" s="151" t="s">
        <v>10</v>
      </c>
      <c r="C8" s="152" t="s">
        <v>11</v>
      </c>
      <c r="D8" s="74" t="s">
        <v>9</v>
      </c>
    </row>
    <row r="9" ht="19" customHeight="1" spans="1:4">
      <c r="A9" s="117">
        <v>3</v>
      </c>
      <c r="B9" s="151" t="s">
        <v>12</v>
      </c>
      <c r="C9" s="152" t="s">
        <v>13</v>
      </c>
      <c r="D9" s="74" t="s">
        <v>9</v>
      </c>
    </row>
    <row r="10" ht="19" customHeight="1" spans="1:4">
      <c r="A10" s="117">
        <v>4</v>
      </c>
      <c r="B10" s="151" t="s">
        <v>14</v>
      </c>
      <c r="C10" s="152" t="s">
        <v>15</v>
      </c>
      <c r="D10" s="74" t="s">
        <v>9</v>
      </c>
    </row>
    <row r="12" ht="24" customHeight="1" spans="1:4">
      <c r="A12" s="121" t="s">
        <v>16</v>
      </c>
    </row>
    <row r="13" ht="20" customHeight="1" spans="1:4">
      <c r="A13" s="150" t="s">
        <v>3</v>
      </c>
      <c r="B13" s="150" t="s">
        <v>4</v>
      </c>
      <c r="C13" s="150" t="s">
        <v>5</v>
      </c>
      <c r="D13" s="150" t="s">
        <v>6</v>
      </c>
    </row>
    <row r="14" ht="19" customHeight="1" spans="1:4">
      <c r="A14" s="117">
        <v>5</v>
      </c>
      <c r="B14" s="151" t="s">
        <v>17</v>
      </c>
      <c r="C14" s="152" t="s">
        <v>18</v>
      </c>
      <c r="D14" s="74" t="s">
        <v>19</v>
      </c>
    </row>
    <row r="15" ht="19" customHeight="1" spans="1:4">
      <c r="A15" s="117">
        <v>6</v>
      </c>
      <c r="B15" s="151" t="s">
        <v>20</v>
      </c>
      <c r="C15" s="152" t="s">
        <v>21</v>
      </c>
      <c r="D15" s="116" t="s">
        <v>22</v>
      </c>
    </row>
    <row r="16" ht="19" customHeight="1" spans="1:4">
      <c r="A16" s="117">
        <v>7</v>
      </c>
      <c r="B16" s="151" t="s">
        <v>23</v>
      </c>
      <c r="C16" s="152" t="s">
        <v>24</v>
      </c>
      <c r="D16" s="116" t="s">
        <v>22</v>
      </c>
    </row>
    <row r="17" ht="19" customHeight="1" spans="1:4">
      <c r="A17" s="117">
        <v>8</v>
      </c>
      <c r="B17" s="151" t="s">
        <v>25</v>
      </c>
      <c r="C17" s="152" t="s">
        <v>26</v>
      </c>
      <c r="D17" s="116" t="s">
        <v>22</v>
      </c>
    </row>
    <row r="18" ht="19" customHeight="1" spans="1:4">
      <c r="A18" s="117">
        <v>9</v>
      </c>
      <c r="B18" s="151" t="s">
        <v>27</v>
      </c>
      <c r="C18" s="152" t="s">
        <v>28</v>
      </c>
      <c r="D18" s="116" t="s">
        <v>22</v>
      </c>
    </row>
    <row r="20" ht="24" customHeight="1" spans="1:4">
      <c r="A20" s="121" t="s">
        <v>29</v>
      </c>
    </row>
    <row r="21" ht="20" customHeight="1" spans="1:4">
      <c r="A21" s="150" t="s">
        <v>3</v>
      </c>
      <c r="B21" s="150" t="s">
        <v>4</v>
      </c>
      <c r="C21" s="150" t="s">
        <v>5</v>
      </c>
      <c r="D21" s="150" t="s">
        <v>6</v>
      </c>
    </row>
    <row r="22" ht="19" customHeight="1" spans="1:4">
      <c r="A22" s="117">
        <v>10</v>
      </c>
      <c r="B22" s="151" t="s">
        <v>30</v>
      </c>
      <c r="C22" s="152" t="s">
        <v>31</v>
      </c>
      <c r="D22" s="74" t="s">
        <v>9</v>
      </c>
    </row>
    <row r="23" ht="19" customHeight="1" spans="1:4">
      <c r="A23" s="117">
        <v>11</v>
      </c>
      <c r="B23" s="151" t="s">
        <v>32</v>
      </c>
      <c r="C23" s="152" t="s">
        <v>33</v>
      </c>
      <c r="D23" s="74" t="s">
        <v>9</v>
      </c>
    </row>
    <row r="24" ht="19" customHeight="1" spans="1:4">
      <c r="A24" s="117">
        <v>12</v>
      </c>
      <c r="B24" s="151" t="s">
        <v>34</v>
      </c>
      <c r="C24" s="152" t="s">
        <v>35</v>
      </c>
      <c r="D24" s="74" t="s">
        <v>9</v>
      </c>
    </row>
    <row r="25" ht="19" customHeight="1" spans="1:4">
      <c r="A25" s="117">
        <v>13</v>
      </c>
      <c r="B25" s="151" t="s">
        <v>36</v>
      </c>
      <c r="C25" s="152" t="s">
        <v>37</v>
      </c>
      <c r="D25" s="74" t="s">
        <v>9</v>
      </c>
    </row>
    <row r="26" ht="19" customHeight="1" spans="1:4">
      <c r="A26" s="117">
        <v>14</v>
      </c>
      <c r="B26" s="151" t="s">
        <v>38</v>
      </c>
      <c r="C26" s="152" t="s">
        <v>39</v>
      </c>
      <c r="D26" s="74" t="s">
        <v>9</v>
      </c>
    </row>
    <row r="27" ht="19" customHeight="1" spans="1:4">
      <c r="A27" s="117">
        <v>15</v>
      </c>
      <c r="B27" s="151" t="s">
        <v>40</v>
      </c>
      <c r="C27" s="152" t="s">
        <v>41</v>
      </c>
      <c r="D27" s="74" t="s">
        <v>9</v>
      </c>
    </row>
    <row r="28" ht="19" customHeight="1" spans="1:4">
      <c r="A28" s="117">
        <v>16</v>
      </c>
      <c r="B28" s="151" t="s">
        <v>42</v>
      </c>
      <c r="C28" s="152" t="s">
        <v>43</v>
      </c>
      <c r="D28" s="74" t="s">
        <v>19</v>
      </c>
    </row>
    <row r="29" ht="19" customHeight="1" spans="1:4">
      <c r="A29" s="117">
        <v>17</v>
      </c>
      <c r="B29" s="151" t="s">
        <v>44</v>
      </c>
      <c r="C29" s="152" t="s">
        <v>45</v>
      </c>
      <c r="D29" s="74" t="s">
        <v>19</v>
      </c>
    </row>
    <row r="30" ht="19" customHeight="1" spans="1:4">
      <c r="A30" s="117">
        <v>18</v>
      </c>
      <c r="B30" s="151" t="s">
        <v>46</v>
      </c>
      <c r="C30" s="152" t="s">
        <v>47</v>
      </c>
      <c r="D30" s="74" t="s">
        <v>9</v>
      </c>
    </row>
    <row r="31" ht="19" customHeight="1" spans="1:4">
      <c r="A31" s="117">
        <v>19</v>
      </c>
      <c r="B31" s="151" t="s">
        <v>48</v>
      </c>
      <c r="C31" s="152" t="s">
        <v>49</v>
      </c>
      <c r="D31" s="74" t="s">
        <v>19</v>
      </c>
    </row>
    <row r="33" ht="24" customHeight="1" spans="1:4">
      <c r="A33" s="121" t="s">
        <v>50</v>
      </c>
    </row>
    <row r="34" ht="20" customHeight="1" spans="1:4">
      <c r="A34" s="150" t="s">
        <v>3</v>
      </c>
      <c r="B34" s="150" t="s">
        <v>4</v>
      </c>
      <c r="C34" s="150" t="s">
        <v>5</v>
      </c>
      <c r="D34" s="150" t="s">
        <v>6</v>
      </c>
    </row>
    <row r="35" ht="19" customHeight="1" spans="1:4">
      <c r="A35" s="117">
        <v>20</v>
      </c>
      <c r="B35" s="151" t="s">
        <v>51</v>
      </c>
      <c r="C35" s="152" t="s">
        <v>52</v>
      </c>
      <c r="D35" s="153" t="s">
        <v>53</v>
      </c>
    </row>
    <row r="36" ht="19" customHeight="1" spans="1:4">
      <c r="A36" s="117">
        <v>21</v>
      </c>
      <c r="B36" s="151" t="s">
        <v>54</v>
      </c>
      <c r="C36" s="152" t="s">
        <v>55</v>
      </c>
      <c r="D36" s="153" t="s">
        <v>53</v>
      </c>
    </row>
    <row r="37" ht="19" customHeight="1" spans="1:4">
      <c r="A37" s="117">
        <v>22</v>
      </c>
      <c r="B37" s="151" t="s">
        <v>56</v>
      </c>
      <c r="C37" s="152" t="s">
        <v>57</v>
      </c>
      <c r="D37" s="153" t="s">
        <v>53</v>
      </c>
    </row>
    <row r="38" ht="19" customHeight="1" spans="1:4">
      <c r="A38" s="117">
        <v>23</v>
      </c>
      <c r="B38" s="151" t="s">
        <v>58</v>
      </c>
      <c r="C38" s="152" t="s">
        <v>59</v>
      </c>
      <c r="D38" s="153" t="s">
        <v>53</v>
      </c>
    </row>
    <row r="40" ht="20" customHeight="1" spans="1:4">
      <c r="A40" s="88" t="s">
        <v>60</v>
      </c>
    </row>
  </sheetData>
  <mergeCells count="8">
    <mergeCell ref="A1:D1"/>
    <mergeCell ref="A2:D2"/>
    <mergeCell ref="A3:D3"/>
    <mergeCell ref="A5:D5"/>
    <mergeCell ref="A12:D12"/>
    <mergeCell ref="A20:D20"/>
    <mergeCell ref="A33:D33"/>
    <mergeCell ref="A40:D40"/>
  </mergeCells>
  <conditionalFormatting sqref="A3">
    <cfRule type="expression" dxfId="0" priority="1">
      <formula>LEFT(A3,7)&lt;&gt;"联动状态：✔"</formula>
    </cfRule>
  </conditionalFormatting>
  <hyperlinks>
    <hyperlink ref="B7" location="'对接源_01水果'!A1" display="对接源_01水果"/>
    <hyperlink ref="B8" location="'对接源_02物料'!A1" display="对接源_02物料"/>
    <hyperlink ref="B9" location="'对接源_01入库吨位'!A1" display="对接源_01入库吨位"/>
    <hyperlink ref="B10" location="'进销存对接'!A1" display="进销存对接"/>
    <hyperlink ref="B14" location="'原料入库计价'!A1" display="原料入库计价"/>
    <hyperlink ref="B15" location="'资金日记账'!A1" display="资金日记账"/>
    <hyperlink ref="B16" location="'成本费用登记表'!A1" display="成本费用登记表"/>
    <hyperlink ref="B17" location="'对账补充行'!A1" display="对账补充行"/>
    <hyperlink ref="B18" location="'期初余额'!A1" display="期初余额"/>
    <hyperlink ref="B22" location="'记账凭证'!A1" display="记账凭证"/>
    <hyperlink ref="B23" location="'资金与往来余额表'!A1" display="资金与往来余额表"/>
    <hyperlink ref="B24" location="'应收应付汇总表'!A1" display="应收应付汇总表"/>
    <hyperlink ref="B25" location="'收入月度汇总'!A1" display="收入月度汇总"/>
    <hyperlink ref="B26" location="'费用月度汇总'!A1" display="费用月度汇总"/>
    <hyperlink ref="B27" location="'应付账款明细'!A1" display="应付账款明细"/>
    <hyperlink ref="B28" location="'往来对账单'!A1" display="往来对账单"/>
    <hyperlink ref="B29" location="'科目余额表'!A1" display="科目余额表"/>
    <hyperlink ref="B30" location="'资产负债表'!A1" display="资产负债表"/>
    <hyperlink ref="B31" location="'利润表'!A1" display="利润表"/>
    <hyperlink ref="B35" location="'自动规则'!A1" display="自动规则"/>
    <hyperlink ref="B36" location="'收入成本映射'!A1" display="收入成本映射"/>
    <hyperlink ref="B37" location="'科目表'!A1" display="科目表"/>
    <hyperlink ref="B38" location="'常用分录参考'!A1" display="常用分录参考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21"/>
  <sheetViews>
    <sheetView showGridLines="0" topLeftCell="A105" workbookViewId="0">
      <selection activeCell="C124" sqref="C124"/>
    </sheetView>
  </sheetViews>
  <sheetFormatPr defaultColWidth="9" defaultRowHeight="13.5" outlineLevelCol="7"/>
  <cols>
    <col min="1" max="1" width="4" customWidth="1"/>
    <col min="2" max="2" width="16" customWidth="1"/>
    <col min="3" max="8" width="22" customWidth="1"/>
  </cols>
  <sheetData>
    <row r="1" ht="30" customHeight="1" spans="1:2">
      <c r="A1" s="2" t="s">
        <v>61</v>
      </c>
    </row>
    <row r="2" ht="18" customHeight="1" spans="1:2">
      <c r="A2" s="31" t="s">
        <v>62</v>
      </c>
    </row>
    <row r="4" ht="15" customHeight="1" spans="1:2">
      <c r="B4" s="141" t="s">
        <v>63</v>
      </c>
    </row>
    <row r="5" spans="1:2">
      <c r="B5" s="142" t="s">
        <v>64</v>
      </c>
    </row>
    <row r="6" spans="1:2">
      <c r="B6" s="142" t="s">
        <v>65</v>
      </c>
    </row>
    <row r="7" spans="1:2">
      <c r="B7" s="142" t="s">
        <v>66</v>
      </c>
    </row>
    <row r="8" spans="1:2">
      <c r="B8" s="142" t="s">
        <v>67</v>
      </c>
    </row>
    <row r="9" spans="1:2">
      <c r="B9" s="142" t="s">
        <v>68</v>
      </c>
    </row>
    <row r="10" spans="1:2">
      <c r="B10" s="142" t="s">
        <v>69</v>
      </c>
    </row>
    <row r="11" spans="1:2">
      <c r="B11" s="142" t="s">
        <v>64</v>
      </c>
    </row>
    <row r="12" ht="15" customHeight="1" spans="1:2">
      <c r="B12" s="141" t="s">
        <v>70</v>
      </c>
    </row>
    <row r="13" spans="1:2">
      <c r="B13" s="142" t="s">
        <v>64</v>
      </c>
    </row>
    <row r="14" spans="1:2">
      <c r="B14" s="142" t="s">
        <v>71</v>
      </c>
    </row>
    <row r="15" spans="1:2">
      <c r="B15" s="142" t="s">
        <v>72</v>
      </c>
    </row>
    <row r="16" spans="1:2">
      <c r="B16" s="142" t="s">
        <v>64</v>
      </c>
    </row>
    <row r="17" ht="15" customHeight="1" spans="2:2">
      <c r="B17" s="141" t="s">
        <v>73</v>
      </c>
    </row>
    <row r="18" spans="2:2">
      <c r="B18" s="142" t="s">
        <v>64</v>
      </c>
    </row>
    <row r="19" spans="2:2">
      <c r="B19" s="142" t="s">
        <v>74</v>
      </c>
    </row>
    <row r="20" spans="2:2">
      <c r="B20" s="142" t="s">
        <v>75</v>
      </c>
    </row>
    <row r="21" spans="2:2">
      <c r="B21" s="142" t="s">
        <v>76</v>
      </c>
    </row>
    <row r="22" ht="18" customHeight="1" spans="2:2">
      <c r="B22" s="143" t="s">
        <v>77</v>
      </c>
    </row>
    <row r="23" spans="2:2">
      <c r="B23" s="142" t="s">
        <v>64</v>
      </c>
    </row>
    <row r="24" ht="15" customHeight="1" spans="2:2">
      <c r="B24" s="141" t="s">
        <v>78</v>
      </c>
    </row>
    <row r="25" spans="2:2">
      <c r="B25" s="142" t="s">
        <v>64</v>
      </c>
    </row>
    <row r="26" spans="2:2">
      <c r="B26" s="142" t="s">
        <v>79</v>
      </c>
    </row>
    <row r="27" spans="2:2">
      <c r="B27" s="142" t="s">
        <v>80</v>
      </c>
    </row>
    <row r="28" spans="2:2">
      <c r="B28" s="142" t="s">
        <v>81</v>
      </c>
    </row>
    <row r="29" spans="2:2">
      <c r="B29" s="142" t="s">
        <v>82</v>
      </c>
    </row>
    <row r="30" spans="2:2">
      <c r="B30" s="142" t="s">
        <v>64</v>
      </c>
    </row>
    <row r="31" ht="15" customHeight="1" spans="2:2">
      <c r="B31" s="141" t="s">
        <v>83</v>
      </c>
    </row>
    <row r="32" spans="2:2">
      <c r="B32" s="142" t="s">
        <v>64</v>
      </c>
    </row>
    <row r="33" spans="2:2">
      <c r="B33" s="142" t="s">
        <v>84</v>
      </c>
    </row>
    <row r="34" spans="2:2">
      <c r="B34" s="142" t="s">
        <v>85</v>
      </c>
    </row>
    <row r="35" spans="2:2">
      <c r="B35" s="142" t="s">
        <v>86</v>
      </c>
    </row>
    <row r="36" spans="2:2">
      <c r="B36" s="142" t="s">
        <v>87</v>
      </c>
    </row>
    <row r="37" spans="2:2">
      <c r="B37" s="142" t="s">
        <v>88</v>
      </c>
    </row>
    <row r="38" spans="2:2">
      <c r="B38" s="142" t="s">
        <v>64</v>
      </c>
    </row>
    <row r="39" ht="15" customHeight="1" spans="2:2">
      <c r="B39" s="141" t="s">
        <v>89</v>
      </c>
    </row>
    <row r="40" spans="2:2">
      <c r="B40" s="142" t="s">
        <v>64</v>
      </c>
    </row>
    <row r="41" spans="2:2">
      <c r="B41" s="142" t="s">
        <v>90</v>
      </c>
    </row>
    <row r="42" spans="2:2">
      <c r="B42" s="142" t="s">
        <v>91</v>
      </c>
    </row>
    <row r="43" spans="2:2">
      <c r="B43" s="142" t="s">
        <v>92</v>
      </c>
    </row>
    <row r="45" ht="18" customHeight="1" spans="2:2">
      <c r="B45" s="144" t="s">
        <v>93</v>
      </c>
    </row>
    <row r="47" ht="18" customHeight="1" spans="2:2">
      <c r="B47" s="143" t="s">
        <v>94</v>
      </c>
    </row>
    <row r="48" ht="18" customHeight="1" spans="2:2">
      <c r="B48" s="143" t="s">
        <v>95</v>
      </c>
    </row>
    <row r="49" ht="18" customHeight="1" spans="2:2">
      <c r="B49" s="143" t="s">
        <v>96</v>
      </c>
    </row>
    <row r="50" ht="18" customHeight="1" spans="2:2">
      <c r="B50" s="143" t="s">
        <v>97</v>
      </c>
    </row>
    <row r="51" ht="18" customHeight="1" spans="2:2">
      <c r="B51" s="143" t="s">
        <v>98</v>
      </c>
    </row>
    <row r="52" ht="18" customHeight="1" spans="2:2">
      <c r="B52" s="143" t="s">
        <v>99</v>
      </c>
    </row>
    <row r="53" ht="18" customHeight="1" spans="2:2">
      <c r="B53" s="143" t="s">
        <v>100</v>
      </c>
    </row>
    <row r="54" ht="18" customHeight="1" spans="2:2">
      <c r="B54" s="143" t="s">
        <v>101</v>
      </c>
    </row>
    <row r="55" ht="18" customHeight="1" spans="2:2">
      <c r="B55" s="143" t="s">
        <v>102</v>
      </c>
    </row>
    <row r="56" ht="18" customHeight="1" spans="2:2">
      <c r="B56" s="145" t="s">
        <v>103</v>
      </c>
    </row>
    <row r="58" ht="18" customHeight="1" spans="2:2">
      <c r="B58" s="144" t="s">
        <v>104</v>
      </c>
    </row>
    <row r="60" ht="18" customHeight="1" spans="2:2">
      <c r="B60" s="143" t="s">
        <v>105</v>
      </c>
    </row>
    <row r="61" ht="18" customHeight="1" spans="2:2">
      <c r="B61" s="143" t="s">
        <v>106</v>
      </c>
    </row>
    <row r="62" ht="18" customHeight="1" spans="2:2">
      <c r="B62" s="143" t="s">
        <v>107</v>
      </c>
    </row>
    <row r="63" ht="18" customHeight="1" spans="2:2">
      <c r="B63" s="143" t="s">
        <v>108</v>
      </c>
    </row>
    <row r="64" ht="18" customHeight="1" spans="2:2">
      <c r="B64" s="143" t="s">
        <v>109</v>
      </c>
    </row>
    <row r="65" ht="18" customHeight="1" spans="1:2">
      <c r="B65" s="143" t="s">
        <v>110</v>
      </c>
    </row>
    <row r="66" ht="18" customHeight="1" spans="1:2">
      <c r="B66" s="143" t="s">
        <v>111</v>
      </c>
    </row>
    <row r="67" ht="18" customHeight="1" spans="1:2">
      <c r="B67" s="143" t="s">
        <v>112</v>
      </c>
    </row>
    <row r="69" ht="18" customHeight="1" spans="1:2">
      <c r="B69" s="144" t="s">
        <v>113</v>
      </c>
    </row>
    <row r="71" ht="18" customHeight="1" spans="1:2">
      <c r="B71" s="143" t="s">
        <v>114</v>
      </c>
    </row>
    <row r="72" ht="18" customHeight="1" spans="1:2">
      <c r="B72" s="143" t="s">
        <v>115</v>
      </c>
    </row>
    <row r="73" ht="18" customHeight="1" spans="1:2">
      <c r="B73" s="145" t="s">
        <v>116</v>
      </c>
    </row>
    <row r="75" ht="20" customHeight="1" spans="1:2">
      <c r="A75" s="121" t="s">
        <v>117</v>
      </c>
    </row>
    <row r="76" ht="30" customHeight="1" spans="1:2">
      <c r="A76" s="146" t="s">
        <v>118</v>
      </c>
    </row>
    <row r="77" ht="30" customHeight="1" spans="1:2">
      <c r="A77" s="146" t="s">
        <v>119</v>
      </c>
    </row>
    <row r="78" ht="30" customHeight="1" spans="1:2">
      <c r="A78" s="146" t="s">
        <v>120</v>
      </c>
    </row>
    <row r="79" ht="30" customHeight="1" spans="1:2">
      <c r="A79" s="146" t="s">
        <v>121</v>
      </c>
    </row>
    <row r="80" ht="30" customHeight="1" spans="1:2">
      <c r="A80" s="146" t="s">
        <v>122</v>
      </c>
    </row>
    <row r="82" ht="20" customHeight="1" spans="1:1">
      <c r="A82" s="121" t="s">
        <v>123</v>
      </c>
    </row>
    <row r="83" ht="32" customHeight="1" spans="1:1">
      <c r="A83" s="146" t="s">
        <v>124</v>
      </c>
    </row>
    <row r="84" ht="32" customHeight="1" spans="1:1">
      <c r="A84" s="146" t="s">
        <v>125</v>
      </c>
    </row>
    <row r="85" ht="32" customHeight="1" spans="1:1">
      <c r="A85" s="146" t="s">
        <v>126</v>
      </c>
    </row>
    <row r="86" ht="32" customHeight="1" spans="1:1">
      <c r="A86" s="146" t="s">
        <v>127</v>
      </c>
    </row>
    <row r="87" ht="32" customHeight="1" spans="1:1">
      <c r="A87" s="146" t="s">
        <v>128</v>
      </c>
    </row>
    <row r="88" ht="32" customHeight="1" spans="1:1">
      <c r="A88" s="146" t="s">
        <v>129</v>
      </c>
    </row>
    <row r="89" ht="32" customHeight="1" spans="1:1">
      <c r="A89" s="146" t="s">
        <v>130</v>
      </c>
    </row>
    <row r="91" ht="20" customHeight="1" spans="1:1">
      <c r="A91" s="147" t="s">
        <v>131</v>
      </c>
    </row>
    <row r="92" ht="30" customHeight="1" spans="1:1">
      <c r="A92" s="146" t="s">
        <v>132</v>
      </c>
    </row>
    <row r="93" ht="30" customHeight="1" spans="1:1">
      <c r="A93" s="146" t="s">
        <v>133</v>
      </c>
    </row>
    <row r="94" ht="30" customHeight="1" spans="1:1">
      <c r="A94" s="146" t="s">
        <v>134</v>
      </c>
    </row>
    <row r="95" ht="30" customHeight="1" spans="1:1">
      <c r="A95" s="146" t="s">
        <v>135</v>
      </c>
    </row>
    <row r="96" ht="30" customHeight="1" spans="1:1">
      <c r="A96" s="146" t="s">
        <v>136</v>
      </c>
    </row>
    <row r="98" ht="20" customHeight="1" spans="1:1">
      <c r="A98" s="148" t="s">
        <v>137</v>
      </c>
    </row>
    <row r="99" ht="30" customHeight="1" spans="1:1">
      <c r="A99" s="146" t="s">
        <v>138</v>
      </c>
    </row>
    <row r="100" ht="30" customHeight="1" spans="1:1">
      <c r="A100" s="146" t="s">
        <v>139</v>
      </c>
    </row>
    <row r="101" ht="30" customHeight="1" spans="1:1">
      <c r="A101" s="146" t="s">
        <v>140</v>
      </c>
    </row>
    <row r="102" ht="30" customHeight="1" spans="1:1">
      <c r="A102" s="146" t="s">
        <v>141</v>
      </c>
    </row>
    <row r="104" ht="20" customHeight="1" spans="1:1">
      <c r="A104" s="147" t="s">
        <v>142</v>
      </c>
    </row>
    <row r="105" ht="32" customHeight="1" spans="1:1">
      <c r="A105" s="146" t="s">
        <v>143</v>
      </c>
    </row>
    <row r="106" ht="32" customHeight="1" spans="1:1">
      <c r="A106" s="146" t="s">
        <v>144</v>
      </c>
    </row>
    <row r="107" ht="32" customHeight="1" spans="1:1">
      <c r="A107" s="146" t="s">
        <v>145</v>
      </c>
    </row>
    <row r="109" ht="20" customHeight="1" spans="1:1">
      <c r="A109" s="148" t="s">
        <v>146</v>
      </c>
    </row>
    <row r="110" ht="34" customHeight="1" spans="1:1">
      <c r="A110" s="146" t="s">
        <v>147</v>
      </c>
    </row>
    <row r="111" ht="34" customHeight="1" spans="1:1">
      <c r="A111" s="146" t="s">
        <v>148</v>
      </c>
    </row>
    <row r="112" ht="34" customHeight="1" spans="1:1">
      <c r="A112" s="146" t="s">
        <v>149</v>
      </c>
    </row>
    <row r="113" ht="34" customHeight="1" spans="1:1">
      <c r="A113" s="146" t="s">
        <v>150</v>
      </c>
    </row>
    <row r="114" ht="34" customHeight="1" spans="1:1">
      <c r="A114" s="146" t="s">
        <v>151</v>
      </c>
    </row>
    <row r="116" ht="20" customHeight="1" spans="1:1">
      <c r="A116" s="148" t="s">
        <v>152</v>
      </c>
    </row>
    <row r="117" ht="34" customHeight="1" spans="1:1">
      <c r="A117" s="146" t="s">
        <v>153</v>
      </c>
    </row>
    <row r="118" ht="34" customHeight="1" spans="1:1">
      <c r="A118" s="146" t="s">
        <v>154</v>
      </c>
    </row>
    <row r="119" ht="34" customHeight="1" spans="1:1">
      <c r="A119" s="146" t="s">
        <v>155</v>
      </c>
    </row>
    <row r="120" ht="34" customHeight="1" spans="1:1">
      <c r="A120" s="146" t="s">
        <v>156</v>
      </c>
    </row>
    <row r="121" ht="34" customHeight="1" spans="1:1">
      <c r="A121" s="146" t="s">
        <v>157</v>
      </c>
    </row>
  </sheetData>
  <mergeCells count="107">
    <mergeCell ref="A1:H1"/>
    <mergeCell ref="A2:H2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5:H45"/>
    <mergeCell ref="B47:H47"/>
    <mergeCell ref="B48:H48"/>
    <mergeCell ref="B49:H49"/>
    <mergeCell ref="B50:H50"/>
    <mergeCell ref="B51:H51"/>
    <mergeCell ref="B52:H52"/>
    <mergeCell ref="B53:H53"/>
    <mergeCell ref="B54:H54"/>
    <mergeCell ref="B55:H55"/>
    <mergeCell ref="B56:H56"/>
    <mergeCell ref="B58:H58"/>
    <mergeCell ref="B60:H60"/>
    <mergeCell ref="B61:H61"/>
    <mergeCell ref="B62:H62"/>
    <mergeCell ref="B63:H63"/>
    <mergeCell ref="B64:H64"/>
    <mergeCell ref="B65:H65"/>
    <mergeCell ref="B66:H66"/>
    <mergeCell ref="B67:H67"/>
    <mergeCell ref="B69:H69"/>
    <mergeCell ref="B71:H71"/>
    <mergeCell ref="B72:H72"/>
    <mergeCell ref="B73:H73"/>
    <mergeCell ref="A75:H75"/>
    <mergeCell ref="A76:H76"/>
    <mergeCell ref="A77:H77"/>
    <mergeCell ref="A78:H78"/>
    <mergeCell ref="A79:H79"/>
    <mergeCell ref="A80:H80"/>
    <mergeCell ref="A82:H82"/>
    <mergeCell ref="A83:H83"/>
    <mergeCell ref="A84:H84"/>
    <mergeCell ref="A85:H85"/>
    <mergeCell ref="A86:H86"/>
    <mergeCell ref="A87:H87"/>
    <mergeCell ref="A88:H88"/>
    <mergeCell ref="A89:H89"/>
    <mergeCell ref="A91:H91"/>
    <mergeCell ref="A92:H92"/>
    <mergeCell ref="A93:H93"/>
    <mergeCell ref="A94:H94"/>
    <mergeCell ref="A95:H95"/>
    <mergeCell ref="A96:H96"/>
    <mergeCell ref="A98:H98"/>
    <mergeCell ref="A99:H99"/>
    <mergeCell ref="A100:H100"/>
    <mergeCell ref="A101:H101"/>
    <mergeCell ref="A102:H102"/>
    <mergeCell ref="A104:H104"/>
    <mergeCell ref="A105:H105"/>
    <mergeCell ref="A106:H106"/>
    <mergeCell ref="A107:H107"/>
    <mergeCell ref="A109:H109"/>
    <mergeCell ref="A110:H110"/>
    <mergeCell ref="A111:H111"/>
    <mergeCell ref="A112:H112"/>
    <mergeCell ref="A113:H113"/>
    <mergeCell ref="A114:H114"/>
    <mergeCell ref="A116:H116"/>
    <mergeCell ref="A117:H117"/>
    <mergeCell ref="A118:H118"/>
    <mergeCell ref="A119:H119"/>
    <mergeCell ref="A120:H120"/>
    <mergeCell ref="A121:H121"/>
  </mergeCells>
  <pageMargins left="0.3" right="0.3" top="0.4" bottom="0.4" header="0.5" footer="0.5"/>
  <pageSetup paperSize="9" fitToHeight="0" orientation="portrait"/>
  <headerFooter>
    <oddFooter>&amp;L&amp;A&amp;R第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T507"/>
  <sheetViews>
    <sheetView showGridLines="0" workbookViewId="0">
      <pane xSplit="1" ySplit="4" topLeftCell="B107" activePane="bottomRight" state="frozen"/>
      <selection/>
      <selection pane="topRight"/>
      <selection pane="bottomLeft"/>
      <selection pane="bottomRight" activeCell="E224" sqref="E224"/>
    </sheetView>
  </sheetViews>
  <sheetFormatPr defaultColWidth="9" defaultRowHeight="13.5"/>
  <cols>
    <col min="1" max="1" width="6" customWidth="1"/>
    <col min="2" max="2" width="15" customWidth="1"/>
    <col min="3" max="3" width="20" customWidth="1"/>
    <col min="4" max="4" width="16" customWidth="1"/>
    <col min="5" max="5" width="14" customWidth="1"/>
    <col min="6" max="6" width="15" customWidth="1"/>
    <col min="7" max="7" width="13" customWidth="1"/>
    <col min="8" max="8" width="22" customWidth="1"/>
    <col min="9" max="9" width="13" customWidth="1"/>
    <col min="10" max="10" width="17" customWidth="1"/>
    <col min="11" max="11" width="13" customWidth="1"/>
    <col min="12" max="12" width="11" customWidth="1"/>
    <col min="13" max="13" width="13" customWidth="1"/>
    <col min="14" max="14" width="12" customWidth="1"/>
    <col min="15" max="15" width="16" customWidth="1"/>
    <col min="16" max="17" width="6" customWidth="1"/>
    <col min="18" max="18" width="2" customWidth="1"/>
    <col min="19" max="19" width="13" customWidth="1"/>
    <col min="20" max="20" width="64" customWidth="1"/>
  </cols>
  <sheetData>
    <row r="1" ht="30" customHeight="1" spans="1:20">
      <c r="A1" s="71" t="s">
        <v>158</v>
      </c>
      <c r="S1" s="135" t="s">
        <v>159</v>
      </c>
      <c r="T1" s="86">
        <f>MAX($Q$5:$Q$507)</f>
        <v>5</v>
      </c>
    </row>
    <row r="2" ht="18" customHeight="1" spans="1:20">
      <c r="A2" s="136" t="str">
        <f>IF($T$4=1,"✔ 链接正常，已自动取到 "&amp;$T$1&amp;" 行（只算有金额/数量的行）　｜　本表 1:1 对应《01 水果进销存台账》的【财务取数接口】第 4～356 行，两本业务册必须和本文件放在同一个文件夹","★★ 链接没接上！当前取数来源："&amp;$T$5&amp;"　→ 见 S6 修复说明")</f>
        <v>✔ 链接正常，已自动取到 5 行（只算有金额/数量的行）　｜　本表 1:1 对应《01 水果进销存台账》的【财务取数接口】第 4～356 行，两本业务册必须和本文件放在同一个文件夹</v>
      </c>
      <c r="S2" s="135" t="s">
        <v>160</v>
      </c>
      <c r="T2" s="86" t="str">
        <f>IFERROR(IF([1]财务取数接口!$C$4=0,"未更新",[1]财务取数接口!$C$4),"断开")</f>
        <v>筐子销售</v>
      </c>
    </row>
    <row r="3" ht="20" customHeight="1" spans="1:20">
      <c r="A3" s="121" t="s">
        <v>161</v>
      </c>
      <c r="I3" s="137" t="s">
        <v>162</v>
      </c>
      <c r="P3" s="130" t="s">
        <v>163</v>
      </c>
      <c r="S3" s="135" t="s">
        <v>164</v>
      </c>
      <c r="T3" s="86">
        <f>COUNTIF($J$5:$J$507,"?*")-COUNTIF($J$5:$J$507,"项目")</f>
        <v>0</v>
      </c>
    </row>
    <row r="4" ht="30" customHeight="1" spans="1:20">
      <c r="A4" s="73" t="s">
        <v>165</v>
      </c>
      <c r="B4" s="73" t="s">
        <v>166</v>
      </c>
      <c r="C4" s="73" t="s">
        <v>167</v>
      </c>
      <c r="D4" s="73" t="s">
        <v>168</v>
      </c>
      <c r="E4" s="73" t="s">
        <v>169</v>
      </c>
      <c r="F4" s="73" t="s">
        <v>170</v>
      </c>
      <c r="G4" s="73" t="s">
        <v>171</v>
      </c>
      <c r="H4" s="73" t="s">
        <v>172</v>
      </c>
      <c r="I4" s="73" t="s">
        <v>173</v>
      </c>
      <c r="J4" s="73" t="s">
        <v>174</v>
      </c>
      <c r="K4" s="73" t="s">
        <v>175</v>
      </c>
      <c r="L4" s="73" t="s">
        <v>176</v>
      </c>
      <c r="M4" s="73" t="s">
        <v>177</v>
      </c>
      <c r="N4" s="73" t="s">
        <v>178</v>
      </c>
      <c r="O4" s="73" t="s">
        <v>179</v>
      </c>
      <c r="P4" s="73" t="s">
        <v>180</v>
      </c>
      <c r="Q4" s="73" t="s">
        <v>181</v>
      </c>
      <c r="S4" s="135" t="s">
        <v>182</v>
      </c>
      <c r="T4" s="86">
        <f>IF(OR($T$2="断开",$T$2="未更新"),0,1)</f>
        <v>1</v>
      </c>
    </row>
    <row r="5" spans="1:20">
      <c r="A5" s="74">
        <v>4</v>
      </c>
      <c r="B5" s="138" t="str">
        <f>IF($T$4=0,IF($I5="","",$I5),IFERROR(IF([1]财务取数接口!$B$4=0,"",[1]财务取数接口!$B$4),""))</f>
        <v/>
      </c>
      <c r="C5" s="75" t="str">
        <f>IF($T$4=0,IF($J5="","",$J5),IFERROR(IF([1]财务取数接口!$C$4=0,"",[1]财务取数接口!$C$4),""))</f>
        <v>筐子销售</v>
      </c>
      <c r="D5" s="89" t="str">
        <f>IF($T$4=0,IF($K5="","",$K5),IFERROR(IF([1]财务取数接口!$D$4=0,"",[1]财务取数接口!$D$4),""))</f>
        <v/>
      </c>
      <c r="E5" s="89" t="str">
        <f>IF($T$4=0,IF($L5="","",$L5),IFERROR(IF([1]财务取数接口!$E$4=0,"",[1]财务取数接口!$E$4),""))</f>
        <v>个</v>
      </c>
      <c r="F5" s="76" t="str">
        <f>IF($T$4=0,IF($M5="","",$M5),IFERROR(IF([1]财务取数接口!$G$4=0,"",[1]财务取数接口!$G$4),""))</f>
        <v/>
      </c>
      <c r="G5" s="76" t="str">
        <f>IF($T$4=0,IF($N5="","",$N5),IFERROR(IF([1]财务取数接口!$H$4=0,"",[1]财务取数接口!$H$4),""))</f>
        <v/>
      </c>
      <c r="H5" s="75" t="str">
        <f>IF($T$4=0,IF($O5="","",$O5),IFERROR(IF([1]财务取数接口!$I$4=0,"",[1]财务取数接口!$I$4),""))</f>
        <v/>
      </c>
      <c r="I5" s="43"/>
      <c r="J5" s="106"/>
      <c r="K5" s="43"/>
      <c r="L5" s="43"/>
      <c r="M5" s="107"/>
      <c r="N5" s="107"/>
      <c r="O5" s="106"/>
      <c r="P5" s="139">
        <f t="shared" ref="P5:P68" si="0">IF(AND($C5&lt;&gt;"",$C5&lt;&gt;"项目",OR(N($D5)&lt;&gt;0,N($E5)&lt;&gt;0,N($F5)&lt;&gt;0)),1,0)</f>
        <v>0</v>
      </c>
      <c r="Q5" s="139">
        <f t="shared" ref="Q5:Q68" si="1">N(Q4)+$P5</f>
        <v>0</v>
      </c>
      <c r="S5" s="135" t="s">
        <v>183</v>
      </c>
      <c r="T5" s="86" t="str">
        <f>IF($T$4=1,"自动（跨文件链接）",IF($T$3&gt;0,"应急备份","无数据"))</f>
        <v>自动（跨文件链接）</v>
      </c>
    </row>
    <row r="6" spans="1:20">
      <c r="A6" s="74">
        <v>5</v>
      </c>
      <c r="B6" s="138" t="str">
        <f>IF($T$4=0,IF($I6="","",$I6),IFERROR(IF([1]财务取数接口!$B$5=0,"",[1]财务取数接口!$B$5),""))</f>
        <v/>
      </c>
      <c r="C6" s="75" t="str">
        <f>IF($T$4=0,IF($J6="","",$J6),IFERROR(IF([1]财务取数接口!$C$5=0,"",[1]财务取数接口!$C$5),""))</f>
        <v>筐子销售</v>
      </c>
      <c r="D6" s="89" t="str">
        <f>IF($T$4=0,IF($K6="","",$K6),IFERROR(IF([1]财务取数接口!$D$5=0,"",[1]财务取数接口!$D$5),""))</f>
        <v/>
      </c>
      <c r="E6" s="89" t="str">
        <f>IF($T$4=0,IF($L6="","",$L6),IFERROR(IF([1]财务取数接口!$E$5=0,"",[1]财务取数接口!$E$5),""))</f>
        <v>个</v>
      </c>
      <c r="F6" s="76" t="str">
        <f>IF($T$4=0,IF($M6="","",$M6),IFERROR(IF([1]财务取数接口!$G$5=0,"",[1]财务取数接口!$G$5),""))</f>
        <v/>
      </c>
      <c r="G6" s="76" t="str">
        <f>IF($T$4=0,IF($N6="","",$N6),IFERROR(IF([1]财务取数接口!$H$5=0,"",[1]财务取数接口!$H$5),""))</f>
        <v/>
      </c>
      <c r="H6" s="75" t="str">
        <f>IF($T$4=0,IF($O6="","",$O6),IFERROR(IF([1]财务取数接口!$I$5=0,"",[1]财务取数接口!$I$5),""))</f>
        <v/>
      </c>
      <c r="I6" s="43"/>
      <c r="J6" s="106"/>
      <c r="K6" s="43"/>
      <c r="L6" s="43"/>
      <c r="M6" s="107"/>
      <c r="N6" s="107"/>
      <c r="O6" s="106"/>
      <c r="P6" s="139">
        <f t="shared" si="0"/>
        <v>0</v>
      </c>
      <c r="Q6" s="139">
        <f t="shared" si="1"/>
        <v>0</v>
      </c>
      <c r="S6" s="140" t="str">
        <f>IF($T$2="断开",IF($T$3&gt;0,"✘ 链接已断开，正在用【应急备份区】的 "&amp;$T$3&amp;" 行数据出账（不是实时数）。修复：菜单【数据】→【编辑链接】→【更改源】，重新指向《01_水果进销存台账模板.xlsx》","✘ 链接已断开，而且应急备份区是空的，本册报表将缺少这本业务册的全部数据。修复：菜单【数据】→【编辑链接】→【更改源】，重新指向《01_水果进销存台账模板.xlsx》"),IF($T$2="未更新",IF($T$3&gt;0,"★ 链接还没更新，或者那两个文件被改名、挪走了。正在用【应急备份区】的 "&amp;$T$3&amp;" 行数据出账（不是实时数）。修复：菜单【数据】→【编辑链接】→先点【立即更新值】；还是取不到数就点【更改源】重新指向《01_水果进销存台账模板.xlsx》","★ 链接还没更新，或者那两个文件被改名、挪走了，而且没有应急备份，本册报表会缺少这本业务册的全部数据。修复：菜单【数据】→【编辑链接】→先点【立即更新值】；还是取不到数就点【更改源】重新指向《01_水果进销存台账模板.xlsx》"),"✔ 链接正常，已自动取到 "&amp;$T$1&amp;" 行。备份区现有 "&amp;$T$3&amp;" 行。建议每月底把 B5:H168 复制→选择性粘贴【数值】到 I5，作为断链时的兜底"))</f>
        <v>✔ 链接正常，已自动取到 5 行。备份区现有 0 行。建议每月底把 B5:H168 复制→选择性粘贴【数值】到 I5，作为断链时的兜底</v>
      </c>
    </row>
    <row r="7" spans="1:20">
      <c r="A7" s="74">
        <v>6</v>
      </c>
      <c r="B7" s="138" t="str">
        <f>IF($T$4=0,IF($I7="","",$I7),IFERROR(IF([1]财务取数接口!$B$6=0,"",[1]财务取数接口!$B$6),""))</f>
        <v/>
      </c>
      <c r="C7" s="75" t="str">
        <f>IF($T$4=0,IF($J7="","",$J7),IFERROR(IF([1]财务取数接口!$C$6=0,"",[1]财务取数接口!$C$6),""))</f>
        <v>筐子销售</v>
      </c>
      <c r="D7" s="89" t="str">
        <f>IF($T$4=0,IF($K7="","",$K7),IFERROR(IF([1]财务取数接口!$D$6=0,"",[1]财务取数接口!$D$6),""))</f>
        <v/>
      </c>
      <c r="E7" s="89" t="str">
        <f>IF($T$4=0,IF($L7="","",$L7),IFERROR(IF([1]财务取数接口!$E$6=0,"",[1]财务取数接口!$E$6),""))</f>
        <v>个</v>
      </c>
      <c r="F7" s="76" t="str">
        <f>IF($T$4=0,IF($M7="","",$M7),IFERROR(IF([1]财务取数接口!$G$6=0,"",[1]财务取数接口!$G$6),""))</f>
        <v/>
      </c>
      <c r="G7" s="76" t="str">
        <f>IF($T$4=0,IF($N7="","",$N7),IFERROR(IF([1]财务取数接口!$H$6=0,"",[1]财务取数接口!$H$6),""))</f>
        <v/>
      </c>
      <c r="H7" s="75" t="str">
        <f>IF($T$4=0,IF($O7="","",$O7),IFERROR(IF([1]财务取数接口!$I$6=0,"",[1]财务取数接口!$I$6),""))</f>
        <v/>
      </c>
      <c r="I7" s="43"/>
      <c r="J7" s="106"/>
      <c r="K7" s="43"/>
      <c r="L7" s="43"/>
      <c r="M7" s="107"/>
      <c r="N7" s="107"/>
      <c r="O7" s="106"/>
      <c r="P7" s="139">
        <f t="shared" si="0"/>
        <v>0</v>
      </c>
      <c r="Q7" s="139">
        <f t="shared" si="1"/>
        <v>0</v>
      </c>
    </row>
    <row r="8" spans="1:20">
      <c r="A8" s="74">
        <v>7</v>
      </c>
      <c r="B8" s="138" t="str">
        <f>IF($T$4=0,IF($I8="","",$I8),IFERROR(IF([1]财务取数接口!$B$7=0,"",[1]财务取数接口!$B$7),""))</f>
        <v/>
      </c>
      <c r="C8" s="75" t="str">
        <f>IF($T$4=0,IF($J8="","",$J8),IFERROR(IF([1]财务取数接口!$C$7=0,"",[1]财务取数接口!$C$7),""))</f>
        <v>筐子销售</v>
      </c>
      <c r="D8" s="89" t="str">
        <f>IF($T$4=0,IF($K8="","",$K8),IFERROR(IF([1]财务取数接口!$D$7=0,"",[1]财务取数接口!$D$7),""))</f>
        <v/>
      </c>
      <c r="E8" s="89" t="str">
        <f>IF($T$4=0,IF($L8="","",$L8),IFERROR(IF([1]财务取数接口!$E$7=0,"",[1]财务取数接口!$E$7),""))</f>
        <v>个</v>
      </c>
      <c r="F8" s="76" t="str">
        <f>IF($T$4=0,IF($M8="","",$M8),IFERROR(IF([1]财务取数接口!$G$7=0,"",[1]财务取数接口!$G$7),""))</f>
        <v/>
      </c>
      <c r="G8" s="76" t="str">
        <f>IF($T$4=0,IF($N8="","",$N8),IFERROR(IF([1]财务取数接口!$H$7=0,"",[1]财务取数接口!$H$7),""))</f>
        <v/>
      </c>
      <c r="H8" s="75" t="str">
        <f>IF($T$4=0,IF($O8="","",$O8),IFERROR(IF([1]财务取数接口!$I$7=0,"",[1]财务取数接口!$I$7),""))</f>
        <v/>
      </c>
      <c r="I8" s="43"/>
      <c r="J8" s="106"/>
      <c r="K8" s="43"/>
      <c r="L8" s="43"/>
      <c r="M8" s="107"/>
      <c r="N8" s="107"/>
      <c r="O8" s="106"/>
      <c r="P8" s="139">
        <f t="shared" si="0"/>
        <v>0</v>
      </c>
      <c r="Q8" s="139">
        <f t="shared" si="1"/>
        <v>0</v>
      </c>
    </row>
    <row r="9" spans="1:20">
      <c r="A9" s="74">
        <v>8</v>
      </c>
      <c r="B9" s="138" t="str">
        <f>IF($T$4=0,IF($I9="","",$I9),IFERROR(IF([1]财务取数接口!$B$8=0,"",[1]财务取数接口!$B$8),""))</f>
        <v/>
      </c>
      <c r="C9" s="75" t="str">
        <f>IF($T$4=0,IF($J9="","",$J9),IFERROR(IF([1]财务取数接口!$C$8=0,"",[1]财务取数接口!$C$8),""))</f>
        <v>筐子销售</v>
      </c>
      <c r="D9" s="89" t="str">
        <f>IF($T$4=0,IF($K9="","",$K9),IFERROR(IF([1]财务取数接口!$D$8=0,"",[1]财务取数接口!$D$8),""))</f>
        <v/>
      </c>
      <c r="E9" s="89" t="str">
        <f>IF($T$4=0,IF($L9="","",$L9),IFERROR(IF([1]财务取数接口!$E$8=0,"",[1]财务取数接口!$E$8),""))</f>
        <v>个</v>
      </c>
      <c r="F9" s="76" t="str">
        <f>IF($T$4=0,IF($M9="","",$M9),IFERROR(IF([1]财务取数接口!$G$8=0,"",[1]财务取数接口!$G$8),""))</f>
        <v/>
      </c>
      <c r="G9" s="76" t="str">
        <f>IF($T$4=0,IF($N9="","",$N9),IFERROR(IF([1]财务取数接口!$H$8=0,"",[1]财务取数接口!$H$8),""))</f>
        <v/>
      </c>
      <c r="H9" s="75" t="str">
        <f>IF($T$4=0,IF($O9="","",$O9),IFERROR(IF([1]财务取数接口!$I$8=0,"",[1]财务取数接口!$I$8),""))</f>
        <v/>
      </c>
      <c r="I9" s="43"/>
      <c r="J9" s="106"/>
      <c r="K9" s="43"/>
      <c r="L9" s="43"/>
      <c r="M9" s="107"/>
      <c r="N9" s="107"/>
      <c r="O9" s="106"/>
      <c r="P9" s="139">
        <f t="shared" si="0"/>
        <v>0</v>
      </c>
      <c r="Q9" s="139">
        <f t="shared" si="1"/>
        <v>0</v>
      </c>
    </row>
    <row r="10" spans="1:20">
      <c r="A10" s="74">
        <v>9</v>
      </c>
      <c r="B10" s="138" t="str">
        <f>IF($T$4=0,IF($I10="","",$I10),IFERROR(IF([1]财务取数接口!$B$9=0,"",[1]财务取数接口!$B$9),""))</f>
        <v/>
      </c>
      <c r="C10" s="75" t="str">
        <f>IF($T$4=0,IF($J10="","",$J10),IFERROR(IF([1]财务取数接口!$C$9=0,"",[1]财务取数接口!$C$9),""))</f>
        <v>筐子销售</v>
      </c>
      <c r="D10" s="89" t="str">
        <f>IF($T$4=0,IF($K10="","",$K10),IFERROR(IF([1]财务取数接口!$D$9=0,"",[1]财务取数接口!$D$9),""))</f>
        <v/>
      </c>
      <c r="E10" s="89" t="str">
        <f>IF($T$4=0,IF($L10="","",$L10),IFERROR(IF([1]财务取数接口!$E$9=0,"",[1]财务取数接口!$E$9),""))</f>
        <v>个</v>
      </c>
      <c r="F10" s="76" t="str">
        <f>IF($T$4=0,IF($M10="","",$M10),IFERROR(IF([1]财务取数接口!$G$9=0,"",[1]财务取数接口!$G$9),""))</f>
        <v/>
      </c>
      <c r="G10" s="76" t="str">
        <f>IF($T$4=0,IF($N10="","",$N10),IFERROR(IF([1]财务取数接口!$H$9=0,"",[1]财务取数接口!$H$9),""))</f>
        <v/>
      </c>
      <c r="H10" s="75" t="str">
        <f>IF($T$4=0,IF($O10="","",$O10),IFERROR(IF([1]财务取数接口!$I$9=0,"",[1]财务取数接口!$I$9),""))</f>
        <v/>
      </c>
      <c r="I10" s="43"/>
      <c r="J10" s="106"/>
      <c r="K10" s="43"/>
      <c r="L10" s="43"/>
      <c r="M10" s="107"/>
      <c r="N10" s="107"/>
      <c r="O10" s="106"/>
      <c r="P10" s="139">
        <f t="shared" si="0"/>
        <v>0</v>
      </c>
      <c r="Q10" s="139">
        <f t="shared" si="1"/>
        <v>0</v>
      </c>
    </row>
    <row r="11" spans="1:20">
      <c r="A11" s="74">
        <v>10</v>
      </c>
      <c r="B11" s="138" t="str">
        <f>IF($T$4=0,IF($I11="","",$I11),IFERROR(IF([1]财务取数接口!$B$10=0,"",[1]财务取数接口!$B$10),""))</f>
        <v/>
      </c>
      <c r="C11" s="75" t="str">
        <f>IF($T$4=0,IF($J11="","",$J11),IFERROR(IF([1]财务取数接口!$C$10=0,"",[1]财务取数接口!$C$10),""))</f>
        <v>筐子销售</v>
      </c>
      <c r="D11" s="89" t="str">
        <f>IF($T$4=0,IF($K11="","",$K11),IFERROR(IF([1]财务取数接口!$D$10=0,"",[1]财务取数接口!$D$10),""))</f>
        <v/>
      </c>
      <c r="E11" s="89" t="str">
        <f>IF($T$4=0,IF($L11="","",$L11),IFERROR(IF([1]财务取数接口!$E$10=0,"",[1]财务取数接口!$E$10),""))</f>
        <v>个</v>
      </c>
      <c r="F11" s="76" t="str">
        <f>IF($T$4=0,IF($M11="","",$M11),IFERROR(IF([1]财务取数接口!$G$10=0,"",[1]财务取数接口!$G$10),""))</f>
        <v/>
      </c>
      <c r="G11" s="76" t="str">
        <f>IF($T$4=0,IF($N11="","",$N11),IFERROR(IF([1]财务取数接口!$H$10=0,"",[1]财务取数接口!$H$10),""))</f>
        <v/>
      </c>
      <c r="H11" s="75" t="str">
        <f>IF($T$4=0,IF($O11="","",$O11),IFERROR(IF([1]财务取数接口!$I$10=0,"",[1]财务取数接口!$I$10),""))</f>
        <v/>
      </c>
      <c r="I11" s="43"/>
      <c r="J11" s="106"/>
      <c r="K11" s="43"/>
      <c r="L11" s="43"/>
      <c r="M11" s="107"/>
      <c r="N11" s="107"/>
      <c r="O11" s="106"/>
      <c r="P11" s="139">
        <f t="shared" si="0"/>
        <v>0</v>
      </c>
      <c r="Q11" s="139">
        <f t="shared" si="1"/>
        <v>0</v>
      </c>
    </row>
    <row r="12" spans="1:20">
      <c r="A12" s="74">
        <v>11</v>
      </c>
      <c r="B12" s="138" t="str">
        <f>IF($T$4=0,IF($I12="","",$I12),IFERROR(IF([1]财务取数接口!$B$11=0,"",[1]财务取数接口!$B$11),""))</f>
        <v/>
      </c>
      <c r="C12" s="75" t="str">
        <f>IF($T$4=0,IF($J12="","",$J12),IFERROR(IF([1]财务取数接口!$C$11=0,"",[1]财务取数接口!$C$11),""))</f>
        <v>筐子销售</v>
      </c>
      <c r="D12" s="89" t="str">
        <f>IF($T$4=0,IF($K12="","",$K12),IFERROR(IF([1]财务取数接口!$D$11=0,"",[1]财务取数接口!$D$11),""))</f>
        <v/>
      </c>
      <c r="E12" s="89" t="str">
        <f>IF($T$4=0,IF($L12="","",$L12),IFERROR(IF([1]财务取数接口!$E$11=0,"",[1]财务取数接口!$E$11),""))</f>
        <v>个</v>
      </c>
      <c r="F12" s="76" t="str">
        <f>IF($T$4=0,IF($M12="","",$M12),IFERROR(IF([1]财务取数接口!$G$11=0,"",[1]财务取数接口!$G$11),""))</f>
        <v/>
      </c>
      <c r="G12" s="76" t="str">
        <f>IF($T$4=0,IF($N12="","",$N12),IFERROR(IF([1]财务取数接口!$H$11=0,"",[1]财务取数接口!$H$11),""))</f>
        <v/>
      </c>
      <c r="H12" s="75" t="str">
        <f>IF($T$4=0,IF($O12="","",$O12),IFERROR(IF([1]财务取数接口!$I$11=0,"",[1]财务取数接口!$I$11),""))</f>
        <v/>
      </c>
      <c r="I12" s="43"/>
      <c r="J12" s="106"/>
      <c r="K12" s="43"/>
      <c r="L12" s="43"/>
      <c r="M12" s="107"/>
      <c r="N12" s="107"/>
      <c r="O12" s="106"/>
      <c r="P12" s="139">
        <f t="shared" si="0"/>
        <v>0</v>
      </c>
      <c r="Q12" s="139">
        <f t="shared" si="1"/>
        <v>0</v>
      </c>
    </row>
    <row r="13" spans="1:20">
      <c r="A13" s="74">
        <v>12</v>
      </c>
      <c r="B13" s="138" t="str">
        <f>IF($T$4=0,IF($I13="","",$I13),IFERROR(IF([1]财务取数接口!$B$12=0,"",[1]财务取数接口!$B$12),""))</f>
        <v/>
      </c>
      <c r="C13" s="75" t="str">
        <f>IF($T$4=0,IF($J13="","",$J13),IFERROR(IF([1]财务取数接口!$C$12=0,"",[1]财务取数接口!$C$12),""))</f>
        <v>筐子销售</v>
      </c>
      <c r="D13" s="89" t="str">
        <f>IF($T$4=0,IF($K13="","",$K13),IFERROR(IF([1]财务取数接口!$D$12=0,"",[1]财务取数接口!$D$12),""))</f>
        <v/>
      </c>
      <c r="E13" s="89" t="str">
        <f>IF($T$4=0,IF($L13="","",$L13),IFERROR(IF([1]财务取数接口!$E$12=0,"",[1]财务取数接口!$E$12),""))</f>
        <v>个</v>
      </c>
      <c r="F13" s="76" t="str">
        <f>IF($T$4=0,IF($M13="","",$M13),IFERROR(IF([1]财务取数接口!$G$12=0,"",[1]财务取数接口!$G$12),""))</f>
        <v/>
      </c>
      <c r="G13" s="76" t="str">
        <f>IF($T$4=0,IF($N13="","",$N13),IFERROR(IF([1]财务取数接口!$H$12=0,"",[1]财务取数接口!$H$12),""))</f>
        <v/>
      </c>
      <c r="H13" s="75" t="str">
        <f>IF($T$4=0,IF($O13="","",$O13),IFERROR(IF([1]财务取数接口!$I$12=0,"",[1]财务取数接口!$I$12),""))</f>
        <v/>
      </c>
      <c r="I13" s="43"/>
      <c r="J13" s="106"/>
      <c r="K13" s="43"/>
      <c r="L13" s="43"/>
      <c r="M13" s="107"/>
      <c r="N13" s="107"/>
      <c r="O13" s="106"/>
      <c r="P13" s="139">
        <f t="shared" si="0"/>
        <v>0</v>
      </c>
      <c r="Q13" s="139">
        <f t="shared" si="1"/>
        <v>0</v>
      </c>
    </row>
    <row r="14" spans="1:20">
      <c r="A14" s="74">
        <v>13</v>
      </c>
      <c r="B14" s="138" t="str">
        <f>IF($T$4=0,IF($I14="","",$I14),IFERROR(IF([1]财务取数接口!$B$13=0,"",[1]财务取数接口!$B$13),""))</f>
        <v/>
      </c>
      <c r="C14" s="75" t="str">
        <f>IF($T$4=0,IF($J14="","",$J14),IFERROR(IF([1]财务取数接口!$C$13=0,"",[1]财务取数接口!$C$13),""))</f>
        <v>筐子销售</v>
      </c>
      <c r="D14" s="89" t="str">
        <f>IF($T$4=0,IF($K14="","",$K14),IFERROR(IF([1]财务取数接口!$D$13=0,"",[1]财务取数接口!$D$13),""))</f>
        <v/>
      </c>
      <c r="E14" s="89" t="str">
        <f>IF($T$4=0,IF($L14="","",$L14),IFERROR(IF([1]财务取数接口!$E$13=0,"",[1]财务取数接口!$E$13),""))</f>
        <v>个</v>
      </c>
      <c r="F14" s="76" t="str">
        <f>IF($T$4=0,IF($M14="","",$M14),IFERROR(IF([1]财务取数接口!$G$13=0,"",[1]财务取数接口!$G$13),""))</f>
        <v/>
      </c>
      <c r="G14" s="76" t="str">
        <f>IF($T$4=0,IF($N14="","",$N14),IFERROR(IF([1]财务取数接口!$H$13=0,"",[1]财务取数接口!$H$13),""))</f>
        <v/>
      </c>
      <c r="H14" s="75" t="str">
        <f>IF($T$4=0,IF($O14="","",$O14),IFERROR(IF([1]财务取数接口!$I$13=0,"",[1]财务取数接口!$I$13),""))</f>
        <v/>
      </c>
      <c r="I14" s="43"/>
      <c r="J14" s="106"/>
      <c r="K14" s="43"/>
      <c r="L14" s="43"/>
      <c r="M14" s="107"/>
      <c r="N14" s="107"/>
      <c r="O14" s="106"/>
      <c r="P14" s="139">
        <f t="shared" si="0"/>
        <v>0</v>
      </c>
      <c r="Q14" s="139">
        <f t="shared" si="1"/>
        <v>0</v>
      </c>
    </row>
    <row r="15" spans="1:20">
      <c r="A15" s="74">
        <v>14</v>
      </c>
      <c r="B15" s="138" t="str">
        <f>IF($T$4=0,IF($I15="","",$I15),IFERROR(IF([1]财务取数接口!$B$14=0,"",[1]财务取数接口!$B$14),""))</f>
        <v/>
      </c>
      <c r="C15" s="75" t="str">
        <f>IF($T$4=0,IF($J15="","",$J15),IFERROR(IF([1]财务取数接口!$C$14=0,"",[1]财务取数接口!$C$14),""))</f>
        <v>筐子销售</v>
      </c>
      <c r="D15" s="89" t="str">
        <f>IF($T$4=0,IF($K15="","",$K15),IFERROR(IF([1]财务取数接口!$D$14=0,"",[1]财务取数接口!$D$14),""))</f>
        <v/>
      </c>
      <c r="E15" s="89" t="str">
        <f>IF($T$4=0,IF($L15="","",$L15),IFERROR(IF([1]财务取数接口!$E$14=0,"",[1]财务取数接口!$E$14),""))</f>
        <v>个</v>
      </c>
      <c r="F15" s="76" t="str">
        <f>IF($T$4=0,IF($M15="","",$M15),IFERROR(IF([1]财务取数接口!$G$14=0,"",[1]财务取数接口!$G$14),""))</f>
        <v/>
      </c>
      <c r="G15" s="76" t="str">
        <f>IF($T$4=0,IF($N15="","",$N15),IFERROR(IF([1]财务取数接口!$H$14=0,"",[1]财务取数接口!$H$14),""))</f>
        <v/>
      </c>
      <c r="H15" s="75" t="str">
        <f>IF($T$4=0,IF($O15="","",$O15),IFERROR(IF([1]财务取数接口!$I$14=0,"",[1]财务取数接口!$I$14),""))</f>
        <v/>
      </c>
      <c r="I15" s="43"/>
      <c r="J15" s="106"/>
      <c r="K15" s="43"/>
      <c r="L15" s="43"/>
      <c r="M15" s="107"/>
      <c r="N15" s="107"/>
      <c r="O15" s="106"/>
      <c r="P15" s="139">
        <f t="shared" si="0"/>
        <v>0</v>
      </c>
      <c r="Q15" s="139">
        <f t="shared" si="1"/>
        <v>0</v>
      </c>
    </row>
    <row r="16" spans="1:20">
      <c r="A16" s="74">
        <v>15</v>
      </c>
      <c r="B16" s="138" t="str">
        <f>IF($T$4=0,IF($I16="","",$I16),IFERROR(IF([1]财务取数接口!$B$15=0,"",[1]财务取数接口!$B$15),""))</f>
        <v/>
      </c>
      <c r="C16" s="75" t="str">
        <f>IF($T$4=0,IF($J16="","",$J16),IFERROR(IF([1]财务取数接口!$C$15=0,"",[1]财务取数接口!$C$15),""))</f>
        <v>筐子销售</v>
      </c>
      <c r="D16" s="89" t="str">
        <f>IF($T$4=0,IF($K16="","",$K16),IFERROR(IF([1]财务取数接口!$D$15=0,"",[1]财务取数接口!$D$15),""))</f>
        <v/>
      </c>
      <c r="E16" s="89" t="str">
        <f>IF($T$4=0,IF($L16="","",$L16),IFERROR(IF([1]财务取数接口!$E$15=0,"",[1]财务取数接口!$E$15),""))</f>
        <v>个</v>
      </c>
      <c r="F16" s="76" t="str">
        <f>IF($T$4=0,IF($M16="","",$M16),IFERROR(IF([1]财务取数接口!$G$15=0,"",[1]财务取数接口!$G$15),""))</f>
        <v/>
      </c>
      <c r="G16" s="76" t="str">
        <f>IF($T$4=0,IF($N16="","",$N16),IFERROR(IF([1]财务取数接口!$H$15=0,"",[1]财务取数接口!$H$15),""))</f>
        <v/>
      </c>
      <c r="H16" s="75" t="str">
        <f>IF($T$4=0,IF($O16="","",$O16),IFERROR(IF([1]财务取数接口!$I$15=0,"",[1]财务取数接口!$I$15),""))</f>
        <v/>
      </c>
      <c r="I16" s="43"/>
      <c r="J16" s="106"/>
      <c r="K16" s="43"/>
      <c r="L16" s="43"/>
      <c r="M16" s="107"/>
      <c r="N16" s="107"/>
      <c r="O16" s="106"/>
      <c r="P16" s="139">
        <f t="shared" si="0"/>
        <v>0</v>
      </c>
      <c r="Q16" s="139">
        <f t="shared" si="1"/>
        <v>0</v>
      </c>
    </row>
    <row r="17" spans="1:17">
      <c r="A17" s="74">
        <v>16</v>
      </c>
      <c r="B17" s="138" t="str">
        <f>IF($T$4=0,IF($I17="","",$I17),IFERROR(IF([1]财务取数接口!$B$16=0,"",[1]财务取数接口!$B$16),""))</f>
        <v/>
      </c>
      <c r="C17" s="75" t="str">
        <f>IF($T$4=0,IF($J17="","",$J17),IFERROR(IF([1]财务取数接口!$C$16=0,"",[1]财务取数接口!$C$16),""))</f>
        <v>筐子销售</v>
      </c>
      <c r="D17" s="89" t="str">
        <f>IF($T$4=0,IF($K17="","",$K17),IFERROR(IF([1]财务取数接口!$D$16=0,"",[1]财务取数接口!$D$16),""))</f>
        <v/>
      </c>
      <c r="E17" s="89" t="str">
        <f>IF($T$4=0,IF($L17="","",$L17),IFERROR(IF([1]财务取数接口!$E$16=0,"",[1]财务取数接口!$E$16),""))</f>
        <v>个</v>
      </c>
      <c r="F17" s="76" t="str">
        <f>IF($T$4=0,IF($M17="","",$M17),IFERROR(IF([1]财务取数接口!$G$16=0,"",[1]财务取数接口!$G$16),""))</f>
        <v/>
      </c>
      <c r="G17" s="76" t="str">
        <f>IF($T$4=0,IF($N17="","",$N17),IFERROR(IF([1]财务取数接口!$H$16=0,"",[1]财务取数接口!$H$16),""))</f>
        <v/>
      </c>
      <c r="H17" s="75" t="str">
        <f>IF($T$4=0,IF($O17="","",$O17),IFERROR(IF([1]财务取数接口!$I$16=0,"",[1]财务取数接口!$I$16),""))</f>
        <v/>
      </c>
      <c r="I17" s="43"/>
      <c r="J17" s="106"/>
      <c r="K17" s="43"/>
      <c r="L17" s="43"/>
      <c r="M17" s="107"/>
      <c r="N17" s="107"/>
      <c r="O17" s="106"/>
      <c r="P17" s="139">
        <f t="shared" si="0"/>
        <v>0</v>
      </c>
      <c r="Q17" s="139">
        <f t="shared" si="1"/>
        <v>0</v>
      </c>
    </row>
    <row r="18" spans="1:17">
      <c r="A18" s="74">
        <v>17</v>
      </c>
      <c r="B18" s="138" t="str">
        <f>IF($T$4=0,IF($I18="","",$I18),IFERROR(IF([1]财务取数接口!$B$17=0,"",[1]财务取数接口!$B$17),""))</f>
        <v/>
      </c>
      <c r="C18" s="75" t="str">
        <f>IF($T$4=0,IF($J18="","",$J18),IFERROR(IF([1]财务取数接口!$C$17=0,"",[1]财务取数接口!$C$17),""))</f>
        <v>筐子销售</v>
      </c>
      <c r="D18" s="89" t="str">
        <f>IF($T$4=0,IF($K18="","",$K18),IFERROR(IF([1]财务取数接口!$D$17=0,"",[1]财务取数接口!$D$17),""))</f>
        <v/>
      </c>
      <c r="E18" s="89" t="str">
        <f>IF($T$4=0,IF($L18="","",$L18),IFERROR(IF([1]财务取数接口!$E$17=0,"",[1]财务取数接口!$E$17),""))</f>
        <v>个</v>
      </c>
      <c r="F18" s="76" t="str">
        <f>IF($T$4=0,IF($M18="","",$M18),IFERROR(IF([1]财务取数接口!$G$17=0,"",[1]财务取数接口!$G$17),""))</f>
        <v/>
      </c>
      <c r="G18" s="76" t="str">
        <f>IF($T$4=0,IF($N18="","",$N18),IFERROR(IF([1]财务取数接口!$H$17=0,"",[1]财务取数接口!$H$17),""))</f>
        <v/>
      </c>
      <c r="H18" s="75" t="str">
        <f>IF($T$4=0,IF($O18="","",$O18),IFERROR(IF([1]财务取数接口!$I$17=0,"",[1]财务取数接口!$I$17),""))</f>
        <v/>
      </c>
      <c r="I18" s="43"/>
      <c r="J18" s="106"/>
      <c r="K18" s="43"/>
      <c r="L18" s="43"/>
      <c r="M18" s="107"/>
      <c r="N18" s="107"/>
      <c r="O18" s="106"/>
      <c r="P18" s="139">
        <f t="shared" si="0"/>
        <v>0</v>
      </c>
      <c r="Q18" s="139">
        <f t="shared" si="1"/>
        <v>0</v>
      </c>
    </row>
    <row r="19" spans="1:17">
      <c r="A19" s="74">
        <v>18</v>
      </c>
      <c r="B19" s="138" t="str">
        <f>IF($T$4=0,IF($I19="","",$I19),IFERROR(IF([1]财务取数接口!$B$18=0,"",[1]财务取数接口!$B$18),""))</f>
        <v/>
      </c>
      <c r="C19" s="75" t="str">
        <f>IF($T$4=0,IF($J19="","",$J19),IFERROR(IF([1]财务取数接口!$C$18=0,"",[1]财务取数接口!$C$18),""))</f>
        <v>筐子销售</v>
      </c>
      <c r="D19" s="89" t="str">
        <f>IF($T$4=0,IF($K19="","",$K19),IFERROR(IF([1]财务取数接口!$D$18=0,"",[1]财务取数接口!$D$18),""))</f>
        <v/>
      </c>
      <c r="E19" s="89" t="str">
        <f>IF($T$4=0,IF($L19="","",$L19),IFERROR(IF([1]财务取数接口!$E$18=0,"",[1]财务取数接口!$E$18),""))</f>
        <v>个</v>
      </c>
      <c r="F19" s="76" t="str">
        <f>IF($T$4=0,IF($M19="","",$M19),IFERROR(IF([1]财务取数接口!$G$18=0,"",[1]财务取数接口!$G$18),""))</f>
        <v/>
      </c>
      <c r="G19" s="76" t="str">
        <f>IF($T$4=0,IF($N19="","",$N19),IFERROR(IF([1]财务取数接口!$H$18=0,"",[1]财务取数接口!$H$18),""))</f>
        <v/>
      </c>
      <c r="H19" s="75" t="str">
        <f>IF($T$4=0,IF($O19="","",$O19),IFERROR(IF([1]财务取数接口!$I$18=0,"",[1]财务取数接口!$I$18),""))</f>
        <v/>
      </c>
      <c r="I19" s="43"/>
      <c r="J19" s="106"/>
      <c r="K19" s="43"/>
      <c r="L19" s="43"/>
      <c r="M19" s="107"/>
      <c r="N19" s="107"/>
      <c r="O19" s="106"/>
      <c r="P19" s="139">
        <f t="shared" si="0"/>
        <v>0</v>
      </c>
      <c r="Q19" s="139">
        <f t="shared" si="1"/>
        <v>0</v>
      </c>
    </row>
    <row r="20" spans="1:17">
      <c r="A20" s="74">
        <v>19</v>
      </c>
      <c r="B20" s="138" t="str">
        <f>IF($T$4=0,IF($I20="","",$I20),IFERROR(IF([1]财务取数接口!$B$19=0,"",[1]财务取数接口!$B$19),""))</f>
        <v/>
      </c>
      <c r="C20" s="75" t="str">
        <f>IF($T$4=0,IF($J20="","",$J20),IFERROR(IF([1]财务取数接口!$C$19=0,"",[1]财务取数接口!$C$19),""))</f>
        <v>筐子销售</v>
      </c>
      <c r="D20" s="89" t="str">
        <f>IF($T$4=0,IF($K20="","",$K20),IFERROR(IF([1]财务取数接口!$D$19=0,"",[1]财务取数接口!$D$19),""))</f>
        <v/>
      </c>
      <c r="E20" s="89" t="str">
        <f>IF($T$4=0,IF($L20="","",$L20),IFERROR(IF([1]财务取数接口!$E$19=0,"",[1]财务取数接口!$E$19),""))</f>
        <v>个</v>
      </c>
      <c r="F20" s="76" t="str">
        <f>IF($T$4=0,IF($M20="","",$M20),IFERROR(IF([1]财务取数接口!$G$19=0,"",[1]财务取数接口!$G$19),""))</f>
        <v/>
      </c>
      <c r="G20" s="76" t="str">
        <f>IF($T$4=0,IF($N20="","",$N20),IFERROR(IF([1]财务取数接口!$H$19=0,"",[1]财务取数接口!$H$19),""))</f>
        <v/>
      </c>
      <c r="H20" s="75" t="str">
        <f>IF($T$4=0,IF($O20="","",$O20),IFERROR(IF([1]财务取数接口!$I$19=0,"",[1]财务取数接口!$I$19),""))</f>
        <v/>
      </c>
      <c r="I20" s="43"/>
      <c r="J20" s="106"/>
      <c r="K20" s="43"/>
      <c r="L20" s="43"/>
      <c r="M20" s="107"/>
      <c r="N20" s="107"/>
      <c r="O20" s="106"/>
      <c r="P20" s="139">
        <f t="shared" si="0"/>
        <v>0</v>
      </c>
      <c r="Q20" s="139">
        <f t="shared" si="1"/>
        <v>0</v>
      </c>
    </row>
    <row r="21" spans="1:17">
      <c r="A21" s="74">
        <v>20</v>
      </c>
      <c r="B21" s="138" t="str">
        <f>IF($T$4=0,IF($I21="","",$I21),IFERROR(IF([1]财务取数接口!$B$20=0,"",[1]财务取数接口!$B$20),""))</f>
        <v/>
      </c>
      <c r="C21" s="75" t="str">
        <f>IF($T$4=0,IF($J21="","",$J21),IFERROR(IF([1]财务取数接口!$C$20=0,"",[1]财务取数接口!$C$20),""))</f>
        <v>筐子销售</v>
      </c>
      <c r="D21" s="89" t="str">
        <f>IF($T$4=0,IF($K21="","",$K21),IFERROR(IF([1]财务取数接口!$D$20=0,"",[1]财务取数接口!$D$20),""))</f>
        <v/>
      </c>
      <c r="E21" s="89" t="str">
        <f>IF($T$4=0,IF($L21="","",$L21),IFERROR(IF([1]财务取数接口!$E$20=0,"",[1]财务取数接口!$E$20),""))</f>
        <v>个</v>
      </c>
      <c r="F21" s="76" t="str">
        <f>IF($T$4=0,IF($M21="","",$M21),IFERROR(IF([1]财务取数接口!$G$20=0,"",[1]财务取数接口!$G$20),""))</f>
        <v/>
      </c>
      <c r="G21" s="76" t="str">
        <f>IF($T$4=0,IF($N21="","",$N21),IFERROR(IF([1]财务取数接口!$H$20=0,"",[1]财务取数接口!$H$20),""))</f>
        <v/>
      </c>
      <c r="H21" s="75" t="str">
        <f>IF($T$4=0,IF($O21="","",$O21),IFERROR(IF([1]财务取数接口!$I$20=0,"",[1]财务取数接口!$I$20),""))</f>
        <v/>
      </c>
      <c r="I21" s="43"/>
      <c r="J21" s="106"/>
      <c r="K21" s="43"/>
      <c r="L21" s="43"/>
      <c r="M21" s="107"/>
      <c r="N21" s="107"/>
      <c r="O21" s="106"/>
      <c r="P21" s="139">
        <f t="shared" si="0"/>
        <v>0</v>
      </c>
      <c r="Q21" s="139">
        <f t="shared" si="1"/>
        <v>0</v>
      </c>
    </row>
    <row r="22" spans="1:17">
      <c r="A22" s="74">
        <v>21</v>
      </c>
      <c r="B22" s="138" t="str">
        <f>IF($T$4=0,IF($I22="","",$I22),IFERROR(IF([1]财务取数接口!$B$21=0,"",[1]财务取数接口!$B$21),""))</f>
        <v/>
      </c>
      <c r="C22" s="75" t="str">
        <f>IF($T$4=0,IF($J22="","",$J22),IFERROR(IF([1]财务取数接口!$C$21=0,"",[1]财务取数接口!$C$21),""))</f>
        <v>筐子销售</v>
      </c>
      <c r="D22" s="89" t="str">
        <f>IF($T$4=0,IF($K22="","",$K22),IFERROR(IF([1]财务取数接口!$D$21=0,"",[1]财务取数接口!$D$21),""))</f>
        <v/>
      </c>
      <c r="E22" s="89" t="str">
        <f>IF($T$4=0,IF($L22="","",$L22),IFERROR(IF([1]财务取数接口!$E$21=0,"",[1]财务取数接口!$E$21),""))</f>
        <v>个</v>
      </c>
      <c r="F22" s="76" t="str">
        <f>IF($T$4=0,IF($M22="","",$M22),IFERROR(IF([1]财务取数接口!$G$21=0,"",[1]财务取数接口!$G$21),""))</f>
        <v/>
      </c>
      <c r="G22" s="76" t="str">
        <f>IF($T$4=0,IF($N22="","",$N22),IFERROR(IF([1]财务取数接口!$H$21=0,"",[1]财务取数接口!$H$21),""))</f>
        <v/>
      </c>
      <c r="H22" s="75" t="str">
        <f>IF($T$4=0,IF($O22="","",$O22),IFERROR(IF([1]财务取数接口!$I$21=0,"",[1]财务取数接口!$I$21),""))</f>
        <v/>
      </c>
      <c r="I22" s="43"/>
      <c r="J22" s="106"/>
      <c r="K22" s="43"/>
      <c r="L22" s="43"/>
      <c r="M22" s="107"/>
      <c r="N22" s="107"/>
      <c r="O22" s="106"/>
      <c r="P22" s="139">
        <f t="shared" si="0"/>
        <v>0</v>
      </c>
      <c r="Q22" s="139">
        <f t="shared" si="1"/>
        <v>0</v>
      </c>
    </row>
    <row r="23" spans="1:17">
      <c r="A23" s="74">
        <v>22</v>
      </c>
      <c r="B23" s="138" t="str">
        <f>IF($T$4=0,IF($I23="","",$I23),IFERROR(IF([1]财务取数接口!$B$22=0,"",[1]财务取数接口!$B$22),""))</f>
        <v/>
      </c>
      <c r="C23" s="75" t="str">
        <f>IF($T$4=0,IF($J23="","",$J23),IFERROR(IF([1]财务取数接口!$C$22=0,"",[1]财务取数接口!$C$22),""))</f>
        <v>筐子销售</v>
      </c>
      <c r="D23" s="89" t="str">
        <f>IF($T$4=0,IF($K23="","",$K23),IFERROR(IF([1]财务取数接口!$D$22=0,"",[1]财务取数接口!$D$22),""))</f>
        <v/>
      </c>
      <c r="E23" s="89" t="str">
        <f>IF($T$4=0,IF($L23="","",$L23),IFERROR(IF([1]财务取数接口!$E$22=0,"",[1]财务取数接口!$E$22),""))</f>
        <v>个</v>
      </c>
      <c r="F23" s="76" t="str">
        <f>IF($T$4=0,IF($M23="","",$M23),IFERROR(IF([1]财务取数接口!$G$22=0,"",[1]财务取数接口!$G$22),""))</f>
        <v/>
      </c>
      <c r="G23" s="76" t="str">
        <f>IF($T$4=0,IF($N23="","",$N23),IFERROR(IF([1]财务取数接口!$H$22=0,"",[1]财务取数接口!$H$22),""))</f>
        <v/>
      </c>
      <c r="H23" s="75" t="str">
        <f>IF($T$4=0,IF($O23="","",$O23),IFERROR(IF([1]财务取数接口!$I$22=0,"",[1]财务取数接口!$I$22),""))</f>
        <v/>
      </c>
      <c r="I23" s="43"/>
      <c r="J23" s="106"/>
      <c r="K23" s="43"/>
      <c r="L23" s="43"/>
      <c r="M23" s="107"/>
      <c r="N23" s="107"/>
      <c r="O23" s="106"/>
      <c r="P23" s="139">
        <f t="shared" si="0"/>
        <v>0</v>
      </c>
      <c r="Q23" s="139">
        <f t="shared" si="1"/>
        <v>0</v>
      </c>
    </row>
    <row r="24" spans="1:17">
      <c r="A24" s="74">
        <v>23</v>
      </c>
      <c r="B24" s="138" t="str">
        <f>IF($T$4=0,IF($I24="","",$I24),IFERROR(IF([1]财务取数接口!$B$23=0,"",[1]财务取数接口!$B$23),""))</f>
        <v/>
      </c>
      <c r="C24" s="75" t="str">
        <f>IF($T$4=0,IF($J24="","",$J24),IFERROR(IF([1]财务取数接口!$C$23=0,"",[1]财务取数接口!$C$23),""))</f>
        <v>筐子销售</v>
      </c>
      <c r="D24" s="89" t="str">
        <f>IF($T$4=0,IF($K24="","",$K24),IFERROR(IF([1]财务取数接口!$D$23=0,"",[1]财务取数接口!$D$23),""))</f>
        <v/>
      </c>
      <c r="E24" s="89" t="str">
        <f>IF($T$4=0,IF($L24="","",$L24),IFERROR(IF([1]财务取数接口!$E$23=0,"",[1]财务取数接口!$E$23),""))</f>
        <v>个</v>
      </c>
      <c r="F24" s="76" t="str">
        <f>IF($T$4=0,IF($M24="","",$M24),IFERROR(IF([1]财务取数接口!$G$23=0,"",[1]财务取数接口!$G$23),""))</f>
        <v/>
      </c>
      <c r="G24" s="76" t="str">
        <f>IF($T$4=0,IF($N24="","",$N24),IFERROR(IF([1]财务取数接口!$H$23=0,"",[1]财务取数接口!$H$23),""))</f>
        <v/>
      </c>
      <c r="H24" s="75" t="str">
        <f>IF($T$4=0,IF($O24="","",$O24),IFERROR(IF([1]财务取数接口!$I$23=0,"",[1]财务取数接口!$I$23),""))</f>
        <v/>
      </c>
      <c r="I24" s="43"/>
      <c r="J24" s="106"/>
      <c r="K24" s="43"/>
      <c r="L24" s="43"/>
      <c r="M24" s="107"/>
      <c r="N24" s="107"/>
      <c r="O24" s="106"/>
      <c r="P24" s="139">
        <f t="shared" si="0"/>
        <v>0</v>
      </c>
      <c r="Q24" s="139">
        <f t="shared" si="1"/>
        <v>0</v>
      </c>
    </row>
    <row r="25" spans="1:17">
      <c r="A25" s="74">
        <v>24</v>
      </c>
      <c r="B25" s="138" t="str">
        <f>IF($T$4=0,IF($I25="","",$I25),IFERROR(IF([1]财务取数接口!$B$24=0,"",[1]财务取数接口!$B$24),""))</f>
        <v/>
      </c>
      <c r="C25" s="75" t="str">
        <f>IF($T$4=0,IF($J25="","",$J25),IFERROR(IF([1]财务取数接口!$C$24=0,"",[1]财务取数接口!$C$24),""))</f>
        <v>筐子销售</v>
      </c>
      <c r="D25" s="89" t="str">
        <f>IF($T$4=0,IF($K25="","",$K25),IFERROR(IF([1]财务取数接口!$D$24=0,"",[1]财务取数接口!$D$24),""))</f>
        <v/>
      </c>
      <c r="E25" s="89" t="str">
        <f>IF($T$4=0,IF($L25="","",$L25),IFERROR(IF([1]财务取数接口!$E$24=0,"",[1]财务取数接口!$E$24),""))</f>
        <v>个</v>
      </c>
      <c r="F25" s="76" t="str">
        <f>IF($T$4=0,IF($M25="","",$M25),IFERROR(IF([1]财务取数接口!$G$24=0,"",[1]财务取数接口!$G$24),""))</f>
        <v/>
      </c>
      <c r="G25" s="76" t="str">
        <f>IF($T$4=0,IF($N25="","",$N25),IFERROR(IF([1]财务取数接口!$H$24=0,"",[1]财务取数接口!$H$24),""))</f>
        <v/>
      </c>
      <c r="H25" s="75" t="str">
        <f>IF($T$4=0,IF($O25="","",$O25),IFERROR(IF([1]财务取数接口!$I$24=0,"",[1]财务取数接口!$I$24),""))</f>
        <v/>
      </c>
      <c r="I25" s="43"/>
      <c r="J25" s="106"/>
      <c r="K25" s="43"/>
      <c r="L25" s="43"/>
      <c r="M25" s="107"/>
      <c r="N25" s="107"/>
      <c r="O25" s="106"/>
      <c r="P25" s="139">
        <f t="shared" si="0"/>
        <v>0</v>
      </c>
      <c r="Q25" s="139">
        <f t="shared" si="1"/>
        <v>0</v>
      </c>
    </row>
    <row r="26" spans="1:17">
      <c r="A26" s="74">
        <v>25</v>
      </c>
      <c r="B26" s="138" t="str">
        <f>IF($T$4=0,IF($I26="","",$I26),IFERROR(IF([1]财务取数接口!$B$25=0,"",[1]财务取数接口!$B$25),""))</f>
        <v/>
      </c>
      <c r="C26" s="75" t="str">
        <f>IF($T$4=0,IF($J26="","",$J26),IFERROR(IF([1]财务取数接口!$C$25=0,"",[1]财务取数接口!$C$25),""))</f>
        <v>筐子销售</v>
      </c>
      <c r="D26" s="89" t="str">
        <f>IF($T$4=0,IF($K26="","",$K26),IFERROR(IF([1]财务取数接口!$D$25=0,"",[1]财务取数接口!$D$25),""))</f>
        <v/>
      </c>
      <c r="E26" s="89" t="str">
        <f>IF($T$4=0,IF($L26="","",$L26),IFERROR(IF([1]财务取数接口!$E$25=0,"",[1]财务取数接口!$E$25),""))</f>
        <v>个</v>
      </c>
      <c r="F26" s="76" t="str">
        <f>IF($T$4=0,IF($M26="","",$M26),IFERROR(IF([1]财务取数接口!$G$25=0,"",[1]财务取数接口!$G$25),""))</f>
        <v/>
      </c>
      <c r="G26" s="76" t="str">
        <f>IF($T$4=0,IF($N26="","",$N26),IFERROR(IF([1]财务取数接口!$H$25=0,"",[1]财务取数接口!$H$25),""))</f>
        <v/>
      </c>
      <c r="H26" s="75" t="str">
        <f>IF($T$4=0,IF($O26="","",$O26),IFERROR(IF([1]财务取数接口!$I$25=0,"",[1]财务取数接口!$I$25),""))</f>
        <v/>
      </c>
      <c r="I26" s="43"/>
      <c r="J26" s="106"/>
      <c r="K26" s="43"/>
      <c r="L26" s="43"/>
      <c r="M26" s="107"/>
      <c r="N26" s="107"/>
      <c r="O26" s="106"/>
      <c r="P26" s="139">
        <f t="shared" si="0"/>
        <v>0</v>
      </c>
      <c r="Q26" s="139">
        <f t="shared" si="1"/>
        <v>0</v>
      </c>
    </row>
    <row r="27" spans="1:17">
      <c r="A27" s="74">
        <v>26</v>
      </c>
      <c r="B27" s="138" t="str">
        <f>IF($T$4=0,IF($I27="","",$I27),IFERROR(IF([1]财务取数接口!$B$26=0,"",[1]财务取数接口!$B$26),""))</f>
        <v/>
      </c>
      <c r="C27" s="75" t="str">
        <f>IF($T$4=0,IF($J27="","",$J27),IFERROR(IF([1]财务取数接口!$C$26=0,"",[1]财务取数接口!$C$26),""))</f>
        <v>筐子销售</v>
      </c>
      <c r="D27" s="89" t="str">
        <f>IF($T$4=0,IF($K27="","",$K27),IFERROR(IF([1]财务取数接口!$D$26=0,"",[1]财务取数接口!$D$26),""))</f>
        <v/>
      </c>
      <c r="E27" s="89" t="str">
        <f>IF($T$4=0,IF($L27="","",$L27),IFERROR(IF([1]财务取数接口!$E$26=0,"",[1]财务取数接口!$E$26),""))</f>
        <v>个</v>
      </c>
      <c r="F27" s="76" t="str">
        <f>IF($T$4=0,IF($M27="","",$M27),IFERROR(IF([1]财务取数接口!$G$26=0,"",[1]财务取数接口!$G$26),""))</f>
        <v/>
      </c>
      <c r="G27" s="76" t="str">
        <f>IF($T$4=0,IF($N27="","",$N27),IFERROR(IF([1]财务取数接口!$H$26=0,"",[1]财务取数接口!$H$26),""))</f>
        <v/>
      </c>
      <c r="H27" s="75" t="str">
        <f>IF($T$4=0,IF($O27="","",$O27),IFERROR(IF([1]财务取数接口!$I$26=0,"",[1]财务取数接口!$I$26),""))</f>
        <v/>
      </c>
      <c r="I27" s="43"/>
      <c r="J27" s="106"/>
      <c r="K27" s="43"/>
      <c r="L27" s="43"/>
      <c r="M27" s="107"/>
      <c r="N27" s="107"/>
      <c r="O27" s="106"/>
      <c r="P27" s="139">
        <f t="shared" si="0"/>
        <v>0</v>
      </c>
      <c r="Q27" s="139">
        <f t="shared" si="1"/>
        <v>0</v>
      </c>
    </row>
    <row r="28" spans="1:17">
      <c r="A28" s="74">
        <v>27</v>
      </c>
      <c r="B28" s="138" t="str">
        <f>IF($T$4=0,IF($I28="","",$I28),IFERROR(IF([1]财务取数接口!$B$27=0,"",[1]财务取数接口!$B$27),""))</f>
        <v/>
      </c>
      <c r="C28" s="75" t="str">
        <f>IF($T$4=0,IF($J28="","",$J28),IFERROR(IF([1]财务取数接口!$C$27=0,"",[1]财务取数接口!$C$27),""))</f>
        <v>筐子销售</v>
      </c>
      <c r="D28" s="89" t="str">
        <f>IF($T$4=0,IF($K28="","",$K28),IFERROR(IF([1]财务取数接口!$D$27=0,"",[1]财务取数接口!$D$27),""))</f>
        <v/>
      </c>
      <c r="E28" s="89" t="str">
        <f>IF($T$4=0,IF($L28="","",$L28),IFERROR(IF([1]财务取数接口!$E$27=0,"",[1]财务取数接口!$E$27),""))</f>
        <v>个</v>
      </c>
      <c r="F28" s="76" t="str">
        <f>IF($T$4=0,IF($M28="","",$M28),IFERROR(IF([1]财务取数接口!$G$27=0,"",[1]财务取数接口!$G$27),""))</f>
        <v/>
      </c>
      <c r="G28" s="76" t="str">
        <f>IF($T$4=0,IF($N28="","",$N28),IFERROR(IF([1]财务取数接口!$H$27=0,"",[1]财务取数接口!$H$27),""))</f>
        <v/>
      </c>
      <c r="H28" s="75" t="str">
        <f>IF($T$4=0,IF($O28="","",$O28),IFERROR(IF([1]财务取数接口!$I$27=0,"",[1]财务取数接口!$I$27),""))</f>
        <v/>
      </c>
      <c r="I28" s="43"/>
      <c r="J28" s="106"/>
      <c r="K28" s="43"/>
      <c r="L28" s="43"/>
      <c r="M28" s="107"/>
      <c r="N28" s="107"/>
      <c r="O28" s="106"/>
      <c r="P28" s="139">
        <f t="shared" si="0"/>
        <v>0</v>
      </c>
      <c r="Q28" s="139">
        <f t="shared" si="1"/>
        <v>0</v>
      </c>
    </row>
    <row r="29" spans="1:17">
      <c r="A29" s="74">
        <v>28</v>
      </c>
      <c r="B29" s="138" t="str">
        <f>IF($T$4=0,IF($I29="","",$I29),IFERROR(IF([1]财务取数接口!$B$28=0,"",[1]财务取数接口!$B$28),""))</f>
        <v/>
      </c>
      <c r="C29" s="75" t="str">
        <f>IF($T$4=0,IF($J29="","",$J29),IFERROR(IF([1]财务取数接口!$C$28=0,"",[1]财务取数接口!$C$28),""))</f>
        <v>物料销售</v>
      </c>
      <c r="D29" s="89" t="str">
        <f>IF($T$4=0,IF($K29="","",$K29),IFERROR(IF([1]财务取数接口!$D$28=0,"",[1]财务取数接口!$D$28),""))</f>
        <v/>
      </c>
      <c r="E29" s="89" t="str">
        <f>IF($T$4=0,IF($L29="","",$L29),IFERROR(IF([1]财务取数接口!$E$28=0,"",[1]财务取数接口!$E$28),""))</f>
        <v>包</v>
      </c>
      <c r="F29" s="76" t="str">
        <f>IF($T$4=0,IF($M29="","",$M29),IFERROR(IF([1]财务取数接口!$G$28=0,"",[1]财务取数接口!$G$28),""))</f>
        <v/>
      </c>
      <c r="G29" s="76" t="str">
        <f>IF($T$4=0,IF($N29="","",$N29),IFERROR(IF([1]财务取数接口!$H$28=0,"",[1]财务取数接口!$H$28),""))</f>
        <v/>
      </c>
      <c r="H29" s="75" t="str">
        <f>IF($T$4=0,IF($O29="","",$O29),IFERROR(IF([1]财务取数接口!$I$28=0,"",[1]财务取数接口!$I$28),""))</f>
        <v/>
      </c>
      <c r="I29" s="43"/>
      <c r="J29" s="106"/>
      <c r="K29" s="43"/>
      <c r="L29" s="43"/>
      <c r="M29" s="107"/>
      <c r="N29" s="107"/>
      <c r="O29" s="106"/>
      <c r="P29" s="139">
        <f t="shared" si="0"/>
        <v>0</v>
      </c>
      <c r="Q29" s="139">
        <f t="shared" si="1"/>
        <v>0</v>
      </c>
    </row>
    <row r="30" spans="1:17">
      <c r="A30" s="74">
        <v>29</v>
      </c>
      <c r="B30" s="138" t="str">
        <f>IF($T$4=0,IF($I30="","",$I30),IFERROR(IF([1]财务取数接口!$B$29=0,"",[1]财务取数接口!$B$29),""))</f>
        <v/>
      </c>
      <c r="C30" s="75" t="str">
        <f>IF($T$4=0,IF($J30="","",$J30),IFERROR(IF([1]财务取数接口!$C$29=0,"",[1]财务取数接口!$C$29),""))</f>
        <v>物料销售</v>
      </c>
      <c r="D30" s="89" t="str">
        <f>IF($T$4=0,IF($K30="","",$K30),IFERROR(IF([1]财务取数接口!$D$29=0,"",[1]财务取数接口!$D$29),""))</f>
        <v/>
      </c>
      <c r="E30" s="89" t="str">
        <f>IF($T$4=0,IF($L30="","",$L30),IFERROR(IF([1]财务取数接口!$E$29=0,"",[1]财务取数接口!$E$29),""))</f>
        <v>包</v>
      </c>
      <c r="F30" s="76" t="str">
        <f>IF($T$4=0,IF($M30="","",$M30),IFERROR(IF([1]财务取数接口!$G$29=0,"",[1]财务取数接口!$G$29),""))</f>
        <v/>
      </c>
      <c r="G30" s="76" t="str">
        <f>IF($T$4=0,IF($N30="","",$N30),IFERROR(IF([1]财务取数接口!$H$29=0,"",[1]财务取数接口!$H$29),""))</f>
        <v/>
      </c>
      <c r="H30" s="75" t="str">
        <f>IF($T$4=0,IF($O30="","",$O30),IFERROR(IF([1]财务取数接口!$I$29=0,"",[1]财务取数接口!$I$29),""))</f>
        <v/>
      </c>
      <c r="I30" s="43"/>
      <c r="J30" s="106"/>
      <c r="K30" s="43"/>
      <c r="L30" s="43"/>
      <c r="M30" s="107"/>
      <c r="N30" s="107"/>
      <c r="O30" s="106"/>
      <c r="P30" s="139">
        <f t="shared" si="0"/>
        <v>0</v>
      </c>
      <c r="Q30" s="139">
        <f t="shared" si="1"/>
        <v>0</v>
      </c>
    </row>
    <row r="31" spans="1:17">
      <c r="A31" s="74">
        <v>30</v>
      </c>
      <c r="B31" s="138" t="str">
        <f>IF($T$4=0,IF($I31="","",$I31),IFERROR(IF([1]财务取数接口!$B$30=0,"",[1]财务取数接口!$B$30),""))</f>
        <v/>
      </c>
      <c r="C31" s="75" t="str">
        <f>IF($T$4=0,IF($J31="","",$J31),IFERROR(IF([1]财务取数接口!$C$30=0,"",[1]财务取数接口!$C$30),""))</f>
        <v>物料销售</v>
      </c>
      <c r="D31" s="89" t="str">
        <f>IF($T$4=0,IF($K31="","",$K31),IFERROR(IF([1]财务取数接口!$D$30=0,"",[1]财务取数接口!$D$30),""))</f>
        <v/>
      </c>
      <c r="E31" s="89" t="str">
        <f>IF($T$4=0,IF($L31="","",$L31),IFERROR(IF([1]财务取数接口!$E$30=0,"",[1]财务取数接口!$E$30),""))</f>
        <v>包</v>
      </c>
      <c r="F31" s="76" t="str">
        <f>IF($T$4=0,IF($M31="","",$M31),IFERROR(IF([1]财务取数接口!$G$30=0,"",[1]财务取数接口!$G$30),""))</f>
        <v/>
      </c>
      <c r="G31" s="76" t="str">
        <f>IF($T$4=0,IF($N31="","",$N31),IFERROR(IF([1]财务取数接口!$H$30=0,"",[1]财务取数接口!$H$30),""))</f>
        <v/>
      </c>
      <c r="H31" s="75" t="str">
        <f>IF($T$4=0,IF($O31="","",$O31),IFERROR(IF([1]财务取数接口!$I$30=0,"",[1]财务取数接口!$I$30),""))</f>
        <v/>
      </c>
      <c r="I31" s="43"/>
      <c r="J31" s="106"/>
      <c r="K31" s="43"/>
      <c r="L31" s="43"/>
      <c r="M31" s="107"/>
      <c r="N31" s="107"/>
      <c r="O31" s="106"/>
      <c r="P31" s="139">
        <f t="shared" si="0"/>
        <v>0</v>
      </c>
      <c r="Q31" s="139">
        <f t="shared" si="1"/>
        <v>0</v>
      </c>
    </row>
    <row r="32" spans="1:17">
      <c r="A32" s="74">
        <v>31</v>
      </c>
      <c r="B32" s="138" t="str">
        <f>IF($T$4=0,IF($I32="","",$I32),IFERROR(IF([1]财务取数接口!$B$31=0,"",[1]财务取数接口!$B$31),""))</f>
        <v/>
      </c>
      <c r="C32" s="75" t="str">
        <f>IF($T$4=0,IF($J32="","",$J32),IFERROR(IF([1]财务取数接口!$C$31=0,"",[1]财务取数接口!$C$31),""))</f>
        <v>物料销售</v>
      </c>
      <c r="D32" s="89" t="str">
        <f>IF($T$4=0,IF($K32="","",$K32),IFERROR(IF([1]财务取数接口!$D$31=0,"",[1]财务取数接口!$D$31),""))</f>
        <v/>
      </c>
      <c r="E32" s="89" t="str">
        <f>IF($T$4=0,IF($L32="","",$L32),IFERROR(IF([1]财务取数接口!$E$31=0,"",[1]财务取数接口!$E$31),""))</f>
        <v>包</v>
      </c>
      <c r="F32" s="76" t="str">
        <f>IF($T$4=0,IF($M32="","",$M32),IFERROR(IF([1]财务取数接口!$G$31=0,"",[1]财务取数接口!$G$31),""))</f>
        <v/>
      </c>
      <c r="G32" s="76" t="str">
        <f>IF($T$4=0,IF($N32="","",$N32),IFERROR(IF([1]财务取数接口!$H$31=0,"",[1]财务取数接口!$H$31),""))</f>
        <v/>
      </c>
      <c r="H32" s="75" t="str">
        <f>IF($T$4=0,IF($O32="","",$O32),IFERROR(IF([1]财务取数接口!$I$31=0,"",[1]财务取数接口!$I$31),""))</f>
        <v/>
      </c>
      <c r="I32" s="43"/>
      <c r="J32" s="106"/>
      <c r="K32" s="43"/>
      <c r="L32" s="43"/>
      <c r="M32" s="107"/>
      <c r="N32" s="107"/>
      <c r="O32" s="106"/>
      <c r="P32" s="139">
        <f t="shared" si="0"/>
        <v>0</v>
      </c>
      <c r="Q32" s="139">
        <f t="shared" si="1"/>
        <v>0</v>
      </c>
    </row>
    <row r="33" spans="1:17">
      <c r="A33" s="74">
        <v>32</v>
      </c>
      <c r="B33" s="138" t="str">
        <f>IF($T$4=0,IF($I33="","",$I33),IFERROR(IF([1]财务取数接口!$B$32=0,"",[1]财务取数接口!$B$32),""))</f>
        <v/>
      </c>
      <c r="C33" s="75" t="str">
        <f>IF($T$4=0,IF($J33="","",$J33),IFERROR(IF([1]财务取数接口!$C$32=0,"",[1]财务取数接口!$C$32),""))</f>
        <v>物料销售</v>
      </c>
      <c r="D33" s="89" t="str">
        <f>IF($T$4=0,IF($K33="","",$K33),IFERROR(IF([1]财务取数接口!$D$32=0,"",[1]财务取数接口!$D$32),""))</f>
        <v/>
      </c>
      <c r="E33" s="89" t="str">
        <f>IF($T$4=0,IF($L33="","",$L33),IFERROR(IF([1]财务取数接口!$E$32=0,"",[1]财务取数接口!$E$32),""))</f>
        <v>包</v>
      </c>
      <c r="F33" s="76" t="str">
        <f>IF($T$4=0,IF($M33="","",$M33),IFERROR(IF([1]财务取数接口!$G$32=0,"",[1]财务取数接口!$G$32),""))</f>
        <v/>
      </c>
      <c r="G33" s="76" t="str">
        <f>IF($T$4=0,IF($N33="","",$N33),IFERROR(IF([1]财务取数接口!$H$32=0,"",[1]财务取数接口!$H$32),""))</f>
        <v/>
      </c>
      <c r="H33" s="75" t="str">
        <f>IF($T$4=0,IF($O33="","",$O33),IFERROR(IF([1]财务取数接口!$I$32=0,"",[1]财务取数接口!$I$32),""))</f>
        <v/>
      </c>
      <c r="I33" s="43"/>
      <c r="J33" s="106"/>
      <c r="K33" s="43"/>
      <c r="L33" s="43"/>
      <c r="M33" s="107"/>
      <c r="N33" s="107"/>
      <c r="O33" s="106"/>
      <c r="P33" s="139">
        <f t="shared" si="0"/>
        <v>0</v>
      </c>
      <c r="Q33" s="139">
        <f t="shared" si="1"/>
        <v>0</v>
      </c>
    </row>
    <row r="34" spans="1:17">
      <c r="A34" s="74">
        <v>33</v>
      </c>
      <c r="B34" s="138" t="str">
        <f>IF($T$4=0,IF($I34="","",$I34),IFERROR(IF([1]财务取数接口!$B$33=0,"",[1]财务取数接口!$B$33),""))</f>
        <v/>
      </c>
      <c r="C34" s="75" t="str">
        <f>IF($T$4=0,IF($J34="","",$J34),IFERROR(IF([1]财务取数接口!$C$33=0,"",[1]财务取数接口!$C$33),""))</f>
        <v>物料销售</v>
      </c>
      <c r="D34" s="89" t="str">
        <f>IF($T$4=0,IF($K34="","",$K34),IFERROR(IF([1]财务取数接口!$D$33=0,"",[1]财务取数接口!$D$33),""))</f>
        <v/>
      </c>
      <c r="E34" s="89" t="str">
        <f>IF($T$4=0,IF($L34="","",$L34),IFERROR(IF([1]财务取数接口!$E$33=0,"",[1]财务取数接口!$E$33),""))</f>
        <v>包</v>
      </c>
      <c r="F34" s="76" t="str">
        <f>IF($T$4=0,IF($M34="","",$M34),IFERROR(IF([1]财务取数接口!$G$33=0,"",[1]财务取数接口!$G$33),""))</f>
        <v/>
      </c>
      <c r="G34" s="76" t="str">
        <f>IF($T$4=0,IF($N34="","",$N34),IFERROR(IF([1]财务取数接口!$H$33=0,"",[1]财务取数接口!$H$33),""))</f>
        <v/>
      </c>
      <c r="H34" s="75" t="str">
        <f>IF($T$4=0,IF($O34="","",$O34),IFERROR(IF([1]财务取数接口!$I$33=0,"",[1]财务取数接口!$I$33),""))</f>
        <v/>
      </c>
      <c r="I34" s="43"/>
      <c r="J34" s="106"/>
      <c r="K34" s="43"/>
      <c r="L34" s="43"/>
      <c r="M34" s="107"/>
      <c r="N34" s="107"/>
      <c r="O34" s="106"/>
      <c r="P34" s="139">
        <f t="shared" si="0"/>
        <v>0</v>
      </c>
      <c r="Q34" s="139">
        <f t="shared" si="1"/>
        <v>0</v>
      </c>
    </row>
    <row r="35" spans="1:17">
      <c r="A35" s="74">
        <v>34</v>
      </c>
      <c r="B35" s="138" t="str">
        <f>IF($T$4=0,IF($I35="","",$I35),IFERROR(IF([1]财务取数接口!$B$34=0,"",[1]财务取数接口!$B$34),""))</f>
        <v/>
      </c>
      <c r="C35" s="75" t="str">
        <f>IF($T$4=0,IF($J35="","",$J35),IFERROR(IF([1]财务取数接口!$C$34=0,"",[1]财务取数接口!$C$34),""))</f>
        <v>物料销售</v>
      </c>
      <c r="D35" s="89" t="str">
        <f>IF($T$4=0,IF($K35="","",$K35),IFERROR(IF([1]财务取数接口!$D$34=0,"",[1]财务取数接口!$D$34),""))</f>
        <v/>
      </c>
      <c r="E35" s="89" t="str">
        <f>IF($T$4=0,IF($L35="","",$L35),IFERROR(IF([1]财务取数接口!$E$34=0,"",[1]财务取数接口!$E$34),""))</f>
        <v>包</v>
      </c>
      <c r="F35" s="76" t="str">
        <f>IF($T$4=0,IF($M35="","",$M35),IFERROR(IF([1]财务取数接口!$G$34=0,"",[1]财务取数接口!$G$34),""))</f>
        <v/>
      </c>
      <c r="G35" s="76" t="str">
        <f>IF($T$4=0,IF($N35="","",$N35),IFERROR(IF([1]财务取数接口!$H$34=0,"",[1]财务取数接口!$H$34),""))</f>
        <v/>
      </c>
      <c r="H35" s="75" t="str">
        <f>IF($T$4=0,IF($O35="","",$O35),IFERROR(IF([1]财务取数接口!$I$34=0,"",[1]财务取数接口!$I$34),""))</f>
        <v/>
      </c>
      <c r="I35" s="43"/>
      <c r="J35" s="106"/>
      <c r="K35" s="43"/>
      <c r="L35" s="43"/>
      <c r="M35" s="107"/>
      <c r="N35" s="107"/>
      <c r="O35" s="106"/>
      <c r="P35" s="139">
        <f t="shared" si="0"/>
        <v>0</v>
      </c>
      <c r="Q35" s="139">
        <f t="shared" si="1"/>
        <v>0</v>
      </c>
    </row>
    <row r="36" spans="1:17">
      <c r="A36" s="74">
        <v>35</v>
      </c>
      <c r="B36" s="138" t="str">
        <f>IF($T$4=0,IF($I36="","",$I36),IFERROR(IF([1]财务取数接口!$B$35=0,"",[1]财务取数接口!$B$35),""))</f>
        <v/>
      </c>
      <c r="C36" s="75" t="str">
        <f>IF($T$4=0,IF($J36="","",$J36),IFERROR(IF([1]财务取数接口!$C$35=0,"",[1]财务取数接口!$C$35),""))</f>
        <v>物料销售</v>
      </c>
      <c r="D36" s="89" t="str">
        <f>IF($T$4=0,IF($K36="","",$K36),IFERROR(IF([1]财务取数接口!$D$35=0,"",[1]财务取数接口!$D$35),""))</f>
        <v/>
      </c>
      <c r="E36" s="89" t="str">
        <f>IF($T$4=0,IF($L36="","",$L36),IFERROR(IF([1]财务取数接口!$E$35=0,"",[1]财务取数接口!$E$35),""))</f>
        <v>包</v>
      </c>
      <c r="F36" s="76" t="str">
        <f>IF($T$4=0,IF($M36="","",$M36),IFERROR(IF([1]财务取数接口!$G$35=0,"",[1]财务取数接口!$G$35),""))</f>
        <v/>
      </c>
      <c r="G36" s="76" t="str">
        <f>IF($T$4=0,IF($N36="","",$N36),IFERROR(IF([1]财务取数接口!$H$35=0,"",[1]财务取数接口!$H$35),""))</f>
        <v/>
      </c>
      <c r="H36" s="75" t="str">
        <f>IF($T$4=0,IF($O36="","",$O36),IFERROR(IF([1]财务取数接口!$I$35=0,"",[1]财务取数接口!$I$35),""))</f>
        <v/>
      </c>
      <c r="I36" s="43"/>
      <c r="J36" s="106"/>
      <c r="K36" s="43"/>
      <c r="L36" s="43"/>
      <c r="M36" s="107"/>
      <c r="N36" s="107"/>
      <c r="O36" s="106"/>
      <c r="P36" s="139">
        <f t="shared" si="0"/>
        <v>0</v>
      </c>
      <c r="Q36" s="139">
        <f t="shared" si="1"/>
        <v>0</v>
      </c>
    </row>
    <row r="37" spans="1:17">
      <c r="A37" s="74">
        <v>36</v>
      </c>
      <c r="B37" s="138" t="str">
        <f>IF($T$4=0,IF($I37="","",$I37),IFERROR(IF([1]财务取数接口!$B$36=0,"",[1]财务取数接口!$B$36),""))</f>
        <v/>
      </c>
      <c r="C37" s="75" t="str">
        <f>IF($T$4=0,IF($J37="","",$J37),IFERROR(IF([1]财务取数接口!$C$36=0,"",[1]财务取数接口!$C$36),""))</f>
        <v>物料销售</v>
      </c>
      <c r="D37" s="89" t="str">
        <f>IF($T$4=0,IF($K37="","",$K37),IFERROR(IF([1]财务取数接口!$D$36=0,"",[1]财务取数接口!$D$36),""))</f>
        <v/>
      </c>
      <c r="E37" s="89" t="str">
        <f>IF($T$4=0,IF($L37="","",$L37),IFERROR(IF([1]财务取数接口!$E$36=0,"",[1]财务取数接口!$E$36),""))</f>
        <v>包</v>
      </c>
      <c r="F37" s="76" t="str">
        <f>IF($T$4=0,IF($M37="","",$M37),IFERROR(IF([1]财务取数接口!$G$36=0,"",[1]财务取数接口!$G$36),""))</f>
        <v/>
      </c>
      <c r="G37" s="76" t="str">
        <f>IF($T$4=0,IF($N37="","",$N37),IFERROR(IF([1]财务取数接口!$H$36=0,"",[1]财务取数接口!$H$36),""))</f>
        <v/>
      </c>
      <c r="H37" s="75" t="str">
        <f>IF($T$4=0,IF($O37="","",$O37),IFERROR(IF([1]财务取数接口!$I$36=0,"",[1]财务取数接口!$I$36),""))</f>
        <v/>
      </c>
      <c r="I37" s="43"/>
      <c r="J37" s="106"/>
      <c r="K37" s="43"/>
      <c r="L37" s="43"/>
      <c r="M37" s="107"/>
      <c r="N37" s="107"/>
      <c r="O37" s="106"/>
      <c r="P37" s="139">
        <f t="shared" si="0"/>
        <v>0</v>
      </c>
      <c r="Q37" s="139">
        <f t="shared" si="1"/>
        <v>0</v>
      </c>
    </row>
    <row r="38" spans="1:17">
      <c r="A38" s="74">
        <v>37</v>
      </c>
      <c r="B38" s="138" t="str">
        <f>IF($T$4=0,IF($I38="","",$I38),IFERROR(IF([1]财务取数接口!$B$37=0,"",[1]财务取数接口!$B$37),""))</f>
        <v/>
      </c>
      <c r="C38" s="75" t="str">
        <f>IF($T$4=0,IF($J38="","",$J38),IFERROR(IF([1]财务取数接口!$C$37=0,"",[1]财务取数接口!$C$37),""))</f>
        <v>物料销售</v>
      </c>
      <c r="D38" s="89" t="str">
        <f>IF($T$4=0,IF($K38="","",$K38),IFERROR(IF([1]财务取数接口!$D$37=0,"",[1]财务取数接口!$D$37),""))</f>
        <v/>
      </c>
      <c r="E38" s="89" t="str">
        <f>IF($T$4=0,IF($L38="","",$L38),IFERROR(IF([1]财务取数接口!$E$37=0,"",[1]财务取数接口!$E$37),""))</f>
        <v>包</v>
      </c>
      <c r="F38" s="76" t="str">
        <f>IF($T$4=0,IF($M38="","",$M38),IFERROR(IF([1]财务取数接口!$G$37=0,"",[1]财务取数接口!$G$37),""))</f>
        <v/>
      </c>
      <c r="G38" s="76" t="str">
        <f>IF($T$4=0,IF($N38="","",$N38),IFERROR(IF([1]财务取数接口!$H$37=0,"",[1]财务取数接口!$H$37),""))</f>
        <v/>
      </c>
      <c r="H38" s="75" t="str">
        <f>IF($T$4=0,IF($O38="","",$O38),IFERROR(IF([1]财务取数接口!$I$37=0,"",[1]财务取数接口!$I$37),""))</f>
        <v/>
      </c>
      <c r="I38" s="43"/>
      <c r="J38" s="106"/>
      <c r="K38" s="43"/>
      <c r="L38" s="43"/>
      <c r="M38" s="107"/>
      <c r="N38" s="107"/>
      <c r="O38" s="106"/>
      <c r="P38" s="139">
        <f t="shared" si="0"/>
        <v>0</v>
      </c>
      <c r="Q38" s="139">
        <f t="shared" si="1"/>
        <v>0</v>
      </c>
    </row>
    <row r="39" spans="1:17">
      <c r="A39" s="74">
        <v>38</v>
      </c>
      <c r="B39" s="138" t="str">
        <f>IF($T$4=0,IF($I39="","",$I39),IFERROR(IF([1]财务取数接口!$B$38=0,"",[1]财务取数接口!$B$38),""))</f>
        <v/>
      </c>
      <c r="C39" s="75" t="str">
        <f>IF($T$4=0,IF($J39="","",$J39),IFERROR(IF([1]财务取数接口!$C$38=0,"",[1]财务取数接口!$C$38),""))</f>
        <v>物料销售</v>
      </c>
      <c r="D39" s="89" t="str">
        <f>IF($T$4=0,IF($K39="","",$K39),IFERROR(IF([1]财务取数接口!$D$38=0,"",[1]财务取数接口!$D$38),""))</f>
        <v/>
      </c>
      <c r="E39" s="89" t="str">
        <f>IF($T$4=0,IF($L39="","",$L39),IFERROR(IF([1]财务取数接口!$E$38=0,"",[1]财务取数接口!$E$38),""))</f>
        <v>包</v>
      </c>
      <c r="F39" s="76" t="str">
        <f>IF($T$4=0,IF($M39="","",$M39),IFERROR(IF([1]财务取数接口!$G$38=0,"",[1]财务取数接口!$G$38),""))</f>
        <v/>
      </c>
      <c r="G39" s="76" t="str">
        <f>IF($T$4=0,IF($N39="","",$N39),IFERROR(IF([1]财务取数接口!$H$38=0,"",[1]财务取数接口!$H$38),""))</f>
        <v/>
      </c>
      <c r="H39" s="75" t="str">
        <f>IF($T$4=0,IF($O39="","",$O39),IFERROR(IF([1]财务取数接口!$I$38=0,"",[1]财务取数接口!$I$38),""))</f>
        <v/>
      </c>
      <c r="I39" s="43"/>
      <c r="J39" s="106"/>
      <c r="K39" s="43"/>
      <c r="L39" s="43"/>
      <c r="M39" s="107"/>
      <c r="N39" s="107"/>
      <c r="O39" s="106"/>
      <c r="P39" s="139">
        <f t="shared" si="0"/>
        <v>0</v>
      </c>
      <c r="Q39" s="139">
        <f t="shared" si="1"/>
        <v>0</v>
      </c>
    </row>
    <row r="40" spans="1:17">
      <c r="A40" s="74">
        <v>39</v>
      </c>
      <c r="B40" s="138" t="str">
        <f>IF($T$4=0,IF($I40="","",$I40),IFERROR(IF([1]财务取数接口!$B$39=0,"",[1]财务取数接口!$B$39),""))</f>
        <v/>
      </c>
      <c r="C40" s="75" t="str">
        <f>IF($T$4=0,IF($J40="","",$J40),IFERROR(IF([1]财务取数接口!$C$39=0,"",[1]财务取数接口!$C$39),""))</f>
        <v>物料销售</v>
      </c>
      <c r="D40" s="89" t="str">
        <f>IF($T$4=0,IF($K40="","",$K40),IFERROR(IF([1]财务取数接口!$D$39=0,"",[1]财务取数接口!$D$39),""))</f>
        <v/>
      </c>
      <c r="E40" s="89" t="str">
        <f>IF($T$4=0,IF($L40="","",$L40),IFERROR(IF([1]财务取数接口!$E$39=0,"",[1]财务取数接口!$E$39),""))</f>
        <v>包</v>
      </c>
      <c r="F40" s="76" t="str">
        <f>IF($T$4=0,IF($M40="","",$M40),IFERROR(IF([1]财务取数接口!$G$39=0,"",[1]财务取数接口!$G$39),""))</f>
        <v/>
      </c>
      <c r="G40" s="76" t="str">
        <f>IF($T$4=0,IF($N40="","",$N40),IFERROR(IF([1]财务取数接口!$H$39=0,"",[1]财务取数接口!$H$39),""))</f>
        <v/>
      </c>
      <c r="H40" s="75" t="str">
        <f>IF($T$4=0,IF($O40="","",$O40),IFERROR(IF([1]财务取数接口!$I$39=0,"",[1]财务取数接口!$I$39),""))</f>
        <v/>
      </c>
      <c r="I40" s="43"/>
      <c r="J40" s="106"/>
      <c r="K40" s="43"/>
      <c r="L40" s="43"/>
      <c r="M40" s="107"/>
      <c r="N40" s="107"/>
      <c r="O40" s="106"/>
      <c r="P40" s="139">
        <f t="shared" si="0"/>
        <v>0</v>
      </c>
      <c r="Q40" s="139">
        <f t="shared" si="1"/>
        <v>0</v>
      </c>
    </row>
    <row r="41" spans="1:17">
      <c r="A41" s="74">
        <v>40</v>
      </c>
      <c r="B41" s="138" t="str">
        <f>IF($T$4=0,IF($I41="","",$I41),IFERROR(IF([1]财务取数接口!$B$40=0,"",[1]财务取数接口!$B$40),""))</f>
        <v/>
      </c>
      <c r="C41" s="75" t="str">
        <f>IF($T$4=0,IF($J41="","",$J41),IFERROR(IF([1]财务取数接口!$C$40=0,"",[1]财务取数接口!$C$40),""))</f>
        <v>物料销售</v>
      </c>
      <c r="D41" s="89" t="str">
        <f>IF($T$4=0,IF($K41="","",$K41),IFERROR(IF([1]财务取数接口!$D$40=0,"",[1]财务取数接口!$D$40),""))</f>
        <v/>
      </c>
      <c r="E41" s="89" t="str">
        <f>IF($T$4=0,IF($L41="","",$L41),IFERROR(IF([1]财务取数接口!$E$40=0,"",[1]财务取数接口!$E$40),""))</f>
        <v>包</v>
      </c>
      <c r="F41" s="76" t="str">
        <f>IF($T$4=0,IF($M41="","",$M41),IFERROR(IF([1]财务取数接口!$G$40=0,"",[1]财务取数接口!$G$40),""))</f>
        <v/>
      </c>
      <c r="G41" s="76" t="str">
        <f>IF($T$4=0,IF($N41="","",$N41),IFERROR(IF([1]财务取数接口!$H$40=0,"",[1]财务取数接口!$H$40),""))</f>
        <v/>
      </c>
      <c r="H41" s="75" t="str">
        <f>IF($T$4=0,IF($O41="","",$O41),IFERROR(IF([1]财务取数接口!$I$40=0,"",[1]财务取数接口!$I$40),""))</f>
        <v/>
      </c>
      <c r="I41" s="43"/>
      <c r="J41" s="106"/>
      <c r="K41" s="43"/>
      <c r="L41" s="43"/>
      <c r="M41" s="107"/>
      <c r="N41" s="107"/>
      <c r="O41" s="106"/>
      <c r="P41" s="139">
        <f t="shared" si="0"/>
        <v>0</v>
      </c>
      <c r="Q41" s="139">
        <f t="shared" si="1"/>
        <v>0</v>
      </c>
    </row>
    <row r="42" spans="1:17">
      <c r="A42" s="74">
        <v>41</v>
      </c>
      <c r="B42" s="138" t="str">
        <f>IF($T$4=0,IF($I42="","",$I42),IFERROR(IF([1]财务取数接口!$B$41=0,"",[1]财务取数接口!$B$41),""))</f>
        <v/>
      </c>
      <c r="C42" s="75" t="str">
        <f>IF($T$4=0,IF($J42="","",$J42),IFERROR(IF([1]财务取数接口!$C$41=0,"",[1]财务取数接口!$C$41),""))</f>
        <v>物料销售</v>
      </c>
      <c r="D42" s="89" t="str">
        <f>IF($T$4=0,IF($K42="","",$K42),IFERROR(IF([1]财务取数接口!$D$41=0,"",[1]财务取数接口!$D$41),""))</f>
        <v/>
      </c>
      <c r="E42" s="89" t="str">
        <f>IF($T$4=0,IF($L42="","",$L42),IFERROR(IF([1]财务取数接口!$E$41=0,"",[1]财务取数接口!$E$41),""))</f>
        <v>包</v>
      </c>
      <c r="F42" s="76" t="str">
        <f>IF($T$4=0,IF($M42="","",$M42),IFERROR(IF([1]财务取数接口!$G$41=0,"",[1]财务取数接口!$G$41),""))</f>
        <v/>
      </c>
      <c r="G42" s="76" t="str">
        <f>IF($T$4=0,IF($N42="","",$N42),IFERROR(IF([1]财务取数接口!$H$41=0,"",[1]财务取数接口!$H$41),""))</f>
        <v/>
      </c>
      <c r="H42" s="75" t="str">
        <f>IF($T$4=0,IF($O42="","",$O42),IFERROR(IF([1]财务取数接口!$I$41=0,"",[1]财务取数接口!$I$41),""))</f>
        <v/>
      </c>
      <c r="I42" s="43"/>
      <c r="J42" s="106"/>
      <c r="K42" s="43"/>
      <c r="L42" s="43"/>
      <c r="M42" s="107"/>
      <c r="N42" s="107"/>
      <c r="O42" s="106"/>
      <c r="P42" s="139">
        <f t="shared" si="0"/>
        <v>0</v>
      </c>
      <c r="Q42" s="139">
        <f t="shared" si="1"/>
        <v>0</v>
      </c>
    </row>
    <row r="43" spans="1:17">
      <c r="A43" s="74">
        <v>42</v>
      </c>
      <c r="B43" s="138" t="str">
        <f>IF($T$4=0,IF($I43="","",$I43),IFERROR(IF([1]财务取数接口!$B$42=0,"",[1]财务取数接口!$B$42),""))</f>
        <v/>
      </c>
      <c r="C43" s="75" t="str">
        <f>IF($T$4=0,IF($J43="","",$J43),IFERROR(IF([1]财务取数接口!$C$42=0,"",[1]财务取数接口!$C$42),""))</f>
        <v>物料销售</v>
      </c>
      <c r="D43" s="89" t="str">
        <f>IF($T$4=0,IF($K43="","",$K43),IFERROR(IF([1]财务取数接口!$D$42=0,"",[1]财务取数接口!$D$42),""))</f>
        <v/>
      </c>
      <c r="E43" s="89" t="str">
        <f>IF($T$4=0,IF($L43="","",$L43),IFERROR(IF([1]财务取数接口!$E$42=0,"",[1]财务取数接口!$E$42),""))</f>
        <v>包</v>
      </c>
      <c r="F43" s="76" t="str">
        <f>IF($T$4=0,IF($M43="","",$M43),IFERROR(IF([1]财务取数接口!$G$42=0,"",[1]财务取数接口!$G$42),""))</f>
        <v/>
      </c>
      <c r="G43" s="76" t="str">
        <f>IF($T$4=0,IF($N43="","",$N43),IFERROR(IF([1]财务取数接口!$H$42=0,"",[1]财务取数接口!$H$42),""))</f>
        <v/>
      </c>
      <c r="H43" s="75" t="str">
        <f>IF($T$4=0,IF($O43="","",$O43),IFERROR(IF([1]财务取数接口!$I$42=0,"",[1]财务取数接口!$I$42),""))</f>
        <v/>
      </c>
      <c r="I43" s="43"/>
      <c r="J43" s="106"/>
      <c r="K43" s="43"/>
      <c r="L43" s="43"/>
      <c r="M43" s="107"/>
      <c r="N43" s="107"/>
      <c r="O43" s="106"/>
      <c r="P43" s="139">
        <f t="shared" si="0"/>
        <v>0</v>
      </c>
      <c r="Q43" s="139">
        <f t="shared" si="1"/>
        <v>0</v>
      </c>
    </row>
    <row r="44" spans="1:17">
      <c r="A44" s="74">
        <v>43</v>
      </c>
      <c r="B44" s="138" t="str">
        <f>IF($T$4=0,IF($I44="","",$I44),IFERROR(IF([1]财务取数接口!$B$43=0,"",[1]财务取数接口!$B$43),""))</f>
        <v/>
      </c>
      <c r="C44" s="75" t="str">
        <f>IF($T$4=0,IF($J44="","",$J44),IFERROR(IF([1]财务取数接口!$C$43=0,"",[1]财务取数接口!$C$43),""))</f>
        <v>物料销售</v>
      </c>
      <c r="D44" s="89" t="str">
        <f>IF($T$4=0,IF($K44="","",$K44),IFERROR(IF([1]财务取数接口!$D$43=0,"",[1]财务取数接口!$D$43),""))</f>
        <v/>
      </c>
      <c r="E44" s="89" t="str">
        <f>IF($T$4=0,IF($L44="","",$L44),IFERROR(IF([1]财务取数接口!$E$43=0,"",[1]财务取数接口!$E$43),""))</f>
        <v>包</v>
      </c>
      <c r="F44" s="76" t="str">
        <f>IF($T$4=0,IF($M44="","",$M44),IFERROR(IF([1]财务取数接口!$G$43=0,"",[1]财务取数接口!$G$43),""))</f>
        <v/>
      </c>
      <c r="G44" s="76" t="str">
        <f>IF($T$4=0,IF($N44="","",$N44),IFERROR(IF([1]财务取数接口!$H$43=0,"",[1]财务取数接口!$H$43),""))</f>
        <v/>
      </c>
      <c r="H44" s="75" t="str">
        <f>IF($T$4=0,IF($O44="","",$O44),IFERROR(IF([1]财务取数接口!$I$43=0,"",[1]财务取数接口!$I$43),""))</f>
        <v/>
      </c>
      <c r="I44" s="43"/>
      <c r="J44" s="106"/>
      <c r="K44" s="43"/>
      <c r="L44" s="43"/>
      <c r="M44" s="107"/>
      <c r="N44" s="107"/>
      <c r="O44" s="106"/>
      <c r="P44" s="139">
        <f t="shared" si="0"/>
        <v>0</v>
      </c>
      <c r="Q44" s="139">
        <f t="shared" si="1"/>
        <v>0</v>
      </c>
    </row>
    <row r="45" spans="1:17">
      <c r="A45" s="74">
        <v>44</v>
      </c>
      <c r="B45" s="138" t="str">
        <f>IF($T$4=0,IF($I45="","",$I45),IFERROR(IF([1]财务取数接口!$B$44=0,"",[1]财务取数接口!$B$44),""))</f>
        <v/>
      </c>
      <c r="C45" s="75" t="str">
        <f>IF($T$4=0,IF($J45="","",$J45),IFERROR(IF([1]财务取数接口!$C$44=0,"",[1]财务取数接口!$C$44),""))</f>
        <v>物料销售</v>
      </c>
      <c r="D45" s="89" t="str">
        <f>IF($T$4=0,IF($K45="","",$K45),IFERROR(IF([1]财务取数接口!$D$44=0,"",[1]财务取数接口!$D$44),""))</f>
        <v/>
      </c>
      <c r="E45" s="89" t="str">
        <f>IF($T$4=0,IF($L45="","",$L45),IFERROR(IF([1]财务取数接口!$E$44=0,"",[1]财务取数接口!$E$44),""))</f>
        <v>包</v>
      </c>
      <c r="F45" s="76" t="str">
        <f>IF($T$4=0,IF($M45="","",$M45),IFERROR(IF([1]财务取数接口!$G$44=0,"",[1]财务取数接口!$G$44),""))</f>
        <v/>
      </c>
      <c r="G45" s="76" t="str">
        <f>IF($T$4=0,IF($N45="","",$N45),IFERROR(IF([1]财务取数接口!$H$44=0,"",[1]财务取数接口!$H$44),""))</f>
        <v/>
      </c>
      <c r="H45" s="75" t="str">
        <f>IF($T$4=0,IF($O45="","",$O45),IFERROR(IF([1]财务取数接口!$I$44=0,"",[1]财务取数接口!$I$44),""))</f>
        <v/>
      </c>
      <c r="I45" s="43"/>
      <c r="J45" s="106"/>
      <c r="K45" s="43"/>
      <c r="L45" s="43"/>
      <c r="M45" s="107"/>
      <c r="N45" s="107"/>
      <c r="O45" s="106"/>
      <c r="P45" s="139">
        <f t="shared" si="0"/>
        <v>0</v>
      </c>
      <c r="Q45" s="139">
        <f t="shared" si="1"/>
        <v>0</v>
      </c>
    </row>
    <row r="46" spans="1:17">
      <c r="A46" s="74">
        <v>45</v>
      </c>
      <c r="B46" s="138" t="str">
        <f>IF($T$4=0,IF($I46="","",$I46),IFERROR(IF([1]财务取数接口!$B$45=0,"",[1]财务取数接口!$B$45),""))</f>
        <v/>
      </c>
      <c r="C46" s="75" t="str">
        <f>IF($T$4=0,IF($J46="","",$J46),IFERROR(IF([1]财务取数接口!$C$45=0,"",[1]财务取数接口!$C$45),""))</f>
        <v>物料销售</v>
      </c>
      <c r="D46" s="89" t="str">
        <f>IF($T$4=0,IF($K46="","",$K46),IFERROR(IF([1]财务取数接口!$D$45=0,"",[1]财务取数接口!$D$45),""))</f>
        <v/>
      </c>
      <c r="E46" s="89" t="str">
        <f>IF($T$4=0,IF($L46="","",$L46),IFERROR(IF([1]财务取数接口!$E$45=0,"",[1]财务取数接口!$E$45),""))</f>
        <v>包</v>
      </c>
      <c r="F46" s="76" t="str">
        <f>IF($T$4=0,IF($M46="","",$M46),IFERROR(IF([1]财务取数接口!$G$45=0,"",[1]财务取数接口!$G$45),""))</f>
        <v/>
      </c>
      <c r="G46" s="76" t="str">
        <f>IF($T$4=0,IF($N46="","",$N46),IFERROR(IF([1]财务取数接口!$H$45=0,"",[1]财务取数接口!$H$45),""))</f>
        <v/>
      </c>
      <c r="H46" s="75" t="str">
        <f>IF($T$4=0,IF($O46="","",$O46),IFERROR(IF([1]财务取数接口!$I$45=0,"",[1]财务取数接口!$I$45),""))</f>
        <v/>
      </c>
      <c r="I46" s="43"/>
      <c r="J46" s="106"/>
      <c r="K46" s="43"/>
      <c r="L46" s="43"/>
      <c r="M46" s="107"/>
      <c r="N46" s="107"/>
      <c r="O46" s="106"/>
      <c r="P46" s="139">
        <f t="shared" si="0"/>
        <v>0</v>
      </c>
      <c r="Q46" s="139">
        <f t="shared" si="1"/>
        <v>0</v>
      </c>
    </row>
    <row r="47" spans="1:17">
      <c r="A47" s="74">
        <v>46</v>
      </c>
      <c r="B47" s="138" t="str">
        <f>IF($T$4=0,IF($I47="","",$I47),IFERROR(IF([1]财务取数接口!$B$46=0,"",[1]财务取数接口!$B$46),""))</f>
        <v/>
      </c>
      <c r="C47" s="75" t="str">
        <f>IF($T$4=0,IF($J47="","",$J47),IFERROR(IF([1]财务取数接口!$C$46=0,"",[1]财务取数接口!$C$46),""))</f>
        <v>物料销售</v>
      </c>
      <c r="D47" s="89" t="str">
        <f>IF($T$4=0,IF($K47="","",$K47),IFERROR(IF([1]财务取数接口!$D$46=0,"",[1]财务取数接口!$D$46),""))</f>
        <v/>
      </c>
      <c r="E47" s="89" t="str">
        <f>IF($T$4=0,IF($L47="","",$L47),IFERROR(IF([1]财务取数接口!$E$46=0,"",[1]财务取数接口!$E$46),""))</f>
        <v>包</v>
      </c>
      <c r="F47" s="76" t="str">
        <f>IF($T$4=0,IF($M47="","",$M47),IFERROR(IF([1]财务取数接口!$G$46=0,"",[1]财务取数接口!$G$46),""))</f>
        <v/>
      </c>
      <c r="G47" s="76" t="str">
        <f>IF($T$4=0,IF($N47="","",$N47),IFERROR(IF([1]财务取数接口!$H$46=0,"",[1]财务取数接口!$H$46),""))</f>
        <v/>
      </c>
      <c r="H47" s="75" t="str">
        <f>IF($T$4=0,IF($O47="","",$O47),IFERROR(IF([1]财务取数接口!$I$46=0,"",[1]财务取数接口!$I$46),""))</f>
        <v/>
      </c>
      <c r="I47" s="43"/>
      <c r="J47" s="106"/>
      <c r="K47" s="43"/>
      <c r="L47" s="43"/>
      <c r="M47" s="107"/>
      <c r="N47" s="107"/>
      <c r="O47" s="106"/>
      <c r="P47" s="139">
        <f t="shared" si="0"/>
        <v>0</v>
      </c>
      <c r="Q47" s="139">
        <f t="shared" si="1"/>
        <v>0</v>
      </c>
    </row>
    <row r="48" spans="1:17">
      <c r="A48" s="74">
        <v>47</v>
      </c>
      <c r="B48" s="138" t="str">
        <f>IF($T$4=0,IF($I48="","",$I48),IFERROR(IF([1]财务取数接口!$B$47=0,"",[1]财务取数接口!$B$47),""))</f>
        <v/>
      </c>
      <c r="C48" s="75" t="str">
        <f>IF($T$4=0,IF($J48="","",$J48),IFERROR(IF([1]财务取数接口!$C$47=0,"",[1]财务取数接口!$C$47),""))</f>
        <v>物料销售</v>
      </c>
      <c r="D48" s="89" t="str">
        <f>IF($T$4=0,IF($K48="","",$K48),IFERROR(IF([1]财务取数接口!$D$47=0,"",[1]财务取数接口!$D$47),""))</f>
        <v/>
      </c>
      <c r="E48" s="89" t="str">
        <f>IF($T$4=0,IF($L48="","",$L48),IFERROR(IF([1]财务取数接口!$E$47=0,"",[1]财务取数接口!$E$47),""))</f>
        <v>包</v>
      </c>
      <c r="F48" s="76" t="str">
        <f>IF($T$4=0,IF($M48="","",$M48),IFERROR(IF([1]财务取数接口!$G$47=0,"",[1]财务取数接口!$G$47),""))</f>
        <v/>
      </c>
      <c r="G48" s="76" t="str">
        <f>IF($T$4=0,IF($N48="","",$N48),IFERROR(IF([1]财务取数接口!$H$47=0,"",[1]财务取数接口!$H$47),""))</f>
        <v/>
      </c>
      <c r="H48" s="75" t="str">
        <f>IF($T$4=0,IF($O48="","",$O48),IFERROR(IF([1]财务取数接口!$I$47=0,"",[1]财务取数接口!$I$47),""))</f>
        <v/>
      </c>
      <c r="I48" s="43"/>
      <c r="J48" s="106"/>
      <c r="K48" s="43"/>
      <c r="L48" s="43"/>
      <c r="M48" s="107"/>
      <c r="N48" s="107"/>
      <c r="O48" s="106"/>
      <c r="P48" s="139">
        <f t="shared" si="0"/>
        <v>0</v>
      </c>
      <c r="Q48" s="139">
        <f t="shared" si="1"/>
        <v>0</v>
      </c>
    </row>
    <row r="49" spans="1:17">
      <c r="A49" s="74">
        <v>48</v>
      </c>
      <c r="B49" s="138" t="str">
        <f>IF($T$4=0,IF($I49="","",$I49),IFERROR(IF([1]财务取数接口!$B$48=0,"",[1]财务取数接口!$B$48),""))</f>
        <v/>
      </c>
      <c r="C49" s="75" t="str">
        <f>IF($T$4=0,IF($J49="","",$J49),IFERROR(IF([1]财务取数接口!$C$48=0,"",[1]财务取数接口!$C$48),""))</f>
        <v>物料销售</v>
      </c>
      <c r="D49" s="89" t="str">
        <f>IF($T$4=0,IF($K49="","",$K49),IFERROR(IF([1]财务取数接口!$D$48=0,"",[1]财务取数接口!$D$48),""))</f>
        <v/>
      </c>
      <c r="E49" s="89" t="str">
        <f>IF($T$4=0,IF($L49="","",$L49),IFERROR(IF([1]财务取数接口!$E$48=0,"",[1]财务取数接口!$E$48),""))</f>
        <v>包</v>
      </c>
      <c r="F49" s="76" t="str">
        <f>IF($T$4=0,IF($M49="","",$M49),IFERROR(IF([1]财务取数接口!$G$48=0,"",[1]财务取数接口!$G$48),""))</f>
        <v/>
      </c>
      <c r="G49" s="76" t="str">
        <f>IF($T$4=0,IF($N49="","",$N49),IFERROR(IF([1]财务取数接口!$H$48=0,"",[1]财务取数接口!$H$48),""))</f>
        <v/>
      </c>
      <c r="H49" s="75" t="str">
        <f>IF($T$4=0,IF($O49="","",$O49),IFERROR(IF([1]财务取数接口!$I$48=0,"",[1]财务取数接口!$I$48),""))</f>
        <v/>
      </c>
      <c r="I49" s="43"/>
      <c r="J49" s="106"/>
      <c r="K49" s="43"/>
      <c r="L49" s="43"/>
      <c r="M49" s="107"/>
      <c r="N49" s="107"/>
      <c r="O49" s="106"/>
      <c r="P49" s="139">
        <f t="shared" si="0"/>
        <v>0</v>
      </c>
      <c r="Q49" s="139">
        <f t="shared" si="1"/>
        <v>0</v>
      </c>
    </row>
    <row r="50" spans="1:17">
      <c r="A50" s="74">
        <v>49</v>
      </c>
      <c r="B50" s="138" t="str">
        <f>IF($T$4=0,IF($I50="","",$I50),IFERROR(IF([1]财务取数接口!$B$49=0,"",[1]财务取数接口!$B$49),""))</f>
        <v/>
      </c>
      <c r="C50" s="75" t="str">
        <f>IF($T$4=0,IF($J50="","",$J50),IFERROR(IF([1]财务取数接口!$C$49=0,"",[1]财务取数接口!$C$49),""))</f>
        <v>物料销售</v>
      </c>
      <c r="D50" s="89" t="str">
        <f>IF($T$4=0,IF($K50="","",$K50),IFERROR(IF([1]财务取数接口!$D$49=0,"",[1]财务取数接口!$D$49),""))</f>
        <v/>
      </c>
      <c r="E50" s="89" t="str">
        <f>IF($T$4=0,IF($L50="","",$L50),IFERROR(IF([1]财务取数接口!$E$49=0,"",[1]财务取数接口!$E$49),""))</f>
        <v>包</v>
      </c>
      <c r="F50" s="76" t="str">
        <f>IF($T$4=0,IF($M50="","",$M50),IFERROR(IF([1]财务取数接口!$G$49=0,"",[1]财务取数接口!$G$49),""))</f>
        <v/>
      </c>
      <c r="G50" s="76" t="str">
        <f>IF($T$4=0,IF($N50="","",$N50),IFERROR(IF([1]财务取数接口!$H$49=0,"",[1]财务取数接口!$H$49),""))</f>
        <v/>
      </c>
      <c r="H50" s="75" t="str">
        <f>IF($T$4=0,IF($O50="","",$O50),IFERROR(IF([1]财务取数接口!$I$49=0,"",[1]财务取数接口!$I$49),""))</f>
        <v/>
      </c>
      <c r="I50" s="43"/>
      <c r="J50" s="106"/>
      <c r="K50" s="43"/>
      <c r="L50" s="43"/>
      <c r="M50" s="107"/>
      <c r="N50" s="107"/>
      <c r="O50" s="106"/>
      <c r="P50" s="139">
        <f t="shared" si="0"/>
        <v>0</v>
      </c>
      <c r="Q50" s="139">
        <f t="shared" si="1"/>
        <v>0</v>
      </c>
    </row>
    <row r="51" spans="1:17">
      <c r="A51" s="74">
        <v>50</v>
      </c>
      <c r="B51" s="138" t="str">
        <f>IF($T$4=0,IF($I51="","",$I51),IFERROR(IF([1]财务取数接口!$B$50=0,"",[1]财务取数接口!$B$50),""))</f>
        <v/>
      </c>
      <c r="C51" s="75" t="str">
        <f>IF($T$4=0,IF($J51="","",$J51),IFERROR(IF([1]财务取数接口!$C$50=0,"",[1]财务取数接口!$C$50),""))</f>
        <v>物料销售</v>
      </c>
      <c r="D51" s="89" t="str">
        <f>IF($T$4=0,IF($K51="","",$K51),IFERROR(IF([1]财务取数接口!$D$50=0,"",[1]财务取数接口!$D$50),""))</f>
        <v/>
      </c>
      <c r="E51" s="89" t="str">
        <f>IF($T$4=0,IF($L51="","",$L51),IFERROR(IF([1]财务取数接口!$E$50=0,"",[1]财务取数接口!$E$50),""))</f>
        <v>包</v>
      </c>
      <c r="F51" s="76" t="str">
        <f>IF($T$4=0,IF($M51="","",$M51),IFERROR(IF([1]财务取数接口!$G$50=0,"",[1]财务取数接口!$G$50),""))</f>
        <v/>
      </c>
      <c r="G51" s="76" t="str">
        <f>IF($T$4=0,IF($N51="","",$N51),IFERROR(IF([1]财务取数接口!$H$50=0,"",[1]财务取数接口!$H$50),""))</f>
        <v/>
      </c>
      <c r="H51" s="75" t="str">
        <f>IF($T$4=0,IF($O51="","",$O51),IFERROR(IF([1]财务取数接口!$I$50=0,"",[1]财务取数接口!$I$50),""))</f>
        <v/>
      </c>
      <c r="I51" s="43"/>
      <c r="J51" s="106"/>
      <c r="K51" s="43"/>
      <c r="L51" s="43"/>
      <c r="M51" s="107"/>
      <c r="N51" s="107"/>
      <c r="O51" s="106"/>
      <c r="P51" s="139">
        <f t="shared" si="0"/>
        <v>0</v>
      </c>
      <c r="Q51" s="139">
        <f t="shared" si="1"/>
        <v>0</v>
      </c>
    </row>
    <row r="52" spans="1:17">
      <c r="A52" s="74">
        <v>51</v>
      </c>
      <c r="B52" s="138" t="str">
        <f>IF($T$4=0,IF($I52="","",$I52),IFERROR(IF([1]财务取数接口!$B$51=0,"",[1]财务取数接口!$B$51),""))</f>
        <v/>
      </c>
      <c r="C52" s="75" t="str">
        <f>IF($T$4=0,IF($J52="","",$J52),IFERROR(IF([1]财务取数接口!$C$51=0,"",[1]财务取数接口!$C$51),""))</f>
        <v>物料销售</v>
      </c>
      <c r="D52" s="89" t="str">
        <f>IF($T$4=0,IF($K52="","",$K52),IFERROR(IF([1]财务取数接口!$D$51=0,"",[1]财务取数接口!$D$51),""))</f>
        <v/>
      </c>
      <c r="E52" s="89" t="str">
        <f>IF($T$4=0,IF($L52="","",$L52),IFERROR(IF([1]财务取数接口!$E$51=0,"",[1]财务取数接口!$E$51),""))</f>
        <v>包</v>
      </c>
      <c r="F52" s="76" t="str">
        <f>IF($T$4=0,IF($M52="","",$M52),IFERROR(IF([1]财务取数接口!$G$51=0,"",[1]财务取数接口!$G$51),""))</f>
        <v/>
      </c>
      <c r="G52" s="76" t="str">
        <f>IF($T$4=0,IF($N52="","",$N52),IFERROR(IF([1]财务取数接口!$H$51=0,"",[1]财务取数接口!$H$51),""))</f>
        <v/>
      </c>
      <c r="H52" s="75" t="str">
        <f>IF($T$4=0,IF($O52="","",$O52),IFERROR(IF([1]财务取数接口!$I$51=0,"",[1]财务取数接口!$I$51),""))</f>
        <v/>
      </c>
      <c r="I52" s="43"/>
      <c r="J52" s="106"/>
      <c r="K52" s="43"/>
      <c r="L52" s="43"/>
      <c r="M52" s="107"/>
      <c r="N52" s="107"/>
      <c r="O52" s="106"/>
      <c r="P52" s="139">
        <f t="shared" si="0"/>
        <v>0</v>
      </c>
      <c r="Q52" s="139">
        <f t="shared" si="1"/>
        <v>0</v>
      </c>
    </row>
    <row r="53" spans="1:17">
      <c r="A53" s="74">
        <v>52</v>
      </c>
      <c r="B53" s="138" t="str">
        <f>IF($T$4=0,IF($I53="","",$I53),IFERROR(IF([1]财务取数接口!$B$52=0,"",[1]财务取数接口!$B$52),""))</f>
        <v/>
      </c>
      <c r="C53" s="75" t="str">
        <f>IF($T$4=0,IF($J53="","",$J53),IFERROR(IF([1]财务取数接口!$C$52=0,"",[1]财务取数接口!$C$52),""))</f>
        <v>押金收取</v>
      </c>
      <c r="D53" s="89" t="str">
        <f>IF($T$4=0,IF($K53="","",$K53),IFERROR(IF([1]财务取数接口!$D$52=0,"",[1]财务取数接口!$D$52),""))</f>
        <v/>
      </c>
      <c r="E53" s="89" t="str">
        <f>IF($T$4=0,IF($L53="","",$L53),IFERROR(IF([1]财务取数接口!$E$52=0,"",[1]财务取数接口!$E$52),""))</f>
        <v>元</v>
      </c>
      <c r="F53" s="76" t="str">
        <f>IF($T$4=0,IF($M53="","",$M53),IFERROR(IF([1]财务取数接口!$G$52=0,"",[1]财务取数接口!$G$52),""))</f>
        <v/>
      </c>
      <c r="G53" s="76" t="str">
        <f>IF($T$4=0,IF($N53="","",$N53),IFERROR(IF([1]财务取数接口!$H$52=0,"",[1]财务取数接口!$H$52),""))</f>
        <v/>
      </c>
      <c r="H53" s="75" t="str">
        <f>IF($T$4=0,IF($O53="","",$O53),IFERROR(IF([1]财务取数接口!$I$52=0,"",[1]财务取数接口!$I$52),""))</f>
        <v/>
      </c>
      <c r="I53" s="43"/>
      <c r="J53" s="106"/>
      <c r="K53" s="43"/>
      <c r="L53" s="43"/>
      <c r="M53" s="107"/>
      <c r="N53" s="107"/>
      <c r="O53" s="106"/>
      <c r="P53" s="139">
        <f t="shared" si="0"/>
        <v>0</v>
      </c>
      <c r="Q53" s="139">
        <f t="shared" si="1"/>
        <v>0</v>
      </c>
    </row>
    <row r="54" spans="1:17">
      <c r="A54" s="74">
        <v>53</v>
      </c>
      <c r="B54" s="138" t="str">
        <f>IF($T$4=0,IF($I54="","",$I54),IFERROR(IF([1]财务取数接口!$B$53=0,"",[1]财务取数接口!$B$53),""))</f>
        <v/>
      </c>
      <c r="C54" s="75" t="str">
        <f>IF($T$4=0,IF($J54="","",$J54),IFERROR(IF([1]财务取数接口!$C$53=0,"",[1]财务取数接口!$C$53),""))</f>
        <v>押金收取</v>
      </c>
      <c r="D54" s="89" t="str">
        <f>IF($T$4=0,IF($K54="","",$K54),IFERROR(IF([1]财务取数接口!$D$53=0,"",[1]财务取数接口!$D$53),""))</f>
        <v/>
      </c>
      <c r="E54" s="89" t="str">
        <f>IF($T$4=0,IF($L54="","",$L54),IFERROR(IF([1]财务取数接口!$E$53=0,"",[1]财务取数接口!$E$53),""))</f>
        <v>元</v>
      </c>
      <c r="F54" s="76" t="str">
        <f>IF($T$4=0,IF($M54="","",$M54),IFERROR(IF([1]财务取数接口!$G$53=0,"",[1]财务取数接口!$G$53),""))</f>
        <v/>
      </c>
      <c r="G54" s="76" t="str">
        <f>IF($T$4=0,IF($N54="","",$N54),IFERROR(IF([1]财务取数接口!$H$53=0,"",[1]财务取数接口!$H$53),""))</f>
        <v/>
      </c>
      <c r="H54" s="75" t="str">
        <f>IF($T$4=0,IF($O54="","",$O54),IFERROR(IF([1]财务取数接口!$I$53=0,"",[1]财务取数接口!$I$53),""))</f>
        <v/>
      </c>
      <c r="I54" s="43"/>
      <c r="J54" s="106"/>
      <c r="K54" s="43"/>
      <c r="L54" s="43"/>
      <c r="M54" s="107"/>
      <c r="N54" s="107"/>
      <c r="O54" s="106"/>
      <c r="P54" s="139">
        <f t="shared" si="0"/>
        <v>0</v>
      </c>
      <c r="Q54" s="139">
        <f t="shared" si="1"/>
        <v>0</v>
      </c>
    </row>
    <row r="55" spans="1:17">
      <c r="A55" s="74">
        <v>54</v>
      </c>
      <c r="B55" s="138" t="str">
        <f>IF($T$4=0,IF($I55="","",$I55),IFERROR(IF([1]财务取数接口!$B$54=0,"",[1]财务取数接口!$B$54),""))</f>
        <v/>
      </c>
      <c r="C55" s="75" t="str">
        <f>IF($T$4=0,IF($J55="","",$J55),IFERROR(IF([1]财务取数接口!$C$54=0,"",[1]财务取数接口!$C$54),""))</f>
        <v>押金收取</v>
      </c>
      <c r="D55" s="89" t="str">
        <f>IF($T$4=0,IF($K55="","",$K55),IFERROR(IF([1]财务取数接口!$D$54=0,"",[1]财务取数接口!$D$54),""))</f>
        <v/>
      </c>
      <c r="E55" s="89" t="str">
        <f>IF($T$4=0,IF($L55="","",$L55),IFERROR(IF([1]财务取数接口!$E$54=0,"",[1]财务取数接口!$E$54),""))</f>
        <v>元</v>
      </c>
      <c r="F55" s="76" t="str">
        <f>IF($T$4=0,IF($M55="","",$M55),IFERROR(IF([1]财务取数接口!$G$54=0,"",[1]财务取数接口!$G$54),""))</f>
        <v/>
      </c>
      <c r="G55" s="76" t="str">
        <f>IF($T$4=0,IF($N55="","",$N55),IFERROR(IF([1]财务取数接口!$H$54=0,"",[1]财务取数接口!$H$54),""))</f>
        <v/>
      </c>
      <c r="H55" s="75" t="str">
        <f>IF($T$4=0,IF($O55="","",$O55),IFERROR(IF([1]财务取数接口!$I$54=0,"",[1]财务取数接口!$I$54),""))</f>
        <v/>
      </c>
      <c r="I55" s="43"/>
      <c r="J55" s="106"/>
      <c r="K55" s="43"/>
      <c r="L55" s="43"/>
      <c r="M55" s="107"/>
      <c r="N55" s="107"/>
      <c r="O55" s="106"/>
      <c r="P55" s="139">
        <f t="shared" si="0"/>
        <v>0</v>
      </c>
      <c r="Q55" s="139">
        <f t="shared" si="1"/>
        <v>0</v>
      </c>
    </row>
    <row r="56" spans="1:17">
      <c r="A56" s="74">
        <v>55</v>
      </c>
      <c r="B56" s="138" t="str">
        <f>IF($T$4=0,IF($I56="","",$I56),IFERROR(IF([1]财务取数接口!$B$55=0,"",[1]财务取数接口!$B$55),""))</f>
        <v/>
      </c>
      <c r="C56" s="75" t="str">
        <f>IF($T$4=0,IF($J56="","",$J56),IFERROR(IF([1]财务取数接口!$C$55=0,"",[1]财务取数接口!$C$55),""))</f>
        <v>押金收取</v>
      </c>
      <c r="D56" s="89" t="str">
        <f>IF($T$4=0,IF($K56="","",$K56),IFERROR(IF([1]财务取数接口!$D$55=0,"",[1]财务取数接口!$D$55),""))</f>
        <v/>
      </c>
      <c r="E56" s="89" t="str">
        <f>IF($T$4=0,IF($L56="","",$L56),IFERROR(IF([1]财务取数接口!$E$55=0,"",[1]财务取数接口!$E$55),""))</f>
        <v>元</v>
      </c>
      <c r="F56" s="76" t="str">
        <f>IF($T$4=0,IF($M56="","",$M56),IFERROR(IF([1]财务取数接口!$G$55=0,"",[1]财务取数接口!$G$55),""))</f>
        <v/>
      </c>
      <c r="G56" s="76" t="str">
        <f>IF($T$4=0,IF($N56="","",$N56),IFERROR(IF([1]财务取数接口!$H$55=0,"",[1]财务取数接口!$H$55),""))</f>
        <v/>
      </c>
      <c r="H56" s="75" t="str">
        <f>IF($T$4=0,IF($O56="","",$O56),IFERROR(IF([1]财务取数接口!$I$55=0,"",[1]财务取数接口!$I$55),""))</f>
        <v/>
      </c>
      <c r="I56" s="43"/>
      <c r="J56" s="106"/>
      <c r="K56" s="43"/>
      <c r="L56" s="43"/>
      <c r="M56" s="107"/>
      <c r="N56" s="107"/>
      <c r="O56" s="106"/>
      <c r="P56" s="139">
        <f t="shared" si="0"/>
        <v>0</v>
      </c>
      <c r="Q56" s="139">
        <f t="shared" si="1"/>
        <v>0</v>
      </c>
    </row>
    <row r="57" spans="1:17">
      <c r="A57" s="74">
        <v>56</v>
      </c>
      <c r="B57" s="138" t="str">
        <f>IF($T$4=0,IF($I57="","",$I57),IFERROR(IF([1]财务取数接口!$B$56=0,"",[1]财务取数接口!$B$56),""))</f>
        <v/>
      </c>
      <c r="C57" s="75" t="str">
        <f>IF($T$4=0,IF($J57="","",$J57),IFERROR(IF([1]财务取数接口!$C$56=0,"",[1]财务取数接口!$C$56),""))</f>
        <v>押金收取</v>
      </c>
      <c r="D57" s="89" t="str">
        <f>IF($T$4=0,IF($K57="","",$K57),IFERROR(IF([1]财务取数接口!$D$56=0,"",[1]财务取数接口!$D$56),""))</f>
        <v/>
      </c>
      <c r="E57" s="89" t="str">
        <f>IF($T$4=0,IF($L57="","",$L57),IFERROR(IF([1]财务取数接口!$E$56=0,"",[1]财务取数接口!$E$56),""))</f>
        <v>元</v>
      </c>
      <c r="F57" s="76" t="str">
        <f>IF($T$4=0,IF($M57="","",$M57),IFERROR(IF([1]财务取数接口!$G$56=0,"",[1]财务取数接口!$G$56),""))</f>
        <v/>
      </c>
      <c r="G57" s="76" t="str">
        <f>IF($T$4=0,IF($N57="","",$N57),IFERROR(IF([1]财务取数接口!$H$56=0,"",[1]财务取数接口!$H$56),""))</f>
        <v/>
      </c>
      <c r="H57" s="75" t="str">
        <f>IF($T$4=0,IF($O57="","",$O57),IFERROR(IF([1]财务取数接口!$I$56=0,"",[1]财务取数接口!$I$56),""))</f>
        <v/>
      </c>
      <c r="I57" s="43"/>
      <c r="J57" s="106"/>
      <c r="K57" s="43"/>
      <c r="L57" s="43"/>
      <c r="M57" s="107"/>
      <c r="N57" s="107"/>
      <c r="O57" s="106"/>
      <c r="P57" s="139">
        <f t="shared" si="0"/>
        <v>0</v>
      </c>
      <c r="Q57" s="139">
        <f t="shared" si="1"/>
        <v>0</v>
      </c>
    </row>
    <row r="58" spans="1:17">
      <c r="A58" s="74">
        <v>57</v>
      </c>
      <c r="B58" s="138" t="str">
        <f>IF($T$4=0,IF($I58="","",$I58),IFERROR(IF([1]财务取数接口!$B$57=0,"",[1]财务取数接口!$B$57),""))</f>
        <v/>
      </c>
      <c r="C58" s="75" t="str">
        <f>IF($T$4=0,IF($J58="","",$J58),IFERROR(IF([1]财务取数接口!$C$57=0,"",[1]财务取数接口!$C$57),""))</f>
        <v>押金收取</v>
      </c>
      <c r="D58" s="89" t="str">
        <f>IF($T$4=0,IF($K58="","",$K58),IFERROR(IF([1]财务取数接口!$D$57=0,"",[1]财务取数接口!$D$57),""))</f>
        <v/>
      </c>
      <c r="E58" s="89" t="str">
        <f>IF($T$4=0,IF($L58="","",$L58),IFERROR(IF([1]财务取数接口!$E$57=0,"",[1]财务取数接口!$E$57),""))</f>
        <v>元</v>
      </c>
      <c r="F58" s="76" t="str">
        <f>IF($T$4=0,IF($M58="","",$M58),IFERROR(IF([1]财务取数接口!$G$57=0,"",[1]财务取数接口!$G$57),""))</f>
        <v/>
      </c>
      <c r="G58" s="76" t="str">
        <f>IF($T$4=0,IF($N58="","",$N58),IFERROR(IF([1]财务取数接口!$H$57=0,"",[1]财务取数接口!$H$57),""))</f>
        <v/>
      </c>
      <c r="H58" s="75" t="str">
        <f>IF($T$4=0,IF($O58="","",$O58),IFERROR(IF([1]财务取数接口!$I$57=0,"",[1]财务取数接口!$I$57),""))</f>
        <v/>
      </c>
      <c r="I58" s="43"/>
      <c r="J58" s="106"/>
      <c r="K58" s="43"/>
      <c r="L58" s="43"/>
      <c r="M58" s="107"/>
      <c r="N58" s="107"/>
      <c r="O58" s="106"/>
      <c r="P58" s="139">
        <f t="shared" si="0"/>
        <v>0</v>
      </c>
      <c r="Q58" s="139">
        <f t="shared" si="1"/>
        <v>0</v>
      </c>
    </row>
    <row r="59" spans="1:17">
      <c r="A59" s="74">
        <v>58</v>
      </c>
      <c r="B59" s="138" t="str">
        <f>IF($T$4=0,IF($I59="","",$I59),IFERROR(IF([1]财务取数接口!$B$58=0,"",[1]财务取数接口!$B$58),""))</f>
        <v/>
      </c>
      <c r="C59" s="75" t="str">
        <f>IF($T$4=0,IF($J59="","",$J59),IFERROR(IF([1]财务取数接口!$C$58=0,"",[1]财务取数接口!$C$58),""))</f>
        <v>押金收取</v>
      </c>
      <c r="D59" s="89" t="str">
        <f>IF($T$4=0,IF($K59="","",$K59),IFERROR(IF([1]财务取数接口!$D$58=0,"",[1]财务取数接口!$D$58),""))</f>
        <v/>
      </c>
      <c r="E59" s="89" t="str">
        <f>IF($T$4=0,IF($L59="","",$L59),IFERROR(IF([1]财务取数接口!$E$58=0,"",[1]财务取数接口!$E$58),""))</f>
        <v>元</v>
      </c>
      <c r="F59" s="76" t="str">
        <f>IF($T$4=0,IF($M59="","",$M59),IFERROR(IF([1]财务取数接口!$G$58=0,"",[1]财务取数接口!$G$58),""))</f>
        <v/>
      </c>
      <c r="G59" s="76" t="str">
        <f>IF($T$4=0,IF($N59="","",$N59),IFERROR(IF([1]财务取数接口!$H$58=0,"",[1]财务取数接口!$H$58),""))</f>
        <v/>
      </c>
      <c r="H59" s="75" t="str">
        <f>IF($T$4=0,IF($O59="","",$O59),IFERROR(IF([1]财务取数接口!$I$58=0,"",[1]财务取数接口!$I$58),""))</f>
        <v/>
      </c>
      <c r="I59" s="43"/>
      <c r="J59" s="106"/>
      <c r="K59" s="43"/>
      <c r="L59" s="43"/>
      <c r="M59" s="107"/>
      <c r="N59" s="107"/>
      <c r="O59" s="106"/>
      <c r="P59" s="139">
        <f t="shared" si="0"/>
        <v>0</v>
      </c>
      <c r="Q59" s="139">
        <f t="shared" si="1"/>
        <v>0</v>
      </c>
    </row>
    <row r="60" spans="1:17">
      <c r="A60" s="74">
        <v>59</v>
      </c>
      <c r="B60" s="138" t="str">
        <f>IF($T$4=0,IF($I60="","",$I60),IFERROR(IF([1]财务取数接口!$B$59=0,"",[1]财务取数接口!$B$59),""))</f>
        <v/>
      </c>
      <c r="C60" s="75" t="str">
        <f>IF($T$4=0,IF($J60="","",$J60),IFERROR(IF([1]财务取数接口!$C$59=0,"",[1]财务取数接口!$C$59),""))</f>
        <v>押金收取</v>
      </c>
      <c r="D60" s="89" t="str">
        <f>IF($T$4=0,IF($K60="","",$K60),IFERROR(IF([1]财务取数接口!$D$59=0,"",[1]财务取数接口!$D$59),""))</f>
        <v/>
      </c>
      <c r="E60" s="89" t="str">
        <f>IF($T$4=0,IF($L60="","",$L60),IFERROR(IF([1]财务取数接口!$E$59=0,"",[1]财务取数接口!$E$59),""))</f>
        <v>元</v>
      </c>
      <c r="F60" s="76" t="str">
        <f>IF($T$4=0,IF($M60="","",$M60),IFERROR(IF([1]财务取数接口!$G$59=0,"",[1]财务取数接口!$G$59),""))</f>
        <v/>
      </c>
      <c r="G60" s="76" t="str">
        <f>IF($T$4=0,IF($N60="","",$N60),IFERROR(IF([1]财务取数接口!$H$59=0,"",[1]财务取数接口!$H$59),""))</f>
        <v/>
      </c>
      <c r="H60" s="75" t="str">
        <f>IF($T$4=0,IF($O60="","",$O60),IFERROR(IF([1]财务取数接口!$I$59=0,"",[1]财务取数接口!$I$59),""))</f>
        <v/>
      </c>
      <c r="I60" s="43"/>
      <c r="J60" s="106"/>
      <c r="K60" s="43"/>
      <c r="L60" s="43"/>
      <c r="M60" s="107"/>
      <c r="N60" s="107"/>
      <c r="O60" s="106"/>
      <c r="P60" s="139">
        <f t="shared" si="0"/>
        <v>0</v>
      </c>
      <c r="Q60" s="139">
        <f t="shared" si="1"/>
        <v>0</v>
      </c>
    </row>
    <row r="61" spans="1:17">
      <c r="A61" s="74">
        <v>60</v>
      </c>
      <c r="B61" s="138" t="str">
        <f>IF($T$4=0,IF($I61="","",$I61),IFERROR(IF([1]财务取数接口!$B$60=0,"",[1]财务取数接口!$B$60),""))</f>
        <v/>
      </c>
      <c r="C61" s="75" t="str">
        <f>IF($T$4=0,IF($J61="","",$J61),IFERROR(IF([1]财务取数接口!$C$60=0,"",[1]财务取数接口!$C$60),""))</f>
        <v>押金收取</v>
      </c>
      <c r="D61" s="89" t="str">
        <f>IF($T$4=0,IF($K61="","",$K61),IFERROR(IF([1]财务取数接口!$D$60=0,"",[1]财务取数接口!$D$60),""))</f>
        <v/>
      </c>
      <c r="E61" s="89" t="str">
        <f>IF($T$4=0,IF($L61="","",$L61),IFERROR(IF([1]财务取数接口!$E$60=0,"",[1]财务取数接口!$E$60),""))</f>
        <v>元</v>
      </c>
      <c r="F61" s="76" t="str">
        <f>IF($T$4=0,IF($M61="","",$M61),IFERROR(IF([1]财务取数接口!$G$60=0,"",[1]财务取数接口!$G$60),""))</f>
        <v/>
      </c>
      <c r="G61" s="76" t="str">
        <f>IF($T$4=0,IF($N61="","",$N61),IFERROR(IF([1]财务取数接口!$H$60=0,"",[1]财务取数接口!$H$60),""))</f>
        <v/>
      </c>
      <c r="H61" s="75" t="str">
        <f>IF($T$4=0,IF($O61="","",$O61),IFERROR(IF([1]财务取数接口!$I$60=0,"",[1]财务取数接口!$I$60),""))</f>
        <v/>
      </c>
      <c r="I61" s="43"/>
      <c r="J61" s="106"/>
      <c r="K61" s="43"/>
      <c r="L61" s="43"/>
      <c r="M61" s="107"/>
      <c r="N61" s="107"/>
      <c r="O61" s="106"/>
      <c r="P61" s="139">
        <f t="shared" si="0"/>
        <v>0</v>
      </c>
      <c r="Q61" s="139">
        <f t="shared" si="1"/>
        <v>0</v>
      </c>
    </row>
    <row r="62" spans="1:17">
      <c r="A62" s="74">
        <v>61</v>
      </c>
      <c r="B62" s="138" t="str">
        <f>IF($T$4=0,IF($I62="","",$I62),IFERROR(IF([1]财务取数接口!$B$61=0,"",[1]财务取数接口!$B$61),""))</f>
        <v/>
      </c>
      <c r="C62" s="75" t="str">
        <f>IF($T$4=0,IF($J62="","",$J62),IFERROR(IF([1]财务取数接口!$C$61=0,"",[1]财务取数接口!$C$61),""))</f>
        <v>押金收取</v>
      </c>
      <c r="D62" s="89" t="str">
        <f>IF($T$4=0,IF($K62="","",$K62),IFERROR(IF([1]财务取数接口!$D$61=0,"",[1]财务取数接口!$D$61),""))</f>
        <v/>
      </c>
      <c r="E62" s="89" t="str">
        <f>IF($T$4=0,IF($L62="","",$L62),IFERROR(IF([1]财务取数接口!$E$61=0,"",[1]财务取数接口!$E$61),""))</f>
        <v>元</v>
      </c>
      <c r="F62" s="76" t="str">
        <f>IF($T$4=0,IF($M62="","",$M62),IFERROR(IF([1]财务取数接口!$G$61=0,"",[1]财务取数接口!$G$61),""))</f>
        <v/>
      </c>
      <c r="G62" s="76" t="str">
        <f>IF($T$4=0,IF($N62="","",$N62),IFERROR(IF([1]财务取数接口!$H$61=0,"",[1]财务取数接口!$H$61),""))</f>
        <v/>
      </c>
      <c r="H62" s="75" t="str">
        <f>IF($T$4=0,IF($O62="","",$O62),IFERROR(IF([1]财务取数接口!$I$61=0,"",[1]财务取数接口!$I$61),""))</f>
        <v/>
      </c>
      <c r="I62" s="43"/>
      <c r="J62" s="106"/>
      <c r="K62" s="43"/>
      <c r="L62" s="43"/>
      <c r="M62" s="107"/>
      <c r="N62" s="107"/>
      <c r="O62" s="106"/>
      <c r="P62" s="139">
        <f t="shared" si="0"/>
        <v>0</v>
      </c>
      <c r="Q62" s="139">
        <f t="shared" si="1"/>
        <v>0</v>
      </c>
    </row>
    <row r="63" spans="1:17">
      <c r="A63" s="74">
        <v>62</v>
      </c>
      <c r="B63" s="138" t="str">
        <f>IF($T$4=0,IF($I63="","",$I63),IFERROR(IF([1]财务取数接口!$B$62=0,"",[1]财务取数接口!$B$62),""))</f>
        <v/>
      </c>
      <c r="C63" s="75" t="str">
        <f>IF($T$4=0,IF($J63="","",$J63),IFERROR(IF([1]财务取数接口!$C$62=0,"",[1]财务取数接口!$C$62),""))</f>
        <v>押金收取</v>
      </c>
      <c r="D63" s="89" t="str">
        <f>IF($T$4=0,IF($K63="","",$K63),IFERROR(IF([1]财务取数接口!$D$62=0,"",[1]财务取数接口!$D$62),""))</f>
        <v/>
      </c>
      <c r="E63" s="89" t="str">
        <f>IF($T$4=0,IF($L63="","",$L63),IFERROR(IF([1]财务取数接口!$E$62=0,"",[1]财务取数接口!$E$62),""))</f>
        <v>元</v>
      </c>
      <c r="F63" s="76" t="str">
        <f>IF($T$4=0,IF($M63="","",$M63),IFERROR(IF([1]财务取数接口!$G$62=0,"",[1]财务取数接口!$G$62),""))</f>
        <v/>
      </c>
      <c r="G63" s="76" t="str">
        <f>IF($T$4=0,IF($N63="","",$N63),IFERROR(IF([1]财务取数接口!$H$62=0,"",[1]财务取数接口!$H$62),""))</f>
        <v/>
      </c>
      <c r="H63" s="75" t="str">
        <f>IF($T$4=0,IF($O63="","",$O63),IFERROR(IF([1]财务取数接口!$I$62=0,"",[1]财务取数接口!$I$62),""))</f>
        <v/>
      </c>
      <c r="I63" s="43"/>
      <c r="J63" s="106"/>
      <c r="K63" s="43"/>
      <c r="L63" s="43"/>
      <c r="M63" s="107"/>
      <c r="N63" s="107"/>
      <c r="O63" s="106"/>
      <c r="P63" s="139">
        <f t="shared" si="0"/>
        <v>0</v>
      </c>
      <c r="Q63" s="139">
        <f t="shared" si="1"/>
        <v>0</v>
      </c>
    </row>
    <row r="64" spans="1:17">
      <c r="A64" s="74">
        <v>63</v>
      </c>
      <c r="B64" s="138" t="str">
        <f>IF($T$4=0,IF($I64="","",$I64),IFERROR(IF([1]财务取数接口!$B$63=0,"",[1]财务取数接口!$B$63),""))</f>
        <v/>
      </c>
      <c r="C64" s="75" t="str">
        <f>IF($T$4=0,IF($J64="","",$J64),IFERROR(IF([1]财务取数接口!$C$63=0,"",[1]财务取数接口!$C$63),""))</f>
        <v>押金收取</v>
      </c>
      <c r="D64" s="89" t="str">
        <f>IF($T$4=0,IF($K64="","",$K64),IFERROR(IF([1]财务取数接口!$D$63=0,"",[1]财务取数接口!$D$63),""))</f>
        <v/>
      </c>
      <c r="E64" s="89" t="str">
        <f>IF($T$4=0,IF($L64="","",$L64),IFERROR(IF([1]财务取数接口!$E$63=0,"",[1]财务取数接口!$E$63),""))</f>
        <v>元</v>
      </c>
      <c r="F64" s="76" t="str">
        <f>IF($T$4=0,IF($M64="","",$M64),IFERROR(IF([1]财务取数接口!$G$63=0,"",[1]财务取数接口!$G$63),""))</f>
        <v/>
      </c>
      <c r="G64" s="76" t="str">
        <f>IF($T$4=0,IF($N64="","",$N64),IFERROR(IF([1]财务取数接口!$H$63=0,"",[1]财务取数接口!$H$63),""))</f>
        <v/>
      </c>
      <c r="H64" s="75" t="str">
        <f>IF($T$4=0,IF($O64="","",$O64),IFERROR(IF([1]财务取数接口!$I$63=0,"",[1]财务取数接口!$I$63),""))</f>
        <v/>
      </c>
      <c r="I64" s="43"/>
      <c r="J64" s="106"/>
      <c r="K64" s="43"/>
      <c r="L64" s="43"/>
      <c r="M64" s="107"/>
      <c r="N64" s="107"/>
      <c r="O64" s="106"/>
      <c r="P64" s="139">
        <f t="shared" si="0"/>
        <v>0</v>
      </c>
      <c r="Q64" s="139">
        <f t="shared" si="1"/>
        <v>0</v>
      </c>
    </row>
    <row r="65" spans="1:17">
      <c r="A65" s="74">
        <v>64</v>
      </c>
      <c r="B65" s="89" t="str">
        <f>IF($T$4=0,IF($I65="","",$I65),IFERROR(IF([1]财务取数接口!$B$64=0,"",[1]财务取数接口!$B$64),""))</f>
        <v/>
      </c>
      <c r="C65" s="75" t="str">
        <f>IF($T$4=0,IF($J65="","",$J65),IFERROR(IF([1]财务取数接口!$C$64=0,"",[1]财务取数接口!$C$64),""))</f>
        <v>押金收取</v>
      </c>
      <c r="D65" s="89" t="str">
        <f>IF($T$4=0,IF($K65="","",$K65),IFERROR(IF([1]财务取数接口!$D$64=0,"",[1]财务取数接口!$D$64),""))</f>
        <v/>
      </c>
      <c r="E65" s="89" t="str">
        <f>IF($T$4=0,IF($L65="","",$L65),IFERROR(IF([1]财务取数接口!$E$64=0,"",[1]财务取数接口!$E$64),""))</f>
        <v>元</v>
      </c>
      <c r="F65" s="76" t="str">
        <f>IF($T$4=0,IF($M65="","",$M65),IFERROR(IF([1]财务取数接口!$G$64=0,"",[1]财务取数接口!$G$64),""))</f>
        <v/>
      </c>
      <c r="G65" s="76" t="str">
        <f>IF($T$4=0,IF($N65="","",$N65),IFERROR(IF([1]财务取数接口!$H$64=0,"",[1]财务取数接口!$H$64),""))</f>
        <v/>
      </c>
      <c r="H65" s="75" t="str">
        <f>IF($T$4=0,IF($O65="","",$O65),IFERROR(IF([1]财务取数接口!$I$64=0,"",[1]财务取数接口!$I$64),""))</f>
        <v/>
      </c>
      <c r="I65" s="43"/>
      <c r="J65" s="106"/>
      <c r="K65" s="43"/>
      <c r="L65" s="43"/>
      <c r="M65" s="107"/>
      <c r="N65" s="107"/>
      <c r="O65" s="106"/>
      <c r="P65" s="139">
        <f t="shared" si="0"/>
        <v>0</v>
      </c>
      <c r="Q65" s="139">
        <f t="shared" si="1"/>
        <v>0</v>
      </c>
    </row>
    <row r="66" spans="1:17">
      <c r="A66" s="74">
        <v>65</v>
      </c>
      <c r="B66" s="89" t="str">
        <f>IF($T$4=0,IF($I66="","",$I66),IFERROR(IF([1]财务取数接口!$B$65=0,"",[1]财务取数接口!$B$65),""))</f>
        <v/>
      </c>
      <c r="C66" s="75" t="str">
        <f>IF($T$4=0,IF($J66="","",$J66),IFERROR(IF([1]财务取数接口!$C$65=0,"",[1]财务取数接口!$C$65),""))</f>
        <v>押金收取</v>
      </c>
      <c r="D66" s="89" t="str">
        <f>IF($T$4=0,IF($K66="","",$K66),IFERROR(IF([1]财务取数接口!$D$65=0,"",[1]财务取数接口!$D$65),""))</f>
        <v/>
      </c>
      <c r="E66" s="89" t="str">
        <f>IF($T$4=0,IF($L66="","",$L66),IFERROR(IF([1]财务取数接口!$E$65=0,"",[1]财务取数接口!$E$65),""))</f>
        <v>元</v>
      </c>
      <c r="F66" s="76" t="str">
        <f>IF($T$4=0,IF($M66="","",$M66),IFERROR(IF([1]财务取数接口!$G$65=0,"",[1]财务取数接口!$G$65),""))</f>
        <v/>
      </c>
      <c r="G66" s="76" t="str">
        <f>IF($T$4=0,IF($N66="","",$N66),IFERROR(IF([1]财务取数接口!$H$65=0,"",[1]财务取数接口!$H$65),""))</f>
        <v/>
      </c>
      <c r="H66" s="75" t="str">
        <f>IF($T$4=0,IF($O66="","",$O66),IFERROR(IF([1]财务取数接口!$I$65=0,"",[1]财务取数接口!$I$65),""))</f>
        <v/>
      </c>
      <c r="I66" s="43"/>
      <c r="J66" s="106"/>
      <c r="K66" s="43"/>
      <c r="L66" s="43"/>
      <c r="M66" s="107"/>
      <c r="N66" s="107"/>
      <c r="O66" s="106"/>
      <c r="P66" s="139">
        <f t="shared" si="0"/>
        <v>0</v>
      </c>
      <c r="Q66" s="139">
        <f t="shared" si="1"/>
        <v>0</v>
      </c>
    </row>
    <row r="67" spans="1:17">
      <c r="A67" s="74">
        <v>66</v>
      </c>
      <c r="B67" s="138" t="str">
        <f>IF($T$4=0,IF($I67="","",$I67),IFERROR(IF([1]财务取数接口!$B$66=0,"",[1]财务取数接口!$B$66),""))</f>
        <v/>
      </c>
      <c r="C67" s="75" t="str">
        <f>IF($T$4=0,IF($J67="","",$J67),IFERROR(IF([1]财务取数接口!$C$66=0,"",[1]财务取数接口!$C$66),""))</f>
        <v>押金收取</v>
      </c>
      <c r="D67" s="89" t="str">
        <f>IF($T$4=0,IF($K67="","",$K67),IFERROR(IF([1]财务取数接口!$D$66=0,"",[1]财务取数接口!$D$66),""))</f>
        <v/>
      </c>
      <c r="E67" s="89" t="str">
        <f>IF($T$4=0,IF($L67="","",$L67),IFERROR(IF([1]财务取数接口!$E$66=0,"",[1]财务取数接口!$E$66),""))</f>
        <v>元</v>
      </c>
      <c r="F67" s="76" t="str">
        <f>IF($T$4=0,IF($M67="","",$M67),IFERROR(IF([1]财务取数接口!$G$66=0,"",[1]财务取数接口!$G$66),""))</f>
        <v/>
      </c>
      <c r="G67" s="76" t="str">
        <f>IF($T$4=0,IF($N67="","",$N67),IFERROR(IF([1]财务取数接口!$H$66=0,"",[1]财务取数接口!$H$66),""))</f>
        <v/>
      </c>
      <c r="H67" s="75" t="str">
        <f>IF($T$4=0,IF($O67="","",$O67),IFERROR(IF([1]财务取数接口!$I$66=0,"",[1]财务取数接口!$I$66),""))</f>
        <v/>
      </c>
      <c r="I67" s="43"/>
      <c r="J67" s="106"/>
      <c r="K67" s="43"/>
      <c r="L67" s="43"/>
      <c r="M67" s="107"/>
      <c r="N67" s="107"/>
      <c r="O67" s="106"/>
      <c r="P67" s="139">
        <f t="shared" si="0"/>
        <v>0</v>
      </c>
      <c r="Q67" s="139">
        <f t="shared" si="1"/>
        <v>0</v>
      </c>
    </row>
    <row r="68" spans="1:17">
      <c r="A68" s="74">
        <v>67</v>
      </c>
      <c r="B68" s="138" t="str">
        <f>IF($T$4=0,IF($I68="","",$I68),IFERROR(IF([1]财务取数接口!$B$67=0,"",[1]财务取数接口!$B$67),""))</f>
        <v/>
      </c>
      <c r="C68" s="75" t="str">
        <f>IF($T$4=0,IF($J68="","",$J68),IFERROR(IF([1]财务取数接口!$C$67=0,"",[1]财务取数接口!$C$67),""))</f>
        <v>押金收取</v>
      </c>
      <c r="D68" s="89" t="str">
        <f>IF($T$4=0,IF($K68="","",$K68),IFERROR(IF([1]财务取数接口!$D$67=0,"",[1]财务取数接口!$D$67),""))</f>
        <v/>
      </c>
      <c r="E68" s="89" t="str">
        <f>IF($T$4=0,IF($L68="","",$L68),IFERROR(IF([1]财务取数接口!$E$67=0,"",[1]财务取数接口!$E$67),""))</f>
        <v>元</v>
      </c>
      <c r="F68" s="76" t="str">
        <f>IF($T$4=0,IF($M68="","",$M68),IFERROR(IF([1]财务取数接口!$G$67=0,"",[1]财务取数接口!$G$67),""))</f>
        <v/>
      </c>
      <c r="G68" s="76" t="str">
        <f>IF($T$4=0,IF($N68="","",$N68),IFERROR(IF([1]财务取数接口!$H$67=0,"",[1]财务取数接口!$H$67),""))</f>
        <v/>
      </c>
      <c r="H68" s="75" t="str">
        <f>IF($T$4=0,IF($O68="","",$O68),IFERROR(IF([1]财务取数接口!$I$67=0,"",[1]财务取数接口!$I$67),""))</f>
        <v/>
      </c>
      <c r="I68" s="43"/>
      <c r="J68" s="106"/>
      <c r="K68" s="43"/>
      <c r="L68" s="43"/>
      <c r="M68" s="107"/>
      <c r="N68" s="107"/>
      <c r="O68" s="106"/>
      <c r="P68" s="139">
        <f t="shared" si="0"/>
        <v>0</v>
      </c>
      <c r="Q68" s="139">
        <f t="shared" si="1"/>
        <v>0</v>
      </c>
    </row>
    <row r="69" spans="1:17">
      <c r="A69" s="74">
        <v>68</v>
      </c>
      <c r="B69" s="138" t="str">
        <f>IF($T$4=0,IF($I69="","",$I69),IFERROR(IF([1]财务取数接口!$B$68=0,"",[1]财务取数接口!$B$68),""))</f>
        <v/>
      </c>
      <c r="C69" s="75" t="str">
        <f>IF($T$4=0,IF($J69="","",$J69),IFERROR(IF([1]财务取数接口!$C$68=0,"",[1]财务取数接口!$C$68),""))</f>
        <v>押金收取</v>
      </c>
      <c r="D69" s="89" t="str">
        <f>IF($T$4=0,IF($K69="","",$K69),IFERROR(IF([1]财务取数接口!$D$68=0,"",[1]财务取数接口!$D$68),""))</f>
        <v/>
      </c>
      <c r="E69" s="89" t="str">
        <f>IF($T$4=0,IF($L69="","",$L69),IFERROR(IF([1]财务取数接口!$E$68=0,"",[1]财务取数接口!$E$68),""))</f>
        <v>元</v>
      </c>
      <c r="F69" s="76" t="str">
        <f>IF($T$4=0,IF($M69="","",$M69),IFERROR(IF([1]财务取数接口!$G$68=0,"",[1]财务取数接口!$G$68),""))</f>
        <v/>
      </c>
      <c r="G69" s="76" t="str">
        <f>IF($T$4=0,IF($N69="","",$N69),IFERROR(IF([1]财务取数接口!$H$68=0,"",[1]财务取数接口!$H$68),""))</f>
        <v/>
      </c>
      <c r="H69" s="75" t="str">
        <f>IF($T$4=0,IF($O69="","",$O69),IFERROR(IF([1]财务取数接口!$I$68=0,"",[1]财务取数接口!$I$68),""))</f>
        <v/>
      </c>
      <c r="I69" s="43"/>
      <c r="J69" s="106"/>
      <c r="K69" s="43"/>
      <c r="L69" s="43"/>
      <c r="M69" s="107"/>
      <c r="N69" s="107"/>
      <c r="O69" s="106"/>
      <c r="P69" s="139">
        <f t="shared" ref="P69:P132" si="2">IF(AND($C69&lt;&gt;"",$C69&lt;&gt;"项目",OR(N($D69)&lt;&gt;0,N($E69)&lt;&gt;0,N($F69)&lt;&gt;0)),1,0)</f>
        <v>0</v>
      </c>
      <c r="Q69" s="139">
        <f t="shared" ref="Q69:Q132" si="3">N(Q68)+$P69</f>
        <v>0</v>
      </c>
    </row>
    <row r="70" spans="1:17">
      <c r="A70" s="74">
        <v>69</v>
      </c>
      <c r="B70" s="138" t="str">
        <f>IF($T$4=0,IF($I70="","",$I70),IFERROR(IF([1]财务取数接口!$B$69=0,"",[1]财务取数接口!$B$69),""))</f>
        <v/>
      </c>
      <c r="C70" s="75" t="str">
        <f>IF($T$4=0,IF($J70="","",$J70),IFERROR(IF([1]财务取数接口!$C$69=0,"",[1]财务取数接口!$C$69),""))</f>
        <v>押金收取</v>
      </c>
      <c r="D70" s="89" t="str">
        <f>IF($T$4=0,IF($K70="","",$K70),IFERROR(IF([1]财务取数接口!$D$69=0,"",[1]财务取数接口!$D$69),""))</f>
        <v/>
      </c>
      <c r="E70" s="89" t="str">
        <f>IF($T$4=0,IF($L70="","",$L70),IFERROR(IF([1]财务取数接口!$E$69=0,"",[1]财务取数接口!$E$69),""))</f>
        <v>元</v>
      </c>
      <c r="F70" s="76" t="str">
        <f>IF($T$4=0,IF($M70="","",$M70),IFERROR(IF([1]财务取数接口!$G$69=0,"",[1]财务取数接口!$G$69),""))</f>
        <v/>
      </c>
      <c r="G70" s="76" t="str">
        <f>IF($T$4=0,IF($N70="","",$N70),IFERROR(IF([1]财务取数接口!$H$69=0,"",[1]财务取数接口!$H$69),""))</f>
        <v/>
      </c>
      <c r="H70" s="75" t="str">
        <f>IF($T$4=0,IF($O70="","",$O70),IFERROR(IF([1]财务取数接口!$I$69=0,"",[1]财务取数接口!$I$69),""))</f>
        <v/>
      </c>
      <c r="I70" s="43"/>
      <c r="J70" s="106"/>
      <c r="K70" s="43"/>
      <c r="L70" s="43"/>
      <c r="M70" s="107"/>
      <c r="N70" s="107"/>
      <c r="O70" s="106"/>
      <c r="P70" s="139">
        <f t="shared" si="2"/>
        <v>0</v>
      </c>
      <c r="Q70" s="139">
        <f t="shared" si="3"/>
        <v>0</v>
      </c>
    </row>
    <row r="71" spans="1:17">
      <c r="A71" s="74">
        <v>70</v>
      </c>
      <c r="B71" s="138" t="str">
        <f>IF($T$4=0,IF($I71="","",$I71),IFERROR(IF([1]财务取数接口!$B$70=0,"",[1]财务取数接口!$B$70),""))</f>
        <v/>
      </c>
      <c r="C71" s="75" t="str">
        <f>IF($T$4=0,IF($J71="","",$J71),IFERROR(IF([1]财务取数接口!$C$70=0,"",[1]财务取数接口!$C$70),""))</f>
        <v>押金收取</v>
      </c>
      <c r="D71" s="89" t="str">
        <f>IF($T$4=0,IF($K71="","",$K71),IFERROR(IF([1]财务取数接口!$D$70=0,"",[1]财务取数接口!$D$70),""))</f>
        <v/>
      </c>
      <c r="E71" s="89" t="str">
        <f>IF($T$4=0,IF($L71="","",$L71),IFERROR(IF([1]财务取数接口!$E$70=0,"",[1]财务取数接口!$E$70),""))</f>
        <v>元</v>
      </c>
      <c r="F71" s="76" t="str">
        <f>IF($T$4=0,IF($M71="","",$M71),IFERROR(IF([1]财务取数接口!$G$70=0,"",[1]财务取数接口!$G$70),""))</f>
        <v/>
      </c>
      <c r="G71" s="76" t="str">
        <f>IF($T$4=0,IF($N71="","",$N71),IFERROR(IF([1]财务取数接口!$H$70=0,"",[1]财务取数接口!$H$70),""))</f>
        <v/>
      </c>
      <c r="H71" s="75" t="str">
        <f>IF($T$4=0,IF($O71="","",$O71),IFERROR(IF([1]财务取数接口!$I$70=0,"",[1]财务取数接口!$I$70),""))</f>
        <v/>
      </c>
      <c r="I71" s="43"/>
      <c r="J71" s="106"/>
      <c r="K71" s="43"/>
      <c r="L71" s="43"/>
      <c r="M71" s="107"/>
      <c r="N71" s="107"/>
      <c r="O71" s="106"/>
      <c r="P71" s="139">
        <f t="shared" si="2"/>
        <v>0</v>
      </c>
      <c r="Q71" s="139">
        <f t="shared" si="3"/>
        <v>0</v>
      </c>
    </row>
    <row r="72" spans="1:17">
      <c r="A72" s="74">
        <v>71</v>
      </c>
      <c r="B72" s="138" t="str">
        <f>IF($T$4=0,IF($I72="","",$I72),IFERROR(IF([1]财务取数接口!$B$71=0,"",[1]财务取数接口!$B$71),""))</f>
        <v/>
      </c>
      <c r="C72" s="75" t="str">
        <f>IF($T$4=0,IF($J72="","",$J72),IFERROR(IF([1]财务取数接口!$C$71=0,"",[1]财务取数接口!$C$71),""))</f>
        <v>押金收取</v>
      </c>
      <c r="D72" s="89" t="str">
        <f>IF($T$4=0,IF($K72="","",$K72),IFERROR(IF([1]财务取数接口!$D$71=0,"",[1]财务取数接口!$D$71),""))</f>
        <v/>
      </c>
      <c r="E72" s="89" t="str">
        <f>IF($T$4=0,IF($L72="","",$L72),IFERROR(IF([1]财务取数接口!$E$71=0,"",[1]财务取数接口!$E$71),""))</f>
        <v>元</v>
      </c>
      <c r="F72" s="76" t="str">
        <f>IF($T$4=0,IF($M72="","",$M72),IFERROR(IF([1]财务取数接口!$G$71=0,"",[1]财务取数接口!$G$71),""))</f>
        <v/>
      </c>
      <c r="G72" s="76" t="str">
        <f>IF($T$4=0,IF($N72="","",$N72),IFERROR(IF([1]财务取数接口!$H$71=0,"",[1]财务取数接口!$H$71),""))</f>
        <v/>
      </c>
      <c r="H72" s="75" t="str">
        <f>IF($T$4=0,IF($O72="","",$O72),IFERROR(IF([1]财务取数接口!$I$71=0,"",[1]财务取数接口!$I$71),""))</f>
        <v/>
      </c>
      <c r="I72" s="43"/>
      <c r="J72" s="106"/>
      <c r="K72" s="43"/>
      <c r="L72" s="43"/>
      <c r="M72" s="107"/>
      <c r="N72" s="107"/>
      <c r="O72" s="106"/>
      <c r="P72" s="139">
        <f t="shared" si="2"/>
        <v>0</v>
      </c>
      <c r="Q72" s="139">
        <f t="shared" si="3"/>
        <v>0</v>
      </c>
    </row>
    <row r="73" spans="1:17">
      <c r="A73" s="74">
        <v>72</v>
      </c>
      <c r="B73" s="138" t="str">
        <f>IF($T$4=0,IF($I73="","",$I73),IFERROR(IF([1]财务取数接口!$B$72=0,"",[1]财务取数接口!$B$72),""))</f>
        <v/>
      </c>
      <c r="C73" s="75" t="str">
        <f>IF($T$4=0,IF($J73="","",$J73),IFERROR(IF([1]财务取数接口!$C$72=0,"",[1]财务取数接口!$C$72),""))</f>
        <v>押金收取</v>
      </c>
      <c r="D73" s="89" t="str">
        <f>IF($T$4=0,IF($K73="","",$K73),IFERROR(IF([1]财务取数接口!$D$72=0,"",[1]财务取数接口!$D$72),""))</f>
        <v/>
      </c>
      <c r="E73" s="89" t="str">
        <f>IF($T$4=0,IF($L73="","",$L73),IFERROR(IF([1]财务取数接口!$E$72=0,"",[1]财务取数接口!$E$72),""))</f>
        <v>元</v>
      </c>
      <c r="F73" s="76" t="str">
        <f>IF($T$4=0,IF($M73="","",$M73),IFERROR(IF([1]财务取数接口!$G$72=0,"",[1]财务取数接口!$G$72),""))</f>
        <v/>
      </c>
      <c r="G73" s="76" t="str">
        <f>IF($T$4=0,IF($N73="","",$N73),IFERROR(IF([1]财务取数接口!$H$72=0,"",[1]财务取数接口!$H$72),""))</f>
        <v/>
      </c>
      <c r="H73" s="75" t="str">
        <f>IF($T$4=0,IF($O73="","",$O73),IFERROR(IF([1]财务取数接口!$I$72=0,"",[1]财务取数接口!$I$72),""))</f>
        <v/>
      </c>
      <c r="I73" s="43"/>
      <c r="J73" s="106"/>
      <c r="K73" s="43"/>
      <c r="L73" s="43"/>
      <c r="M73" s="107"/>
      <c r="N73" s="107"/>
      <c r="O73" s="106"/>
      <c r="P73" s="139">
        <f t="shared" si="2"/>
        <v>0</v>
      </c>
      <c r="Q73" s="139">
        <f t="shared" si="3"/>
        <v>0</v>
      </c>
    </row>
    <row r="74" spans="1:17">
      <c r="A74" s="74">
        <v>73</v>
      </c>
      <c r="B74" s="138" t="str">
        <f>IF($T$4=0,IF($I74="","",$I74),IFERROR(IF([1]财务取数接口!$B$73=0,"",[1]财务取数接口!$B$73),""))</f>
        <v/>
      </c>
      <c r="C74" s="75" t="str">
        <f>IF($T$4=0,IF($J74="","",$J74),IFERROR(IF([1]财务取数接口!$C$73=0,"",[1]财务取数接口!$C$73),""))</f>
        <v>押金收取</v>
      </c>
      <c r="D74" s="89" t="str">
        <f>IF($T$4=0,IF($K74="","",$K74),IFERROR(IF([1]财务取数接口!$D$73=0,"",[1]财务取数接口!$D$73),""))</f>
        <v/>
      </c>
      <c r="E74" s="89" t="str">
        <f>IF($T$4=0,IF($L74="","",$L74),IFERROR(IF([1]财务取数接口!$E$73=0,"",[1]财务取数接口!$E$73),""))</f>
        <v>元</v>
      </c>
      <c r="F74" s="76" t="str">
        <f>IF($T$4=0,IF($M74="","",$M74),IFERROR(IF([1]财务取数接口!$G$73=0,"",[1]财务取数接口!$G$73),""))</f>
        <v/>
      </c>
      <c r="G74" s="76" t="str">
        <f>IF($T$4=0,IF($N74="","",$N74),IFERROR(IF([1]财务取数接口!$H$73=0,"",[1]财务取数接口!$H$73),""))</f>
        <v/>
      </c>
      <c r="H74" s="75" t="str">
        <f>IF($T$4=0,IF($O74="","",$O74),IFERROR(IF([1]财务取数接口!$I$73=0,"",[1]财务取数接口!$I$73),""))</f>
        <v/>
      </c>
      <c r="I74" s="43"/>
      <c r="J74" s="106"/>
      <c r="K74" s="43"/>
      <c r="L74" s="43"/>
      <c r="M74" s="107"/>
      <c r="N74" s="107"/>
      <c r="O74" s="106"/>
      <c r="P74" s="139">
        <f t="shared" si="2"/>
        <v>0</v>
      </c>
      <c r="Q74" s="139">
        <f t="shared" si="3"/>
        <v>0</v>
      </c>
    </row>
    <row r="75" spans="1:17">
      <c r="A75" s="74">
        <v>74</v>
      </c>
      <c r="B75" s="138" t="str">
        <f>IF($T$4=0,IF($I75="","",$I75),IFERROR(IF([1]财务取数接口!$B$74=0,"",[1]财务取数接口!$B$74),""))</f>
        <v/>
      </c>
      <c r="C75" s="75" t="str">
        <f>IF($T$4=0,IF($J75="","",$J75),IFERROR(IF([1]财务取数接口!$C$74=0,"",[1]财务取数接口!$C$74),""))</f>
        <v>押金收取</v>
      </c>
      <c r="D75" s="89" t="str">
        <f>IF($T$4=0,IF($K75="","",$K75),IFERROR(IF([1]财务取数接口!$D$74=0,"",[1]财务取数接口!$D$74),""))</f>
        <v/>
      </c>
      <c r="E75" s="89" t="str">
        <f>IF($T$4=0,IF($L75="","",$L75),IFERROR(IF([1]财务取数接口!$E$74=0,"",[1]财务取数接口!$E$74),""))</f>
        <v>元</v>
      </c>
      <c r="F75" s="76" t="str">
        <f>IF($T$4=0,IF($M75="","",$M75),IFERROR(IF([1]财务取数接口!$G$74=0,"",[1]财务取数接口!$G$74),""))</f>
        <v/>
      </c>
      <c r="G75" s="76" t="str">
        <f>IF($T$4=0,IF($N75="","",$N75),IFERROR(IF([1]财务取数接口!$H$74=0,"",[1]财务取数接口!$H$74),""))</f>
        <v/>
      </c>
      <c r="H75" s="75" t="str">
        <f>IF($T$4=0,IF($O75="","",$O75),IFERROR(IF([1]财务取数接口!$I$74=0,"",[1]财务取数接口!$I$74),""))</f>
        <v/>
      </c>
      <c r="I75" s="43"/>
      <c r="J75" s="106"/>
      <c r="K75" s="43"/>
      <c r="L75" s="43"/>
      <c r="M75" s="107"/>
      <c r="N75" s="107"/>
      <c r="O75" s="106"/>
      <c r="P75" s="139">
        <f t="shared" si="2"/>
        <v>0</v>
      </c>
      <c r="Q75" s="139">
        <f t="shared" si="3"/>
        <v>0</v>
      </c>
    </row>
    <row r="76" spans="1:17">
      <c r="A76" s="74">
        <v>75</v>
      </c>
      <c r="B76" s="138" t="str">
        <f>IF($T$4=0,IF($I76="","",$I76),IFERROR(IF([1]财务取数接口!$B$75=0,"",[1]财务取数接口!$B$75),""))</f>
        <v/>
      </c>
      <c r="C76" s="75" t="str">
        <f>IF($T$4=0,IF($J76="","",$J76),IFERROR(IF([1]财务取数接口!$C$75=0,"",[1]财务取数接口!$C$75),""))</f>
        <v>押金收取</v>
      </c>
      <c r="D76" s="89" t="str">
        <f>IF($T$4=0,IF($K76="","",$K76),IFERROR(IF([1]财务取数接口!$D$75=0,"",[1]财务取数接口!$D$75),""))</f>
        <v/>
      </c>
      <c r="E76" s="89" t="str">
        <f>IF($T$4=0,IF($L76="","",$L76),IFERROR(IF([1]财务取数接口!$E$75=0,"",[1]财务取数接口!$E$75),""))</f>
        <v>元</v>
      </c>
      <c r="F76" s="76" t="str">
        <f>IF($T$4=0,IF($M76="","",$M76),IFERROR(IF([1]财务取数接口!$G$75=0,"",[1]财务取数接口!$G$75),""))</f>
        <v/>
      </c>
      <c r="G76" s="76" t="str">
        <f>IF($T$4=0,IF($N76="","",$N76),IFERROR(IF([1]财务取数接口!$H$75=0,"",[1]财务取数接口!$H$75),""))</f>
        <v/>
      </c>
      <c r="H76" s="75" t="str">
        <f>IF($T$4=0,IF($O76="","",$O76),IFERROR(IF([1]财务取数接口!$I$75=0,"",[1]财务取数接口!$I$75),""))</f>
        <v/>
      </c>
      <c r="I76" s="43"/>
      <c r="J76" s="106"/>
      <c r="K76" s="43"/>
      <c r="L76" s="43"/>
      <c r="M76" s="107"/>
      <c r="N76" s="107"/>
      <c r="O76" s="106"/>
      <c r="P76" s="139">
        <f t="shared" si="2"/>
        <v>0</v>
      </c>
      <c r="Q76" s="139">
        <f t="shared" si="3"/>
        <v>0</v>
      </c>
    </row>
    <row r="77" spans="1:17">
      <c r="A77" s="74">
        <v>76</v>
      </c>
      <c r="B77" s="138" t="str">
        <f>IF($T$4=0,IF($I77="","",$I77),IFERROR(IF([1]财务取数接口!$B$76=0,"",[1]财务取数接口!$B$76),""))</f>
        <v/>
      </c>
      <c r="C77" s="75" t="str">
        <f>IF($T$4=0,IF($J77="","",$J77),IFERROR(IF([1]财务取数接口!$C$76=0,"",[1]财务取数接口!$C$76),""))</f>
        <v>押金退还</v>
      </c>
      <c r="D77" s="89" t="str">
        <f>IF($T$4=0,IF($K77="","",$K77),IFERROR(IF([1]财务取数接口!$D$76=0,"",[1]财务取数接口!$D$76),""))</f>
        <v/>
      </c>
      <c r="E77" s="89" t="str">
        <f>IF($T$4=0,IF($L77="","",$L77),IFERROR(IF([1]财务取数接口!$E$76=0,"",[1]财务取数接口!$E$76),""))</f>
        <v>元</v>
      </c>
      <c r="F77" s="76" t="str">
        <f>IF($T$4=0,IF($M77="","",$M77),IFERROR(IF([1]财务取数接口!$G$76=0,"",[1]财务取数接口!$G$76),""))</f>
        <v/>
      </c>
      <c r="G77" s="76" t="str">
        <f>IF($T$4=0,IF($N77="","",$N77),IFERROR(IF([1]财务取数接口!$H$76=0,"",[1]财务取数接口!$H$76),""))</f>
        <v/>
      </c>
      <c r="H77" s="75" t="str">
        <f>IF($T$4=0,IF($O77="","",$O77),IFERROR(IF([1]财务取数接口!$I$76=0,"",[1]财务取数接口!$I$76),""))</f>
        <v/>
      </c>
      <c r="I77" s="43"/>
      <c r="J77" s="106"/>
      <c r="K77" s="43"/>
      <c r="L77" s="43"/>
      <c r="M77" s="107"/>
      <c r="N77" s="107"/>
      <c r="O77" s="106"/>
      <c r="P77" s="139">
        <f t="shared" si="2"/>
        <v>0</v>
      </c>
      <c r="Q77" s="139">
        <f t="shared" si="3"/>
        <v>0</v>
      </c>
    </row>
    <row r="78" spans="1:17">
      <c r="A78" s="74">
        <v>77</v>
      </c>
      <c r="B78" s="138" t="str">
        <f>IF($T$4=0,IF($I78="","",$I78),IFERROR(IF([1]财务取数接口!$B$77=0,"",[1]财务取数接口!$B$77),""))</f>
        <v/>
      </c>
      <c r="C78" s="75" t="str">
        <f>IF($T$4=0,IF($J78="","",$J78),IFERROR(IF([1]财务取数接口!$C$77=0,"",[1]财务取数接口!$C$77),""))</f>
        <v>押金退还</v>
      </c>
      <c r="D78" s="89" t="str">
        <f>IF($T$4=0,IF($K78="","",$K78),IFERROR(IF([1]财务取数接口!$D$77=0,"",[1]财务取数接口!$D$77),""))</f>
        <v/>
      </c>
      <c r="E78" s="89" t="str">
        <f>IF($T$4=0,IF($L78="","",$L78),IFERROR(IF([1]财务取数接口!$E$77=0,"",[1]财务取数接口!$E$77),""))</f>
        <v>元</v>
      </c>
      <c r="F78" s="76" t="str">
        <f>IF($T$4=0,IF($M78="","",$M78),IFERROR(IF([1]财务取数接口!$G$77=0,"",[1]财务取数接口!$G$77),""))</f>
        <v/>
      </c>
      <c r="G78" s="76" t="str">
        <f>IF($T$4=0,IF($N78="","",$N78),IFERROR(IF([1]财务取数接口!$H$77=0,"",[1]财务取数接口!$H$77),""))</f>
        <v/>
      </c>
      <c r="H78" s="75" t="str">
        <f>IF($T$4=0,IF($O78="","",$O78),IFERROR(IF([1]财务取数接口!$I$77=0,"",[1]财务取数接口!$I$77),""))</f>
        <v/>
      </c>
      <c r="I78" s="43"/>
      <c r="J78" s="106"/>
      <c r="K78" s="43"/>
      <c r="L78" s="43"/>
      <c r="M78" s="107"/>
      <c r="N78" s="107"/>
      <c r="O78" s="106"/>
      <c r="P78" s="139">
        <f t="shared" si="2"/>
        <v>0</v>
      </c>
      <c r="Q78" s="139">
        <f t="shared" si="3"/>
        <v>0</v>
      </c>
    </row>
    <row r="79" spans="1:17">
      <c r="A79" s="74">
        <v>78</v>
      </c>
      <c r="B79" s="138" t="str">
        <f>IF($T$4=0,IF($I79="","",$I79),IFERROR(IF([1]财务取数接口!$B$78=0,"",[1]财务取数接口!$B$78),""))</f>
        <v/>
      </c>
      <c r="C79" s="75" t="str">
        <f>IF($T$4=0,IF($J79="","",$J79),IFERROR(IF([1]财务取数接口!$C$78=0,"",[1]财务取数接口!$C$78),""))</f>
        <v>押金退还</v>
      </c>
      <c r="D79" s="89" t="str">
        <f>IF($T$4=0,IF($K79="","",$K79),IFERROR(IF([1]财务取数接口!$D$78=0,"",[1]财务取数接口!$D$78),""))</f>
        <v/>
      </c>
      <c r="E79" s="89" t="str">
        <f>IF($T$4=0,IF($L79="","",$L79),IFERROR(IF([1]财务取数接口!$E$78=0,"",[1]财务取数接口!$E$78),""))</f>
        <v>元</v>
      </c>
      <c r="F79" s="76" t="str">
        <f>IF($T$4=0,IF($M79="","",$M79),IFERROR(IF([1]财务取数接口!$G$78=0,"",[1]财务取数接口!$G$78),""))</f>
        <v/>
      </c>
      <c r="G79" s="76" t="str">
        <f>IF($T$4=0,IF($N79="","",$N79),IFERROR(IF([1]财务取数接口!$H$78=0,"",[1]财务取数接口!$H$78),""))</f>
        <v/>
      </c>
      <c r="H79" s="75" t="str">
        <f>IF($T$4=0,IF($O79="","",$O79),IFERROR(IF([1]财务取数接口!$I$78=0,"",[1]财务取数接口!$I$78),""))</f>
        <v/>
      </c>
      <c r="I79" s="43"/>
      <c r="J79" s="106"/>
      <c r="K79" s="43"/>
      <c r="L79" s="43"/>
      <c r="M79" s="107"/>
      <c r="N79" s="107"/>
      <c r="O79" s="106"/>
      <c r="P79" s="139">
        <f t="shared" si="2"/>
        <v>0</v>
      </c>
      <c r="Q79" s="139">
        <f t="shared" si="3"/>
        <v>0</v>
      </c>
    </row>
    <row r="80" spans="1:17">
      <c r="A80" s="74">
        <v>79</v>
      </c>
      <c r="B80" s="138" t="str">
        <f>IF($T$4=0,IF($I80="","",$I80),IFERROR(IF([1]财务取数接口!$B$79=0,"",[1]财务取数接口!$B$79),""))</f>
        <v/>
      </c>
      <c r="C80" s="75" t="str">
        <f>IF($T$4=0,IF($J80="","",$J80),IFERROR(IF([1]财务取数接口!$C$79=0,"",[1]财务取数接口!$C$79),""))</f>
        <v>押金退还</v>
      </c>
      <c r="D80" s="89" t="str">
        <f>IF($T$4=0,IF($K80="","",$K80),IFERROR(IF([1]财务取数接口!$D$79=0,"",[1]财务取数接口!$D$79),""))</f>
        <v/>
      </c>
      <c r="E80" s="89" t="str">
        <f>IF($T$4=0,IF($L80="","",$L80),IFERROR(IF([1]财务取数接口!$E$79=0,"",[1]财务取数接口!$E$79),""))</f>
        <v>元</v>
      </c>
      <c r="F80" s="76" t="str">
        <f>IF($T$4=0,IF($M80="","",$M80),IFERROR(IF([1]财务取数接口!$G$79=0,"",[1]财务取数接口!$G$79),""))</f>
        <v/>
      </c>
      <c r="G80" s="76" t="str">
        <f>IF($T$4=0,IF($N80="","",$N80),IFERROR(IF([1]财务取数接口!$H$79=0,"",[1]财务取数接口!$H$79),""))</f>
        <v/>
      </c>
      <c r="H80" s="75" t="str">
        <f>IF($T$4=0,IF($O80="","",$O80),IFERROR(IF([1]财务取数接口!$I$79=0,"",[1]财务取数接口!$I$79),""))</f>
        <v/>
      </c>
      <c r="I80" s="43"/>
      <c r="J80" s="106"/>
      <c r="K80" s="43"/>
      <c r="L80" s="43"/>
      <c r="M80" s="107"/>
      <c r="N80" s="107"/>
      <c r="O80" s="106"/>
      <c r="P80" s="139">
        <f t="shared" si="2"/>
        <v>0</v>
      </c>
      <c r="Q80" s="139">
        <f t="shared" si="3"/>
        <v>0</v>
      </c>
    </row>
    <row r="81" spans="1:17">
      <c r="A81" s="74">
        <v>80</v>
      </c>
      <c r="B81" s="138" t="str">
        <f>IF($T$4=0,IF($I81="","",$I81),IFERROR(IF([1]财务取数接口!$B$80=0,"",[1]财务取数接口!$B$80),""))</f>
        <v/>
      </c>
      <c r="C81" s="75" t="str">
        <f>IF($T$4=0,IF($J81="","",$J81),IFERROR(IF([1]财务取数接口!$C$80=0,"",[1]财务取数接口!$C$80),""))</f>
        <v>押金退还</v>
      </c>
      <c r="D81" s="89" t="str">
        <f>IF($T$4=0,IF($K81="","",$K81),IFERROR(IF([1]财务取数接口!$D$80=0,"",[1]财务取数接口!$D$80),""))</f>
        <v/>
      </c>
      <c r="E81" s="89" t="str">
        <f>IF($T$4=0,IF($L81="","",$L81),IFERROR(IF([1]财务取数接口!$E$80=0,"",[1]财务取数接口!$E$80),""))</f>
        <v>元</v>
      </c>
      <c r="F81" s="76" t="str">
        <f>IF($T$4=0,IF($M81="","",$M81),IFERROR(IF([1]财务取数接口!$G$80=0,"",[1]财务取数接口!$G$80),""))</f>
        <v/>
      </c>
      <c r="G81" s="76" t="str">
        <f>IF($T$4=0,IF($N81="","",$N81),IFERROR(IF([1]财务取数接口!$H$80=0,"",[1]财务取数接口!$H$80),""))</f>
        <v/>
      </c>
      <c r="H81" s="75" t="str">
        <f>IF($T$4=0,IF($O81="","",$O81),IFERROR(IF([1]财务取数接口!$I$80=0,"",[1]财务取数接口!$I$80),""))</f>
        <v/>
      </c>
      <c r="I81" s="43"/>
      <c r="J81" s="106"/>
      <c r="K81" s="43"/>
      <c r="L81" s="43"/>
      <c r="M81" s="107"/>
      <c r="N81" s="107"/>
      <c r="O81" s="106"/>
      <c r="P81" s="139">
        <f t="shared" si="2"/>
        <v>0</v>
      </c>
      <c r="Q81" s="139">
        <f t="shared" si="3"/>
        <v>0</v>
      </c>
    </row>
    <row r="82" spans="1:17">
      <c r="A82" s="74">
        <v>81</v>
      </c>
      <c r="B82" s="138" t="str">
        <f>IF($T$4=0,IF($I82="","",$I82),IFERROR(IF([1]财务取数接口!$B$81=0,"",[1]财务取数接口!$B$81),""))</f>
        <v/>
      </c>
      <c r="C82" s="75" t="str">
        <f>IF($T$4=0,IF($J82="","",$J82),IFERROR(IF([1]财务取数接口!$C$81=0,"",[1]财务取数接口!$C$81),""))</f>
        <v>押金退还</v>
      </c>
      <c r="D82" s="89" t="str">
        <f>IF($T$4=0,IF($K82="","",$K82),IFERROR(IF([1]财务取数接口!$D$81=0,"",[1]财务取数接口!$D$81),""))</f>
        <v/>
      </c>
      <c r="E82" s="89" t="str">
        <f>IF($T$4=0,IF($L82="","",$L82),IFERROR(IF([1]财务取数接口!$E$81=0,"",[1]财务取数接口!$E$81),""))</f>
        <v>元</v>
      </c>
      <c r="F82" s="76" t="str">
        <f>IF($T$4=0,IF($M82="","",$M82),IFERROR(IF([1]财务取数接口!$G$81=0,"",[1]财务取数接口!$G$81),""))</f>
        <v/>
      </c>
      <c r="G82" s="76" t="str">
        <f>IF($T$4=0,IF($N82="","",$N82),IFERROR(IF([1]财务取数接口!$H$81=0,"",[1]财务取数接口!$H$81),""))</f>
        <v/>
      </c>
      <c r="H82" s="75" t="str">
        <f>IF($T$4=0,IF($O82="","",$O82),IFERROR(IF([1]财务取数接口!$I$81=0,"",[1]财务取数接口!$I$81),""))</f>
        <v/>
      </c>
      <c r="I82" s="43"/>
      <c r="J82" s="106"/>
      <c r="K82" s="43"/>
      <c r="L82" s="43"/>
      <c r="M82" s="107"/>
      <c r="N82" s="107"/>
      <c r="O82" s="106"/>
      <c r="P82" s="139">
        <f t="shared" si="2"/>
        <v>0</v>
      </c>
      <c r="Q82" s="139">
        <f t="shared" si="3"/>
        <v>0</v>
      </c>
    </row>
    <row r="83" spans="1:17">
      <c r="A83" s="74">
        <v>82</v>
      </c>
      <c r="B83" s="138" t="str">
        <f>IF($T$4=0,IF($I83="","",$I83),IFERROR(IF([1]财务取数接口!$B$82=0,"",[1]财务取数接口!$B$82),""))</f>
        <v/>
      </c>
      <c r="C83" s="75" t="str">
        <f>IF($T$4=0,IF($J83="","",$J83),IFERROR(IF([1]财务取数接口!$C$82=0,"",[1]财务取数接口!$C$82),""))</f>
        <v>押金退还</v>
      </c>
      <c r="D83" s="89" t="str">
        <f>IF($T$4=0,IF($K83="","",$K83),IFERROR(IF([1]财务取数接口!$D$82=0,"",[1]财务取数接口!$D$82),""))</f>
        <v/>
      </c>
      <c r="E83" s="89" t="str">
        <f>IF($T$4=0,IF($L83="","",$L83),IFERROR(IF([1]财务取数接口!$E$82=0,"",[1]财务取数接口!$E$82),""))</f>
        <v>元</v>
      </c>
      <c r="F83" s="76" t="str">
        <f>IF($T$4=0,IF($M83="","",$M83),IFERROR(IF([1]财务取数接口!$G$82=0,"",[1]财务取数接口!$G$82),""))</f>
        <v/>
      </c>
      <c r="G83" s="76" t="str">
        <f>IF($T$4=0,IF($N83="","",$N83),IFERROR(IF([1]财务取数接口!$H$82=0,"",[1]财务取数接口!$H$82),""))</f>
        <v/>
      </c>
      <c r="H83" s="75" t="str">
        <f>IF($T$4=0,IF($O83="","",$O83),IFERROR(IF([1]财务取数接口!$I$82=0,"",[1]财务取数接口!$I$82),""))</f>
        <v/>
      </c>
      <c r="I83" s="43"/>
      <c r="J83" s="106"/>
      <c r="K83" s="43"/>
      <c r="L83" s="43"/>
      <c r="M83" s="107"/>
      <c r="N83" s="107"/>
      <c r="O83" s="106"/>
      <c r="P83" s="139">
        <f t="shared" si="2"/>
        <v>0</v>
      </c>
      <c r="Q83" s="139">
        <f t="shared" si="3"/>
        <v>0</v>
      </c>
    </row>
    <row r="84" spans="1:17">
      <c r="A84" s="74">
        <v>83</v>
      </c>
      <c r="B84" s="138" t="str">
        <f>IF($T$4=0,IF($I84="","",$I84),IFERROR(IF([1]财务取数接口!$B$83=0,"",[1]财务取数接口!$B$83),""))</f>
        <v/>
      </c>
      <c r="C84" s="75" t="str">
        <f>IF($T$4=0,IF($J84="","",$J84),IFERROR(IF([1]财务取数接口!$C$83=0,"",[1]财务取数接口!$C$83),""))</f>
        <v>押金退还</v>
      </c>
      <c r="D84" s="89" t="str">
        <f>IF($T$4=0,IF($K84="","",$K84),IFERROR(IF([1]财务取数接口!$D$83=0,"",[1]财务取数接口!$D$83),""))</f>
        <v/>
      </c>
      <c r="E84" s="89" t="str">
        <f>IF($T$4=0,IF($L84="","",$L84),IFERROR(IF([1]财务取数接口!$E$83=0,"",[1]财务取数接口!$E$83),""))</f>
        <v>元</v>
      </c>
      <c r="F84" s="76" t="str">
        <f>IF($T$4=0,IF($M84="","",$M84),IFERROR(IF([1]财务取数接口!$G$83=0,"",[1]财务取数接口!$G$83),""))</f>
        <v/>
      </c>
      <c r="G84" s="76" t="str">
        <f>IF($T$4=0,IF($N84="","",$N84),IFERROR(IF([1]财务取数接口!$H$83=0,"",[1]财务取数接口!$H$83),""))</f>
        <v/>
      </c>
      <c r="H84" s="75" t="str">
        <f>IF($T$4=0,IF($O84="","",$O84),IFERROR(IF([1]财务取数接口!$I$83=0,"",[1]财务取数接口!$I$83),""))</f>
        <v/>
      </c>
      <c r="I84" s="43"/>
      <c r="J84" s="106"/>
      <c r="K84" s="43"/>
      <c r="L84" s="43"/>
      <c r="M84" s="107"/>
      <c r="N84" s="107"/>
      <c r="O84" s="106"/>
      <c r="P84" s="139">
        <f t="shared" si="2"/>
        <v>0</v>
      </c>
      <c r="Q84" s="139">
        <f t="shared" si="3"/>
        <v>0</v>
      </c>
    </row>
    <row r="85" spans="1:17">
      <c r="A85" s="74">
        <v>84</v>
      </c>
      <c r="B85" s="138" t="str">
        <f>IF($T$4=0,IF($I85="","",$I85),IFERROR(IF([1]财务取数接口!$B$84=0,"",[1]财务取数接口!$B$84),""))</f>
        <v/>
      </c>
      <c r="C85" s="75" t="str">
        <f>IF($T$4=0,IF($J85="","",$J85),IFERROR(IF([1]财务取数接口!$C$84=0,"",[1]财务取数接口!$C$84),""))</f>
        <v>押金退还</v>
      </c>
      <c r="D85" s="89" t="str">
        <f>IF($T$4=0,IF($K85="","",$K85),IFERROR(IF([1]财务取数接口!$D$84=0,"",[1]财务取数接口!$D$84),""))</f>
        <v/>
      </c>
      <c r="E85" s="89" t="str">
        <f>IF($T$4=0,IF($L85="","",$L85),IFERROR(IF([1]财务取数接口!$E$84=0,"",[1]财务取数接口!$E$84),""))</f>
        <v>元</v>
      </c>
      <c r="F85" s="76" t="str">
        <f>IF($T$4=0,IF($M85="","",$M85),IFERROR(IF([1]财务取数接口!$G$84=0,"",[1]财务取数接口!$G$84),""))</f>
        <v/>
      </c>
      <c r="G85" s="76" t="str">
        <f>IF($T$4=0,IF($N85="","",$N85),IFERROR(IF([1]财务取数接口!$H$84=0,"",[1]财务取数接口!$H$84),""))</f>
        <v/>
      </c>
      <c r="H85" s="75" t="str">
        <f>IF($T$4=0,IF($O85="","",$O85),IFERROR(IF([1]财务取数接口!$I$84=0,"",[1]财务取数接口!$I$84),""))</f>
        <v/>
      </c>
      <c r="I85" s="43"/>
      <c r="J85" s="106"/>
      <c r="K85" s="43"/>
      <c r="L85" s="43"/>
      <c r="M85" s="107"/>
      <c r="N85" s="107"/>
      <c r="O85" s="106"/>
      <c r="P85" s="139">
        <f t="shared" si="2"/>
        <v>0</v>
      </c>
      <c r="Q85" s="139">
        <f t="shared" si="3"/>
        <v>0</v>
      </c>
    </row>
    <row r="86" spans="1:17">
      <c r="A86" s="74">
        <v>85</v>
      </c>
      <c r="B86" s="138" t="str">
        <f>IF($T$4=0,IF($I86="","",$I86),IFERROR(IF([1]财务取数接口!$B$85=0,"",[1]财务取数接口!$B$85),""))</f>
        <v/>
      </c>
      <c r="C86" s="75" t="str">
        <f>IF($T$4=0,IF($J86="","",$J86),IFERROR(IF([1]财务取数接口!$C$85=0,"",[1]财务取数接口!$C$85),""))</f>
        <v>押金退还</v>
      </c>
      <c r="D86" s="89" t="str">
        <f>IF($T$4=0,IF($K86="","",$K86),IFERROR(IF([1]财务取数接口!$D$85=0,"",[1]财务取数接口!$D$85),""))</f>
        <v/>
      </c>
      <c r="E86" s="89" t="str">
        <f>IF($T$4=0,IF($L86="","",$L86),IFERROR(IF([1]财务取数接口!$E$85=0,"",[1]财务取数接口!$E$85),""))</f>
        <v>元</v>
      </c>
      <c r="F86" s="76" t="str">
        <f>IF($T$4=0,IF($M86="","",$M86),IFERROR(IF([1]财务取数接口!$G$85=0,"",[1]财务取数接口!$G$85),""))</f>
        <v/>
      </c>
      <c r="G86" s="76" t="str">
        <f>IF($T$4=0,IF($N86="","",$N86),IFERROR(IF([1]财务取数接口!$H$85=0,"",[1]财务取数接口!$H$85),""))</f>
        <v/>
      </c>
      <c r="H86" s="75" t="str">
        <f>IF($T$4=0,IF($O86="","",$O86),IFERROR(IF([1]财务取数接口!$I$85=0,"",[1]财务取数接口!$I$85),""))</f>
        <v/>
      </c>
      <c r="I86" s="43"/>
      <c r="J86" s="106"/>
      <c r="K86" s="43"/>
      <c r="L86" s="43"/>
      <c r="M86" s="107"/>
      <c r="N86" s="107"/>
      <c r="O86" s="106"/>
      <c r="P86" s="139">
        <f t="shared" si="2"/>
        <v>0</v>
      </c>
      <c r="Q86" s="139">
        <f t="shared" si="3"/>
        <v>0</v>
      </c>
    </row>
    <row r="87" spans="1:17">
      <c r="A87" s="74">
        <v>86</v>
      </c>
      <c r="B87" s="138" t="str">
        <f>IF($T$4=0,IF($I87="","",$I87),IFERROR(IF([1]财务取数接口!$B$86=0,"",[1]财务取数接口!$B$86),""))</f>
        <v/>
      </c>
      <c r="C87" s="75" t="str">
        <f>IF($T$4=0,IF($J87="","",$J87),IFERROR(IF([1]财务取数接口!$C$86=0,"",[1]财务取数接口!$C$86),""))</f>
        <v>押金退还</v>
      </c>
      <c r="D87" s="89" t="str">
        <f>IF($T$4=0,IF($K87="","",$K87),IFERROR(IF([1]财务取数接口!$D$86=0,"",[1]财务取数接口!$D$86),""))</f>
        <v/>
      </c>
      <c r="E87" s="89" t="str">
        <f>IF($T$4=0,IF($L87="","",$L87),IFERROR(IF([1]财务取数接口!$E$86=0,"",[1]财务取数接口!$E$86),""))</f>
        <v>元</v>
      </c>
      <c r="F87" s="76" t="str">
        <f>IF($T$4=0,IF($M87="","",$M87),IFERROR(IF([1]财务取数接口!$G$86=0,"",[1]财务取数接口!$G$86),""))</f>
        <v/>
      </c>
      <c r="G87" s="76" t="str">
        <f>IF($T$4=0,IF($N87="","",$N87),IFERROR(IF([1]财务取数接口!$H$86=0,"",[1]财务取数接口!$H$86),""))</f>
        <v/>
      </c>
      <c r="H87" s="75" t="str">
        <f>IF($T$4=0,IF($O87="","",$O87),IFERROR(IF([1]财务取数接口!$I$86=0,"",[1]财务取数接口!$I$86),""))</f>
        <v/>
      </c>
      <c r="I87" s="43"/>
      <c r="J87" s="106"/>
      <c r="K87" s="43"/>
      <c r="L87" s="43"/>
      <c r="M87" s="107"/>
      <c r="N87" s="107"/>
      <c r="O87" s="106"/>
      <c r="P87" s="139">
        <f t="shared" si="2"/>
        <v>0</v>
      </c>
      <c r="Q87" s="139">
        <f t="shared" si="3"/>
        <v>0</v>
      </c>
    </row>
    <row r="88" spans="1:17">
      <c r="A88" s="74">
        <v>87</v>
      </c>
      <c r="B88" s="138" t="str">
        <f>IF($T$4=0,IF($I88="","",$I88),IFERROR(IF([1]财务取数接口!$B$87=0,"",[1]财务取数接口!$B$87),""))</f>
        <v/>
      </c>
      <c r="C88" s="75" t="str">
        <f>IF($T$4=0,IF($J88="","",$J88),IFERROR(IF([1]财务取数接口!$C$87=0,"",[1]财务取数接口!$C$87),""))</f>
        <v>押金退还</v>
      </c>
      <c r="D88" s="89" t="str">
        <f>IF($T$4=0,IF($K88="","",$K88),IFERROR(IF([1]财务取数接口!$D$87=0,"",[1]财务取数接口!$D$87),""))</f>
        <v/>
      </c>
      <c r="E88" s="89" t="str">
        <f>IF($T$4=0,IF($L88="","",$L88),IFERROR(IF([1]财务取数接口!$E$87=0,"",[1]财务取数接口!$E$87),""))</f>
        <v>元</v>
      </c>
      <c r="F88" s="76" t="str">
        <f>IF($T$4=0,IF($M88="","",$M88),IFERROR(IF([1]财务取数接口!$G$87=0,"",[1]财务取数接口!$G$87),""))</f>
        <v/>
      </c>
      <c r="G88" s="76" t="str">
        <f>IF($T$4=0,IF($N88="","",$N88),IFERROR(IF([1]财务取数接口!$H$87=0,"",[1]财务取数接口!$H$87),""))</f>
        <v/>
      </c>
      <c r="H88" s="75" t="str">
        <f>IF($T$4=0,IF($O88="","",$O88),IFERROR(IF([1]财务取数接口!$I$87=0,"",[1]财务取数接口!$I$87),""))</f>
        <v/>
      </c>
      <c r="I88" s="43"/>
      <c r="J88" s="106"/>
      <c r="K88" s="43"/>
      <c r="L88" s="43"/>
      <c r="M88" s="107"/>
      <c r="N88" s="107"/>
      <c r="O88" s="106"/>
      <c r="P88" s="139">
        <f t="shared" si="2"/>
        <v>0</v>
      </c>
      <c r="Q88" s="139">
        <f t="shared" si="3"/>
        <v>0</v>
      </c>
    </row>
    <row r="89" spans="1:17">
      <c r="A89" s="74">
        <v>88</v>
      </c>
      <c r="B89" s="138" t="str">
        <f>IF($T$4=0,IF($I89="","",$I89),IFERROR(IF([1]财务取数接口!$B$88=0,"",[1]财务取数接口!$B$88),""))</f>
        <v/>
      </c>
      <c r="C89" s="75" t="str">
        <f>IF($T$4=0,IF($J89="","",$J89),IFERROR(IF([1]财务取数接口!$C$88=0,"",[1]财务取数接口!$C$88),""))</f>
        <v>押金退还</v>
      </c>
      <c r="D89" s="89" t="str">
        <f>IF($T$4=0,IF($K89="","",$K89),IFERROR(IF([1]财务取数接口!$D$88=0,"",[1]财务取数接口!$D$88),""))</f>
        <v/>
      </c>
      <c r="E89" s="89" t="str">
        <f>IF($T$4=0,IF($L89="","",$L89),IFERROR(IF([1]财务取数接口!$E$88=0,"",[1]财务取数接口!$E$88),""))</f>
        <v>元</v>
      </c>
      <c r="F89" s="76" t="str">
        <f>IF($T$4=0,IF($M89="","",$M89),IFERROR(IF([1]财务取数接口!$G$88=0,"",[1]财务取数接口!$G$88),""))</f>
        <v/>
      </c>
      <c r="G89" s="76" t="str">
        <f>IF($T$4=0,IF($N89="","",$N89),IFERROR(IF([1]财务取数接口!$H$88=0,"",[1]财务取数接口!$H$88),""))</f>
        <v/>
      </c>
      <c r="H89" s="75" t="str">
        <f>IF($T$4=0,IF($O89="","",$O89),IFERROR(IF([1]财务取数接口!$I$88=0,"",[1]财务取数接口!$I$88),""))</f>
        <v/>
      </c>
      <c r="I89" s="43"/>
      <c r="J89" s="106"/>
      <c r="K89" s="43"/>
      <c r="L89" s="43"/>
      <c r="M89" s="107"/>
      <c r="N89" s="107"/>
      <c r="O89" s="106"/>
      <c r="P89" s="139">
        <f t="shared" si="2"/>
        <v>0</v>
      </c>
      <c r="Q89" s="139">
        <f t="shared" si="3"/>
        <v>0</v>
      </c>
    </row>
    <row r="90" spans="1:17">
      <c r="A90" s="74">
        <v>89</v>
      </c>
      <c r="B90" s="138" t="str">
        <f>IF($T$4=0,IF($I90="","",$I90),IFERROR(IF([1]财务取数接口!$B$89=0,"",[1]财务取数接口!$B$89),""))</f>
        <v/>
      </c>
      <c r="C90" s="75" t="str">
        <f>IF($T$4=0,IF($J90="","",$J90),IFERROR(IF([1]财务取数接口!$C$89=0,"",[1]财务取数接口!$C$89),""))</f>
        <v>押金退还</v>
      </c>
      <c r="D90" s="89" t="str">
        <f>IF($T$4=0,IF($K90="","",$K90),IFERROR(IF([1]财务取数接口!$D$89=0,"",[1]财务取数接口!$D$89),""))</f>
        <v/>
      </c>
      <c r="E90" s="89" t="str">
        <f>IF($T$4=0,IF($L90="","",$L90),IFERROR(IF([1]财务取数接口!$E$89=0,"",[1]财务取数接口!$E$89),""))</f>
        <v>元</v>
      </c>
      <c r="F90" s="76" t="str">
        <f>IF($T$4=0,IF($M90="","",$M90),IFERROR(IF([1]财务取数接口!$G$89=0,"",[1]财务取数接口!$G$89),""))</f>
        <v/>
      </c>
      <c r="G90" s="76" t="str">
        <f>IF($T$4=0,IF($N90="","",$N90),IFERROR(IF([1]财务取数接口!$H$89=0,"",[1]财务取数接口!$H$89),""))</f>
        <v/>
      </c>
      <c r="H90" s="75" t="str">
        <f>IF($T$4=0,IF($O90="","",$O90),IFERROR(IF([1]财务取数接口!$I$89=0,"",[1]财务取数接口!$I$89),""))</f>
        <v/>
      </c>
      <c r="I90" s="43"/>
      <c r="J90" s="106"/>
      <c r="K90" s="43"/>
      <c r="L90" s="43"/>
      <c r="M90" s="107"/>
      <c r="N90" s="107"/>
      <c r="O90" s="106"/>
      <c r="P90" s="139">
        <f t="shared" si="2"/>
        <v>0</v>
      </c>
      <c r="Q90" s="139">
        <f t="shared" si="3"/>
        <v>0</v>
      </c>
    </row>
    <row r="91" spans="1:17">
      <c r="A91" s="74">
        <v>90</v>
      </c>
      <c r="B91" s="138" t="str">
        <f>IF($T$4=0,IF($I91="","",$I91),IFERROR(IF([1]财务取数接口!$B$90=0,"",[1]财务取数接口!$B$90),""))</f>
        <v/>
      </c>
      <c r="C91" s="75" t="str">
        <f>IF($T$4=0,IF($J91="","",$J91),IFERROR(IF([1]财务取数接口!$C$90=0,"",[1]财务取数接口!$C$90),""))</f>
        <v>押金退还</v>
      </c>
      <c r="D91" s="89" t="str">
        <f>IF($T$4=0,IF($K91="","",$K91),IFERROR(IF([1]财务取数接口!$D$90=0,"",[1]财务取数接口!$D$90),""))</f>
        <v/>
      </c>
      <c r="E91" s="89" t="str">
        <f>IF($T$4=0,IF($L91="","",$L91),IFERROR(IF([1]财务取数接口!$E$90=0,"",[1]财务取数接口!$E$90),""))</f>
        <v>元</v>
      </c>
      <c r="F91" s="76" t="str">
        <f>IF($T$4=0,IF($M91="","",$M91),IFERROR(IF([1]财务取数接口!$G$90=0,"",[1]财务取数接口!$G$90),""))</f>
        <v/>
      </c>
      <c r="G91" s="76" t="str">
        <f>IF($T$4=0,IF($N91="","",$N91),IFERROR(IF([1]财务取数接口!$H$90=0,"",[1]财务取数接口!$H$90),""))</f>
        <v/>
      </c>
      <c r="H91" s="75" t="str">
        <f>IF($T$4=0,IF($O91="","",$O91),IFERROR(IF([1]财务取数接口!$I$90=0,"",[1]财务取数接口!$I$90),""))</f>
        <v/>
      </c>
      <c r="I91" s="43"/>
      <c r="J91" s="106"/>
      <c r="K91" s="43"/>
      <c r="L91" s="43"/>
      <c r="M91" s="107"/>
      <c r="N91" s="107"/>
      <c r="O91" s="106"/>
      <c r="P91" s="139">
        <f t="shared" si="2"/>
        <v>0</v>
      </c>
      <c r="Q91" s="139">
        <f t="shared" si="3"/>
        <v>0</v>
      </c>
    </row>
    <row r="92" spans="1:17">
      <c r="A92" s="74">
        <v>91</v>
      </c>
      <c r="B92" s="138" t="str">
        <f>IF($T$4=0,IF($I92="","",$I92),IFERROR(IF([1]财务取数接口!$B$91=0,"",[1]财务取数接口!$B$91),""))</f>
        <v/>
      </c>
      <c r="C92" s="75" t="str">
        <f>IF($T$4=0,IF($J92="","",$J92),IFERROR(IF([1]财务取数接口!$C$91=0,"",[1]财务取数接口!$C$91),""))</f>
        <v>押金退还</v>
      </c>
      <c r="D92" s="89" t="str">
        <f>IF($T$4=0,IF($K92="","",$K92),IFERROR(IF([1]财务取数接口!$D$91=0,"",[1]财务取数接口!$D$91),""))</f>
        <v/>
      </c>
      <c r="E92" s="89" t="str">
        <f>IF($T$4=0,IF($L92="","",$L92),IFERROR(IF([1]财务取数接口!$E$91=0,"",[1]财务取数接口!$E$91),""))</f>
        <v>元</v>
      </c>
      <c r="F92" s="76" t="str">
        <f>IF($T$4=0,IF($M92="","",$M92),IFERROR(IF([1]财务取数接口!$G$91=0,"",[1]财务取数接口!$G$91),""))</f>
        <v/>
      </c>
      <c r="G92" s="76" t="str">
        <f>IF($T$4=0,IF($N92="","",$N92),IFERROR(IF([1]财务取数接口!$H$91=0,"",[1]财务取数接口!$H$91),""))</f>
        <v/>
      </c>
      <c r="H92" s="75" t="str">
        <f>IF($T$4=0,IF($O92="","",$O92),IFERROR(IF([1]财务取数接口!$I$91=0,"",[1]财务取数接口!$I$91),""))</f>
        <v/>
      </c>
      <c r="I92" s="43"/>
      <c r="J92" s="106"/>
      <c r="K92" s="43"/>
      <c r="L92" s="43"/>
      <c r="M92" s="107"/>
      <c r="N92" s="107"/>
      <c r="O92" s="106"/>
      <c r="P92" s="139">
        <f t="shared" si="2"/>
        <v>0</v>
      </c>
      <c r="Q92" s="139">
        <f t="shared" si="3"/>
        <v>0</v>
      </c>
    </row>
    <row r="93" spans="1:17">
      <c r="A93" s="74">
        <v>92</v>
      </c>
      <c r="B93" s="138" t="str">
        <f>IF($T$4=0,IF($I93="","",$I93),IFERROR(IF([1]财务取数接口!$B$92=0,"",[1]财务取数接口!$B$92),""))</f>
        <v/>
      </c>
      <c r="C93" s="75" t="str">
        <f>IF($T$4=0,IF($J93="","",$J93),IFERROR(IF([1]财务取数接口!$C$92=0,"",[1]财务取数接口!$C$92),""))</f>
        <v>押金退还</v>
      </c>
      <c r="D93" s="89" t="str">
        <f>IF($T$4=0,IF($K93="","",$K93),IFERROR(IF([1]财务取数接口!$D$92=0,"",[1]财务取数接口!$D$92),""))</f>
        <v/>
      </c>
      <c r="E93" s="89" t="str">
        <f>IF($T$4=0,IF($L93="","",$L93),IFERROR(IF([1]财务取数接口!$E$92=0,"",[1]财务取数接口!$E$92),""))</f>
        <v>元</v>
      </c>
      <c r="F93" s="76" t="str">
        <f>IF($T$4=0,IF($M93="","",$M93),IFERROR(IF([1]财务取数接口!$G$92=0,"",[1]财务取数接口!$G$92),""))</f>
        <v/>
      </c>
      <c r="G93" s="76" t="str">
        <f>IF($T$4=0,IF($N93="","",$N93),IFERROR(IF([1]财务取数接口!$H$92=0,"",[1]财务取数接口!$H$92),""))</f>
        <v/>
      </c>
      <c r="H93" s="75" t="str">
        <f>IF($T$4=0,IF($O93="","",$O93),IFERROR(IF([1]财务取数接口!$I$92=0,"",[1]财务取数接口!$I$92),""))</f>
        <v/>
      </c>
      <c r="I93" s="43"/>
      <c r="J93" s="106"/>
      <c r="K93" s="43"/>
      <c r="L93" s="43"/>
      <c r="M93" s="107"/>
      <c r="N93" s="107"/>
      <c r="O93" s="106"/>
      <c r="P93" s="139">
        <f t="shared" si="2"/>
        <v>0</v>
      </c>
      <c r="Q93" s="139">
        <f t="shared" si="3"/>
        <v>0</v>
      </c>
    </row>
    <row r="94" spans="1:17">
      <c r="A94" s="74">
        <v>93</v>
      </c>
      <c r="B94" s="138" t="str">
        <f>IF($T$4=0,IF($I94="","",$I94),IFERROR(IF([1]财务取数接口!$B$93=0,"",[1]财务取数接口!$B$93),""))</f>
        <v/>
      </c>
      <c r="C94" s="75" t="str">
        <f>IF($T$4=0,IF($J94="","",$J94),IFERROR(IF([1]财务取数接口!$C$93=0,"",[1]财务取数接口!$C$93),""))</f>
        <v>押金退还</v>
      </c>
      <c r="D94" s="89" t="str">
        <f>IF($T$4=0,IF($K94="","",$K94),IFERROR(IF([1]财务取数接口!$D$93=0,"",[1]财务取数接口!$D$93),""))</f>
        <v/>
      </c>
      <c r="E94" s="89" t="str">
        <f>IF($T$4=0,IF($L94="","",$L94),IFERROR(IF([1]财务取数接口!$E$93=0,"",[1]财务取数接口!$E$93),""))</f>
        <v>元</v>
      </c>
      <c r="F94" s="76" t="str">
        <f>IF($T$4=0,IF($M94="","",$M94),IFERROR(IF([1]财务取数接口!$G$93=0,"",[1]财务取数接口!$G$93),""))</f>
        <v/>
      </c>
      <c r="G94" s="76" t="str">
        <f>IF($T$4=0,IF($N94="","",$N94),IFERROR(IF([1]财务取数接口!$H$93=0,"",[1]财务取数接口!$H$93),""))</f>
        <v/>
      </c>
      <c r="H94" s="75" t="str">
        <f>IF($T$4=0,IF($O94="","",$O94),IFERROR(IF([1]财务取数接口!$I$93=0,"",[1]财务取数接口!$I$93),""))</f>
        <v/>
      </c>
      <c r="I94" s="43"/>
      <c r="J94" s="106"/>
      <c r="K94" s="43"/>
      <c r="L94" s="43"/>
      <c r="M94" s="107"/>
      <c r="N94" s="107"/>
      <c r="O94" s="106"/>
      <c r="P94" s="139">
        <f t="shared" si="2"/>
        <v>0</v>
      </c>
      <c r="Q94" s="139">
        <f t="shared" si="3"/>
        <v>0</v>
      </c>
    </row>
    <row r="95" spans="1:17">
      <c r="A95" s="74">
        <v>94</v>
      </c>
      <c r="B95" s="138" t="str">
        <f>IF($T$4=0,IF($I95="","",$I95),IFERROR(IF([1]财务取数接口!$B$94=0,"",[1]财务取数接口!$B$94),""))</f>
        <v/>
      </c>
      <c r="C95" s="75" t="str">
        <f>IF($T$4=0,IF($J95="","",$J95),IFERROR(IF([1]财务取数接口!$C$94=0,"",[1]财务取数接口!$C$94),""))</f>
        <v>押金退还</v>
      </c>
      <c r="D95" s="89" t="str">
        <f>IF($T$4=0,IF($K95="","",$K95),IFERROR(IF([1]财务取数接口!$D$94=0,"",[1]财务取数接口!$D$94),""))</f>
        <v/>
      </c>
      <c r="E95" s="89" t="str">
        <f>IF($T$4=0,IF($L95="","",$L95),IFERROR(IF([1]财务取数接口!$E$94=0,"",[1]财务取数接口!$E$94),""))</f>
        <v>元</v>
      </c>
      <c r="F95" s="76" t="str">
        <f>IF($T$4=0,IF($M95="","",$M95),IFERROR(IF([1]财务取数接口!$G$94=0,"",[1]财务取数接口!$G$94),""))</f>
        <v/>
      </c>
      <c r="G95" s="76" t="str">
        <f>IF($T$4=0,IF($N95="","",$N95),IFERROR(IF([1]财务取数接口!$H$94=0,"",[1]财务取数接口!$H$94),""))</f>
        <v/>
      </c>
      <c r="H95" s="75" t="str">
        <f>IF($T$4=0,IF($O95="","",$O95),IFERROR(IF([1]财务取数接口!$I$94=0,"",[1]财务取数接口!$I$94),""))</f>
        <v/>
      </c>
      <c r="I95" s="43"/>
      <c r="J95" s="106"/>
      <c r="K95" s="43"/>
      <c r="L95" s="43"/>
      <c r="M95" s="107"/>
      <c r="N95" s="107"/>
      <c r="O95" s="106"/>
      <c r="P95" s="139">
        <f t="shared" si="2"/>
        <v>0</v>
      </c>
      <c r="Q95" s="139">
        <f t="shared" si="3"/>
        <v>0</v>
      </c>
    </row>
    <row r="96" spans="1:17">
      <c r="A96" s="74">
        <v>95</v>
      </c>
      <c r="B96" s="138" t="str">
        <f>IF($T$4=0,IF($I96="","",$I96),IFERROR(IF([1]财务取数接口!$B$95=0,"",[1]财务取数接口!$B$95),""))</f>
        <v/>
      </c>
      <c r="C96" s="75" t="str">
        <f>IF($T$4=0,IF($J96="","",$J96),IFERROR(IF([1]财务取数接口!$C$95=0,"",[1]财务取数接口!$C$95),""))</f>
        <v>押金退还</v>
      </c>
      <c r="D96" s="89" t="str">
        <f>IF($T$4=0,IF($K96="","",$K96),IFERROR(IF([1]财务取数接口!$D$95=0,"",[1]财务取数接口!$D$95),""))</f>
        <v/>
      </c>
      <c r="E96" s="89" t="str">
        <f>IF($T$4=0,IF($L96="","",$L96),IFERROR(IF([1]财务取数接口!$E$95=0,"",[1]财务取数接口!$E$95),""))</f>
        <v>元</v>
      </c>
      <c r="F96" s="76" t="str">
        <f>IF($T$4=0,IF($M96="","",$M96),IFERROR(IF([1]财务取数接口!$G$95=0,"",[1]财务取数接口!$G$95),""))</f>
        <v/>
      </c>
      <c r="G96" s="76" t="str">
        <f>IF($T$4=0,IF($N96="","",$N96),IFERROR(IF([1]财务取数接口!$H$95=0,"",[1]财务取数接口!$H$95),""))</f>
        <v/>
      </c>
      <c r="H96" s="75" t="str">
        <f>IF($T$4=0,IF($O96="","",$O96),IFERROR(IF([1]财务取数接口!$I$95=0,"",[1]财务取数接口!$I$95),""))</f>
        <v/>
      </c>
      <c r="I96" s="43"/>
      <c r="J96" s="106"/>
      <c r="K96" s="43"/>
      <c r="L96" s="43"/>
      <c r="M96" s="107"/>
      <c r="N96" s="107"/>
      <c r="O96" s="106"/>
      <c r="P96" s="139">
        <f t="shared" si="2"/>
        <v>0</v>
      </c>
      <c r="Q96" s="139">
        <f t="shared" si="3"/>
        <v>0</v>
      </c>
    </row>
    <row r="97" spans="1:17">
      <c r="A97" s="74">
        <v>96</v>
      </c>
      <c r="B97" s="138" t="str">
        <f>IF($T$4=0,IF($I97="","",$I97),IFERROR(IF([1]财务取数接口!$B$96=0,"",[1]财务取数接口!$B$96),""))</f>
        <v/>
      </c>
      <c r="C97" s="75" t="str">
        <f>IF($T$4=0,IF($J97="","",$J97),IFERROR(IF([1]财务取数接口!$C$96=0,"",[1]财务取数接口!$C$96),""))</f>
        <v>押金退还</v>
      </c>
      <c r="D97" s="89" t="str">
        <f>IF($T$4=0,IF($K97="","",$K97),IFERROR(IF([1]财务取数接口!$D$96=0,"",[1]财务取数接口!$D$96),""))</f>
        <v/>
      </c>
      <c r="E97" s="89" t="str">
        <f>IF($T$4=0,IF($L97="","",$L97),IFERROR(IF([1]财务取数接口!$E$96=0,"",[1]财务取数接口!$E$96),""))</f>
        <v>元</v>
      </c>
      <c r="F97" s="76" t="str">
        <f>IF($T$4=0,IF($M97="","",$M97),IFERROR(IF([1]财务取数接口!$G$96=0,"",[1]财务取数接口!$G$96),""))</f>
        <v/>
      </c>
      <c r="G97" s="76" t="str">
        <f>IF($T$4=0,IF($N97="","",$N97),IFERROR(IF([1]财务取数接口!$H$96=0,"",[1]财务取数接口!$H$96),""))</f>
        <v/>
      </c>
      <c r="H97" s="75" t="str">
        <f>IF($T$4=0,IF($O97="","",$O97),IFERROR(IF([1]财务取数接口!$I$96=0,"",[1]财务取数接口!$I$96),""))</f>
        <v/>
      </c>
      <c r="I97" s="43"/>
      <c r="J97" s="106"/>
      <c r="K97" s="43"/>
      <c r="L97" s="43"/>
      <c r="M97" s="107"/>
      <c r="N97" s="107"/>
      <c r="O97" s="106"/>
      <c r="P97" s="139">
        <f t="shared" si="2"/>
        <v>0</v>
      </c>
      <c r="Q97" s="139">
        <f t="shared" si="3"/>
        <v>0</v>
      </c>
    </row>
    <row r="98" spans="1:17">
      <c r="A98" s="74">
        <v>97</v>
      </c>
      <c r="B98" s="138" t="str">
        <f>IF($T$4=0,IF($I98="","",$I98),IFERROR(IF([1]财务取数接口!$B$97=0,"",[1]财务取数接口!$B$97),""))</f>
        <v/>
      </c>
      <c r="C98" s="75" t="str">
        <f>IF($T$4=0,IF($J98="","",$J98),IFERROR(IF([1]财务取数接口!$C$97=0,"",[1]财务取数接口!$C$97),""))</f>
        <v>押金退还</v>
      </c>
      <c r="D98" s="89" t="str">
        <f>IF($T$4=0,IF($K98="","",$K98),IFERROR(IF([1]财务取数接口!$D$97=0,"",[1]财务取数接口!$D$97),""))</f>
        <v/>
      </c>
      <c r="E98" s="89" t="str">
        <f>IF($T$4=0,IF($L98="","",$L98),IFERROR(IF([1]财务取数接口!$E$97=0,"",[1]财务取数接口!$E$97),""))</f>
        <v>元</v>
      </c>
      <c r="F98" s="76" t="str">
        <f>IF($T$4=0,IF($M98="","",$M98),IFERROR(IF([1]财务取数接口!$G$97=0,"",[1]财务取数接口!$G$97),""))</f>
        <v/>
      </c>
      <c r="G98" s="76" t="str">
        <f>IF($T$4=0,IF($N98="","",$N98),IFERROR(IF([1]财务取数接口!$H$97=0,"",[1]财务取数接口!$H$97),""))</f>
        <v/>
      </c>
      <c r="H98" s="75" t="str">
        <f>IF($T$4=0,IF($O98="","",$O98),IFERROR(IF([1]财务取数接口!$I$97=0,"",[1]财务取数接口!$I$97),""))</f>
        <v/>
      </c>
      <c r="I98" s="43"/>
      <c r="J98" s="106"/>
      <c r="K98" s="43"/>
      <c r="L98" s="43"/>
      <c r="M98" s="107"/>
      <c r="N98" s="107"/>
      <c r="O98" s="106"/>
      <c r="P98" s="139">
        <f t="shared" si="2"/>
        <v>0</v>
      </c>
      <c r="Q98" s="139">
        <f t="shared" si="3"/>
        <v>0</v>
      </c>
    </row>
    <row r="99" spans="1:17">
      <c r="A99" s="74">
        <v>98</v>
      </c>
      <c r="B99" s="138" t="str">
        <f>IF($T$4=0,IF($I99="","",$I99),IFERROR(IF([1]财务取数接口!$B$98=0,"",[1]财务取数接口!$B$98),""))</f>
        <v/>
      </c>
      <c r="C99" s="75" t="str">
        <f>IF($T$4=0,IF($J99="","",$J99),IFERROR(IF([1]财务取数接口!$C$98=0,"",[1]财务取数接口!$C$98),""))</f>
        <v>押金退还</v>
      </c>
      <c r="D99" s="89" t="str">
        <f>IF($T$4=0,IF($K99="","",$K99),IFERROR(IF([1]财务取数接口!$D$98=0,"",[1]财务取数接口!$D$98),""))</f>
        <v/>
      </c>
      <c r="E99" s="89" t="str">
        <f>IF($T$4=0,IF($L99="","",$L99),IFERROR(IF([1]财务取数接口!$E$98=0,"",[1]财务取数接口!$E$98),""))</f>
        <v>元</v>
      </c>
      <c r="F99" s="76" t="str">
        <f>IF($T$4=0,IF($M99="","",$M99),IFERROR(IF([1]财务取数接口!$G$98=0,"",[1]财务取数接口!$G$98),""))</f>
        <v/>
      </c>
      <c r="G99" s="76" t="str">
        <f>IF($T$4=0,IF($N99="","",$N99),IFERROR(IF([1]财务取数接口!$H$98=0,"",[1]财务取数接口!$H$98),""))</f>
        <v/>
      </c>
      <c r="H99" s="75" t="str">
        <f>IF($T$4=0,IF($O99="","",$O99),IFERROR(IF([1]财务取数接口!$I$98=0,"",[1]财务取数接口!$I$98),""))</f>
        <v/>
      </c>
      <c r="I99" s="43"/>
      <c r="J99" s="106"/>
      <c r="K99" s="43"/>
      <c r="L99" s="43"/>
      <c r="M99" s="107"/>
      <c r="N99" s="107"/>
      <c r="O99" s="106"/>
      <c r="P99" s="139">
        <f t="shared" si="2"/>
        <v>0</v>
      </c>
      <c r="Q99" s="139">
        <f t="shared" si="3"/>
        <v>0</v>
      </c>
    </row>
    <row r="100" spans="1:17">
      <c r="A100" s="74">
        <v>99</v>
      </c>
      <c r="B100" s="138" t="str">
        <f>IF($T$4=0,IF($I100="","",$I100),IFERROR(IF([1]财务取数接口!$B$99=0,"",[1]财务取数接口!$B$99),""))</f>
        <v/>
      </c>
      <c r="C100" s="75" t="str">
        <f>IF($T$4=0,IF($J100="","",$J100),IFERROR(IF([1]财务取数接口!$C$99=0,"",[1]财务取数接口!$C$99),""))</f>
        <v>押金退还</v>
      </c>
      <c r="D100" s="89" t="str">
        <f>IF($T$4=0,IF($K100="","",$K100),IFERROR(IF([1]财务取数接口!$D$99=0,"",[1]财务取数接口!$D$99),""))</f>
        <v/>
      </c>
      <c r="E100" s="89" t="str">
        <f>IF($T$4=0,IF($L100="","",$L100),IFERROR(IF([1]财务取数接口!$E$99=0,"",[1]财务取数接口!$E$99),""))</f>
        <v>元</v>
      </c>
      <c r="F100" s="76" t="str">
        <f>IF($T$4=0,IF($M100="","",$M100),IFERROR(IF([1]财务取数接口!$G$99=0,"",[1]财务取数接口!$G$99),""))</f>
        <v/>
      </c>
      <c r="G100" s="76" t="str">
        <f>IF($T$4=0,IF($N100="","",$N100),IFERROR(IF([1]财务取数接口!$H$99=0,"",[1]财务取数接口!$H$99),""))</f>
        <v/>
      </c>
      <c r="H100" s="75" t="str">
        <f>IF($T$4=0,IF($O100="","",$O100),IFERROR(IF([1]财务取数接口!$I$99=0,"",[1]财务取数接口!$I$99),""))</f>
        <v/>
      </c>
      <c r="I100" s="43"/>
      <c r="J100" s="106"/>
      <c r="K100" s="43"/>
      <c r="L100" s="43"/>
      <c r="M100" s="107"/>
      <c r="N100" s="107"/>
      <c r="O100" s="106"/>
      <c r="P100" s="139">
        <f t="shared" si="2"/>
        <v>0</v>
      </c>
      <c r="Q100" s="139">
        <f t="shared" si="3"/>
        <v>0</v>
      </c>
    </row>
    <row r="101" spans="1:17">
      <c r="A101" s="74">
        <v>100</v>
      </c>
      <c r="B101" s="138" t="str">
        <f>IF($T$4=0,IF($I101="","",$I101),IFERROR(IF([1]财务取数接口!$B$100=0,"",[1]财务取数接口!$B$100),""))</f>
        <v/>
      </c>
      <c r="C101" s="75" t="str">
        <f>IF($T$4=0,IF($J101="","",$J101),IFERROR(IF([1]财务取数接口!$C$100=0,"",[1]财务取数接口!$C$100),""))</f>
        <v/>
      </c>
      <c r="D101" s="89" t="str">
        <f>IF($T$4=0,IF($K101="","",$K101),IFERROR(IF([1]财务取数接口!$D$100=0,"",[1]财务取数接口!$D$100),""))</f>
        <v/>
      </c>
      <c r="E101" s="89" t="str">
        <f>IF($T$4=0,IF($L101="","",$L101),IFERROR(IF([1]财务取数接口!$E$100=0,"",[1]财务取数接口!$E$100),""))</f>
        <v/>
      </c>
      <c r="F101" s="76" t="str">
        <f>IF($T$4=0,IF($M101="","",$M101),IFERROR(IF([1]财务取数接口!$G$100=0,"",[1]财务取数接口!$G$100),""))</f>
        <v/>
      </c>
      <c r="G101" s="76" t="str">
        <f>IF($T$4=0,IF($N101="","",$N101),IFERROR(IF([1]财务取数接口!$H$100=0,"",[1]财务取数接口!$H$100),""))</f>
        <v/>
      </c>
      <c r="H101" s="75" t="str">
        <f>IF($T$4=0,IF($O101="","",$O101),IFERROR(IF([1]财务取数接口!$I$100=0,"",[1]财务取数接口!$I$100),""))</f>
        <v/>
      </c>
      <c r="I101" s="43"/>
      <c r="J101" s="106"/>
      <c r="K101" s="43"/>
      <c r="L101" s="43"/>
      <c r="M101" s="107"/>
      <c r="N101" s="107"/>
      <c r="O101" s="106"/>
      <c r="P101" s="139">
        <f t="shared" si="2"/>
        <v>0</v>
      </c>
      <c r="Q101" s="139">
        <f t="shared" si="3"/>
        <v>0</v>
      </c>
    </row>
    <row r="102" spans="1:17">
      <c r="A102" s="74">
        <v>101</v>
      </c>
      <c r="B102" s="138" t="str">
        <f>IF($T$4=0,IF($I102="","",$I102),IFERROR(IF([1]财务取数接口!$B$101=0,"",[1]财务取数接口!$B$101),""))</f>
        <v/>
      </c>
      <c r="C102" s="75" t="str">
        <f>IF($T$4=0,IF($J102="","",$J102),IFERROR(IF([1]财务取数接口!$C$101=0,"",[1]财务取数接口!$C$101),""))</f>
        <v/>
      </c>
      <c r="D102" s="89" t="str">
        <f>IF($T$4=0,IF($K102="","",$K102),IFERROR(IF([1]财务取数接口!$D$101=0,"",[1]财务取数接口!$D$101),""))</f>
        <v/>
      </c>
      <c r="E102" s="89" t="str">
        <f>IF($T$4=0,IF($L102="","",$L102),IFERROR(IF([1]财务取数接口!$E$101=0,"",[1]财务取数接口!$E$101),""))</f>
        <v/>
      </c>
      <c r="F102" s="76" t="str">
        <f>IF($T$4=0,IF($M102="","",$M102),IFERROR(IF([1]财务取数接口!$G$101=0,"",[1]财务取数接口!$G$101),""))</f>
        <v/>
      </c>
      <c r="G102" s="76" t="str">
        <f>IF($T$4=0,IF($N102="","",$N102),IFERROR(IF([1]财务取数接口!$H$101=0,"",[1]财务取数接口!$H$101),""))</f>
        <v/>
      </c>
      <c r="H102" s="75" t="str">
        <f>IF($T$4=0,IF($O102="","",$O102),IFERROR(IF([1]财务取数接口!$I$101=0,"",[1]财务取数接口!$I$101),""))</f>
        <v/>
      </c>
      <c r="I102" s="43"/>
      <c r="J102" s="106"/>
      <c r="K102" s="43"/>
      <c r="L102" s="43"/>
      <c r="M102" s="107"/>
      <c r="N102" s="107"/>
      <c r="O102" s="106"/>
      <c r="P102" s="139">
        <f t="shared" si="2"/>
        <v>0</v>
      </c>
      <c r="Q102" s="139">
        <f t="shared" si="3"/>
        <v>0</v>
      </c>
    </row>
    <row r="103" spans="1:17">
      <c r="A103" s="74">
        <v>102</v>
      </c>
      <c r="B103" s="138" t="str">
        <f>IF($T$4=0,IF($I103="","",$I103),IFERROR(IF([1]财务取数接口!$B$102=0,"",[1]财务取数接口!$B$102),""))</f>
        <v>年月</v>
      </c>
      <c r="C103" s="75" t="str">
        <f>IF($T$4=0,IF($J103="","",$J103),IFERROR(IF([1]财务取数接口!$C$102=0,"",[1]财务取数接口!$C$102),""))</f>
        <v>项目</v>
      </c>
      <c r="D103" s="89" t="str">
        <f>IF($T$4=0,IF($K103="","",$K103),IFERROR(IF([1]财务取数接口!$D$102=0,"",[1]财务取数接口!$D$102),""))</f>
        <v>计费数量</v>
      </c>
      <c r="E103" s="89" t="str">
        <f>IF($T$4=0,IF($L103="","",$L103),IFERROR(IF([1]财务取数接口!$E$102=0,"",[1]财务取数接口!$E$102),""))</f>
        <v>计量单位</v>
      </c>
      <c r="F103" s="76" t="str">
        <f>IF($T$4=0,IF($M103="","",$M103),IFERROR(IF([1]财务取数接口!$G$102=0,"",[1]财务取数接口!$G$102),""))</f>
        <v>价税合计金额</v>
      </c>
      <c r="G103" s="76" t="str">
        <f>IF($T$4=0,IF($N103="","",$N103),IFERROR(IF([1]财务取数接口!$H$102=0,"",[1]财务取数接口!$H$102),""))</f>
        <v>已收金额</v>
      </c>
      <c r="H103" s="75" t="str">
        <f>IF($T$4=0,IF($O103="","",$O103),IFERROR(IF([1]财务取数接口!$I$102=0,"",[1]财务取数接口!$I$102),""))</f>
        <v>备注</v>
      </c>
      <c r="I103" s="43"/>
      <c r="J103" s="106"/>
      <c r="K103" s="43"/>
      <c r="L103" s="43"/>
      <c r="M103" s="107"/>
      <c r="N103" s="107"/>
      <c r="O103" s="106"/>
      <c r="P103" s="139">
        <f t="shared" si="2"/>
        <v>0</v>
      </c>
      <c r="Q103" s="139">
        <f t="shared" si="3"/>
        <v>0</v>
      </c>
    </row>
    <row r="104" spans="1:17">
      <c r="A104" s="74">
        <v>103</v>
      </c>
      <c r="B104" s="138" t="str">
        <f>IF($T$4=0,IF($I104="","",$I104),IFERROR(IF([1]财务取数接口!$B$103=0,"",[1]财务取数接口!$B$103),""))</f>
        <v/>
      </c>
      <c r="C104" s="75" t="str">
        <f>IF($T$4=0,IF($J104="","",$J104),IFERROR(IF([1]财务取数接口!$C$103=0,"",[1]财务取数接口!$C$103),""))</f>
        <v>包装物料采购入库</v>
      </c>
      <c r="D104" s="89" t="str">
        <f>IF($T$4=0,IF($K104="","",$K104),IFERROR(IF([1]财务取数接口!$D$103=0,"",[1]财务取数接口!$D$103),""))</f>
        <v/>
      </c>
      <c r="E104" s="89" t="str">
        <f>IF($T$4=0,IF($L104="","",$L104),IFERROR(IF([1]财务取数接口!$E$103=0,"",[1]财务取数接口!$E$103),""))</f>
        <v>包</v>
      </c>
      <c r="F104" s="76" t="str">
        <f>IF($T$4=0,IF($M104="","",$M104),IFERROR(IF([1]财务取数接口!$G$103=0,"",[1]财务取数接口!$G$103),""))</f>
        <v/>
      </c>
      <c r="G104" s="76" t="str">
        <f>IF($T$4=0,IF($N104="","",$N104),IFERROR(IF([1]财务取数接口!$H$103=0,"",[1]财务取数接口!$H$103),""))</f>
        <v/>
      </c>
      <c r="H104" s="75" t="str">
        <f>IF($T$4=0,IF($O104="","",$O104),IFERROR(IF([1]财务取数接口!$I$103=0,"",[1]财务取数接口!$I$103),""))</f>
        <v/>
      </c>
      <c r="I104" s="43"/>
      <c r="J104" s="106"/>
      <c r="K104" s="43"/>
      <c r="L104" s="43"/>
      <c r="M104" s="107"/>
      <c r="N104" s="107"/>
      <c r="O104" s="106"/>
      <c r="P104" s="139">
        <f t="shared" si="2"/>
        <v>0</v>
      </c>
      <c r="Q104" s="139">
        <f t="shared" si="3"/>
        <v>0</v>
      </c>
    </row>
    <row r="105" spans="1:17">
      <c r="A105" s="74">
        <v>104</v>
      </c>
      <c r="B105" s="138" t="str">
        <f>IF($T$4=0,IF($I105="","",$I105),IFERROR(IF([1]财务取数接口!$B$104=0,"",[1]财务取数接口!$B$104),""))</f>
        <v/>
      </c>
      <c r="C105" s="75" t="str">
        <f>IF($T$4=0,IF($J105="","",$J105),IFERROR(IF([1]财务取数接口!$C$104=0,"",[1]财务取数接口!$C$104),""))</f>
        <v>包装物料采购入库</v>
      </c>
      <c r="D105" s="89" t="str">
        <f>IF($T$4=0,IF($K105="","",$K105),IFERROR(IF([1]财务取数接口!$D$104=0,"",[1]财务取数接口!$D$104),""))</f>
        <v/>
      </c>
      <c r="E105" s="89" t="str">
        <f>IF($T$4=0,IF($L105="","",$L105),IFERROR(IF([1]财务取数接口!$E$104=0,"",[1]财务取数接口!$E$104),""))</f>
        <v>包</v>
      </c>
      <c r="F105" s="76" t="str">
        <f>IF($T$4=0,IF($M105="","",$M105),IFERROR(IF([1]财务取数接口!$G$104=0,"",[1]财务取数接口!$G$104),""))</f>
        <v/>
      </c>
      <c r="G105" s="76" t="str">
        <f>IF($T$4=0,IF($N105="","",$N105),IFERROR(IF([1]财务取数接口!$H$104=0,"",[1]财务取数接口!$H$104),""))</f>
        <v/>
      </c>
      <c r="H105" s="75" t="str">
        <f>IF($T$4=0,IF($O105="","",$O105),IFERROR(IF([1]财务取数接口!$I$104=0,"",[1]财务取数接口!$I$104),""))</f>
        <v/>
      </c>
      <c r="I105" s="43"/>
      <c r="J105" s="106"/>
      <c r="K105" s="43"/>
      <c r="L105" s="43"/>
      <c r="M105" s="107"/>
      <c r="N105" s="107"/>
      <c r="O105" s="106"/>
      <c r="P105" s="139">
        <f t="shared" si="2"/>
        <v>0</v>
      </c>
      <c r="Q105" s="139">
        <f t="shared" si="3"/>
        <v>0</v>
      </c>
    </row>
    <row r="106" spans="1:17">
      <c r="A106" s="74">
        <v>105</v>
      </c>
      <c r="B106" s="138" t="str">
        <f>IF($T$4=0,IF($I106="","",$I106),IFERROR(IF([1]财务取数接口!$B$105=0,"",[1]财务取数接口!$B$105),""))</f>
        <v/>
      </c>
      <c r="C106" s="75" t="str">
        <f>IF($T$4=0,IF($J106="","",$J106),IFERROR(IF([1]财务取数接口!$C$105=0,"",[1]财务取数接口!$C$105),""))</f>
        <v>包装物料采购入库</v>
      </c>
      <c r="D106" s="89" t="str">
        <f>IF($T$4=0,IF($K106="","",$K106),IFERROR(IF([1]财务取数接口!$D$105=0,"",[1]财务取数接口!$D$105),""))</f>
        <v/>
      </c>
      <c r="E106" s="89" t="str">
        <f>IF($T$4=0,IF($L106="","",$L106),IFERROR(IF([1]财务取数接口!$E$105=0,"",[1]财务取数接口!$E$105),""))</f>
        <v>包</v>
      </c>
      <c r="F106" s="76" t="str">
        <f>IF($T$4=0,IF($M106="","",$M106),IFERROR(IF([1]财务取数接口!$G$105=0,"",[1]财务取数接口!$G$105),""))</f>
        <v/>
      </c>
      <c r="G106" s="76" t="str">
        <f>IF($T$4=0,IF($N106="","",$N106),IFERROR(IF([1]财务取数接口!$H$105=0,"",[1]财务取数接口!$H$105),""))</f>
        <v/>
      </c>
      <c r="H106" s="75" t="str">
        <f>IF($T$4=0,IF($O106="","",$O106),IFERROR(IF([1]财务取数接口!$I$105=0,"",[1]财务取数接口!$I$105),""))</f>
        <v/>
      </c>
      <c r="I106" s="43"/>
      <c r="J106" s="106"/>
      <c r="K106" s="43"/>
      <c r="L106" s="43"/>
      <c r="M106" s="107"/>
      <c r="N106" s="107"/>
      <c r="O106" s="106"/>
      <c r="P106" s="139">
        <f t="shared" si="2"/>
        <v>0</v>
      </c>
      <c r="Q106" s="139">
        <f t="shared" si="3"/>
        <v>0</v>
      </c>
    </row>
    <row r="107" spans="1:17">
      <c r="A107" s="74">
        <v>106</v>
      </c>
      <c r="B107" s="138" t="str">
        <f>IF($T$4=0,IF($I107="","",$I107),IFERROR(IF([1]财务取数接口!$B$106=0,"",[1]财务取数接口!$B$106),""))</f>
        <v/>
      </c>
      <c r="C107" s="75" t="str">
        <f>IF($T$4=0,IF($J107="","",$J107),IFERROR(IF([1]财务取数接口!$C$106=0,"",[1]财务取数接口!$C$106),""))</f>
        <v>包装物料采购入库</v>
      </c>
      <c r="D107" s="89" t="str">
        <f>IF($T$4=0,IF($K107="","",$K107),IFERROR(IF([1]财务取数接口!$D$106=0,"",[1]财务取数接口!$D$106),""))</f>
        <v/>
      </c>
      <c r="E107" s="89" t="str">
        <f>IF($T$4=0,IF($L107="","",$L107),IFERROR(IF([1]财务取数接口!$E$106=0,"",[1]财务取数接口!$E$106),""))</f>
        <v>包</v>
      </c>
      <c r="F107" s="76" t="str">
        <f>IF($T$4=0,IF($M107="","",$M107),IFERROR(IF([1]财务取数接口!$G$106=0,"",[1]财务取数接口!$G$106),""))</f>
        <v/>
      </c>
      <c r="G107" s="76" t="str">
        <f>IF($T$4=0,IF($N107="","",$N107),IFERROR(IF([1]财务取数接口!$H$106=0,"",[1]财务取数接口!$H$106),""))</f>
        <v/>
      </c>
      <c r="H107" s="75" t="str">
        <f>IF($T$4=0,IF($O107="","",$O107),IFERROR(IF([1]财务取数接口!$I$106=0,"",[1]财务取数接口!$I$106),""))</f>
        <v/>
      </c>
      <c r="I107" s="43"/>
      <c r="J107" s="106"/>
      <c r="K107" s="43"/>
      <c r="L107" s="43"/>
      <c r="M107" s="107"/>
      <c r="N107" s="107"/>
      <c r="O107" s="106"/>
      <c r="P107" s="139">
        <f t="shared" si="2"/>
        <v>0</v>
      </c>
      <c r="Q107" s="139">
        <f t="shared" si="3"/>
        <v>0</v>
      </c>
    </row>
    <row r="108" spans="1:17">
      <c r="A108" s="74">
        <v>107</v>
      </c>
      <c r="B108" s="138" t="str">
        <f>IF($T$4=0,IF($I108="","",$I108),IFERROR(IF([1]财务取数接口!$B$107=0,"",[1]财务取数接口!$B$107),""))</f>
        <v/>
      </c>
      <c r="C108" s="75" t="str">
        <f>IF($T$4=0,IF($J108="","",$J108),IFERROR(IF([1]财务取数接口!$C$107=0,"",[1]财务取数接口!$C$107),""))</f>
        <v>包装物料采购入库</v>
      </c>
      <c r="D108" s="89" t="str">
        <f>IF($T$4=0,IF($K108="","",$K108),IFERROR(IF([1]财务取数接口!$D$107=0,"",[1]财务取数接口!$D$107),""))</f>
        <v/>
      </c>
      <c r="E108" s="89" t="str">
        <f>IF($T$4=0,IF($L108="","",$L108),IFERROR(IF([1]财务取数接口!$E$107=0,"",[1]财务取数接口!$E$107),""))</f>
        <v>包</v>
      </c>
      <c r="F108" s="76" t="str">
        <f>IF($T$4=0,IF($M108="","",$M108),IFERROR(IF([1]财务取数接口!$G$107=0,"",[1]财务取数接口!$G$107),""))</f>
        <v/>
      </c>
      <c r="G108" s="76" t="str">
        <f>IF($T$4=0,IF($N108="","",$N108),IFERROR(IF([1]财务取数接口!$H$107=0,"",[1]财务取数接口!$H$107),""))</f>
        <v/>
      </c>
      <c r="H108" s="75" t="str">
        <f>IF($T$4=0,IF($O108="","",$O108),IFERROR(IF([1]财务取数接口!$I$107=0,"",[1]财务取数接口!$I$107),""))</f>
        <v/>
      </c>
      <c r="I108" s="43"/>
      <c r="J108" s="106"/>
      <c r="K108" s="43"/>
      <c r="L108" s="43"/>
      <c r="M108" s="107"/>
      <c r="N108" s="107"/>
      <c r="O108" s="106"/>
      <c r="P108" s="139">
        <f t="shared" si="2"/>
        <v>0</v>
      </c>
      <c r="Q108" s="139">
        <f t="shared" si="3"/>
        <v>0</v>
      </c>
    </row>
    <row r="109" spans="1:17">
      <c r="A109" s="74">
        <v>108</v>
      </c>
      <c r="B109" s="138" t="str">
        <f>IF($T$4=0,IF($I109="","",$I109),IFERROR(IF([1]财务取数接口!$B$108=0,"",[1]财务取数接口!$B$108),""))</f>
        <v/>
      </c>
      <c r="C109" s="75" t="str">
        <f>IF($T$4=0,IF($J109="","",$J109),IFERROR(IF([1]财务取数接口!$C$108=0,"",[1]财务取数接口!$C$108),""))</f>
        <v>包装物料采购入库</v>
      </c>
      <c r="D109" s="89" t="str">
        <f>IF($T$4=0,IF($K109="","",$K109),IFERROR(IF([1]财务取数接口!$D$108=0,"",[1]财务取数接口!$D$108),""))</f>
        <v/>
      </c>
      <c r="E109" s="89" t="str">
        <f>IF($T$4=0,IF($L109="","",$L109),IFERROR(IF([1]财务取数接口!$E$108=0,"",[1]财务取数接口!$E$108),""))</f>
        <v>包</v>
      </c>
      <c r="F109" s="76" t="str">
        <f>IF($T$4=0,IF($M109="","",$M109),IFERROR(IF([1]财务取数接口!$G$108=0,"",[1]财务取数接口!$G$108),""))</f>
        <v/>
      </c>
      <c r="G109" s="76" t="str">
        <f>IF($T$4=0,IF($N109="","",$N109),IFERROR(IF([1]财务取数接口!$H$108=0,"",[1]财务取数接口!$H$108),""))</f>
        <v/>
      </c>
      <c r="H109" s="75" t="str">
        <f>IF($T$4=0,IF($O109="","",$O109),IFERROR(IF([1]财务取数接口!$I$108=0,"",[1]财务取数接口!$I$108),""))</f>
        <v/>
      </c>
      <c r="I109" s="43"/>
      <c r="J109" s="106"/>
      <c r="K109" s="43"/>
      <c r="L109" s="43"/>
      <c r="M109" s="107"/>
      <c r="N109" s="107"/>
      <c r="O109" s="106"/>
      <c r="P109" s="139">
        <f t="shared" si="2"/>
        <v>0</v>
      </c>
      <c r="Q109" s="139">
        <f t="shared" si="3"/>
        <v>0</v>
      </c>
    </row>
    <row r="110" spans="1:17">
      <c r="A110" s="74">
        <v>109</v>
      </c>
      <c r="B110" s="138" t="str">
        <f>IF($T$4=0,IF($I110="","",$I110),IFERROR(IF([1]财务取数接口!$B$109=0,"",[1]财务取数接口!$B$109),""))</f>
        <v/>
      </c>
      <c r="C110" s="75" t="str">
        <f>IF($T$4=0,IF($J110="","",$J110),IFERROR(IF([1]财务取数接口!$C$109=0,"",[1]财务取数接口!$C$109),""))</f>
        <v>包装物料采购入库</v>
      </c>
      <c r="D110" s="89" t="str">
        <f>IF($T$4=0,IF($K110="","",$K110),IFERROR(IF([1]财务取数接口!$D$109=0,"",[1]财务取数接口!$D$109),""))</f>
        <v/>
      </c>
      <c r="E110" s="89" t="str">
        <f>IF($T$4=0,IF($L110="","",$L110),IFERROR(IF([1]财务取数接口!$E$109=0,"",[1]财务取数接口!$E$109),""))</f>
        <v>包</v>
      </c>
      <c r="F110" s="76" t="str">
        <f>IF($T$4=0,IF($M110="","",$M110),IFERROR(IF([1]财务取数接口!$G$109=0,"",[1]财务取数接口!$G$109),""))</f>
        <v/>
      </c>
      <c r="G110" s="76" t="str">
        <f>IF($T$4=0,IF($N110="","",$N110),IFERROR(IF([1]财务取数接口!$H$109=0,"",[1]财务取数接口!$H$109),""))</f>
        <v/>
      </c>
      <c r="H110" s="75" t="str">
        <f>IF($T$4=0,IF($O110="","",$O110),IFERROR(IF([1]财务取数接口!$I$109=0,"",[1]财务取数接口!$I$109),""))</f>
        <v/>
      </c>
      <c r="I110" s="43"/>
      <c r="J110" s="106"/>
      <c r="K110" s="43"/>
      <c r="L110" s="43"/>
      <c r="M110" s="107"/>
      <c r="N110" s="107"/>
      <c r="O110" s="106"/>
      <c r="P110" s="139">
        <f t="shared" si="2"/>
        <v>0</v>
      </c>
      <c r="Q110" s="139">
        <f t="shared" si="3"/>
        <v>0</v>
      </c>
    </row>
    <row r="111" spans="1:17">
      <c r="A111" s="74">
        <v>110</v>
      </c>
      <c r="B111" s="138" t="str">
        <f>IF($T$4=0,IF($I111="","",$I111),IFERROR(IF([1]财务取数接口!$B$110=0,"",[1]财务取数接口!$B$110),""))</f>
        <v/>
      </c>
      <c r="C111" s="75" t="str">
        <f>IF($T$4=0,IF($J111="","",$J111),IFERROR(IF([1]财务取数接口!$C$110=0,"",[1]财务取数接口!$C$110),""))</f>
        <v>包装物料采购入库</v>
      </c>
      <c r="D111" s="89" t="str">
        <f>IF($T$4=0,IF($K111="","",$K111),IFERROR(IF([1]财务取数接口!$D$110=0,"",[1]财务取数接口!$D$110),""))</f>
        <v/>
      </c>
      <c r="E111" s="89" t="str">
        <f>IF($T$4=0,IF($L111="","",$L111),IFERROR(IF([1]财务取数接口!$E$110=0,"",[1]财务取数接口!$E$110),""))</f>
        <v>包</v>
      </c>
      <c r="F111" s="76" t="str">
        <f>IF($T$4=0,IF($M111="","",$M111),IFERROR(IF([1]财务取数接口!$G$110=0,"",[1]财务取数接口!$G$110),""))</f>
        <v/>
      </c>
      <c r="G111" s="76" t="str">
        <f>IF($T$4=0,IF($N111="","",$N111),IFERROR(IF([1]财务取数接口!$H$110=0,"",[1]财务取数接口!$H$110),""))</f>
        <v/>
      </c>
      <c r="H111" s="75" t="str">
        <f>IF($T$4=0,IF($O111="","",$O111),IFERROR(IF([1]财务取数接口!$I$110=0,"",[1]财务取数接口!$I$110),""))</f>
        <v/>
      </c>
      <c r="I111" s="43"/>
      <c r="J111" s="106"/>
      <c r="K111" s="43"/>
      <c r="L111" s="43"/>
      <c r="M111" s="107"/>
      <c r="N111" s="107"/>
      <c r="O111" s="106"/>
      <c r="P111" s="139">
        <f t="shared" si="2"/>
        <v>0</v>
      </c>
      <c r="Q111" s="139">
        <f t="shared" si="3"/>
        <v>0</v>
      </c>
    </row>
    <row r="112" spans="1:17">
      <c r="A112" s="74">
        <v>111</v>
      </c>
      <c r="B112" s="138" t="str">
        <f>IF($T$4=0,IF($I112="","",$I112),IFERROR(IF([1]财务取数接口!$B$111=0,"",[1]财务取数接口!$B$111),""))</f>
        <v/>
      </c>
      <c r="C112" s="75" t="str">
        <f>IF($T$4=0,IF($J112="","",$J112),IFERROR(IF([1]财务取数接口!$C$111=0,"",[1]财务取数接口!$C$111),""))</f>
        <v>包装物料采购入库</v>
      </c>
      <c r="D112" s="89" t="str">
        <f>IF($T$4=0,IF($K112="","",$K112),IFERROR(IF([1]财务取数接口!$D$111=0,"",[1]财务取数接口!$D$111),""))</f>
        <v/>
      </c>
      <c r="E112" s="89" t="str">
        <f>IF($T$4=0,IF($L112="","",$L112),IFERROR(IF([1]财务取数接口!$E$111=0,"",[1]财务取数接口!$E$111),""))</f>
        <v>包</v>
      </c>
      <c r="F112" s="76" t="str">
        <f>IF($T$4=0,IF($M112="","",$M112),IFERROR(IF([1]财务取数接口!$G$111=0,"",[1]财务取数接口!$G$111),""))</f>
        <v/>
      </c>
      <c r="G112" s="76" t="str">
        <f>IF($T$4=0,IF($N112="","",$N112),IFERROR(IF([1]财务取数接口!$H$111=0,"",[1]财务取数接口!$H$111),""))</f>
        <v/>
      </c>
      <c r="H112" s="75" t="str">
        <f>IF($T$4=0,IF($O112="","",$O112),IFERROR(IF([1]财务取数接口!$I$111=0,"",[1]财务取数接口!$I$111),""))</f>
        <v/>
      </c>
      <c r="I112" s="43"/>
      <c r="J112" s="106"/>
      <c r="K112" s="43"/>
      <c r="L112" s="43"/>
      <c r="M112" s="107"/>
      <c r="N112" s="107"/>
      <c r="O112" s="106"/>
      <c r="P112" s="139">
        <f t="shared" si="2"/>
        <v>0</v>
      </c>
      <c r="Q112" s="139">
        <f t="shared" si="3"/>
        <v>0</v>
      </c>
    </row>
    <row r="113" spans="1:17">
      <c r="A113" s="74">
        <v>112</v>
      </c>
      <c r="B113" s="138" t="str">
        <f>IF($T$4=0,IF($I113="","",$I113),IFERROR(IF([1]财务取数接口!$B$112=0,"",[1]财务取数接口!$B$112),""))</f>
        <v/>
      </c>
      <c r="C113" s="75" t="str">
        <f>IF($T$4=0,IF($J113="","",$J113),IFERROR(IF([1]财务取数接口!$C$112=0,"",[1]财务取数接口!$C$112),""))</f>
        <v>包装物料采购入库</v>
      </c>
      <c r="D113" s="89" t="str">
        <f>IF($T$4=0,IF($K113="","",$K113),IFERROR(IF([1]财务取数接口!$D$112=0,"",[1]财务取数接口!$D$112),""))</f>
        <v/>
      </c>
      <c r="E113" s="89" t="str">
        <f>IF($T$4=0,IF($L113="","",$L113),IFERROR(IF([1]财务取数接口!$E$112=0,"",[1]财务取数接口!$E$112),""))</f>
        <v>包</v>
      </c>
      <c r="F113" s="76" t="str">
        <f>IF($T$4=0,IF($M113="","",$M113),IFERROR(IF([1]财务取数接口!$G$112=0,"",[1]财务取数接口!$G$112),""))</f>
        <v/>
      </c>
      <c r="G113" s="76" t="str">
        <f>IF($T$4=0,IF($N113="","",$N113),IFERROR(IF([1]财务取数接口!$H$112=0,"",[1]财务取数接口!$H$112),""))</f>
        <v/>
      </c>
      <c r="H113" s="75" t="str">
        <f>IF($T$4=0,IF($O113="","",$O113),IFERROR(IF([1]财务取数接口!$I$112=0,"",[1]财务取数接口!$I$112),""))</f>
        <v/>
      </c>
      <c r="I113" s="43"/>
      <c r="J113" s="106"/>
      <c r="K113" s="43"/>
      <c r="L113" s="43"/>
      <c r="M113" s="107"/>
      <c r="N113" s="107"/>
      <c r="O113" s="106"/>
      <c r="P113" s="139">
        <f t="shared" si="2"/>
        <v>0</v>
      </c>
      <c r="Q113" s="139">
        <f t="shared" si="3"/>
        <v>0</v>
      </c>
    </row>
    <row r="114" spans="1:17">
      <c r="A114" s="74">
        <v>113</v>
      </c>
      <c r="B114" s="138" t="str">
        <f>IF($T$4=0,IF($I114="","",$I114),IFERROR(IF([1]财务取数接口!$B$113=0,"",[1]财务取数接口!$B$113),""))</f>
        <v/>
      </c>
      <c r="C114" s="75" t="str">
        <f>IF($T$4=0,IF($J114="","",$J114),IFERROR(IF([1]财务取数接口!$C$113=0,"",[1]财务取数接口!$C$113),""))</f>
        <v>包装物料采购入库</v>
      </c>
      <c r="D114" s="89" t="str">
        <f>IF($T$4=0,IF($K114="","",$K114),IFERROR(IF([1]财务取数接口!$D$113=0,"",[1]财务取数接口!$D$113),""))</f>
        <v/>
      </c>
      <c r="E114" s="89" t="str">
        <f>IF($T$4=0,IF($L114="","",$L114),IFERROR(IF([1]财务取数接口!$E$113=0,"",[1]财务取数接口!$E$113),""))</f>
        <v>包</v>
      </c>
      <c r="F114" s="76" t="str">
        <f>IF($T$4=0,IF($M114="","",$M114),IFERROR(IF([1]财务取数接口!$G$113=0,"",[1]财务取数接口!$G$113),""))</f>
        <v/>
      </c>
      <c r="G114" s="76" t="str">
        <f>IF($T$4=0,IF($N114="","",$N114),IFERROR(IF([1]财务取数接口!$H$113=0,"",[1]财务取数接口!$H$113),""))</f>
        <v/>
      </c>
      <c r="H114" s="75" t="str">
        <f>IF($T$4=0,IF($O114="","",$O114),IFERROR(IF([1]财务取数接口!$I$113=0,"",[1]财务取数接口!$I$113),""))</f>
        <v/>
      </c>
      <c r="I114" s="43"/>
      <c r="J114" s="106"/>
      <c r="K114" s="43"/>
      <c r="L114" s="43"/>
      <c r="M114" s="107"/>
      <c r="N114" s="107"/>
      <c r="O114" s="106"/>
      <c r="P114" s="139">
        <f t="shared" si="2"/>
        <v>0</v>
      </c>
      <c r="Q114" s="139">
        <f t="shared" si="3"/>
        <v>0</v>
      </c>
    </row>
    <row r="115" spans="1:17">
      <c r="A115" s="74">
        <v>114</v>
      </c>
      <c r="B115" s="138" t="str">
        <f>IF($T$4=0,IF($I115="","",$I115),IFERROR(IF([1]财务取数接口!$B$114=0,"",[1]财务取数接口!$B$114),""))</f>
        <v/>
      </c>
      <c r="C115" s="75" t="str">
        <f>IF($T$4=0,IF($J115="","",$J115),IFERROR(IF([1]财务取数接口!$C$114=0,"",[1]财务取数接口!$C$114),""))</f>
        <v>包装物料采购入库</v>
      </c>
      <c r="D115" s="89" t="str">
        <f>IF($T$4=0,IF($K115="","",$K115),IFERROR(IF([1]财务取数接口!$D$114=0,"",[1]财务取数接口!$D$114),""))</f>
        <v/>
      </c>
      <c r="E115" s="89" t="str">
        <f>IF($T$4=0,IF($L115="","",$L115),IFERROR(IF([1]财务取数接口!$E$114=0,"",[1]财务取数接口!$E$114),""))</f>
        <v>包</v>
      </c>
      <c r="F115" s="76" t="str">
        <f>IF($T$4=0,IF($M115="","",$M115),IFERROR(IF([1]财务取数接口!$G$114=0,"",[1]财务取数接口!$G$114),""))</f>
        <v/>
      </c>
      <c r="G115" s="76" t="str">
        <f>IF($T$4=0,IF($N115="","",$N115),IFERROR(IF([1]财务取数接口!$H$114=0,"",[1]财务取数接口!$H$114),""))</f>
        <v/>
      </c>
      <c r="H115" s="75" t="str">
        <f>IF($T$4=0,IF($O115="","",$O115),IFERROR(IF([1]财务取数接口!$I$114=0,"",[1]财务取数接口!$I$114),""))</f>
        <v/>
      </c>
      <c r="I115" s="43"/>
      <c r="J115" s="106"/>
      <c r="K115" s="43"/>
      <c r="L115" s="43"/>
      <c r="M115" s="107"/>
      <c r="N115" s="107"/>
      <c r="O115" s="106"/>
      <c r="P115" s="139">
        <f t="shared" si="2"/>
        <v>0</v>
      </c>
      <c r="Q115" s="139">
        <f t="shared" si="3"/>
        <v>0</v>
      </c>
    </row>
    <row r="116" spans="1:17">
      <c r="A116" s="74">
        <v>115</v>
      </c>
      <c r="B116" s="138" t="str">
        <f>IF($T$4=0,IF($I116="","",$I116),IFERROR(IF([1]财务取数接口!$B$115=0,"",[1]财务取数接口!$B$115),""))</f>
        <v/>
      </c>
      <c r="C116" s="75" t="str">
        <f>IF($T$4=0,IF($J116="","",$J116),IFERROR(IF([1]财务取数接口!$C$115=0,"",[1]财务取数接口!$C$115),""))</f>
        <v>包装物料采购入库</v>
      </c>
      <c r="D116" s="89" t="str">
        <f>IF($T$4=0,IF($K116="","",$K116),IFERROR(IF([1]财务取数接口!$D$115=0,"",[1]财务取数接口!$D$115),""))</f>
        <v/>
      </c>
      <c r="E116" s="89" t="str">
        <f>IF($T$4=0,IF($L116="","",$L116),IFERROR(IF([1]财务取数接口!$E$115=0,"",[1]财务取数接口!$E$115),""))</f>
        <v>包</v>
      </c>
      <c r="F116" s="76" t="str">
        <f>IF($T$4=0,IF($M116="","",$M116),IFERROR(IF([1]财务取数接口!$G$115=0,"",[1]财务取数接口!$G$115),""))</f>
        <v/>
      </c>
      <c r="G116" s="76" t="str">
        <f>IF($T$4=0,IF($N116="","",$N116),IFERROR(IF([1]财务取数接口!$H$115=0,"",[1]财务取数接口!$H$115),""))</f>
        <v/>
      </c>
      <c r="H116" s="75" t="str">
        <f>IF($T$4=0,IF($O116="","",$O116),IFERROR(IF([1]财务取数接口!$I$115=0,"",[1]财务取数接口!$I$115),""))</f>
        <v/>
      </c>
      <c r="I116" s="43"/>
      <c r="J116" s="106"/>
      <c r="K116" s="43"/>
      <c r="L116" s="43"/>
      <c r="M116" s="107"/>
      <c r="N116" s="107"/>
      <c r="O116" s="106"/>
      <c r="P116" s="139">
        <f t="shared" si="2"/>
        <v>0</v>
      </c>
      <c r="Q116" s="139">
        <f t="shared" si="3"/>
        <v>0</v>
      </c>
    </row>
    <row r="117" spans="1:17">
      <c r="A117" s="74">
        <v>116</v>
      </c>
      <c r="B117" s="138" t="str">
        <f>IF($T$4=0,IF($I117="","",$I117),IFERROR(IF([1]财务取数接口!$B$116=0,"",[1]财务取数接口!$B$116),""))</f>
        <v/>
      </c>
      <c r="C117" s="75" t="str">
        <f>IF($T$4=0,IF($J117="","",$J117),IFERROR(IF([1]财务取数接口!$C$116=0,"",[1]财务取数接口!$C$116),""))</f>
        <v>包装物料采购入库</v>
      </c>
      <c r="D117" s="89" t="str">
        <f>IF($T$4=0,IF($K117="","",$K117),IFERROR(IF([1]财务取数接口!$D$116=0,"",[1]财务取数接口!$D$116),""))</f>
        <v/>
      </c>
      <c r="E117" s="89" t="str">
        <f>IF($T$4=0,IF($L117="","",$L117),IFERROR(IF([1]财务取数接口!$E$116=0,"",[1]财务取数接口!$E$116),""))</f>
        <v>包</v>
      </c>
      <c r="F117" s="76" t="str">
        <f>IF($T$4=0,IF($M117="","",$M117),IFERROR(IF([1]财务取数接口!$G$116=0,"",[1]财务取数接口!$G$116),""))</f>
        <v/>
      </c>
      <c r="G117" s="76" t="str">
        <f>IF($T$4=0,IF($N117="","",$N117),IFERROR(IF([1]财务取数接口!$H$116=0,"",[1]财务取数接口!$H$116),""))</f>
        <v/>
      </c>
      <c r="H117" s="75" t="str">
        <f>IF($T$4=0,IF($O117="","",$O117),IFERROR(IF([1]财务取数接口!$I$116=0,"",[1]财务取数接口!$I$116),""))</f>
        <v/>
      </c>
      <c r="I117" s="43"/>
      <c r="J117" s="106"/>
      <c r="K117" s="43"/>
      <c r="L117" s="43"/>
      <c r="M117" s="107"/>
      <c r="N117" s="107"/>
      <c r="O117" s="106"/>
      <c r="P117" s="139">
        <f t="shared" si="2"/>
        <v>0</v>
      </c>
      <c r="Q117" s="139">
        <f t="shared" si="3"/>
        <v>0</v>
      </c>
    </row>
    <row r="118" spans="1:17">
      <c r="A118" s="74">
        <v>117</v>
      </c>
      <c r="B118" s="138" t="str">
        <f>IF($T$4=0,IF($I118="","",$I118),IFERROR(IF([1]财务取数接口!$B$117=0,"",[1]财务取数接口!$B$117),""))</f>
        <v/>
      </c>
      <c r="C118" s="75" t="str">
        <f>IF($T$4=0,IF($J118="","",$J118),IFERROR(IF([1]财务取数接口!$C$117=0,"",[1]财务取数接口!$C$117),""))</f>
        <v>包装物料采购入库</v>
      </c>
      <c r="D118" s="89" t="str">
        <f>IF($T$4=0,IF($K118="","",$K118),IFERROR(IF([1]财务取数接口!$D$117=0,"",[1]财务取数接口!$D$117),""))</f>
        <v/>
      </c>
      <c r="E118" s="89" t="str">
        <f>IF($T$4=0,IF($L118="","",$L118),IFERROR(IF([1]财务取数接口!$E$117=0,"",[1]财务取数接口!$E$117),""))</f>
        <v>包</v>
      </c>
      <c r="F118" s="76" t="str">
        <f>IF($T$4=0,IF($M118="","",$M118),IFERROR(IF([1]财务取数接口!$G$117=0,"",[1]财务取数接口!$G$117),""))</f>
        <v/>
      </c>
      <c r="G118" s="76" t="str">
        <f>IF($T$4=0,IF($N118="","",$N118),IFERROR(IF([1]财务取数接口!$H$117=0,"",[1]财务取数接口!$H$117),""))</f>
        <v/>
      </c>
      <c r="H118" s="75" t="str">
        <f>IF($T$4=0,IF($O118="","",$O118),IFERROR(IF([1]财务取数接口!$I$117=0,"",[1]财务取数接口!$I$117),""))</f>
        <v/>
      </c>
      <c r="I118" s="43"/>
      <c r="J118" s="106"/>
      <c r="K118" s="43"/>
      <c r="L118" s="43"/>
      <c r="M118" s="107"/>
      <c r="N118" s="107"/>
      <c r="O118" s="106"/>
      <c r="P118" s="139">
        <f t="shared" si="2"/>
        <v>0</v>
      </c>
      <c r="Q118" s="139">
        <f t="shared" si="3"/>
        <v>0</v>
      </c>
    </row>
    <row r="119" spans="1:17">
      <c r="A119" s="74">
        <v>118</v>
      </c>
      <c r="B119" s="138" t="str">
        <f>IF($T$4=0,IF($I119="","",$I119),IFERROR(IF([1]财务取数接口!$B$118=0,"",[1]财务取数接口!$B$118),""))</f>
        <v/>
      </c>
      <c r="C119" s="75" t="str">
        <f>IF($T$4=0,IF($J119="","",$J119),IFERROR(IF([1]财务取数接口!$C$118=0,"",[1]财务取数接口!$C$118),""))</f>
        <v>包装物料采购入库</v>
      </c>
      <c r="D119" s="89" t="str">
        <f>IF($T$4=0,IF($K119="","",$K119),IFERROR(IF([1]财务取数接口!$D$118=0,"",[1]财务取数接口!$D$118),""))</f>
        <v/>
      </c>
      <c r="E119" s="89" t="str">
        <f>IF($T$4=0,IF($L119="","",$L119),IFERROR(IF([1]财务取数接口!$E$118=0,"",[1]财务取数接口!$E$118),""))</f>
        <v>包</v>
      </c>
      <c r="F119" s="76" t="str">
        <f>IF($T$4=0,IF($M119="","",$M119),IFERROR(IF([1]财务取数接口!$G$118=0,"",[1]财务取数接口!$G$118),""))</f>
        <v/>
      </c>
      <c r="G119" s="76" t="str">
        <f>IF($T$4=0,IF($N119="","",$N119),IFERROR(IF([1]财务取数接口!$H$118=0,"",[1]财务取数接口!$H$118),""))</f>
        <v/>
      </c>
      <c r="H119" s="75" t="str">
        <f>IF($T$4=0,IF($O119="","",$O119),IFERROR(IF([1]财务取数接口!$I$118=0,"",[1]财务取数接口!$I$118),""))</f>
        <v/>
      </c>
      <c r="I119" s="43"/>
      <c r="J119" s="106"/>
      <c r="K119" s="43"/>
      <c r="L119" s="43"/>
      <c r="M119" s="107"/>
      <c r="N119" s="107"/>
      <c r="O119" s="106"/>
      <c r="P119" s="139">
        <f t="shared" si="2"/>
        <v>0</v>
      </c>
      <c r="Q119" s="139">
        <f t="shared" si="3"/>
        <v>0</v>
      </c>
    </row>
    <row r="120" spans="1:17">
      <c r="A120" s="74">
        <v>119</v>
      </c>
      <c r="B120" s="138" t="str">
        <f>IF($T$4=0,IF($I120="","",$I120),IFERROR(IF([1]财务取数接口!$B$119=0,"",[1]财务取数接口!$B$119),""))</f>
        <v/>
      </c>
      <c r="C120" s="75" t="str">
        <f>IF($T$4=0,IF($J120="","",$J120),IFERROR(IF([1]财务取数接口!$C$119=0,"",[1]财务取数接口!$C$119),""))</f>
        <v>包装物料采购入库</v>
      </c>
      <c r="D120" s="89" t="str">
        <f>IF($T$4=0,IF($K120="","",$K120),IFERROR(IF([1]财务取数接口!$D$119=0,"",[1]财务取数接口!$D$119),""))</f>
        <v/>
      </c>
      <c r="E120" s="89" t="str">
        <f>IF($T$4=0,IF($L120="","",$L120),IFERROR(IF([1]财务取数接口!$E$119=0,"",[1]财务取数接口!$E$119),""))</f>
        <v>包</v>
      </c>
      <c r="F120" s="76" t="str">
        <f>IF($T$4=0,IF($M120="","",$M120),IFERROR(IF([1]财务取数接口!$G$119=0,"",[1]财务取数接口!$G$119),""))</f>
        <v/>
      </c>
      <c r="G120" s="76" t="str">
        <f>IF($T$4=0,IF($N120="","",$N120),IFERROR(IF([1]财务取数接口!$H$119=0,"",[1]财务取数接口!$H$119),""))</f>
        <v/>
      </c>
      <c r="H120" s="75" t="str">
        <f>IF($T$4=0,IF($O120="","",$O120),IFERROR(IF([1]财务取数接口!$I$119=0,"",[1]财务取数接口!$I$119),""))</f>
        <v/>
      </c>
      <c r="I120" s="43"/>
      <c r="J120" s="106"/>
      <c r="K120" s="43"/>
      <c r="L120" s="43"/>
      <c r="M120" s="107"/>
      <c r="N120" s="107"/>
      <c r="O120" s="106"/>
      <c r="P120" s="139">
        <f t="shared" si="2"/>
        <v>0</v>
      </c>
      <c r="Q120" s="139">
        <f t="shared" si="3"/>
        <v>0</v>
      </c>
    </row>
    <row r="121" spans="1:17">
      <c r="A121" s="74">
        <v>120</v>
      </c>
      <c r="B121" s="138" t="str">
        <f>IF($T$4=0,IF($I121="","",$I121),IFERROR(IF([1]财务取数接口!$B$120=0,"",[1]财务取数接口!$B$120),""))</f>
        <v/>
      </c>
      <c r="C121" s="75" t="str">
        <f>IF($T$4=0,IF($J121="","",$J121),IFERROR(IF([1]财务取数接口!$C$120=0,"",[1]财务取数接口!$C$120),""))</f>
        <v>包装物料采购入库</v>
      </c>
      <c r="D121" s="89" t="str">
        <f>IF($T$4=0,IF($K121="","",$K121),IFERROR(IF([1]财务取数接口!$D$120=0,"",[1]财务取数接口!$D$120),""))</f>
        <v/>
      </c>
      <c r="E121" s="89" t="str">
        <f>IF($T$4=0,IF($L121="","",$L121),IFERROR(IF([1]财务取数接口!$E$120=0,"",[1]财务取数接口!$E$120),""))</f>
        <v>包</v>
      </c>
      <c r="F121" s="76" t="str">
        <f>IF($T$4=0,IF($M121="","",$M121),IFERROR(IF([1]财务取数接口!$G$120=0,"",[1]财务取数接口!$G$120),""))</f>
        <v/>
      </c>
      <c r="G121" s="76" t="str">
        <f>IF($T$4=0,IF($N121="","",$N121),IFERROR(IF([1]财务取数接口!$H$120=0,"",[1]财务取数接口!$H$120),""))</f>
        <v/>
      </c>
      <c r="H121" s="75" t="str">
        <f>IF($T$4=0,IF($O121="","",$O121),IFERROR(IF([1]财务取数接口!$I$120=0,"",[1]财务取数接口!$I$120),""))</f>
        <v/>
      </c>
      <c r="I121" s="43"/>
      <c r="J121" s="106"/>
      <c r="K121" s="43"/>
      <c r="L121" s="43"/>
      <c r="M121" s="107"/>
      <c r="N121" s="107"/>
      <c r="O121" s="106"/>
      <c r="P121" s="139">
        <f t="shared" si="2"/>
        <v>0</v>
      </c>
      <c r="Q121" s="139">
        <f t="shared" si="3"/>
        <v>0</v>
      </c>
    </row>
    <row r="122" spans="1:17">
      <c r="A122" s="74">
        <v>121</v>
      </c>
      <c r="B122" s="138" t="str">
        <f>IF($T$4=0,IF($I122="","",$I122),IFERROR(IF([1]财务取数接口!$B$121=0,"",[1]财务取数接口!$B$121),""))</f>
        <v/>
      </c>
      <c r="C122" s="75" t="str">
        <f>IF($T$4=0,IF($J122="","",$J122),IFERROR(IF([1]财务取数接口!$C$121=0,"",[1]财务取数接口!$C$121),""))</f>
        <v>包装物料采购入库</v>
      </c>
      <c r="D122" s="89" t="str">
        <f>IF($T$4=0,IF($K122="","",$K122),IFERROR(IF([1]财务取数接口!$D$121=0,"",[1]财务取数接口!$D$121),""))</f>
        <v/>
      </c>
      <c r="E122" s="89" t="str">
        <f>IF($T$4=0,IF($L122="","",$L122),IFERROR(IF([1]财务取数接口!$E$121=0,"",[1]财务取数接口!$E$121),""))</f>
        <v>包</v>
      </c>
      <c r="F122" s="76" t="str">
        <f>IF($T$4=0,IF($M122="","",$M122),IFERROR(IF([1]财务取数接口!$G$121=0,"",[1]财务取数接口!$G$121),""))</f>
        <v/>
      </c>
      <c r="G122" s="76" t="str">
        <f>IF($T$4=0,IF($N122="","",$N122),IFERROR(IF([1]财务取数接口!$H$121=0,"",[1]财务取数接口!$H$121),""))</f>
        <v/>
      </c>
      <c r="H122" s="75" t="str">
        <f>IF($T$4=0,IF($O122="","",$O122),IFERROR(IF([1]财务取数接口!$I$121=0,"",[1]财务取数接口!$I$121),""))</f>
        <v/>
      </c>
      <c r="I122" s="43"/>
      <c r="J122" s="106"/>
      <c r="K122" s="43"/>
      <c r="L122" s="43"/>
      <c r="M122" s="107"/>
      <c r="N122" s="107"/>
      <c r="O122" s="106"/>
      <c r="P122" s="139">
        <f t="shared" si="2"/>
        <v>0</v>
      </c>
      <c r="Q122" s="139">
        <f t="shared" si="3"/>
        <v>0</v>
      </c>
    </row>
    <row r="123" spans="1:17">
      <c r="A123" s="74">
        <v>122</v>
      </c>
      <c r="B123" s="138" t="str">
        <f>IF($T$4=0,IF($I123="","",$I123),IFERROR(IF([1]财务取数接口!$B$122=0,"",[1]财务取数接口!$B$122),""))</f>
        <v/>
      </c>
      <c r="C123" s="75" t="str">
        <f>IF($T$4=0,IF($J123="","",$J123),IFERROR(IF([1]财务取数接口!$C$122=0,"",[1]财务取数接口!$C$122),""))</f>
        <v>包装物料采购入库</v>
      </c>
      <c r="D123" s="89" t="str">
        <f>IF($T$4=0,IF($K123="","",$K123),IFERROR(IF([1]财务取数接口!$D$122=0,"",[1]财务取数接口!$D$122),""))</f>
        <v/>
      </c>
      <c r="E123" s="89" t="str">
        <f>IF($T$4=0,IF($L123="","",$L123),IFERROR(IF([1]财务取数接口!$E$122=0,"",[1]财务取数接口!$E$122),""))</f>
        <v>包</v>
      </c>
      <c r="F123" s="76" t="str">
        <f>IF($T$4=0,IF($M123="","",$M123),IFERROR(IF([1]财务取数接口!$G$122=0,"",[1]财务取数接口!$G$122),""))</f>
        <v/>
      </c>
      <c r="G123" s="76" t="str">
        <f>IF($T$4=0,IF($N123="","",$N123),IFERROR(IF([1]财务取数接口!$H$122=0,"",[1]财务取数接口!$H$122),""))</f>
        <v/>
      </c>
      <c r="H123" s="75" t="str">
        <f>IF($T$4=0,IF($O123="","",$O123),IFERROR(IF([1]财务取数接口!$I$122=0,"",[1]财务取数接口!$I$122),""))</f>
        <v/>
      </c>
      <c r="I123" s="43"/>
      <c r="J123" s="106"/>
      <c r="K123" s="43"/>
      <c r="L123" s="43"/>
      <c r="M123" s="107"/>
      <c r="N123" s="107"/>
      <c r="O123" s="106"/>
      <c r="P123" s="139">
        <f t="shared" si="2"/>
        <v>0</v>
      </c>
      <c r="Q123" s="139">
        <f t="shared" si="3"/>
        <v>0</v>
      </c>
    </row>
    <row r="124" spans="1:17">
      <c r="A124" s="74">
        <v>123</v>
      </c>
      <c r="B124" s="138" t="str">
        <f>IF($T$4=0,IF($I124="","",$I124),IFERROR(IF([1]财务取数接口!$B$123=0,"",[1]财务取数接口!$B$123),""))</f>
        <v/>
      </c>
      <c r="C124" s="75" t="str">
        <f>IF($T$4=0,IF($J124="","",$J124),IFERROR(IF([1]财务取数接口!$C$123=0,"",[1]财务取数接口!$C$123),""))</f>
        <v>包装物料采购入库</v>
      </c>
      <c r="D124" s="89" t="str">
        <f>IF($T$4=0,IF($K124="","",$K124),IFERROR(IF([1]财务取数接口!$D$123=0,"",[1]财务取数接口!$D$123),""))</f>
        <v/>
      </c>
      <c r="E124" s="89" t="str">
        <f>IF($T$4=0,IF($L124="","",$L124),IFERROR(IF([1]财务取数接口!$E$123=0,"",[1]财务取数接口!$E$123),""))</f>
        <v>包</v>
      </c>
      <c r="F124" s="76" t="str">
        <f>IF($T$4=0,IF($M124="","",$M124),IFERROR(IF([1]财务取数接口!$G$123=0,"",[1]财务取数接口!$G$123),""))</f>
        <v/>
      </c>
      <c r="G124" s="76" t="str">
        <f>IF($T$4=0,IF($N124="","",$N124),IFERROR(IF([1]财务取数接口!$H$123=0,"",[1]财务取数接口!$H$123),""))</f>
        <v/>
      </c>
      <c r="H124" s="75" t="str">
        <f>IF($T$4=0,IF($O124="","",$O124),IFERROR(IF([1]财务取数接口!$I$123=0,"",[1]财务取数接口!$I$123),""))</f>
        <v/>
      </c>
      <c r="I124" s="43"/>
      <c r="J124" s="106"/>
      <c r="K124" s="43"/>
      <c r="L124" s="43"/>
      <c r="M124" s="107"/>
      <c r="N124" s="107"/>
      <c r="O124" s="106"/>
      <c r="P124" s="139">
        <f t="shared" si="2"/>
        <v>0</v>
      </c>
      <c r="Q124" s="139">
        <f t="shared" si="3"/>
        <v>0</v>
      </c>
    </row>
    <row r="125" spans="1:17">
      <c r="A125" s="74">
        <v>124</v>
      </c>
      <c r="B125" s="138" t="str">
        <f>IF($T$4=0,IF($I125="","",$I125),IFERROR(IF([1]财务取数接口!$B$124=0,"",[1]财务取数接口!$B$124),""))</f>
        <v/>
      </c>
      <c r="C125" s="75" t="str">
        <f>IF($T$4=0,IF($J125="","",$J125),IFERROR(IF([1]财务取数接口!$C$124=0,"",[1]财务取数接口!$C$124),""))</f>
        <v>包装物料采购入库</v>
      </c>
      <c r="D125" s="89" t="str">
        <f>IF($T$4=0,IF($K125="","",$K125),IFERROR(IF([1]财务取数接口!$D$124=0,"",[1]财务取数接口!$D$124),""))</f>
        <v/>
      </c>
      <c r="E125" s="89" t="str">
        <f>IF($T$4=0,IF($L125="","",$L125),IFERROR(IF([1]财务取数接口!$E$124=0,"",[1]财务取数接口!$E$124),""))</f>
        <v>包</v>
      </c>
      <c r="F125" s="76" t="str">
        <f>IF($T$4=0,IF($M125="","",$M125),IFERROR(IF([1]财务取数接口!$G$124=0,"",[1]财务取数接口!$G$124),""))</f>
        <v/>
      </c>
      <c r="G125" s="76" t="str">
        <f>IF($T$4=0,IF($N125="","",$N125),IFERROR(IF([1]财务取数接口!$H$124=0,"",[1]财务取数接口!$H$124),""))</f>
        <v/>
      </c>
      <c r="H125" s="75" t="str">
        <f>IF($T$4=0,IF($O125="","",$O125),IFERROR(IF([1]财务取数接口!$I$124=0,"",[1]财务取数接口!$I$124),""))</f>
        <v/>
      </c>
      <c r="I125" s="43"/>
      <c r="J125" s="106"/>
      <c r="K125" s="43"/>
      <c r="L125" s="43"/>
      <c r="M125" s="107"/>
      <c r="N125" s="107"/>
      <c r="O125" s="106"/>
      <c r="P125" s="139">
        <f t="shared" si="2"/>
        <v>0</v>
      </c>
      <c r="Q125" s="139">
        <f t="shared" si="3"/>
        <v>0</v>
      </c>
    </row>
    <row r="126" spans="1:17">
      <c r="A126" s="74">
        <v>125</v>
      </c>
      <c r="B126" s="138" t="str">
        <f>IF($T$4=0,IF($I126="","",$I126),IFERROR(IF([1]财务取数接口!$B$125=0,"",[1]财务取数接口!$B$125),""))</f>
        <v/>
      </c>
      <c r="C126" s="75" t="str">
        <f>IF($T$4=0,IF($J126="","",$J126),IFERROR(IF([1]财务取数接口!$C$125=0,"",[1]财务取数接口!$C$125),""))</f>
        <v>包装物料采购入库</v>
      </c>
      <c r="D126" s="89" t="str">
        <f>IF($T$4=0,IF($K126="","",$K126),IFERROR(IF([1]财务取数接口!$D$125=0,"",[1]财务取数接口!$D$125),""))</f>
        <v/>
      </c>
      <c r="E126" s="89" t="str">
        <f>IF($T$4=0,IF($L126="","",$L126),IFERROR(IF([1]财务取数接口!$E$125=0,"",[1]财务取数接口!$E$125),""))</f>
        <v>包</v>
      </c>
      <c r="F126" s="76" t="str">
        <f>IF($T$4=0,IF($M126="","",$M126),IFERROR(IF([1]财务取数接口!$G$125=0,"",[1]财务取数接口!$G$125),""))</f>
        <v/>
      </c>
      <c r="G126" s="76" t="str">
        <f>IF($T$4=0,IF($N126="","",$N126),IFERROR(IF([1]财务取数接口!$H$125=0,"",[1]财务取数接口!$H$125),""))</f>
        <v/>
      </c>
      <c r="H126" s="75" t="str">
        <f>IF($T$4=0,IF($O126="","",$O126),IFERROR(IF([1]财务取数接口!$I$125=0,"",[1]财务取数接口!$I$125),""))</f>
        <v/>
      </c>
      <c r="I126" s="43"/>
      <c r="J126" s="106"/>
      <c r="K126" s="43"/>
      <c r="L126" s="43"/>
      <c r="M126" s="107"/>
      <c r="N126" s="107"/>
      <c r="O126" s="106"/>
      <c r="P126" s="139">
        <f t="shared" si="2"/>
        <v>0</v>
      </c>
      <c r="Q126" s="139">
        <f t="shared" si="3"/>
        <v>0</v>
      </c>
    </row>
    <row r="127" spans="1:17">
      <c r="A127" s="74">
        <v>126</v>
      </c>
      <c r="B127" s="138" t="str">
        <f>IF($T$4=0,IF($I127="","",$I127),IFERROR(IF([1]财务取数接口!$B$126=0,"",[1]财务取数接口!$B$126),""))</f>
        <v/>
      </c>
      <c r="C127" s="75" t="str">
        <f>IF($T$4=0,IF($J127="","",$J127),IFERROR(IF([1]财务取数接口!$C$126=0,"",[1]财务取数接口!$C$126),""))</f>
        <v>包装物料采购入库</v>
      </c>
      <c r="D127" s="89" t="str">
        <f>IF($T$4=0,IF($K127="","",$K127),IFERROR(IF([1]财务取数接口!$D$126=0,"",[1]财务取数接口!$D$126),""))</f>
        <v/>
      </c>
      <c r="E127" s="89" t="str">
        <f>IF($T$4=0,IF($L127="","",$L127),IFERROR(IF([1]财务取数接口!$E$126=0,"",[1]财务取数接口!$E$126),""))</f>
        <v>包</v>
      </c>
      <c r="F127" s="76" t="str">
        <f>IF($T$4=0,IF($M127="","",$M127),IFERROR(IF([1]财务取数接口!$G$126=0,"",[1]财务取数接口!$G$126),""))</f>
        <v/>
      </c>
      <c r="G127" s="76" t="str">
        <f>IF($T$4=0,IF($N127="","",$N127),IFERROR(IF([1]财务取数接口!$H$126=0,"",[1]财务取数接口!$H$126),""))</f>
        <v/>
      </c>
      <c r="H127" s="75" t="str">
        <f>IF($T$4=0,IF($O127="","",$O127),IFERROR(IF([1]财务取数接口!$I$126=0,"",[1]财务取数接口!$I$126),""))</f>
        <v/>
      </c>
      <c r="I127" s="43"/>
      <c r="J127" s="106"/>
      <c r="K127" s="43"/>
      <c r="L127" s="43"/>
      <c r="M127" s="107"/>
      <c r="N127" s="107"/>
      <c r="O127" s="106"/>
      <c r="P127" s="139">
        <f t="shared" si="2"/>
        <v>0</v>
      </c>
      <c r="Q127" s="139">
        <f t="shared" si="3"/>
        <v>0</v>
      </c>
    </row>
    <row r="128" spans="1:17">
      <c r="A128" s="74">
        <v>127</v>
      </c>
      <c r="B128" s="138" t="str">
        <f>IF($T$4=0,IF($I128="","",$I128),IFERROR(IF([1]财务取数接口!$B$127=0,"",[1]财务取数接口!$B$127),""))</f>
        <v/>
      </c>
      <c r="C128" s="75" t="str">
        <f>IF($T$4=0,IF($J128="","",$J128),IFERROR(IF([1]财务取数接口!$C$127=0,"",[1]财务取数接口!$C$127),""))</f>
        <v>周转筐托盘采购入库</v>
      </c>
      <c r="D128" s="89" t="str">
        <f>IF($T$4=0,IF($K128="","",$K128),IFERROR(IF([1]财务取数接口!$D$127=0,"",[1]财务取数接口!$D$127),""))</f>
        <v/>
      </c>
      <c r="E128" s="89" t="str">
        <f>IF($T$4=0,IF($L128="","",$L128),IFERROR(IF([1]财务取数接口!$E$127=0,"",[1]财务取数接口!$E$127),""))</f>
        <v>个</v>
      </c>
      <c r="F128" s="76" t="str">
        <f>IF($T$4=0,IF($M128="","",$M128),IFERROR(IF([1]财务取数接口!$G$127=0,"",[1]财务取数接口!$G$127),""))</f>
        <v/>
      </c>
      <c r="G128" s="76" t="str">
        <f>IF($T$4=0,IF($N128="","",$N128),IFERROR(IF([1]财务取数接口!$H$127=0,"",[1]财务取数接口!$H$127),""))</f>
        <v/>
      </c>
      <c r="H128" s="75" t="str">
        <f>IF($T$4=0,IF($O128="","",$O128),IFERROR(IF([1]财务取数接口!$I$127=0,"",[1]财务取数接口!$I$127),""))</f>
        <v/>
      </c>
      <c r="I128" s="43"/>
      <c r="J128" s="106"/>
      <c r="K128" s="43"/>
      <c r="L128" s="43"/>
      <c r="M128" s="107"/>
      <c r="N128" s="107"/>
      <c r="O128" s="106"/>
      <c r="P128" s="139">
        <f t="shared" si="2"/>
        <v>0</v>
      </c>
      <c r="Q128" s="139">
        <f t="shared" si="3"/>
        <v>0</v>
      </c>
    </row>
    <row r="129" spans="1:17">
      <c r="A129" s="74">
        <v>128</v>
      </c>
      <c r="B129" s="138" t="str">
        <f>IF($T$4=0,IF($I129="","",$I129),IFERROR(IF([1]财务取数接口!$B$128=0,"",[1]财务取数接口!$B$128),""))</f>
        <v/>
      </c>
      <c r="C129" s="75" t="str">
        <f>IF($T$4=0,IF($J129="","",$J129),IFERROR(IF([1]财务取数接口!$C$128=0,"",[1]财务取数接口!$C$128),""))</f>
        <v>周转筐托盘采购入库</v>
      </c>
      <c r="D129" s="89" t="str">
        <f>IF($T$4=0,IF($K129="","",$K129),IFERROR(IF([1]财务取数接口!$D$128=0,"",[1]财务取数接口!$D$128),""))</f>
        <v/>
      </c>
      <c r="E129" s="89" t="str">
        <f>IF($T$4=0,IF($L129="","",$L129),IFERROR(IF([1]财务取数接口!$E$128=0,"",[1]财务取数接口!$E$128),""))</f>
        <v>个</v>
      </c>
      <c r="F129" s="76" t="str">
        <f>IF($T$4=0,IF($M129="","",$M129),IFERROR(IF([1]财务取数接口!$G$128=0,"",[1]财务取数接口!$G$128),""))</f>
        <v/>
      </c>
      <c r="G129" s="76" t="str">
        <f>IF($T$4=0,IF($N129="","",$N129),IFERROR(IF([1]财务取数接口!$H$128=0,"",[1]财务取数接口!$H$128),""))</f>
        <v/>
      </c>
      <c r="H129" s="75" t="str">
        <f>IF($T$4=0,IF($O129="","",$O129),IFERROR(IF([1]财务取数接口!$I$128=0,"",[1]财务取数接口!$I$128),""))</f>
        <v/>
      </c>
      <c r="I129" s="43"/>
      <c r="J129" s="106"/>
      <c r="K129" s="43"/>
      <c r="L129" s="43"/>
      <c r="M129" s="107"/>
      <c r="N129" s="107"/>
      <c r="O129" s="106"/>
      <c r="P129" s="139">
        <f t="shared" si="2"/>
        <v>0</v>
      </c>
      <c r="Q129" s="139">
        <f t="shared" si="3"/>
        <v>0</v>
      </c>
    </row>
    <row r="130" spans="1:17">
      <c r="A130" s="74">
        <v>129</v>
      </c>
      <c r="B130" s="138" t="str">
        <f>IF($T$4=0,IF($I130="","",$I130),IFERROR(IF([1]财务取数接口!$B$129=0,"",[1]财务取数接口!$B$129),""))</f>
        <v/>
      </c>
      <c r="C130" s="75" t="str">
        <f>IF($T$4=0,IF($J130="","",$J130),IFERROR(IF([1]财务取数接口!$C$129=0,"",[1]财务取数接口!$C$129),""))</f>
        <v>周转筐托盘采购入库</v>
      </c>
      <c r="D130" s="89" t="str">
        <f>IF($T$4=0,IF($K130="","",$K130),IFERROR(IF([1]财务取数接口!$D$129=0,"",[1]财务取数接口!$D$129),""))</f>
        <v/>
      </c>
      <c r="E130" s="89" t="str">
        <f>IF($T$4=0,IF($L130="","",$L130),IFERROR(IF([1]财务取数接口!$E$129=0,"",[1]财务取数接口!$E$129),""))</f>
        <v>个</v>
      </c>
      <c r="F130" s="76" t="str">
        <f>IF($T$4=0,IF($M130="","",$M130),IFERROR(IF([1]财务取数接口!$G$129=0,"",[1]财务取数接口!$G$129),""))</f>
        <v/>
      </c>
      <c r="G130" s="76" t="str">
        <f>IF($T$4=0,IF($N130="","",$N130),IFERROR(IF([1]财务取数接口!$H$129=0,"",[1]财务取数接口!$H$129),""))</f>
        <v/>
      </c>
      <c r="H130" s="75" t="str">
        <f>IF($T$4=0,IF($O130="","",$O130),IFERROR(IF([1]财务取数接口!$I$129=0,"",[1]财务取数接口!$I$129),""))</f>
        <v/>
      </c>
      <c r="I130" s="43"/>
      <c r="J130" s="106"/>
      <c r="K130" s="43"/>
      <c r="L130" s="43"/>
      <c r="M130" s="107"/>
      <c r="N130" s="107"/>
      <c r="O130" s="106"/>
      <c r="P130" s="139">
        <f t="shared" si="2"/>
        <v>0</v>
      </c>
      <c r="Q130" s="139">
        <f t="shared" si="3"/>
        <v>0</v>
      </c>
    </row>
    <row r="131" spans="1:17">
      <c r="A131" s="74">
        <v>130</v>
      </c>
      <c r="B131" s="138" t="str">
        <f>IF($T$4=0,IF($I131="","",$I131),IFERROR(IF([1]财务取数接口!$B$130=0,"",[1]财务取数接口!$B$130),""))</f>
        <v/>
      </c>
      <c r="C131" s="75" t="str">
        <f>IF($T$4=0,IF($J131="","",$J131),IFERROR(IF([1]财务取数接口!$C$130=0,"",[1]财务取数接口!$C$130),""))</f>
        <v>周转筐托盘采购入库</v>
      </c>
      <c r="D131" s="89" t="str">
        <f>IF($T$4=0,IF($K131="","",$K131),IFERROR(IF([1]财务取数接口!$D$130=0,"",[1]财务取数接口!$D$130),""))</f>
        <v/>
      </c>
      <c r="E131" s="89" t="str">
        <f>IF($T$4=0,IF($L131="","",$L131),IFERROR(IF([1]财务取数接口!$E$130=0,"",[1]财务取数接口!$E$130),""))</f>
        <v>个</v>
      </c>
      <c r="F131" s="76" t="str">
        <f>IF($T$4=0,IF($M131="","",$M131),IFERROR(IF([1]财务取数接口!$G$130=0,"",[1]财务取数接口!$G$130),""))</f>
        <v/>
      </c>
      <c r="G131" s="76" t="str">
        <f>IF($T$4=0,IF($N131="","",$N131),IFERROR(IF([1]财务取数接口!$H$130=0,"",[1]财务取数接口!$H$130),""))</f>
        <v/>
      </c>
      <c r="H131" s="75" t="str">
        <f>IF($T$4=0,IF($O131="","",$O131),IFERROR(IF([1]财务取数接口!$I$130=0,"",[1]财务取数接口!$I$130),""))</f>
        <v/>
      </c>
      <c r="I131" s="43"/>
      <c r="J131" s="106"/>
      <c r="K131" s="43"/>
      <c r="L131" s="43"/>
      <c r="M131" s="107"/>
      <c r="N131" s="107"/>
      <c r="O131" s="106"/>
      <c r="P131" s="139">
        <f t="shared" si="2"/>
        <v>0</v>
      </c>
      <c r="Q131" s="139">
        <f t="shared" si="3"/>
        <v>0</v>
      </c>
    </row>
    <row r="132" spans="1:17">
      <c r="A132" s="74">
        <v>131</v>
      </c>
      <c r="B132" s="138" t="str">
        <f>IF($T$4=0,IF($I132="","",$I132),IFERROR(IF([1]财务取数接口!$B$131=0,"",[1]财务取数接口!$B$131),""))</f>
        <v/>
      </c>
      <c r="C132" s="75" t="str">
        <f>IF($T$4=0,IF($J132="","",$J132),IFERROR(IF([1]财务取数接口!$C$131=0,"",[1]财务取数接口!$C$131),""))</f>
        <v>周转筐托盘采购入库</v>
      </c>
      <c r="D132" s="89" t="str">
        <f>IF($T$4=0,IF($K132="","",$K132),IFERROR(IF([1]财务取数接口!$D$131=0,"",[1]财务取数接口!$D$131),""))</f>
        <v/>
      </c>
      <c r="E132" s="89" t="str">
        <f>IF($T$4=0,IF($L132="","",$L132),IFERROR(IF([1]财务取数接口!$E$131=0,"",[1]财务取数接口!$E$131),""))</f>
        <v>个</v>
      </c>
      <c r="F132" s="76" t="str">
        <f>IF($T$4=0,IF($M132="","",$M132),IFERROR(IF([1]财务取数接口!$G$131=0,"",[1]财务取数接口!$G$131),""))</f>
        <v/>
      </c>
      <c r="G132" s="76" t="str">
        <f>IF($T$4=0,IF($N132="","",$N132),IFERROR(IF([1]财务取数接口!$H$131=0,"",[1]财务取数接口!$H$131),""))</f>
        <v/>
      </c>
      <c r="H132" s="75" t="str">
        <f>IF($T$4=0,IF($O132="","",$O132),IFERROR(IF([1]财务取数接口!$I$131=0,"",[1]财务取数接口!$I$131),""))</f>
        <v/>
      </c>
      <c r="I132" s="43"/>
      <c r="J132" s="106"/>
      <c r="K132" s="43"/>
      <c r="L132" s="43"/>
      <c r="M132" s="107"/>
      <c r="N132" s="107"/>
      <c r="O132" s="106"/>
      <c r="P132" s="139">
        <f t="shared" si="2"/>
        <v>0</v>
      </c>
      <c r="Q132" s="139">
        <f t="shared" si="3"/>
        <v>0</v>
      </c>
    </row>
    <row r="133" spans="1:17">
      <c r="A133" s="74">
        <v>132</v>
      </c>
      <c r="B133" s="138" t="str">
        <f>IF($T$4=0,IF($I133="","",$I133),IFERROR(IF([1]财务取数接口!$B$132=0,"",[1]财务取数接口!$B$132),""))</f>
        <v/>
      </c>
      <c r="C133" s="75" t="str">
        <f>IF($T$4=0,IF($J133="","",$J133),IFERROR(IF([1]财务取数接口!$C$132=0,"",[1]财务取数接口!$C$132),""))</f>
        <v>周转筐托盘采购入库</v>
      </c>
      <c r="D133" s="89" t="str">
        <f>IF($T$4=0,IF($K133="","",$K133),IFERROR(IF([1]财务取数接口!$D$132=0,"",[1]财务取数接口!$D$132),""))</f>
        <v/>
      </c>
      <c r="E133" s="89" t="str">
        <f>IF($T$4=0,IF($L133="","",$L133),IFERROR(IF([1]财务取数接口!$E$132=0,"",[1]财务取数接口!$E$132),""))</f>
        <v>个</v>
      </c>
      <c r="F133" s="76" t="str">
        <f>IF($T$4=0,IF($M133="","",$M133),IFERROR(IF([1]财务取数接口!$G$132=0,"",[1]财务取数接口!$G$132),""))</f>
        <v/>
      </c>
      <c r="G133" s="76" t="str">
        <f>IF($T$4=0,IF($N133="","",$N133),IFERROR(IF([1]财务取数接口!$H$132=0,"",[1]财务取数接口!$H$132),""))</f>
        <v/>
      </c>
      <c r="H133" s="75" t="str">
        <f>IF($T$4=0,IF($O133="","",$O133),IFERROR(IF([1]财务取数接口!$I$132=0,"",[1]财务取数接口!$I$132),""))</f>
        <v/>
      </c>
      <c r="I133" s="43"/>
      <c r="J133" s="106"/>
      <c r="K133" s="43"/>
      <c r="L133" s="43"/>
      <c r="M133" s="107"/>
      <c r="N133" s="107"/>
      <c r="O133" s="106"/>
      <c r="P133" s="139">
        <f t="shared" ref="P133:P196" si="4">IF(AND($C133&lt;&gt;"",$C133&lt;&gt;"项目",OR(N($D133)&lt;&gt;0,N($E133)&lt;&gt;0,N($F133)&lt;&gt;0)),1,0)</f>
        <v>0</v>
      </c>
      <c r="Q133" s="139">
        <f t="shared" ref="Q133:Q196" si="5">N(Q132)+$P133</f>
        <v>0</v>
      </c>
    </row>
    <row r="134" spans="1:17">
      <c r="A134" s="74">
        <v>133</v>
      </c>
      <c r="B134" s="138" t="str">
        <f>IF($T$4=0,IF($I134="","",$I134),IFERROR(IF([1]财务取数接口!$B$133=0,"",[1]财务取数接口!$B$133),""))</f>
        <v/>
      </c>
      <c r="C134" s="75" t="str">
        <f>IF($T$4=0,IF($J134="","",$J134),IFERROR(IF([1]财务取数接口!$C$133=0,"",[1]财务取数接口!$C$133),""))</f>
        <v>周转筐托盘采购入库</v>
      </c>
      <c r="D134" s="89" t="str">
        <f>IF($T$4=0,IF($K134="","",$K134),IFERROR(IF([1]财务取数接口!$D$133=0,"",[1]财务取数接口!$D$133),""))</f>
        <v/>
      </c>
      <c r="E134" s="89" t="str">
        <f>IF($T$4=0,IF($L134="","",$L134),IFERROR(IF([1]财务取数接口!$E$133=0,"",[1]财务取数接口!$E$133),""))</f>
        <v>个</v>
      </c>
      <c r="F134" s="76" t="str">
        <f>IF($T$4=0,IF($M134="","",$M134),IFERROR(IF([1]财务取数接口!$G$133=0,"",[1]财务取数接口!$G$133),""))</f>
        <v/>
      </c>
      <c r="G134" s="76" t="str">
        <f>IF($T$4=0,IF($N134="","",$N134),IFERROR(IF([1]财务取数接口!$H$133=0,"",[1]财务取数接口!$H$133),""))</f>
        <v/>
      </c>
      <c r="H134" s="75" t="str">
        <f>IF($T$4=0,IF($O134="","",$O134),IFERROR(IF([1]财务取数接口!$I$133=0,"",[1]财务取数接口!$I$133),""))</f>
        <v/>
      </c>
      <c r="I134" s="43"/>
      <c r="J134" s="106"/>
      <c r="K134" s="43"/>
      <c r="L134" s="43"/>
      <c r="M134" s="107"/>
      <c r="N134" s="107"/>
      <c r="O134" s="106"/>
      <c r="P134" s="139">
        <f t="shared" si="4"/>
        <v>0</v>
      </c>
      <c r="Q134" s="139">
        <f t="shared" si="5"/>
        <v>0</v>
      </c>
    </row>
    <row r="135" spans="1:17">
      <c r="A135" s="74">
        <v>134</v>
      </c>
      <c r="B135" s="138" t="str">
        <f>IF($T$4=0,IF($I135="","",$I135),IFERROR(IF([1]财务取数接口!$B$134=0,"",[1]财务取数接口!$B$134),""))</f>
        <v/>
      </c>
      <c r="C135" s="75" t="str">
        <f>IF($T$4=0,IF($J135="","",$J135),IFERROR(IF([1]财务取数接口!$C$134=0,"",[1]财务取数接口!$C$134),""))</f>
        <v>周转筐托盘采购入库</v>
      </c>
      <c r="D135" s="89" t="str">
        <f>IF($T$4=0,IF($K135="","",$K135),IFERROR(IF([1]财务取数接口!$D$134=0,"",[1]财务取数接口!$D$134),""))</f>
        <v/>
      </c>
      <c r="E135" s="89" t="str">
        <f>IF($T$4=0,IF($L135="","",$L135),IFERROR(IF([1]财务取数接口!$E$134=0,"",[1]财务取数接口!$E$134),""))</f>
        <v>个</v>
      </c>
      <c r="F135" s="76" t="str">
        <f>IF($T$4=0,IF($M135="","",$M135),IFERROR(IF([1]财务取数接口!$G$134=0,"",[1]财务取数接口!$G$134),""))</f>
        <v/>
      </c>
      <c r="G135" s="76" t="str">
        <f>IF($T$4=0,IF($N135="","",$N135),IFERROR(IF([1]财务取数接口!$H$134=0,"",[1]财务取数接口!$H$134),""))</f>
        <v/>
      </c>
      <c r="H135" s="75" t="str">
        <f>IF($T$4=0,IF($O135="","",$O135),IFERROR(IF([1]财务取数接口!$I$134=0,"",[1]财务取数接口!$I$134),""))</f>
        <v/>
      </c>
      <c r="I135" s="43"/>
      <c r="J135" s="106"/>
      <c r="K135" s="43"/>
      <c r="L135" s="43"/>
      <c r="M135" s="107"/>
      <c r="N135" s="107"/>
      <c r="O135" s="106"/>
      <c r="P135" s="139">
        <f t="shared" si="4"/>
        <v>0</v>
      </c>
      <c r="Q135" s="139">
        <f t="shared" si="5"/>
        <v>0</v>
      </c>
    </row>
    <row r="136" spans="1:17">
      <c r="A136" s="74">
        <v>135</v>
      </c>
      <c r="B136" s="138" t="str">
        <f>IF($T$4=0,IF($I136="","",$I136),IFERROR(IF([1]财务取数接口!$B$135=0,"",[1]财务取数接口!$B$135),""))</f>
        <v/>
      </c>
      <c r="C136" s="75" t="str">
        <f>IF($T$4=0,IF($J136="","",$J136),IFERROR(IF([1]财务取数接口!$C$135=0,"",[1]财务取数接口!$C$135),""))</f>
        <v>周转筐托盘采购入库</v>
      </c>
      <c r="D136" s="89" t="str">
        <f>IF($T$4=0,IF($K136="","",$K136),IFERROR(IF([1]财务取数接口!$D$135=0,"",[1]财务取数接口!$D$135),""))</f>
        <v/>
      </c>
      <c r="E136" s="89" t="str">
        <f>IF($T$4=0,IF($L136="","",$L136),IFERROR(IF([1]财务取数接口!$E$135=0,"",[1]财务取数接口!$E$135),""))</f>
        <v>个</v>
      </c>
      <c r="F136" s="76" t="str">
        <f>IF($T$4=0,IF($M136="","",$M136),IFERROR(IF([1]财务取数接口!$G$135=0,"",[1]财务取数接口!$G$135),""))</f>
        <v/>
      </c>
      <c r="G136" s="76" t="str">
        <f>IF($T$4=0,IF($N136="","",$N136),IFERROR(IF([1]财务取数接口!$H$135=0,"",[1]财务取数接口!$H$135),""))</f>
        <v/>
      </c>
      <c r="H136" s="75" t="str">
        <f>IF($T$4=0,IF($O136="","",$O136),IFERROR(IF([1]财务取数接口!$I$135=0,"",[1]财务取数接口!$I$135),""))</f>
        <v/>
      </c>
      <c r="I136" s="43"/>
      <c r="J136" s="106"/>
      <c r="K136" s="43"/>
      <c r="L136" s="43"/>
      <c r="M136" s="107"/>
      <c r="N136" s="107"/>
      <c r="O136" s="106"/>
      <c r="P136" s="139">
        <f t="shared" si="4"/>
        <v>0</v>
      </c>
      <c r="Q136" s="139">
        <f t="shared" si="5"/>
        <v>0</v>
      </c>
    </row>
    <row r="137" spans="1:17">
      <c r="A137" s="74">
        <v>136</v>
      </c>
      <c r="B137" s="138" t="str">
        <f>IF($T$4=0,IF($I137="","",$I137),IFERROR(IF([1]财务取数接口!$B$136=0,"",[1]财务取数接口!$B$136),""))</f>
        <v/>
      </c>
      <c r="C137" s="75" t="str">
        <f>IF($T$4=0,IF($J137="","",$J137),IFERROR(IF([1]财务取数接口!$C$136=0,"",[1]财务取数接口!$C$136),""))</f>
        <v>周转筐托盘采购入库</v>
      </c>
      <c r="D137" s="89" t="str">
        <f>IF($T$4=0,IF($K137="","",$K137),IFERROR(IF([1]财务取数接口!$D$136=0,"",[1]财务取数接口!$D$136),""))</f>
        <v/>
      </c>
      <c r="E137" s="89" t="str">
        <f>IF($T$4=0,IF($L137="","",$L137),IFERROR(IF([1]财务取数接口!$E$136=0,"",[1]财务取数接口!$E$136),""))</f>
        <v>个</v>
      </c>
      <c r="F137" s="76" t="str">
        <f>IF($T$4=0,IF($M137="","",$M137),IFERROR(IF([1]财务取数接口!$G$136=0,"",[1]财务取数接口!$G$136),""))</f>
        <v/>
      </c>
      <c r="G137" s="76" t="str">
        <f>IF($T$4=0,IF($N137="","",$N137),IFERROR(IF([1]财务取数接口!$H$136=0,"",[1]财务取数接口!$H$136),""))</f>
        <v/>
      </c>
      <c r="H137" s="75" t="str">
        <f>IF($T$4=0,IF($O137="","",$O137),IFERROR(IF([1]财务取数接口!$I$136=0,"",[1]财务取数接口!$I$136),""))</f>
        <v/>
      </c>
      <c r="I137" s="43"/>
      <c r="J137" s="106"/>
      <c r="K137" s="43"/>
      <c r="L137" s="43"/>
      <c r="M137" s="107"/>
      <c r="N137" s="107"/>
      <c r="O137" s="106"/>
      <c r="P137" s="139">
        <f t="shared" si="4"/>
        <v>0</v>
      </c>
      <c r="Q137" s="139">
        <f t="shared" si="5"/>
        <v>0</v>
      </c>
    </row>
    <row r="138" spans="1:17">
      <c r="A138" s="74">
        <v>137</v>
      </c>
      <c r="B138" s="138" t="str">
        <f>IF($T$4=0,IF($I138="","",$I138),IFERROR(IF([1]财务取数接口!$B$137=0,"",[1]财务取数接口!$B$137),""))</f>
        <v/>
      </c>
      <c r="C138" s="75" t="str">
        <f>IF($T$4=0,IF($J138="","",$J138),IFERROR(IF([1]财务取数接口!$C$137=0,"",[1]财务取数接口!$C$137),""))</f>
        <v>周转筐托盘采购入库</v>
      </c>
      <c r="D138" s="89" t="str">
        <f>IF($T$4=0,IF($K138="","",$K138),IFERROR(IF([1]财务取数接口!$D$137=0,"",[1]财务取数接口!$D$137),""))</f>
        <v/>
      </c>
      <c r="E138" s="89" t="str">
        <f>IF($T$4=0,IF($L138="","",$L138),IFERROR(IF([1]财务取数接口!$E$137=0,"",[1]财务取数接口!$E$137),""))</f>
        <v>个</v>
      </c>
      <c r="F138" s="76" t="str">
        <f>IF($T$4=0,IF($M138="","",$M138),IFERROR(IF([1]财务取数接口!$G$137=0,"",[1]财务取数接口!$G$137),""))</f>
        <v/>
      </c>
      <c r="G138" s="76" t="str">
        <f>IF($T$4=0,IF($N138="","",$N138),IFERROR(IF([1]财务取数接口!$H$137=0,"",[1]财务取数接口!$H$137),""))</f>
        <v/>
      </c>
      <c r="H138" s="75" t="str">
        <f>IF($T$4=0,IF($O138="","",$O138),IFERROR(IF([1]财务取数接口!$I$137=0,"",[1]财务取数接口!$I$137),""))</f>
        <v/>
      </c>
      <c r="I138" s="43"/>
      <c r="J138" s="106"/>
      <c r="K138" s="43"/>
      <c r="L138" s="43"/>
      <c r="M138" s="107"/>
      <c r="N138" s="107"/>
      <c r="O138" s="106"/>
      <c r="P138" s="139">
        <f t="shared" si="4"/>
        <v>0</v>
      </c>
      <c r="Q138" s="139">
        <f t="shared" si="5"/>
        <v>0</v>
      </c>
    </row>
    <row r="139" spans="1:17">
      <c r="A139" s="74">
        <v>138</v>
      </c>
      <c r="B139" s="138" t="str">
        <f>IF($T$4=0,IF($I139="","",$I139),IFERROR(IF([1]财务取数接口!$B$138=0,"",[1]财务取数接口!$B$138),""))</f>
        <v/>
      </c>
      <c r="C139" s="75" t="str">
        <f>IF($T$4=0,IF($J139="","",$J139),IFERROR(IF([1]财务取数接口!$C$138=0,"",[1]财务取数接口!$C$138),""))</f>
        <v>周转筐托盘采购入库</v>
      </c>
      <c r="D139" s="89" t="str">
        <f>IF($T$4=0,IF($K139="","",$K139),IFERROR(IF([1]财务取数接口!$D$138=0,"",[1]财务取数接口!$D$138),""))</f>
        <v/>
      </c>
      <c r="E139" s="89" t="str">
        <f>IF($T$4=0,IF($L139="","",$L139),IFERROR(IF([1]财务取数接口!$E$138=0,"",[1]财务取数接口!$E$138),""))</f>
        <v>个</v>
      </c>
      <c r="F139" s="76" t="str">
        <f>IF($T$4=0,IF($M139="","",$M139),IFERROR(IF([1]财务取数接口!$G$138=0,"",[1]财务取数接口!$G$138),""))</f>
        <v/>
      </c>
      <c r="G139" s="76" t="str">
        <f>IF($T$4=0,IF($N139="","",$N139),IFERROR(IF([1]财务取数接口!$H$138=0,"",[1]财务取数接口!$H$138),""))</f>
        <v/>
      </c>
      <c r="H139" s="75" t="str">
        <f>IF($T$4=0,IF($O139="","",$O139),IFERROR(IF([1]财务取数接口!$I$138=0,"",[1]财务取数接口!$I$138),""))</f>
        <v/>
      </c>
      <c r="I139" s="43"/>
      <c r="J139" s="106"/>
      <c r="K139" s="43"/>
      <c r="L139" s="43"/>
      <c r="M139" s="107"/>
      <c r="N139" s="107"/>
      <c r="O139" s="106"/>
      <c r="P139" s="139">
        <f t="shared" si="4"/>
        <v>0</v>
      </c>
      <c r="Q139" s="139">
        <f t="shared" si="5"/>
        <v>0</v>
      </c>
    </row>
    <row r="140" spans="1:17">
      <c r="A140" s="74">
        <v>139</v>
      </c>
      <c r="B140" s="138" t="str">
        <f>IF($T$4=0,IF($I140="","",$I140),IFERROR(IF([1]财务取数接口!$B$139=0,"",[1]财务取数接口!$B$139),""))</f>
        <v/>
      </c>
      <c r="C140" s="75" t="str">
        <f>IF($T$4=0,IF($J140="","",$J140),IFERROR(IF([1]财务取数接口!$C$139=0,"",[1]财务取数接口!$C$139),""))</f>
        <v>周转筐托盘采购入库</v>
      </c>
      <c r="D140" s="89" t="str">
        <f>IF($T$4=0,IF($K140="","",$K140),IFERROR(IF([1]财务取数接口!$D$139=0,"",[1]财务取数接口!$D$139),""))</f>
        <v/>
      </c>
      <c r="E140" s="89" t="str">
        <f>IF($T$4=0,IF($L140="","",$L140),IFERROR(IF([1]财务取数接口!$E$139=0,"",[1]财务取数接口!$E$139),""))</f>
        <v>个</v>
      </c>
      <c r="F140" s="76" t="str">
        <f>IF($T$4=0,IF($M140="","",$M140),IFERROR(IF([1]财务取数接口!$G$139=0,"",[1]财务取数接口!$G$139),""))</f>
        <v/>
      </c>
      <c r="G140" s="76" t="str">
        <f>IF($T$4=0,IF($N140="","",$N140),IFERROR(IF([1]财务取数接口!$H$139=0,"",[1]财务取数接口!$H$139),""))</f>
        <v/>
      </c>
      <c r="H140" s="75" t="str">
        <f>IF($T$4=0,IF($O140="","",$O140),IFERROR(IF([1]财务取数接口!$I$139=0,"",[1]财务取数接口!$I$139),""))</f>
        <v/>
      </c>
      <c r="I140" s="43"/>
      <c r="J140" s="106"/>
      <c r="K140" s="43"/>
      <c r="L140" s="43"/>
      <c r="M140" s="107"/>
      <c r="N140" s="107"/>
      <c r="O140" s="106"/>
      <c r="P140" s="139">
        <f t="shared" si="4"/>
        <v>0</v>
      </c>
      <c r="Q140" s="139">
        <f t="shared" si="5"/>
        <v>0</v>
      </c>
    </row>
    <row r="141" spans="1:17">
      <c r="A141" s="74">
        <v>140</v>
      </c>
      <c r="B141" s="138" t="str">
        <f>IF($T$4=0,IF($I141="","",$I141),IFERROR(IF([1]财务取数接口!$B$140=0,"",[1]财务取数接口!$B$140),""))</f>
        <v/>
      </c>
      <c r="C141" s="75" t="str">
        <f>IF($T$4=0,IF($J141="","",$J141),IFERROR(IF([1]财务取数接口!$C$140=0,"",[1]财务取数接口!$C$140),""))</f>
        <v>周转筐托盘采购入库</v>
      </c>
      <c r="D141" s="89" t="str">
        <f>IF($T$4=0,IF($K141="","",$K141),IFERROR(IF([1]财务取数接口!$D$140=0,"",[1]财务取数接口!$D$140),""))</f>
        <v/>
      </c>
      <c r="E141" s="89" t="str">
        <f>IF($T$4=0,IF($L141="","",$L141),IFERROR(IF([1]财务取数接口!$E$140=0,"",[1]财务取数接口!$E$140),""))</f>
        <v>个</v>
      </c>
      <c r="F141" s="76" t="str">
        <f>IF($T$4=0,IF($M141="","",$M141),IFERROR(IF([1]财务取数接口!$G$140=0,"",[1]财务取数接口!$G$140),""))</f>
        <v/>
      </c>
      <c r="G141" s="76" t="str">
        <f>IF($T$4=0,IF($N141="","",$N141),IFERROR(IF([1]财务取数接口!$H$140=0,"",[1]财务取数接口!$H$140),""))</f>
        <v/>
      </c>
      <c r="H141" s="75" t="str">
        <f>IF($T$4=0,IF($O141="","",$O141),IFERROR(IF([1]财务取数接口!$I$140=0,"",[1]财务取数接口!$I$140),""))</f>
        <v/>
      </c>
      <c r="I141" s="43"/>
      <c r="J141" s="106"/>
      <c r="K141" s="43"/>
      <c r="L141" s="43"/>
      <c r="M141" s="107"/>
      <c r="N141" s="107"/>
      <c r="O141" s="106"/>
      <c r="P141" s="139">
        <f t="shared" si="4"/>
        <v>0</v>
      </c>
      <c r="Q141" s="139">
        <f t="shared" si="5"/>
        <v>0</v>
      </c>
    </row>
    <row r="142" spans="1:17">
      <c r="A142" s="74">
        <v>141</v>
      </c>
      <c r="B142" s="138" t="str">
        <f>IF($T$4=0,IF($I142="","",$I142),IFERROR(IF([1]财务取数接口!$B$141=0,"",[1]财务取数接口!$B$141),""))</f>
        <v/>
      </c>
      <c r="C142" s="75" t="str">
        <f>IF($T$4=0,IF($J142="","",$J142),IFERROR(IF([1]财务取数接口!$C$141=0,"",[1]财务取数接口!$C$141),""))</f>
        <v>周转筐托盘采购入库</v>
      </c>
      <c r="D142" s="89" t="str">
        <f>IF($T$4=0,IF($K142="","",$K142),IFERROR(IF([1]财务取数接口!$D$141=0,"",[1]财务取数接口!$D$141),""))</f>
        <v/>
      </c>
      <c r="E142" s="89" t="str">
        <f>IF($T$4=0,IF($L142="","",$L142),IFERROR(IF([1]财务取数接口!$E$141=0,"",[1]财务取数接口!$E$141),""))</f>
        <v>个</v>
      </c>
      <c r="F142" s="76" t="str">
        <f>IF($T$4=0,IF($M142="","",$M142),IFERROR(IF([1]财务取数接口!$G$141=0,"",[1]财务取数接口!$G$141),""))</f>
        <v/>
      </c>
      <c r="G142" s="76" t="str">
        <f>IF($T$4=0,IF($N142="","",$N142),IFERROR(IF([1]财务取数接口!$H$141=0,"",[1]财务取数接口!$H$141),""))</f>
        <v/>
      </c>
      <c r="H142" s="75" t="str">
        <f>IF($T$4=0,IF($O142="","",$O142),IFERROR(IF([1]财务取数接口!$I$141=0,"",[1]财务取数接口!$I$141),""))</f>
        <v/>
      </c>
      <c r="I142" s="43"/>
      <c r="J142" s="106"/>
      <c r="K142" s="43"/>
      <c r="L142" s="43"/>
      <c r="M142" s="107"/>
      <c r="N142" s="107"/>
      <c r="O142" s="106"/>
      <c r="P142" s="139">
        <f t="shared" si="4"/>
        <v>0</v>
      </c>
      <c r="Q142" s="139">
        <f t="shared" si="5"/>
        <v>0</v>
      </c>
    </row>
    <row r="143" spans="1:17">
      <c r="A143" s="74">
        <v>142</v>
      </c>
      <c r="B143" s="138" t="str">
        <f>IF($T$4=0,IF($I143="","",$I143),IFERROR(IF([1]财务取数接口!$B$142=0,"",[1]财务取数接口!$B$142),""))</f>
        <v/>
      </c>
      <c r="C143" s="75" t="str">
        <f>IF($T$4=0,IF($J143="","",$J143),IFERROR(IF([1]财务取数接口!$C$142=0,"",[1]财务取数接口!$C$142),""))</f>
        <v>周转筐托盘采购入库</v>
      </c>
      <c r="D143" s="89" t="str">
        <f>IF($T$4=0,IF($K143="","",$K143),IFERROR(IF([1]财务取数接口!$D$142=0,"",[1]财务取数接口!$D$142),""))</f>
        <v/>
      </c>
      <c r="E143" s="89" t="str">
        <f>IF($T$4=0,IF($L143="","",$L143),IFERROR(IF([1]财务取数接口!$E$142=0,"",[1]财务取数接口!$E$142),""))</f>
        <v>个</v>
      </c>
      <c r="F143" s="76" t="str">
        <f>IF($T$4=0,IF($M143="","",$M143),IFERROR(IF([1]财务取数接口!$G$142=0,"",[1]财务取数接口!$G$142),""))</f>
        <v/>
      </c>
      <c r="G143" s="76" t="str">
        <f>IF($T$4=0,IF($N143="","",$N143),IFERROR(IF([1]财务取数接口!$H$142=0,"",[1]财务取数接口!$H$142),""))</f>
        <v/>
      </c>
      <c r="H143" s="75" t="str">
        <f>IF($T$4=0,IF($O143="","",$O143),IFERROR(IF([1]财务取数接口!$I$142=0,"",[1]财务取数接口!$I$142),""))</f>
        <v/>
      </c>
      <c r="I143" s="43"/>
      <c r="J143" s="106"/>
      <c r="K143" s="43"/>
      <c r="L143" s="43"/>
      <c r="M143" s="107"/>
      <c r="N143" s="107"/>
      <c r="O143" s="106"/>
      <c r="P143" s="139">
        <f t="shared" si="4"/>
        <v>0</v>
      </c>
      <c r="Q143" s="139">
        <f t="shared" si="5"/>
        <v>0</v>
      </c>
    </row>
    <row r="144" spans="1:17">
      <c r="A144" s="74">
        <v>143</v>
      </c>
      <c r="B144" s="138" t="str">
        <f>IF($T$4=0,IF($I144="","",$I144),IFERROR(IF([1]财务取数接口!$B$143=0,"",[1]财务取数接口!$B$143),""))</f>
        <v/>
      </c>
      <c r="C144" s="75" t="str">
        <f>IF($T$4=0,IF($J144="","",$J144),IFERROR(IF([1]财务取数接口!$C$143=0,"",[1]财务取数接口!$C$143),""))</f>
        <v>周转筐托盘采购入库</v>
      </c>
      <c r="D144" s="89" t="str">
        <f>IF($T$4=0,IF($K144="","",$K144),IFERROR(IF([1]财务取数接口!$D$143=0,"",[1]财务取数接口!$D$143),""))</f>
        <v/>
      </c>
      <c r="E144" s="89" t="str">
        <f>IF($T$4=0,IF($L144="","",$L144),IFERROR(IF([1]财务取数接口!$E$143=0,"",[1]财务取数接口!$E$143),""))</f>
        <v>个</v>
      </c>
      <c r="F144" s="76" t="str">
        <f>IF($T$4=0,IF($M144="","",$M144),IFERROR(IF([1]财务取数接口!$G$143=0,"",[1]财务取数接口!$G$143),""))</f>
        <v/>
      </c>
      <c r="G144" s="76" t="str">
        <f>IF($T$4=0,IF($N144="","",$N144),IFERROR(IF([1]财务取数接口!$H$143=0,"",[1]财务取数接口!$H$143),""))</f>
        <v/>
      </c>
      <c r="H144" s="75" t="str">
        <f>IF($T$4=0,IF($O144="","",$O144),IFERROR(IF([1]财务取数接口!$I$143=0,"",[1]财务取数接口!$I$143),""))</f>
        <v/>
      </c>
      <c r="I144" s="43"/>
      <c r="J144" s="106"/>
      <c r="K144" s="43"/>
      <c r="L144" s="43"/>
      <c r="M144" s="107"/>
      <c r="N144" s="107"/>
      <c r="O144" s="106"/>
      <c r="P144" s="139">
        <f t="shared" si="4"/>
        <v>0</v>
      </c>
      <c r="Q144" s="139">
        <f t="shared" si="5"/>
        <v>0</v>
      </c>
    </row>
    <row r="145" spans="1:17">
      <c r="A145" s="74">
        <v>144</v>
      </c>
      <c r="B145" s="138" t="str">
        <f>IF($T$4=0,IF($I145="","",$I145),IFERROR(IF([1]财务取数接口!$B$144=0,"",[1]财务取数接口!$B$144),""))</f>
        <v/>
      </c>
      <c r="C145" s="75" t="str">
        <f>IF($T$4=0,IF($J145="","",$J145),IFERROR(IF([1]财务取数接口!$C$144=0,"",[1]财务取数接口!$C$144),""))</f>
        <v>周转筐托盘采购入库</v>
      </c>
      <c r="D145" s="89" t="str">
        <f>IF($T$4=0,IF($K145="","",$K145),IFERROR(IF([1]财务取数接口!$D$144=0,"",[1]财务取数接口!$D$144),""))</f>
        <v/>
      </c>
      <c r="E145" s="89" t="str">
        <f>IF($T$4=0,IF($L145="","",$L145),IFERROR(IF([1]财务取数接口!$E$144=0,"",[1]财务取数接口!$E$144),""))</f>
        <v>个</v>
      </c>
      <c r="F145" s="76" t="str">
        <f>IF($T$4=0,IF($M145="","",$M145),IFERROR(IF([1]财务取数接口!$G$144=0,"",[1]财务取数接口!$G$144),""))</f>
        <v/>
      </c>
      <c r="G145" s="76" t="str">
        <f>IF($T$4=0,IF($N145="","",$N145),IFERROR(IF([1]财务取数接口!$H$144=0,"",[1]财务取数接口!$H$144),""))</f>
        <v/>
      </c>
      <c r="H145" s="75" t="str">
        <f>IF($T$4=0,IF($O145="","",$O145),IFERROR(IF([1]财务取数接口!$I$144=0,"",[1]财务取数接口!$I$144),""))</f>
        <v/>
      </c>
      <c r="I145" s="43"/>
      <c r="J145" s="106"/>
      <c r="K145" s="43"/>
      <c r="L145" s="43"/>
      <c r="M145" s="107"/>
      <c r="N145" s="107"/>
      <c r="O145" s="106"/>
      <c r="P145" s="139">
        <f t="shared" si="4"/>
        <v>0</v>
      </c>
      <c r="Q145" s="139">
        <f t="shared" si="5"/>
        <v>0</v>
      </c>
    </row>
    <row r="146" spans="1:17">
      <c r="A146" s="74">
        <v>145</v>
      </c>
      <c r="B146" s="138" t="str">
        <f>IF($T$4=0,IF($I146="","",$I146),IFERROR(IF([1]财务取数接口!$B$145=0,"",[1]财务取数接口!$B$145),""))</f>
        <v/>
      </c>
      <c r="C146" s="75" t="str">
        <f>IF($T$4=0,IF($J146="","",$J146),IFERROR(IF([1]财务取数接口!$C$145=0,"",[1]财务取数接口!$C$145),""))</f>
        <v>周转筐托盘采购入库</v>
      </c>
      <c r="D146" s="89" t="str">
        <f>IF($T$4=0,IF($K146="","",$K146),IFERROR(IF([1]财务取数接口!$D$145=0,"",[1]财务取数接口!$D$145),""))</f>
        <v/>
      </c>
      <c r="E146" s="89" t="str">
        <f>IF($T$4=0,IF($L146="","",$L146),IFERROR(IF([1]财务取数接口!$E$145=0,"",[1]财务取数接口!$E$145),""))</f>
        <v>个</v>
      </c>
      <c r="F146" s="76" t="str">
        <f>IF($T$4=0,IF($M146="","",$M146),IFERROR(IF([1]财务取数接口!$G$145=0,"",[1]财务取数接口!$G$145),""))</f>
        <v/>
      </c>
      <c r="G146" s="76" t="str">
        <f>IF($T$4=0,IF($N146="","",$N146),IFERROR(IF([1]财务取数接口!$H$145=0,"",[1]财务取数接口!$H$145),""))</f>
        <v/>
      </c>
      <c r="H146" s="75" t="str">
        <f>IF($T$4=0,IF($O146="","",$O146),IFERROR(IF([1]财务取数接口!$I$145=0,"",[1]财务取数接口!$I$145),""))</f>
        <v/>
      </c>
      <c r="I146" s="43"/>
      <c r="J146" s="106"/>
      <c r="K146" s="43"/>
      <c r="L146" s="43"/>
      <c r="M146" s="107"/>
      <c r="N146" s="107"/>
      <c r="O146" s="106"/>
      <c r="P146" s="139">
        <f t="shared" si="4"/>
        <v>0</v>
      </c>
      <c r="Q146" s="139">
        <f t="shared" si="5"/>
        <v>0</v>
      </c>
    </row>
    <row r="147" spans="1:17">
      <c r="A147" s="74">
        <v>146</v>
      </c>
      <c r="B147" s="138" t="str">
        <f>IF($T$4=0,IF($I147="","",$I147),IFERROR(IF([1]财务取数接口!$B$146=0,"",[1]财务取数接口!$B$146),""))</f>
        <v/>
      </c>
      <c r="C147" s="75" t="str">
        <f>IF($T$4=0,IF($J147="","",$J147),IFERROR(IF([1]财务取数接口!$C$146=0,"",[1]财务取数接口!$C$146),""))</f>
        <v>周转筐托盘采购入库</v>
      </c>
      <c r="D147" s="89" t="str">
        <f>IF($T$4=0,IF($K147="","",$K147),IFERROR(IF([1]财务取数接口!$D$146=0,"",[1]财务取数接口!$D$146),""))</f>
        <v/>
      </c>
      <c r="E147" s="89" t="str">
        <f>IF($T$4=0,IF($L147="","",$L147),IFERROR(IF([1]财务取数接口!$E$146=0,"",[1]财务取数接口!$E$146),""))</f>
        <v>个</v>
      </c>
      <c r="F147" s="76" t="str">
        <f>IF($T$4=0,IF($M147="","",$M147),IFERROR(IF([1]财务取数接口!$G$146=0,"",[1]财务取数接口!$G$146),""))</f>
        <v/>
      </c>
      <c r="G147" s="76" t="str">
        <f>IF($T$4=0,IF($N147="","",$N147),IFERROR(IF([1]财务取数接口!$H$146=0,"",[1]财务取数接口!$H$146),""))</f>
        <v/>
      </c>
      <c r="H147" s="75" t="str">
        <f>IF($T$4=0,IF($O147="","",$O147),IFERROR(IF([1]财务取数接口!$I$146=0,"",[1]财务取数接口!$I$146),""))</f>
        <v/>
      </c>
      <c r="I147" s="43"/>
      <c r="J147" s="106"/>
      <c r="K147" s="43"/>
      <c r="L147" s="43"/>
      <c r="M147" s="107"/>
      <c r="N147" s="107"/>
      <c r="O147" s="106"/>
      <c r="P147" s="139">
        <f t="shared" si="4"/>
        <v>0</v>
      </c>
      <c r="Q147" s="139">
        <f t="shared" si="5"/>
        <v>0</v>
      </c>
    </row>
    <row r="148" spans="1:17">
      <c r="A148" s="74">
        <v>147</v>
      </c>
      <c r="B148" s="138" t="str">
        <f>IF($T$4=0,IF($I148="","",$I148),IFERROR(IF([1]财务取数接口!$B$147=0,"",[1]财务取数接口!$B$147),""))</f>
        <v/>
      </c>
      <c r="C148" s="75" t="str">
        <f>IF($T$4=0,IF($J148="","",$J148),IFERROR(IF([1]财务取数接口!$C$147=0,"",[1]财务取数接口!$C$147),""))</f>
        <v>周转筐托盘采购入库</v>
      </c>
      <c r="D148" s="89" t="str">
        <f>IF($T$4=0,IF($K148="","",$K148),IFERROR(IF([1]财务取数接口!$D$147=0,"",[1]财务取数接口!$D$147),""))</f>
        <v/>
      </c>
      <c r="E148" s="89" t="str">
        <f>IF($T$4=0,IF($L148="","",$L148),IFERROR(IF([1]财务取数接口!$E$147=0,"",[1]财务取数接口!$E$147),""))</f>
        <v>个</v>
      </c>
      <c r="F148" s="76" t="str">
        <f>IF($T$4=0,IF($M148="","",$M148),IFERROR(IF([1]财务取数接口!$G$147=0,"",[1]财务取数接口!$G$147),""))</f>
        <v/>
      </c>
      <c r="G148" s="76" t="str">
        <f>IF($T$4=0,IF($N148="","",$N148),IFERROR(IF([1]财务取数接口!$H$147=0,"",[1]财务取数接口!$H$147),""))</f>
        <v/>
      </c>
      <c r="H148" s="75" t="str">
        <f>IF($T$4=0,IF($O148="","",$O148),IFERROR(IF([1]财务取数接口!$I$147=0,"",[1]财务取数接口!$I$147),""))</f>
        <v/>
      </c>
      <c r="I148" s="43"/>
      <c r="J148" s="106"/>
      <c r="K148" s="43"/>
      <c r="L148" s="43"/>
      <c r="M148" s="107"/>
      <c r="N148" s="107"/>
      <c r="O148" s="106"/>
      <c r="P148" s="139">
        <f t="shared" si="4"/>
        <v>0</v>
      </c>
      <c r="Q148" s="139">
        <f t="shared" si="5"/>
        <v>0</v>
      </c>
    </row>
    <row r="149" spans="1:17">
      <c r="A149" s="74">
        <v>148</v>
      </c>
      <c r="B149" s="89" t="str">
        <f>IF($T$4=0,IF($I149="","",$I149),IFERROR(IF([1]财务取数接口!$B$148=0,"",[1]财务取数接口!$B$148),""))</f>
        <v/>
      </c>
      <c r="C149" s="75" t="str">
        <f>IF($T$4=0,IF($J149="","",$J149),IFERROR(IF([1]财务取数接口!$C$148=0,"",[1]财务取数接口!$C$148),""))</f>
        <v>周转筐托盘采购入库</v>
      </c>
      <c r="D149" s="89" t="str">
        <f>IF($T$4=0,IF($K149="","",$K149),IFERROR(IF([1]财务取数接口!$D$148=0,"",[1]财务取数接口!$D$148),""))</f>
        <v/>
      </c>
      <c r="E149" s="89" t="str">
        <f>IF($T$4=0,IF($L149="","",$L149),IFERROR(IF([1]财务取数接口!$E$148=0,"",[1]财务取数接口!$E$148),""))</f>
        <v>个</v>
      </c>
      <c r="F149" s="76" t="str">
        <f>IF($T$4=0,IF($M149="","",$M149),IFERROR(IF([1]财务取数接口!$G$148=0,"",[1]财务取数接口!$G$148),""))</f>
        <v/>
      </c>
      <c r="G149" s="76" t="str">
        <f>IF($T$4=0,IF($N149="","",$N149),IFERROR(IF([1]财务取数接口!$H$148=0,"",[1]财务取数接口!$H$148),""))</f>
        <v/>
      </c>
      <c r="H149" s="75" t="str">
        <f>IF($T$4=0,IF($O149="","",$O149),IFERROR(IF([1]财务取数接口!$I$148=0,"",[1]财务取数接口!$I$148),""))</f>
        <v/>
      </c>
      <c r="I149" s="43"/>
      <c r="J149" s="106"/>
      <c r="K149" s="43"/>
      <c r="L149" s="43"/>
      <c r="M149" s="107"/>
      <c r="N149" s="107"/>
      <c r="O149" s="106"/>
      <c r="P149" s="139">
        <f t="shared" si="4"/>
        <v>0</v>
      </c>
      <c r="Q149" s="139">
        <f t="shared" si="5"/>
        <v>0</v>
      </c>
    </row>
    <row r="150" spans="1:17">
      <c r="A150" s="74">
        <v>149</v>
      </c>
      <c r="B150" s="89" t="str">
        <f>IF($T$4=0,IF($I150="","",$I150),IFERROR(IF([1]财务取数接口!$B$149=0,"",[1]财务取数接口!$B$149),""))</f>
        <v/>
      </c>
      <c r="C150" s="75" t="str">
        <f>IF($T$4=0,IF($J150="","",$J150),IFERROR(IF([1]财务取数接口!$C$149=0,"",[1]财务取数接口!$C$149),""))</f>
        <v>周转筐托盘采购入库</v>
      </c>
      <c r="D150" s="89" t="str">
        <f>IF($T$4=0,IF($K150="","",$K150),IFERROR(IF([1]财务取数接口!$D$149=0,"",[1]财务取数接口!$D$149),""))</f>
        <v/>
      </c>
      <c r="E150" s="89" t="str">
        <f>IF($T$4=0,IF($L150="","",$L150),IFERROR(IF([1]财务取数接口!$E$149=0,"",[1]财务取数接口!$E$149),""))</f>
        <v>个</v>
      </c>
      <c r="F150" s="76" t="str">
        <f>IF($T$4=0,IF($M150="","",$M150),IFERROR(IF([1]财务取数接口!$G$149=0,"",[1]财务取数接口!$G$149),""))</f>
        <v/>
      </c>
      <c r="G150" s="76" t="str">
        <f>IF($T$4=0,IF($N150="","",$N150),IFERROR(IF([1]财务取数接口!$H$149=0,"",[1]财务取数接口!$H$149),""))</f>
        <v/>
      </c>
      <c r="H150" s="75" t="str">
        <f>IF($T$4=0,IF($O150="","",$O150),IFERROR(IF([1]财务取数接口!$I$149=0,"",[1]财务取数接口!$I$149),""))</f>
        <v/>
      </c>
      <c r="I150" s="43"/>
      <c r="J150" s="106"/>
      <c r="K150" s="43"/>
      <c r="L150" s="43"/>
      <c r="M150" s="107"/>
      <c r="N150" s="107"/>
      <c r="O150" s="106"/>
      <c r="P150" s="139">
        <f t="shared" si="4"/>
        <v>0</v>
      </c>
      <c r="Q150" s="139">
        <f t="shared" si="5"/>
        <v>0</v>
      </c>
    </row>
    <row r="151" spans="1:17">
      <c r="A151" s="74">
        <v>150</v>
      </c>
      <c r="B151" s="89" t="str">
        <f>IF($T$4=0,IF($I151="","",$I151),IFERROR(IF([1]财务取数接口!$B$150=0,"",[1]财务取数接口!$B$150),""))</f>
        <v/>
      </c>
      <c r="C151" s="75" t="str">
        <f>IF($T$4=0,IF($J151="","",$J151),IFERROR(IF([1]财务取数接口!$C$150=0,"",[1]财务取数接口!$C$150),""))</f>
        <v>周转筐托盘采购入库</v>
      </c>
      <c r="D151" s="89" t="str">
        <f>IF($T$4=0,IF($K151="","",$K151),IFERROR(IF([1]财务取数接口!$D$150=0,"",[1]财务取数接口!$D$150),""))</f>
        <v/>
      </c>
      <c r="E151" s="89" t="str">
        <f>IF($T$4=0,IF($L151="","",$L151),IFERROR(IF([1]财务取数接口!$E$150=0,"",[1]财务取数接口!$E$150),""))</f>
        <v>个</v>
      </c>
      <c r="F151" s="76" t="str">
        <f>IF($T$4=0,IF($M151="","",$M151),IFERROR(IF([1]财务取数接口!$G$150=0,"",[1]财务取数接口!$G$150),""))</f>
        <v/>
      </c>
      <c r="G151" s="76" t="str">
        <f>IF($T$4=0,IF($N151="","",$N151),IFERROR(IF([1]财务取数接口!$H$150=0,"",[1]财务取数接口!$H$150),""))</f>
        <v/>
      </c>
      <c r="H151" s="75" t="str">
        <f>IF($T$4=0,IF($O151="","",$O151),IFERROR(IF([1]财务取数接口!$I$150=0,"",[1]财务取数接口!$I$150),""))</f>
        <v/>
      </c>
      <c r="I151" s="43"/>
      <c r="J151" s="106"/>
      <c r="K151" s="43"/>
      <c r="L151" s="43"/>
      <c r="M151" s="107"/>
      <c r="N151" s="107"/>
      <c r="O151" s="106"/>
      <c r="P151" s="139">
        <f t="shared" si="4"/>
        <v>0</v>
      </c>
      <c r="Q151" s="139">
        <f t="shared" si="5"/>
        <v>0</v>
      </c>
    </row>
    <row r="152" spans="1:17">
      <c r="A152" s="74">
        <v>151</v>
      </c>
      <c r="B152" s="138" t="str">
        <f>IF($T$4=0,IF($I152="","",$I152),IFERROR(IF([1]财务取数接口!$B$151=0,"",[1]财务取数接口!$B$151),""))</f>
        <v/>
      </c>
      <c r="C152" s="75" t="str">
        <f>IF($T$4=0,IF($J152="","",$J152),IFERROR(IF([1]财务取数接口!$C$151=0,"",[1]财务取数接口!$C$151),""))</f>
        <v/>
      </c>
      <c r="D152" s="89" t="str">
        <f>IF($T$4=0,IF($K152="","",$K152),IFERROR(IF([1]财务取数接口!$D$151=0,"",[1]财务取数接口!$D$151),""))</f>
        <v/>
      </c>
      <c r="E152" s="89" t="str">
        <f>IF($T$4=0,IF($L152="","",$L152),IFERROR(IF([1]财务取数接口!$E$151=0,"",[1]财务取数接口!$E$151),""))</f>
        <v/>
      </c>
      <c r="F152" s="76" t="str">
        <f>IF($T$4=0,IF($M152="","",$M152),IFERROR(IF([1]财务取数接口!$G$151=0,"",[1]财务取数接口!$G$151),""))</f>
        <v/>
      </c>
      <c r="G152" s="76" t="str">
        <f>IF($T$4=0,IF($N152="","",$N152),IFERROR(IF([1]财务取数接口!$H$151=0,"",[1]财务取数接口!$H$151),""))</f>
        <v/>
      </c>
      <c r="H152" s="75" t="str">
        <f>IF($T$4=0,IF($O152="","",$O152),IFERROR(IF([1]财务取数接口!$I$151=0,"",[1]财务取数接口!$I$151),""))</f>
        <v/>
      </c>
      <c r="I152" s="43"/>
      <c r="J152" s="106"/>
      <c r="K152" s="43"/>
      <c r="L152" s="43"/>
      <c r="M152" s="107"/>
      <c r="N152" s="107"/>
      <c r="O152" s="106"/>
      <c r="P152" s="139">
        <f t="shared" si="4"/>
        <v>0</v>
      </c>
      <c r="Q152" s="139">
        <f t="shared" si="5"/>
        <v>0</v>
      </c>
    </row>
    <row r="153" spans="1:17">
      <c r="A153" s="74">
        <v>152</v>
      </c>
      <c r="B153" s="138" t="str">
        <f>IF($T$4=0,IF($I153="","",$I153),IFERROR(IF([1]财务取数接口!$B$152=0,"",[1]财务取数接口!$B$152),""))</f>
        <v/>
      </c>
      <c r="C153" s="75" t="str">
        <f>IF($T$4=0,IF($J153="","",$J153),IFERROR(IF([1]财务取数接口!$C$152=0,"",[1]财务取数接口!$C$152),""))</f>
        <v/>
      </c>
      <c r="D153" s="89" t="str">
        <f>IF($T$4=0,IF($K153="","",$K153),IFERROR(IF([1]财务取数接口!$D$152=0,"",[1]财务取数接口!$D$152),""))</f>
        <v/>
      </c>
      <c r="E153" s="89" t="str">
        <f>IF($T$4=0,IF($L153="","",$L153),IFERROR(IF([1]财务取数接口!$E$152=0,"",[1]财务取数接口!$E$152),""))</f>
        <v/>
      </c>
      <c r="F153" s="76" t="str">
        <f>IF($T$4=0,IF($M153="","",$M153),IFERROR(IF([1]财务取数接口!$G$152=0,"",[1]财务取数接口!$G$152),""))</f>
        <v/>
      </c>
      <c r="G153" s="76" t="str">
        <f>IF($T$4=0,IF($N153="","",$N153),IFERROR(IF([1]财务取数接口!$H$152=0,"",[1]财务取数接口!$H$152),""))</f>
        <v/>
      </c>
      <c r="H153" s="75" t="str">
        <f>IF($T$4=0,IF($O153="","",$O153),IFERROR(IF([1]财务取数接口!$I$152=0,"",[1]财务取数接口!$I$152),""))</f>
        <v/>
      </c>
      <c r="I153" s="43"/>
      <c r="J153" s="106"/>
      <c r="K153" s="43"/>
      <c r="L153" s="43"/>
      <c r="M153" s="107"/>
      <c r="N153" s="107"/>
      <c r="O153" s="106"/>
      <c r="P153" s="139">
        <f t="shared" si="4"/>
        <v>0</v>
      </c>
      <c r="Q153" s="139">
        <f t="shared" si="5"/>
        <v>0</v>
      </c>
    </row>
    <row r="154" spans="1:17">
      <c r="A154" s="74">
        <v>153</v>
      </c>
      <c r="B154" s="138" t="str">
        <f>IF($T$4=0,IF($I154="","",$I154),IFERROR(IF([1]财务取数接口!$B$153=0,"",[1]财务取数接口!$B$153),""))</f>
        <v>年月</v>
      </c>
      <c r="C154" s="75" t="str">
        <f>IF($T$4=0,IF($J154="","",$J154),IFERROR(IF([1]财务取数接口!$C$153=0,"",[1]财务取数接口!$C$153),""))</f>
        <v>项目</v>
      </c>
      <c r="D154" s="89" t="str">
        <f>IF($T$4=0,IF($K154="","",$K154),IFERROR(IF([1]财务取数接口!$D$153=0,"",[1]财务取数接口!$D$153),""))</f>
        <v>计费数量</v>
      </c>
      <c r="E154" s="89" t="str">
        <f>IF($T$4=0,IF($L154="","",$L154),IFERROR(IF([1]财务取数接口!$E$153=0,"",[1]财务取数接口!$E$153),""))</f>
        <v>计量单位</v>
      </c>
      <c r="F154" s="76" t="str">
        <f>IF($T$4=0,IF($M154="","",$M154),IFERROR(IF([1]财务取数接口!$G$153=0,"",[1]财务取数接口!$G$153),""))</f>
        <v>价税合计金额</v>
      </c>
      <c r="G154" s="76" t="str">
        <f>IF($T$4=0,IF($N154="","",$N154),IFERROR(IF([1]财务取数接口!$H$153=0,"",[1]财务取数接口!$H$153),""))</f>
        <v>已收金额</v>
      </c>
      <c r="H154" s="75" t="str">
        <f>IF($T$4=0,IF($O154="","",$O154),IFERROR(IF([1]财务取数接口!$I$153=0,"",[1]财务取数接口!$I$153),""))</f>
        <v>备注</v>
      </c>
      <c r="I154" s="43"/>
      <c r="J154" s="106"/>
      <c r="K154" s="43"/>
      <c r="L154" s="43"/>
      <c r="M154" s="107"/>
      <c r="N154" s="107"/>
      <c r="O154" s="106"/>
      <c r="P154" s="139">
        <f t="shared" si="4"/>
        <v>0</v>
      </c>
      <c r="Q154" s="139">
        <f t="shared" si="5"/>
        <v>0</v>
      </c>
    </row>
    <row r="155" spans="1:17">
      <c r="A155" s="74">
        <v>154</v>
      </c>
      <c r="B155" s="138" t="str">
        <f>IF($T$4=0,IF($I155="","",$I155),IFERROR(IF([1]财务取数接口!$B$154=0,"",[1]财务取数接口!$B$154),""))</f>
        <v/>
      </c>
      <c r="C155" s="75" t="str">
        <f>IF($T$4=0,IF($J155="","",$J155),IFERROR(IF([1]财务取数接口!$C$154=0,"",[1]财务取数接口!$C$154),""))</f>
        <v>包装物料期末库存</v>
      </c>
      <c r="D155" s="89">
        <f>IF($T$4=0,IF($K155="","",$K155),IFERROR(IF([1]财务取数接口!$D$154=0,"",[1]财务取数接口!$D$154),""))</f>
        <v>23490</v>
      </c>
      <c r="E155" s="89" t="str">
        <f>IF($T$4=0,IF($L155="","",$L155),IFERROR(IF([1]财务取数接口!$E$154=0,"",[1]财务取数接口!$E$154),""))</f>
        <v>包</v>
      </c>
      <c r="F155" s="76" t="str">
        <f>IF($T$4=0,IF($M155="","",$M155),IFERROR(IF([1]财务取数接口!$G$154=0,"",[1]财务取数接口!$G$154),""))</f>
        <v/>
      </c>
      <c r="G155" s="76" t="str">
        <f>IF($T$4=0,IF($N155="","",$N155),IFERROR(IF([1]财务取数接口!$H$154=0,"",[1]财务取数接口!$H$154),""))</f>
        <v/>
      </c>
      <c r="H155" s="75" t="str">
        <f>IF($T$4=0,IF($O155="","",$O155),IFERROR(IF([1]财务取数接口!$I$154=0,"",[1]财务取数接口!$I$154),""))</f>
        <v/>
      </c>
      <c r="I155" s="43"/>
      <c r="J155" s="106"/>
      <c r="K155" s="43"/>
      <c r="L155" s="43"/>
      <c r="M155" s="107"/>
      <c r="N155" s="107"/>
      <c r="O155" s="106"/>
      <c r="P155" s="139">
        <f t="shared" si="4"/>
        <v>1</v>
      </c>
      <c r="Q155" s="139">
        <f t="shared" si="5"/>
        <v>1</v>
      </c>
    </row>
    <row r="156" spans="1:17">
      <c r="A156" s="74">
        <v>155</v>
      </c>
      <c r="B156" s="138" t="str">
        <f>IF($T$4=0,IF($I156="","",$I156),IFERROR(IF([1]财务取数接口!$B$155=0,"",[1]财务取数接口!$B$155),""))</f>
        <v/>
      </c>
      <c r="C156" s="75" t="str">
        <f>IF($T$4=0,IF($J156="","",$J156),IFERROR(IF([1]财务取数接口!$C$155=0,"",[1]财务取数接口!$C$155),""))</f>
        <v>公司筐子期末总量</v>
      </c>
      <c r="D156" s="89">
        <f>IF($T$4=0,IF($K156="","",$K156),IFERROR(IF([1]财务取数接口!$D$155=0,"",[1]财务取数接口!$D$155),""))</f>
        <v>180226</v>
      </c>
      <c r="E156" s="89" t="str">
        <f>IF($T$4=0,IF($L156="","",$L156),IFERROR(IF([1]财务取数接口!$E$155=0,"",[1]财务取数接口!$E$155),""))</f>
        <v>个</v>
      </c>
      <c r="F156" s="76" t="str">
        <f>IF($T$4=0,IF($M156="","",$M156),IFERROR(IF([1]财务取数接口!$G$155=0,"",[1]财务取数接口!$G$155),""))</f>
        <v/>
      </c>
      <c r="G156" s="76" t="str">
        <f>IF($T$4=0,IF($N156="","",$N156),IFERROR(IF([1]财务取数接口!$H$155=0,"",[1]财务取数接口!$H$155),""))</f>
        <v/>
      </c>
      <c r="H156" s="75" t="str">
        <f>IF($T$4=0,IF($O156="","",$O156),IFERROR(IF([1]财务取数接口!$I$155=0,"",[1]财务取数接口!$I$155),""))</f>
        <v/>
      </c>
      <c r="I156" s="43"/>
      <c r="J156" s="106"/>
      <c r="K156" s="43"/>
      <c r="L156" s="43"/>
      <c r="M156" s="107"/>
      <c r="N156" s="107"/>
      <c r="O156" s="106"/>
      <c r="P156" s="139">
        <f t="shared" si="4"/>
        <v>1</v>
      </c>
      <c r="Q156" s="139">
        <f t="shared" si="5"/>
        <v>2</v>
      </c>
    </row>
    <row r="157" spans="1:17">
      <c r="A157" s="74">
        <v>156</v>
      </c>
      <c r="B157" s="138" t="str">
        <f>IF($T$4=0,IF($I157="","",$I157),IFERROR(IF([1]财务取数接口!$B$156=0,"",[1]财务取数接口!$B$156),""))</f>
        <v/>
      </c>
      <c r="C157" s="75" t="str">
        <f>IF($T$4=0,IF($J157="","",$J157),IFERROR(IF([1]财务取数接口!$C$156=0,"",[1]财务取数接口!$C$156),""))</f>
        <v>客户自备筐结存（表外备查）</v>
      </c>
      <c r="D157" s="89">
        <f>IF($T$4=0,IF($K157="","",$K157),IFERROR(IF([1]财务取数接口!$D$156=0,"",[1]财务取数接口!$D$156),""))</f>
        <v>2362</v>
      </c>
      <c r="E157" s="89" t="str">
        <f>IF($T$4=0,IF($L157="","",$L157),IFERROR(IF([1]财务取数接口!$E$156=0,"",[1]财务取数接口!$E$156),""))</f>
        <v>个</v>
      </c>
      <c r="F157" s="76" t="str">
        <f>IF($T$4=0,IF($M157="","",$M157),IFERROR(IF([1]财务取数接口!$G$156=0,"",[1]财务取数接口!$G$156),""))</f>
        <v/>
      </c>
      <c r="G157" s="76" t="str">
        <f>IF($T$4=0,IF($N157="","",$N157),IFERROR(IF([1]财务取数接口!$H$156=0,"",[1]财务取数接口!$H$156),""))</f>
        <v/>
      </c>
      <c r="H157" s="75" t="str">
        <f>IF($T$4=0,IF($O157="","",$O157),IFERROR(IF([1]财务取数接口!$I$156=0,"",[1]财务取数接口!$I$156),""))</f>
        <v/>
      </c>
      <c r="I157" s="43"/>
      <c r="J157" s="106"/>
      <c r="K157" s="43"/>
      <c r="L157" s="43"/>
      <c r="M157" s="107"/>
      <c r="N157" s="107"/>
      <c r="O157" s="106"/>
      <c r="P157" s="139">
        <f t="shared" si="4"/>
        <v>1</v>
      </c>
      <c r="Q157" s="139">
        <f t="shared" si="5"/>
        <v>3</v>
      </c>
    </row>
    <row r="158" spans="1:17">
      <c r="A158" s="74">
        <v>157</v>
      </c>
      <c r="B158" s="138" t="str">
        <f>IF($T$4=0,IF($I158="","",$I158),IFERROR(IF([1]财务取数接口!$B$157=0,"",[1]财务取数接口!$B$157),""))</f>
        <v/>
      </c>
      <c r="C158" s="75" t="str">
        <f>IF($T$4=0,IF($J158="","",$J158),IFERROR(IF([1]财务取数接口!$C$157=0,"",[1]财务取数接口!$C$157),""))</f>
        <v/>
      </c>
      <c r="D158" s="89" t="str">
        <f>IF($T$4=0,IF($K158="","",$K158),IFERROR(IF([1]财务取数接口!$D$157=0,"",[1]财务取数接口!$D$157),""))</f>
        <v/>
      </c>
      <c r="E158" s="89" t="str">
        <f>IF($T$4=0,IF($L158="","",$L158),IFERROR(IF([1]财务取数接口!$E$157=0,"",[1]财务取数接口!$E$157),""))</f>
        <v/>
      </c>
      <c r="F158" s="76" t="str">
        <f>IF($T$4=0,IF($M158="","",$M158),IFERROR(IF([1]财务取数接口!$G$157=0,"",[1]财务取数接口!$G$157),""))</f>
        <v/>
      </c>
      <c r="G158" s="76" t="str">
        <f>IF($T$4=0,IF($N158="","",$N158),IFERROR(IF([1]财务取数接口!$H$157=0,"",[1]财务取数接口!$H$157),""))</f>
        <v/>
      </c>
      <c r="H158" s="75" t="str">
        <f>IF($T$4=0,IF($O158="","",$O158),IFERROR(IF([1]财务取数接口!$I$157=0,"",[1]财务取数接口!$I$157),""))</f>
        <v/>
      </c>
      <c r="I158" s="43"/>
      <c r="J158" s="106"/>
      <c r="K158" s="43"/>
      <c r="L158" s="43"/>
      <c r="M158" s="107"/>
      <c r="N158" s="107"/>
      <c r="O158" s="106"/>
      <c r="P158" s="139">
        <f t="shared" si="4"/>
        <v>0</v>
      </c>
      <c r="Q158" s="139">
        <f t="shared" si="5"/>
        <v>3</v>
      </c>
    </row>
    <row r="159" spans="1:17">
      <c r="A159" s="74">
        <v>158</v>
      </c>
      <c r="B159" s="138" t="str">
        <f>IF($T$4=0,IF($I159="","",$I159),IFERROR(IF([1]财务取数接口!$B$158=0,"",[1]财务取数接口!$B$158),""))</f>
        <v/>
      </c>
      <c r="C159" s="75" t="str">
        <f>IF($T$4=0,IF($J159="","",$J159),IFERROR(IF([1]财务取数接口!$C$158=0,"",[1]财务取数接口!$C$158),""))</f>
        <v/>
      </c>
      <c r="D159" s="89" t="str">
        <f>IF($T$4=0,IF($K159="","",$K159),IFERROR(IF([1]财务取数接口!$D$158=0,"",[1]财务取数接口!$D$158),""))</f>
        <v/>
      </c>
      <c r="E159" s="89" t="str">
        <f>IF($T$4=0,IF($L159="","",$L159),IFERROR(IF([1]财务取数接口!$E$158=0,"",[1]财务取数接口!$E$158),""))</f>
        <v/>
      </c>
      <c r="F159" s="76" t="str">
        <f>IF($T$4=0,IF($M159="","",$M159),IFERROR(IF([1]财务取数接口!$G$158=0,"",[1]财务取数接口!$G$158),""))</f>
        <v/>
      </c>
      <c r="G159" s="76" t="str">
        <f>IF($T$4=0,IF($N159="","",$N159),IFERROR(IF([1]财务取数接口!$H$158=0,"",[1]财务取数接口!$H$158),""))</f>
        <v/>
      </c>
      <c r="H159" s="75" t="str">
        <f>IF($T$4=0,IF($O159="","",$O159),IFERROR(IF([1]财务取数接口!$I$158=0,"",[1]财务取数接口!$I$158),""))</f>
        <v/>
      </c>
      <c r="I159" s="43"/>
      <c r="J159" s="106"/>
      <c r="K159" s="43"/>
      <c r="L159" s="43"/>
      <c r="M159" s="107"/>
      <c r="N159" s="107"/>
      <c r="O159" s="106"/>
      <c r="P159" s="139">
        <f t="shared" si="4"/>
        <v>0</v>
      </c>
      <c r="Q159" s="139">
        <f t="shared" si="5"/>
        <v>3</v>
      </c>
    </row>
    <row r="160" spans="1:17">
      <c r="A160" s="74">
        <v>159</v>
      </c>
      <c r="B160" s="138" t="str">
        <f>IF($T$4=0,IF($I160="","",$I160),IFERROR(IF([1]财务取数接口!$B$159=0,"",[1]财务取数接口!$B$159),""))</f>
        <v>往来单位</v>
      </c>
      <c r="C160" s="75" t="str">
        <f>IF($T$4=0,IF($J160="","",$J160),IFERROR(IF([1]财务取数接口!$C$159=0,"",[1]财务取数接口!$C$159),""))</f>
        <v>项目</v>
      </c>
      <c r="D160" s="89" t="str">
        <f>IF($T$4=0,IF($K160="","",$K160),IFERROR(IF([1]财务取数接口!$D$159=0,"",[1]财务取数接口!$D$159),""))</f>
        <v>应收发生额</v>
      </c>
      <c r="E160" s="89" t="str">
        <f>IF($T$4=0,IF($L160="","",$L160),IFERROR(IF([1]财务取数接口!$E$159=0,"",[1]财务取数接口!$E$159),""))</f>
        <v>应付发生额</v>
      </c>
      <c r="F160" s="76" t="str">
        <f>IF($T$4=0,IF($M160="","",$M160),IFERROR(IF([1]财务取数接口!$G$159=0,"",[1]财务取数接口!$G$159),""))</f>
        <v>应收合计</v>
      </c>
      <c r="G160" s="76" t="str">
        <f>IF($T$4=0,IF($N160="","",$N160),IFERROR(IF([1]财务取数接口!$H$159=0,"",[1]财务取数接口!$H$159),""))</f>
        <v>已收金额</v>
      </c>
      <c r="H160" s="75" t="str">
        <f>IF($T$4=0,IF($O160="","",$O160),IFERROR(IF([1]财务取数接口!$I$159=0,"",[1]财务取数接口!$I$159),""))</f>
        <v>备注</v>
      </c>
      <c r="I160" s="43"/>
      <c r="J160" s="106"/>
      <c r="K160" s="43"/>
      <c r="L160" s="43"/>
      <c r="M160" s="107"/>
      <c r="N160" s="107"/>
      <c r="O160" s="106"/>
      <c r="P160" s="139">
        <f t="shared" si="4"/>
        <v>0</v>
      </c>
      <c r="Q160" s="139">
        <f t="shared" si="5"/>
        <v>3</v>
      </c>
    </row>
    <row r="161" spans="1:17">
      <c r="A161" s="74">
        <v>160</v>
      </c>
      <c r="B161" s="138" t="str">
        <f>IF($T$4=0,IF($I161="","",$I161),IFERROR(IF([1]财务取数接口!$B$160=0,"",[1]财务取数接口!$B$160),""))</f>
        <v>聂新平</v>
      </c>
      <c r="C161" s="75" t="str">
        <f>IF($T$4=0,IF($J161="","",$J161),IFERROR(IF([1]财务取数接口!$C$160=0,"",[1]财务取数接口!$C$160),""))</f>
        <v>筐子销售款</v>
      </c>
      <c r="D161" s="89" t="str">
        <f>IF($T$4=0,IF($K161="","",$K161),IFERROR(IF([1]财务取数接口!$D$160=0,"",[1]财务取数接口!$D$160),""))</f>
        <v/>
      </c>
      <c r="E161" s="89" t="str">
        <f>IF($T$4=0,IF($L161="","",$L161),IFERROR(IF([1]财务取数接口!$E$160=0,"",[1]财务取数接口!$E$160),""))</f>
        <v/>
      </c>
      <c r="F161" s="76" t="str">
        <f>IF($T$4=0,IF($M161="","",$M161),IFERROR(IF([1]财务取数接口!$G$160=0,"",[1]财务取数接口!$G$160),""))</f>
        <v/>
      </c>
      <c r="G161" s="76" t="str">
        <f>IF($T$4=0,IF($N161="","",$N161),IFERROR(IF([1]财务取数接口!$H$160=0,"",[1]财务取数接口!$H$160),""))</f>
        <v/>
      </c>
      <c r="H161" s="75" t="str">
        <f>IF($T$4=0,IF($O161="","",$O161),IFERROR(IF([1]财务取数接口!$I$160=0,"",[1]财务取数接口!$I$160),""))</f>
        <v/>
      </c>
      <c r="I161" s="43"/>
      <c r="J161" s="106"/>
      <c r="K161" s="43"/>
      <c r="L161" s="43"/>
      <c r="M161" s="107"/>
      <c r="N161" s="107"/>
      <c r="O161" s="106"/>
      <c r="P161" s="139">
        <f t="shared" si="4"/>
        <v>0</v>
      </c>
      <c r="Q161" s="139">
        <f t="shared" si="5"/>
        <v>3</v>
      </c>
    </row>
    <row r="162" spans="1:17">
      <c r="A162" s="74">
        <v>161</v>
      </c>
      <c r="B162" s="138" t="str">
        <f>IF($T$4=0,IF($I162="","",$I162),IFERROR(IF([1]财务取数接口!$B$161=0,"",[1]财务取数接口!$B$161),""))</f>
        <v>聂新平</v>
      </c>
      <c r="C162" s="75" t="str">
        <f>IF($T$4=0,IF($J162="","",$J162),IFERROR(IF([1]财务取数接口!$C$161=0,"",[1]财务取数接口!$C$161),""))</f>
        <v>物料销售款</v>
      </c>
      <c r="D162" s="89" t="str">
        <f>IF($T$4=0,IF($K162="","",$K162),IFERROR(IF([1]财务取数接口!$D$161=0,"",[1]财务取数接口!$D$161),""))</f>
        <v/>
      </c>
      <c r="E162" s="89" t="str">
        <f>IF($T$4=0,IF($L162="","",$L162),IFERROR(IF([1]财务取数接口!$E$161=0,"",[1]财务取数接口!$E$161),""))</f>
        <v/>
      </c>
      <c r="F162" s="76" t="str">
        <f>IF($T$4=0,IF($M162="","",$M162),IFERROR(IF([1]财务取数接口!$G$161=0,"",[1]财务取数接口!$G$161),""))</f>
        <v/>
      </c>
      <c r="G162" s="76" t="str">
        <f>IF($T$4=0,IF($N162="","",$N162),IFERROR(IF([1]财务取数接口!$H$161=0,"",[1]财务取数接口!$H$161),""))</f>
        <v/>
      </c>
      <c r="H162" s="75" t="str">
        <f>IF($T$4=0,IF($O162="","",$O162),IFERROR(IF([1]财务取数接口!$I$161=0,"",[1]财务取数接口!$I$161),""))</f>
        <v/>
      </c>
      <c r="I162" s="43"/>
      <c r="J162" s="106"/>
      <c r="K162" s="43"/>
      <c r="L162" s="43"/>
      <c r="M162" s="107"/>
      <c r="N162" s="107"/>
      <c r="O162" s="106"/>
      <c r="P162" s="139">
        <f t="shared" si="4"/>
        <v>0</v>
      </c>
      <c r="Q162" s="139">
        <f t="shared" si="5"/>
        <v>3</v>
      </c>
    </row>
    <row r="163" spans="1:17">
      <c r="A163" s="74">
        <v>162</v>
      </c>
      <c r="B163" s="138" t="str">
        <f>IF($T$4=0,IF($I163="","",$I163),IFERROR(IF([1]财务取数接口!$B$162=0,"",[1]财务取数接口!$B$162),""))</f>
        <v>王照雪</v>
      </c>
      <c r="C163" s="75" t="str">
        <f>IF($T$4=0,IF($J163="","",$J163),IFERROR(IF([1]财务取数接口!$C$162=0,"",[1]财务取数接口!$C$162),""))</f>
        <v>筐子销售款</v>
      </c>
      <c r="D163" s="89" t="str">
        <f>IF($T$4=0,IF($K163="","",$K163),IFERROR(IF([1]财务取数接口!$D$162=0,"",[1]财务取数接口!$D$162),""))</f>
        <v/>
      </c>
      <c r="E163" s="89" t="str">
        <f>IF($T$4=0,IF($L163="","",$L163),IFERROR(IF([1]财务取数接口!$E$162=0,"",[1]财务取数接口!$E$162),""))</f>
        <v/>
      </c>
      <c r="F163" s="76" t="str">
        <f>IF($T$4=0,IF($M163="","",$M163),IFERROR(IF([1]财务取数接口!$G$162=0,"",[1]财务取数接口!$G$162),""))</f>
        <v/>
      </c>
      <c r="G163" s="76" t="str">
        <f>IF($T$4=0,IF($N163="","",$N163),IFERROR(IF([1]财务取数接口!$H$162=0,"",[1]财务取数接口!$H$162),""))</f>
        <v/>
      </c>
      <c r="H163" s="75" t="str">
        <f>IF($T$4=0,IF($O163="","",$O163),IFERROR(IF([1]财务取数接口!$I$162=0,"",[1]财务取数接口!$I$162),""))</f>
        <v/>
      </c>
      <c r="I163" s="43"/>
      <c r="J163" s="106"/>
      <c r="K163" s="43"/>
      <c r="L163" s="43"/>
      <c r="M163" s="107"/>
      <c r="N163" s="107"/>
      <c r="O163" s="106"/>
      <c r="P163" s="139">
        <f t="shared" si="4"/>
        <v>0</v>
      </c>
      <c r="Q163" s="139">
        <f t="shared" si="5"/>
        <v>3</v>
      </c>
    </row>
    <row r="164" spans="1:17">
      <c r="A164" s="74">
        <v>163</v>
      </c>
      <c r="B164" s="138" t="str">
        <f>IF($T$4=0,IF($I164="","",$I164),IFERROR(IF([1]财务取数接口!$B$163=0,"",[1]财务取数接口!$B$163),""))</f>
        <v>王照雪</v>
      </c>
      <c r="C164" s="75" t="str">
        <f>IF($T$4=0,IF($J164="","",$J164),IFERROR(IF([1]财务取数接口!$C$163=0,"",[1]财务取数接口!$C$163),""))</f>
        <v>物料销售款</v>
      </c>
      <c r="D164" s="89" t="str">
        <f>IF($T$4=0,IF($K164="","",$K164),IFERROR(IF([1]财务取数接口!$D$163=0,"",[1]财务取数接口!$D$163),""))</f>
        <v/>
      </c>
      <c r="E164" s="89" t="str">
        <f>IF($T$4=0,IF($L164="","",$L164),IFERROR(IF([1]财务取数接口!$E$163=0,"",[1]财务取数接口!$E$163),""))</f>
        <v/>
      </c>
      <c r="F164" s="76" t="str">
        <f>IF($T$4=0,IF($M164="","",$M164),IFERROR(IF([1]财务取数接口!$G$163=0,"",[1]财务取数接口!$G$163),""))</f>
        <v/>
      </c>
      <c r="G164" s="76" t="str">
        <f>IF($T$4=0,IF($N164="","",$N164),IFERROR(IF([1]财务取数接口!$H$163=0,"",[1]财务取数接口!$H$163),""))</f>
        <v/>
      </c>
      <c r="H164" s="75" t="str">
        <f>IF($T$4=0,IF($O164="","",$O164),IFERROR(IF([1]财务取数接口!$I$163=0,"",[1]财务取数接口!$I$163),""))</f>
        <v/>
      </c>
      <c r="I164" s="43"/>
      <c r="J164" s="106"/>
      <c r="K164" s="43"/>
      <c r="L164" s="43"/>
      <c r="M164" s="107"/>
      <c r="N164" s="107"/>
      <c r="O164" s="106"/>
      <c r="P164" s="139">
        <f t="shared" si="4"/>
        <v>0</v>
      </c>
      <c r="Q164" s="139">
        <f t="shared" si="5"/>
        <v>3</v>
      </c>
    </row>
    <row r="165" spans="1:17">
      <c r="A165" s="74">
        <v>164</v>
      </c>
      <c r="B165" s="138" t="str">
        <f>IF($T$4=0,IF($I165="","",$I165),IFERROR(IF([1]财务取数接口!$B$164=0,"",[1]财务取数接口!$B$164),""))</f>
        <v>伍元虎</v>
      </c>
      <c r="C165" s="75" t="str">
        <f>IF($T$4=0,IF($J165="","",$J165),IFERROR(IF([1]财务取数接口!$C$164=0,"",[1]财务取数接口!$C$164),""))</f>
        <v>筐子销售款</v>
      </c>
      <c r="D165" s="89" t="str">
        <f>IF($T$4=0,IF($K165="","",$K165),IFERROR(IF([1]财务取数接口!$D$164=0,"",[1]财务取数接口!$D$164),""))</f>
        <v/>
      </c>
      <c r="E165" s="89" t="str">
        <f>IF($T$4=0,IF($L165="","",$L165),IFERROR(IF([1]财务取数接口!$E$164=0,"",[1]财务取数接口!$E$164),""))</f>
        <v/>
      </c>
      <c r="F165" s="76" t="str">
        <f>IF($T$4=0,IF($M165="","",$M165),IFERROR(IF([1]财务取数接口!$G$164=0,"",[1]财务取数接口!$G$164),""))</f>
        <v/>
      </c>
      <c r="G165" s="76" t="str">
        <f>IF($T$4=0,IF($N165="","",$N165),IFERROR(IF([1]财务取数接口!$H$164=0,"",[1]财务取数接口!$H$164),""))</f>
        <v/>
      </c>
      <c r="H165" s="75" t="str">
        <f>IF($T$4=0,IF($O165="","",$O165),IFERROR(IF([1]财务取数接口!$I$164=0,"",[1]财务取数接口!$I$164),""))</f>
        <v/>
      </c>
      <c r="I165" s="43"/>
      <c r="J165" s="106"/>
      <c r="K165" s="43"/>
      <c r="L165" s="43"/>
      <c r="M165" s="107"/>
      <c r="N165" s="107"/>
      <c r="O165" s="106"/>
      <c r="P165" s="139">
        <f t="shared" si="4"/>
        <v>0</v>
      </c>
      <c r="Q165" s="139">
        <f t="shared" si="5"/>
        <v>3</v>
      </c>
    </row>
    <row r="166" spans="1:17">
      <c r="A166" s="74">
        <v>165</v>
      </c>
      <c r="B166" s="138" t="str">
        <f>IF($T$4=0,IF($I166="","",$I166),IFERROR(IF([1]财务取数接口!$B$165=0,"",[1]财务取数接口!$B$165),""))</f>
        <v>伍元虎</v>
      </c>
      <c r="C166" s="75" t="str">
        <f>IF($T$4=0,IF($J166="","",$J166),IFERROR(IF([1]财务取数接口!$C$165=0,"",[1]财务取数接口!$C$165),""))</f>
        <v>物料销售款</v>
      </c>
      <c r="D166" s="89" t="str">
        <f>IF($T$4=0,IF($K166="","",$K166),IFERROR(IF([1]财务取数接口!$D$165=0,"",[1]财务取数接口!$D$165),""))</f>
        <v/>
      </c>
      <c r="E166" s="89" t="str">
        <f>IF($T$4=0,IF($L166="","",$L166),IFERROR(IF([1]财务取数接口!$E$165=0,"",[1]财务取数接口!$E$165),""))</f>
        <v/>
      </c>
      <c r="F166" s="76" t="str">
        <f>IF($T$4=0,IF($M166="","",$M166),IFERROR(IF([1]财务取数接口!$G$165=0,"",[1]财务取数接口!$G$165),""))</f>
        <v/>
      </c>
      <c r="G166" s="76" t="str">
        <f>IF($T$4=0,IF($N166="","",$N166),IFERROR(IF([1]财务取数接口!$H$165=0,"",[1]财务取数接口!$H$165),""))</f>
        <v/>
      </c>
      <c r="H166" s="75" t="str">
        <f>IF($T$4=0,IF($O166="","",$O166),IFERROR(IF([1]财务取数接口!$I$165=0,"",[1]财务取数接口!$I$165),""))</f>
        <v/>
      </c>
      <c r="I166" s="43"/>
      <c r="J166" s="106"/>
      <c r="K166" s="43"/>
      <c r="L166" s="43"/>
      <c r="M166" s="107"/>
      <c r="N166" s="107"/>
      <c r="O166" s="106"/>
      <c r="P166" s="139">
        <f t="shared" si="4"/>
        <v>0</v>
      </c>
      <c r="Q166" s="139">
        <f t="shared" si="5"/>
        <v>3</v>
      </c>
    </row>
    <row r="167" spans="1:17">
      <c r="A167" s="74">
        <v>166</v>
      </c>
      <c r="B167" s="138" t="str">
        <f>IF($T$4=0,IF($I167="","",$I167),IFERROR(IF([1]财务取数接口!$B$166=0,"",[1]财务取数接口!$B$166),""))</f>
        <v>麦麦提</v>
      </c>
      <c r="C167" s="75" t="str">
        <f>IF($T$4=0,IF($J167="","",$J167),IFERROR(IF([1]财务取数接口!$C$166=0,"",[1]财务取数接口!$C$166),""))</f>
        <v>筐子销售款</v>
      </c>
      <c r="D167" s="89" t="str">
        <f>IF($T$4=0,IF($K167="","",$K167),IFERROR(IF([1]财务取数接口!$D$166=0,"",[1]财务取数接口!$D$166),""))</f>
        <v/>
      </c>
      <c r="E167" s="89" t="str">
        <f>IF($T$4=0,IF($L167="","",$L167),IFERROR(IF([1]财务取数接口!$E$166=0,"",[1]财务取数接口!$E$166),""))</f>
        <v/>
      </c>
      <c r="F167" s="76" t="str">
        <f>IF($T$4=0,IF($M167="","",$M167),IFERROR(IF([1]财务取数接口!$G$166=0,"",[1]财务取数接口!$G$166),""))</f>
        <v/>
      </c>
      <c r="G167" s="76" t="str">
        <f>IF($T$4=0,IF($N167="","",$N167),IFERROR(IF([1]财务取数接口!$H$166=0,"",[1]财务取数接口!$H$166),""))</f>
        <v/>
      </c>
      <c r="H167" s="75" t="str">
        <f>IF($T$4=0,IF($O167="","",$O167),IFERROR(IF([1]财务取数接口!$I$166=0,"",[1]财务取数接口!$I$166),""))</f>
        <v/>
      </c>
      <c r="I167" s="43"/>
      <c r="J167" s="106"/>
      <c r="K167" s="43"/>
      <c r="L167" s="43"/>
      <c r="M167" s="107"/>
      <c r="N167" s="107"/>
      <c r="O167" s="106"/>
      <c r="P167" s="139">
        <f t="shared" si="4"/>
        <v>0</v>
      </c>
      <c r="Q167" s="139">
        <f t="shared" si="5"/>
        <v>3</v>
      </c>
    </row>
    <row r="168" spans="1:17">
      <c r="A168" s="74">
        <v>167</v>
      </c>
      <c r="B168" s="138" t="str">
        <f>IF($T$4=0,IF($I168="","",$I168),IFERROR(IF([1]财务取数接口!$B$167=0,"",[1]财务取数接口!$B$167),""))</f>
        <v>麦麦提</v>
      </c>
      <c r="C168" s="75" t="str">
        <f>IF($T$4=0,IF($J168="","",$J168),IFERROR(IF([1]财务取数接口!$C$167=0,"",[1]财务取数接口!$C$167),""))</f>
        <v>物料销售款</v>
      </c>
      <c r="D168" s="89" t="str">
        <f>IF($T$4=0,IF($K168="","",$K168),IFERROR(IF([1]财务取数接口!$D$167=0,"",[1]财务取数接口!$D$167),""))</f>
        <v/>
      </c>
      <c r="E168" s="89" t="str">
        <f>IF($T$4=0,IF($L168="","",$L168),IFERROR(IF([1]财务取数接口!$E$167=0,"",[1]财务取数接口!$E$167),""))</f>
        <v/>
      </c>
      <c r="F168" s="76" t="str">
        <f>IF($T$4=0,IF($M168="","",$M168),IFERROR(IF([1]财务取数接口!$G$167=0,"",[1]财务取数接口!$G$167),""))</f>
        <v/>
      </c>
      <c r="G168" s="76" t="str">
        <f>IF($T$4=0,IF($N168="","",$N168),IFERROR(IF([1]财务取数接口!$H$167=0,"",[1]财务取数接口!$H$167),""))</f>
        <v/>
      </c>
      <c r="H168" s="75" t="str">
        <f>IF($T$4=0,IF($O168="","",$O168),IFERROR(IF([1]财务取数接口!$I$167=0,"",[1]财务取数接口!$I$167),""))</f>
        <v/>
      </c>
      <c r="I168" s="43"/>
      <c r="J168" s="106"/>
      <c r="K168" s="43"/>
      <c r="L168" s="43"/>
      <c r="M168" s="107"/>
      <c r="N168" s="107"/>
      <c r="O168" s="106"/>
      <c r="P168" s="139">
        <f t="shared" si="4"/>
        <v>0</v>
      </c>
      <c r="Q168" s="139">
        <f t="shared" si="5"/>
        <v>3</v>
      </c>
    </row>
    <row r="169" spans="1:17">
      <c r="A169" s="74">
        <v>168</v>
      </c>
      <c r="B169" s="138" t="str">
        <f>IF($T$4=0,IF($I169="","",$I169),IFERROR(IF([1]财务取数接口!$B$168=0,"",[1]财务取数接口!$B$168),""))</f>
        <v>热合曼</v>
      </c>
      <c r="C169" s="75" t="str">
        <f>IF($T$4=0,IF($J169="","",$J169),IFERROR(IF([1]财务取数接口!$C$168=0,"",[1]财务取数接口!$C$168),""))</f>
        <v>筐子销售款</v>
      </c>
      <c r="D169" s="89" t="str">
        <f>IF($T$4=0,IF($K169="","",$K169),IFERROR(IF([1]财务取数接口!$D$168=0,"",[1]财务取数接口!$D$168),""))</f>
        <v/>
      </c>
      <c r="E169" s="89" t="str">
        <f>IF($T$4=0,IF($L169="","",$L169),IFERROR(IF([1]财务取数接口!$E$168=0,"",[1]财务取数接口!$E$168),""))</f>
        <v/>
      </c>
      <c r="F169" s="76" t="str">
        <f>IF($T$4=0,IF($M169="","",$M169),IFERROR(IF([1]财务取数接口!$G$168=0,"",[1]财务取数接口!$G$168),""))</f>
        <v/>
      </c>
      <c r="G169" s="76" t="str">
        <f>IF($T$4=0,IF($N169="","",$N169),IFERROR(IF([1]财务取数接口!$H$168=0,"",[1]财务取数接口!$H$168),""))</f>
        <v/>
      </c>
      <c r="H169" s="75" t="str">
        <f>IF($T$4=0,IF($O169="","",$O169),IFERROR(IF([1]财务取数接口!$I$168=0,"",[1]财务取数接口!$I$168),""))</f>
        <v/>
      </c>
      <c r="I169" s="43"/>
      <c r="J169" s="106"/>
      <c r="K169" s="43"/>
      <c r="L169" s="43"/>
      <c r="M169" s="107"/>
      <c r="N169" s="107"/>
      <c r="O169" s="106"/>
      <c r="P169" s="139">
        <f t="shared" si="4"/>
        <v>0</v>
      </c>
      <c r="Q169" s="139">
        <f t="shared" si="5"/>
        <v>3</v>
      </c>
    </row>
    <row r="170" ht="22" customHeight="1" spans="1:17">
      <c r="A170" s="74">
        <v>169</v>
      </c>
      <c r="B170" s="138" t="str">
        <f>IF($T$4=0,IF($I170="","",$I170),IFERROR(IF([1]财务取数接口!$B$169=0,"",[1]财务取数接口!$B$169),""))</f>
        <v>热合曼</v>
      </c>
      <c r="C170" s="75" t="str">
        <f>IF($T$4=0,IF($J170="","",$J170),IFERROR(IF([1]财务取数接口!$C$169=0,"",[1]财务取数接口!$C$169),""))</f>
        <v>物料销售款</v>
      </c>
      <c r="D170" s="89" t="str">
        <f>IF($T$4=0,IF($K170="","",$K170),IFERROR(IF([1]财务取数接口!$D$169=0,"",[1]财务取数接口!$D$169),""))</f>
        <v/>
      </c>
      <c r="E170" s="89" t="str">
        <f>IF($T$4=0,IF($L170="","",$L170),IFERROR(IF([1]财务取数接口!$E$169=0,"",[1]财务取数接口!$E$169),""))</f>
        <v/>
      </c>
      <c r="F170" s="76" t="str">
        <f>IF($T$4=0,IF($M170="","",$M170),IFERROR(IF([1]财务取数接口!$G$169=0,"",[1]财务取数接口!$G$169),""))</f>
        <v/>
      </c>
      <c r="G170" s="76" t="str">
        <f>IF($T$4=0,IF($N170="","",$N170),IFERROR(IF([1]财务取数接口!$H$169=0,"",[1]财务取数接口!$H$169),""))</f>
        <v/>
      </c>
      <c r="H170" s="75" t="str">
        <f>IF($T$4=0,IF($O170="","",$O170),IFERROR(IF([1]财务取数接口!$I$169=0,"",[1]财务取数接口!$I$169),""))</f>
        <v/>
      </c>
      <c r="I170" s="43"/>
      <c r="J170" s="106"/>
      <c r="K170" s="43"/>
      <c r="L170" s="43"/>
      <c r="M170" s="107"/>
      <c r="N170" s="107"/>
      <c r="O170" s="106"/>
      <c r="P170" s="139">
        <f t="shared" si="4"/>
        <v>0</v>
      </c>
      <c r="Q170" s="139">
        <f t="shared" si="5"/>
        <v>3</v>
      </c>
    </row>
    <row r="171" spans="1:17">
      <c r="A171" s="74">
        <v>170</v>
      </c>
      <c r="B171" s="138" t="str">
        <f>IF($T$4=0,IF($I171="","",$I171),IFERROR(IF([1]财务取数接口!$B$170=0,"",[1]财务取数接口!$B$170),""))</f>
        <v>王灵云</v>
      </c>
      <c r="C171" s="75" t="str">
        <f>IF($T$4=0,IF($J171="","",$J171),IFERROR(IF([1]财务取数接口!$C$170=0,"",[1]财务取数接口!$C$170),""))</f>
        <v>筐子销售款</v>
      </c>
      <c r="D171" s="89" t="str">
        <f>IF($T$4=0,IF($K171="","",$K171),IFERROR(IF([1]财务取数接口!$D$170=0,"",[1]财务取数接口!$D$170),""))</f>
        <v/>
      </c>
      <c r="E171" s="89" t="str">
        <f>IF($T$4=0,IF($L171="","",$L171),IFERROR(IF([1]财务取数接口!$E$170=0,"",[1]财务取数接口!$E$170),""))</f>
        <v/>
      </c>
      <c r="F171" s="76" t="str">
        <f>IF($T$4=0,IF($M171="","",$M171),IFERROR(IF([1]财务取数接口!$G$170=0,"",[1]财务取数接口!$G$170),""))</f>
        <v/>
      </c>
      <c r="G171" s="76" t="str">
        <f>IF($T$4=0,IF($N171="","",$N171),IFERROR(IF([1]财务取数接口!$H$170=0,"",[1]财务取数接口!$H$170),""))</f>
        <v/>
      </c>
      <c r="H171" s="75" t="str">
        <f>IF($T$4=0,IF($O171="","",$O171),IFERROR(IF([1]财务取数接口!$I$170=0,"",[1]财务取数接口!$I$170),""))</f>
        <v/>
      </c>
      <c r="I171" s="43"/>
      <c r="J171" s="106"/>
      <c r="K171" s="43"/>
      <c r="L171" s="43"/>
      <c r="M171" s="107"/>
      <c r="N171" s="107"/>
      <c r="O171" s="106"/>
      <c r="P171" s="139">
        <f t="shared" si="4"/>
        <v>0</v>
      </c>
      <c r="Q171" s="139">
        <f t="shared" si="5"/>
        <v>3</v>
      </c>
    </row>
    <row r="172" spans="1:17">
      <c r="A172" s="74">
        <v>171</v>
      </c>
      <c r="B172" s="138" t="str">
        <f>IF($T$4=0,IF($I172="","",$I172),IFERROR(IF([1]财务取数接口!$B$171=0,"",[1]财务取数接口!$B$171),""))</f>
        <v>王灵云</v>
      </c>
      <c r="C172" s="75" t="str">
        <f>IF($T$4=0,IF($J172="","",$J172),IFERROR(IF([1]财务取数接口!$C$171=0,"",[1]财务取数接口!$C$171),""))</f>
        <v>物料销售款</v>
      </c>
      <c r="D172" s="89" t="str">
        <f>IF($T$4=0,IF($K172="","",$K172),IFERROR(IF([1]财务取数接口!$D$171=0,"",[1]财务取数接口!$D$171),""))</f>
        <v/>
      </c>
      <c r="E172" s="89" t="str">
        <f>IF($T$4=0,IF($L172="","",$L172),IFERROR(IF([1]财务取数接口!$E$171=0,"",[1]财务取数接口!$E$171),""))</f>
        <v/>
      </c>
      <c r="F172" s="76" t="str">
        <f>IF($T$4=0,IF($M172="","",$M172),IFERROR(IF([1]财务取数接口!$G$171=0,"",[1]财务取数接口!$G$171),""))</f>
        <v/>
      </c>
      <c r="G172" s="76" t="str">
        <f>IF($T$4=0,IF($N172="","",$N172),IFERROR(IF([1]财务取数接口!$H$171=0,"",[1]财务取数接口!$H$171),""))</f>
        <v/>
      </c>
      <c r="H172" s="75" t="str">
        <f>IF($T$4=0,IF($O172="","",$O172),IFERROR(IF([1]财务取数接口!$I$171=0,"",[1]财务取数接口!$I$171),""))</f>
        <v/>
      </c>
      <c r="I172" s="43"/>
      <c r="J172" s="106"/>
      <c r="K172" s="43"/>
      <c r="L172" s="43"/>
      <c r="M172" s="107"/>
      <c r="N172" s="107"/>
      <c r="O172" s="106"/>
      <c r="P172" s="139">
        <f t="shared" si="4"/>
        <v>0</v>
      </c>
      <c r="Q172" s="139">
        <f t="shared" si="5"/>
        <v>3</v>
      </c>
    </row>
    <row r="173" spans="1:17">
      <c r="A173" s="74">
        <v>172</v>
      </c>
      <c r="B173" s="138" t="str">
        <f>IF($T$4=0,IF($I173="","",$I173),IFERROR(IF([1]财务取数接口!$B$172=0,"",[1]财务取数接口!$B$172),""))</f>
        <v>马锦祥</v>
      </c>
      <c r="C173" s="75" t="str">
        <f>IF($T$4=0,IF($J173="","",$J173),IFERROR(IF([1]财务取数接口!$C$172=0,"",[1]财务取数接口!$C$172),""))</f>
        <v>筐子销售款</v>
      </c>
      <c r="D173" s="89" t="str">
        <f>IF($T$4=0,IF($K173="","",$K173),IFERROR(IF([1]财务取数接口!$D$172=0,"",[1]财务取数接口!$D$172),""))</f>
        <v/>
      </c>
      <c r="E173" s="89" t="str">
        <f>IF($T$4=0,IF($L173="","",$L173),IFERROR(IF([1]财务取数接口!$E$172=0,"",[1]财务取数接口!$E$172),""))</f>
        <v/>
      </c>
      <c r="F173" s="76" t="str">
        <f>IF($T$4=0,IF($M173="","",$M173),IFERROR(IF([1]财务取数接口!$G$172=0,"",[1]财务取数接口!$G$172),""))</f>
        <v/>
      </c>
      <c r="G173" s="76" t="str">
        <f>IF($T$4=0,IF($N173="","",$N173),IFERROR(IF([1]财务取数接口!$H$172=0,"",[1]财务取数接口!$H$172),""))</f>
        <v/>
      </c>
      <c r="H173" s="75" t="str">
        <f>IF($T$4=0,IF($O173="","",$O173),IFERROR(IF([1]财务取数接口!$I$172=0,"",[1]财务取数接口!$I$172),""))</f>
        <v/>
      </c>
      <c r="I173" s="43"/>
      <c r="J173" s="106"/>
      <c r="K173" s="43"/>
      <c r="L173" s="43"/>
      <c r="M173" s="107"/>
      <c r="N173" s="107"/>
      <c r="O173" s="106"/>
      <c r="P173" s="139">
        <f t="shared" si="4"/>
        <v>0</v>
      </c>
      <c r="Q173" s="139">
        <f t="shared" si="5"/>
        <v>3</v>
      </c>
    </row>
    <row r="174" spans="1:17">
      <c r="A174" s="74">
        <v>173</v>
      </c>
      <c r="B174" s="138" t="str">
        <f>IF($T$4=0,IF($I174="","",$I174),IFERROR(IF([1]财务取数接口!$B$173=0,"",[1]财务取数接口!$B$173),""))</f>
        <v>马锦祥</v>
      </c>
      <c r="C174" s="75" t="str">
        <f>IF($T$4=0,IF($J174="","",$J174),IFERROR(IF([1]财务取数接口!$C$173=0,"",[1]财务取数接口!$C$173),""))</f>
        <v>物料销售款</v>
      </c>
      <c r="D174" s="89" t="str">
        <f>IF($T$4=0,IF($K174="","",$K174),IFERROR(IF([1]财务取数接口!$D$173=0,"",[1]财务取数接口!$D$173),""))</f>
        <v/>
      </c>
      <c r="E174" s="89" t="str">
        <f>IF($T$4=0,IF($L174="","",$L174),IFERROR(IF([1]财务取数接口!$E$173=0,"",[1]财务取数接口!$E$173),""))</f>
        <v/>
      </c>
      <c r="F174" s="76" t="str">
        <f>IF($T$4=0,IF($M174="","",$M174),IFERROR(IF([1]财务取数接口!$G$173=0,"",[1]财务取数接口!$G$173),""))</f>
        <v/>
      </c>
      <c r="G174" s="76" t="str">
        <f>IF($T$4=0,IF($N174="","",$N174),IFERROR(IF([1]财务取数接口!$H$173=0,"",[1]财务取数接口!$H$173),""))</f>
        <v/>
      </c>
      <c r="H174" s="75" t="str">
        <f>IF($T$4=0,IF($O174="","",$O174),IFERROR(IF([1]财务取数接口!$I$173=0,"",[1]财务取数接口!$I$173),""))</f>
        <v/>
      </c>
      <c r="I174" s="43"/>
      <c r="J174" s="106"/>
      <c r="K174" s="43"/>
      <c r="L174" s="43"/>
      <c r="M174" s="107"/>
      <c r="N174" s="107"/>
      <c r="O174" s="106"/>
      <c r="P174" s="139">
        <f t="shared" si="4"/>
        <v>0</v>
      </c>
      <c r="Q174" s="139">
        <f t="shared" si="5"/>
        <v>3</v>
      </c>
    </row>
    <row r="175" spans="1:17">
      <c r="A175" s="74">
        <v>174</v>
      </c>
      <c r="B175" s="138" t="str">
        <f>IF($T$4=0,IF($I175="","",$I175),IFERROR(IF([1]财务取数接口!$B$174=0,"",[1]财务取数接口!$B$174),""))</f>
        <v>贾建国</v>
      </c>
      <c r="C175" s="75" t="str">
        <f>IF($T$4=0,IF($J175="","",$J175),IFERROR(IF([1]财务取数接口!$C$174=0,"",[1]财务取数接口!$C$174),""))</f>
        <v>筐子销售款</v>
      </c>
      <c r="D175" s="89" t="str">
        <f>IF($T$4=0,IF($K175="","",$K175),IFERROR(IF([1]财务取数接口!$D$174=0,"",[1]财务取数接口!$D$174),""))</f>
        <v/>
      </c>
      <c r="E175" s="89" t="str">
        <f>IF($T$4=0,IF($L175="","",$L175),IFERROR(IF([1]财务取数接口!$E$174=0,"",[1]财务取数接口!$E$174),""))</f>
        <v/>
      </c>
      <c r="F175" s="76" t="str">
        <f>IF($T$4=0,IF($M175="","",$M175),IFERROR(IF([1]财务取数接口!$G$174=0,"",[1]财务取数接口!$G$174),""))</f>
        <v/>
      </c>
      <c r="G175" s="76" t="str">
        <f>IF($T$4=0,IF($N175="","",$N175),IFERROR(IF([1]财务取数接口!$H$174=0,"",[1]财务取数接口!$H$174),""))</f>
        <v/>
      </c>
      <c r="H175" s="75" t="str">
        <f>IF($T$4=0,IF($O175="","",$O175),IFERROR(IF([1]财务取数接口!$I$174=0,"",[1]财务取数接口!$I$174),""))</f>
        <v/>
      </c>
      <c r="I175" s="43"/>
      <c r="J175" s="106"/>
      <c r="K175" s="43"/>
      <c r="L175" s="43"/>
      <c r="M175" s="107"/>
      <c r="N175" s="107"/>
      <c r="O175" s="106"/>
      <c r="P175" s="139">
        <f t="shared" si="4"/>
        <v>0</v>
      </c>
      <c r="Q175" s="139">
        <f t="shared" si="5"/>
        <v>3</v>
      </c>
    </row>
    <row r="176" spans="1:17">
      <c r="A176" s="74">
        <v>175</v>
      </c>
      <c r="B176" s="138" t="str">
        <f>IF($T$4=0,IF($I176="","",$I176),IFERROR(IF([1]财务取数接口!$B$175=0,"",[1]财务取数接口!$B$175),""))</f>
        <v>贾建国</v>
      </c>
      <c r="C176" s="75" t="str">
        <f>IF($T$4=0,IF($J176="","",$J176),IFERROR(IF([1]财务取数接口!$C$175=0,"",[1]财务取数接口!$C$175),""))</f>
        <v>物料销售款</v>
      </c>
      <c r="D176" s="89" t="str">
        <f>IF($T$4=0,IF($K176="","",$K176),IFERROR(IF([1]财务取数接口!$D$175=0,"",[1]财务取数接口!$D$175),""))</f>
        <v/>
      </c>
      <c r="E176" s="89" t="str">
        <f>IF($T$4=0,IF($L176="","",$L176),IFERROR(IF([1]财务取数接口!$E$175=0,"",[1]财务取数接口!$E$175),""))</f>
        <v/>
      </c>
      <c r="F176" s="76" t="str">
        <f>IF($T$4=0,IF($M176="","",$M176),IFERROR(IF([1]财务取数接口!$G$175=0,"",[1]财务取数接口!$G$175),""))</f>
        <v/>
      </c>
      <c r="G176" s="76" t="str">
        <f>IF($T$4=0,IF($N176="","",$N176),IFERROR(IF([1]财务取数接口!$H$175=0,"",[1]财务取数接口!$H$175),""))</f>
        <v/>
      </c>
      <c r="H176" s="75" t="str">
        <f>IF($T$4=0,IF($O176="","",$O176),IFERROR(IF([1]财务取数接口!$I$175=0,"",[1]财务取数接口!$I$175),""))</f>
        <v/>
      </c>
      <c r="I176" s="43"/>
      <c r="J176" s="106"/>
      <c r="K176" s="43"/>
      <c r="L176" s="43"/>
      <c r="M176" s="107"/>
      <c r="N176" s="107"/>
      <c r="O176" s="106"/>
      <c r="P176" s="139">
        <f t="shared" si="4"/>
        <v>0</v>
      </c>
      <c r="Q176" s="139">
        <f t="shared" si="5"/>
        <v>3</v>
      </c>
    </row>
    <row r="177" spans="1:17">
      <c r="A177" s="74">
        <v>176</v>
      </c>
      <c r="B177" s="138" t="str">
        <f>IF($T$4=0,IF($I177="","",$I177),IFERROR(IF([1]财务取数接口!$B$176=0,"",[1]财务取数接口!$B$176),""))</f>
        <v>荆建君</v>
      </c>
      <c r="C177" s="75" t="str">
        <f>IF($T$4=0,IF($J177="","",$J177),IFERROR(IF([1]财务取数接口!$C$176=0,"",[1]财务取数接口!$C$176),""))</f>
        <v>筐子销售款</v>
      </c>
      <c r="D177" s="89" t="str">
        <f>IF($T$4=0,IF($K177="","",$K177),IFERROR(IF([1]财务取数接口!$D$176=0,"",[1]财务取数接口!$D$176),""))</f>
        <v/>
      </c>
      <c r="E177" s="89" t="str">
        <f>IF($T$4=0,IF($L177="","",$L177),IFERROR(IF([1]财务取数接口!$E$176=0,"",[1]财务取数接口!$E$176),""))</f>
        <v/>
      </c>
      <c r="F177" s="76" t="str">
        <f>IF($T$4=0,IF($M177="","",$M177),IFERROR(IF([1]财务取数接口!$G$176=0,"",[1]财务取数接口!$G$176),""))</f>
        <v/>
      </c>
      <c r="G177" s="76" t="str">
        <f>IF($T$4=0,IF($N177="","",$N177),IFERROR(IF([1]财务取数接口!$H$176=0,"",[1]财务取数接口!$H$176),""))</f>
        <v/>
      </c>
      <c r="H177" s="75" t="str">
        <f>IF($T$4=0,IF($O177="","",$O177),IFERROR(IF([1]财务取数接口!$I$176=0,"",[1]财务取数接口!$I$176),""))</f>
        <v/>
      </c>
      <c r="I177" s="43"/>
      <c r="J177" s="106"/>
      <c r="K177" s="43"/>
      <c r="L177" s="43"/>
      <c r="M177" s="107"/>
      <c r="N177" s="107"/>
      <c r="O177" s="106"/>
      <c r="P177" s="139">
        <f t="shared" si="4"/>
        <v>0</v>
      </c>
      <c r="Q177" s="139">
        <f t="shared" si="5"/>
        <v>3</v>
      </c>
    </row>
    <row r="178" spans="1:17">
      <c r="A178" s="74">
        <v>177</v>
      </c>
      <c r="B178" s="138" t="str">
        <f>IF($T$4=0,IF($I178="","",$I178),IFERROR(IF([1]财务取数接口!$B$177=0,"",[1]财务取数接口!$B$177),""))</f>
        <v>荆建君</v>
      </c>
      <c r="C178" s="75" t="str">
        <f>IF($T$4=0,IF($J178="","",$J178),IFERROR(IF([1]财务取数接口!$C$177=0,"",[1]财务取数接口!$C$177),""))</f>
        <v>物料销售款</v>
      </c>
      <c r="D178" s="89" t="str">
        <f>IF($T$4=0,IF($K178="","",$K178),IFERROR(IF([1]财务取数接口!$D$177=0,"",[1]财务取数接口!$D$177),""))</f>
        <v/>
      </c>
      <c r="E178" s="89" t="str">
        <f>IF($T$4=0,IF($L178="","",$L178),IFERROR(IF([1]财务取数接口!$E$177=0,"",[1]财务取数接口!$E$177),""))</f>
        <v/>
      </c>
      <c r="F178" s="76" t="str">
        <f>IF($T$4=0,IF($M178="","",$M178),IFERROR(IF([1]财务取数接口!$G$177=0,"",[1]财务取数接口!$G$177),""))</f>
        <v/>
      </c>
      <c r="G178" s="76" t="str">
        <f>IF($T$4=0,IF($N178="","",$N178),IFERROR(IF([1]财务取数接口!$H$177=0,"",[1]财务取数接口!$H$177),""))</f>
        <v/>
      </c>
      <c r="H178" s="75" t="str">
        <f>IF($T$4=0,IF($O178="","",$O178),IFERROR(IF([1]财务取数接口!$I$177=0,"",[1]财务取数接口!$I$177),""))</f>
        <v/>
      </c>
      <c r="I178" s="43"/>
      <c r="J178" s="106"/>
      <c r="K178" s="43"/>
      <c r="L178" s="43"/>
      <c r="M178" s="107"/>
      <c r="N178" s="107"/>
      <c r="O178" s="106"/>
      <c r="P178" s="139">
        <f t="shared" si="4"/>
        <v>0</v>
      </c>
      <c r="Q178" s="139">
        <f t="shared" si="5"/>
        <v>3</v>
      </c>
    </row>
    <row r="179" spans="1:17">
      <c r="A179" s="74">
        <v>178</v>
      </c>
      <c r="B179" s="138" t="str">
        <f>IF($T$4=0,IF($I179="","",$I179),IFERROR(IF([1]财务取数接口!$B$178=0,"",[1]财务取数接口!$B$178),""))</f>
        <v>艾合买提</v>
      </c>
      <c r="C179" s="75" t="str">
        <f>IF($T$4=0,IF($J179="","",$J179),IFERROR(IF([1]财务取数接口!$C$178=0,"",[1]财务取数接口!$C$178),""))</f>
        <v>筐子销售款</v>
      </c>
      <c r="D179" s="89" t="str">
        <f>IF($T$4=0,IF($K179="","",$K179),IFERROR(IF([1]财务取数接口!$D$178=0,"",[1]财务取数接口!$D$178),""))</f>
        <v/>
      </c>
      <c r="E179" s="89" t="str">
        <f>IF($T$4=0,IF($L179="","",$L179),IFERROR(IF([1]财务取数接口!$E$178=0,"",[1]财务取数接口!$E$178),""))</f>
        <v/>
      </c>
      <c r="F179" s="76" t="str">
        <f>IF($T$4=0,IF($M179="","",$M179),IFERROR(IF([1]财务取数接口!$G$178=0,"",[1]财务取数接口!$G$178),""))</f>
        <v/>
      </c>
      <c r="G179" s="76" t="str">
        <f>IF($T$4=0,IF($N179="","",$N179),IFERROR(IF([1]财务取数接口!$H$178=0,"",[1]财务取数接口!$H$178),""))</f>
        <v/>
      </c>
      <c r="H179" s="75" t="str">
        <f>IF($T$4=0,IF($O179="","",$O179),IFERROR(IF([1]财务取数接口!$I$178=0,"",[1]财务取数接口!$I$178),""))</f>
        <v/>
      </c>
      <c r="I179" s="43"/>
      <c r="J179" s="106"/>
      <c r="K179" s="43"/>
      <c r="L179" s="43"/>
      <c r="M179" s="107"/>
      <c r="N179" s="107"/>
      <c r="O179" s="106"/>
      <c r="P179" s="139">
        <f t="shared" si="4"/>
        <v>0</v>
      </c>
      <c r="Q179" s="139">
        <f t="shared" si="5"/>
        <v>3</v>
      </c>
    </row>
    <row r="180" spans="1:17">
      <c r="A180" s="74">
        <v>179</v>
      </c>
      <c r="B180" s="138" t="str">
        <f>IF($T$4=0,IF($I180="","",$I180),IFERROR(IF([1]财务取数接口!$B$179=0,"",[1]财务取数接口!$B$179),""))</f>
        <v>艾合买提</v>
      </c>
      <c r="C180" s="75" t="str">
        <f>IF($T$4=0,IF($J180="","",$J180),IFERROR(IF([1]财务取数接口!$C$179=0,"",[1]财务取数接口!$C$179),""))</f>
        <v>物料销售款</v>
      </c>
      <c r="D180" s="89" t="str">
        <f>IF($T$4=0,IF($K180="","",$K180),IFERROR(IF([1]财务取数接口!$D$179=0,"",[1]财务取数接口!$D$179),""))</f>
        <v/>
      </c>
      <c r="E180" s="89" t="str">
        <f>IF($T$4=0,IF($L180="","",$L180),IFERROR(IF([1]财务取数接口!$E$179=0,"",[1]财务取数接口!$E$179),""))</f>
        <v/>
      </c>
      <c r="F180" s="76" t="str">
        <f>IF($T$4=0,IF($M180="","",$M180),IFERROR(IF([1]财务取数接口!$G$179=0,"",[1]财务取数接口!$G$179),""))</f>
        <v/>
      </c>
      <c r="G180" s="76" t="str">
        <f>IF($T$4=0,IF($N180="","",$N180),IFERROR(IF([1]财务取数接口!$H$179=0,"",[1]财务取数接口!$H$179),""))</f>
        <v/>
      </c>
      <c r="H180" s="75" t="str">
        <f>IF($T$4=0,IF($O180="","",$O180),IFERROR(IF([1]财务取数接口!$I$179=0,"",[1]财务取数接口!$I$179),""))</f>
        <v/>
      </c>
      <c r="I180" s="43"/>
      <c r="J180" s="106"/>
      <c r="K180" s="43"/>
      <c r="L180" s="43"/>
      <c r="M180" s="107"/>
      <c r="N180" s="107"/>
      <c r="O180" s="106"/>
      <c r="P180" s="139">
        <f t="shared" si="4"/>
        <v>0</v>
      </c>
      <c r="Q180" s="139">
        <f t="shared" si="5"/>
        <v>3</v>
      </c>
    </row>
    <row r="181" spans="1:17">
      <c r="A181" s="74">
        <v>180</v>
      </c>
      <c r="B181" s="138" t="str">
        <f>IF($T$4=0,IF($I181="","",$I181),IFERROR(IF([1]财务取数接口!$B$180=0,"",[1]财务取数接口!$B$180),""))</f>
        <v>王浩</v>
      </c>
      <c r="C181" s="75" t="str">
        <f>IF($T$4=0,IF($J181="","",$J181),IFERROR(IF([1]财务取数接口!$C$180=0,"",[1]财务取数接口!$C$180),""))</f>
        <v>筐子销售款</v>
      </c>
      <c r="D181" s="89" t="str">
        <f>IF($T$4=0,IF($K181="","",$K181),IFERROR(IF([1]财务取数接口!$D$180=0,"",[1]财务取数接口!$D$180),""))</f>
        <v/>
      </c>
      <c r="E181" s="89" t="str">
        <f>IF($T$4=0,IF($L181="","",$L181),IFERROR(IF([1]财务取数接口!$E$180=0,"",[1]财务取数接口!$E$180),""))</f>
        <v/>
      </c>
      <c r="F181" s="76" t="str">
        <f>IF($T$4=0,IF($M181="","",$M181),IFERROR(IF([1]财务取数接口!$G$180=0,"",[1]财务取数接口!$G$180),""))</f>
        <v/>
      </c>
      <c r="G181" s="76" t="str">
        <f>IF($T$4=0,IF($N181="","",$N181),IFERROR(IF([1]财务取数接口!$H$180=0,"",[1]财务取数接口!$H$180),""))</f>
        <v/>
      </c>
      <c r="H181" s="75" t="str">
        <f>IF($T$4=0,IF($O181="","",$O181),IFERROR(IF([1]财务取数接口!$I$180=0,"",[1]财务取数接口!$I$180),""))</f>
        <v/>
      </c>
      <c r="I181" s="43"/>
      <c r="J181" s="106"/>
      <c r="K181" s="43"/>
      <c r="L181" s="43"/>
      <c r="M181" s="107"/>
      <c r="N181" s="107"/>
      <c r="O181" s="106"/>
      <c r="P181" s="139">
        <f t="shared" si="4"/>
        <v>0</v>
      </c>
      <c r="Q181" s="139">
        <f t="shared" si="5"/>
        <v>3</v>
      </c>
    </row>
    <row r="182" spans="1:17">
      <c r="A182" s="74">
        <v>181</v>
      </c>
      <c r="B182" s="138" t="str">
        <f>IF($T$4=0,IF($I182="","",$I182),IFERROR(IF([1]财务取数接口!$B$181=0,"",[1]财务取数接口!$B$181),""))</f>
        <v>王浩</v>
      </c>
      <c r="C182" s="75" t="str">
        <f>IF($T$4=0,IF($J182="","",$J182),IFERROR(IF([1]财务取数接口!$C$181=0,"",[1]财务取数接口!$C$181),""))</f>
        <v>物料销售款</v>
      </c>
      <c r="D182" s="89" t="str">
        <f>IF($T$4=0,IF($K182="","",$K182),IFERROR(IF([1]财务取数接口!$D$181=0,"",[1]财务取数接口!$D$181),""))</f>
        <v/>
      </c>
      <c r="E182" s="89" t="str">
        <f>IF($T$4=0,IF($L182="","",$L182),IFERROR(IF([1]财务取数接口!$E$181=0,"",[1]财务取数接口!$E$181),""))</f>
        <v/>
      </c>
      <c r="F182" s="76" t="str">
        <f>IF($T$4=0,IF($M182="","",$M182),IFERROR(IF([1]财务取数接口!$G$181=0,"",[1]财务取数接口!$G$181),""))</f>
        <v/>
      </c>
      <c r="G182" s="76" t="str">
        <f>IF($T$4=0,IF($N182="","",$N182),IFERROR(IF([1]财务取数接口!$H$181=0,"",[1]财务取数接口!$H$181),""))</f>
        <v/>
      </c>
      <c r="H182" s="75" t="str">
        <f>IF($T$4=0,IF($O182="","",$O182),IFERROR(IF([1]财务取数接口!$I$181=0,"",[1]财务取数接口!$I$181),""))</f>
        <v/>
      </c>
      <c r="I182" s="43"/>
      <c r="J182" s="106"/>
      <c r="K182" s="43"/>
      <c r="L182" s="43"/>
      <c r="M182" s="107"/>
      <c r="N182" s="107"/>
      <c r="O182" s="106"/>
      <c r="P182" s="139">
        <f t="shared" si="4"/>
        <v>0</v>
      </c>
      <c r="Q182" s="139">
        <f t="shared" si="5"/>
        <v>3</v>
      </c>
    </row>
    <row r="183" spans="1:17">
      <c r="A183" s="74">
        <v>182</v>
      </c>
      <c r="B183" s="138" t="str">
        <f>IF($T$4=0,IF($I183="","",$I183),IFERROR(IF([1]财务取数接口!$B$182=0,"",[1]财务取数接口!$B$182),""))</f>
        <v>电商/主播</v>
      </c>
      <c r="C183" s="75" t="str">
        <f>IF($T$4=0,IF($J183="","",$J183),IFERROR(IF([1]财务取数接口!$C$182=0,"",[1]财务取数接口!$C$182),""))</f>
        <v>筐子销售款</v>
      </c>
      <c r="D183" s="89" t="str">
        <f>IF($T$4=0,IF($K183="","",$K183),IFERROR(IF([1]财务取数接口!$D$182=0,"",[1]财务取数接口!$D$182),""))</f>
        <v/>
      </c>
      <c r="E183" s="89" t="str">
        <f>IF($T$4=0,IF($L183="","",$L183),IFERROR(IF([1]财务取数接口!$E$182=0,"",[1]财务取数接口!$E$182),""))</f>
        <v/>
      </c>
      <c r="F183" s="76" t="str">
        <f>IF($T$4=0,IF($M183="","",$M183),IFERROR(IF([1]财务取数接口!$G$182=0,"",[1]财务取数接口!$G$182),""))</f>
        <v/>
      </c>
      <c r="G183" s="76" t="str">
        <f>IF($T$4=0,IF($N183="","",$N183),IFERROR(IF([1]财务取数接口!$H$182=0,"",[1]财务取数接口!$H$182),""))</f>
        <v/>
      </c>
      <c r="H183" s="75" t="str">
        <f>IF($T$4=0,IF($O183="","",$O183),IFERROR(IF([1]财务取数接口!$I$182=0,"",[1]财务取数接口!$I$182),""))</f>
        <v/>
      </c>
      <c r="I183" s="43"/>
      <c r="J183" s="106"/>
      <c r="K183" s="43"/>
      <c r="L183" s="43"/>
      <c r="M183" s="107"/>
      <c r="N183" s="107"/>
      <c r="O183" s="106"/>
      <c r="P183" s="139">
        <f t="shared" si="4"/>
        <v>0</v>
      </c>
      <c r="Q183" s="139">
        <f t="shared" si="5"/>
        <v>3</v>
      </c>
    </row>
    <row r="184" spans="1:17">
      <c r="A184" s="74">
        <v>183</v>
      </c>
      <c r="B184" s="138" t="str">
        <f>IF($T$4=0,IF($I184="","",$I184),IFERROR(IF([1]财务取数接口!$B$183=0,"",[1]财务取数接口!$B$183),""))</f>
        <v>电商/主播</v>
      </c>
      <c r="C184" s="75" t="str">
        <f>IF($T$4=0,IF($J184="","",$J184),IFERROR(IF([1]财务取数接口!$C$183=0,"",[1]财务取数接口!$C$183),""))</f>
        <v>物料销售款</v>
      </c>
      <c r="D184" s="89" t="str">
        <f>IF($T$4=0,IF($K184="","",$K184),IFERROR(IF([1]财务取数接口!$D$183=0,"",[1]财务取数接口!$D$183),""))</f>
        <v/>
      </c>
      <c r="E184" s="89" t="str">
        <f>IF($T$4=0,IF($L184="","",$L184),IFERROR(IF([1]财务取数接口!$E$183=0,"",[1]财务取数接口!$E$183),""))</f>
        <v/>
      </c>
      <c r="F184" s="76" t="str">
        <f>IF($T$4=0,IF($M184="","",$M184),IFERROR(IF([1]财务取数接口!$G$183=0,"",[1]财务取数接口!$G$183),""))</f>
        <v/>
      </c>
      <c r="G184" s="76" t="str">
        <f>IF($T$4=0,IF($N184="","",$N184),IFERROR(IF([1]财务取数接口!$H$183=0,"",[1]财务取数接口!$H$183),""))</f>
        <v/>
      </c>
      <c r="H184" s="75" t="str">
        <f>IF($T$4=0,IF($O184="","",$O184),IFERROR(IF([1]财务取数接口!$I$183=0,"",[1]财务取数接口!$I$183),""))</f>
        <v/>
      </c>
      <c r="I184" s="43"/>
      <c r="J184" s="106"/>
      <c r="K184" s="43"/>
      <c r="L184" s="43"/>
      <c r="M184" s="107"/>
      <c r="N184" s="107"/>
      <c r="O184" s="106"/>
      <c r="P184" s="139">
        <f t="shared" si="4"/>
        <v>0</v>
      </c>
      <c r="Q184" s="139">
        <f t="shared" si="5"/>
        <v>3</v>
      </c>
    </row>
    <row r="185" spans="1:17">
      <c r="A185" s="74">
        <v>184</v>
      </c>
      <c r="B185" s="138" t="str">
        <f>IF($T$4=0,IF($I185="","",$I185),IFERROR(IF([1]财务取数接口!$B$184=0,"",[1]财务取数接口!$B$184),""))</f>
        <v>吐尔逊</v>
      </c>
      <c r="C185" s="75" t="str">
        <f>IF($T$4=0,IF($J185="","",$J185),IFERROR(IF([1]财务取数接口!$C$184=0,"",[1]财务取数接口!$C$184),""))</f>
        <v>筐子销售款</v>
      </c>
      <c r="D185" s="89" t="str">
        <f>IF($T$4=0,IF($K185="","",$K185),IFERROR(IF([1]财务取数接口!$D$184=0,"",[1]财务取数接口!$D$184),""))</f>
        <v/>
      </c>
      <c r="E185" s="89" t="str">
        <f>IF($T$4=0,IF($L185="","",$L185),IFERROR(IF([1]财务取数接口!$E$184=0,"",[1]财务取数接口!$E$184),""))</f>
        <v/>
      </c>
      <c r="F185" s="76" t="str">
        <f>IF($T$4=0,IF($M185="","",$M185),IFERROR(IF([1]财务取数接口!$G$184=0,"",[1]财务取数接口!$G$184),""))</f>
        <v/>
      </c>
      <c r="G185" s="76" t="str">
        <f>IF($T$4=0,IF($N185="","",$N185),IFERROR(IF([1]财务取数接口!$H$184=0,"",[1]财务取数接口!$H$184),""))</f>
        <v/>
      </c>
      <c r="H185" s="75" t="str">
        <f>IF($T$4=0,IF($O185="","",$O185),IFERROR(IF([1]财务取数接口!$I$184=0,"",[1]财务取数接口!$I$184),""))</f>
        <v/>
      </c>
      <c r="I185" s="43"/>
      <c r="J185" s="106"/>
      <c r="K185" s="43"/>
      <c r="L185" s="43"/>
      <c r="M185" s="107"/>
      <c r="N185" s="107"/>
      <c r="O185" s="106"/>
      <c r="P185" s="139">
        <f t="shared" si="4"/>
        <v>0</v>
      </c>
      <c r="Q185" s="139">
        <f t="shared" si="5"/>
        <v>3</v>
      </c>
    </row>
    <row r="186" spans="1:17">
      <c r="A186" s="74">
        <v>185</v>
      </c>
      <c r="B186" s="138" t="str">
        <f>IF($T$4=0,IF($I186="","",$I186),IFERROR(IF([1]财务取数接口!$B$185=0,"",[1]财务取数接口!$B$185),""))</f>
        <v>吐尔逊</v>
      </c>
      <c r="C186" s="75" t="str">
        <f>IF($T$4=0,IF($J186="","",$J186),IFERROR(IF([1]财务取数接口!$C$185=0,"",[1]财务取数接口!$C$185),""))</f>
        <v>物料销售款</v>
      </c>
      <c r="D186" s="89" t="str">
        <f>IF($T$4=0,IF($K186="","",$K186),IFERROR(IF([1]财务取数接口!$D$185=0,"",[1]财务取数接口!$D$185),""))</f>
        <v/>
      </c>
      <c r="E186" s="89" t="str">
        <f>IF($T$4=0,IF($L186="","",$L186),IFERROR(IF([1]财务取数接口!$E$185=0,"",[1]财务取数接口!$E$185),""))</f>
        <v/>
      </c>
      <c r="F186" s="76" t="str">
        <f>IF($T$4=0,IF($M186="","",$M186),IFERROR(IF([1]财务取数接口!$G$185=0,"",[1]财务取数接口!$G$185),""))</f>
        <v/>
      </c>
      <c r="G186" s="76" t="str">
        <f>IF($T$4=0,IF($N186="","",$N186),IFERROR(IF([1]财务取数接口!$H$185=0,"",[1]财务取数接口!$H$185),""))</f>
        <v/>
      </c>
      <c r="H186" s="75" t="str">
        <f>IF($T$4=0,IF($O186="","",$O186),IFERROR(IF([1]财务取数接口!$I$185=0,"",[1]财务取数接口!$I$185),""))</f>
        <v/>
      </c>
      <c r="I186" s="43"/>
      <c r="J186" s="106"/>
      <c r="K186" s="43"/>
      <c r="L186" s="43"/>
      <c r="M186" s="107"/>
      <c r="N186" s="107"/>
      <c r="O186" s="106"/>
      <c r="P186" s="139">
        <f t="shared" si="4"/>
        <v>0</v>
      </c>
      <c r="Q186" s="139">
        <f t="shared" si="5"/>
        <v>3</v>
      </c>
    </row>
    <row r="187" spans="1:17">
      <c r="A187" s="74">
        <v>186</v>
      </c>
      <c r="B187" s="138" t="str">
        <f>IF($T$4=0,IF($I187="","",$I187),IFERROR(IF([1]财务取数接口!$B$186=0,"",[1]财务取数接口!$B$186),""))</f>
        <v>张艺</v>
      </c>
      <c r="C187" s="75" t="str">
        <f>IF($T$4=0,IF($J187="","",$J187),IFERROR(IF([1]财务取数接口!$C$186=0,"",[1]财务取数接口!$C$186),""))</f>
        <v>筐子销售款</v>
      </c>
      <c r="D187" s="89" t="str">
        <f>IF($T$4=0,IF($K187="","",$K187),IFERROR(IF([1]财务取数接口!$D$186=0,"",[1]财务取数接口!$D$186),""))</f>
        <v/>
      </c>
      <c r="E187" s="89" t="str">
        <f>IF($T$4=0,IF($L187="","",$L187),IFERROR(IF([1]财务取数接口!$E$186=0,"",[1]财务取数接口!$E$186),""))</f>
        <v/>
      </c>
      <c r="F187" s="76" t="str">
        <f>IF($T$4=0,IF($M187="","",$M187),IFERROR(IF([1]财务取数接口!$G$186=0,"",[1]财务取数接口!$G$186),""))</f>
        <v/>
      </c>
      <c r="G187" s="76" t="str">
        <f>IF($T$4=0,IF($N187="","",$N187),IFERROR(IF([1]财务取数接口!$H$186=0,"",[1]财务取数接口!$H$186),""))</f>
        <v/>
      </c>
      <c r="H187" s="75" t="str">
        <f>IF($T$4=0,IF($O187="","",$O187),IFERROR(IF([1]财务取数接口!$I$186=0,"",[1]财务取数接口!$I$186),""))</f>
        <v/>
      </c>
      <c r="I187" s="43"/>
      <c r="J187" s="106"/>
      <c r="K187" s="43"/>
      <c r="L187" s="43"/>
      <c r="M187" s="107"/>
      <c r="N187" s="107"/>
      <c r="O187" s="106"/>
      <c r="P187" s="139">
        <f t="shared" si="4"/>
        <v>0</v>
      </c>
      <c r="Q187" s="139">
        <f t="shared" si="5"/>
        <v>3</v>
      </c>
    </row>
    <row r="188" spans="1:17">
      <c r="A188" s="74">
        <v>187</v>
      </c>
      <c r="B188" s="138" t="str">
        <f>IF($T$4=0,IF($I188="","",$I188),IFERROR(IF([1]财务取数接口!$B$187=0,"",[1]财务取数接口!$B$187),""))</f>
        <v>张艺</v>
      </c>
      <c r="C188" s="75" t="str">
        <f>IF($T$4=0,IF($J188="","",$J188),IFERROR(IF([1]财务取数接口!$C$187=0,"",[1]财务取数接口!$C$187),""))</f>
        <v>物料销售款</v>
      </c>
      <c r="D188" s="89" t="str">
        <f>IF($T$4=0,IF($K188="","",$K188),IFERROR(IF([1]财务取数接口!$D$187=0,"",[1]财务取数接口!$D$187),""))</f>
        <v/>
      </c>
      <c r="E188" s="89" t="str">
        <f>IF($T$4=0,IF($L188="","",$L188),IFERROR(IF([1]财务取数接口!$E$187=0,"",[1]财务取数接口!$E$187),""))</f>
        <v/>
      </c>
      <c r="F188" s="76" t="str">
        <f>IF($T$4=0,IF($M188="","",$M188),IFERROR(IF([1]财务取数接口!$G$187=0,"",[1]财务取数接口!$G$187),""))</f>
        <v/>
      </c>
      <c r="G188" s="76" t="str">
        <f>IF($T$4=0,IF($N188="","",$N188),IFERROR(IF([1]财务取数接口!$H$187=0,"",[1]财务取数接口!$H$187),""))</f>
        <v/>
      </c>
      <c r="H188" s="75" t="str">
        <f>IF($T$4=0,IF($O188="","",$O188),IFERROR(IF([1]财务取数接口!$I$187=0,"",[1]财务取数接口!$I$187),""))</f>
        <v/>
      </c>
      <c r="I188" s="43"/>
      <c r="J188" s="106"/>
      <c r="K188" s="43"/>
      <c r="L188" s="43"/>
      <c r="M188" s="107"/>
      <c r="N188" s="107"/>
      <c r="O188" s="106"/>
      <c r="P188" s="139">
        <f t="shared" si="4"/>
        <v>0</v>
      </c>
      <c r="Q188" s="139">
        <f t="shared" si="5"/>
        <v>3</v>
      </c>
    </row>
    <row r="189" spans="1:17">
      <c r="A189" s="74">
        <v>188</v>
      </c>
      <c r="B189" s="138" t="str">
        <f>IF($T$4=0,IF($I189="","",$I189),IFERROR(IF([1]财务取数接口!$B$188=0,"",[1]财务取数接口!$B$188),""))</f>
        <v>郭勇义</v>
      </c>
      <c r="C189" s="75" t="str">
        <f>IF($T$4=0,IF($J189="","",$J189),IFERROR(IF([1]财务取数接口!$C$188=0,"",[1]财务取数接口!$C$188),""))</f>
        <v>筐子销售款</v>
      </c>
      <c r="D189" s="89" t="str">
        <f>IF($T$4=0,IF($K189="","",$K189),IFERROR(IF([1]财务取数接口!$D$188=0,"",[1]财务取数接口!$D$188),""))</f>
        <v/>
      </c>
      <c r="E189" s="89" t="str">
        <f>IF($T$4=0,IF($L189="","",$L189),IFERROR(IF([1]财务取数接口!$E$188=0,"",[1]财务取数接口!$E$188),""))</f>
        <v/>
      </c>
      <c r="F189" s="76" t="str">
        <f>IF($T$4=0,IF($M189="","",$M189),IFERROR(IF([1]财务取数接口!$G$188=0,"",[1]财务取数接口!$G$188),""))</f>
        <v/>
      </c>
      <c r="G189" s="76" t="str">
        <f>IF($T$4=0,IF($N189="","",$N189),IFERROR(IF([1]财务取数接口!$H$188=0,"",[1]财务取数接口!$H$188),""))</f>
        <v/>
      </c>
      <c r="H189" s="75" t="str">
        <f>IF($T$4=0,IF($O189="","",$O189),IFERROR(IF([1]财务取数接口!$I$188=0,"",[1]财务取数接口!$I$188),""))</f>
        <v/>
      </c>
      <c r="I189" s="43"/>
      <c r="J189" s="106"/>
      <c r="K189" s="43"/>
      <c r="L189" s="43"/>
      <c r="M189" s="107"/>
      <c r="N189" s="107"/>
      <c r="O189" s="106"/>
      <c r="P189" s="139">
        <f t="shared" si="4"/>
        <v>0</v>
      </c>
      <c r="Q189" s="139">
        <f t="shared" si="5"/>
        <v>3</v>
      </c>
    </row>
    <row r="190" spans="1:17">
      <c r="A190" s="74">
        <v>189</v>
      </c>
      <c r="B190" s="138" t="str">
        <f>IF($T$4=0,IF($I190="","",$I190),IFERROR(IF([1]财务取数接口!$B$189=0,"",[1]财务取数接口!$B$189),""))</f>
        <v>郭勇义</v>
      </c>
      <c r="C190" s="75" t="str">
        <f>IF($T$4=0,IF($J190="","",$J190),IFERROR(IF([1]财务取数接口!$C$189=0,"",[1]财务取数接口!$C$189),""))</f>
        <v>物料销售款</v>
      </c>
      <c r="D190" s="89" t="str">
        <f>IF($T$4=0,IF($K190="","",$K190),IFERROR(IF([1]财务取数接口!$D$189=0,"",[1]财务取数接口!$D$189),""))</f>
        <v/>
      </c>
      <c r="E190" s="89" t="str">
        <f>IF($T$4=0,IF($L190="","",$L190),IFERROR(IF([1]财务取数接口!$E$189=0,"",[1]财务取数接口!$E$189),""))</f>
        <v/>
      </c>
      <c r="F190" s="76" t="str">
        <f>IF($T$4=0,IF($M190="","",$M190),IFERROR(IF([1]财务取数接口!$G$189=0,"",[1]财务取数接口!$G$189),""))</f>
        <v/>
      </c>
      <c r="G190" s="76" t="str">
        <f>IF($T$4=0,IF($N190="","",$N190),IFERROR(IF([1]财务取数接口!$H$189=0,"",[1]财务取数接口!$H$189),""))</f>
        <v/>
      </c>
      <c r="H190" s="75" t="str">
        <f>IF($T$4=0,IF($O190="","",$O190),IFERROR(IF([1]财务取数接口!$I$189=0,"",[1]财务取数接口!$I$189),""))</f>
        <v/>
      </c>
      <c r="I190" s="43"/>
      <c r="J190" s="106"/>
      <c r="K190" s="43"/>
      <c r="L190" s="43"/>
      <c r="M190" s="107"/>
      <c r="N190" s="107"/>
      <c r="O190" s="106"/>
      <c r="P190" s="139">
        <f t="shared" si="4"/>
        <v>0</v>
      </c>
      <c r="Q190" s="139">
        <f t="shared" si="5"/>
        <v>3</v>
      </c>
    </row>
    <row r="191" spans="1:17">
      <c r="A191" s="74">
        <v>190</v>
      </c>
      <c r="B191" s="138" t="str">
        <f>IF($T$4=0,IF($I191="","",$I191),IFERROR(IF([1]财务取数接口!$B$190=0,"",[1]财务取数接口!$B$190),""))</f>
        <v>王庆文</v>
      </c>
      <c r="C191" s="75" t="str">
        <f>IF($T$4=0,IF($J191="","",$J191),IFERROR(IF([1]财务取数接口!$C$190=0,"",[1]财务取数接口!$C$190),""))</f>
        <v>筐子销售款</v>
      </c>
      <c r="D191" s="89" t="str">
        <f>IF($T$4=0,IF($K191="","",$K191),IFERROR(IF([1]财务取数接口!$D$190=0,"",[1]财务取数接口!$D$190),""))</f>
        <v/>
      </c>
      <c r="E191" s="89" t="str">
        <f>IF($T$4=0,IF($L191="","",$L191),IFERROR(IF([1]财务取数接口!$E$190=0,"",[1]财务取数接口!$E$190),""))</f>
        <v/>
      </c>
      <c r="F191" s="76" t="str">
        <f>IF($T$4=0,IF($M191="","",$M191),IFERROR(IF([1]财务取数接口!$G$190=0,"",[1]财务取数接口!$G$190),""))</f>
        <v/>
      </c>
      <c r="G191" s="76" t="str">
        <f>IF($T$4=0,IF($N191="","",$N191),IFERROR(IF([1]财务取数接口!$H$190=0,"",[1]财务取数接口!$H$190),""))</f>
        <v/>
      </c>
      <c r="H191" s="75" t="str">
        <f>IF($T$4=0,IF($O191="","",$O191),IFERROR(IF([1]财务取数接口!$I$190=0,"",[1]财务取数接口!$I$190),""))</f>
        <v/>
      </c>
      <c r="I191" s="43"/>
      <c r="J191" s="106"/>
      <c r="K191" s="43"/>
      <c r="L191" s="43"/>
      <c r="M191" s="107"/>
      <c r="N191" s="107"/>
      <c r="O191" s="106"/>
      <c r="P191" s="139">
        <f t="shared" si="4"/>
        <v>0</v>
      </c>
      <c r="Q191" s="139">
        <f t="shared" si="5"/>
        <v>3</v>
      </c>
    </row>
    <row r="192" spans="1:17">
      <c r="A192" s="74">
        <v>191</v>
      </c>
      <c r="B192" s="138" t="str">
        <f>IF($T$4=0,IF($I192="","",$I192),IFERROR(IF([1]财务取数接口!$B$191=0,"",[1]财务取数接口!$B$191),""))</f>
        <v>王庆文</v>
      </c>
      <c r="C192" s="75" t="str">
        <f>IF($T$4=0,IF($J192="","",$J192),IFERROR(IF([1]财务取数接口!$C$191=0,"",[1]财务取数接口!$C$191),""))</f>
        <v>物料销售款</v>
      </c>
      <c r="D192" s="89" t="str">
        <f>IF($T$4=0,IF($K192="","",$K192),IFERROR(IF([1]财务取数接口!$D$191=0,"",[1]财务取数接口!$D$191),""))</f>
        <v/>
      </c>
      <c r="E192" s="89" t="str">
        <f>IF($T$4=0,IF($L192="","",$L192),IFERROR(IF([1]财务取数接口!$E$191=0,"",[1]财务取数接口!$E$191),""))</f>
        <v/>
      </c>
      <c r="F192" s="76" t="str">
        <f>IF($T$4=0,IF($M192="","",$M192),IFERROR(IF([1]财务取数接口!$G$191=0,"",[1]财务取数接口!$G$191),""))</f>
        <v/>
      </c>
      <c r="G192" s="76" t="str">
        <f>IF($T$4=0,IF($N192="","",$N192),IFERROR(IF([1]财务取数接口!$H$191=0,"",[1]财务取数接口!$H$191),""))</f>
        <v/>
      </c>
      <c r="H192" s="75" t="str">
        <f>IF($T$4=0,IF($O192="","",$O192),IFERROR(IF([1]财务取数接口!$I$191=0,"",[1]财务取数接口!$I$191),""))</f>
        <v/>
      </c>
      <c r="I192" s="43"/>
      <c r="J192" s="106"/>
      <c r="K192" s="43"/>
      <c r="L192" s="43"/>
      <c r="M192" s="107"/>
      <c r="N192" s="107"/>
      <c r="O192" s="106"/>
      <c r="P192" s="139">
        <f t="shared" si="4"/>
        <v>0</v>
      </c>
      <c r="Q192" s="139">
        <f t="shared" si="5"/>
        <v>3</v>
      </c>
    </row>
    <row r="193" spans="1:17">
      <c r="A193" s="74">
        <v>192</v>
      </c>
      <c r="B193" s="138" t="str">
        <f>IF($T$4=0,IF($I193="","",$I193),IFERROR(IF([1]财务取数接口!$B$192=0,"",[1]财务取数接口!$B$192),""))</f>
        <v>果然鲜</v>
      </c>
      <c r="C193" s="75" t="str">
        <f>IF($T$4=0,IF($J193="","",$J193),IFERROR(IF([1]财务取数接口!$C$192=0,"",[1]财务取数接口!$C$192),""))</f>
        <v>筐子销售款</v>
      </c>
      <c r="D193" s="89" t="str">
        <f>IF($T$4=0,IF($K193="","",$K193),IFERROR(IF([1]财务取数接口!$D$192=0,"",[1]财务取数接口!$D$192),""))</f>
        <v/>
      </c>
      <c r="E193" s="89" t="str">
        <f>IF($T$4=0,IF($L193="","",$L193),IFERROR(IF([1]财务取数接口!$E$192=0,"",[1]财务取数接口!$E$192),""))</f>
        <v/>
      </c>
      <c r="F193" s="76" t="str">
        <f>IF($T$4=0,IF($M193="","",$M193),IFERROR(IF([1]财务取数接口!$G$192=0,"",[1]财务取数接口!$G$192),""))</f>
        <v/>
      </c>
      <c r="G193" s="76" t="str">
        <f>IF($T$4=0,IF($N193="","",$N193),IFERROR(IF([1]财务取数接口!$H$192=0,"",[1]财务取数接口!$H$192),""))</f>
        <v/>
      </c>
      <c r="H193" s="75" t="str">
        <f>IF($T$4=0,IF($O193="","",$O193),IFERROR(IF([1]财务取数接口!$I$192=0,"",[1]财务取数接口!$I$192),""))</f>
        <v/>
      </c>
      <c r="I193" s="43"/>
      <c r="J193" s="106"/>
      <c r="K193" s="43"/>
      <c r="L193" s="43"/>
      <c r="M193" s="107"/>
      <c r="N193" s="107"/>
      <c r="O193" s="106"/>
      <c r="P193" s="139">
        <f t="shared" si="4"/>
        <v>0</v>
      </c>
      <c r="Q193" s="139">
        <f t="shared" si="5"/>
        <v>3</v>
      </c>
    </row>
    <row r="194" spans="1:17">
      <c r="A194" s="74">
        <v>193</v>
      </c>
      <c r="B194" s="138" t="str">
        <f>IF($T$4=0,IF($I194="","",$I194),IFERROR(IF([1]财务取数接口!$B$193=0,"",[1]财务取数接口!$B$193),""))</f>
        <v>果然鲜</v>
      </c>
      <c r="C194" s="75" t="str">
        <f>IF($T$4=0,IF($J194="","",$J194),IFERROR(IF([1]财务取数接口!$C$193=0,"",[1]财务取数接口!$C$193),""))</f>
        <v>物料销售款</v>
      </c>
      <c r="D194" s="89" t="str">
        <f>IF($T$4=0,IF($K194="","",$K194),IFERROR(IF([1]财务取数接口!$D$193=0,"",[1]财务取数接口!$D$193),""))</f>
        <v/>
      </c>
      <c r="E194" s="89" t="str">
        <f>IF($T$4=0,IF($L194="","",$L194),IFERROR(IF([1]财务取数接口!$E$193=0,"",[1]财务取数接口!$E$193),""))</f>
        <v/>
      </c>
      <c r="F194" s="76" t="str">
        <f>IF($T$4=0,IF($M194="","",$M194),IFERROR(IF([1]财务取数接口!$G$193=0,"",[1]财务取数接口!$G$193),""))</f>
        <v/>
      </c>
      <c r="G194" s="76" t="str">
        <f>IF($T$4=0,IF($N194="","",$N194),IFERROR(IF([1]财务取数接口!$H$193=0,"",[1]财务取数接口!$H$193),""))</f>
        <v/>
      </c>
      <c r="H194" s="75" t="str">
        <f>IF($T$4=0,IF($O194="","",$O194),IFERROR(IF([1]财务取数接口!$I$193=0,"",[1]财务取数接口!$I$193),""))</f>
        <v/>
      </c>
      <c r="I194" s="43"/>
      <c r="J194" s="106"/>
      <c r="K194" s="43"/>
      <c r="L194" s="43"/>
      <c r="M194" s="107"/>
      <c r="N194" s="107"/>
      <c r="O194" s="106"/>
      <c r="P194" s="139">
        <f t="shared" si="4"/>
        <v>0</v>
      </c>
      <c r="Q194" s="139">
        <f t="shared" si="5"/>
        <v>3</v>
      </c>
    </row>
    <row r="195" spans="1:17">
      <c r="A195" s="74">
        <v>194</v>
      </c>
      <c r="B195" s="138" t="str">
        <f>IF($T$4=0,IF($I195="","",$I195),IFERROR(IF([1]财务取数接口!$B$194=0,"",[1]财务取数接口!$B$194),""))</f>
        <v>努尔敦</v>
      </c>
      <c r="C195" s="75" t="str">
        <f>IF($T$4=0,IF($J195="","",$J195),IFERROR(IF([1]财务取数接口!$C$194=0,"",[1]财务取数接口!$C$194),""))</f>
        <v>筐子销售款</v>
      </c>
      <c r="D195" s="89" t="str">
        <f>IF($T$4=0,IF($K195="","",$K195),IFERROR(IF([1]财务取数接口!$D$194=0,"",[1]财务取数接口!$D$194),""))</f>
        <v/>
      </c>
      <c r="E195" s="89" t="str">
        <f>IF($T$4=0,IF($L195="","",$L195),IFERROR(IF([1]财务取数接口!$E$194=0,"",[1]财务取数接口!$E$194),""))</f>
        <v/>
      </c>
      <c r="F195" s="76" t="str">
        <f>IF($T$4=0,IF($M195="","",$M195),IFERROR(IF([1]财务取数接口!$G$194=0,"",[1]财务取数接口!$G$194),""))</f>
        <v/>
      </c>
      <c r="G195" s="76" t="str">
        <f>IF($T$4=0,IF($N195="","",$N195),IFERROR(IF([1]财务取数接口!$H$194=0,"",[1]财务取数接口!$H$194),""))</f>
        <v/>
      </c>
      <c r="H195" s="75" t="str">
        <f>IF($T$4=0,IF($O195="","",$O195),IFERROR(IF([1]财务取数接口!$I$194=0,"",[1]财务取数接口!$I$194),""))</f>
        <v/>
      </c>
      <c r="I195" s="43"/>
      <c r="J195" s="106"/>
      <c r="K195" s="43"/>
      <c r="L195" s="43"/>
      <c r="M195" s="107"/>
      <c r="N195" s="107"/>
      <c r="O195" s="106"/>
      <c r="P195" s="139">
        <f t="shared" si="4"/>
        <v>0</v>
      </c>
      <c r="Q195" s="139">
        <f t="shared" si="5"/>
        <v>3</v>
      </c>
    </row>
    <row r="196" spans="1:17">
      <c r="A196" s="74">
        <v>195</v>
      </c>
      <c r="B196" s="138" t="str">
        <f>IF($T$4=0,IF($I196="","",$I196),IFERROR(IF([1]财务取数接口!$B$195=0,"",[1]财务取数接口!$B$195),""))</f>
        <v>努尔敦</v>
      </c>
      <c r="C196" s="75" t="str">
        <f>IF($T$4=0,IF($J196="","",$J196),IFERROR(IF([1]财务取数接口!$C$195=0,"",[1]财务取数接口!$C$195),""))</f>
        <v>物料销售款</v>
      </c>
      <c r="D196" s="89" t="str">
        <f>IF($T$4=0,IF($K196="","",$K196),IFERROR(IF([1]财务取数接口!$D$195=0,"",[1]财务取数接口!$D$195),""))</f>
        <v/>
      </c>
      <c r="E196" s="89" t="str">
        <f>IF($T$4=0,IF($L196="","",$L196),IFERROR(IF([1]财务取数接口!$E$195=0,"",[1]财务取数接口!$E$195),""))</f>
        <v/>
      </c>
      <c r="F196" s="76" t="str">
        <f>IF($T$4=0,IF($M196="","",$M196),IFERROR(IF([1]财务取数接口!$G$195=0,"",[1]财务取数接口!$G$195),""))</f>
        <v/>
      </c>
      <c r="G196" s="76" t="str">
        <f>IF($T$4=0,IF($N196="","",$N196),IFERROR(IF([1]财务取数接口!$H$195=0,"",[1]财务取数接口!$H$195),""))</f>
        <v/>
      </c>
      <c r="H196" s="75" t="str">
        <f>IF($T$4=0,IF($O196="","",$O196),IFERROR(IF([1]财务取数接口!$I$195=0,"",[1]财务取数接口!$I$195),""))</f>
        <v/>
      </c>
      <c r="I196" s="43"/>
      <c r="J196" s="106"/>
      <c r="K196" s="43"/>
      <c r="L196" s="43"/>
      <c r="M196" s="107"/>
      <c r="N196" s="107"/>
      <c r="O196" s="106"/>
      <c r="P196" s="139">
        <f t="shared" si="4"/>
        <v>0</v>
      </c>
      <c r="Q196" s="139">
        <f t="shared" si="5"/>
        <v>3</v>
      </c>
    </row>
    <row r="197" spans="1:17">
      <c r="A197" s="74">
        <v>196</v>
      </c>
      <c r="B197" s="138" t="str">
        <f>IF($T$4=0,IF($I197="","",$I197),IFERROR(IF([1]财务取数接口!$B$196=0,"",[1]财务取数接口!$B$196),""))</f>
        <v>吐尔洪</v>
      </c>
      <c r="C197" s="75" t="str">
        <f>IF($T$4=0,IF($J197="","",$J197),IFERROR(IF([1]财务取数接口!$C$196=0,"",[1]财务取数接口!$C$196),""))</f>
        <v>筐子销售款</v>
      </c>
      <c r="D197" s="89" t="str">
        <f>IF($T$4=0,IF($K197="","",$K197),IFERROR(IF([1]财务取数接口!$D$196=0,"",[1]财务取数接口!$D$196),""))</f>
        <v/>
      </c>
      <c r="E197" s="89" t="str">
        <f>IF($T$4=0,IF($L197="","",$L197),IFERROR(IF([1]财务取数接口!$E$196=0,"",[1]财务取数接口!$E$196),""))</f>
        <v/>
      </c>
      <c r="F197" s="76" t="str">
        <f>IF($T$4=0,IF($M197="","",$M197),IFERROR(IF([1]财务取数接口!$G$196=0,"",[1]财务取数接口!$G$196),""))</f>
        <v/>
      </c>
      <c r="G197" s="76" t="str">
        <f>IF($T$4=0,IF($N197="","",$N197),IFERROR(IF([1]财务取数接口!$H$196=0,"",[1]财务取数接口!$H$196),""))</f>
        <v/>
      </c>
      <c r="H197" s="75" t="str">
        <f>IF($T$4=0,IF($O197="","",$O197),IFERROR(IF([1]财务取数接口!$I$196=0,"",[1]财务取数接口!$I$196),""))</f>
        <v/>
      </c>
      <c r="I197" s="43"/>
      <c r="J197" s="106"/>
      <c r="K197" s="43"/>
      <c r="L197" s="43"/>
      <c r="M197" s="107"/>
      <c r="N197" s="107"/>
      <c r="O197" s="106"/>
      <c r="P197" s="139">
        <f t="shared" ref="P197:P260" si="6">IF(AND($C197&lt;&gt;"",$C197&lt;&gt;"项目",OR(N($D197)&lt;&gt;0,N($E197)&lt;&gt;0,N($F197)&lt;&gt;0)),1,0)</f>
        <v>0</v>
      </c>
      <c r="Q197" s="139">
        <f t="shared" ref="Q197:Q260" si="7">N(Q196)+$P197</f>
        <v>3</v>
      </c>
    </row>
    <row r="198" spans="1:17">
      <c r="A198" s="74">
        <v>197</v>
      </c>
      <c r="B198" s="138" t="str">
        <f>IF($T$4=0,IF($I198="","",$I198),IFERROR(IF([1]财务取数接口!$B$197=0,"",[1]财务取数接口!$B$197),""))</f>
        <v>吐尔洪</v>
      </c>
      <c r="C198" s="75" t="str">
        <f>IF($T$4=0,IF($J198="","",$J198),IFERROR(IF([1]财务取数接口!$C$197=0,"",[1]财务取数接口!$C$197),""))</f>
        <v>物料销售款</v>
      </c>
      <c r="D198" s="89" t="str">
        <f>IF($T$4=0,IF($K198="","",$K198),IFERROR(IF([1]财务取数接口!$D$197=0,"",[1]财务取数接口!$D$197),""))</f>
        <v/>
      </c>
      <c r="E198" s="89" t="str">
        <f>IF($T$4=0,IF($L198="","",$L198),IFERROR(IF([1]财务取数接口!$E$197=0,"",[1]财务取数接口!$E$197),""))</f>
        <v/>
      </c>
      <c r="F198" s="76" t="str">
        <f>IF($T$4=0,IF($M198="","",$M198),IFERROR(IF([1]财务取数接口!$G$197=0,"",[1]财务取数接口!$G$197),""))</f>
        <v/>
      </c>
      <c r="G198" s="76" t="str">
        <f>IF($T$4=0,IF($N198="","",$N198),IFERROR(IF([1]财务取数接口!$H$197=0,"",[1]财务取数接口!$H$197),""))</f>
        <v/>
      </c>
      <c r="H198" s="75" t="str">
        <f>IF($T$4=0,IF($O198="","",$O198),IFERROR(IF([1]财务取数接口!$I$197=0,"",[1]财务取数接口!$I$197),""))</f>
        <v/>
      </c>
      <c r="I198" s="43"/>
      <c r="J198" s="106"/>
      <c r="K198" s="43"/>
      <c r="L198" s="43"/>
      <c r="M198" s="107"/>
      <c r="N198" s="107"/>
      <c r="O198" s="106"/>
      <c r="P198" s="139">
        <f t="shared" si="6"/>
        <v>0</v>
      </c>
      <c r="Q198" s="139">
        <f t="shared" si="7"/>
        <v>3</v>
      </c>
    </row>
    <row r="199" spans="1:17">
      <c r="A199" s="74">
        <v>198</v>
      </c>
      <c r="B199" s="138" t="str">
        <f>IF($T$4=0,IF($I199="","",$I199),IFERROR(IF([1]财务取数接口!$B$198=0,"",[1]财务取数接口!$B$198),""))</f>
        <v>鑫旺塑业</v>
      </c>
      <c r="C199" s="75" t="str">
        <f>IF($T$4=0,IF($J199="","",$J199),IFERROR(IF([1]财务取数接口!$C$198=0,"",[1]财务取数接口!$C$198),""))</f>
        <v>筐子销售款</v>
      </c>
      <c r="D199" s="89" t="str">
        <f>IF($T$4=0,IF($K199="","",$K199),IFERROR(IF([1]财务取数接口!$D$198=0,"",[1]财务取数接口!$D$198),""))</f>
        <v/>
      </c>
      <c r="E199" s="89" t="str">
        <f>IF($T$4=0,IF($L199="","",$L199),IFERROR(IF([1]财务取数接口!$E$198=0,"",[1]财务取数接口!$E$198),""))</f>
        <v/>
      </c>
      <c r="F199" s="76" t="str">
        <f>IF($T$4=0,IF($M199="","",$M199),IFERROR(IF([1]财务取数接口!$G$198=0,"",[1]财务取数接口!$G$198),""))</f>
        <v/>
      </c>
      <c r="G199" s="76" t="str">
        <f>IF($T$4=0,IF($N199="","",$N199),IFERROR(IF([1]财务取数接口!$H$198=0,"",[1]财务取数接口!$H$198),""))</f>
        <v/>
      </c>
      <c r="H199" s="75" t="str">
        <f>IF($T$4=0,IF($O199="","",$O199),IFERROR(IF([1]财务取数接口!$I$198=0,"",[1]财务取数接口!$I$198),""))</f>
        <v/>
      </c>
      <c r="I199" s="43"/>
      <c r="J199" s="106"/>
      <c r="K199" s="43"/>
      <c r="L199" s="43"/>
      <c r="M199" s="107"/>
      <c r="N199" s="107"/>
      <c r="O199" s="106"/>
      <c r="P199" s="139">
        <f t="shared" si="6"/>
        <v>0</v>
      </c>
      <c r="Q199" s="139">
        <f t="shared" si="7"/>
        <v>3</v>
      </c>
    </row>
    <row r="200" spans="1:17">
      <c r="A200" s="74">
        <v>199</v>
      </c>
      <c r="B200" s="89" t="str">
        <f>IF($T$4=0,IF($I200="","",$I200),IFERROR(IF([1]财务取数接口!$B$199=0,"",[1]财务取数接口!$B$199),""))</f>
        <v>鑫旺塑业</v>
      </c>
      <c r="C200" s="75" t="str">
        <f>IF($T$4=0,IF($J200="","",$J200),IFERROR(IF([1]财务取数接口!$C$199=0,"",[1]财务取数接口!$C$199),""))</f>
        <v>物料销售款</v>
      </c>
      <c r="D200" s="89" t="str">
        <f>IF($T$4=0,IF($K200="","",$K200),IFERROR(IF([1]财务取数接口!$D$199=0,"",[1]财务取数接口!$D$199),""))</f>
        <v/>
      </c>
      <c r="E200" s="89" t="str">
        <f>IF($T$4=0,IF($L200="","",$L200),IFERROR(IF([1]财务取数接口!$E$199=0,"",[1]财务取数接口!$E$199),""))</f>
        <v/>
      </c>
      <c r="F200" s="76" t="str">
        <f>IF($T$4=0,IF($M200="","",$M200),IFERROR(IF([1]财务取数接口!$G$199=0,"",[1]财务取数接口!$G$199),""))</f>
        <v/>
      </c>
      <c r="G200" s="76" t="str">
        <f>IF($T$4=0,IF($N200="","",$N200),IFERROR(IF([1]财务取数接口!$H$199=0,"",[1]财务取数接口!$H$199),""))</f>
        <v/>
      </c>
      <c r="H200" s="75" t="str">
        <f>IF($T$4=0,IF($O200="","",$O200),IFERROR(IF([1]财务取数接口!$I$199=0,"",[1]财务取数接口!$I$199),""))</f>
        <v/>
      </c>
      <c r="I200" s="43"/>
      <c r="J200" s="106"/>
      <c r="K200" s="43"/>
      <c r="L200" s="43"/>
      <c r="M200" s="107"/>
      <c r="N200" s="107"/>
      <c r="O200" s="106"/>
      <c r="P200" s="139">
        <f t="shared" si="6"/>
        <v>0</v>
      </c>
      <c r="Q200" s="139">
        <f t="shared" si="7"/>
        <v>3</v>
      </c>
    </row>
    <row r="201" spans="1:17">
      <c r="A201" s="74">
        <v>200</v>
      </c>
      <c r="B201" s="89" t="str">
        <f>IF($T$4=0,IF($I201="","",$I201),IFERROR(IF([1]财务取数接口!$B$200=0,"",[1]财务取数接口!$B$200),""))</f>
        <v>华鑫塑业</v>
      </c>
      <c r="C201" s="75" t="str">
        <f>IF($T$4=0,IF($J201="","",$J201),IFERROR(IF([1]财务取数接口!$C$200=0,"",[1]财务取数接口!$C$200),""))</f>
        <v>筐子销售款</v>
      </c>
      <c r="D201" s="89" t="str">
        <f>IF($T$4=0,IF($K201="","",$K201),IFERROR(IF([1]财务取数接口!$D$200=0,"",[1]财务取数接口!$D$200),""))</f>
        <v/>
      </c>
      <c r="E201" s="89" t="str">
        <f>IF($T$4=0,IF($L201="","",$L201),IFERROR(IF([1]财务取数接口!$E$200=0,"",[1]财务取数接口!$E$200),""))</f>
        <v/>
      </c>
      <c r="F201" s="76" t="str">
        <f>IF($T$4=0,IF($M201="","",$M201),IFERROR(IF([1]财务取数接口!$G$200=0,"",[1]财务取数接口!$G$200),""))</f>
        <v/>
      </c>
      <c r="G201" s="76" t="str">
        <f>IF($T$4=0,IF($N201="","",$N201),IFERROR(IF([1]财务取数接口!$H$200=0,"",[1]财务取数接口!$H$200),""))</f>
        <v/>
      </c>
      <c r="H201" s="75" t="str">
        <f>IF($T$4=0,IF($O201="","",$O201),IFERROR(IF([1]财务取数接口!$I$200=0,"",[1]财务取数接口!$I$200),""))</f>
        <v/>
      </c>
      <c r="I201" s="43"/>
      <c r="J201" s="106"/>
      <c r="K201" s="43"/>
      <c r="L201" s="43"/>
      <c r="M201" s="107"/>
      <c r="N201" s="107"/>
      <c r="O201" s="106"/>
      <c r="P201" s="139">
        <f t="shared" si="6"/>
        <v>0</v>
      </c>
      <c r="Q201" s="139">
        <f t="shared" si="7"/>
        <v>3</v>
      </c>
    </row>
    <row r="202" spans="1:17">
      <c r="A202" s="74">
        <v>201</v>
      </c>
      <c r="B202" s="89" t="str">
        <f>IF($T$4=0,IF($I202="","",$I202),IFERROR(IF([1]财务取数接口!$B$201=0,"",[1]财务取数接口!$B$201),""))</f>
        <v>华鑫塑业</v>
      </c>
      <c r="C202" s="75" t="str">
        <f>IF($T$4=0,IF($J202="","",$J202),IFERROR(IF([1]财务取数接口!$C$201=0,"",[1]财务取数接口!$C$201),""))</f>
        <v>物料销售款</v>
      </c>
      <c r="D202" s="89" t="str">
        <f>IF($T$4=0,IF($K202="","",$K202),IFERROR(IF([1]财务取数接口!$D$201=0,"",[1]财务取数接口!$D$201),""))</f>
        <v/>
      </c>
      <c r="E202" s="89" t="str">
        <f>IF($T$4=0,IF($L202="","",$L202),IFERROR(IF([1]财务取数接口!$E$201=0,"",[1]财务取数接口!$E$201),""))</f>
        <v/>
      </c>
      <c r="F202" s="76" t="str">
        <f>IF($T$4=0,IF($M202="","",$M202),IFERROR(IF([1]财务取数接口!$G$201=0,"",[1]财务取数接口!$G$201),""))</f>
        <v/>
      </c>
      <c r="G202" s="76" t="str">
        <f>IF($T$4=0,IF($N202="","",$N202),IFERROR(IF([1]财务取数接口!$H$201=0,"",[1]财务取数接口!$H$201),""))</f>
        <v/>
      </c>
      <c r="H202" s="75" t="str">
        <f>IF($T$4=0,IF($O202="","",$O202),IFERROR(IF([1]财务取数接口!$I$201=0,"",[1]财务取数接口!$I$201),""))</f>
        <v/>
      </c>
      <c r="I202" s="43"/>
      <c r="J202" s="106"/>
      <c r="K202" s="43"/>
      <c r="L202" s="43"/>
      <c r="M202" s="107"/>
      <c r="N202" s="107"/>
      <c r="O202" s="106"/>
      <c r="P202" s="139">
        <f t="shared" si="6"/>
        <v>0</v>
      </c>
      <c r="Q202" s="139">
        <f t="shared" si="7"/>
        <v>3</v>
      </c>
    </row>
    <row r="203" spans="1:17">
      <c r="A203" s="74">
        <v>202</v>
      </c>
      <c r="B203" s="89" t="str">
        <f>IF($T$4=0,IF($I203="","",$I203),IFERROR(IF([1]财务取数接口!$B$202=0,"",[1]财务取数接口!$B$202),""))</f>
        <v>全修塑业</v>
      </c>
      <c r="C203" s="75" t="str">
        <f>IF($T$4=0,IF($J203="","",$J203),IFERROR(IF([1]财务取数接口!$C$202=0,"",[1]财务取数接口!$C$202),""))</f>
        <v>筐子销售款</v>
      </c>
      <c r="D203" s="89" t="str">
        <f>IF($T$4=0,IF($K203="","",$K203),IFERROR(IF([1]财务取数接口!$D$202=0,"",[1]财务取数接口!$D$202),""))</f>
        <v/>
      </c>
      <c r="E203" s="89">
        <f>IF($T$4=0,IF($L203="","",$L203),IFERROR(IF([1]财务取数接口!$E$202=0,"",[1]财务取数接口!$E$202),""))</f>
        <v>174720</v>
      </c>
      <c r="F203" s="76" t="str">
        <f>IF($T$4=0,IF($M203="","",$M203),IFERROR(IF([1]财务取数接口!$G$202=0,"",[1]财务取数接口!$G$202),""))</f>
        <v/>
      </c>
      <c r="G203" s="76" t="str">
        <f>IF($T$4=0,IF($N203="","",$N203),IFERROR(IF([1]财务取数接口!$H$202=0,"",[1]财务取数接口!$H$202),""))</f>
        <v/>
      </c>
      <c r="H203" s="75" t="str">
        <f>IF($T$4=0,IF($O203="","",$O203),IFERROR(IF([1]财务取数接口!$I$202=0,"",[1]财务取数接口!$I$202),""))</f>
        <v/>
      </c>
      <c r="I203" s="43"/>
      <c r="J203" s="106"/>
      <c r="K203" s="43"/>
      <c r="L203" s="43"/>
      <c r="M203" s="107"/>
      <c r="N203" s="107"/>
      <c r="O203" s="106"/>
      <c r="P203" s="139">
        <f t="shared" si="6"/>
        <v>1</v>
      </c>
      <c r="Q203" s="139">
        <f t="shared" si="7"/>
        <v>4</v>
      </c>
    </row>
    <row r="204" spans="1:17">
      <c r="A204" s="74">
        <v>203</v>
      </c>
      <c r="B204" s="89" t="str">
        <f>IF($T$4=0,IF($I204="","",$I204),IFERROR(IF([1]财务取数接口!$B$203=0,"",[1]财务取数接口!$B$203),""))</f>
        <v>全修塑业</v>
      </c>
      <c r="C204" s="75" t="str">
        <f>IF($T$4=0,IF($J204="","",$J204),IFERROR(IF([1]财务取数接口!$C$203=0,"",[1]财务取数接口!$C$203),""))</f>
        <v>物料销售款</v>
      </c>
      <c r="D204" s="89" t="str">
        <f>IF($T$4=0,IF($K204="","",$K204),IFERROR(IF([1]财务取数接口!$D$203=0,"",[1]财务取数接口!$D$203),""))</f>
        <v/>
      </c>
      <c r="E204" s="89" t="str">
        <f>IF($T$4=0,IF($L204="","",$L204),IFERROR(IF([1]财务取数接口!$E$203=0,"",[1]财务取数接口!$E$203),""))</f>
        <v/>
      </c>
      <c r="F204" s="76" t="str">
        <f>IF($T$4=0,IF($M204="","",$M204),IFERROR(IF([1]财务取数接口!$G$203=0,"",[1]财务取数接口!$G$203),""))</f>
        <v/>
      </c>
      <c r="G204" s="76" t="str">
        <f>IF($T$4=0,IF($N204="","",$N204),IFERROR(IF([1]财务取数接口!$H$203=0,"",[1]财务取数接口!$H$203),""))</f>
        <v/>
      </c>
      <c r="H204" s="75" t="str">
        <f>IF($T$4=0,IF($O204="","",$O204),IFERROR(IF([1]财务取数接口!$I$203=0,"",[1]财务取数接口!$I$203),""))</f>
        <v/>
      </c>
      <c r="I204" s="43"/>
      <c r="J204" s="106"/>
      <c r="K204" s="43"/>
      <c r="L204" s="43"/>
      <c r="M204" s="107"/>
      <c r="N204" s="107"/>
      <c r="O204" s="106"/>
      <c r="P204" s="139">
        <f t="shared" si="6"/>
        <v>0</v>
      </c>
      <c r="Q204" s="139">
        <f t="shared" si="7"/>
        <v>4</v>
      </c>
    </row>
    <row r="205" spans="1:17">
      <c r="A205" s="74">
        <v>204</v>
      </c>
      <c r="B205" s="89" t="str">
        <f>IF($T$4=0,IF($I205="","",$I205),IFERROR(IF([1]财务取数接口!$B$204=0,"",[1]财务取数接口!$B$204),""))</f>
        <v>新顺发泡网</v>
      </c>
      <c r="C205" s="75" t="str">
        <f>IF($T$4=0,IF($J205="","",$J205),IFERROR(IF([1]财务取数接口!$C$204=0,"",[1]财务取数接口!$C$204),""))</f>
        <v>筐子销售款</v>
      </c>
      <c r="D205" s="89" t="str">
        <f>IF($T$4=0,IF($K205="","",$K205),IFERROR(IF([1]财务取数接口!$D$204=0,"",[1]财务取数接口!$D$204),""))</f>
        <v/>
      </c>
      <c r="E205" s="89" t="str">
        <f>IF($T$4=0,IF($L205="","",$L205),IFERROR(IF([1]财务取数接口!$E$204=0,"",[1]财务取数接口!$E$204),""))</f>
        <v/>
      </c>
      <c r="F205" s="76" t="str">
        <f>IF($T$4=0,IF($M205="","",$M205),IFERROR(IF([1]财务取数接口!$G$204=0,"",[1]财务取数接口!$G$204),""))</f>
        <v/>
      </c>
      <c r="G205" s="76" t="str">
        <f>IF($T$4=0,IF($N205="","",$N205),IFERROR(IF([1]财务取数接口!$H$204=0,"",[1]财务取数接口!$H$204),""))</f>
        <v/>
      </c>
      <c r="H205" s="75" t="str">
        <f>IF($T$4=0,IF($O205="","",$O205),IFERROR(IF([1]财务取数接口!$I$204=0,"",[1]财务取数接口!$I$204),""))</f>
        <v/>
      </c>
      <c r="I205" s="43"/>
      <c r="J205" s="106"/>
      <c r="K205" s="43"/>
      <c r="L205" s="43"/>
      <c r="M205" s="107"/>
      <c r="N205" s="107"/>
      <c r="O205" s="106"/>
      <c r="P205" s="139">
        <f t="shared" si="6"/>
        <v>0</v>
      </c>
      <c r="Q205" s="139">
        <f t="shared" si="7"/>
        <v>4</v>
      </c>
    </row>
    <row r="206" spans="1:17">
      <c r="A206" s="74">
        <v>205</v>
      </c>
      <c r="B206" s="89" t="str">
        <f>IF($T$4=0,IF($I206="","",$I206),IFERROR(IF([1]财务取数接口!$B$205=0,"",[1]财务取数接口!$B$205),""))</f>
        <v>新顺发泡网</v>
      </c>
      <c r="C206" s="75" t="str">
        <f>IF($T$4=0,IF($J206="","",$J206),IFERROR(IF([1]财务取数接口!$C$205=0,"",[1]财务取数接口!$C$205),""))</f>
        <v>物料销售款</v>
      </c>
      <c r="D206" s="89" t="str">
        <f>IF($T$4=0,IF($K206="","",$K206),IFERROR(IF([1]财务取数接口!$D$205=0,"",[1]财务取数接口!$D$205),""))</f>
        <v/>
      </c>
      <c r="E206" s="89">
        <f>IF($T$4=0,IF($L206="","",$L206),IFERROR(IF([1]财务取数接口!$E$205=0,"",[1]财务取数接口!$E$205),""))</f>
        <v>40848</v>
      </c>
      <c r="F206" s="76" t="str">
        <f>IF($T$4=0,IF($M206="","",$M206),IFERROR(IF([1]财务取数接口!$G$205=0,"",[1]财务取数接口!$G$205),""))</f>
        <v/>
      </c>
      <c r="G206" s="76" t="str">
        <f>IF($T$4=0,IF($N206="","",$N206),IFERROR(IF([1]财务取数接口!$H$205=0,"",[1]财务取数接口!$H$205),""))</f>
        <v/>
      </c>
      <c r="H206" s="75" t="str">
        <f>IF($T$4=0,IF($O206="","",$O206),IFERROR(IF([1]财务取数接口!$I$205=0,"",[1]财务取数接口!$I$205),""))</f>
        <v/>
      </c>
      <c r="I206" s="43"/>
      <c r="J206" s="106"/>
      <c r="K206" s="43"/>
      <c r="L206" s="43"/>
      <c r="M206" s="107"/>
      <c r="N206" s="107"/>
      <c r="O206" s="106"/>
      <c r="P206" s="139">
        <f t="shared" si="6"/>
        <v>1</v>
      </c>
      <c r="Q206" s="139">
        <f t="shared" si="7"/>
        <v>5</v>
      </c>
    </row>
    <row r="207" spans="1:17">
      <c r="A207" s="74">
        <v>206</v>
      </c>
      <c r="B207" s="89" t="str">
        <f>IF($T$4=0,IF($I207="","",$I207),IFERROR(IF([1]财务取数接口!$B$206=0,"",[1]财务取数接口!$B$206),""))</f>
        <v>武宁气泡垫</v>
      </c>
      <c r="C207" s="75" t="str">
        <f>IF($T$4=0,IF($J207="","",$J207),IFERROR(IF([1]财务取数接口!$C$206=0,"",[1]财务取数接口!$C$206),""))</f>
        <v>筐子销售款</v>
      </c>
      <c r="D207" s="89" t="str">
        <f>IF($T$4=0,IF($K207="","",$K207),IFERROR(IF([1]财务取数接口!$D$206=0,"",[1]财务取数接口!$D$206),""))</f>
        <v/>
      </c>
      <c r="E207" s="89" t="str">
        <f>IF($T$4=0,IF($L207="","",$L207),IFERROR(IF([1]财务取数接口!$E$206=0,"",[1]财务取数接口!$E$206),""))</f>
        <v/>
      </c>
      <c r="F207" s="76" t="str">
        <f>IF($T$4=0,IF($M207="","",$M207),IFERROR(IF([1]财务取数接口!$G$206=0,"",[1]财务取数接口!$G$206),""))</f>
        <v/>
      </c>
      <c r="G207" s="76" t="str">
        <f>IF($T$4=0,IF($N207="","",$N207),IFERROR(IF([1]财务取数接口!$H$206=0,"",[1]财务取数接口!$H$206),""))</f>
        <v/>
      </c>
      <c r="H207" s="75" t="str">
        <f>IF($T$4=0,IF($O207="","",$O207),IFERROR(IF([1]财务取数接口!$I$206=0,"",[1]财务取数接口!$I$206),""))</f>
        <v/>
      </c>
      <c r="I207" s="43"/>
      <c r="J207" s="106"/>
      <c r="K207" s="43"/>
      <c r="L207" s="43"/>
      <c r="M207" s="107"/>
      <c r="N207" s="107"/>
      <c r="O207" s="106"/>
      <c r="P207" s="139">
        <f t="shared" si="6"/>
        <v>0</v>
      </c>
      <c r="Q207" s="139">
        <f t="shared" si="7"/>
        <v>5</v>
      </c>
    </row>
    <row r="208" spans="1:17">
      <c r="A208" s="74">
        <v>207</v>
      </c>
      <c r="B208" s="89" t="str">
        <f>IF($T$4=0,IF($I208="","",$I208),IFERROR(IF([1]财务取数接口!$B$207=0,"",[1]财务取数接口!$B$207),""))</f>
        <v>武宁气泡垫</v>
      </c>
      <c r="C208" s="75" t="str">
        <f>IF($T$4=0,IF($J208="","",$J208),IFERROR(IF([1]财务取数接口!$C$207=0,"",[1]财务取数接口!$C$207),""))</f>
        <v>物料销售款</v>
      </c>
      <c r="D208" s="89" t="str">
        <f>IF($T$4=0,IF($K208="","",$K208),IFERROR(IF([1]财务取数接口!$D$207=0,"",[1]财务取数接口!$D$207),""))</f>
        <v/>
      </c>
      <c r="E208" s="89" t="str">
        <f>IF($T$4=0,IF($L208="","",$L208),IFERROR(IF([1]财务取数接口!$E$207=0,"",[1]财务取数接口!$E$207),""))</f>
        <v/>
      </c>
      <c r="F208" s="76" t="str">
        <f>IF($T$4=0,IF($M208="","",$M208),IFERROR(IF([1]财务取数接口!$G$207=0,"",[1]财务取数接口!$G$207),""))</f>
        <v/>
      </c>
      <c r="G208" s="76" t="str">
        <f>IF($T$4=0,IF($N208="","",$N208),IFERROR(IF([1]财务取数接口!$H$207=0,"",[1]财务取数接口!$H$207),""))</f>
        <v/>
      </c>
      <c r="H208" s="75" t="str">
        <f>IF($T$4=0,IF($O208="","",$O208),IFERROR(IF([1]财务取数接口!$I$207=0,"",[1]财务取数接口!$I$207),""))</f>
        <v/>
      </c>
      <c r="I208" s="43"/>
      <c r="J208" s="106"/>
      <c r="K208" s="43"/>
      <c r="L208" s="43"/>
      <c r="M208" s="107"/>
      <c r="N208" s="107"/>
      <c r="O208" s="106"/>
      <c r="P208" s="139">
        <f t="shared" si="6"/>
        <v>0</v>
      </c>
      <c r="Q208" s="139">
        <f t="shared" si="7"/>
        <v>5</v>
      </c>
    </row>
    <row r="209" spans="1:17">
      <c r="A209" s="74">
        <v>208</v>
      </c>
      <c r="B209" s="89" t="str">
        <f>IF($T$4=0,IF($I209="","",$I209),IFERROR(IF([1]财务取数接口!$B$208=0,"",[1]财务取数接口!$B$208),""))</f>
        <v/>
      </c>
      <c r="C209" s="75" t="str">
        <f>IF($T$4=0,IF($J209="","",$J209),IFERROR(IF([1]财务取数接口!$C$208=0,"",[1]财务取数接口!$C$208),""))</f>
        <v/>
      </c>
      <c r="D209" s="89" t="str">
        <f>IF($T$4=0,IF($K209="","",$K209),IFERROR(IF([1]财务取数接口!$D$208=0,"",[1]财务取数接口!$D$208),""))</f>
        <v/>
      </c>
      <c r="E209" s="89" t="str">
        <f>IF($T$4=0,IF($L209="","",$L209),IFERROR(IF([1]财务取数接口!$E$208=0,"",[1]财务取数接口!$E$208),""))</f>
        <v/>
      </c>
      <c r="F209" s="76" t="str">
        <f>IF($T$4=0,IF($M209="","",$M209),IFERROR(IF([1]财务取数接口!$G$208=0,"",[1]财务取数接口!$G$208),""))</f>
        <v/>
      </c>
      <c r="G209" s="76" t="str">
        <f>IF($T$4=0,IF($N209="","",$N209),IFERROR(IF([1]财务取数接口!$H$208=0,"",[1]财务取数接口!$H$208),""))</f>
        <v/>
      </c>
      <c r="H209" s="75" t="str">
        <f>IF($T$4=0,IF($O209="","",$O209),IFERROR(IF([1]财务取数接口!$I$208=0,"",[1]财务取数接口!$I$208),""))</f>
        <v/>
      </c>
      <c r="I209" s="43"/>
      <c r="J209" s="106"/>
      <c r="K209" s="43"/>
      <c r="L209" s="43"/>
      <c r="M209" s="107"/>
      <c r="N209" s="107"/>
      <c r="O209" s="106"/>
      <c r="P209" s="139">
        <f t="shared" si="6"/>
        <v>0</v>
      </c>
      <c r="Q209" s="139">
        <f t="shared" si="7"/>
        <v>5</v>
      </c>
    </row>
    <row r="210" spans="1:17">
      <c r="A210" s="74">
        <v>209</v>
      </c>
      <c r="B210" s="89" t="str">
        <f>IF($T$4=0,IF($I210="","",$I210),IFERROR(IF([1]财务取数接口!$B$209=0,"",[1]财务取数接口!$B$209),""))</f>
        <v/>
      </c>
      <c r="C210" s="75" t="str">
        <f>IF($T$4=0,IF($J210="","",$J210),IFERROR(IF([1]财务取数接口!$C$209=0,"",[1]财务取数接口!$C$209),""))</f>
        <v/>
      </c>
      <c r="D210" s="89" t="str">
        <f>IF($T$4=0,IF($K210="","",$K210),IFERROR(IF([1]财务取数接口!$D$209=0,"",[1]财务取数接口!$D$209),""))</f>
        <v/>
      </c>
      <c r="E210" s="89" t="str">
        <f>IF($T$4=0,IF($L210="","",$L210),IFERROR(IF([1]财务取数接口!$E$209=0,"",[1]财务取数接口!$E$209),""))</f>
        <v/>
      </c>
      <c r="F210" s="76" t="str">
        <f>IF($T$4=0,IF($M210="","",$M210),IFERROR(IF([1]财务取数接口!$G$209=0,"",[1]财务取数接口!$G$209),""))</f>
        <v/>
      </c>
      <c r="G210" s="76" t="str">
        <f>IF($T$4=0,IF($N210="","",$N210),IFERROR(IF([1]财务取数接口!$H$209=0,"",[1]财务取数接口!$H$209),""))</f>
        <v/>
      </c>
      <c r="H210" s="75" t="str">
        <f>IF($T$4=0,IF($O210="","",$O210),IFERROR(IF([1]财务取数接口!$I$209=0,"",[1]财务取数接口!$I$209),""))</f>
        <v/>
      </c>
      <c r="I210" s="43"/>
      <c r="J210" s="106"/>
      <c r="K210" s="43"/>
      <c r="L210" s="43"/>
      <c r="M210" s="107"/>
      <c r="N210" s="107"/>
      <c r="O210" s="106"/>
      <c r="P210" s="139">
        <f t="shared" si="6"/>
        <v>0</v>
      </c>
      <c r="Q210" s="139">
        <f t="shared" si="7"/>
        <v>5</v>
      </c>
    </row>
    <row r="211" spans="1:17">
      <c r="A211" s="74">
        <v>210</v>
      </c>
      <c r="B211" s="89" t="str">
        <f>IF($T$4=0,IF($I211="","",$I211),IFERROR(IF([1]财务取数接口!$B$210=0,"",[1]财务取数接口!$B$210),""))</f>
        <v/>
      </c>
      <c r="C211" s="75" t="str">
        <f>IF($T$4=0,IF($J211="","",$J211),IFERROR(IF([1]财务取数接口!$C$210=0,"",[1]财务取数接口!$C$210),""))</f>
        <v/>
      </c>
      <c r="D211" s="89" t="str">
        <f>IF($T$4=0,IF($K211="","",$K211),IFERROR(IF([1]财务取数接口!$D$210=0,"",[1]财务取数接口!$D$210),""))</f>
        <v/>
      </c>
      <c r="E211" s="89" t="str">
        <f>IF($T$4=0,IF($L211="","",$L211),IFERROR(IF([1]财务取数接口!$E$210=0,"",[1]财务取数接口!$E$210),""))</f>
        <v/>
      </c>
      <c r="F211" s="76" t="str">
        <f>IF($T$4=0,IF($M211="","",$M211),IFERROR(IF([1]财务取数接口!$G$210=0,"",[1]财务取数接口!$G$210),""))</f>
        <v/>
      </c>
      <c r="G211" s="76" t="str">
        <f>IF($T$4=0,IF($N211="","",$N211),IFERROR(IF([1]财务取数接口!$H$210=0,"",[1]财务取数接口!$H$210),""))</f>
        <v/>
      </c>
      <c r="H211" s="75" t="str">
        <f>IF($T$4=0,IF($O211="","",$O211),IFERROR(IF([1]财务取数接口!$I$210=0,"",[1]财务取数接口!$I$210),""))</f>
        <v/>
      </c>
      <c r="I211" s="43"/>
      <c r="J211" s="106"/>
      <c r="K211" s="43"/>
      <c r="L211" s="43"/>
      <c r="M211" s="107"/>
      <c r="N211" s="107"/>
      <c r="O211" s="106"/>
      <c r="P211" s="139">
        <f t="shared" si="6"/>
        <v>0</v>
      </c>
      <c r="Q211" s="139">
        <f t="shared" si="7"/>
        <v>5</v>
      </c>
    </row>
    <row r="212" spans="1:17">
      <c r="A212" s="74">
        <v>211</v>
      </c>
      <c r="B212" s="89" t="str">
        <f>IF($T$4=0,IF($I212="","",$I212),IFERROR(IF([1]财务取数接口!$B$211=0,"",[1]财务取数接口!$B$211),""))</f>
        <v/>
      </c>
      <c r="C212" s="75" t="str">
        <f>IF($T$4=0,IF($J212="","",$J212),IFERROR(IF([1]财务取数接口!$C$211=0,"",[1]财务取数接口!$C$211),""))</f>
        <v/>
      </c>
      <c r="D212" s="89" t="str">
        <f>IF($T$4=0,IF($K212="","",$K212),IFERROR(IF([1]财务取数接口!$D$211=0,"",[1]财务取数接口!$D$211),""))</f>
        <v/>
      </c>
      <c r="E212" s="89" t="str">
        <f>IF($T$4=0,IF($L212="","",$L212),IFERROR(IF([1]财务取数接口!$E$211=0,"",[1]财务取数接口!$E$211),""))</f>
        <v/>
      </c>
      <c r="F212" s="76" t="str">
        <f>IF($T$4=0,IF($M212="","",$M212),IFERROR(IF([1]财务取数接口!$G$211=0,"",[1]财务取数接口!$G$211),""))</f>
        <v/>
      </c>
      <c r="G212" s="76" t="str">
        <f>IF($T$4=0,IF($N212="","",$N212),IFERROR(IF([1]财务取数接口!$H$211=0,"",[1]财务取数接口!$H$211),""))</f>
        <v/>
      </c>
      <c r="H212" s="75" t="str">
        <f>IF($T$4=0,IF($O212="","",$O212),IFERROR(IF([1]财务取数接口!$I$211=0,"",[1]财务取数接口!$I$211),""))</f>
        <v/>
      </c>
      <c r="I212" s="43"/>
      <c r="J212" s="106"/>
      <c r="K212" s="43"/>
      <c r="L212" s="43"/>
      <c r="M212" s="107"/>
      <c r="N212" s="107"/>
      <c r="O212" s="106"/>
      <c r="P212" s="139">
        <f t="shared" si="6"/>
        <v>0</v>
      </c>
      <c r="Q212" s="139">
        <f t="shared" si="7"/>
        <v>5</v>
      </c>
    </row>
    <row r="213" spans="1:17">
      <c r="A213" s="74">
        <v>212</v>
      </c>
      <c r="B213" s="89" t="str">
        <f>IF($T$4=0,IF($I213="","",$I213),IFERROR(IF([1]财务取数接口!$B$212=0,"",[1]财务取数接口!$B$212),""))</f>
        <v/>
      </c>
      <c r="C213" s="75" t="str">
        <f>IF($T$4=0,IF($J213="","",$J213),IFERROR(IF([1]财务取数接口!$C$212=0,"",[1]财务取数接口!$C$212),""))</f>
        <v/>
      </c>
      <c r="D213" s="89" t="str">
        <f>IF($T$4=0,IF($K213="","",$K213),IFERROR(IF([1]财务取数接口!$D$212=0,"",[1]财务取数接口!$D$212),""))</f>
        <v/>
      </c>
      <c r="E213" s="89" t="str">
        <f>IF($T$4=0,IF($L213="","",$L213),IFERROR(IF([1]财务取数接口!$E$212=0,"",[1]财务取数接口!$E$212),""))</f>
        <v/>
      </c>
      <c r="F213" s="76" t="str">
        <f>IF($T$4=0,IF($M213="","",$M213),IFERROR(IF([1]财务取数接口!$G$212=0,"",[1]财务取数接口!$G$212),""))</f>
        <v/>
      </c>
      <c r="G213" s="76" t="str">
        <f>IF($T$4=0,IF($N213="","",$N213),IFERROR(IF([1]财务取数接口!$H$212=0,"",[1]财务取数接口!$H$212),""))</f>
        <v/>
      </c>
      <c r="H213" s="75" t="str">
        <f>IF($T$4=0,IF($O213="","",$O213),IFERROR(IF([1]财务取数接口!$I$212=0,"",[1]财务取数接口!$I$212),""))</f>
        <v/>
      </c>
      <c r="I213" s="43"/>
      <c r="J213" s="106"/>
      <c r="K213" s="43"/>
      <c r="L213" s="43"/>
      <c r="M213" s="107"/>
      <c r="N213" s="107"/>
      <c r="O213" s="106"/>
      <c r="P213" s="139">
        <f t="shared" si="6"/>
        <v>0</v>
      </c>
      <c r="Q213" s="139">
        <f t="shared" si="7"/>
        <v>5</v>
      </c>
    </row>
    <row r="214" spans="1:17">
      <c r="A214" s="74">
        <v>213</v>
      </c>
      <c r="B214" s="89" t="str">
        <f>IF($T$4=0,IF($I214="","",$I214),IFERROR(IF([1]财务取数接口!$B$213=0,"",[1]财务取数接口!$B$213),""))</f>
        <v/>
      </c>
      <c r="C214" s="75" t="str">
        <f>IF($T$4=0,IF($J214="","",$J214),IFERROR(IF([1]财务取数接口!$C$213=0,"",[1]财务取数接口!$C$213),""))</f>
        <v/>
      </c>
      <c r="D214" s="89" t="str">
        <f>IF($T$4=0,IF($K214="","",$K214),IFERROR(IF([1]财务取数接口!$D$213=0,"",[1]财务取数接口!$D$213),""))</f>
        <v/>
      </c>
      <c r="E214" s="89" t="str">
        <f>IF($T$4=0,IF($L214="","",$L214),IFERROR(IF([1]财务取数接口!$E$213=0,"",[1]财务取数接口!$E$213),""))</f>
        <v/>
      </c>
      <c r="F214" s="76" t="str">
        <f>IF($T$4=0,IF($M214="","",$M214),IFERROR(IF([1]财务取数接口!$G$213=0,"",[1]财务取数接口!$G$213),""))</f>
        <v/>
      </c>
      <c r="G214" s="76" t="str">
        <f>IF($T$4=0,IF($N214="","",$N214),IFERROR(IF([1]财务取数接口!$H$213=0,"",[1]财务取数接口!$H$213),""))</f>
        <v/>
      </c>
      <c r="H214" s="75" t="str">
        <f>IF($T$4=0,IF($O214="","",$O214),IFERROR(IF([1]财务取数接口!$I$213=0,"",[1]财务取数接口!$I$213),""))</f>
        <v/>
      </c>
      <c r="I214" s="43"/>
      <c r="J214" s="106"/>
      <c r="K214" s="43"/>
      <c r="L214" s="43"/>
      <c r="M214" s="107"/>
      <c r="N214" s="107"/>
      <c r="O214" s="106"/>
      <c r="P214" s="139">
        <f t="shared" si="6"/>
        <v>0</v>
      </c>
      <c r="Q214" s="139">
        <f t="shared" si="7"/>
        <v>5</v>
      </c>
    </row>
    <row r="215" spans="1:17">
      <c r="A215" s="74">
        <v>214</v>
      </c>
      <c r="B215" s="89" t="str">
        <f>IF($T$4=0,IF($I215="","",$I215),IFERROR(IF([1]财务取数接口!$B$214=0,"",[1]财务取数接口!$B$214),""))</f>
        <v/>
      </c>
      <c r="C215" s="75" t="str">
        <f>IF($T$4=0,IF($J215="","",$J215),IFERROR(IF([1]财务取数接口!$C$214=0,"",[1]财务取数接口!$C$214),""))</f>
        <v/>
      </c>
      <c r="D215" s="89" t="str">
        <f>IF($T$4=0,IF($K215="","",$K215),IFERROR(IF([1]财务取数接口!$D$214=0,"",[1]财务取数接口!$D$214),""))</f>
        <v/>
      </c>
      <c r="E215" s="89" t="str">
        <f>IF($T$4=0,IF($L215="","",$L215),IFERROR(IF([1]财务取数接口!$E$214=0,"",[1]财务取数接口!$E$214),""))</f>
        <v/>
      </c>
      <c r="F215" s="76" t="str">
        <f>IF($T$4=0,IF($M215="","",$M215),IFERROR(IF([1]财务取数接口!$G$214=0,"",[1]财务取数接口!$G$214),""))</f>
        <v/>
      </c>
      <c r="G215" s="76" t="str">
        <f>IF($T$4=0,IF($N215="","",$N215),IFERROR(IF([1]财务取数接口!$H$214=0,"",[1]财务取数接口!$H$214),""))</f>
        <v/>
      </c>
      <c r="H215" s="75" t="str">
        <f>IF($T$4=0,IF($O215="","",$O215),IFERROR(IF([1]财务取数接口!$I$214=0,"",[1]财务取数接口!$I$214),""))</f>
        <v/>
      </c>
      <c r="I215" s="43"/>
      <c r="J215" s="106"/>
      <c r="K215" s="43"/>
      <c r="L215" s="43"/>
      <c r="M215" s="107"/>
      <c r="N215" s="107"/>
      <c r="O215" s="106"/>
      <c r="P215" s="139">
        <f t="shared" si="6"/>
        <v>0</v>
      </c>
      <c r="Q215" s="139">
        <f t="shared" si="7"/>
        <v>5</v>
      </c>
    </row>
    <row r="216" spans="1:17">
      <c r="A216" s="74">
        <v>215</v>
      </c>
      <c r="B216" s="89" t="str">
        <f>IF($T$4=0,IF($I216="","",$I216),IFERROR(IF([1]财务取数接口!$B$215=0,"",[1]财务取数接口!$B$215),""))</f>
        <v/>
      </c>
      <c r="C216" s="75" t="str">
        <f>IF($T$4=0,IF($J216="","",$J216),IFERROR(IF([1]财务取数接口!$C$215=0,"",[1]财务取数接口!$C$215),""))</f>
        <v/>
      </c>
      <c r="D216" s="89" t="str">
        <f>IF($T$4=0,IF($K216="","",$K216),IFERROR(IF([1]财务取数接口!$D$215=0,"",[1]财务取数接口!$D$215),""))</f>
        <v/>
      </c>
      <c r="E216" s="89" t="str">
        <f>IF($T$4=0,IF($L216="","",$L216),IFERROR(IF([1]财务取数接口!$E$215=0,"",[1]财务取数接口!$E$215),""))</f>
        <v/>
      </c>
      <c r="F216" s="76" t="str">
        <f>IF($T$4=0,IF($M216="","",$M216),IFERROR(IF([1]财务取数接口!$G$215=0,"",[1]财务取数接口!$G$215),""))</f>
        <v/>
      </c>
      <c r="G216" s="76" t="str">
        <f>IF($T$4=0,IF($N216="","",$N216),IFERROR(IF([1]财务取数接口!$H$215=0,"",[1]财务取数接口!$H$215),""))</f>
        <v/>
      </c>
      <c r="H216" s="75" t="str">
        <f>IF($T$4=0,IF($O216="","",$O216),IFERROR(IF([1]财务取数接口!$I$215=0,"",[1]财务取数接口!$I$215),""))</f>
        <v/>
      </c>
      <c r="I216" s="43"/>
      <c r="J216" s="106"/>
      <c r="K216" s="43"/>
      <c r="L216" s="43"/>
      <c r="M216" s="107"/>
      <c r="N216" s="107"/>
      <c r="O216" s="106"/>
      <c r="P216" s="139">
        <f t="shared" si="6"/>
        <v>0</v>
      </c>
      <c r="Q216" s="139">
        <f t="shared" si="7"/>
        <v>5</v>
      </c>
    </row>
    <row r="217" spans="1:17">
      <c r="A217" s="74">
        <v>216</v>
      </c>
      <c r="B217" s="89" t="str">
        <f>IF($T$4=0,IF($I217="","",$I217),IFERROR(IF([1]财务取数接口!$B$216=0,"",[1]财务取数接口!$B$216),""))</f>
        <v/>
      </c>
      <c r="C217" s="75" t="str">
        <f>IF($T$4=0,IF($J217="","",$J217),IFERROR(IF([1]财务取数接口!$C$216=0,"",[1]财务取数接口!$C$216),""))</f>
        <v/>
      </c>
      <c r="D217" s="89" t="str">
        <f>IF($T$4=0,IF($K217="","",$K217),IFERROR(IF([1]财务取数接口!$D$216=0,"",[1]财务取数接口!$D$216),""))</f>
        <v/>
      </c>
      <c r="E217" s="89" t="str">
        <f>IF($T$4=0,IF($L217="","",$L217),IFERROR(IF([1]财务取数接口!$E$216=0,"",[1]财务取数接口!$E$216),""))</f>
        <v/>
      </c>
      <c r="F217" s="76" t="str">
        <f>IF($T$4=0,IF($M217="","",$M217),IFERROR(IF([1]财务取数接口!$G$216=0,"",[1]财务取数接口!$G$216),""))</f>
        <v/>
      </c>
      <c r="G217" s="76" t="str">
        <f>IF($T$4=0,IF($N217="","",$N217),IFERROR(IF([1]财务取数接口!$H$216=0,"",[1]财务取数接口!$H$216),""))</f>
        <v/>
      </c>
      <c r="H217" s="75" t="str">
        <f>IF($T$4=0,IF($O217="","",$O217),IFERROR(IF([1]财务取数接口!$I$216=0,"",[1]财务取数接口!$I$216),""))</f>
        <v/>
      </c>
      <c r="I217" s="43"/>
      <c r="J217" s="106"/>
      <c r="K217" s="43"/>
      <c r="L217" s="43"/>
      <c r="M217" s="107"/>
      <c r="N217" s="107"/>
      <c r="O217" s="106"/>
      <c r="P217" s="139">
        <f t="shared" si="6"/>
        <v>0</v>
      </c>
      <c r="Q217" s="139">
        <f t="shared" si="7"/>
        <v>5</v>
      </c>
    </row>
    <row r="218" spans="1:17">
      <c r="A218" s="74">
        <v>217</v>
      </c>
      <c r="B218" s="89" t="str">
        <f>IF($T$4=0,IF($I218="","",$I218),IFERROR(IF([1]财务取数接口!$B$217=0,"",[1]财务取数接口!$B$217),""))</f>
        <v/>
      </c>
      <c r="C218" s="75" t="str">
        <f>IF($T$4=0,IF($J218="","",$J218),IFERROR(IF([1]财务取数接口!$C$217=0,"",[1]财务取数接口!$C$217),""))</f>
        <v/>
      </c>
      <c r="D218" s="89" t="str">
        <f>IF($T$4=0,IF($K218="","",$K218),IFERROR(IF([1]财务取数接口!$D$217=0,"",[1]财务取数接口!$D$217),""))</f>
        <v/>
      </c>
      <c r="E218" s="89" t="str">
        <f>IF($T$4=0,IF($L218="","",$L218),IFERROR(IF([1]财务取数接口!$E$217=0,"",[1]财务取数接口!$E$217),""))</f>
        <v/>
      </c>
      <c r="F218" s="76" t="str">
        <f>IF($T$4=0,IF($M218="","",$M218),IFERROR(IF([1]财务取数接口!$G$217=0,"",[1]财务取数接口!$G$217),""))</f>
        <v/>
      </c>
      <c r="G218" s="76" t="str">
        <f>IF($T$4=0,IF($N218="","",$N218),IFERROR(IF([1]财务取数接口!$H$217=0,"",[1]财务取数接口!$H$217),""))</f>
        <v/>
      </c>
      <c r="H218" s="75" t="str">
        <f>IF($T$4=0,IF($O218="","",$O218),IFERROR(IF([1]财务取数接口!$I$217=0,"",[1]财务取数接口!$I$217),""))</f>
        <v/>
      </c>
      <c r="I218" s="43"/>
      <c r="J218" s="106"/>
      <c r="K218" s="43"/>
      <c r="L218" s="43"/>
      <c r="M218" s="107"/>
      <c r="N218" s="107"/>
      <c r="O218" s="106"/>
      <c r="P218" s="139">
        <f t="shared" si="6"/>
        <v>0</v>
      </c>
      <c r="Q218" s="139">
        <f t="shared" si="7"/>
        <v>5</v>
      </c>
    </row>
    <row r="219" spans="1:17">
      <c r="A219" s="74">
        <v>218</v>
      </c>
      <c r="B219" s="89" t="str">
        <f>IF($T$4=0,IF($I219="","",$I219),IFERROR(IF([1]财务取数接口!$B$218=0,"",[1]财务取数接口!$B$218),""))</f>
        <v/>
      </c>
      <c r="C219" s="75" t="str">
        <f>IF($T$4=0,IF($J219="","",$J219),IFERROR(IF([1]财务取数接口!$C$218=0,"",[1]财务取数接口!$C$218),""))</f>
        <v/>
      </c>
      <c r="D219" s="89" t="str">
        <f>IF($T$4=0,IF($K219="","",$K219),IFERROR(IF([1]财务取数接口!$D$218=0,"",[1]财务取数接口!$D$218),""))</f>
        <v/>
      </c>
      <c r="E219" s="89" t="str">
        <f>IF($T$4=0,IF($L219="","",$L219),IFERROR(IF([1]财务取数接口!$E$218=0,"",[1]财务取数接口!$E$218),""))</f>
        <v/>
      </c>
      <c r="F219" s="76" t="str">
        <f>IF($T$4=0,IF($M219="","",$M219),IFERROR(IF([1]财务取数接口!$G$218=0,"",[1]财务取数接口!$G$218),""))</f>
        <v/>
      </c>
      <c r="G219" s="76" t="str">
        <f>IF($T$4=0,IF($N219="","",$N219),IFERROR(IF([1]财务取数接口!$H$218=0,"",[1]财务取数接口!$H$218),""))</f>
        <v/>
      </c>
      <c r="H219" s="75" t="str">
        <f>IF($T$4=0,IF($O219="","",$O219),IFERROR(IF([1]财务取数接口!$I$218=0,"",[1]财务取数接口!$I$218),""))</f>
        <v/>
      </c>
      <c r="I219" s="43"/>
      <c r="J219" s="106"/>
      <c r="K219" s="43"/>
      <c r="L219" s="43"/>
      <c r="M219" s="107"/>
      <c r="N219" s="107"/>
      <c r="O219" s="106"/>
      <c r="P219" s="139">
        <f t="shared" si="6"/>
        <v>0</v>
      </c>
      <c r="Q219" s="139">
        <f t="shared" si="7"/>
        <v>5</v>
      </c>
    </row>
    <row r="220" spans="1:17">
      <c r="A220" s="74">
        <v>219</v>
      </c>
      <c r="B220" s="89" t="str">
        <f>IF($T$4=0,IF($I220="","",$I220),IFERROR(IF([1]财务取数接口!$B$219=0,"",[1]财务取数接口!$B$219),""))</f>
        <v/>
      </c>
      <c r="C220" s="75" t="str">
        <f>IF($T$4=0,IF($J220="","",$J220),IFERROR(IF([1]财务取数接口!$C$219=0,"",[1]财务取数接口!$C$219),""))</f>
        <v/>
      </c>
      <c r="D220" s="89" t="str">
        <f>IF($T$4=0,IF($K220="","",$K220),IFERROR(IF([1]财务取数接口!$D$219=0,"",[1]财务取数接口!$D$219),""))</f>
        <v/>
      </c>
      <c r="E220" s="89" t="str">
        <f>IF($T$4=0,IF($L220="","",$L220),IFERROR(IF([1]财务取数接口!$E$219=0,"",[1]财务取数接口!$E$219),""))</f>
        <v/>
      </c>
      <c r="F220" s="76" t="str">
        <f>IF($T$4=0,IF($M220="","",$M220),IFERROR(IF([1]财务取数接口!$G$219=0,"",[1]财务取数接口!$G$219),""))</f>
        <v/>
      </c>
      <c r="G220" s="76" t="str">
        <f>IF($T$4=0,IF($N220="","",$N220),IFERROR(IF([1]财务取数接口!$H$219=0,"",[1]财务取数接口!$H$219),""))</f>
        <v/>
      </c>
      <c r="H220" s="75" t="str">
        <f>IF($T$4=0,IF($O220="","",$O220),IFERROR(IF([1]财务取数接口!$I$219=0,"",[1]财务取数接口!$I$219),""))</f>
        <v/>
      </c>
      <c r="I220" s="43"/>
      <c r="J220" s="106"/>
      <c r="K220" s="43"/>
      <c r="L220" s="43"/>
      <c r="M220" s="107"/>
      <c r="N220" s="107"/>
      <c r="O220" s="106"/>
      <c r="P220" s="139">
        <f t="shared" si="6"/>
        <v>0</v>
      </c>
      <c r="Q220" s="139">
        <f t="shared" si="7"/>
        <v>5</v>
      </c>
    </row>
    <row r="221" spans="1:17">
      <c r="A221" s="74">
        <v>220</v>
      </c>
      <c r="B221" s="89" t="str">
        <f>IF($T$4=0,IF($I221="","",$I221),IFERROR(IF([1]财务取数接口!$B$220=0,"",[1]财务取数接口!$B$220),""))</f>
        <v/>
      </c>
      <c r="C221" s="75" t="str">
        <f>IF($T$4=0,IF($J221="","",$J221),IFERROR(IF([1]财务取数接口!$C$220=0,"",[1]财务取数接口!$C$220),""))</f>
        <v/>
      </c>
      <c r="D221" s="89" t="str">
        <f>IF($T$4=0,IF($K221="","",$K221),IFERROR(IF([1]财务取数接口!$D$220=0,"",[1]财务取数接口!$D$220),""))</f>
        <v/>
      </c>
      <c r="E221" s="89" t="str">
        <f>IF($T$4=0,IF($L221="","",$L221),IFERROR(IF([1]财务取数接口!$E$220=0,"",[1]财务取数接口!$E$220),""))</f>
        <v/>
      </c>
      <c r="F221" s="76" t="str">
        <f>IF($T$4=0,IF($M221="","",$M221),IFERROR(IF([1]财务取数接口!$G$220=0,"",[1]财务取数接口!$G$220),""))</f>
        <v/>
      </c>
      <c r="G221" s="76" t="str">
        <f>IF($T$4=0,IF($N221="","",$N221),IFERROR(IF([1]财务取数接口!$H$220=0,"",[1]财务取数接口!$H$220),""))</f>
        <v/>
      </c>
      <c r="H221" s="75" t="str">
        <f>IF($T$4=0,IF($O221="","",$O221),IFERROR(IF([1]财务取数接口!$I$220=0,"",[1]财务取数接口!$I$220),""))</f>
        <v/>
      </c>
      <c r="I221" s="43"/>
      <c r="J221" s="106"/>
      <c r="K221" s="43"/>
      <c r="L221" s="43"/>
      <c r="M221" s="107"/>
      <c r="N221" s="107"/>
      <c r="O221" s="106"/>
      <c r="P221" s="139">
        <f t="shared" si="6"/>
        <v>0</v>
      </c>
      <c r="Q221" s="139">
        <f t="shared" si="7"/>
        <v>5</v>
      </c>
    </row>
    <row r="222" spans="1:17">
      <c r="A222" s="74">
        <v>221</v>
      </c>
      <c r="B222" s="89" t="str">
        <f>IF($T$4=0,IF($I222="","",$I222),IFERROR(IF([1]财务取数接口!$B$221=0,"",[1]财务取数接口!$B$221),""))</f>
        <v/>
      </c>
      <c r="C222" s="75" t="str">
        <f>IF($T$4=0,IF($J222="","",$J222),IFERROR(IF([1]财务取数接口!$C$221=0,"",[1]财务取数接口!$C$221),""))</f>
        <v/>
      </c>
      <c r="D222" s="89" t="str">
        <f>IF($T$4=0,IF($K222="","",$K222),IFERROR(IF([1]财务取数接口!$D$221=0,"",[1]财务取数接口!$D$221),""))</f>
        <v/>
      </c>
      <c r="E222" s="89" t="str">
        <f>IF($T$4=0,IF($L222="","",$L222),IFERROR(IF([1]财务取数接口!$E$221=0,"",[1]财务取数接口!$E$221),""))</f>
        <v/>
      </c>
      <c r="F222" s="76" t="str">
        <f>IF($T$4=0,IF($M222="","",$M222),IFERROR(IF([1]财务取数接口!$G$221=0,"",[1]财务取数接口!$G$221),""))</f>
        <v/>
      </c>
      <c r="G222" s="76" t="str">
        <f>IF($T$4=0,IF($N222="","",$N222),IFERROR(IF([1]财务取数接口!$H$221=0,"",[1]财务取数接口!$H$221),""))</f>
        <v/>
      </c>
      <c r="H222" s="75" t="str">
        <f>IF($T$4=0,IF($O222="","",$O222),IFERROR(IF([1]财务取数接口!$I$221=0,"",[1]财务取数接口!$I$221),""))</f>
        <v/>
      </c>
      <c r="I222" s="43"/>
      <c r="J222" s="106"/>
      <c r="K222" s="43"/>
      <c r="L222" s="43"/>
      <c r="M222" s="107"/>
      <c r="N222" s="107"/>
      <c r="O222" s="106"/>
      <c r="P222" s="139">
        <f t="shared" si="6"/>
        <v>0</v>
      </c>
      <c r="Q222" s="139">
        <f t="shared" si="7"/>
        <v>5</v>
      </c>
    </row>
    <row r="223" spans="1:17">
      <c r="A223" s="74">
        <v>222</v>
      </c>
      <c r="B223" s="89" t="str">
        <f>IF($T$4=0,IF($I223="","",$I223),IFERROR(IF([1]财务取数接口!$B$222=0,"",[1]财务取数接口!$B$222),""))</f>
        <v/>
      </c>
      <c r="C223" s="75" t="str">
        <f>IF($T$4=0,IF($J223="","",$J223),IFERROR(IF([1]财务取数接口!$C$222=0,"",[1]财务取数接口!$C$222),""))</f>
        <v/>
      </c>
      <c r="D223" s="89" t="str">
        <f>IF($T$4=0,IF($K223="","",$K223),IFERROR(IF([1]财务取数接口!$D$222=0,"",[1]财务取数接口!$D$222),""))</f>
        <v/>
      </c>
      <c r="E223" s="89" t="str">
        <f>IF($T$4=0,IF($L223="","",$L223),IFERROR(IF([1]财务取数接口!$E$222=0,"",[1]财务取数接口!$E$222),""))</f>
        <v/>
      </c>
      <c r="F223" s="76" t="str">
        <f>IF($T$4=0,IF($M223="","",$M223),IFERROR(IF([1]财务取数接口!$G$222=0,"",[1]财务取数接口!$G$222),""))</f>
        <v/>
      </c>
      <c r="G223" s="76" t="str">
        <f>IF($T$4=0,IF($N223="","",$N223),IFERROR(IF([1]财务取数接口!$H$222=0,"",[1]财务取数接口!$H$222),""))</f>
        <v/>
      </c>
      <c r="H223" s="75" t="str">
        <f>IF($T$4=0,IF($O223="","",$O223),IFERROR(IF([1]财务取数接口!$I$222=0,"",[1]财务取数接口!$I$222),""))</f>
        <v/>
      </c>
      <c r="I223" s="43"/>
      <c r="J223" s="106"/>
      <c r="K223" s="43"/>
      <c r="L223" s="43"/>
      <c r="M223" s="107"/>
      <c r="N223" s="107"/>
      <c r="O223" s="106"/>
      <c r="P223" s="139">
        <f t="shared" si="6"/>
        <v>0</v>
      </c>
      <c r="Q223" s="139">
        <f t="shared" si="7"/>
        <v>5</v>
      </c>
    </row>
    <row r="224" spans="1:17">
      <c r="A224" s="74">
        <v>223</v>
      </c>
      <c r="B224" s="89" t="str">
        <f>IF($T$4=0,IF($I224="","",$I224),IFERROR(IF([1]财务取数接口!$B$223=0,"",[1]财务取数接口!$B$223),""))</f>
        <v/>
      </c>
      <c r="C224" s="75" t="str">
        <f>IF($T$4=0,IF($J224="","",$J224),IFERROR(IF([1]财务取数接口!$C$223=0,"",[1]财务取数接口!$C$223),""))</f>
        <v/>
      </c>
      <c r="D224" s="89" t="str">
        <f>IF($T$4=0,IF($K224="","",$K224),IFERROR(IF([1]财务取数接口!$D$223=0,"",[1]财务取数接口!$D$223),""))</f>
        <v/>
      </c>
      <c r="E224" s="89" t="str">
        <f>IF($T$4=0,IF($L224="","",$L224),IFERROR(IF([1]财务取数接口!$E$223=0,"",[1]财务取数接口!$E$223),""))</f>
        <v/>
      </c>
      <c r="F224" s="76" t="str">
        <f>IF($T$4=0,IF($M224="","",$M224),IFERROR(IF([1]财务取数接口!$G$223=0,"",[1]财务取数接口!$G$223),""))</f>
        <v/>
      </c>
      <c r="G224" s="76" t="str">
        <f>IF($T$4=0,IF($N224="","",$N224),IFERROR(IF([1]财务取数接口!$H$223=0,"",[1]财务取数接口!$H$223),""))</f>
        <v/>
      </c>
      <c r="H224" s="75" t="str">
        <f>IF($T$4=0,IF($O224="","",$O224),IFERROR(IF([1]财务取数接口!$I$223=0,"",[1]财务取数接口!$I$223),""))</f>
        <v/>
      </c>
      <c r="I224" s="43"/>
      <c r="J224" s="106"/>
      <c r="K224" s="43"/>
      <c r="L224" s="43"/>
      <c r="M224" s="107"/>
      <c r="N224" s="107"/>
      <c r="O224" s="106"/>
      <c r="P224" s="139">
        <f t="shared" si="6"/>
        <v>0</v>
      </c>
      <c r="Q224" s="139">
        <f t="shared" si="7"/>
        <v>5</v>
      </c>
    </row>
    <row r="225" spans="1:17">
      <c r="A225" s="74">
        <v>224</v>
      </c>
      <c r="B225" s="89" t="str">
        <f>IF($T$4=0,IF($I225="","",$I225),IFERROR(IF([1]财务取数接口!$B$224=0,"",[1]财务取数接口!$B$224),""))</f>
        <v/>
      </c>
      <c r="C225" s="75" t="str">
        <f>IF($T$4=0,IF($J225="","",$J225),IFERROR(IF([1]财务取数接口!$C$224=0,"",[1]财务取数接口!$C$224),""))</f>
        <v/>
      </c>
      <c r="D225" s="89" t="str">
        <f>IF($T$4=0,IF($K225="","",$K225),IFERROR(IF([1]财务取数接口!$D$224=0,"",[1]财务取数接口!$D$224),""))</f>
        <v/>
      </c>
      <c r="E225" s="89" t="str">
        <f>IF($T$4=0,IF($L225="","",$L225),IFERROR(IF([1]财务取数接口!$E$224=0,"",[1]财务取数接口!$E$224),""))</f>
        <v/>
      </c>
      <c r="F225" s="76" t="str">
        <f>IF($T$4=0,IF($M225="","",$M225),IFERROR(IF([1]财务取数接口!$G$224=0,"",[1]财务取数接口!$G$224),""))</f>
        <v/>
      </c>
      <c r="G225" s="76" t="str">
        <f>IF($T$4=0,IF($N225="","",$N225),IFERROR(IF([1]财务取数接口!$H$224=0,"",[1]财务取数接口!$H$224),""))</f>
        <v/>
      </c>
      <c r="H225" s="75" t="str">
        <f>IF($T$4=0,IF($O225="","",$O225),IFERROR(IF([1]财务取数接口!$I$224=0,"",[1]财务取数接口!$I$224),""))</f>
        <v/>
      </c>
      <c r="I225" s="43"/>
      <c r="J225" s="106"/>
      <c r="K225" s="43"/>
      <c r="L225" s="43"/>
      <c r="M225" s="107"/>
      <c r="N225" s="107"/>
      <c r="O225" s="106"/>
      <c r="P225" s="139">
        <f t="shared" si="6"/>
        <v>0</v>
      </c>
      <c r="Q225" s="139">
        <f t="shared" si="7"/>
        <v>5</v>
      </c>
    </row>
    <row r="226" spans="1:17">
      <c r="A226" s="74">
        <v>225</v>
      </c>
      <c r="B226" s="89" t="str">
        <f>IF($T$4=0,IF($I226="","",$I226),IFERROR(IF([1]财务取数接口!$B$225=0,"",[1]财务取数接口!$B$225),""))</f>
        <v/>
      </c>
      <c r="C226" s="75" t="str">
        <f>IF($T$4=0,IF($J226="","",$J226),IFERROR(IF([1]财务取数接口!$C$225=0,"",[1]财务取数接口!$C$225),""))</f>
        <v/>
      </c>
      <c r="D226" s="89" t="str">
        <f>IF($T$4=0,IF($K226="","",$K226),IFERROR(IF([1]财务取数接口!$D$225=0,"",[1]财务取数接口!$D$225),""))</f>
        <v/>
      </c>
      <c r="E226" s="89" t="str">
        <f>IF($T$4=0,IF($L226="","",$L226),IFERROR(IF([1]财务取数接口!$E$225=0,"",[1]财务取数接口!$E$225),""))</f>
        <v/>
      </c>
      <c r="F226" s="76" t="str">
        <f>IF($T$4=0,IF($M226="","",$M226),IFERROR(IF([1]财务取数接口!$G$225=0,"",[1]财务取数接口!$G$225),""))</f>
        <v/>
      </c>
      <c r="G226" s="76" t="str">
        <f>IF($T$4=0,IF($N226="","",$N226),IFERROR(IF([1]财务取数接口!$H$225=0,"",[1]财务取数接口!$H$225),""))</f>
        <v/>
      </c>
      <c r="H226" s="75" t="str">
        <f>IF($T$4=0,IF($O226="","",$O226),IFERROR(IF([1]财务取数接口!$I$225=0,"",[1]财务取数接口!$I$225),""))</f>
        <v/>
      </c>
      <c r="I226" s="43"/>
      <c r="J226" s="106"/>
      <c r="K226" s="43"/>
      <c r="L226" s="43"/>
      <c r="M226" s="107"/>
      <c r="N226" s="107"/>
      <c r="O226" s="106"/>
      <c r="P226" s="139">
        <f t="shared" si="6"/>
        <v>0</v>
      </c>
      <c r="Q226" s="139">
        <f t="shared" si="7"/>
        <v>5</v>
      </c>
    </row>
    <row r="227" spans="1:17">
      <c r="A227" s="74">
        <v>226</v>
      </c>
      <c r="B227" s="89" t="str">
        <f>IF($T$4=0,IF($I227="","",$I227),IFERROR(IF([1]财务取数接口!$B$226=0,"",[1]财务取数接口!$B$226),""))</f>
        <v/>
      </c>
      <c r="C227" s="75" t="str">
        <f>IF($T$4=0,IF($J227="","",$J227),IFERROR(IF([1]财务取数接口!$C$226=0,"",[1]财务取数接口!$C$226),""))</f>
        <v/>
      </c>
      <c r="D227" s="89" t="str">
        <f>IF($T$4=0,IF($K227="","",$K227),IFERROR(IF([1]财务取数接口!$D$226=0,"",[1]财务取数接口!$D$226),""))</f>
        <v/>
      </c>
      <c r="E227" s="89" t="str">
        <f>IF($T$4=0,IF($L227="","",$L227),IFERROR(IF([1]财务取数接口!$E$226=0,"",[1]财务取数接口!$E$226),""))</f>
        <v/>
      </c>
      <c r="F227" s="76" t="str">
        <f>IF($T$4=0,IF($M227="","",$M227),IFERROR(IF([1]财务取数接口!$G$226=0,"",[1]财务取数接口!$G$226),""))</f>
        <v/>
      </c>
      <c r="G227" s="76" t="str">
        <f>IF($T$4=0,IF($N227="","",$N227),IFERROR(IF([1]财务取数接口!$H$226=0,"",[1]财务取数接口!$H$226),""))</f>
        <v/>
      </c>
      <c r="H227" s="75" t="str">
        <f>IF($T$4=0,IF($O227="","",$O227),IFERROR(IF([1]财务取数接口!$I$226=0,"",[1]财务取数接口!$I$226),""))</f>
        <v/>
      </c>
      <c r="I227" s="43"/>
      <c r="J227" s="106"/>
      <c r="K227" s="43"/>
      <c r="L227" s="43"/>
      <c r="M227" s="107"/>
      <c r="N227" s="107"/>
      <c r="O227" s="106"/>
      <c r="P227" s="139">
        <f t="shared" si="6"/>
        <v>0</v>
      </c>
      <c r="Q227" s="139">
        <f t="shared" si="7"/>
        <v>5</v>
      </c>
    </row>
    <row r="228" spans="1:17">
      <c r="A228" s="74">
        <v>227</v>
      </c>
      <c r="B228" s="89" t="str">
        <f>IF($T$4=0,IF($I228="","",$I228),IFERROR(IF([1]财务取数接口!$B$227=0,"",[1]财务取数接口!$B$227),""))</f>
        <v/>
      </c>
      <c r="C228" s="75" t="str">
        <f>IF($T$4=0,IF($J228="","",$J228),IFERROR(IF([1]财务取数接口!$C$227=0,"",[1]财务取数接口!$C$227),""))</f>
        <v/>
      </c>
      <c r="D228" s="89" t="str">
        <f>IF($T$4=0,IF($K228="","",$K228),IFERROR(IF([1]财务取数接口!$D$227=0,"",[1]财务取数接口!$D$227),""))</f>
        <v/>
      </c>
      <c r="E228" s="89" t="str">
        <f>IF($T$4=0,IF($L228="","",$L228),IFERROR(IF([1]财务取数接口!$E$227=0,"",[1]财务取数接口!$E$227),""))</f>
        <v/>
      </c>
      <c r="F228" s="76" t="str">
        <f>IF($T$4=0,IF($M228="","",$M228),IFERROR(IF([1]财务取数接口!$G$227=0,"",[1]财务取数接口!$G$227),""))</f>
        <v/>
      </c>
      <c r="G228" s="76" t="str">
        <f>IF($T$4=0,IF($N228="","",$N228),IFERROR(IF([1]财务取数接口!$H$227=0,"",[1]财务取数接口!$H$227),""))</f>
        <v/>
      </c>
      <c r="H228" s="75" t="str">
        <f>IF($T$4=0,IF($O228="","",$O228),IFERROR(IF([1]财务取数接口!$I$227=0,"",[1]财务取数接口!$I$227),""))</f>
        <v/>
      </c>
      <c r="I228" s="43"/>
      <c r="J228" s="106"/>
      <c r="K228" s="43"/>
      <c r="L228" s="43"/>
      <c r="M228" s="107"/>
      <c r="N228" s="107"/>
      <c r="O228" s="106"/>
      <c r="P228" s="139">
        <f t="shared" si="6"/>
        <v>0</v>
      </c>
      <c r="Q228" s="139">
        <f t="shared" si="7"/>
        <v>5</v>
      </c>
    </row>
    <row r="229" spans="1:17">
      <c r="A229" s="74">
        <v>228</v>
      </c>
      <c r="B229" s="89" t="str">
        <f>IF($T$4=0,IF($I229="","",$I229),IFERROR(IF([1]财务取数接口!$B$228=0,"",[1]财务取数接口!$B$228),""))</f>
        <v/>
      </c>
      <c r="C229" s="75" t="str">
        <f>IF($T$4=0,IF($J229="","",$J229),IFERROR(IF([1]财务取数接口!$C$228=0,"",[1]财务取数接口!$C$228),""))</f>
        <v/>
      </c>
      <c r="D229" s="89" t="str">
        <f>IF($T$4=0,IF($K229="","",$K229),IFERROR(IF([1]财务取数接口!$D$228=0,"",[1]财务取数接口!$D$228),""))</f>
        <v/>
      </c>
      <c r="E229" s="89" t="str">
        <f>IF($T$4=0,IF($L229="","",$L229),IFERROR(IF([1]财务取数接口!$E$228=0,"",[1]财务取数接口!$E$228),""))</f>
        <v/>
      </c>
      <c r="F229" s="76" t="str">
        <f>IF($T$4=0,IF($M229="","",$M229),IFERROR(IF([1]财务取数接口!$G$228=0,"",[1]财务取数接口!$G$228),""))</f>
        <v/>
      </c>
      <c r="G229" s="76" t="str">
        <f>IF($T$4=0,IF($N229="","",$N229),IFERROR(IF([1]财务取数接口!$H$228=0,"",[1]财务取数接口!$H$228),""))</f>
        <v/>
      </c>
      <c r="H229" s="75" t="str">
        <f>IF($T$4=0,IF($O229="","",$O229),IFERROR(IF([1]财务取数接口!$I$228=0,"",[1]财务取数接口!$I$228),""))</f>
        <v/>
      </c>
      <c r="I229" s="43"/>
      <c r="J229" s="106"/>
      <c r="K229" s="43"/>
      <c r="L229" s="43"/>
      <c r="M229" s="107"/>
      <c r="N229" s="107"/>
      <c r="O229" s="106"/>
      <c r="P229" s="139">
        <f t="shared" si="6"/>
        <v>0</v>
      </c>
      <c r="Q229" s="139">
        <f t="shared" si="7"/>
        <v>5</v>
      </c>
    </row>
    <row r="230" spans="1:17">
      <c r="A230" s="74">
        <v>229</v>
      </c>
      <c r="B230" s="89" t="str">
        <f>IF($T$4=0,IF($I230="","",$I230),IFERROR(IF([1]财务取数接口!$B$229=0,"",[1]财务取数接口!$B$229),""))</f>
        <v/>
      </c>
      <c r="C230" s="75" t="str">
        <f>IF($T$4=0,IF($J230="","",$J230),IFERROR(IF([1]财务取数接口!$C$229=0,"",[1]财务取数接口!$C$229),""))</f>
        <v/>
      </c>
      <c r="D230" s="89" t="str">
        <f>IF($T$4=0,IF($K230="","",$K230),IFERROR(IF([1]财务取数接口!$D$229=0,"",[1]财务取数接口!$D$229),""))</f>
        <v/>
      </c>
      <c r="E230" s="89" t="str">
        <f>IF($T$4=0,IF($L230="","",$L230),IFERROR(IF([1]财务取数接口!$E$229=0,"",[1]财务取数接口!$E$229),""))</f>
        <v/>
      </c>
      <c r="F230" s="76" t="str">
        <f>IF($T$4=0,IF($M230="","",$M230),IFERROR(IF([1]财务取数接口!$G$229=0,"",[1]财务取数接口!$G$229),""))</f>
        <v/>
      </c>
      <c r="G230" s="76" t="str">
        <f>IF($T$4=0,IF($N230="","",$N230),IFERROR(IF([1]财务取数接口!$H$229=0,"",[1]财务取数接口!$H$229),""))</f>
        <v/>
      </c>
      <c r="H230" s="75" t="str">
        <f>IF($T$4=0,IF($O230="","",$O230),IFERROR(IF([1]财务取数接口!$I$229=0,"",[1]财务取数接口!$I$229),""))</f>
        <v/>
      </c>
      <c r="I230" s="43"/>
      <c r="J230" s="106"/>
      <c r="K230" s="43"/>
      <c r="L230" s="43"/>
      <c r="M230" s="107"/>
      <c r="N230" s="107"/>
      <c r="O230" s="106"/>
      <c r="P230" s="139">
        <f t="shared" si="6"/>
        <v>0</v>
      </c>
      <c r="Q230" s="139">
        <f t="shared" si="7"/>
        <v>5</v>
      </c>
    </row>
    <row r="231" spans="1:17">
      <c r="A231" s="74">
        <v>230</v>
      </c>
      <c r="B231" s="89" t="str">
        <f>IF($T$4=0,IF($I231="","",$I231),IFERROR(IF([1]财务取数接口!$B$230=0,"",[1]财务取数接口!$B$230),""))</f>
        <v/>
      </c>
      <c r="C231" s="75" t="str">
        <f>IF($T$4=0,IF($J231="","",$J231),IFERROR(IF([1]财务取数接口!$C$230=0,"",[1]财务取数接口!$C$230),""))</f>
        <v/>
      </c>
      <c r="D231" s="89" t="str">
        <f>IF($T$4=0,IF($K231="","",$K231),IFERROR(IF([1]财务取数接口!$D$230=0,"",[1]财务取数接口!$D$230),""))</f>
        <v/>
      </c>
      <c r="E231" s="89" t="str">
        <f>IF($T$4=0,IF($L231="","",$L231),IFERROR(IF([1]财务取数接口!$E$230=0,"",[1]财务取数接口!$E$230),""))</f>
        <v/>
      </c>
      <c r="F231" s="76" t="str">
        <f>IF($T$4=0,IF($M231="","",$M231),IFERROR(IF([1]财务取数接口!$G$230=0,"",[1]财务取数接口!$G$230),""))</f>
        <v/>
      </c>
      <c r="G231" s="76" t="str">
        <f>IF($T$4=0,IF($N231="","",$N231),IFERROR(IF([1]财务取数接口!$H$230=0,"",[1]财务取数接口!$H$230),""))</f>
        <v/>
      </c>
      <c r="H231" s="75" t="str">
        <f>IF($T$4=0,IF($O231="","",$O231),IFERROR(IF([1]财务取数接口!$I$230=0,"",[1]财务取数接口!$I$230),""))</f>
        <v/>
      </c>
      <c r="I231" s="43"/>
      <c r="J231" s="106"/>
      <c r="K231" s="43"/>
      <c r="L231" s="43"/>
      <c r="M231" s="107"/>
      <c r="N231" s="107"/>
      <c r="O231" s="106"/>
      <c r="P231" s="139">
        <f t="shared" si="6"/>
        <v>0</v>
      </c>
      <c r="Q231" s="139">
        <f t="shared" si="7"/>
        <v>5</v>
      </c>
    </row>
    <row r="232" spans="1:17">
      <c r="A232" s="74">
        <v>231</v>
      </c>
      <c r="B232" s="89" t="str">
        <f>IF($T$4=0,IF($I232="","",$I232),IFERROR(IF([1]财务取数接口!$B$231=0,"",[1]财务取数接口!$B$231),""))</f>
        <v/>
      </c>
      <c r="C232" s="75" t="str">
        <f>IF($T$4=0,IF($J232="","",$J232),IFERROR(IF([1]财务取数接口!$C$231=0,"",[1]财务取数接口!$C$231),""))</f>
        <v/>
      </c>
      <c r="D232" s="89" t="str">
        <f>IF($T$4=0,IF($K232="","",$K232),IFERROR(IF([1]财务取数接口!$D$231=0,"",[1]财务取数接口!$D$231),""))</f>
        <v/>
      </c>
      <c r="E232" s="89" t="str">
        <f>IF($T$4=0,IF($L232="","",$L232),IFERROR(IF([1]财务取数接口!$E$231=0,"",[1]财务取数接口!$E$231),""))</f>
        <v/>
      </c>
      <c r="F232" s="76" t="str">
        <f>IF($T$4=0,IF($M232="","",$M232),IFERROR(IF([1]财务取数接口!$G$231=0,"",[1]财务取数接口!$G$231),""))</f>
        <v/>
      </c>
      <c r="G232" s="76" t="str">
        <f>IF($T$4=0,IF($N232="","",$N232),IFERROR(IF([1]财务取数接口!$H$231=0,"",[1]财务取数接口!$H$231),""))</f>
        <v/>
      </c>
      <c r="H232" s="75" t="str">
        <f>IF($T$4=0,IF($O232="","",$O232),IFERROR(IF([1]财务取数接口!$I$231=0,"",[1]财务取数接口!$I$231),""))</f>
        <v/>
      </c>
      <c r="I232" s="43"/>
      <c r="J232" s="106"/>
      <c r="K232" s="43"/>
      <c r="L232" s="43"/>
      <c r="M232" s="107"/>
      <c r="N232" s="107"/>
      <c r="O232" s="106"/>
      <c r="P232" s="139">
        <f t="shared" si="6"/>
        <v>0</v>
      </c>
      <c r="Q232" s="139">
        <f t="shared" si="7"/>
        <v>5</v>
      </c>
    </row>
    <row r="233" spans="1:17">
      <c r="A233" s="74">
        <v>232</v>
      </c>
      <c r="B233" s="89" t="str">
        <f>IF($T$4=0,IF($I233="","",$I233),IFERROR(IF([1]财务取数接口!$B$232=0,"",[1]财务取数接口!$B$232),""))</f>
        <v/>
      </c>
      <c r="C233" s="75" t="str">
        <f>IF($T$4=0,IF($J233="","",$J233),IFERROR(IF([1]财务取数接口!$C$232=0,"",[1]财务取数接口!$C$232),""))</f>
        <v/>
      </c>
      <c r="D233" s="89" t="str">
        <f>IF($T$4=0,IF($K233="","",$K233),IFERROR(IF([1]财务取数接口!$D$232=0,"",[1]财务取数接口!$D$232),""))</f>
        <v/>
      </c>
      <c r="E233" s="89" t="str">
        <f>IF($T$4=0,IF($L233="","",$L233),IFERROR(IF([1]财务取数接口!$E$232=0,"",[1]财务取数接口!$E$232),""))</f>
        <v/>
      </c>
      <c r="F233" s="76" t="str">
        <f>IF($T$4=0,IF($M233="","",$M233),IFERROR(IF([1]财务取数接口!$G$232=0,"",[1]财务取数接口!$G$232),""))</f>
        <v/>
      </c>
      <c r="G233" s="76" t="str">
        <f>IF($T$4=0,IF($N233="","",$N233),IFERROR(IF([1]财务取数接口!$H$232=0,"",[1]财务取数接口!$H$232),""))</f>
        <v/>
      </c>
      <c r="H233" s="75" t="str">
        <f>IF($T$4=0,IF($O233="","",$O233),IFERROR(IF([1]财务取数接口!$I$232=0,"",[1]财务取数接口!$I$232),""))</f>
        <v/>
      </c>
      <c r="I233" s="43"/>
      <c r="J233" s="106"/>
      <c r="K233" s="43"/>
      <c r="L233" s="43"/>
      <c r="M233" s="107"/>
      <c r="N233" s="107"/>
      <c r="O233" s="106"/>
      <c r="P233" s="139">
        <f t="shared" si="6"/>
        <v>0</v>
      </c>
      <c r="Q233" s="139">
        <f t="shared" si="7"/>
        <v>5</v>
      </c>
    </row>
    <row r="234" spans="1:17">
      <c r="A234" s="74">
        <v>233</v>
      </c>
      <c r="B234" s="89" t="str">
        <f>IF($T$4=0,IF($I234="","",$I234),IFERROR(IF([1]财务取数接口!$B$233=0,"",[1]财务取数接口!$B$233),""))</f>
        <v/>
      </c>
      <c r="C234" s="75" t="str">
        <f>IF($T$4=0,IF($J234="","",$J234),IFERROR(IF([1]财务取数接口!$C$233=0,"",[1]财务取数接口!$C$233),""))</f>
        <v/>
      </c>
      <c r="D234" s="89" t="str">
        <f>IF($T$4=0,IF($K234="","",$K234),IFERROR(IF([1]财务取数接口!$D$233=0,"",[1]财务取数接口!$D$233),""))</f>
        <v/>
      </c>
      <c r="E234" s="89" t="str">
        <f>IF($T$4=0,IF($L234="","",$L234),IFERROR(IF([1]财务取数接口!$E$233=0,"",[1]财务取数接口!$E$233),""))</f>
        <v/>
      </c>
      <c r="F234" s="76" t="str">
        <f>IF($T$4=0,IF($M234="","",$M234),IFERROR(IF([1]财务取数接口!$G$233=0,"",[1]财务取数接口!$G$233),""))</f>
        <v/>
      </c>
      <c r="G234" s="76" t="str">
        <f>IF($T$4=0,IF($N234="","",$N234),IFERROR(IF([1]财务取数接口!$H$233=0,"",[1]财务取数接口!$H$233),""))</f>
        <v/>
      </c>
      <c r="H234" s="75" t="str">
        <f>IF($T$4=0,IF($O234="","",$O234),IFERROR(IF([1]财务取数接口!$I$233=0,"",[1]财务取数接口!$I$233),""))</f>
        <v/>
      </c>
      <c r="I234" s="43"/>
      <c r="J234" s="106"/>
      <c r="K234" s="43"/>
      <c r="L234" s="43"/>
      <c r="M234" s="107"/>
      <c r="N234" s="107"/>
      <c r="O234" s="106"/>
      <c r="P234" s="139">
        <f t="shared" si="6"/>
        <v>0</v>
      </c>
      <c r="Q234" s="139">
        <f t="shared" si="7"/>
        <v>5</v>
      </c>
    </row>
    <row r="235" spans="1:17">
      <c r="A235" s="74">
        <v>234</v>
      </c>
      <c r="B235" s="89" t="str">
        <f>IF($T$4=0,IF($I235="","",$I235),IFERROR(IF([1]财务取数接口!$B$234=0,"",[1]财务取数接口!$B$234),""))</f>
        <v/>
      </c>
      <c r="C235" s="75" t="str">
        <f>IF($T$4=0,IF($J235="","",$J235),IFERROR(IF([1]财务取数接口!$C$234=0,"",[1]财务取数接口!$C$234),""))</f>
        <v/>
      </c>
      <c r="D235" s="89" t="str">
        <f>IF($T$4=0,IF($K235="","",$K235),IFERROR(IF([1]财务取数接口!$D$234=0,"",[1]财务取数接口!$D$234),""))</f>
        <v/>
      </c>
      <c r="E235" s="89" t="str">
        <f>IF($T$4=0,IF($L235="","",$L235),IFERROR(IF([1]财务取数接口!$E$234=0,"",[1]财务取数接口!$E$234),""))</f>
        <v/>
      </c>
      <c r="F235" s="76" t="str">
        <f>IF($T$4=0,IF($M235="","",$M235),IFERROR(IF([1]财务取数接口!$G$234=0,"",[1]财务取数接口!$G$234),""))</f>
        <v/>
      </c>
      <c r="G235" s="76" t="str">
        <f>IF($T$4=0,IF($N235="","",$N235),IFERROR(IF([1]财务取数接口!$H$234=0,"",[1]财务取数接口!$H$234),""))</f>
        <v/>
      </c>
      <c r="H235" s="75" t="str">
        <f>IF($T$4=0,IF($O235="","",$O235),IFERROR(IF([1]财务取数接口!$I$234=0,"",[1]财务取数接口!$I$234),""))</f>
        <v/>
      </c>
      <c r="I235" s="43"/>
      <c r="J235" s="106"/>
      <c r="K235" s="43"/>
      <c r="L235" s="43"/>
      <c r="M235" s="107"/>
      <c r="N235" s="107"/>
      <c r="O235" s="106"/>
      <c r="P235" s="139">
        <f t="shared" si="6"/>
        <v>0</v>
      </c>
      <c r="Q235" s="139">
        <f t="shared" si="7"/>
        <v>5</v>
      </c>
    </row>
    <row r="236" spans="1:17">
      <c r="A236" s="74">
        <v>235</v>
      </c>
      <c r="B236" s="89" t="str">
        <f>IF($T$4=0,IF($I236="","",$I236),IFERROR(IF([1]财务取数接口!$B$235=0,"",[1]财务取数接口!$B$235),""))</f>
        <v/>
      </c>
      <c r="C236" s="75" t="str">
        <f>IF($T$4=0,IF($J236="","",$J236),IFERROR(IF([1]财务取数接口!$C$235=0,"",[1]财务取数接口!$C$235),""))</f>
        <v/>
      </c>
      <c r="D236" s="89" t="str">
        <f>IF($T$4=0,IF($K236="","",$K236),IFERROR(IF([1]财务取数接口!$D$235=0,"",[1]财务取数接口!$D$235),""))</f>
        <v/>
      </c>
      <c r="E236" s="89" t="str">
        <f>IF($T$4=0,IF($L236="","",$L236),IFERROR(IF([1]财务取数接口!$E$235=0,"",[1]财务取数接口!$E$235),""))</f>
        <v/>
      </c>
      <c r="F236" s="76" t="str">
        <f>IF($T$4=0,IF($M236="","",$M236),IFERROR(IF([1]财务取数接口!$G$235=0,"",[1]财务取数接口!$G$235),""))</f>
        <v/>
      </c>
      <c r="G236" s="76" t="str">
        <f>IF($T$4=0,IF($N236="","",$N236),IFERROR(IF([1]财务取数接口!$H$235=0,"",[1]财务取数接口!$H$235),""))</f>
        <v/>
      </c>
      <c r="H236" s="75" t="str">
        <f>IF($T$4=0,IF($O236="","",$O236),IFERROR(IF([1]财务取数接口!$I$235=0,"",[1]财务取数接口!$I$235),""))</f>
        <v/>
      </c>
      <c r="I236" s="43"/>
      <c r="J236" s="106"/>
      <c r="K236" s="43"/>
      <c r="L236" s="43"/>
      <c r="M236" s="107"/>
      <c r="N236" s="107"/>
      <c r="O236" s="106"/>
      <c r="P236" s="139">
        <f t="shared" si="6"/>
        <v>0</v>
      </c>
      <c r="Q236" s="139">
        <f t="shared" si="7"/>
        <v>5</v>
      </c>
    </row>
    <row r="237" spans="1:17">
      <c r="A237" s="74">
        <v>236</v>
      </c>
      <c r="B237" s="89" t="str">
        <f>IF($T$4=0,IF($I237="","",$I237),IFERROR(IF([1]财务取数接口!$B$236=0,"",[1]财务取数接口!$B$236),""))</f>
        <v/>
      </c>
      <c r="C237" s="75" t="str">
        <f>IF($T$4=0,IF($J237="","",$J237),IFERROR(IF([1]财务取数接口!$C$236=0,"",[1]财务取数接口!$C$236),""))</f>
        <v/>
      </c>
      <c r="D237" s="89" t="str">
        <f>IF($T$4=0,IF($K237="","",$K237),IFERROR(IF([1]财务取数接口!$D$236=0,"",[1]财务取数接口!$D$236),""))</f>
        <v/>
      </c>
      <c r="E237" s="89" t="str">
        <f>IF($T$4=0,IF($L237="","",$L237),IFERROR(IF([1]财务取数接口!$E$236=0,"",[1]财务取数接口!$E$236),""))</f>
        <v/>
      </c>
      <c r="F237" s="76" t="str">
        <f>IF($T$4=0,IF($M237="","",$M237),IFERROR(IF([1]财务取数接口!$G$236=0,"",[1]财务取数接口!$G$236),""))</f>
        <v/>
      </c>
      <c r="G237" s="76" t="str">
        <f>IF($T$4=0,IF($N237="","",$N237),IFERROR(IF([1]财务取数接口!$H$236=0,"",[1]财务取数接口!$H$236),""))</f>
        <v/>
      </c>
      <c r="H237" s="75" t="str">
        <f>IF($T$4=0,IF($O237="","",$O237),IFERROR(IF([1]财务取数接口!$I$236=0,"",[1]财务取数接口!$I$236),""))</f>
        <v/>
      </c>
      <c r="I237" s="43"/>
      <c r="J237" s="106"/>
      <c r="K237" s="43"/>
      <c r="L237" s="43"/>
      <c r="M237" s="107"/>
      <c r="N237" s="107"/>
      <c r="O237" s="106"/>
      <c r="P237" s="139">
        <f t="shared" si="6"/>
        <v>0</v>
      </c>
      <c r="Q237" s="139">
        <f t="shared" si="7"/>
        <v>5</v>
      </c>
    </row>
    <row r="238" spans="1:17">
      <c r="A238" s="74">
        <v>237</v>
      </c>
      <c r="B238" s="89" t="str">
        <f>IF($T$4=0,IF($I238="","",$I238),IFERROR(IF([1]财务取数接口!$B$237=0,"",[1]财务取数接口!$B$237),""))</f>
        <v/>
      </c>
      <c r="C238" s="75" t="str">
        <f>IF($T$4=0,IF($J238="","",$J238),IFERROR(IF([1]财务取数接口!$C$237=0,"",[1]财务取数接口!$C$237),""))</f>
        <v/>
      </c>
      <c r="D238" s="89" t="str">
        <f>IF($T$4=0,IF($K238="","",$K238),IFERROR(IF([1]财务取数接口!$D$237=0,"",[1]财务取数接口!$D$237),""))</f>
        <v/>
      </c>
      <c r="E238" s="89" t="str">
        <f>IF($T$4=0,IF($L238="","",$L238),IFERROR(IF([1]财务取数接口!$E$237=0,"",[1]财务取数接口!$E$237),""))</f>
        <v/>
      </c>
      <c r="F238" s="76" t="str">
        <f>IF($T$4=0,IF($M238="","",$M238),IFERROR(IF([1]财务取数接口!$G$237=0,"",[1]财务取数接口!$G$237),""))</f>
        <v/>
      </c>
      <c r="G238" s="76" t="str">
        <f>IF($T$4=0,IF($N238="","",$N238),IFERROR(IF([1]财务取数接口!$H$237=0,"",[1]财务取数接口!$H$237),""))</f>
        <v/>
      </c>
      <c r="H238" s="75" t="str">
        <f>IF($T$4=0,IF($O238="","",$O238),IFERROR(IF([1]财务取数接口!$I$237=0,"",[1]财务取数接口!$I$237),""))</f>
        <v/>
      </c>
      <c r="I238" s="43"/>
      <c r="J238" s="106"/>
      <c r="K238" s="43"/>
      <c r="L238" s="43"/>
      <c r="M238" s="107"/>
      <c r="N238" s="107"/>
      <c r="O238" s="106"/>
      <c r="P238" s="139">
        <f t="shared" si="6"/>
        <v>0</v>
      </c>
      <c r="Q238" s="139">
        <f t="shared" si="7"/>
        <v>5</v>
      </c>
    </row>
    <row r="239" spans="1:17">
      <c r="A239" s="74">
        <v>238</v>
      </c>
      <c r="B239" s="89" t="str">
        <f>IF($T$4=0,IF($I239="","",$I239),IFERROR(IF([1]财务取数接口!$B$238=0,"",[1]财务取数接口!$B$238),""))</f>
        <v/>
      </c>
      <c r="C239" s="75" t="str">
        <f>IF($T$4=0,IF($J239="","",$J239),IFERROR(IF([1]财务取数接口!$C$238=0,"",[1]财务取数接口!$C$238),""))</f>
        <v/>
      </c>
      <c r="D239" s="89" t="str">
        <f>IF($T$4=0,IF($K239="","",$K239),IFERROR(IF([1]财务取数接口!$D$238=0,"",[1]财务取数接口!$D$238),""))</f>
        <v/>
      </c>
      <c r="E239" s="89" t="str">
        <f>IF($T$4=0,IF($L239="","",$L239),IFERROR(IF([1]财务取数接口!$E$238=0,"",[1]财务取数接口!$E$238),""))</f>
        <v/>
      </c>
      <c r="F239" s="76" t="str">
        <f>IF($T$4=0,IF($M239="","",$M239),IFERROR(IF([1]财务取数接口!$G$238=0,"",[1]财务取数接口!$G$238),""))</f>
        <v/>
      </c>
      <c r="G239" s="76" t="str">
        <f>IF($T$4=0,IF($N239="","",$N239),IFERROR(IF([1]财务取数接口!$H$238=0,"",[1]财务取数接口!$H$238),""))</f>
        <v/>
      </c>
      <c r="H239" s="75" t="str">
        <f>IF($T$4=0,IF($O239="","",$O239),IFERROR(IF([1]财务取数接口!$I$238=0,"",[1]财务取数接口!$I$238),""))</f>
        <v/>
      </c>
      <c r="I239" s="43"/>
      <c r="J239" s="106"/>
      <c r="K239" s="43"/>
      <c r="L239" s="43"/>
      <c r="M239" s="107"/>
      <c r="N239" s="107"/>
      <c r="O239" s="106"/>
      <c r="P239" s="139">
        <f t="shared" si="6"/>
        <v>0</v>
      </c>
      <c r="Q239" s="139">
        <f t="shared" si="7"/>
        <v>5</v>
      </c>
    </row>
    <row r="240" spans="1:17">
      <c r="A240" s="74">
        <v>239</v>
      </c>
      <c r="B240" s="89" t="str">
        <f>IF($T$4=0,IF($I240="","",$I240),IFERROR(IF([1]财务取数接口!$B$239=0,"",[1]财务取数接口!$B$239),""))</f>
        <v/>
      </c>
      <c r="C240" s="75" t="str">
        <f>IF($T$4=0,IF($J240="","",$J240),IFERROR(IF([1]财务取数接口!$C$239=0,"",[1]财务取数接口!$C$239),""))</f>
        <v/>
      </c>
      <c r="D240" s="89" t="str">
        <f>IF($T$4=0,IF($K240="","",$K240),IFERROR(IF([1]财务取数接口!$D$239=0,"",[1]财务取数接口!$D$239),""))</f>
        <v/>
      </c>
      <c r="E240" s="89" t="str">
        <f>IF($T$4=0,IF($L240="","",$L240),IFERROR(IF([1]财务取数接口!$E$239=0,"",[1]财务取数接口!$E$239),""))</f>
        <v/>
      </c>
      <c r="F240" s="76" t="str">
        <f>IF($T$4=0,IF($M240="","",$M240),IFERROR(IF([1]财务取数接口!$G$239=0,"",[1]财务取数接口!$G$239),""))</f>
        <v/>
      </c>
      <c r="G240" s="76" t="str">
        <f>IF($T$4=0,IF($N240="","",$N240),IFERROR(IF([1]财务取数接口!$H$239=0,"",[1]财务取数接口!$H$239),""))</f>
        <v/>
      </c>
      <c r="H240" s="75" t="str">
        <f>IF($T$4=0,IF($O240="","",$O240),IFERROR(IF([1]财务取数接口!$I$239=0,"",[1]财务取数接口!$I$239),""))</f>
        <v/>
      </c>
      <c r="I240" s="43"/>
      <c r="J240" s="106"/>
      <c r="K240" s="43"/>
      <c r="L240" s="43"/>
      <c r="M240" s="107"/>
      <c r="N240" s="107"/>
      <c r="O240" s="106"/>
      <c r="P240" s="139">
        <f t="shared" si="6"/>
        <v>0</v>
      </c>
      <c r="Q240" s="139">
        <f t="shared" si="7"/>
        <v>5</v>
      </c>
    </row>
    <row r="241" spans="1:17">
      <c r="A241" s="74">
        <v>240</v>
      </c>
      <c r="B241" s="89" t="str">
        <f>IF($T$4=0,IF($I241="","",$I241),IFERROR(IF([1]财务取数接口!$B$240=0,"",[1]财务取数接口!$B$240),""))</f>
        <v/>
      </c>
      <c r="C241" s="75" t="str">
        <f>IF($T$4=0,IF($J241="","",$J241),IFERROR(IF([1]财务取数接口!$C$240=0,"",[1]财务取数接口!$C$240),""))</f>
        <v/>
      </c>
      <c r="D241" s="89" t="str">
        <f>IF($T$4=0,IF($K241="","",$K241),IFERROR(IF([1]财务取数接口!$D$240=0,"",[1]财务取数接口!$D$240),""))</f>
        <v/>
      </c>
      <c r="E241" s="89" t="str">
        <f>IF($T$4=0,IF($L241="","",$L241),IFERROR(IF([1]财务取数接口!$E$240=0,"",[1]财务取数接口!$E$240),""))</f>
        <v/>
      </c>
      <c r="F241" s="76" t="str">
        <f>IF($T$4=0,IF($M241="","",$M241),IFERROR(IF([1]财务取数接口!$G$240=0,"",[1]财务取数接口!$G$240),""))</f>
        <v/>
      </c>
      <c r="G241" s="76" t="str">
        <f>IF($T$4=0,IF($N241="","",$N241),IFERROR(IF([1]财务取数接口!$H$240=0,"",[1]财务取数接口!$H$240),""))</f>
        <v/>
      </c>
      <c r="H241" s="75" t="str">
        <f>IF($T$4=0,IF($O241="","",$O241),IFERROR(IF([1]财务取数接口!$I$240=0,"",[1]财务取数接口!$I$240),""))</f>
        <v/>
      </c>
      <c r="I241" s="43"/>
      <c r="J241" s="106"/>
      <c r="K241" s="43"/>
      <c r="L241" s="43"/>
      <c r="M241" s="107"/>
      <c r="N241" s="107"/>
      <c r="O241" s="106"/>
      <c r="P241" s="139">
        <f t="shared" si="6"/>
        <v>0</v>
      </c>
      <c r="Q241" s="139">
        <f t="shared" si="7"/>
        <v>5</v>
      </c>
    </row>
    <row r="242" spans="1:17">
      <c r="A242" s="74">
        <v>241</v>
      </c>
      <c r="B242" s="89" t="str">
        <f>IF($T$4=0,IF($I242="","",$I242),IFERROR(IF([1]财务取数接口!$B$241=0,"",[1]财务取数接口!$B$241),""))</f>
        <v/>
      </c>
      <c r="C242" s="75" t="str">
        <f>IF($T$4=0,IF($J242="","",$J242),IFERROR(IF([1]财务取数接口!$C$241=0,"",[1]财务取数接口!$C$241),""))</f>
        <v/>
      </c>
      <c r="D242" s="89" t="str">
        <f>IF($T$4=0,IF($K242="","",$K242),IFERROR(IF([1]财务取数接口!$D$241=0,"",[1]财务取数接口!$D$241),""))</f>
        <v/>
      </c>
      <c r="E242" s="89" t="str">
        <f>IF($T$4=0,IF($L242="","",$L242),IFERROR(IF([1]财务取数接口!$E$241=0,"",[1]财务取数接口!$E$241),""))</f>
        <v/>
      </c>
      <c r="F242" s="76" t="str">
        <f>IF($T$4=0,IF($M242="","",$M242),IFERROR(IF([1]财务取数接口!$G$241=0,"",[1]财务取数接口!$G$241),""))</f>
        <v/>
      </c>
      <c r="G242" s="76" t="str">
        <f>IF($T$4=0,IF($N242="","",$N242),IFERROR(IF([1]财务取数接口!$H$241=0,"",[1]财务取数接口!$H$241),""))</f>
        <v/>
      </c>
      <c r="H242" s="75" t="str">
        <f>IF($T$4=0,IF($O242="","",$O242),IFERROR(IF([1]财务取数接口!$I$241=0,"",[1]财务取数接口!$I$241),""))</f>
        <v/>
      </c>
      <c r="I242" s="43"/>
      <c r="J242" s="106"/>
      <c r="K242" s="43"/>
      <c r="L242" s="43"/>
      <c r="M242" s="107"/>
      <c r="N242" s="107"/>
      <c r="O242" s="106"/>
      <c r="P242" s="139">
        <f t="shared" si="6"/>
        <v>0</v>
      </c>
      <c r="Q242" s="139">
        <f t="shared" si="7"/>
        <v>5</v>
      </c>
    </row>
    <row r="243" spans="1:17">
      <c r="A243" s="74">
        <v>242</v>
      </c>
      <c r="B243" s="89" t="str">
        <f>IF($T$4=0,IF($I243="","",$I243),IFERROR(IF([1]财务取数接口!$B$242=0,"",[1]财务取数接口!$B$242),""))</f>
        <v/>
      </c>
      <c r="C243" s="75" t="str">
        <f>IF($T$4=0,IF($J243="","",$J243),IFERROR(IF([1]财务取数接口!$C$242=0,"",[1]财务取数接口!$C$242),""))</f>
        <v/>
      </c>
      <c r="D243" s="89" t="str">
        <f>IF($T$4=0,IF($K243="","",$K243),IFERROR(IF([1]财务取数接口!$D$242=0,"",[1]财务取数接口!$D$242),""))</f>
        <v/>
      </c>
      <c r="E243" s="89" t="str">
        <f>IF($T$4=0,IF($L243="","",$L243),IFERROR(IF([1]财务取数接口!$E$242=0,"",[1]财务取数接口!$E$242),""))</f>
        <v/>
      </c>
      <c r="F243" s="76" t="str">
        <f>IF($T$4=0,IF($M243="","",$M243),IFERROR(IF([1]财务取数接口!$G$242=0,"",[1]财务取数接口!$G$242),""))</f>
        <v/>
      </c>
      <c r="G243" s="76" t="str">
        <f>IF($T$4=0,IF($N243="","",$N243),IFERROR(IF([1]财务取数接口!$H$242=0,"",[1]财务取数接口!$H$242),""))</f>
        <v/>
      </c>
      <c r="H243" s="75" t="str">
        <f>IF($T$4=0,IF($O243="","",$O243),IFERROR(IF([1]财务取数接口!$I$242=0,"",[1]财务取数接口!$I$242),""))</f>
        <v/>
      </c>
      <c r="I243" s="43"/>
      <c r="J243" s="106"/>
      <c r="K243" s="43"/>
      <c r="L243" s="43"/>
      <c r="M243" s="107"/>
      <c r="N243" s="107"/>
      <c r="O243" s="106"/>
      <c r="P243" s="139">
        <f t="shared" si="6"/>
        <v>0</v>
      </c>
      <c r="Q243" s="139">
        <f t="shared" si="7"/>
        <v>5</v>
      </c>
    </row>
    <row r="244" spans="1:17">
      <c r="A244" s="74">
        <v>243</v>
      </c>
      <c r="B244" s="89" t="str">
        <f>IF($T$4=0,IF($I244="","",$I244),IFERROR(IF([1]财务取数接口!$B$243=0,"",[1]财务取数接口!$B$243),""))</f>
        <v/>
      </c>
      <c r="C244" s="75" t="str">
        <f>IF($T$4=0,IF($J244="","",$J244),IFERROR(IF([1]财务取数接口!$C$243=0,"",[1]财务取数接口!$C$243),""))</f>
        <v/>
      </c>
      <c r="D244" s="89" t="str">
        <f>IF($T$4=0,IF($K244="","",$K244),IFERROR(IF([1]财务取数接口!$D$243=0,"",[1]财务取数接口!$D$243),""))</f>
        <v/>
      </c>
      <c r="E244" s="89" t="str">
        <f>IF($T$4=0,IF($L244="","",$L244),IFERROR(IF([1]财务取数接口!$E$243=0,"",[1]财务取数接口!$E$243),""))</f>
        <v/>
      </c>
      <c r="F244" s="76" t="str">
        <f>IF($T$4=0,IF($M244="","",$M244),IFERROR(IF([1]财务取数接口!$G$243=0,"",[1]财务取数接口!$G$243),""))</f>
        <v/>
      </c>
      <c r="G244" s="76" t="str">
        <f>IF($T$4=0,IF($N244="","",$N244),IFERROR(IF([1]财务取数接口!$H$243=0,"",[1]财务取数接口!$H$243),""))</f>
        <v/>
      </c>
      <c r="H244" s="75" t="str">
        <f>IF($T$4=0,IF($O244="","",$O244),IFERROR(IF([1]财务取数接口!$I$243=0,"",[1]财务取数接口!$I$243),""))</f>
        <v/>
      </c>
      <c r="I244" s="43"/>
      <c r="J244" s="106"/>
      <c r="K244" s="43"/>
      <c r="L244" s="43"/>
      <c r="M244" s="107"/>
      <c r="N244" s="107"/>
      <c r="O244" s="106"/>
      <c r="P244" s="139">
        <f t="shared" si="6"/>
        <v>0</v>
      </c>
      <c r="Q244" s="139">
        <f t="shared" si="7"/>
        <v>5</v>
      </c>
    </row>
    <row r="245" spans="1:17">
      <c r="A245" s="74">
        <v>244</v>
      </c>
      <c r="B245" s="89" t="str">
        <f>IF($T$4=0,IF($I245="","",$I245),IFERROR(IF([1]财务取数接口!$B$244=0,"",[1]财务取数接口!$B$244),""))</f>
        <v/>
      </c>
      <c r="C245" s="75" t="str">
        <f>IF($T$4=0,IF($J245="","",$J245),IFERROR(IF([1]财务取数接口!$C$244=0,"",[1]财务取数接口!$C$244),""))</f>
        <v/>
      </c>
      <c r="D245" s="89" t="str">
        <f>IF($T$4=0,IF($K245="","",$K245),IFERROR(IF([1]财务取数接口!$D$244=0,"",[1]财务取数接口!$D$244),""))</f>
        <v/>
      </c>
      <c r="E245" s="89" t="str">
        <f>IF($T$4=0,IF($L245="","",$L245),IFERROR(IF([1]财务取数接口!$E$244=0,"",[1]财务取数接口!$E$244),""))</f>
        <v/>
      </c>
      <c r="F245" s="76" t="str">
        <f>IF($T$4=0,IF($M245="","",$M245),IFERROR(IF([1]财务取数接口!$G$244=0,"",[1]财务取数接口!$G$244),""))</f>
        <v/>
      </c>
      <c r="G245" s="76" t="str">
        <f>IF($T$4=0,IF($N245="","",$N245),IFERROR(IF([1]财务取数接口!$H$244=0,"",[1]财务取数接口!$H$244),""))</f>
        <v/>
      </c>
      <c r="H245" s="75" t="str">
        <f>IF($T$4=0,IF($O245="","",$O245),IFERROR(IF([1]财务取数接口!$I$244=0,"",[1]财务取数接口!$I$244),""))</f>
        <v/>
      </c>
      <c r="I245" s="43"/>
      <c r="J245" s="106"/>
      <c r="K245" s="43"/>
      <c r="L245" s="43"/>
      <c r="M245" s="107"/>
      <c r="N245" s="107"/>
      <c r="O245" s="106"/>
      <c r="P245" s="139">
        <f t="shared" si="6"/>
        <v>0</v>
      </c>
      <c r="Q245" s="139">
        <f t="shared" si="7"/>
        <v>5</v>
      </c>
    </row>
    <row r="246" spans="1:17">
      <c r="A246" s="74">
        <v>245</v>
      </c>
      <c r="B246" s="89" t="str">
        <f>IF($T$4=0,IF($I246="","",$I246),IFERROR(IF([1]财务取数接口!$B$245=0,"",[1]财务取数接口!$B$245),""))</f>
        <v/>
      </c>
      <c r="C246" s="75" t="str">
        <f>IF($T$4=0,IF($J246="","",$J246),IFERROR(IF([1]财务取数接口!$C$245=0,"",[1]财务取数接口!$C$245),""))</f>
        <v/>
      </c>
      <c r="D246" s="89" t="str">
        <f>IF($T$4=0,IF($K246="","",$K246),IFERROR(IF([1]财务取数接口!$D$245=0,"",[1]财务取数接口!$D$245),""))</f>
        <v/>
      </c>
      <c r="E246" s="89" t="str">
        <f>IF($T$4=0,IF($L246="","",$L246),IFERROR(IF([1]财务取数接口!$E$245=0,"",[1]财务取数接口!$E$245),""))</f>
        <v/>
      </c>
      <c r="F246" s="76" t="str">
        <f>IF($T$4=0,IF($M246="","",$M246),IFERROR(IF([1]财务取数接口!$G$245=0,"",[1]财务取数接口!$G$245),""))</f>
        <v/>
      </c>
      <c r="G246" s="76" t="str">
        <f>IF($T$4=0,IF($N246="","",$N246),IFERROR(IF([1]财务取数接口!$H$245=0,"",[1]财务取数接口!$H$245),""))</f>
        <v/>
      </c>
      <c r="H246" s="75" t="str">
        <f>IF($T$4=0,IF($O246="","",$O246),IFERROR(IF([1]财务取数接口!$I$245=0,"",[1]财务取数接口!$I$245),""))</f>
        <v/>
      </c>
      <c r="I246" s="43"/>
      <c r="J246" s="106"/>
      <c r="K246" s="43"/>
      <c r="L246" s="43"/>
      <c r="M246" s="107"/>
      <c r="N246" s="107"/>
      <c r="O246" s="106"/>
      <c r="P246" s="139">
        <f t="shared" si="6"/>
        <v>0</v>
      </c>
      <c r="Q246" s="139">
        <f t="shared" si="7"/>
        <v>5</v>
      </c>
    </row>
    <row r="247" spans="1:17">
      <c r="A247" s="74">
        <v>246</v>
      </c>
      <c r="B247" s="89" t="str">
        <f>IF($T$4=0,IF($I247="","",$I247),IFERROR(IF([1]财务取数接口!$B$246=0,"",[1]财务取数接口!$B$246),""))</f>
        <v/>
      </c>
      <c r="C247" s="75" t="str">
        <f>IF($T$4=0,IF($J247="","",$J247),IFERROR(IF([1]财务取数接口!$C$246=0,"",[1]财务取数接口!$C$246),""))</f>
        <v/>
      </c>
      <c r="D247" s="89" t="str">
        <f>IF($T$4=0,IF($K247="","",$K247),IFERROR(IF([1]财务取数接口!$D$246=0,"",[1]财务取数接口!$D$246),""))</f>
        <v/>
      </c>
      <c r="E247" s="89" t="str">
        <f>IF($T$4=0,IF($L247="","",$L247),IFERROR(IF([1]财务取数接口!$E$246=0,"",[1]财务取数接口!$E$246),""))</f>
        <v/>
      </c>
      <c r="F247" s="76" t="str">
        <f>IF($T$4=0,IF($M247="","",$M247),IFERROR(IF([1]财务取数接口!$G$246=0,"",[1]财务取数接口!$G$246),""))</f>
        <v/>
      </c>
      <c r="G247" s="76" t="str">
        <f>IF($T$4=0,IF($N247="","",$N247),IFERROR(IF([1]财务取数接口!$H$246=0,"",[1]财务取数接口!$H$246),""))</f>
        <v/>
      </c>
      <c r="H247" s="75" t="str">
        <f>IF($T$4=0,IF($O247="","",$O247),IFERROR(IF([1]财务取数接口!$I$246=0,"",[1]财务取数接口!$I$246),""))</f>
        <v/>
      </c>
      <c r="I247" s="43"/>
      <c r="J247" s="106"/>
      <c r="K247" s="43"/>
      <c r="L247" s="43"/>
      <c r="M247" s="107"/>
      <c r="N247" s="107"/>
      <c r="O247" s="106"/>
      <c r="P247" s="139">
        <f t="shared" si="6"/>
        <v>0</v>
      </c>
      <c r="Q247" s="139">
        <f t="shared" si="7"/>
        <v>5</v>
      </c>
    </row>
    <row r="248" spans="1:17">
      <c r="A248" s="74">
        <v>247</v>
      </c>
      <c r="B248" s="89" t="str">
        <f>IF($T$4=0,IF($I248="","",$I248),IFERROR(IF([1]财务取数接口!$B$247=0,"",[1]财务取数接口!$B$247),""))</f>
        <v/>
      </c>
      <c r="C248" s="75" t="str">
        <f>IF($T$4=0,IF($J248="","",$J248),IFERROR(IF([1]财务取数接口!$C$247=0,"",[1]财务取数接口!$C$247),""))</f>
        <v/>
      </c>
      <c r="D248" s="89" t="str">
        <f>IF($T$4=0,IF($K248="","",$K248),IFERROR(IF([1]财务取数接口!$D$247=0,"",[1]财务取数接口!$D$247),""))</f>
        <v/>
      </c>
      <c r="E248" s="89" t="str">
        <f>IF($T$4=0,IF($L248="","",$L248),IFERROR(IF([1]财务取数接口!$E$247=0,"",[1]财务取数接口!$E$247),""))</f>
        <v/>
      </c>
      <c r="F248" s="76" t="str">
        <f>IF($T$4=0,IF($M248="","",$M248),IFERROR(IF([1]财务取数接口!$G$247=0,"",[1]财务取数接口!$G$247),""))</f>
        <v/>
      </c>
      <c r="G248" s="76" t="str">
        <f>IF($T$4=0,IF($N248="","",$N248),IFERROR(IF([1]财务取数接口!$H$247=0,"",[1]财务取数接口!$H$247),""))</f>
        <v/>
      </c>
      <c r="H248" s="75" t="str">
        <f>IF($T$4=0,IF($O248="","",$O248),IFERROR(IF([1]财务取数接口!$I$247=0,"",[1]财务取数接口!$I$247),""))</f>
        <v/>
      </c>
      <c r="I248" s="43"/>
      <c r="J248" s="106"/>
      <c r="K248" s="43"/>
      <c r="L248" s="43"/>
      <c r="M248" s="107"/>
      <c r="N248" s="107"/>
      <c r="O248" s="106"/>
      <c r="P248" s="139">
        <f t="shared" si="6"/>
        <v>0</v>
      </c>
      <c r="Q248" s="139">
        <f t="shared" si="7"/>
        <v>5</v>
      </c>
    </row>
    <row r="249" spans="1:17">
      <c r="A249" s="74">
        <v>248</v>
      </c>
      <c r="B249" s="89" t="str">
        <f>IF($T$4=0,IF($I249="","",$I249),IFERROR(IF([1]财务取数接口!$B$248=0,"",[1]财务取数接口!$B$248),""))</f>
        <v/>
      </c>
      <c r="C249" s="75" t="str">
        <f>IF($T$4=0,IF($J249="","",$J249),IFERROR(IF([1]财务取数接口!$C$248=0,"",[1]财务取数接口!$C$248),""))</f>
        <v/>
      </c>
      <c r="D249" s="89" t="str">
        <f>IF($T$4=0,IF($K249="","",$K249),IFERROR(IF([1]财务取数接口!$D$248=0,"",[1]财务取数接口!$D$248),""))</f>
        <v/>
      </c>
      <c r="E249" s="89" t="str">
        <f>IF($T$4=0,IF($L249="","",$L249),IFERROR(IF([1]财务取数接口!$E$248=0,"",[1]财务取数接口!$E$248),""))</f>
        <v/>
      </c>
      <c r="F249" s="76" t="str">
        <f>IF($T$4=0,IF($M249="","",$M249),IFERROR(IF([1]财务取数接口!$G$248=0,"",[1]财务取数接口!$G$248),""))</f>
        <v/>
      </c>
      <c r="G249" s="76" t="str">
        <f>IF($T$4=0,IF($N249="","",$N249),IFERROR(IF([1]财务取数接口!$H$248=0,"",[1]财务取数接口!$H$248),""))</f>
        <v/>
      </c>
      <c r="H249" s="75" t="str">
        <f>IF($T$4=0,IF($O249="","",$O249),IFERROR(IF([1]财务取数接口!$I$248=0,"",[1]财务取数接口!$I$248),""))</f>
        <v/>
      </c>
      <c r="I249" s="43"/>
      <c r="J249" s="106"/>
      <c r="K249" s="43"/>
      <c r="L249" s="43"/>
      <c r="M249" s="107"/>
      <c r="N249" s="107"/>
      <c r="O249" s="106"/>
      <c r="P249" s="139">
        <f t="shared" si="6"/>
        <v>0</v>
      </c>
      <c r="Q249" s="139">
        <f t="shared" si="7"/>
        <v>5</v>
      </c>
    </row>
    <row r="250" spans="1:17">
      <c r="A250" s="74">
        <v>249</v>
      </c>
      <c r="B250" s="89" t="str">
        <f>IF($T$4=0,IF($I250="","",$I250),IFERROR(IF([1]财务取数接口!$B$249=0,"",[1]财务取数接口!$B$249),""))</f>
        <v/>
      </c>
      <c r="C250" s="75" t="str">
        <f>IF($T$4=0,IF($J250="","",$J250),IFERROR(IF([1]财务取数接口!$C$249=0,"",[1]财务取数接口!$C$249),""))</f>
        <v/>
      </c>
      <c r="D250" s="89" t="str">
        <f>IF($T$4=0,IF($K250="","",$K250),IFERROR(IF([1]财务取数接口!$D$249=0,"",[1]财务取数接口!$D$249),""))</f>
        <v/>
      </c>
      <c r="E250" s="89" t="str">
        <f>IF($T$4=0,IF($L250="","",$L250),IFERROR(IF([1]财务取数接口!$E$249=0,"",[1]财务取数接口!$E$249),""))</f>
        <v/>
      </c>
      <c r="F250" s="76" t="str">
        <f>IF($T$4=0,IF($M250="","",$M250),IFERROR(IF([1]财务取数接口!$G$249=0,"",[1]财务取数接口!$G$249),""))</f>
        <v/>
      </c>
      <c r="G250" s="76" t="str">
        <f>IF($T$4=0,IF($N250="","",$N250),IFERROR(IF([1]财务取数接口!$H$249=0,"",[1]财务取数接口!$H$249),""))</f>
        <v/>
      </c>
      <c r="H250" s="75" t="str">
        <f>IF($T$4=0,IF($O250="","",$O250),IFERROR(IF([1]财务取数接口!$I$249=0,"",[1]财务取数接口!$I$249),""))</f>
        <v/>
      </c>
      <c r="I250" s="43"/>
      <c r="J250" s="106"/>
      <c r="K250" s="43"/>
      <c r="L250" s="43"/>
      <c r="M250" s="107"/>
      <c r="N250" s="107"/>
      <c r="O250" s="106"/>
      <c r="P250" s="139">
        <f t="shared" si="6"/>
        <v>0</v>
      </c>
      <c r="Q250" s="139">
        <f t="shared" si="7"/>
        <v>5</v>
      </c>
    </row>
    <row r="251" spans="1:17">
      <c r="A251" s="74">
        <v>250</v>
      </c>
      <c r="B251" s="89" t="str">
        <f>IF($T$4=0,IF($I251="","",$I251),IFERROR(IF([1]财务取数接口!$B$250=0,"",[1]财务取数接口!$B$250),""))</f>
        <v/>
      </c>
      <c r="C251" s="75" t="str">
        <f>IF($T$4=0,IF($J251="","",$J251),IFERROR(IF([1]财务取数接口!$C$250=0,"",[1]财务取数接口!$C$250),""))</f>
        <v/>
      </c>
      <c r="D251" s="89" t="str">
        <f>IF($T$4=0,IF($K251="","",$K251),IFERROR(IF([1]财务取数接口!$D$250=0,"",[1]财务取数接口!$D$250),""))</f>
        <v/>
      </c>
      <c r="E251" s="89" t="str">
        <f>IF($T$4=0,IF($L251="","",$L251),IFERROR(IF([1]财务取数接口!$E$250=0,"",[1]财务取数接口!$E$250),""))</f>
        <v/>
      </c>
      <c r="F251" s="76" t="str">
        <f>IF($T$4=0,IF($M251="","",$M251),IFERROR(IF([1]财务取数接口!$G$250=0,"",[1]财务取数接口!$G$250),""))</f>
        <v/>
      </c>
      <c r="G251" s="76" t="str">
        <f>IF($T$4=0,IF($N251="","",$N251),IFERROR(IF([1]财务取数接口!$H$250=0,"",[1]财务取数接口!$H$250),""))</f>
        <v/>
      </c>
      <c r="H251" s="75" t="str">
        <f>IF($T$4=0,IF($O251="","",$O251),IFERROR(IF([1]财务取数接口!$I$250=0,"",[1]财务取数接口!$I$250),""))</f>
        <v/>
      </c>
      <c r="I251" s="43"/>
      <c r="J251" s="106"/>
      <c r="K251" s="43"/>
      <c r="L251" s="43"/>
      <c r="M251" s="107"/>
      <c r="N251" s="107"/>
      <c r="O251" s="106"/>
      <c r="P251" s="139">
        <f t="shared" si="6"/>
        <v>0</v>
      </c>
      <c r="Q251" s="139">
        <f t="shared" si="7"/>
        <v>5</v>
      </c>
    </row>
    <row r="252" spans="1:17">
      <c r="A252" s="74">
        <v>251</v>
      </c>
      <c r="B252" s="89" t="str">
        <f>IF($T$4=0,IF($I252="","",$I252),IFERROR(IF([1]财务取数接口!$B$251=0,"",[1]财务取数接口!$B$251),""))</f>
        <v/>
      </c>
      <c r="C252" s="75" t="str">
        <f>IF($T$4=0,IF($J252="","",$J252),IFERROR(IF([1]财务取数接口!$C$251=0,"",[1]财务取数接口!$C$251),""))</f>
        <v/>
      </c>
      <c r="D252" s="89" t="str">
        <f>IF($T$4=0,IF($K252="","",$K252),IFERROR(IF([1]财务取数接口!$D$251=0,"",[1]财务取数接口!$D$251),""))</f>
        <v/>
      </c>
      <c r="E252" s="89" t="str">
        <f>IF($T$4=0,IF($L252="","",$L252),IFERROR(IF([1]财务取数接口!$E$251=0,"",[1]财务取数接口!$E$251),""))</f>
        <v/>
      </c>
      <c r="F252" s="76" t="str">
        <f>IF($T$4=0,IF($M252="","",$M252),IFERROR(IF([1]财务取数接口!$G$251=0,"",[1]财务取数接口!$G$251),""))</f>
        <v/>
      </c>
      <c r="G252" s="76" t="str">
        <f>IF($T$4=0,IF($N252="","",$N252),IFERROR(IF([1]财务取数接口!$H$251=0,"",[1]财务取数接口!$H$251),""))</f>
        <v/>
      </c>
      <c r="H252" s="75" t="str">
        <f>IF($T$4=0,IF($O252="","",$O252),IFERROR(IF([1]财务取数接口!$I$251=0,"",[1]财务取数接口!$I$251),""))</f>
        <v/>
      </c>
      <c r="I252" s="43"/>
      <c r="J252" s="106"/>
      <c r="K252" s="43"/>
      <c r="L252" s="43"/>
      <c r="M252" s="107"/>
      <c r="N252" s="107"/>
      <c r="O252" s="106"/>
      <c r="P252" s="139">
        <f t="shared" si="6"/>
        <v>0</v>
      </c>
      <c r="Q252" s="139">
        <f t="shared" si="7"/>
        <v>5</v>
      </c>
    </row>
    <row r="253" spans="1:17">
      <c r="A253" s="74">
        <v>252</v>
      </c>
      <c r="B253" s="89" t="str">
        <f>IF($T$4=0,IF($I253="","",$I253),IFERROR(IF([1]财务取数接口!$B$252=0,"",[1]财务取数接口!$B$252),""))</f>
        <v/>
      </c>
      <c r="C253" s="75" t="str">
        <f>IF($T$4=0,IF($J253="","",$J253),IFERROR(IF([1]财务取数接口!$C$252=0,"",[1]财务取数接口!$C$252),""))</f>
        <v/>
      </c>
      <c r="D253" s="89" t="str">
        <f>IF($T$4=0,IF($K253="","",$K253),IFERROR(IF([1]财务取数接口!$D$252=0,"",[1]财务取数接口!$D$252),""))</f>
        <v/>
      </c>
      <c r="E253" s="89" t="str">
        <f>IF($T$4=0,IF($L253="","",$L253),IFERROR(IF([1]财务取数接口!$E$252=0,"",[1]财务取数接口!$E$252),""))</f>
        <v/>
      </c>
      <c r="F253" s="76" t="str">
        <f>IF($T$4=0,IF($M253="","",$M253),IFERROR(IF([1]财务取数接口!$G$252=0,"",[1]财务取数接口!$G$252),""))</f>
        <v/>
      </c>
      <c r="G253" s="76" t="str">
        <f>IF($T$4=0,IF($N253="","",$N253),IFERROR(IF([1]财务取数接口!$H$252=0,"",[1]财务取数接口!$H$252),""))</f>
        <v/>
      </c>
      <c r="H253" s="75" t="str">
        <f>IF($T$4=0,IF($O253="","",$O253),IFERROR(IF([1]财务取数接口!$I$252=0,"",[1]财务取数接口!$I$252),""))</f>
        <v/>
      </c>
      <c r="I253" s="43"/>
      <c r="J253" s="106"/>
      <c r="K253" s="43"/>
      <c r="L253" s="43"/>
      <c r="M253" s="107"/>
      <c r="N253" s="107"/>
      <c r="O253" s="106"/>
      <c r="P253" s="139">
        <f t="shared" si="6"/>
        <v>0</v>
      </c>
      <c r="Q253" s="139">
        <f t="shared" si="7"/>
        <v>5</v>
      </c>
    </row>
    <row r="254" spans="1:17">
      <c r="A254" s="74">
        <v>253</v>
      </c>
      <c r="B254" s="89" t="str">
        <f>IF($T$4=0,IF($I254="","",$I254),IFERROR(IF([1]财务取数接口!$B$253=0,"",[1]财务取数接口!$B$253),""))</f>
        <v/>
      </c>
      <c r="C254" s="75" t="str">
        <f>IF($T$4=0,IF($J254="","",$J254),IFERROR(IF([1]财务取数接口!$C$253=0,"",[1]财务取数接口!$C$253),""))</f>
        <v/>
      </c>
      <c r="D254" s="89" t="str">
        <f>IF($T$4=0,IF($K254="","",$K254),IFERROR(IF([1]财务取数接口!$D$253=0,"",[1]财务取数接口!$D$253),""))</f>
        <v/>
      </c>
      <c r="E254" s="89" t="str">
        <f>IF($T$4=0,IF($L254="","",$L254),IFERROR(IF([1]财务取数接口!$E$253=0,"",[1]财务取数接口!$E$253),""))</f>
        <v/>
      </c>
      <c r="F254" s="76" t="str">
        <f>IF($T$4=0,IF($M254="","",$M254),IFERROR(IF([1]财务取数接口!$G$253=0,"",[1]财务取数接口!$G$253),""))</f>
        <v/>
      </c>
      <c r="G254" s="76" t="str">
        <f>IF($T$4=0,IF($N254="","",$N254),IFERROR(IF([1]财务取数接口!$H$253=0,"",[1]财务取数接口!$H$253),""))</f>
        <v/>
      </c>
      <c r="H254" s="75" t="str">
        <f>IF($T$4=0,IF($O254="","",$O254),IFERROR(IF([1]财务取数接口!$I$253=0,"",[1]财务取数接口!$I$253),""))</f>
        <v/>
      </c>
      <c r="I254" s="43"/>
      <c r="J254" s="106"/>
      <c r="K254" s="43"/>
      <c r="L254" s="43"/>
      <c r="M254" s="107"/>
      <c r="N254" s="107"/>
      <c r="O254" s="106"/>
      <c r="P254" s="139">
        <f t="shared" si="6"/>
        <v>0</v>
      </c>
      <c r="Q254" s="139">
        <f t="shared" si="7"/>
        <v>5</v>
      </c>
    </row>
    <row r="255" spans="1:17">
      <c r="A255" s="74">
        <v>254</v>
      </c>
      <c r="B255" s="89" t="str">
        <f>IF($T$4=0,IF($I255="","",$I255),IFERROR(IF([1]财务取数接口!$B$254=0,"",[1]财务取数接口!$B$254),""))</f>
        <v/>
      </c>
      <c r="C255" s="75" t="str">
        <f>IF($T$4=0,IF($J255="","",$J255),IFERROR(IF([1]财务取数接口!$C$254=0,"",[1]财务取数接口!$C$254),""))</f>
        <v/>
      </c>
      <c r="D255" s="89" t="str">
        <f>IF($T$4=0,IF($K255="","",$K255),IFERROR(IF([1]财务取数接口!$D$254=0,"",[1]财务取数接口!$D$254),""))</f>
        <v/>
      </c>
      <c r="E255" s="89" t="str">
        <f>IF($T$4=0,IF($L255="","",$L255),IFERROR(IF([1]财务取数接口!$E$254=0,"",[1]财务取数接口!$E$254),""))</f>
        <v/>
      </c>
      <c r="F255" s="76" t="str">
        <f>IF($T$4=0,IF($M255="","",$M255),IFERROR(IF([1]财务取数接口!$G$254=0,"",[1]财务取数接口!$G$254),""))</f>
        <v/>
      </c>
      <c r="G255" s="76" t="str">
        <f>IF($T$4=0,IF($N255="","",$N255),IFERROR(IF([1]财务取数接口!$H$254=0,"",[1]财务取数接口!$H$254),""))</f>
        <v/>
      </c>
      <c r="H255" s="75" t="str">
        <f>IF($T$4=0,IF($O255="","",$O255),IFERROR(IF([1]财务取数接口!$I$254=0,"",[1]财务取数接口!$I$254),""))</f>
        <v/>
      </c>
      <c r="I255" s="43"/>
      <c r="J255" s="106"/>
      <c r="K255" s="43"/>
      <c r="L255" s="43"/>
      <c r="M255" s="107"/>
      <c r="N255" s="107"/>
      <c r="O255" s="106"/>
      <c r="P255" s="139">
        <f t="shared" si="6"/>
        <v>0</v>
      </c>
      <c r="Q255" s="139">
        <f t="shared" si="7"/>
        <v>5</v>
      </c>
    </row>
    <row r="256" spans="1:17">
      <c r="A256" s="74">
        <v>255</v>
      </c>
      <c r="B256" s="89" t="str">
        <f>IF($T$4=0,IF($I256="","",$I256),IFERROR(IF([1]财务取数接口!$B$255=0,"",[1]财务取数接口!$B$255),""))</f>
        <v/>
      </c>
      <c r="C256" s="75" t="str">
        <f>IF($T$4=0,IF($J256="","",$J256),IFERROR(IF([1]财务取数接口!$C$255=0,"",[1]财务取数接口!$C$255),""))</f>
        <v/>
      </c>
      <c r="D256" s="89" t="str">
        <f>IF($T$4=0,IF($K256="","",$K256),IFERROR(IF([1]财务取数接口!$D$255=0,"",[1]财务取数接口!$D$255),""))</f>
        <v/>
      </c>
      <c r="E256" s="89" t="str">
        <f>IF($T$4=0,IF($L256="","",$L256),IFERROR(IF([1]财务取数接口!$E$255=0,"",[1]财务取数接口!$E$255),""))</f>
        <v/>
      </c>
      <c r="F256" s="76" t="str">
        <f>IF($T$4=0,IF($M256="","",$M256),IFERROR(IF([1]财务取数接口!$G$255=0,"",[1]财务取数接口!$G$255),""))</f>
        <v/>
      </c>
      <c r="G256" s="76" t="str">
        <f>IF($T$4=0,IF($N256="","",$N256),IFERROR(IF([1]财务取数接口!$H$255=0,"",[1]财务取数接口!$H$255),""))</f>
        <v/>
      </c>
      <c r="H256" s="75" t="str">
        <f>IF($T$4=0,IF($O256="","",$O256),IFERROR(IF([1]财务取数接口!$I$255=0,"",[1]财务取数接口!$I$255),""))</f>
        <v/>
      </c>
      <c r="I256" s="43"/>
      <c r="J256" s="106"/>
      <c r="K256" s="43"/>
      <c r="L256" s="43"/>
      <c r="M256" s="107"/>
      <c r="N256" s="107"/>
      <c r="O256" s="106"/>
      <c r="P256" s="139">
        <f t="shared" si="6"/>
        <v>0</v>
      </c>
      <c r="Q256" s="139">
        <f t="shared" si="7"/>
        <v>5</v>
      </c>
    </row>
    <row r="257" spans="1:17">
      <c r="A257" s="74">
        <v>256</v>
      </c>
      <c r="B257" s="89" t="str">
        <f>IF($T$4=0,IF($I257="","",$I257),IFERROR(IF([1]财务取数接口!$B$256=0,"",[1]财务取数接口!$B$256),""))</f>
        <v/>
      </c>
      <c r="C257" s="75" t="str">
        <f>IF($T$4=0,IF($J257="","",$J257),IFERROR(IF([1]财务取数接口!$C$256=0,"",[1]财务取数接口!$C$256),""))</f>
        <v/>
      </c>
      <c r="D257" s="89" t="str">
        <f>IF($T$4=0,IF($K257="","",$K257),IFERROR(IF([1]财务取数接口!$D$256=0,"",[1]财务取数接口!$D$256),""))</f>
        <v/>
      </c>
      <c r="E257" s="89" t="str">
        <f>IF($T$4=0,IF($L257="","",$L257),IFERROR(IF([1]财务取数接口!$E$256=0,"",[1]财务取数接口!$E$256),""))</f>
        <v/>
      </c>
      <c r="F257" s="76" t="str">
        <f>IF($T$4=0,IF($M257="","",$M257),IFERROR(IF([1]财务取数接口!$G$256=0,"",[1]财务取数接口!$G$256),""))</f>
        <v/>
      </c>
      <c r="G257" s="76" t="str">
        <f>IF($T$4=0,IF($N257="","",$N257),IFERROR(IF([1]财务取数接口!$H$256=0,"",[1]财务取数接口!$H$256),""))</f>
        <v/>
      </c>
      <c r="H257" s="75" t="str">
        <f>IF($T$4=0,IF($O257="","",$O257),IFERROR(IF([1]财务取数接口!$I$256=0,"",[1]财务取数接口!$I$256),""))</f>
        <v/>
      </c>
      <c r="I257" s="43"/>
      <c r="J257" s="106"/>
      <c r="K257" s="43"/>
      <c r="L257" s="43"/>
      <c r="M257" s="107"/>
      <c r="N257" s="107"/>
      <c r="O257" s="106"/>
      <c r="P257" s="139">
        <f t="shared" si="6"/>
        <v>0</v>
      </c>
      <c r="Q257" s="139">
        <f t="shared" si="7"/>
        <v>5</v>
      </c>
    </row>
    <row r="258" spans="1:17">
      <c r="A258" s="74">
        <v>257</v>
      </c>
      <c r="B258" s="89" t="str">
        <f>IF($T$4=0,IF($I258="","",$I258),IFERROR(IF([1]财务取数接口!$B$257=0,"",[1]财务取数接口!$B$257),""))</f>
        <v/>
      </c>
      <c r="C258" s="75" t="str">
        <f>IF($T$4=0,IF($J258="","",$J258),IFERROR(IF([1]财务取数接口!$C$257=0,"",[1]财务取数接口!$C$257),""))</f>
        <v/>
      </c>
      <c r="D258" s="89" t="str">
        <f>IF($T$4=0,IF($K258="","",$K258),IFERROR(IF([1]财务取数接口!$D$257=0,"",[1]财务取数接口!$D$257),""))</f>
        <v/>
      </c>
      <c r="E258" s="89" t="str">
        <f>IF($T$4=0,IF($L258="","",$L258),IFERROR(IF([1]财务取数接口!$E$257=0,"",[1]财务取数接口!$E$257),""))</f>
        <v/>
      </c>
      <c r="F258" s="76" t="str">
        <f>IF($T$4=0,IF($M258="","",$M258),IFERROR(IF([1]财务取数接口!$G$257=0,"",[1]财务取数接口!$G$257),""))</f>
        <v/>
      </c>
      <c r="G258" s="76" t="str">
        <f>IF($T$4=0,IF($N258="","",$N258),IFERROR(IF([1]财务取数接口!$H$257=0,"",[1]财务取数接口!$H$257),""))</f>
        <v/>
      </c>
      <c r="H258" s="75" t="str">
        <f>IF($T$4=0,IF($O258="","",$O258),IFERROR(IF([1]财务取数接口!$I$257=0,"",[1]财务取数接口!$I$257),""))</f>
        <v/>
      </c>
      <c r="I258" s="43"/>
      <c r="J258" s="106"/>
      <c r="K258" s="43"/>
      <c r="L258" s="43"/>
      <c r="M258" s="107"/>
      <c r="N258" s="107"/>
      <c r="O258" s="106"/>
      <c r="P258" s="139">
        <f t="shared" si="6"/>
        <v>0</v>
      </c>
      <c r="Q258" s="139">
        <f t="shared" si="7"/>
        <v>5</v>
      </c>
    </row>
    <row r="259" spans="1:17">
      <c r="A259" s="74">
        <v>258</v>
      </c>
      <c r="B259" s="89" t="str">
        <f>IF($T$4=0,IF($I259="","",$I259),IFERROR(IF([1]财务取数接口!$B$258=0,"",[1]财务取数接口!$B$258),""))</f>
        <v/>
      </c>
      <c r="C259" s="75" t="str">
        <f>IF($T$4=0,IF($J259="","",$J259),IFERROR(IF([1]财务取数接口!$C$258=0,"",[1]财务取数接口!$C$258),""))</f>
        <v/>
      </c>
      <c r="D259" s="89" t="str">
        <f>IF($T$4=0,IF($K259="","",$K259),IFERROR(IF([1]财务取数接口!$D$258=0,"",[1]财务取数接口!$D$258),""))</f>
        <v/>
      </c>
      <c r="E259" s="89" t="str">
        <f>IF($T$4=0,IF($L259="","",$L259),IFERROR(IF([1]财务取数接口!$E$258=0,"",[1]财务取数接口!$E$258),""))</f>
        <v/>
      </c>
      <c r="F259" s="76" t="str">
        <f>IF($T$4=0,IF($M259="","",$M259),IFERROR(IF([1]财务取数接口!$G$258=0,"",[1]财务取数接口!$G$258),""))</f>
        <v/>
      </c>
      <c r="G259" s="76" t="str">
        <f>IF($T$4=0,IF($N259="","",$N259),IFERROR(IF([1]财务取数接口!$H$258=0,"",[1]财务取数接口!$H$258),""))</f>
        <v/>
      </c>
      <c r="H259" s="75" t="str">
        <f>IF($T$4=0,IF($O259="","",$O259),IFERROR(IF([1]财务取数接口!$I$258=0,"",[1]财务取数接口!$I$258),""))</f>
        <v/>
      </c>
      <c r="I259" s="43"/>
      <c r="J259" s="106"/>
      <c r="K259" s="43"/>
      <c r="L259" s="43"/>
      <c r="M259" s="107"/>
      <c r="N259" s="107"/>
      <c r="O259" s="106"/>
      <c r="P259" s="139">
        <f t="shared" si="6"/>
        <v>0</v>
      </c>
      <c r="Q259" s="139">
        <f t="shared" si="7"/>
        <v>5</v>
      </c>
    </row>
    <row r="260" spans="1:17">
      <c r="A260" s="74">
        <v>259</v>
      </c>
      <c r="B260" s="89" t="str">
        <f>IF($T$4=0,IF($I260="","",$I260),IFERROR(IF([1]财务取数接口!$B$259=0,"",[1]财务取数接口!$B$259),""))</f>
        <v/>
      </c>
      <c r="C260" s="75" t="str">
        <f>IF($T$4=0,IF($J260="","",$J260),IFERROR(IF([1]财务取数接口!$C$259=0,"",[1]财务取数接口!$C$259),""))</f>
        <v/>
      </c>
      <c r="D260" s="89" t="str">
        <f>IF($T$4=0,IF($K260="","",$K260),IFERROR(IF([1]财务取数接口!$D$259=0,"",[1]财务取数接口!$D$259),""))</f>
        <v/>
      </c>
      <c r="E260" s="89" t="str">
        <f>IF($T$4=0,IF($L260="","",$L260),IFERROR(IF([1]财务取数接口!$E$259=0,"",[1]财务取数接口!$E$259),""))</f>
        <v/>
      </c>
      <c r="F260" s="76" t="str">
        <f>IF($T$4=0,IF($M260="","",$M260),IFERROR(IF([1]财务取数接口!$G$259=0,"",[1]财务取数接口!$G$259),""))</f>
        <v/>
      </c>
      <c r="G260" s="76" t="str">
        <f>IF($T$4=0,IF($N260="","",$N260),IFERROR(IF([1]财务取数接口!$H$259=0,"",[1]财务取数接口!$H$259),""))</f>
        <v/>
      </c>
      <c r="H260" s="75" t="str">
        <f>IF($T$4=0,IF($O260="","",$O260),IFERROR(IF([1]财务取数接口!$I$259=0,"",[1]财务取数接口!$I$259),""))</f>
        <v/>
      </c>
      <c r="I260" s="43"/>
      <c r="J260" s="106"/>
      <c r="K260" s="43"/>
      <c r="L260" s="43"/>
      <c r="M260" s="107"/>
      <c r="N260" s="107"/>
      <c r="O260" s="106"/>
      <c r="P260" s="139">
        <f t="shared" si="6"/>
        <v>0</v>
      </c>
      <c r="Q260" s="139">
        <f t="shared" si="7"/>
        <v>5</v>
      </c>
    </row>
    <row r="261" spans="1:17">
      <c r="A261" s="74">
        <v>260</v>
      </c>
      <c r="B261" s="89" t="str">
        <f>IF($T$4=0,IF($I261="","",$I261),IFERROR(IF([1]财务取数接口!$B$260=0,"",[1]财务取数接口!$B$260),""))</f>
        <v/>
      </c>
      <c r="C261" s="75" t="str">
        <f>IF($T$4=0,IF($J261="","",$J261),IFERROR(IF([1]财务取数接口!$C$260=0,"",[1]财务取数接口!$C$260),""))</f>
        <v/>
      </c>
      <c r="D261" s="89" t="str">
        <f>IF($T$4=0,IF($K261="","",$K261),IFERROR(IF([1]财务取数接口!$D$260=0,"",[1]财务取数接口!$D$260),""))</f>
        <v/>
      </c>
      <c r="E261" s="89" t="str">
        <f>IF($T$4=0,IF($L261="","",$L261),IFERROR(IF([1]财务取数接口!$E$260=0,"",[1]财务取数接口!$E$260),""))</f>
        <v/>
      </c>
      <c r="F261" s="76" t="str">
        <f>IF($T$4=0,IF($M261="","",$M261),IFERROR(IF([1]财务取数接口!$G$260=0,"",[1]财务取数接口!$G$260),""))</f>
        <v/>
      </c>
      <c r="G261" s="76" t="str">
        <f>IF($T$4=0,IF($N261="","",$N261),IFERROR(IF([1]财务取数接口!$H$260=0,"",[1]财务取数接口!$H$260),""))</f>
        <v/>
      </c>
      <c r="H261" s="75" t="str">
        <f>IF($T$4=0,IF($O261="","",$O261),IFERROR(IF([1]财务取数接口!$I$260=0,"",[1]财务取数接口!$I$260),""))</f>
        <v/>
      </c>
      <c r="I261" s="43"/>
      <c r="J261" s="106"/>
      <c r="K261" s="43"/>
      <c r="L261" s="43"/>
      <c r="M261" s="107"/>
      <c r="N261" s="107"/>
      <c r="O261" s="106"/>
      <c r="P261" s="139">
        <f t="shared" ref="P261:P324" si="8">IF(AND($C261&lt;&gt;"",$C261&lt;&gt;"项目",OR(N($D261)&lt;&gt;0,N($E261)&lt;&gt;0,N($F261)&lt;&gt;0)),1,0)</f>
        <v>0</v>
      </c>
      <c r="Q261" s="139">
        <f t="shared" ref="Q261:Q324" si="9">N(Q260)+$P261</f>
        <v>5</v>
      </c>
    </row>
    <row r="262" spans="1:17">
      <c r="A262" s="74">
        <v>261</v>
      </c>
      <c r="B262" s="89" t="str">
        <f>IF($T$4=0,IF($I262="","",$I262),IFERROR(IF([1]财务取数接口!$B$261=0,"",[1]财务取数接口!$B$261),""))</f>
        <v/>
      </c>
      <c r="C262" s="75" t="str">
        <f>IF($T$4=0,IF($J262="","",$J262),IFERROR(IF([1]财务取数接口!$C$261=0,"",[1]财务取数接口!$C$261),""))</f>
        <v/>
      </c>
      <c r="D262" s="89" t="str">
        <f>IF($T$4=0,IF($K262="","",$K262),IFERROR(IF([1]财务取数接口!$D$261=0,"",[1]财务取数接口!$D$261),""))</f>
        <v/>
      </c>
      <c r="E262" s="89" t="str">
        <f>IF($T$4=0,IF($L262="","",$L262),IFERROR(IF([1]财务取数接口!$E$261=0,"",[1]财务取数接口!$E$261),""))</f>
        <v/>
      </c>
      <c r="F262" s="76" t="str">
        <f>IF($T$4=0,IF($M262="","",$M262),IFERROR(IF([1]财务取数接口!$G$261=0,"",[1]财务取数接口!$G$261),""))</f>
        <v/>
      </c>
      <c r="G262" s="76" t="str">
        <f>IF($T$4=0,IF($N262="","",$N262),IFERROR(IF([1]财务取数接口!$H$261=0,"",[1]财务取数接口!$H$261),""))</f>
        <v/>
      </c>
      <c r="H262" s="75" t="str">
        <f>IF($T$4=0,IF($O262="","",$O262),IFERROR(IF([1]财务取数接口!$I$261=0,"",[1]财务取数接口!$I$261),""))</f>
        <v/>
      </c>
      <c r="I262" s="43"/>
      <c r="J262" s="106"/>
      <c r="K262" s="43"/>
      <c r="L262" s="43"/>
      <c r="M262" s="107"/>
      <c r="N262" s="107"/>
      <c r="O262" s="106"/>
      <c r="P262" s="139">
        <f t="shared" si="8"/>
        <v>0</v>
      </c>
      <c r="Q262" s="139">
        <f t="shared" si="9"/>
        <v>5</v>
      </c>
    </row>
    <row r="263" spans="1:17">
      <c r="A263" s="74">
        <v>262</v>
      </c>
      <c r="B263" s="89" t="str">
        <f>IF($T$4=0,IF($I263="","",$I263),IFERROR(IF([1]财务取数接口!$B$262=0,"",[1]财务取数接口!$B$262),""))</f>
        <v/>
      </c>
      <c r="C263" s="75" t="str">
        <f>IF($T$4=0,IF($J263="","",$J263),IFERROR(IF([1]财务取数接口!$C$262=0,"",[1]财务取数接口!$C$262),""))</f>
        <v/>
      </c>
      <c r="D263" s="89" t="str">
        <f>IF($T$4=0,IF($K263="","",$K263),IFERROR(IF([1]财务取数接口!$D$262=0,"",[1]财务取数接口!$D$262),""))</f>
        <v/>
      </c>
      <c r="E263" s="89" t="str">
        <f>IF($T$4=0,IF($L263="","",$L263),IFERROR(IF([1]财务取数接口!$E$262=0,"",[1]财务取数接口!$E$262),""))</f>
        <v/>
      </c>
      <c r="F263" s="76" t="str">
        <f>IF($T$4=0,IF($M263="","",$M263),IFERROR(IF([1]财务取数接口!$G$262=0,"",[1]财务取数接口!$G$262),""))</f>
        <v/>
      </c>
      <c r="G263" s="76" t="str">
        <f>IF($T$4=0,IF($N263="","",$N263),IFERROR(IF([1]财务取数接口!$H$262=0,"",[1]财务取数接口!$H$262),""))</f>
        <v/>
      </c>
      <c r="H263" s="75" t="str">
        <f>IF($T$4=0,IF($O263="","",$O263),IFERROR(IF([1]财务取数接口!$I$262=0,"",[1]财务取数接口!$I$262),""))</f>
        <v/>
      </c>
      <c r="I263" s="43"/>
      <c r="J263" s="106"/>
      <c r="K263" s="43"/>
      <c r="L263" s="43"/>
      <c r="M263" s="107"/>
      <c r="N263" s="107"/>
      <c r="O263" s="106"/>
      <c r="P263" s="139">
        <f t="shared" si="8"/>
        <v>0</v>
      </c>
      <c r="Q263" s="139">
        <f t="shared" si="9"/>
        <v>5</v>
      </c>
    </row>
    <row r="264" spans="1:17">
      <c r="A264" s="74">
        <v>263</v>
      </c>
      <c r="B264" s="89" t="str">
        <f>IF($T$4=0,IF($I264="","",$I264),IFERROR(IF([1]财务取数接口!$B$263=0,"",[1]财务取数接口!$B$263),""))</f>
        <v/>
      </c>
      <c r="C264" s="75" t="str">
        <f>IF($T$4=0,IF($J264="","",$J264),IFERROR(IF([1]财务取数接口!$C$263=0,"",[1]财务取数接口!$C$263),""))</f>
        <v/>
      </c>
      <c r="D264" s="89" t="str">
        <f>IF($T$4=0,IF($K264="","",$K264),IFERROR(IF([1]财务取数接口!$D$263=0,"",[1]财务取数接口!$D$263),""))</f>
        <v/>
      </c>
      <c r="E264" s="89" t="str">
        <f>IF($T$4=0,IF($L264="","",$L264),IFERROR(IF([1]财务取数接口!$E$263=0,"",[1]财务取数接口!$E$263),""))</f>
        <v/>
      </c>
      <c r="F264" s="76" t="str">
        <f>IF($T$4=0,IF($M264="","",$M264),IFERROR(IF([1]财务取数接口!$G$263=0,"",[1]财务取数接口!$G$263),""))</f>
        <v/>
      </c>
      <c r="G264" s="76" t="str">
        <f>IF($T$4=0,IF($N264="","",$N264),IFERROR(IF([1]财务取数接口!$H$263=0,"",[1]财务取数接口!$H$263),""))</f>
        <v/>
      </c>
      <c r="H264" s="75" t="str">
        <f>IF($T$4=0,IF($O264="","",$O264),IFERROR(IF([1]财务取数接口!$I$263=0,"",[1]财务取数接口!$I$263),""))</f>
        <v/>
      </c>
      <c r="I264" s="43"/>
      <c r="J264" s="106"/>
      <c r="K264" s="43"/>
      <c r="L264" s="43"/>
      <c r="M264" s="107"/>
      <c r="N264" s="107"/>
      <c r="O264" s="106"/>
      <c r="P264" s="139">
        <f t="shared" si="8"/>
        <v>0</v>
      </c>
      <c r="Q264" s="139">
        <f t="shared" si="9"/>
        <v>5</v>
      </c>
    </row>
    <row r="265" spans="1:17">
      <c r="A265" s="74">
        <v>264</v>
      </c>
      <c r="B265" s="89" t="str">
        <f>IF($T$4=0,IF($I265="","",$I265),IFERROR(IF([1]财务取数接口!$B$264=0,"",[1]财务取数接口!$B$264),""))</f>
        <v/>
      </c>
      <c r="C265" s="75" t="str">
        <f>IF($T$4=0,IF($J265="","",$J265),IFERROR(IF([1]财务取数接口!$C$264=0,"",[1]财务取数接口!$C$264),""))</f>
        <v/>
      </c>
      <c r="D265" s="89" t="str">
        <f>IF($T$4=0,IF($K265="","",$K265),IFERROR(IF([1]财务取数接口!$D$264=0,"",[1]财务取数接口!$D$264),""))</f>
        <v/>
      </c>
      <c r="E265" s="89" t="str">
        <f>IF($T$4=0,IF($L265="","",$L265),IFERROR(IF([1]财务取数接口!$E$264=0,"",[1]财务取数接口!$E$264),""))</f>
        <v/>
      </c>
      <c r="F265" s="76" t="str">
        <f>IF($T$4=0,IF($M265="","",$M265),IFERROR(IF([1]财务取数接口!$G$264=0,"",[1]财务取数接口!$G$264),""))</f>
        <v/>
      </c>
      <c r="G265" s="76" t="str">
        <f>IF($T$4=0,IF($N265="","",$N265),IFERROR(IF([1]财务取数接口!$H$264=0,"",[1]财务取数接口!$H$264),""))</f>
        <v/>
      </c>
      <c r="H265" s="75" t="str">
        <f>IF($T$4=0,IF($O265="","",$O265),IFERROR(IF([1]财务取数接口!$I$264=0,"",[1]财务取数接口!$I$264),""))</f>
        <v/>
      </c>
      <c r="I265" s="43"/>
      <c r="J265" s="106"/>
      <c r="K265" s="43"/>
      <c r="L265" s="43"/>
      <c r="M265" s="107"/>
      <c r="N265" s="107"/>
      <c r="O265" s="106"/>
      <c r="P265" s="139">
        <f t="shared" si="8"/>
        <v>0</v>
      </c>
      <c r="Q265" s="139">
        <f t="shared" si="9"/>
        <v>5</v>
      </c>
    </row>
    <row r="266" spans="1:17">
      <c r="A266" s="74">
        <v>265</v>
      </c>
      <c r="B266" s="89" t="str">
        <f>IF($T$4=0,IF($I266="","",$I266),IFERROR(IF([1]财务取数接口!$B$265=0,"",[1]财务取数接口!$B$265),""))</f>
        <v/>
      </c>
      <c r="C266" s="75" t="str">
        <f>IF($T$4=0,IF($J266="","",$J266),IFERROR(IF([1]财务取数接口!$C$265=0,"",[1]财务取数接口!$C$265),""))</f>
        <v/>
      </c>
      <c r="D266" s="89" t="str">
        <f>IF($T$4=0,IF($K266="","",$K266),IFERROR(IF([1]财务取数接口!$D$265=0,"",[1]财务取数接口!$D$265),""))</f>
        <v/>
      </c>
      <c r="E266" s="89" t="str">
        <f>IF($T$4=0,IF($L266="","",$L266),IFERROR(IF([1]财务取数接口!$E$265=0,"",[1]财务取数接口!$E$265),""))</f>
        <v/>
      </c>
      <c r="F266" s="76" t="str">
        <f>IF($T$4=0,IF($M266="","",$M266),IFERROR(IF([1]财务取数接口!$G$265=0,"",[1]财务取数接口!$G$265),""))</f>
        <v/>
      </c>
      <c r="G266" s="76" t="str">
        <f>IF($T$4=0,IF($N266="","",$N266),IFERROR(IF([1]财务取数接口!$H$265=0,"",[1]财务取数接口!$H$265),""))</f>
        <v/>
      </c>
      <c r="H266" s="75" t="str">
        <f>IF($T$4=0,IF($O266="","",$O266),IFERROR(IF([1]财务取数接口!$I$265=0,"",[1]财务取数接口!$I$265),""))</f>
        <v/>
      </c>
      <c r="I266" s="43"/>
      <c r="J266" s="106"/>
      <c r="K266" s="43"/>
      <c r="L266" s="43"/>
      <c r="M266" s="107"/>
      <c r="N266" s="107"/>
      <c r="O266" s="106"/>
      <c r="P266" s="139">
        <f t="shared" si="8"/>
        <v>0</v>
      </c>
      <c r="Q266" s="139">
        <f t="shared" si="9"/>
        <v>5</v>
      </c>
    </row>
    <row r="267" spans="1:17">
      <c r="A267" s="74">
        <v>266</v>
      </c>
      <c r="B267" s="89" t="str">
        <f>IF($T$4=0,IF($I267="","",$I267),IFERROR(IF([1]财务取数接口!$B$266=0,"",[1]财务取数接口!$B$266),""))</f>
        <v/>
      </c>
      <c r="C267" s="75" t="str">
        <f>IF($T$4=0,IF($J267="","",$J267),IFERROR(IF([1]财务取数接口!$C$266=0,"",[1]财务取数接口!$C$266),""))</f>
        <v/>
      </c>
      <c r="D267" s="89" t="str">
        <f>IF($T$4=0,IF($K267="","",$K267),IFERROR(IF([1]财务取数接口!$D$266=0,"",[1]财务取数接口!$D$266),""))</f>
        <v/>
      </c>
      <c r="E267" s="89" t="str">
        <f>IF($T$4=0,IF($L267="","",$L267),IFERROR(IF([1]财务取数接口!$E$266=0,"",[1]财务取数接口!$E$266),""))</f>
        <v/>
      </c>
      <c r="F267" s="76" t="str">
        <f>IF($T$4=0,IF($M267="","",$M267),IFERROR(IF([1]财务取数接口!$G$266=0,"",[1]财务取数接口!$G$266),""))</f>
        <v/>
      </c>
      <c r="G267" s="76" t="str">
        <f>IF($T$4=0,IF($N267="","",$N267),IFERROR(IF([1]财务取数接口!$H$266=0,"",[1]财务取数接口!$H$266),""))</f>
        <v/>
      </c>
      <c r="H267" s="75" t="str">
        <f>IF($T$4=0,IF($O267="","",$O267),IFERROR(IF([1]财务取数接口!$I$266=0,"",[1]财务取数接口!$I$266),""))</f>
        <v/>
      </c>
      <c r="I267" s="43"/>
      <c r="J267" s="106"/>
      <c r="K267" s="43"/>
      <c r="L267" s="43"/>
      <c r="M267" s="107"/>
      <c r="N267" s="107"/>
      <c r="O267" s="106"/>
      <c r="P267" s="139">
        <f t="shared" si="8"/>
        <v>0</v>
      </c>
      <c r="Q267" s="139">
        <f t="shared" si="9"/>
        <v>5</v>
      </c>
    </row>
    <row r="268" spans="1:17">
      <c r="A268" s="74">
        <v>267</v>
      </c>
      <c r="B268" s="89" t="str">
        <f>IF($T$4=0,IF($I268="","",$I268),IFERROR(IF([1]财务取数接口!$B$267=0,"",[1]财务取数接口!$B$267),""))</f>
        <v/>
      </c>
      <c r="C268" s="75" t="str">
        <f>IF($T$4=0,IF($J268="","",$J268),IFERROR(IF([1]财务取数接口!$C$267=0,"",[1]财务取数接口!$C$267),""))</f>
        <v/>
      </c>
      <c r="D268" s="89" t="str">
        <f>IF($T$4=0,IF($K268="","",$K268),IFERROR(IF([1]财务取数接口!$D$267=0,"",[1]财务取数接口!$D$267),""))</f>
        <v/>
      </c>
      <c r="E268" s="89" t="str">
        <f>IF($T$4=0,IF($L268="","",$L268),IFERROR(IF([1]财务取数接口!$E$267=0,"",[1]财务取数接口!$E$267),""))</f>
        <v/>
      </c>
      <c r="F268" s="76" t="str">
        <f>IF($T$4=0,IF($M268="","",$M268),IFERROR(IF([1]财务取数接口!$G$267=0,"",[1]财务取数接口!$G$267),""))</f>
        <v/>
      </c>
      <c r="G268" s="76" t="str">
        <f>IF($T$4=0,IF($N268="","",$N268),IFERROR(IF([1]财务取数接口!$H$267=0,"",[1]财务取数接口!$H$267),""))</f>
        <v/>
      </c>
      <c r="H268" s="75" t="str">
        <f>IF($T$4=0,IF($O268="","",$O268),IFERROR(IF([1]财务取数接口!$I$267=0,"",[1]财务取数接口!$I$267),""))</f>
        <v/>
      </c>
      <c r="I268" s="43"/>
      <c r="J268" s="106"/>
      <c r="K268" s="43"/>
      <c r="L268" s="43"/>
      <c r="M268" s="107"/>
      <c r="N268" s="107"/>
      <c r="O268" s="106"/>
      <c r="P268" s="139">
        <f t="shared" si="8"/>
        <v>0</v>
      </c>
      <c r="Q268" s="139">
        <f t="shared" si="9"/>
        <v>5</v>
      </c>
    </row>
    <row r="269" spans="1:17">
      <c r="A269" s="74">
        <v>268</v>
      </c>
      <c r="B269" s="89" t="str">
        <f>IF($T$4=0,IF($I269="","",$I269),IFERROR(IF([1]财务取数接口!$B$268=0,"",[1]财务取数接口!$B$268),""))</f>
        <v/>
      </c>
      <c r="C269" s="75" t="str">
        <f>IF($T$4=0,IF($J269="","",$J269),IFERROR(IF([1]财务取数接口!$C$268=0,"",[1]财务取数接口!$C$268),""))</f>
        <v/>
      </c>
      <c r="D269" s="89" t="str">
        <f>IF($T$4=0,IF($K269="","",$K269),IFERROR(IF([1]财务取数接口!$D$268=0,"",[1]财务取数接口!$D$268),""))</f>
        <v/>
      </c>
      <c r="E269" s="89" t="str">
        <f>IF($T$4=0,IF($L269="","",$L269),IFERROR(IF([1]财务取数接口!$E$268=0,"",[1]财务取数接口!$E$268),""))</f>
        <v/>
      </c>
      <c r="F269" s="76" t="str">
        <f>IF($T$4=0,IF($M269="","",$M269),IFERROR(IF([1]财务取数接口!$G$268=0,"",[1]财务取数接口!$G$268),""))</f>
        <v/>
      </c>
      <c r="G269" s="76" t="str">
        <f>IF($T$4=0,IF($N269="","",$N269),IFERROR(IF([1]财务取数接口!$H$268=0,"",[1]财务取数接口!$H$268),""))</f>
        <v/>
      </c>
      <c r="H269" s="75" t="str">
        <f>IF($T$4=0,IF($O269="","",$O269),IFERROR(IF([1]财务取数接口!$I$268=0,"",[1]财务取数接口!$I$268),""))</f>
        <v/>
      </c>
      <c r="I269" s="43"/>
      <c r="J269" s="106"/>
      <c r="K269" s="43"/>
      <c r="L269" s="43"/>
      <c r="M269" s="107"/>
      <c r="N269" s="107"/>
      <c r="O269" s="106"/>
      <c r="P269" s="139">
        <f t="shared" si="8"/>
        <v>0</v>
      </c>
      <c r="Q269" s="139">
        <f t="shared" si="9"/>
        <v>5</v>
      </c>
    </row>
    <row r="270" spans="1:17">
      <c r="A270" s="74">
        <v>269</v>
      </c>
      <c r="B270" s="89" t="str">
        <f>IF($T$4=0,IF($I270="","",$I270),IFERROR(IF([1]财务取数接口!$B$269=0,"",[1]财务取数接口!$B$269),""))</f>
        <v/>
      </c>
      <c r="C270" s="75" t="str">
        <f>IF($T$4=0,IF($J270="","",$J270),IFERROR(IF([1]财务取数接口!$C$269=0,"",[1]财务取数接口!$C$269),""))</f>
        <v/>
      </c>
      <c r="D270" s="89" t="str">
        <f>IF($T$4=0,IF($K270="","",$K270),IFERROR(IF([1]财务取数接口!$D$269=0,"",[1]财务取数接口!$D$269),""))</f>
        <v/>
      </c>
      <c r="E270" s="89" t="str">
        <f>IF($T$4=0,IF($L270="","",$L270),IFERROR(IF([1]财务取数接口!$E$269=0,"",[1]财务取数接口!$E$269),""))</f>
        <v/>
      </c>
      <c r="F270" s="76" t="str">
        <f>IF($T$4=0,IF($M270="","",$M270),IFERROR(IF([1]财务取数接口!$G$269=0,"",[1]财务取数接口!$G$269),""))</f>
        <v/>
      </c>
      <c r="G270" s="76" t="str">
        <f>IF($T$4=0,IF($N270="","",$N270),IFERROR(IF([1]财务取数接口!$H$269=0,"",[1]财务取数接口!$H$269),""))</f>
        <v/>
      </c>
      <c r="H270" s="75" t="str">
        <f>IF($T$4=0,IF($O270="","",$O270),IFERROR(IF([1]财务取数接口!$I$269=0,"",[1]财务取数接口!$I$269),""))</f>
        <v/>
      </c>
      <c r="I270" s="43"/>
      <c r="J270" s="106"/>
      <c r="K270" s="43"/>
      <c r="L270" s="43"/>
      <c r="M270" s="107"/>
      <c r="N270" s="107"/>
      <c r="O270" s="106"/>
      <c r="P270" s="139">
        <f t="shared" si="8"/>
        <v>0</v>
      </c>
      <c r="Q270" s="139">
        <f t="shared" si="9"/>
        <v>5</v>
      </c>
    </row>
    <row r="271" spans="1:17">
      <c r="A271" s="74">
        <v>270</v>
      </c>
      <c r="B271" s="89" t="str">
        <f>IF($T$4=0,IF($I271="","",$I271),IFERROR(IF([1]财务取数接口!$B$270=0,"",[1]财务取数接口!$B$270),""))</f>
        <v/>
      </c>
      <c r="C271" s="75" t="str">
        <f>IF($T$4=0,IF($J271="","",$J271),IFERROR(IF([1]财务取数接口!$C$270=0,"",[1]财务取数接口!$C$270),""))</f>
        <v/>
      </c>
      <c r="D271" s="89" t="str">
        <f>IF($T$4=0,IF($K271="","",$K271),IFERROR(IF([1]财务取数接口!$D$270=0,"",[1]财务取数接口!$D$270),""))</f>
        <v/>
      </c>
      <c r="E271" s="89" t="str">
        <f>IF($T$4=0,IF($L271="","",$L271),IFERROR(IF([1]财务取数接口!$E$270=0,"",[1]财务取数接口!$E$270),""))</f>
        <v/>
      </c>
      <c r="F271" s="76" t="str">
        <f>IF($T$4=0,IF($M271="","",$M271),IFERROR(IF([1]财务取数接口!$G$270=0,"",[1]财务取数接口!$G$270),""))</f>
        <v/>
      </c>
      <c r="G271" s="76" t="str">
        <f>IF($T$4=0,IF($N271="","",$N271),IFERROR(IF([1]财务取数接口!$H$270=0,"",[1]财务取数接口!$H$270),""))</f>
        <v/>
      </c>
      <c r="H271" s="75" t="str">
        <f>IF($T$4=0,IF($O271="","",$O271),IFERROR(IF([1]财务取数接口!$I$270=0,"",[1]财务取数接口!$I$270),""))</f>
        <v/>
      </c>
      <c r="I271" s="43"/>
      <c r="J271" s="106"/>
      <c r="K271" s="43"/>
      <c r="L271" s="43"/>
      <c r="M271" s="107"/>
      <c r="N271" s="107"/>
      <c r="O271" s="106"/>
      <c r="P271" s="139">
        <f t="shared" si="8"/>
        <v>0</v>
      </c>
      <c r="Q271" s="139">
        <f t="shared" si="9"/>
        <v>5</v>
      </c>
    </row>
    <row r="272" spans="1:17">
      <c r="A272" s="74">
        <v>271</v>
      </c>
      <c r="B272" s="89" t="str">
        <f>IF($T$4=0,IF($I272="","",$I272),IFERROR(IF([1]财务取数接口!$B$271=0,"",[1]财务取数接口!$B$271),""))</f>
        <v/>
      </c>
      <c r="C272" s="75" t="str">
        <f>IF($T$4=0,IF($J272="","",$J272),IFERROR(IF([1]财务取数接口!$C$271=0,"",[1]财务取数接口!$C$271),""))</f>
        <v/>
      </c>
      <c r="D272" s="89" t="str">
        <f>IF($T$4=0,IF($K272="","",$K272),IFERROR(IF([1]财务取数接口!$D$271=0,"",[1]财务取数接口!$D$271),""))</f>
        <v/>
      </c>
      <c r="E272" s="89" t="str">
        <f>IF($T$4=0,IF($L272="","",$L272),IFERROR(IF([1]财务取数接口!$E$271=0,"",[1]财务取数接口!$E$271),""))</f>
        <v/>
      </c>
      <c r="F272" s="76" t="str">
        <f>IF($T$4=0,IF($M272="","",$M272),IFERROR(IF([1]财务取数接口!$G$271=0,"",[1]财务取数接口!$G$271),""))</f>
        <v/>
      </c>
      <c r="G272" s="76" t="str">
        <f>IF($T$4=0,IF($N272="","",$N272),IFERROR(IF([1]财务取数接口!$H$271=0,"",[1]财务取数接口!$H$271),""))</f>
        <v/>
      </c>
      <c r="H272" s="75" t="str">
        <f>IF($T$4=0,IF($O272="","",$O272),IFERROR(IF([1]财务取数接口!$I$271=0,"",[1]财务取数接口!$I$271),""))</f>
        <v/>
      </c>
      <c r="I272" s="43"/>
      <c r="J272" s="106"/>
      <c r="K272" s="43"/>
      <c r="L272" s="43"/>
      <c r="M272" s="107"/>
      <c r="N272" s="107"/>
      <c r="O272" s="106"/>
      <c r="P272" s="139">
        <f t="shared" si="8"/>
        <v>0</v>
      </c>
      <c r="Q272" s="139">
        <f t="shared" si="9"/>
        <v>5</v>
      </c>
    </row>
    <row r="273" spans="1:17">
      <c r="A273" s="74">
        <v>272</v>
      </c>
      <c r="B273" s="89" t="str">
        <f>IF($T$4=0,IF($I273="","",$I273),IFERROR(IF([1]财务取数接口!$B$272=0,"",[1]财务取数接口!$B$272),""))</f>
        <v/>
      </c>
      <c r="C273" s="75" t="str">
        <f>IF($T$4=0,IF($J273="","",$J273),IFERROR(IF([1]财务取数接口!$C$272=0,"",[1]财务取数接口!$C$272),""))</f>
        <v/>
      </c>
      <c r="D273" s="89" t="str">
        <f>IF($T$4=0,IF($K273="","",$K273),IFERROR(IF([1]财务取数接口!$D$272=0,"",[1]财务取数接口!$D$272),""))</f>
        <v/>
      </c>
      <c r="E273" s="89" t="str">
        <f>IF($T$4=0,IF($L273="","",$L273),IFERROR(IF([1]财务取数接口!$E$272=0,"",[1]财务取数接口!$E$272),""))</f>
        <v/>
      </c>
      <c r="F273" s="76" t="str">
        <f>IF($T$4=0,IF($M273="","",$M273),IFERROR(IF([1]财务取数接口!$G$272=0,"",[1]财务取数接口!$G$272),""))</f>
        <v/>
      </c>
      <c r="G273" s="76" t="str">
        <f>IF($T$4=0,IF($N273="","",$N273),IFERROR(IF([1]财务取数接口!$H$272=0,"",[1]财务取数接口!$H$272),""))</f>
        <v/>
      </c>
      <c r="H273" s="75" t="str">
        <f>IF($T$4=0,IF($O273="","",$O273),IFERROR(IF([1]财务取数接口!$I$272=0,"",[1]财务取数接口!$I$272),""))</f>
        <v/>
      </c>
      <c r="I273" s="43"/>
      <c r="J273" s="106"/>
      <c r="K273" s="43"/>
      <c r="L273" s="43"/>
      <c r="M273" s="107"/>
      <c r="N273" s="107"/>
      <c r="O273" s="106"/>
      <c r="P273" s="139">
        <f t="shared" si="8"/>
        <v>0</v>
      </c>
      <c r="Q273" s="139">
        <f t="shared" si="9"/>
        <v>5</v>
      </c>
    </row>
    <row r="274" spans="1:17">
      <c r="A274" s="74">
        <v>273</v>
      </c>
      <c r="B274" s="89" t="str">
        <f>IF($T$4=0,IF($I274="","",$I274),IFERROR(IF([1]财务取数接口!$B$273=0,"",[1]财务取数接口!$B$273),""))</f>
        <v/>
      </c>
      <c r="C274" s="75" t="str">
        <f>IF($T$4=0,IF($J274="","",$J274),IFERROR(IF([1]财务取数接口!$C$273=0,"",[1]财务取数接口!$C$273),""))</f>
        <v/>
      </c>
      <c r="D274" s="89" t="str">
        <f>IF($T$4=0,IF($K274="","",$K274),IFERROR(IF([1]财务取数接口!$D$273=0,"",[1]财务取数接口!$D$273),""))</f>
        <v/>
      </c>
      <c r="E274" s="89" t="str">
        <f>IF($T$4=0,IF($L274="","",$L274),IFERROR(IF([1]财务取数接口!$E$273=0,"",[1]财务取数接口!$E$273),""))</f>
        <v/>
      </c>
      <c r="F274" s="76" t="str">
        <f>IF($T$4=0,IF($M274="","",$M274),IFERROR(IF([1]财务取数接口!$G$273=0,"",[1]财务取数接口!$G$273),""))</f>
        <v/>
      </c>
      <c r="G274" s="76" t="str">
        <f>IF($T$4=0,IF($N274="","",$N274),IFERROR(IF([1]财务取数接口!$H$273=0,"",[1]财务取数接口!$H$273),""))</f>
        <v/>
      </c>
      <c r="H274" s="75" t="str">
        <f>IF($T$4=0,IF($O274="","",$O274),IFERROR(IF([1]财务取数接口!$I$273=0,"",[1]财务取数接口!$I$273),""))</f>
        <v/>
      </c>
      <c r="I274" s="43"/>
      <c r="J274" s="106"/>
      <c r="K274" s="43"/>
      <c r="L274" s="43"/>
      <c r="M274" s="107"/>
      <c r="N274" s="107"/>
      <c r="O274" s="106"/>
      <c r="P274" s="139">
        <f t="shared" si="8"/>
        <v>0</v>
      </c>
      <c r="Q274" s="139">
        <f t="shared" si="9"/>
        <v>5</v>
      </c>
    </row>
    <row r="275" spans="1:17">
      <c r="A275" s="74">
        <v>274</v>
      </c>
      <c r="B275" s="89" t="str">
        <f>IF($T$4=0,IF($I275="","",$I275),IFERROR(IF([1]财务取数接口!$B$274=0,"",[1]财务取数接口!$B$274),""))</f>
        <v/>
      </c>
      <c r="C275" s="75" t="str">
        <f>IF($T$4=0,IF($J275="","",$J275),IFERROR(IF([1]财务取数接口!$C$274=0,"",[1]财务取数接口!$C$274),""))</f>
        <v/>
      </c>
      <c r="D275" s="89" t="str">
        <f>IF($T$4=0,IF($K275="","",$K275),IFERROR(IF([1]财务取数接口!$D$274=0,"",[1]财务取数接口!$D$274),""))</f>
        <v/>
      </c>
      <c r="E275" s="89" t="str">
        <f>IF($T$4=0,IF($L275="","",$L275),IFERROR(IF([1]财务取数接口!$E$274=0,"",[1]财务取数接口!$E$274),""))</f>
        <v/>
      </c>
      <c r="F275" s="76" t="str">
        <f>IF($T$4=0,IF($M275="","",$M275),IFERROR(IF([1]财务取数接口!$G$274=0,"",[1]财务取数接口!$G$274),""))</f>
        <v/>
      </c>
      <c r="G275" s="76" t="str">
        <f>IF($T$4=0,IF($N275="","",$N275),IFERROR(IF([1]财务取数接口!$H$274=0,"",[1]财务取数接口!$H$274),""))</f>
        <v/>
      </c>
      <c r="H275" s="75" t="str">
        <f>IF($T$4=0,IF($O275="","",$O275),IFERROR(IF([1]财务取数接口!$I$274=0,"",[1]财务取数接口!$I$274),""))</f>
        <v/>
      </c>
      <c r="I275" s="43"/>
      <c r="J275" s="106"/>
      <c r="K275" s="43"/>
      <c r="L275" s="43"/>
      <c r="M275" s="107"/>
      <c r="N275" s="107"/>
      <c r="O275" s="106"/>
      <c r="P275" s="139">
        <f t="shared" si="8"/>
        <v>0</v>
      </c>
      <c r="Q275" s="139">
        <f t="shared" si="9"/>
        <v>5</v>
      </c>
    </row>
    <row r="276" spans="1:17">
      <c r="A276" s="74">
        <v>275</v>
      </c>
      <c r="B276" s="89" t="str">
        <f>IF($T$4=0,IF($I276="","",$I276),IFERROR(IF([1]财务取数接口!$B$275=0,"",[1]财务取数接口!$B$275),""))</f>
        <v/>
      </c>
      <c r="C276" s="75" t="str">
        <f>IF($T$4=0,IF($J276="","",$J276),IFERROR(IF([1]财务取数接口!$C$275=0,"",[1]财务取数接口!$C$275),""))</f>
        <v/>
      </c>
      <c r="D276" s="89" t="str">
        <f>IF($T$4=0,IF($K276="","",$K276),IFERROR(IF([1]财务取数接口!$D$275=0,"",[1]财务取数接口!$D$275),""))</f>
        <v/>
      </c>
      <c r="E276" s="89" t="str">
        <f>IF($T$4=0,IF($L276="","",$L276),IFERROR(IF([1]财务取数接口!$E$275=0,"",[1]财务取数接口!$E$275),""))</f>
        <v/>
      </c>
      <c r="F276" s="76" t="str">
        <f>IF($T$4=0,IF($M276="","",$M276),IFERROR(IF([1]财务取数接口!$G$275=0,"",[1]财务取数接口!$G$275),""))</f>
        <v/>
      </c>
      <c r="G276" s="76" t="str">
        <f>IF($T$4=0,IF($N276="","",$N276),IFERROR(IF([1]财务取数接口!$H$275=0,"",[1]财务取数接口!$H$275),""))</f>
        <v/>
      </c>
      <c r="H276" s="75" t="str">
        <f>IF($T$4=0,IF($O276="","",$O276),IFERROR(IF([1]财务取数接口!$I$275=0,"",[1]财务取数接口!$I$275),""))</f>
        <v/>
      </c>
      <c r="I276" s="43"/>
      <c r="J276" s="106"/>
      <c r="K276" s="43"/>
      <c r="L276" s="43"/>
      <c r="M276" s="107"/>
      <c r="N276" s="107"/>
      <c r="O276" s="106"/>
      <c r="P276" s="139">
        <f t="shared" si="8"/>
        <v>0</v>
      </c>
      <c r="Q276" s="139">
        <f t="shared" si="9"/>
        <v>5</v>
      </c>
    </row>
    <row r="277" spans="1:17">
      <c r="A277" s="74">
        <v>276</v>
      </c>
      <c r="B277" s="89" t="str">
        <f>IF($T$4=0,IF($I277="","",$I277),IFERROR(IF([1]财务取数接口!$B$276=0,"",[1]财务取数接口!$B$276),""))</f>
        <v/>
      </c>
      <c r="C277" s="75" t="str">
        <f>IF($T$4=0,IF($J277="","",$J277),IFERROR(IF([1]财务取数接口!$C$276=0,"",[1]财务取数接口!$C$276),""))</f>
        <v/>
      </c>
      <c r="D277" s="89" t="str">
        <f>IF($T$4=0,IF($K277="","",$K277),IFERROR(IF([1]财务取数接口!$D$276=0,"",[1]财务取数接口!$D$276),""))</f>
        <v/>
      </c>
      <c r="E277" s="89" t="str">
        <f>IF($T$4=0,IF($L277="","",$L277),IFERROR(IF([1]财务取数接口!$E$276=0,"",[1]财务取数接口!$E$276),""))</f>
        <v/>
      </c>
      <c r="F277" s="76" t="str">
        <f>IF($T$4=0,IF($M277="","",$M277),IFERROR(IF([1]财务取数接口!$G$276=0,"",[1]财务取数接口!$G$276),""))</f>
        <v/>
      </c>
      <c r="G277" s="76" t="str">
        <f>IF($T$4=0,IF($N277="","",$N277),IFERROR(IF([1]财务取数接口!$H$276=0,"",[1]财务取数接口!$H$276),""))</f>
        <v/>
      </c>
      <c r="H277" s="75" t="str">
        <f>IF($T$4=0,IF($O277="","",$O277),IFERROR(IF([1]财务取数接口!$I$276=0,"",[1]财务取数接口!$I$276),""))</f>
        <v/>
      </c>
      <c r="I277" s="43"/>
      <c r="J277" s="106"/>
      <c r="K277" s="43"/>
      <c r="L277" s="43"/>
      <c r="M277" s="107"/>
      <c r="N277" s="107"/>
      <c r="O277" s="106"/>
      <c r="P277" s="139">
        <f t="shared" si="8"/>
        <v>0</v>
      </c>
      <c r="Q277" s="139">
        <f t="shared" si="9"/>
        <v>5</v>
      </c>
    </row>
    <row r="278" spans="1:17">
      <c r="A278" s="74">
        <v>277</v>
      </c>
      <c r="B278" s="89" t="str">
        <f>IF($T$4=0,IF($I278="","",$I278),IFERROR(IF([1]财务取数接口!$B$277=0,"",[1]财务取数接口!$B$277),""))</f>
        <v/>
      </c>
      <c r="C278" s="75" t="str">
        <f>IF($T$4=0,IF($J278="","",$J278),IFERROR(IF([1]财务取数接口!$C$277=0,"",[1]财务取数接口!$C$277),""))</f>
        <v/>
      </c>
      <c r="D278" s="89" t="str">
        <f>IF($T$4=0,IF($K278="","",$K278),IFERROR(IF([1]财务取数接口!$D$277=0,"",[1]财务取数接口!$D$277),""))</f>
        <v/>
      </c>
      <c r="E278" s="89" t="str">
        <f>IF($T$4=0,IF($L278="","",$L278),IFERROR(IF([1]财务取数接口!$E$277=0,"",[1]财务取数接口!$E$277),""))</f>
        <v/>
      </c>
      <c r="F278" s="76" t="str">
        <f>IF($T$4=0,IF($M278="","",$M278),IFERROR(IF([1]财务取数接口!$G$277=0,"",[1]财务取数接口!$G$277),""))</f>
        <v/>
      </c>
      <c r="G278" s="76" t="str">
        <f>IF($T$4=0,IF($N278="","",$N278),IFERROR(IF([1]财务取数接口!$H$277=0,"",[1]财务取数接口!$H$277),""))</f>
        <v/>
      </c>
      <c r="H278" s="75" t="str">
        <f>IF($T$4=0,IF($O278="","",$O278),IFERROR(IF([1]财务取数接口!$I$277=0,"",[1]财务取数接口!$I$277),""))</f>
        <v/>
      </c>
      <c r="I278" s="43"/>
      <c r="J278" s="106"/>
      <c r="K278" s="43"/>
      <c r="L278" s="43"/>
      <c r="M278" s="107"/>
      <c r="N278" s="107"/>
      <c r="O278" s="106"/>
      <c r="P278" s="139">
        <f t="shared" si="8"/>
        <v>0</v>
      </c>
      <c r="Q278" s="139">
        <f t="shared" si="9"/>
        <v>5</v>
      </c>
    </row>
    <row r="279" spans="1:17">
      <c r="A279" s="74">
        <v>278</v>
      </c>
      <c r="B279" s="89" t="str">
        <f>IF($T$4=0,IF($I279="","",$I279),IFERROR(IF([1]财务取数接口!$B$278=0,"",[1]财务取数接口!$B$278),""))</f>
        <v/>
      </c>
      <c r="C279" s="75" t="str">
        <f>IF($T$4=0,IF($J279="","",$J279),IFERROR(IF([1]财务取数接口!$C$278=0,"",[1]财务取数接口!$C$278),""))</f>
        <v/>
      </c>
      <c r="D279" s="89" t="str">
        <f>IF($T$4=0,IF($K279="","",$K279),IFERROR(IF([1]财务取数接口!$D$278=0,"",[1]财务取数接口!$D$278),""))</f>
        <v/>
      </c>
      <c r="E279" s="89" t="str">
        <f>IF($T$4=0,IF($L279="","",$L279),IFERROR(IF([1]财务取数接口!$E$278=0,"",[1]财务取数接口!$E$278),""))</f>
        <v/>
      </c>
      <c r="F279" s="76" t="str">
        <f>IF($T$4=0,IF($M279="","",$M279),IFERROR(IF([1]财务取数接口!$G$278=0,"",[1]财务取数接口!$G$278),""))</f>
        <v/>
      </c>
      <c r="G279" s="76" t="str">
        <f>IF($T$4=0,IF($N279="","",$N279),IFERROR(IF([1]财务取数接口!$H$278=0,"",[1]财务取数接口!$H$278),""))</f>
        <v/>
      </c>
      <c r="H279" s="75" t="str">
        <f>IF($T$4=0,IF($O279="","",$O279),IFERROR(IF([1]财务取数接口!$I$278=0,"",[1]财务取数接口!$I$278),""))</f>
        <v/>
      </c>
      <c r="I279" s="43"/>
      <c r="J279" s="106"/>
      <c r="K279" s="43"/>
      <c r="L279" s="43"/>
      <c r="M279" s="107"/>
      <c r="N279" s="107"/>
      <c r="O279" s="106"/>
      <c r="P279" s="139">
        <f t="shared" si="8"/>
        <v>0</v>
      </c>
      <c r="Q279" s="139">
        <f t="shared" si="9"/>
        <v>5</v>
      </c>
    </row>
    <row r="280" spans="1:17">
      <c r="A280" s="74">
        <v>279</v>
      </c>
      <c r="B280" s="89" t="str">
        <f>IF($T$4=0,IF($I280="","",$I280),IFERROR(IF([1]财务取数接口!$B$279=0,"",[1]财务取数接口!$B$279),""))</f>
        <v/>
      </c>
      <c r="C280" s="75" t="str">
        <f>IF($T$4=0,IF($J280="","",$J280),IFERROR(IF([1]财务取数接口!$C$279=0,"",[1]财务取数接口!$C$279),""))</f>
        <v/>
      </c>
      <c r="D280" s="89" t="str">
        <f>IF($T$4=0,IF($K280="","",$K280),IFERROR(IF([1]财务取数接口!$D$279=0,"",[1]财务取数接口!$D$279),""))</f>
        <v/>
      </c>
      <c r="E280" s="89" t="str">
        <f>IF($T$4=0,IF($L280="","",$L280),IFERROR(IF([1]财务取数接口!$E$279=0,"",[1]财务取数接口!$E$279),""))</f>
        <v/>
      </c>
      <c r="F280" s="76" t="str">
        <f>IF($T$4=0,IF($M280="","",$M280),IFERROR(IF([1]财务取数接口!$G$279=0,"",[1]财务取数接口!$G$279),""))</f>
        <v/>
      </c>
      <c r="G280" s="76" t="str">
        <f>IF($T$4=0,IF($N280="","",$N280),IFERROR(IF([1]财务取数接口!$H$279=0,"",[1]财务取数接口!$H$279),""))</f>
        <v/>
      </c>
      <c r="H280" s="75" t="str">
        <f>IF($T$4=0,IF($O280="","",$O280),IFERROR(IF([1]财务取数接口!$I$279=0,"",[1]财务取数接口!$I$279),""))</f>
        <v/>
      </c>
      <c r="I280" s="43"/>
      <c r="J280" s="106"/>
      <c r="K280" s="43"/>
      <c r="L280" s="43"/>
      <c r="M280" s="107"/>
      <c r="N280" s="107"/>
      <c r="O280" s="106"/>
      <c r="P280" s="139">
        <f t="shared" si="8"/>
        <v>0</v>
      </c>
      <c r="Q280" s="139">
        <f t="shared" si="9"/>
        <v>5</v>
      </c>
    </row>
    <row r="281" spans="1:17">
      <c r="A281" s="74">
        <v>280</v>
      </c>
      <c r="B281" s="89" t="str">
        <f>IF($T$4=0,IF($I281="","",$I281),IFERROR(IF([1]财务取数接口!$B$280=0,"",[1]财务取数接口!$B$280),""))</f>
        <v/>
      </c>
      <c r="C281" s="75" t="str">
        <f>IF($T$4=0,IF($J281="","",$J281),IFERROR(IF([1]财务取数接口!$C$280=0,"",[1]财务取数接口!$C$280),""))</f>
        <v/>
      </c>
      <c r="D281" s="89" t="str">
        <f>IF($T$4=0,IF($K281="","",$K281),IFERROR(IF([1]财务取数接口!$D$280=0,"",[1]财务取数接口!$D$280),""))</f>
        <v/>
      </c>
      <c r="E281" s="89" t="str">
        <f>IF($T$4=0,IF($L281="","",$L281),IFERROR(IF([1]财务取数接口!$E$280=0,"",[1]财务取数接口!$E$280),""))</f>
        <v/>
      </c>
      <c r="F281" s="76" t="str">
        <f>IF($T$4=0,IF($M281="","",$M281),IFERROR(IF([1]财务取数接口!$G$280=0,"",[1]财务取数接口!$G$280),""))</f>
        <v/>
      </c>
      <c r="G281" s="76" t="str">
        <f>IF($T$4=0,IF($N281="","",$N281),IFERROR(IF([1]财务取数接口!$H$280=0,"",[1]财务取数接口!$H$280),""))</f>
        <v/>
      </c>
      <c r="H281" s="75" t="str">
        <f>IF($T$4=0,IF($O281="","",$O281),IFERROR(IF([1]财务取数接口!$I$280=0,"",[1]财务取数接口!$I$280),""))</f>
        <v/>
      </c>
      <c r="I281" s="43"/>
      <c r="J281" s="106"/>
      <c r="K281" s="43"/>
      <c r="L281" s="43"/>
      <c r="M281" s="107"/>
      <c r="N281" s="107"/>
      <c r="O281" s="106"/>
      <c r="P281" s="139">
        <f t="shared" si="8"/>
        <v>0</v>
      </c>
      <c r="Q281" s="139">
        <f t="shared" si="9"/>
        <v>5</v>
      </c>
    </row>
    <row r="282" spans="1:17">
      <c r="A282" s="74">
        <v>281</v>
      </c>
      <c r="B282" s="89" t="str">
        <f>IF($T$4=0,IF($I282="","",$I282),IFERROR(IF([1]财务取数接口!$B$281=0,"",[1]财务取数接口!$B$281),""))</f>
        <v/>
      </c>
      <c r="C282" s="75" t="str">
        <f>IF($T$4=0,IF($J282="","",$J282),IFERROR(IF([1]财务取数接口!$C$281=0,"",[1]财务取数接口!$C$281),""))</f>
        <v/>
      </c>
      <c r="D282" s="89" t="str">
        <f>IF($T$4=0,IF($K282="","",$K282),IFERROR(IF([1]财务取数接口!$D$281=0,"",[1]财务取数接口!$D$281),""))</f>
        <v/>
      </c>
      <c r="E282" s="89" t="str">
        <f>IF($T$4=0,IF($L282="","",$L282),IFERROR(IF([1]财务取数接口!$E$281=0,"",[1]财务取数接口!$E$281),""))</f>
        <v/>
      </c>
      <c r="F282" s="76" t="str">
        <f>IF($T$4=0,IF($M282="","",$M282),IFERROR(IF([1]财务取数接口!$G$281=0,"",[1]财务取数接口!$G$281),""))</f>
        <v/>
      </c>
      <c r="G282" s="76" t="str">
        <f>IF($T$4=0,IF($N282="","",$N282),IFERROR(IF([1]财务取数接口!$H$281=0,"",[1]财务取数接口!$H$281),""))</f>
        <v/>
      </c>
      <c r="H282" s="75" t="str">
        <f>IF($T$4=0,IF($O282="","",$O282),IFERROR(IF([1]财务取数接口!$I$281=0,"",[1]财务取数接口!$I$281),""))</f>
        <v/>
      </c>
      <c r="I282" s="43"/>
      <c r="J282" s="106"/>
      <c r="K282" s="43"/>
      <c r="L282" s="43"/>
      <c r="M282" s="107"/>
      <c r="N282" s="107"/>
      <c r="O282" s="106"/>
      <c r="P282" s="139">
        <f t="shared" si="8"/>
        <v>0</v>
      </c>
      <c r="Q282" s="139">
        <f t="shared" si="9"/>
        <v>5</v>
      </c>
    </row>
    <row r="283" spans="1:17">
      <c r="A283" s="74">
        <v>282</v>
      </c>
      <c r="B283" s="89" t="str">
        <f>IF($T$4=0,IF($I283="","",$I283),IFERROR(IF([1]财务取数接口!$B$282=0,"",[1]财务取数接口!$B$282),""))</f>
        <v/>
      </c>
      <c r="C283" s="75" t="str">
        <f>IF($T$4=0,IF($J283="","",$J283),IFERROR(IF([1]财务取数接口!$C$282=0,"",[1]财务取数接口!$C$282),""))</f>
        <v/>
      </c>
      <c r="D283" s="89" t="str">
        <f>IF($T$4=0,IF($K283="","",$K283),IFERROR(IF([1]财务取数接口!$D$282=0,"",[1]财务取数接口!$D$282),""))</f>
        <v/>
      </c>
      <c r="E283" s="89" t="str">
        <f>IF($T$4=0,IF($L283="","",$L283),IFERROR(IF([1]财务取数接口!$E$282=0,"",[1]财务取数接口!$E$282),""))</f>
        <v/>
      </c>
      <c r="F283" s="76" t="str">
        <f>IF($T$4=0,IF($M283="","",$M283),IFERROR(IF([1]财务取数接口!$G$282=0,"",[1]财务取数接口!$G$282),""))</f>
        <v/>
      </c>
      <c r="G283" s="76" t="str">
        <f>IF($T$4=0,IF($N283="","",$N283),IFERROR(IF([1]财务取数接口!$H$282=0,"",[1]财务取数接口!$H$282),""))</f>
        <v/>
      </c>
      <c r="H283" s="75" t="str">
        <f>IF($T$4=0,IF($O283="","",$O283),IFERROR(IF([1]财务取数接口!$I$282=0,"",[1]财务取数接口!$I$282),""))</f>
        <v/>
      </c>
      <c r="I283" s="43"/>
      <c r="J283" s="106"/>
      <c r="K283" s="43"/>
      <c r="L283" s="43"/>
      <c r="M283" s="107"/>
      <c r="N283" s="107"/>
      <c r="O283" s="106"/>
      <c r="P283" s="139">
        <f t="shared" si="8"/>
        <v>0</v>
      </c>
      <c r="Q283" s="139">
        <f t="shared" si="9"/>
        <v>5</v>
      </c>
    </row>
    <row r="284" spans="1:17">
      <c r="A284" s="74">
        <v>283</v>
      </c>
      <c r="B284" s="89" t="str">
        <f>IF($T$4=0,IF($I284="","",$I284),IFERROR(IF([1]财务取数接口!$B$283=0,"",[1]财务取数接口!$B$283),""))</f>
        <v/>
      </c>
      <c r="C284" s="75" t="str">
        <f>IF($T$4=0,IF($J284="","",$J284),IFERROR(IF([1]财务取数接口!$C$283=0,"",[1]财务取数接口!$C$283),""))</f>
        <v/>
      </c>
      <c r="D284" s="89" t="str">
        <f>IF($T$4=0,IF($K284="","",$K284),IFERROR(IF([1]财务取数接口!$D$283=0,"",[1]财务取数接口!$D$283),""))</f>
        <v/>
      </c>
      <c r="E284" s="89" t="str">
        <f>IF($T$4=0,IF($L284="","",$L284),IFERROR(IF([1]财务取数接口!$E$283=0,"",[1]财务取数接口!$E$283),""))</f>
        <v/>
      </c>
      <c r="F284" s="76" t="str">
        <f>IF($T$4=0,IF($M284="","",$M284),IFERROR(IF([1]财务取数接口!$G$283=0,"",[1]财务取数接口!$G$283),""))</f>
        <v/>
      </c>
      <c r="G284" s="76" t="str">
        <f>IF($T$4=0,IF($N284="","",$N284),IFERROR(IF([1]财务取数接口!$H$283=0,"",[1]财务取数接口!$H$283),""))</f>
        <v/>
      </c>
      <c r="H284" s="75" t="str">
        <f>IF($T$4=0,IF($O284="","",$O284),IFERROR(IF([1]财务取数接口!$I$283=0,"",[1]财务取数接口!$I$283),""))</f>
        <v/>
      </c>
      <c r="I284" s="43"/>
      <c r="J284" s="106"/>
      <c r="K284" s="43"/>
      <c r="L284" s="43"/>
      <c r="M284" s="107"/>
      <c r="N284" s="107"/>
      <c r="O284" s="106"/>
      <c r="P284" s="139">
        <f t="shared" si="8"/>
        <v>0</v>
      </c>
      <c r="Q284" s="139">
        <f t="shared" si="9"/>
        <v>5</v>
      </c>
    </row>
    <row r="285" spans="1:17">
      <c r="A285" s="74">
        <v>284</v>
      </c>
      <c r="B285" s="89" t="str">
        <f>IF($T$4=0,IF($I285="","",$I285),IFERROR(IF([1]财务取数接口!$B$284=0,"",[1]财务取数接口!$B$284),""))</f>
        <v/>
      </c>
      <c r="C285" s="75" t="str">
        <f>IF($T$4=0,IF($J285="","",$J285),IFERROR(IF([1]财务取数接口!$C$284=0,"",[1]财务取数接口!$C$284),""))</f>
        <v/>
      </c>
      <c r="D285" s="89" t="str">
        <f>IF($T$4=0,IF($K285="","",$K285),IFERROR(IF([1]财务取数接口!$D$284=0,"",[1]财务取数接口!$D$284),""))</f>
        <v/>
      </c>
      <c r="E285" s="89" t="str">
        <f>IF($T$4=0,IF($L285="","",$L285),IFERROR(IF([1]财务取数接口!$E$284=0,"",[1]财务取数接口!$E$284),""))</f>
        <v/>
      </c>
      <c r="F285" s="76" t="str">
        <f>IF($T$4=0,IF($M285="","",$M285),IFERROR(IF([1]财务取数接口!$G$284=0,"",[1]财务取数接口!$G$284),""))</f>
        <v/>
      </c>
      <c r="G285" s="76" t="str">
        <f>IF($T$4=0,IF($N285="","",$N285),IFERROR(IF([1]财务取数接口!$H$284=0,"",[1]财务取数接口!$H$284),""))</f>
        <v/>
      </c>
      <c r="H285" s="75" t="str">
        <f>IF($T$4=0,IF($O285="","",$O285),IFERROR(IF([1]财务取数接口!$I$284=0,"",[1]财务取数接口!$I$284),""))</f>
        <v/>
      </c>
      <c r="I285" s="43"/>
      <c r="J285" s="106"/>
      <c r="K285" s="43"/>
      <c r="L285" s="43"/>
      <c r="M285" s="107"/>
      <c r="N285" s="107"/>
      <c r="O285" s="106"/>
      <c r="P285" s="139">
        <f t="shared" si="8"/>
        <v>0</v>
      </c>
      <c r="Q285" s="139">
        <f t="shared" si="9"/>
        <v>5</v>
      </c>
    </row>
    <row r="286" spans="1:17">
      <c r="A286" s="74">
        <v>285</v>
      </c>
      <c r="B286" s="89" t="str">
        <f>IF($T$4=0,IF($I286="","",$I286),IFERROR(IF([1]财务取数接口!$B$285=0,"",[1]财务取数接口!$B$285),""))</f>
        <v/>
      </c>
      <c r="C286" s="75" t="str">
        <f>IF($T$4=0,IF($J286="","",$J286),IFERROR(IF([1]财务取数接口!$C$285=0,"",[1]财务取数接口!$C$285),""))</f>
        <v/>
      </c>
      <c r="D286" s="89" t="str">
        <f>IF($T$4=0,IF($K286="","",$K286),IFERROR(IF([1]财务取数接口!$D$285=0,"",[1]财务取数接口!$D$285),""))</f>
        <v/>
      </c>
      <c r="E286" s="89" t="str">
        <f>IF($T$4=0,IF($L286="","",$L286),IFERROR(IF([1]财务取数接口!$E$285=0,"",[1]财务取数接口!$E$285),""))</f>
        <v/>
      </c>
      <c r="F286" s="76" t="str">
        <f>IF($T$4=0,IF($M286="","",$M286),IFERROR(IF([1]财务取数接口!$G$285=0,"",[1]财务取数接口!$G$285),""))</f>
        <v/>
      </c>
      <c r="G286" s="76" t="str">
        <f>IF($T$4=0,IF($N286="","",$N286),IFERROR(IF([1]财务取数接口!$H$285=0,"",[1]财务取数接口!$H$285),""))</f>
        <v/>
      </c>
      <c r="H286" s="75" t="str">
        <f>IF($T$4=0,IF($O286="","",$O286),IFERROR(IF([1]财务取数接口!$I$285=0,"",[1]财务取数接口!$I$285),""))</f>
        <v/>
      </c>
      <c r="I286" s="43"/>
      <c r="J286" s="106"/>
      <c r="K286" s="43"/>
      <c r="L286" s="43"/>
      <c r="M286" s="107"/>
      <c r="N286" s="107"/>
      <c r="O286" s="106"/>
      <c r="P286" s="139">
        <f t="shared" si="8"/>
        <v>0</v>
      </c>
      <c r="Q286" s="139">
        <f t="shared" si="9"/>
        <v>5</v>
      </c>
    </row>
    <row r="287" spans="1:17">
      <c r="A287" s="74">
        <v>286</v>
      </c>
      <c r="B287" s="89" t="str">
        <f>IF($T$4=0,IF($I287="","",$I287),IFERROR(IF([1]财务取数接口!$B$286=0,"",[1]财务取数接口!$B$286),""))</f>
        <v/>
      </c>
      <c r="C287" s="75" t="str">
        <f>IF($T$4=0,IF($J287="","",$J287),IFERROR(IF([1]财务取数接口!$C$286=0,"",[1]财务取数接口!$C$286),""))</f>
        <v/>
      </c>
      <c r="D287" s="89" t="str">
        <f>IF($T$4=0,IF($K287="","",$K287),IFERROR(IF([1]财务取数接口!$D$286=0,"",[1]财务取数接口!$D$286),""))</f>
        <v/>
      </c>
      <c r="E287" s="89" t="str">
        <f>IF($T$4=0,IF($L287="","",$L287),IFERROR(IF([1]财务取数接口!$E$286=0,"",[1]财务取数接口!$E$286),""))</f>
        <v/>
      </c>
      <c r="F287" s="76" t="str">
        <f>IF($T$4=0,IF($M287="","",$M287),IFERROR(IF([1]财务取数接口!$G$286=0,"",[1]财务取数接口!$G$286),""))</f>
        <v/>
      </c>
      <c r="G287" s="76" t="str">
        <f>IF($T$4=0,IF($N287="","",$N287),IFERROR(IF([1]财务取数接口!$H$286=0,"",[1]财务取数接口!$H$286),""))</f>
        <v/>
      </c>
      <c r="H287" s="75" t="str">
        <f>IF($T$4=0,IF($O287="","",$O287),IFERROR(IF([1]财务取数接口!$I$286=0,"",[1]财务取数接口!$I$286),""))</f>
        <v/>
      </c>
      <c r="I287" s="43"/>
      <c r="J287" s="106"/>
      <c r="K287" s="43"/>
      <c r="L287" s="43"/>
      <c r="M287" s="107"/>
      <c r="N287" s="107"/>
      <c r="O287" s="106"/>
      <c r="P287" s="139">
        <f t="shared" si="8"/>
        <v>0</v>
      </c>
      <c r="Q287" s="139">
        <f t="shared" si="9"/>
        <v>5</v>
      </c>
    </row>
    <row r="288" spans="1:17">
      <c r="A288" s="74">
        <v>287</v>
      </c>
      <c r="B288" s="89" t="str">
        <f>IF($T$4=0,IF($I288="","",$I288),IFERROR(IF([1]财务取数接口!$B$287=0,"",[1]财务取数接口!$B$287),""))</f>
        <v/>
      </c>
      <c r="C288" s="75" t="str">
        <f>IF($T$4=0,IF($J288="","",$J288),IFERROR(IF([1]财务取数接口!$C$287=0,"",[1]财务取数接口!$C$287),""))</f>
        <v/>
      </c>
      <c r="D288" s="89" t="str">
        <f>IF($T$4=0,IF($K288="","",$K288),IFERROR(IF([1]财务取数接口!$D$287=0,"",[1]财务取数接口!$D$287),""))</f>
        <v/>
      </c>
      <c r="E288" s="89" t="str">
        <f>IF($T$4=0,IF($L288="","",$L288),IFERROR(IF([1]财务取数接口!$E$287=0,"",[1]财务取数接口!$E$287),""))</f>
        <v/>
      </c>
      <c r="F288" s="76" t="str">
        <f>IF($T$4=0,IF($M288="","",$M288),IFERROR(IF([1]财务取数接口!$G$287=0,"",[1]财务取数接口!$G$287),""))</f>
        <v/>
      </c>
      <c r="G288" s="76" t="str">
        <f>IF($T$4=0,IF($N288="","",$N288),IFERROR(IF([1]财务取数接口!$H$287=0,"",[1]财务取数接口!$H$287),""))</f>
        <v/>
      </c>
      <c r="H288" s="75" t="str">
        <f>IF($T$4=0,IF($O288="","",$O288),IFERROR(IF([1]财务取数接口!$I$287=0,"",[1]财务取数接口!$I$287),""))</f>
        <v/>
      </c>
      <c r="I288" s="43"/>
      <c r="J288" s="106"/>
      <c r="K288" s="43"/>
      <c r="L288" s="43"/>
      <c r="M288" s="107"/>
      <c r="N288" s="107"/>
      <c r="O288" s="106"/>
      <c r="P288" s="139">
        <f t="shared" si="8"/>
        <v>0</v>
      </c>
      <c r="Q288" s="139">
        <f t="shared" si="9"/>
        <v>5</v>
      </c>
    </row>
    <row r="289" spans="1:17">
      <c r="A289" s="74">
        <v>288</v>
      </c>
      <c r="B289" s="89" t="str">
        <f>IF($T$4=0,IF($I289="","",$I289),IFERROR(IF([1]财务取数接口!$B$288=0,"",[1]财务取数接口!$B$288),""))</f>
        <v/>
      </c>
      <c r="C289" s="75" t="str">
        <f>IF($T$4=0,IF($J289="","",$J289),IFERROR(IF([1]财务取数接口!$C$288=0,"",[1]财务取数接口!$C$288),""))</f>
        <v/>
      </c>
      <c r="D289" s="89" t="str">
        <f>IF($T$4=0,IF($K289="","",$K289),IFERROR(IF([1]财务取数接口!$D$288=0,"",[1]财务取数接口!$D$288),""))</f>
        <v/>
      </c>
      <c r="E289" s="89" t="str">
        <f>IF($T$4=0,IF($L289="","",$L289),IFERROR(IF([1]财务取数接口!$E$288=0,"",[1]财务取数接口!$E$288),""))</f>
        <v/>
      </c>
      <c r="F289" s="76" t="str">
        <f>IF($T$4=0,IF($M289="","",$M289),IFERROR(IF([1]财务取数接口!$G$288=0,"",[1]财务取数接口!$G$288),""))</f>
        <v/>
      </c>
      <c r="G289" s="76" t="str">
        <f>IF($T$4=0,IF($N289="","",$N289),IFERROR(IF([1]财务取数接口!$H$288=0,"",[1]财务取数接口!$H$288),""))</f>
        <v/>
      </c>
      <c r="H289" s="75" t="str">
        <f>IF($T$4=0,IF($O289="","",$O289),IFERROR(IF([1]财务取数接口!$I$288=0,"",[1]财务取数接口!$I$288),""))</f>
        <v/>
      </c>
      <c r="I289" s="43"/>
      <c r="J289" s="106"/>
      <c r="K289" s="43"/>
      <c r="L289" s="43"/>
      <c r="M289" s="107"/>
      <c r="N289" s="107"/>
      <c r="O289" s="106"/>
      <c r="P289" s="139">
        <f t="shared" si="8"/>
        <v>0</v>
      </c>
      <c r="Q289" s="139">
        <f t="shared" si="9"/>
        <v>5</v>
      </c>
    </row>
    <row r="290" spans="1:17">
      <c r="A290" s="74">
        <v>289</v>
      </c>
      <c r="B290" s="89" t="str">
        <f>IF($T$4=0,IF($I290="","",$I290),IFERROR(IF([1]财务取数接口!$B$289=0,"",[1]财务取数接口!$B$289),""))</f>
        <v/>
      </c>
      <c r="C290" s="75" t="str">
        <f>IF($T$4=0,IF($J290="","",$J290),IFERROR(IF([1]财务取数接口!$C$289=0,"",[1]财务取数接口!$C$289),""))</f>
        <v/>
      </c>
      <c r="D290" s="89" t="str">
        <f>IF($T$4=0,IF($K290="","",$K290),IFERROR(IF([1]财务取数接口!$D$289=0,"",[1]财务取数接口!$D$289),""))</f>
        <v/>
      </c>
      <c r="E290" s="89" t="str">
        <f>IF($T$4=0,IF($L290="","",$L290),IFERROR(IF([1]财务取数接口!$E$289=0,"",[1]财务取数接口!$E$289),""))</f>
        <v/>
      </c>
      <c r="F290" s="76" t="str">
        <f>IF($T$4=0,IF($M290="","",$M290),IFERROR(IF([1]财务取数接口!$G$289=0,"",[1]财务取数接口!$G$289),""))</f>
        <v/>
      </c>
      <c r="G290" s="76" t="str">
        <f>IF($T$4=0,IF($N290="","",$N290),IFERROR(IF([1]财务取数接口!$H$289=0,"",[1]财务取数接口!$H$289),""))</f>
        <v/>
      </c>
      <c r="H290" s="75" t="str">
        <f>IF($T$4=0,IF($O290="","",$O290),IFERROR(IF([1]财务取数接口!$I$289=0,"",[1]财务取数接口!$I$289),""))</f>
        <v/>
      </c>
      <c r="I290" s="43"/>
      <c r="J290" s="106"/>
      <c r="K290" s="43"/>
      <c r="L290" s="43"/>
      <c r="M290" s="107"/>
      <c r="N290" s="107"/>
      <c r="O290" s="106"/>
      <c r="P290" s="139">
        <f t="shared" si="8"/>
        <v>0</v>
      </c>
      <c r="Q290" s="139">
        <f t="shared" si="9"/>
        <v>5</v>
      </c>
    </row>
    <row r="291" spans="1:17">
      <c r="A291" s="74">
        <v>290</v>
      </c>
      <c r="B291" s="89" t="str">
        <f>IF($T$4=0,IF($I291="","",$I291),IFERROR(IF([1]财务取数接口!$B$290=0,"",[1]财务取数接口!$B$290),""))</f>
        <v/>
      </c>
      <c r="C291" s="75" t="str">
        <f>IF($T$4=0,IF($J291="","",$J291),IFERROR(IF([1]财务取数接口!$C$290=0,"",[1]财务取数接口!$C$290),""))</f>
        <v/>
      </c>
      <c r="D291" s="89" t="str">
        <f>IF($T$4=0,IF($K291="","",$K291),IFERROR(IF([1]财务取数接口!$D$290=0,"",[1]财务取数接口!$D$290),""))</f>
        <v/>
      </c>
      <c r="E291" s="89" t="str">
        <f>IF($T$4=0,IF($L291="","",$L291),IFERROR(IF([1]财务取数接口!$E$290=0,"",[1]财务取数接口!$E$290),""))</f>
        <v/>
      </c>
      <c r="F291" s="76" t="str">
        <f>IF($T$4=0,IF($M291="","",$M291),IFERROR(IF([1]财务取数接口!$G$290=0,"",[1]财务取数接口!$G$290),""))</f>
        <v/>
      </c>
      <c r="G291" s="76" t="str">
        <f>IF($T$4=0,IF($N291="","",$N291),IFERROR(IF([1]财务取数接口!$H$290=0,"",[1]财务取数接口!$H$290),""))</f>
        <v/>
      </c>
      <c r="H291" s="75" t="str">
        <f>IF($T$4=0,IF($O291="","",$O291),IFERROR(IF([1]财务取数接口!$I$290=0,"",[1]财务取数接口!$I$290),""))</f>
        <v/>
      </c>
      <c r="I291" s="43"/>
      <c r="J291" s="106"/>
      <c r="K291" s="43"/>
      <c r="L291" s="43"/>
      <c r="M291" s="107"/>
      <c r="N291" s="107"/>
      <c r="O291" s="106"/>
      <c r="P291" s="139">
        <f t="shared" si="8"/>
        <v>0</v>
      </c>
      <c r="Q291" s="139">
        <f t="shared" si="9"/>
        <v>5</v>
      </c>
    </row>
    <row r="292" spans="1:17">
      <c r="A292" s="74">
        <v>291</v>
      </c>
      <c r="B292" s="89" t="str">
        <f>IF($T$4=0,IF($I292="","",$I292),IFERROR(IF([1]财务取数接口!$B$291=0,"",[1]财务取数接口!$B$291),""))</f>
        <v/>
      </c>
      <c r="C292" s="75" t="str">
        <f>IF($T$4=0,IF($J292="","",$J292),IFERROR(IF([1]财务取数接口!$C$291=0,"",[1]财务取数接口!$C$291),""))</f>
        <v/>
      </c>
      <c r="D292" s="89" t="str">
        <f>IF($T$4=0,IF($K292="","",$K292),IFERROR(IF([1]财务取数接口!$D$291=0,"",[1]财务取数接口!$D$291),""))</f>
        <v/>
      </c>
      <c r="E292" s="89" t="str">
        <f>IF($T$4=0,IF($L292="","",$L292),IFERROR(IF([1]财务取数接口!$E$291=0,"",[1]财务取数接口!$E$291),""))</f>
        <v/>
      </c>
      <c r="F292" s="76" t="str">
        <f>IF($T$4=0,IF($M292="","",$M292),IFERROR(IF([1]财务取数接口!$G$291=0,"",[1]财务取数接口!$G$291),""))</f>
        <v/>
      </c>
      <c r="G292" s="76" t="str">
        <f>IF($T$4=0,IF($N292="","",$N292),IFERROR(IF([1]财务取数接口!$H$291=0,"",[1]财务取数接口!$H$291),""))</f>
        <v/>
      </c>
      <c r="H292" s="75" t="str">
        <f>IF($T$4=0,IF($O292="","",$O292),IFERROR(IF([1]财务取数接口!$I$291=0,"",[1]财务取数接口!$I$291),""))</f>
        <v/>
      </c>
      <c r="I292" s="43"/>
      <c r="J292" s="106"/>
      <c r="K292" s="43"/>
      <c r="L292" s="43"/>
      <c r="M292" s="107"/>
      <c r="N292" s="107"/>
      <c r="O292" s="106"/>
      <c r="P292" s="139">
        <f t="shared" si="8"/>
        <v>0</v>
      </c>
      <c r="Q292" s="139">
        <f t="shared" si="9"/>
        <v>5</v>
      </c>
    </row>
    <row r="293" spans="1:17">
      <c r="A293" s="74">
        <v>292</v>
      </c>
      <c r="B293" s="89" t="str">
        <f>IF($T$4=0,IF($I293="","",$I293),IFERROR(IF([1]财务取数接口!$B$292=0,"",[1]财务取数接口!$B$292),""))</f>
        <v/>
      </c>
      <c r="C293" s="75" t="str">
        <f>IF($T$4=0,IF($J293="","",$J293),IFERROR(IF([1]财务取数接口!$C$292=0,"",[1]财务取数接口!$C$292),""))</f>
        <v/>
      </c>
      <c r="D293" s="89" t="str">
        <f>IF($T$4=0,IF($K293="","",$K293),IFERROR(IF([1]财务取数接口!$D$292=0,"",[1]财务取数接口!$D$292),""))</f>
        <v/>
      </c>
      <c r="E293" s="89" t="str">
        <f>IF($T$4=0,IF($L293="","",$L293),IFERROR(IF([1]财务取数接口!$E$292=0,"",[1]财务取数接口!$E$292),""))</f>
        <v/>
      </c>
      <c r="F293" s="76" t="str">
        <f>IF($T$4=0,IF($M293="","",$M293),IFERROR(IF([1]财务取数接口!$G$292=0,"",[1]财务取数接口!$G$292),""))</f>
        <v/>
      </c>
      <c r="G293" s="76" t="str">
        <f>IF($T$4=0,IF($N293="","",$N293),IFERROR(IF([1]财务取数接口!$H$292=0,"",[1]财务取数接口!$H$292),""))</f>
        <v/>
      </c>
      <c r="H293" s="75" t="str">
        <f>IF($T$4=0,IF($O293="","",$O293),IFERROR(IF([1]财务取数接口!$I$292=0,"",[1]财务取数接口!$I$292),""))</f>
        <v/>
      </c>
      <c r="I293" s="43"/>
      <c r="J293" s="106"/>
      <c r="K293" s="43"/>
      <c r="L293" s="43"/>
      <c r="M293" s="107"/>
      <c r="N293" s="107"/>
      <c r="O293" s="106"/>
      <c r="P293" s="139">
        <f t="shared" si="8"/>
        <v>0</v>
      </c>
      <c r="Q293" s="139">
        <f t="shared" si="9"/>
        <v>5</v>
      </c>
    </row>
    <row r="294" spans="1:17">
      <c r="A294" s="74">
        <v>293</v>
      </c>
      <c r="B294" s="89" t="str">
        <f>IF($T$4=0,IF($I294="","",$I294),IFERROR(IF([1]财务取数接口!$B$293=0,"",[1]财务取数接口!$B$293),""))</f>
        <v/>
      </c>
      <c r="C294" s="75" t="str">
        <f>IF($T$4=0,IF($J294="","",$J294),IFERROR(IF([1]财务取数接口!$C$293=0,"",[1]财务取数接口!$C$293),""))</f>
        <v/>
      </c>
      <c r="D294" s="89" t="str">
        <f>IF($T$4=0,IF($K294="","",$K294),IFERROR(IF([1]财务取数接口!$D$293=0,"",[1]财务取数接口!$D$293),""))</f>
        <v/>
      </c>
      <c r="E294" s="89" t="str">
        <f>IF($T$4=0,IF($L294="","",$L294),IFERROR(IF([1]财务取数接口!$E$293=0,"",[1]财务取数接口!$E$293),""))</f>
        <v/>
      </c>
      <c r="F294" s="76" t="str">
        <f>IF($T$4=0,IF($M294="","",$M294),IFERROR(IF([1]财务取数接口!$G$293=0,"",[1]财务取数接口!$G$293),""))</f>
        <v/>
      </c>
      <c r="G294" s="76" t="str">
        <f>IF($T$4=0,IF($N294="","",$N294),IFERROR(IF([1]财务取数接口!$H$293=0,"",[1]财务取数接口!$H$293),""))</f>
        <v/>
      </c>
      <c r="H294" s="75" t="str">
        <f>IF($T$4=0,IF($O294="","",$O294),IFERROR(IF([1]财务取数接口!$I$293=0,"",[1]财务取数接口!$I$293),""))</f>
        <v/>
      </c>
      <c r="I294" s="43"/>
      <c r="J294" s="106"/>
      <c r="K294" s="43"/>
      <c r="L294" s="43"/>
      <c r="M294" s="107"/>
      <c r="N294" s="107"/>
      <c r="O294" s="106"/>
      <c r="P294" s="139">
        <f t="shared" si="8"/>
        <v>0</v>
      </c>
      <c r="Q294" s="139">
        <f t="shared" si="9"/>
        <v>5</v>
      </c>
    </row>
    <row r="295" spans="1:17">
      <c r="A295" s="74">
        <v>294</v>
      </c>
      <c r="B295" s="89" t="str">
        <f>IF($T$4=0,IF($I295="","",$I295),IFERROR(IF([1]财务取数接口!$B$294=0,"",[1]财务取数接口!$B$294),""))</f>
        <v/>
      </c>
      <c r="C295" s="75" t="str">
        <f>IF($T$4=0,IF($J295="","",$J295),IFERROR(IF([1]财务取数接口!$C$294=0,"",[1]财务取数接口!$C$294),""))</f>
        <v/>
      </c>
      <c r="D295" s="89" t="str">
        <f>IF($T$4=0,IF($K295="","",$K295),IFERROR(IF([1]财务取数接口!$D$294=0,"",[1]财务取数接口!$D$294),""))</f>
        <v/>
      </c>
      <c r="E295" s="89" t="str">
        <f>IF($T$4=0,IF($L295="","",$L295),IFERROR(IF([1]财务取数接口!$E$294=0,"",[1]财务取数接口!$E$294),""))</f>
        <v/>
      </c>
      <c r="F295" s="76" t="str">
        <f>IF($T$4=0,IF($M295="","",$M295),IFERROR(IF([1]财务取数接口!$G$294=0,"",[1]财务取数接口!$G$294),""))</f>
        <v/>
      </c>
      <c r="G295" s="76" t="str">
        <f>IF($T$4=0,IF($N295="","",$N295),IFERROR(IF([1]财务取数接口!$H$294=0,"",[1]财务取数接口!$H$294),""))</f>
        <v/>
      </c>
      <c r="H295" s="75" t="str">
        <f>IF($T$4=0,IF($O295="","",$O295),IFERROR(IF([1]财务取数接口!$I$294=0,"",[1]财务取数接口!$I$294),""))</f>
        <v/>
      </c>
      <c r="I295" s="43"/>
      <c r="J295" s="106"/>
      <c r="K295" s="43"/>
      <c r="L295" s="43"/>
      <c r="M295" s="107"/>
      <c r="N295" s="107"/>
      <c r="O295" s="106"/>
      <c r="P295" s="139">
        <f t="shared" si="8"/>
        <v>0</v>
      </c>
      <c r="Q295" s="139">
        <f t="shared" si="9"/>
        <v>5</v>
      </c>
    </row>
    <row r="296" spans="1:17">
      <c r="A296" s="74">
        <v>295</v>
      </c>
      <c r="B296" s="89" t="str">
        <f>IF($T$4=0,IF($I296="","",$I296),IFERROR(IF([1]财务取数接口!$B$295=0,"",[1]财务取数接口!$B$295),""))</f>
        <v/>
      </c>
      <c r="C296" s="75" t="str">
        <f>IF($T$4=0,IF($J296="","",$J296),IFERROR(IF([1]财务取数接口!$C$295=0,"",[1]财务取数接口!$C$295),""))</f>
        <v/>
      </c>
      <c r="D296" s="89" t="str">
        <f>IF($T$4=0,IF($K296="","",$K296),IFERROR(IF([1]财务取数接口!$D$295=0,"",[1]财务取数接口!$D$295),""))</f>
        <v/>
      </c>
      <c r="E296" s="89" t="str">
        <f>IF($T$4=0,IF($L296="","",$L296),IFERROR(IF([1]财务取数接口!$E$295=0,"",[1]财务取数接口!$E$295),""))</f>
        <v/>
      </c>
      <c r="F296" s="76" t="str">
        <f>IF($T$4=0,IF($M296="","",$M296),IFERROR(IF([1]财务取数接口!$G$295=0,"",[1]财务取数接口!$G$295),""))</f>
        <v/>
      </c>
      <c r="G296" s="76" t="str">
        <f>IF($T$4=0,IF($N296="","",$N296),IFERROR(IF([1]财务取数接口!$H$295=0,"",[1]财务取数接口!$H$295),""))</f>
        <v/>
      </c>
      <c r="H296" s="75" t="str">
        <f>IF($T$4=0,IF($O296="","",$O296),IFERROR(IF([1]财务取数接口!$I$295=0,"",[1]财务取数接口!$I$295),""))</f>
        <v/>
      </c>
      <c r="I296" s="43"/>
      <c r="J296" s="106"/>
      <c r="K296" s="43"/>
      <c r="L296" s="43"/>
      <c r="M296" s="107"/>
      <c r="N296" s="107"/>
      <c r="O296" s="106"/>
      <c r="P296" s="139">
        <f t="shared" si="8"/>
        <v>0</v>
      </c>
      <c r="Q296" s="139">
        <f t="shared" si="9"/>
        <v>5</v>
      </c>
    </row>
    <row r="297" spans="1:17">
      <c r="A297" s="74">
        <v>296</v>
      </c>
      <c r="B297" s="89" t="str">
        <f>IF($T$4=0,IF($I297="","",$I297),IFERROR(IF([1]财务取数接口!$B$296=0,"",[1]财务取数接口!$B$296),""))</f>
        <v/>
      </c>
      <c r="C297" s="75" t="str">
        <f>IF($T$4=0,IF($J297="","",$J297),IFERROR(IF([1]财务取数接口!$C$296=0,"",[1]财务取数接口!$C$296),""))</f>
        <v/>
      </c>
      <c r="D297" s="89" t="str">
        <f>IF($T$4=0,IF($K297="","",$K297),IFERROR(IF([1]财务取数接口!$D$296=0,"",[1]财务取数接口!$D$296),""))</f>
        <v/>
      </c>
      <c r="E297" s="89" t="str">
        <f>IF($T$4=0,IF($L297="","",$L297),IFERROR(IF([1]财务取数接口!$E$296=0,"",[1]财务取数接口!$E$296),""))</f>
        <v/>
      </c>
      <c r="F297" s="76" t="str">
        <f>IF($T$4=0,IF($M297="","",$M297),IFERROR(IF([1]财务取数接口!$G$296=0,"",[1]财务取数接口!$G$296),""))</f>
        <v/>
      </c>
      <c r="G297" s="76" t="str">
        <f>IF($T$4=0,IF($N297="","",$N297),IFERROR(IF([1]财务取数接口!$H$296=0,"",[1]财务取数接口!$H$296),""))</f>
        <v/>
      </c>
      <c r="H297" s="75" t="str">
        <f>IF($T$4=0,IF($O297="","",$O297),IFERROR(IF([1]财务取数接口!$I$296=0,"",[1]财务取数接口!$I$296),""))</f>
        <v/>
      </c>
      <c r="I297" s="43"/>
      <c r="J297" s="106"/>
      <c r="K297" s="43"/>
      <c r="L297" s="43"/>
      <c r="M297" s="107"/>
      <c r="N297" s="107"/>
      <c r="O297" s="106"/>
      <c r="P297" s="139">
        <f t="shared" si="8"/>
        <v>0</v>
      </c>
      <c r="Q297" s="139">
        <f t="shared" si="9"/>
        <v>5</v>
      </c>
    </row>
    <row r="298" spans="1:17">
      <c r="A298" s="74">
        <v>297</v>
      </c>
      <c r="B298" s="89" t="str">
        <f>IF($T$4=0,IF($I298="","",$I298),IFERROR(IF([1]财务取数接口!$B$297=0,"",[1]财务取数接口!$B$297),""))</f>
        <v/>
      </c>
      <c r="C298" s="75" t="str">
        <f>IF($T$4=0,IF($J298="","",$J298),IFERROR(IF([1]财务取数接口!$C$297=0,"",[1]财务取数接口!$C$297),""))</f>
        <v/>
      </c>
      <c r="D298" s="89" t="str">
        <f>IF($T$4=0,IF($K298="","",$K298),IFERROR(IF([1]财务取数接口!$D$297=0,"",[1]财务取数接口!$D$297),""))</f>
        <v/>
      </c>
      <c r="E298" s="89" t="str">
        <f>IF($T$4=0,IF($L298="","",$L298),IFERROR(IF([1]财务取数接口!$E$297=0,"",[1]财务取数接口!$E$297),""))</f>
        <v/>
      </c>
      <c r="F298" s="76" t="str">
        <f>IF($T$4=0,IF($M298="","",$M298),IFERROR(IF([1]财务取数接口!$G$297=0,"",[1]财务取数接口!$G$297),""))</f>
        <v/>
      </c>
      <c r="G298" s="76" t="str">
        <f>IF($T$4=0,IF($N298="","",$N298),IFERROR(IF([1]财务取数接口!$H$297=0,"",[1]财务取数接口!$H$297),""))</f>
        <v/>
      </c>
      <c r="H298" s="75" t="str">
        <f>IF($T$4=0,IF($O298="","",$O298),IFERROR(IF([1]财务取数接口!$I$297=0,"",[1]财务取数接口!$I$297),""))</f>
        <v/>
      </c>
      <c r="I298" s="43"/>
      <c r="J298" s="106"/>
      <c r="K298" s="43"/>
      <c r="L298" s="43"/>
      <c r="M298" s="107"/>
      <c r="N298" s="107"/>
      <c r="O298" s="106"/>
      <c r="P298" s="139">
        <f t="shared" si="8"/>
        <v>0</v>
      </c>
      <c r="Q298" s="139">
        <f t="shared" si="9"/>
        <v>5</v>
      </c>
    </row>
    <row r="299" spans="1:17">
      <c r="A299" s="74">
        <v>298</v>
      </c>
      <c r="B299" s="89" t="str">
        <f>IF($T$4=0,IF($I299="","",$I299),IFERROR(IF([1]财务取数接口!$B$298=0,"",[1]财务取数接口!$B$298),""))</f>
        <v/>
      </c>
      <c r="C299" s="75" t="str">
        <f>IF($T$4=0,IF($J299="","",$J299),IFERROR(IF([1]财务取数接口!$C$298=0,"",[1]财务取数接口!$C$298),""))</f>
        <v/>
      </c>
      <c r="D299" s="89" t="str">
        <f>IF($T$4=0,IF($K299="","",$K299),IFERROR(IF([1]财务取数接口!$D$298=0,"",[1]财务取数接口!$D$298),""))</f>
        <v/>
      </c>
      <c r="E299" s="89" t="str">
        <f>IF($T$4=0,IF($L299="","",$L299),IFERROR(IF([1]财务取数接口!$E$298=0,"",[1]财务取数接口!$E$298),""))</f>
        <v/>
      </c>
      <c r="F299" s="76" t="str">
        <f>IF($T$4=0,IF($M299="","",$M299),IFERROR(IF([1]财务取数接口!$G$298=0,"",[1]财务取数接口!$G$298),""))</f>
        <v/>
      </c>
      <c r="G299" s="76" t="str">
        <f>IF($T$4=0,IF($N299="","",$N299),IFERROR(IF([1]财务取数接口!$H$298=0,"",[1]财务取数接口!$H$298),""))</f>
        <v/>
      </c>
      <c r="H299" s="75" t="str">
        <f>IF($T$4=0,IF($O299="","",$O299),IFERROR(IF([1]财务取数接口!$I$298=0,"",[1]财务取数接口!$I$298),""))</f>
        <v/>
      </c>
      <c r="I299" s="43"/>
      <c r="J299" s="106"/>
      <c r="K299" s="43"/>
      <c r="L299" s="43"/>
      <c r="M299" s="107"/>
      <c r="N299" s="107"/>
      <c r="O299" s="106"/>
      <c r="P299" s="139">
        <f t="shared" si="8"/>
        <v>0</v>
      </c>
      <c r="Q299" s="139">
        <f t="shared" si="9"/>
        <v>5</v>
      </c>
    </row>
    <row r="300" spans="1:17">
      <c r="A300" s="74">
        <v>299</v>
      </c>
      <c r="B300" s="89" t="str">
        <f>IF($T$4=0,IF($I300="","",$I300),IFERROR(IF([1]财务取数接口!$B$299=0,"",[1]财务取数接口!$B$299),""))</f>
        <v/>
      </c>
      <c r="C300" s="75" t="str">
        <f>IF($T$4=0,IF($J300="","",$J300),IFERROR(IF([1]财务取数接口!$C$299=0,"",[1]财务取数接口!$C$299),""))</f>
        <v/>
      </c>
      <c r="D300" s="89" t="str">
        <f>IF($T$4=0,IF($K300="","",$K300),IFERROR(IF([1]财务取数接口!$D$299=0,"",[1]财务取数接口!$D$299),""))</f>
        <v/>
      </c>
      <c r="E300" s="89" t="str">
        <f>IF($T$4=0,IF($L300="","",$L300),IFERROR(IF([1]财务取数接口!$E$299=0,"",[1]财务取数接口!$E$299),""))</f>
        <v/>
      </c>
      <c r="F300" s="76" t="str">
        <f>IF($T$4=0,IF($M300="","",$M300),IFERROR(IF([1]财务取数接口!$G$299=0,"",[1]财务取数接口!$G$299),""))</f>
        <v/>
      </c>
      <c r="G300" s="76" t="str">
        <f>IF($T$4=0,IF($N300="","",$N300),IFERROR(IF([1]财务取数接口!$H$299=0,"",[1]财务取数接口!$H$299),""))</f>
        <v/>
      </c>
      <c r="H300" s="75" t="str">
        <f>IF($T$4=0,IF($O300="","",$O300),IFERROR(IF([1]财务取数接口!$I$299=0,"",[1]财务取数接口!$I$299),""))</f>
        <v/>
      </c>
      <c r="I300" s="43"/>
      <c r="J300" s="106"/>
      <c r="K300" s="43"/>
      <c r="L300" s="43"/>
      <c r="M300" s="107"/>
      <c r="N300" s="107"/>
      <c r="O300" s="106"/>
      <c r="P300" s="139">
        <f t="shared" si="8"/>
        <v>0</v>
      </c>
      <c r="Q300" s="139">
        <f t="shared" si="9"/>
        <v>5</v>
      </c>
    </row>
    <row r="301" spans="1:17">
      <c r="A301" s="74">
        <v>300</v>
      </c>
      <c r="B301" s="89" t="str">
        <f>IF($T$4=0,IF($I301="","",$I301),IFERROR(IF([1]财务取数接口!$B$300=0,"",[1]财务取数接口!$B$300),""))</f>
        <v/>
      </c>
      <c r="C301" s="75" t="str">
        <f>IF($T$4=0,IF($J301="","",$J301),IFERROR(IF([1]财务取数接口!$C$300=0,"",[1]财务取数接口!$C$300),""))</f>
        <v/>
      </c>
      <c r="D301" s="89" t="str">
        <f>IF($T$4=0,IF($K301="","",$K301),IFERROR(IF([1]财务取数接口!$D$300=0,"",[1]财务取数接口!$D$300),""))</f>
        <v/>
      </c>
      <c r="E301" s="89" t="str">
        <f>IF($T$4=0,IF($L301="","",$L301),IFERROR(IF([1]财务取数接口!$E$300=0,"",[1]财务取数接口!$E$300),""))</f>
        <v/>
      </c>
      <c r="F301" s="76" t="str">
        <f>IF($T$4=0,IF($M301="","",$M301),IFERROR(IF([1]财务取数接口!$G$300=0,"",[1]财务取数接口!$G$300),""))</f>
        <v/>
      </c>
      <c r="G301" s="76" t="str">
        <f>IF($T$4=0,IF($N301="","",$N301),IFERROR(IF([1]财务取数接口!$H$300=0,"",[1]财务取数接口!$H$300),""))</f>
        <v/>
      </c>
      <c r="H301" s="75" t="str">
        <f>IF($T$4=0,IF($O301="","",$O301),IFERROR(IF([1]财务取数接口!$I$300=0,"",[1]财务取数接口!$I$300),""))</f>
        <v/>
      </c>
      <c r="I301" s="43"/>
      <c r="J301" s="106"/>
      <c r="K301" s="43"/>
      <c r="L301" s="43"/>
      <c r="M301" s="107"/>
      <c r="N301" s="107"/>
      <c r="O301" s="106"/>
      <c r="P301" s="139">
        <f t="shared" si="8"/>
        <v>0</v>
      </c>
      <c r="Q301" s="139">
        <f t="shared" si="9"/>
        <v>5</v>
      </c>
    </row>
    <row r="302" spans="1:17">
      <c r="A302" s="74">
        <v>301</v>
      </c>
      <c r="B302" s="89" t="str">
        <f>IF($T$4=0,IF($I302="","",$I302),IFERROR(IF([1]财务取数接口!$B$301=0,"",[1]财务取数接口!$B$301),""))</f>
        <v/>
      </c>
      <c r="C302" s="75" t="str">
        <f>IF($T$4=0,IF($J302="","",$J302),IFERROR(IF([1]财务取数接口!$C$301=0,"",[1]财务取数接口!$C$301),""))</f>
        <v/>
      </c>
      <c r="D302" s="89" t="str">
        <f>IF($T$4=0,IF($K302="","",$K302),IFERROR(IF([1]财务取数接口!$D$301=0,"",[1]财务取数接口!$D$301),""))</f>
        <v/>
      </c>
      <c r="E302" s="89" t="str">
        <f>IF($T$4=0,IF($L302="","",$L302),IFERROR(IF([1]财务取数接口!$E$301=0,"",[1]财务取数接口!$E$301),""))</f>
        <v/>
      </c>
      <c r="F302" s="76" t="str">
        <f>IF($T$4=0,IF($M302="","",$M302),IFERROR(IF([1]财务取数接口!$G$301=0,"",[1]财务取数接口!$G$301),""))</f>
        <v/>
      </c>
      <c r="G302" s="76" t="str">
        <f>IF($T$4=0,IF($N302="","",$N302),IFERROR(IF([1]财务取数接口!$H$301=0,"",[1]财务取数接口!$H$301),""))</f>
        <v/>
      </c>
      <c r="H302" s="75" t="str">
        <f>IF($T$4=0,IF($O302="","",$O302),IFERROR(IF([1]财务取数接口!$I$301=0,"",[1]财务取数接口!$I$301),""))</f>
        <v/>
      </c>
      <c r="I302" s="43"/>
      <c r="J302" s="106"/>
      <c r="K302" s="43"/>
      <c r="L302" s="43"/>
      <c r="M302" s="107"/>
      <c r="N302" s="107"/>
      <c r="O302" s="106"/>
      <c r="P302" s="139">
        <f t="shared" si="8"/>
        <v>0</v>
      </c>
      <c r="Q302" s="139">
        <f t="shared" si="9"/>
        <v>5</v>
      </c>
    </row>
    <row r="303" spans="1:17">
      <c r="A303" s="74">
        <v>302</v>
      </c>
      <c r="B303" s="89" t="str">
        <f>IF($T$4=0,IF($I303="","",$I303),IFERROR(IF([1]财务取数接口!$B$302=0,"",[1]财务取数接口!$B$302),""))</f>
        <v/>
      </c>
      <c r="C303" s="75" t="str">
        <f>IF($T$4=0,IF($J303="","",$J303),IFERROR(IF([1]财务取数接口!$C$302=0,"",[1]财务取数接口!$C$302),""))</f>
        <v/>
      </c>
      <c r="D303" s="89" t="str">
        <f>IF($T$4=0,IF($K303="","",$K303),IFERROR(IF([1]财务取数接口!$D$302=0,"",[1]财务取数接口!$D$302),""))</f>
        <v/>
      </c>
      <c r="E303" s="89" t="str">
        <f>IF($T$4=0,IF($L303="","",$L303),IFERROR(IF([1]财务取数接口!$E$302=0,"",[1]财务取数接口!$E$302),""))</f>
        <v/>
      </c>
      <c r="F303" s="76" t="str">
        <f>IF($T$4=0,IF($M303="","",$M303),IFERROR(IF([1]财务取数接口!$G$302=0,"",[1]财务取数接口!$G$302),""))</f>
        <v/>
      </c>
      <c r="G303" s="76" t="str">
        <f>IF($T$4=0,IF($N303="","",$N303),IFERROR(IF([1]财务取数接口!$H$302=0,"",[1]财务取数接口!$H$302),""))</f>
        <v/>
      </c>
      <c r="H303" s="75" t="str">
        <f>IF($T$4=0,IF($O303="","",$O303),IFERROR(IF([1]财务取数接口!$I$302=0,"",[1]财务取数接口!$I$302),""))</f>
        <v/>
      </c>
      <c r="I303" s="43"/>
      <c r="J303" s="106"/>
      <c r="K303" s="43"/>
      <c r="L303" s="43"/>
      <c r="M303" s="107"/>
      <c r="N303" s="107"/>
      <c r="O303" s="106"/>
      <c r="P303" s="139">
        <f t="shared" si="8"/>
        <v>0</v>
      </c>
      <c r="Q303" s="139">
        <f t="shared" si="9"/>
        <v>5</v>
      </c>
    </row>
    <row r="304" spans="1:17">
      <c r="A304" s="74">
        <v>303</v>
      </c>
      <c r="B304" s="89" t="str">
        <f>IF($T$4=0,IF($I304="","",$I304),IFERROR(IF([1]财务取数接口!$B$303=0,"",[1]财务取数接口!$B$303),""))</f>
        <v/>
      </c>
      <c r="C304" s="75" t="str">
        <f>IF($T$4=0,IF($J304="","",$J304),IFERROR(IF([1]财务取数接口!$C$303=0,"",[1]财务取数接口!$C$303),""))</f>
        <v/>
      </c>
      <c r="D304" s="89" t="str">
        <f>IF($T$4=0,IF($K304="","",$K304),IFERROR(IF([1]财务取数接口!$D$303=0,"",[1]财务取数接口!$D$303),""))</f>
        <v/>
      </c>
      <c r="E304" s="89" t="str">
        <f>IF($T$4=0,IF($L304="","",$L304),IFERROR(IF([1]财务取数接口!$E$303=0,"",[1]财务取数接口!$E$303),""))</f>
        <v/>
      </c>
      <c r="F304" s="76" t="str">
        <f>IF($T$4=0,IF($M304="","",$M304),IFERROR(IF([1]财务取数接口!$G$303=0,"",[1]财务取数接口!$G$303),""))</f>
        <v/>
      </c>
      <c r="G304" s="76" t="str">
        <f>IF($T$4=0,IF($N304="","",$N304),IFERROR(IF([1]财务取数接口!$H$303=0,"",[1]财务取数接口!$H$303),""))</f>
        <v/>
      </c>
      <c r="H304" s="75" t="str">
        <f>IF($T$4=0,IF($O304="","",$O304),IFERROR(IF([1]财务取数接口!$I$303=0,"",[1]财务取数接口!$I$303),""))</f>
        <v/>
      </c>
      <c r="I304" s="43"/>
      <c r="J304" s="106"/>
      <c r="K304" s="43"/>
      <c r="L304" s="43"/>
      <c r="M304" s="107"/>
      <c r="N304" s="107"/>
      <c r="O304" s="106"/>
      <c r="P304" s="139">
        <f t="shared" si="8"/>
        <v>0</v>
      </c>
      <c r="Q304" s="139">
        <f t="shared" si="9"/>
        <v>5</v>
      </c>
    </row>
    <row r="305" spans="1:17">
      <c r="A305" s="74">
        <v>304</v>
      </c>
      <c r="B305" s="89" t="str">
        <f>IF($T$4=0,IF($I305="","",$I305),IFERROR(IF([1]财务取数接口!$B$304=0,"",[1]财务取数接口!$B$304),""))</f>
        <v/>
      </c>
      <c r="C305" s="75" t="str">
        <f>IF($T$4=0,IF($J305="","",$J305),IFERROR(IF([1]财务取数接口!$C$304=0,"",[1]财务取数接口!$C$304),""))</f>
        <v/>
      </c>
      <c r="D305" s="89" t="str">
        <f>IF($T$4=0,IF($K305="","",$K305),IFERROR(IF([1]财务取数接口!$D$304=0,"",[1]财务取数接口!$D$304),""))</f>
        <v/>
      </c>
      <c r="E305" s="89" t="str">
        <f>IF($T$4=0,IF($L305="","",$L305),IFERROR(IF([1]财务取数接口!$E$304=0,"",[1]财务取数接口!$E$304),""))</f>
        <v/>
      </c>
      <c r="F305" s="76" t="str">
        <f>IF($T$4=0,IF($M305="","",$M305),IFERROR(IF([1]财务取数接口!$G$304=0,"",[1]财务取数接口!$G$304),""))</f>
        <v/>
      </c>
      <c r="G305" s="76" t="str">
        <f>IF($T$4=0,IF($N305="","",$N305),IFERROR(IF([1]财务取数接口!$H$304=0,"",[1]财务取数接口!$H$304),""))</f>
        <v/>
      </c>
      <c r="H305" s="75" t="str">
        <f>IF($T$4=0,IF($O305="","",$O305),IFERROR(IF([1]财务取数接口!$I$304=0,"",[1]财务取数接口!$I$304),""))</f>
        <v/>
      </c>
      <c r="I305" s="43"/>
      <c r="J305" s="106"/>
      <c r="K305" s="43"/>
      <c r="L305" s="43"/>
      <c r="M305" s="107"/>
      <c r="N305" s="107"/>
      <c r="O305" s="106"/>
      <c r="P305" s="139">
        <f t="shared" si="8"/>
        <v>0</v>
      </c>
      <c r="Q305" s="139">
        <f t="shared" si="9"/>
        <v>5</v>
      </c>
    </row>
    <row r="306" spans="1:17">
      <c r="A306" s="74">
        <v>305</v>
      </c>
      <c r="B306" s="89" t="str">
        <f>IF($T$4=0,IF($I306="","",$I306),IFERROR(IF([1]财务取数接口!$B$305=0,"",[1]财务取数接口!$B$305),""))</f>
        <v/>
      </c>
      <c r="C306" s="75" t="str">
        <f>IF($T$4=0,IF($J306="","",$J306),IFERROR(IF([1]财务取数接口!$C$305=0,"",[1]财务取数接口!$C$305),""))</f>
        <v/>
      </c>
      <c r="D306" s="89" t="str">
        <f>IF($T$4=0,IF($K306="","",$K306),IFERROR(IF([1]财务取数接口!$D$305=0,"",[1]财务取数接口!$D$305),""))</f>
        <v/>
      </c>
      <c r="E306" s="89" t="str">
        <f>IF($T$4=0,IF($L306="","",$L306),IFERROR(IF([1]财务取数接口!$E$305=0,"",[1]财务取数接口!$E$305),""))</f>
        <v/>
      </c>
      <c r="F306" s="76" t="str">
        <f>IF($T$4=0,IF($M306="","",$M306),IFERROR(IF([1]财务取数接口!$G$305=0,"",[1]财务取数接口!$G$305),""))</f>
        <v/>
      </c>
      <c r="G306" s="76" t="str">
        <f>IF($T$4=0,IF($N306="","",$N306),IFERROR(IF([1]财务取数接口!$H$305=0,"",[1]财务取数接口!$H$305),""))</f>
        <v/>
      </c>
      <c r="H306" s="75" t="str">
        <f>IF($T$4=0,IF($O306="","",$O306),IFERROR(IF([1]财务取数接口!$I$305=0,"",[1]财务取数接口!$I$305),""))</f>
        <v/>
      </c>
      <c r="I306" s="43"/>
      <c r="J306" s="106"/>
      <c r="K306" s="43"/>
      <c r="L306" s="43"/>
      <c r="M306" s="107"/>
      <c r="N306" s="107"/>
      <c r="O306" s="106"/>
      <c r="P306" s="139">
        <f t="shared" si="8"/>
        <v>0</v>
      </c>
      <c r="Q306" s="139">
        <f t="shared" si="9"/>
        <v>5</v>
      </c>
    </row>
    <row r="307" spans="1:17">
      <c r="A307" s="74">
        <v>306</v>
      </c>
      <c r="B307" s="89" t="str">
        <f>IF($T$4=0,IF($I307="","",$I307),IFERROR(IF([1]财务取数接口!$B$306=0,"",[1]财务取数接口!$B$306),""))</f>
        <v/>
      </c>
      <c r="C307" s="75" t="str">
        <f>IF($T$4=0,IF($J307="","",$J307),IFERROR(IF([1]财务取数接口!$C$306=0,"",[1]财务取数接口!$C$306),""))</f>
        <v/>
      </c>
      <c r="D307" s="89" t="str">
        <f>IF($T$4=0,IF($K307="","",$K307),IFERROR(IF([1]财务取数接口!$D$306=0,"",[1]财务取数接口!$D$306),""))</f>
        <v/>
      </c>
      <c r="E307" s="89" t="str">
        <f>IF($T$4=0,IF($L307="","",$L307),IFERROR(IF([1]财务取数接口!$E$306=0,"",[1]财务取数接口!$E$306),""))</f>
        <v/>
      </c>
      <c r="F307" s="76" t="str">
        <f>IF($T$4=0,IF($M307="","",$M307),IFERROR(IF([1]财务取数接口!$G$306=0,"",[1]财务取数接口!$G$306),""))</f>
        <v/>
      </c>
      <c r="G307" s="76" t="str">
        <f>IF($T$4=0,IF($N307="","",$N307),IFERROR(IF([1]财务取数接口!$H$306=0,"",[1]财务取数接口!$H$306),""))</f>
        <v/>
      </c>
      <c r="H307" s="75" t="str">
        <f>IF($T$4=0,IF($O307="","",$O307),IFERROR(IF([1]财务取数接口!$I$306=0,"",[1]财务取数接口!$I$306),""))</f>
        <v/>
      </c>
      <c r="I307" s="43"/>
      <c r="J307" s="106"/>
      <c r="K307" s="43"/>
      <c r="L307" s="43"/>
      <c r="M307" s="107"/>
      <c r="N307" s="107"/>
      <c r="O307" s="106"/>
      <c r="P307" s="139">
        <f t="shared" si="8"/>
        <v>0</v>
      </c>
      <c r="Q307" s="139">
        <f t="shared" si="9"/>
        <v>5</v>
      </c>
    </row>
    <row r="308" spans="1:17">
      <c r="A308" s="74">
        <v>307</v>
      </c>
      <c r="B308" s="89" t="str">
        <f>IF($T$4=0,IF($I308="","",$I308),IFERROR(IF([1]财务取数接口!$B$307=0,"",[1]财务取数接口!$B$307),""))</f>
        <v/>
      </c>
      <c r="C308" s="75" t="str">
        <f>IF($T$4=0,IF($J308="","",$J308),IFERROR(IF([1]财务取数接口!$C$307=0,"",[1]财务取数接口!$C$307),""))</f>
        <v/>
      </c>
      <c r="D308" s="89" t="str">
        <f>IF($T$4=0,IF($K308="","",$K308),IFERROR(IF([1]财务取数接口!$D$307=0,"",[1]财务取数接口!$D$307),""))</f>
        <v/>
      </c>
      <c r="E308" s="89" t="str">
        <f>IF($T$4=0,IF($L308="","",$L308),IFERROR(IF([1]财务取数接口!$E$307=0,"",[1]财务取数接口!$E$307),""))</f>
        <v/>
      </c>
      <c r="F308" s="76" t="str">
        <f>IF($T$4=0,IF($M308="","",$M308),IFERROR(IF([1]财务取数接口!$G$307=0,"",[1]财务取数接口!$G$307),""))</f>
        <v/>
      </c>
      <c r="G308" s="76" t="str">
        <f>IF($T$4=0,IF($N308="","",$N308),IFERROR(IF([1]财务取数接口!$H$307=0,"",[1]财务取数接口!$H$307),""))</f>
        <v/>
      </c>
      <c r="H308" s="75" t="str">
        <f>IF($T$4=0,IF($O308="","",$O308),IFERROR(IF([1]财务取数接口!$I$307=0,"",[1]财务取数接口!$I$307),""))</f>
        <v/>
      </c>
      <c r="I308" s="43"/>
      <c r="J308" s="106"/>
      <c r="K308" s="43"/>
      <c r="L308" s="43"/>
      <c r="M308" s="107"/>
      <c r="N308" s="107"/>
      <c r="O308" s="106"/>
      <c r="P308" s="139">
        <f t="shared" si="8"/>
        <v>0</v>
      </c>
      <c r="Q308" s="139">
        <f t="shared" si="9"/>
        <v>5</v>
      </c>
    </row>
    <row r="309" spans="1:17">
      <c r="A309" s="74">
        <v>308</v>
      </c>
      <c r="B309" s="89" t="str">
        <f>IF($T$4=0,IF($I309="","",$I309),IFERROR(IF([1]财务取数接口!$B$308=0,"",[1]财务取数接口!$B$308),""))</f>
        <v/>
      </c>
      <c r="C309" s="75" t="str">
        <f>IF($T$4=0,IF($J309="","",$J309),IFERROR(IF([1]财务取数接口!$C$308=0,"",[1]财务取数接口!$C$308),""))</f>
        <v/>
      </c>
      <c r="D309" s="89" t="str">
        <f>IF($T$4=0,IF($K309="","",$K309),IFERROR(IF([1]财务取数接口!$D$308=0,"",[1]财务取数接口!$D$308),""))</f>
        <v/>
      </c>
      <c r="E309" s="89" t="str">
        <f>IF($T$4=0,IF($L309="","",$L309),IFERROR(IF([1]财务取数接口!$E$308=0,"",[1]财务取数接口!$E$308),""))</f>
        <v/>
      </c>
      <c r="F309" s="76" t="str">
        <f>IF($T$4=0,IF($M309="","",$M309),IFERROR(IF([1]财务取数接口!$G$308=0,"",[1]财务取数接口!$G$308),""))</f>
        <v/>
      </c>
      <c r="G309" s="76" t="str">
        <f>IF($T$4=0,IF($N309="","",$N309),IFERROR(IF([1]财务取数接口!$H$308=0,"",[1]财务取数接口!$H$308),""))</f>
        <v/>
      </c>
      <c r="H309" s="75" t="str">
        <f>IF($T$4=0,IF($O309="","",$O309),IFERROR(IF([1]财务取数接口!$I$308=0,"",[1]财务取数接口!$I$308),""))</f>
        <v/>
      </c>
      <c r="I309" s="43"/>
      <c r="J309" s="106"/>
      <c r="K309" s="43"/>
      <c r="L309" s="43"/>
      <c r="M309" s="107"/>
      <c r="N309" s="107"/>
      <c r="O309" s="106"/>
      <c r="P309" s="139">
        <f t="shared" si="8"/>
        <v>0</v>
      </c>
      <c r="Q309" s="139">
        <f t="shared" si="9"/>
        <v>5</v>
      </c>
    </row>
    <row r="310" spans="1:17">
      <c r="A310" s="74">
        <v>309</v>
      </c>
      <c r="B310" s="89" t="str">
        <f>IF($T$4=0,IF($I310="","",$I310),IFERROR(IF([1]财务取数接口!$B$309=0,"",[1]财务取数接口!$B$309),""))</f>
        <v/>
      </c>
      <c r="C310" s="75" t="str">
        <f>IF($T$4=0,IF($J310="","",$J310),IFERROR(IF([1]财务取数接口!$C$309=0,"",[1]财务取数接口!$C$309),""))</f>
        <v/>
      </c>
      <c r="D310" s="89" t="str">
        <f>IF($T$4=0,IF($K310="","",$K310),IFERROR(IF([1]财务取数接口!$D$309=0,"",[1]财务取数接口!$D$309),""))</f>
        <v/>
      </c>
      <c r="E310" s="89" t="str">
        <f>IF($T$4=0,IF($L310="","",$L310),IFERROR(IF([1]财务取数接口!$E$309=0,"",[1]财务取数接口!$E$309),""))</f>
        <v/>
      </c>
      <c r="F310" s="76" t="str">
        <f>IF($T$4=0,IF($M310="","",$M310),IFERROR(IF([1]财务取数接口!$G$309=0,"",[1]财务取数接口!$G$309),""))</f>
        <v/>
      </c>
      <c r="G310" s="76" t="str">
        <f>IF($T$4=0,IF($N310="","",$N310),IFERROR(IF([1]财务取数接口!$H$309=0,"",[1]财务取数接口!$H$309),""))</f>
        <v/>
      </c>
      <c r="H310" s="75" t="str">
        <f>IF($T$4=0,IF($O310="","",$O310),IFERROR(IF([1]财务取数接口!$I$309=0,"",[1]财务取数接口!$I$309),""))</f>
        <v/>
      </c>
      <c r="I310" s="43"/>
      <c r="J310" s="106"/>
      <c r="K310" s="43"/>
      <c r="L310" s="43"/>
      <c r="M310" s="107"/>
      <c r="N310" s="107"/>
      <c r="O310" s="106"/>
      <c r="P310" s="139">
        <f t="shared" si="8"/>
        <v>0</v>
      </c>
      <c r="Q310" s="139">
        <f t="shared" si="9"/>
        <v>5</v>
      </c>
    </row>
    <row r="311" spans="1:17">
      <c r="A311" s="74">
        <v>310</v>
      </c>
      <c r="B311" s="89" t="str">
        <f>IF($T$4=0,IF($I311="","",$I311),IFERROR(IF([1]财务取数接口!$B$310=0,"",[1]财务取数接口!$B$310),""))</f>
        <v/>
      </c>
      <c r="C311" s="75" t="str">
        <f>IF($T$4=0,IF($J311="","",$J311),IFERROR(IF([1]财务取数接口!$C$310=0,"",[1]财务取数接口!$C$310),""))</f>
        <v/>
      </c>
      <c r="D311" s="89" t="str">
        <f>IF($T$4=0,IF($K311="","",$K311),IFERROR(IF([1]财务取数接口!$D$310=0,"",[1]财务取数接口!$D$310),""))</f>
        <v/>
      </c>
      <c r="E311" s="89" t="str">
        <f>IF($T$4=0,IF($L311="","",$L311),IFERROR(IF([1]财务取数接口!$E$310=0,"",[1]财务取数接口!$E$310),""))</f>
        <v/>
      </c>
      <c r="F311" s="76" t="str">
        <f>IF($T$4=0,IF($M311="","",$M311),IFERROR(IF([1]财务取数接口!$G$310=0,"",[1]财务取数接口!$G$310),""))</f>
        <v/>
      </c>
      <c r="G311" s="76" t="str">
        <f>IF($T$4=0,IF($N311="","",$N311),IFERROR(IF([1]财务取数接口!$H$310=0,"",[1]财务取数接口!$H$310),""))</f>
        <v/>
      </c>
      <c r="H311" s="75" t="str">
        <f>IF($T$4=0,IF($O311="","",$O311),IFERROR(IF([1]财务取数接口!$I$310=0,"",[1]财务取数接口!$I$310),""))</f>
        <v/>
      </c>
      <c r="I311" s="43"/>
      <c r="J311" s="106"/>
      <c r="K311" s="43"/>
      <c r="L311" s="43"/>
      <c r="M311" s="107"/>
      <c r="N311" s="107"/>
      <c r="O311" s="106"/>
      <c r="P311" s="139">
        <f t="shared" si="8"/>
        <v>0</v>
      </c>
      <c r="Q311" s="139">
        <f t="shared" si="9"/>
        <v>5</v>
      </c>
    </row>
    <row r="312" spans="1:17">
      <c r="A312" s="74">
        <v>311</v>
      </c>
      <c r="B312" s="89" t="str">
        <f>IF($T$4=0,IF($I312="","",$I312),IFERROR(IF([1]财务取数接口!$B$311=0,"",[1]财务取数接口!$B$311),""))</f>
        <v/>
      </c>
      <c r="C312" s="75" t="str">
        <f>IF($T$4=0,IF($J312="","",$J312),IFERROR(IF([1]财务取数接口!$C$311=0,"",[1]财务取数接口!$C$311),""))</f>
        <v/>
      </c>
      <c r="D312" s="89" t="str">
        <f>IF($T$4=0,IF($K312="","",$K312),IFERROR(IF([1]财务取数接口!$D$311=0,"",[1]财务取数接口!$D$311),""))</f>
        <v/>
      </c>
      <c r="E312" s="89" t="str">
        <f>IF($T$4=0,IF($L312="","",$L312),IFERROR(IF([1]财务取数接口!$E$311=0,"",[1]财务取数接口!$E$311),""))</f>
        <v/>
      </c>
      <c r="F312" s="76" t="str">
        <f>IF($T$4=0,IF($M312="","",$M312),IFERROR(IF([1]财务取数接口!$G$311=0,"",[1]财务取数接口!$G$311),""))</f>
        <v/>
      </c>
      <c r="G312" s="76" t="str">
        <f>IF($T$4=0,IF($N312="","",$N312),IFERROR(IF([1]财务取数接口!$H$311=0,"",[1]财务取数接口!$H$311),""))</f>
        <v/>
      </c>
      <c r="H312" s="75" t="str">
        <f>IF($T$4=0,IF($O312="","",$O312),IFERROR(IF([1]财务取数接口!$I$311=0,"",[1]财务取数接口!$I$311),""))</f>
        <v/>
      </c>
      <c r="I312" s="43"/>
      <c r="J312" s="106"/>
      <c r="K312" s="43"/>
      <c r="L312" s="43"/>
      <c r="M312" s="107"/>
      <c r="N312" s="107"/>
      <c r="O312" s="106"/>
      <c r="P312" s="139">
        <f t="shared" si="8"/>
        <v>0</v>
      </c>
      <c r="Q312" s="139">
        <f t="shared" si="9"/>
        <v>5</v>
      </c>
    </row>
    <row r="313" spans="1:17">
      <c r="A313" s="74">
        <v>312</v>
      </c>
      <c r="B313" s="89" t="str">
        <f>IF($T$4=0,IF($I313="","",$I313),IFERROR(IF([1]财务取数接口!$B$312=0,"",[1]财务取数接口!$B$312),""))</f>
        <v/>
      </c>
      <c r="C313" s="75" t="str">
        <f>IF($T$4=0,IF($J313="","",$J313),IFERROR(IF([1]财务取数接口!$C$312=0,"",[1]财务取数接口!$C$312),""))</f>
        <v/>
      </c>
      <c r="D313" s="89" t="str">
        <f>IF($T$4=0,IF($K313="","",$K313),IFERROR(IF([1]财务取数接口!$D$312=0,"",[1]财务取数接口!$D$312),""))</f>
        <v/>
      </c>
      <c r="E313" s="89" t="str">
        <f>IF($T$4=0,IF($L313="","",$L313),IFERROR(IF([1]财务取数接口!$E$312=0,"",[1]财务取数接口!$E$312),""))</f>
        <v/>
      </c>
      <c r="F313" s="76" t="str">
        <f>IF($T$4=0,IF($M313="","",$M313),IFERROR(IF([1]财务取数接口!$G$312=0,"",[1]财务取数接口!$G$312),""))</f>
        <v/>
      </c>
      <c r="G313" s="76" t="str">
        <f>IF($T$4=0,IF($N313="","",$N313),IFERROR(IF([1]财务取数接口!$H$312=0,"",[1]财务取数接口!$H$312),""))</f>
        <v/>
      </c>
      <c r="H313" s="75" t="str">
        <f>IF($T$4=0,IF($O313="","",$O313),IFERROR(IF([1]财务取数接口!$I$312=0,"",[1]财务取数接口!$I$312),""))</f>
        <v/>
      </c>
      <c r="I313" s="43"/>
      <c r="J313" s="106"/>
      <c r="K313" s="43"/>
      <c r="L313" s="43"/>
      <c r="M313" s="107"/>
      <c r="N313" s="107"/>
      <c r="O313" s="106"/>
      <c r="P313" s="139">
        <f t="shared" si="8"/>
        <v>0</v>
      </c>
      <c r="Q313" s="139">
        <f t="shared" si="9"/>
        <v>5</v>
      </c>
    </row>
    <row r="314" spans="1:17">
      <c r="A314" s="74">
        <v>313</v>
      </c>
      <c r="B314" s="89" t="str">
        <f>IF($T$4=0,IF($I314="","",$I314),IFERROR(IF([1]财务取数接口!$B$313=0,"",[1]财务取数接口!$B$313),""))</f>
        <v/>
      </c>
      <c r="C314" s="75" t="str">
        <f>IF($T$4=0,IF($J314="","",$J314),IFERROR(IF([1]财务取数接口!$C$313=0,"",[1]财务取数接口!$C$313),""))</f>
        <v/>
      </c>
      <c r="D314" s="89" t="str">
        <f>IF($T$4=0,IF($K314="","",$K314),IFERROR(IF([1]财务取数接口!$D$313=0,"",[1]财务取数接口!$D$313),""))</f>
        <v/>
      </c>
      <c r="E314" s="89" t="str">
        <f>IF($T$4=0,IF($L314="","",$L314),IFERROR(IF([1]财务取数接口!$E$313=0,"",[1]财务取数接口!$E$313),""))</f>
        <v/>
      </c>
      <c r="F314" s="76" t="str">
        <f>IF($T$4=0,IF($M314="","",$M314),IFERROR(IF([1]财务取数接口!$G$313=0,"",[1]财务取数接口!$G$313),""))</f>
        <v/>
      </c>
      <c r="G314" s="76" t="str">
        <f>IF($T$4=0,IF($N314="","",$N314),IFERROR(IF([1]财务取数接口!$H$313=0,"",[1]财务取数接口!$H$313),""))</f>
        <v/>
      </c>
      <c r="H314" s="75" t="str">
        <f>IF($T$4=0,IF($O314="","",$O314),IFERROR(IF([1]财务取数接口!$I$313=0,"",[1]财务取数接口!$I$313),""))</f>
        <v/>
      </c>
      <c r="I314" s="43"/>
      <c r="J314" s="106"/>
      <c r="K314" s="43"/>
      <c r="L314" s="43"/>
      <c r="M314" s="107"/>
      <c r="N314" s="107"/>
      <c r="O314" s="106"/>
      <c r="P314" s="139">
        <f t="shared" si="8"/>
        <v>0</v>
      </c>
      <c r="Q314" s="139">
        <f t="shared" si="9"/>
        <v>5</v>
      </c>
    </row>
    <row r="315" spans="1:17">
      <c r="A315" s="74">
        <v>314</v>
      </c>
      <c r="B315" s="89" t="str">
        <f>IF($T$4=0,IF($I315="","",$I315),IFERROR(IF([1]财务取数接口!$B$314=0,"",[1]财务取数接口!$B$314),""))</f>
        <v/>
      </c>
      <c r="C315" s="75" t="str">
        <f>IF($T$4=0,IF($J315="","",$J315),IFERROR(IF([1]财务取数接口!$C$314=0,"",[1]财务取数接口!$C$314),""))</f>
        <v/>
      </c>
      <c r="D315" s="89" t="str">
        <f>IF($T$4=0,IF($K315="","",$K315),IFERROR(IF([1]财务取数接口!$D$314=0,"",[1]财务取数接口!$D$314),""))</f>
        <v/>
      </c>
      <c r="E315" s="89" t="str">
        <f>IF($T$4=0,IF($L315="","",$L315),IFERROR(IF([1]财务取数接口!$E$314=0,"",[1]财务取数接口!$E$314),""))</f>
        <v/>
      </c>
      <c r="F315" s="76" t="str">
        <f>IF($T$4=0,IF($M315="","",$M315),IFERROR(IF([1]财务取数接口!$G$314=0,"",[1]财务取数接口!$G$314),""))</f>
        <v/>
      </c>
      <c r="G315" s="76" t="str">
        <f>IF($T$4=0,IF($N315="","",$N315),IFERROR(IF([1]财务取数接口!$H$314=0,"",[1]财务取数接口!$H$314),""))</f>
        <v/>
      </c>
      <c r="H315" s="75" t="str">
        <f>IF($T$4=0,IF($O315="","",$O315),IFERROR(IF([1]财务取数接口!$I$314=0,"",[1]财务取数接口!$I$314),""))</f>
        <v/>
      </c>
      <c r="I315" s="43"/>
      <c r="J315" s="106"/>
      <c r="K315" s="43"/>
      <c r="L315" s="43"/>
      <c r="M315" s="107"/>
      <c r="N315" s="107"/>
      <c r="O315" s="106"/>
      <c r="P315" s="139">
        <f t="shared" si="8"/>
        <v>0</v>
      </c>
      <c r="Q315" s="139">
        <f t="shared" si="9"/>
        <v>5</v>
      </c>
    </row>
    <row r="316" spans="1:17">
      <c r="A316" s="74">
        <v>315</v>
      </c>
      <c r="B316" s="89" t="str">
        <f>IF($T$4=0,IF($I316="","",$I316),IFERROR(IF([1]财务取数接口!$B$315=0,"",[1]财务取数接口!$B$315),""))</f>
        <v/>
      </c>
      <c r="C316" s="75" t="str">
        <f>IF($T$4=0,IF($J316="","",$J316),IFERROR(IF([1]财务取数接口!$C$315=0,"",[1]财务取数接口!$C$315),""))</f>
        <v/>
      </c>
      <c r="D316" s="89" t="str">
        <f>IF($T$4=0,IF($K316="","",$K316),IFERROR(IF([1]财务取数接口!$D$315=0,"",[1]财务取数接口!$D$315),""))</f>
        <v/>
      </c>
      <c r="E316" s="89" t="str">
        <f>IF($T$4=0,IF($L316="","",$L316),IFERROR(IF([1]财务取数接口!$E$315=0,"",[1]财务取数接口!$E$315),""))</f>
        <v/>
      </c>
      <c r="F316" s="76" t="str">
        <f>IF($T$4=0,IF($M316="","",$M316),IFERROR(IF([1]财务取数接口!$G$315=0,"",[1]财务取数接口!$G$315),""))</f>
        <v/>
      </c>
      <c r="G316" s="76" t="str">
        <f>IF($T$4=0,IF($N316="","",$N316),IFERROR(IF([1]财务取数接口!$H$315=0,"",[1]财务取数接口!$H$315),""))</f>
        <v/>
      </c>
      <c r="H316" s="75" t="str">
        <f>IF($T$4=0,IF($O316="","",$O316),IFERROR(IF([1]财务取数接口!$I$315=0,"",[1]财务取数接口!$I$315),""))</f>
        <v/>
      </c>
      <c r="I316" s="43"/>
      <c r="J316" s="106"/>
      <c r="K316" s="43"/>
      <c r="L316" s="43"/>
      <c r="M316" s="107"/>
      <c r="N316" s="107"/>
      <c r="O316" s="106"/>
      <c r="P316" s="139">
        <f t="shared" si="8"/>
        <v>0</v>
      </c>
      <c r="Q316" s="139">
        <f t="shared" si="9"/>
        <v>5</v>
      </c>
    </row>
    <row r="317" spans="1:17">
      <c r="A317" s="74">
        <v>316</v>
      </c>
      <c r="B317" s="89" t="str">
        <f>IF($T$4=0,IF($I317="","",$I317),IFERROR(IF([1]财务取数接口!$B$316=0,"",[1]财务取数接口!$B$316),""))</f>
        <v/>
      </c>
      <c r="C317" s="75" t="str">
        <f>IF($T$4=0,IF($J317="","",$J317),IFERROR(IF([1]财务取数接口!$C$316=0,"",[1]财务取数接口!$C$316),""))</f>
        <v/>
      </c>
      <c r="D317" s="89" t="str">
        <f>IF($T$4=0,IF($K317="","",$K317),IFERROR(IF([1]财务取数接口!$D$316=0,"",[1]财务取数接口!$D$316),""))</f>
        <v/>
      </c>
      <c r="E317" s="89" t="str">
        <f>IF($T$4=0,IF($L317="","",$L317),IFERROR(IF([1]财务取数接口!$E$316=0,"",[1]财务取数接口!$E$316),""))</f>
        <v/>
      </c>
      <c r="F317" s="76" t="str">
        <f>IF($T$4=0,IF($M317="","",$M317),IFERROR(IF([1]财务取数接口!$G$316=0,"",[1]财务取数接口!$G$316),""))</f>
        <v/>
      </c>
      <c r="G317" s="76" t="str">
        <f>IF($T$4=0,IF($N317="","",$N317),IFERROR(IF([1]财务取数接口!$H$316=0,"",[1]财务取数接口!$H$316),""))</f>
        <v/>
      </c>
      <c r="H317" s="75" t="str">
        <f>IF($T$4=0,IF($O317="","",$O317),IFERROR(IF([1]财务取数接口!$I$316=0,"",[1]财务取数接口!$I$316),""))</f>
        <v/>
      </c>
      <c r="I317" s="43"/>
      <c r="J317" s="106"/>
      <c r="K317" s="43"/>
      <c r="L317" s="43"/>
      <c r="M317" s="107"/>
      <c r="N317" s="107"/>
      <c r="O317" s="106"/>
      <c r="P317" s="139">
        <f t="shared" si="8"/>
        <v>0</v>
      </c>
      <c r="Q317" s="139">
        <f t="shared" si="9"/>
        <v>5</v>
      </c>
    </row>
    <row r="318" spans="1:17">
      <c r="A318" s="74">
        <v>317</v>
      </c>
      <c r="B318" s="89" t="str">
        <f>IF($T$4=0,IF($I318="","",$I318),IFERROR(IF([1]财务取数接口!$B$317=0,"",[1]财务取数接口!$B$317),""))</f>
        <v/>
      </c>
      <c r="C318" s="75" t="str">
        <f>IF($T$4=0,IF($J318="","",$J318),IFERROR(IF([1]财务取数接口!$C$317=0,"",[1]财务取数接口!$C$317),""))</f>
        <v/>
      </c>
      <c r="D318" s="89" t="str">
        <f>IF($T$4=0,IF($K318="","",$K318),IFERROR(IF([1]财务取数接口!$D$317=0,"",[1]财务取数接口!$D$317),""))</f>
        <v/>
      </c>
      <c r="E318" s="89" t="str">
        <f>IF($T$4=0,IF($L318="","",$L318),IFERROR(IF([1]财务取数接口!$E$317=0,"",[1]财务取数接口!$E$317),""))</f>
        <v/>
      </c>
      <c r="F318" s="76" t="str">
        <f>IF($T$4=0,IF($M318="","",$M318),IFERROR(IF([1]财务取数接口!$G$317=0,"",[1]财务取数接口!$G$317),""))</f>
        <v/>
      </c>
      <c r="G318" s="76" t="str">
        <f>IF($T$4=0,IF($N318="","",$N318),IFERROR(IF([1]财务取数接口!$H$317=0,"",[1]财务取数接口!$H$317),""))</f>
        <v/>
      </c>
      <c r="H318" s="75" t="str">
        <f>IF($T$4=0,IF($O318="","",$O318),IFERROR(IF([1]财务取数接口!$I$317=0,"",[1]财务取数接口!$I$317),""))</f>
        <v/>
      </c>
      <c r="I318" s="43"/>
      <c r="J318" s="106"/>
      <c r="K318" s="43"/>
      <c r="L318" s="43"/>
      <c r="M318" s="107"/>
      <c r="N318" s="107"/>
      <c r="O318" s="106"/>
      <c r="P318" s="139">
        <f t="shared" si="8"/>
        <v>0</v>
      </c>
      <c r="Q318" s="139">
        <f t="shared" si="9"/>
        <v>5</v>
      </c>
    </row>
    <row r="319" spans="1:17">
      <c r="A319" s="74">
        <v>318</v>
      </c>
      <c r="B319" s="89" t="str">
        <f>IF($T$4=0,IF($I319="","",$I319),IFERROR(IF([1]财务取数接口!$B$318=0,"",[1]财务取数接口!$B$318),""))</f>
        <v/>
      </c>
      <c r="C319" s="75" t="str">
        <f>IF($T$4=0,IF($J319="","",$J319),IFERROR(IF([1]财务取数接口!$C$318=0,"",[1]财务取数接口!$C$318),""))</f>
        <v/>
      </c>
      <c r="D319" s="89" t="str">
        <f>IF($T$4=0,IF($K319="","",$K319),IFERROR(IF([1]财务取数接口!$D$318=0,"",[1]财务取数接口!$D$318),""))</f>
        <v/>
      </c>
      <c r="E319" s="89" t="str">
        <f>IF($T$4=0,IF($L319="","",$L319),IFERROR(IF([1]财务取数接口!$E$318=0,"",[1]财务取数接口!$E$318),""))</f>
        <v/>
      </c>
      <c r="F319" s="76" t="str">
        <f>IF($T$4=0,IF($M319="","",$M319),IFERROR(IF([1]财务取数接口!$G$318=0,"",[1]财务取数接口!$G$318),""))</f>
        <v/>
      </c>
      <c r="G319" s="76" t="str">
        <f>IF($T$4=0,IF($N319="","",$N319),IFERROR(IF([1]财务取数接口!$H$318=0,"",[1]财务取数接口!$H$318),""))</f>
        <v/>
      </c>
      <c r="H319" s="75" t="str">
        <f>IF($T$4=0,IF($O319="","",$O319),IFERROR(IF([1]财务取数接口!$I$318=0,"",[1]财务取数接口!$I$318),""))</f>
        <v/>
      </c>
      <c r="I319" s="43"/>
      <c r="J319" s="106"/>
      <c r="K319" s="43"/>
      <c r="L319" s="43"/>
      <c r="M319" s="107"/>
      <c r="N319" s="107"/>
      <c r="O319" s="106"/>
      <c r="P319" s="139">
        <f t="shared" si="8"/>
        <v>0</v>
      </c>
      <c r="Q319" s="139">
        <f t="shared" si="9"/>
        <v>5</v>
      </c>
    </row>
    <row r="320" spans="1:17">
      <c r="A320" s="74">
        <v>319</v>
      </c>
      <c r="B320" s="89" t="str">
        <f>IF($T$4=0,IF($I320="","",$I320),IFERROR(IF([1]财务取数接口!$B$319=0,"",[1]财务取数接口!$B$319),""))</f>
        <v/>
      </c>
      <c r="C320" s="75" t="str">
        <f>IF($T$4=0,IF($J320="","",$J320),IFERROR(IF([1]财务取数接口!$C$319=0,"",[1]财务取数接口!$C$319),""))</f>
        <v/>
      </c>
      <c r="D320" s="89" t="str">
        <f>IF($T$4=0,IF($K320="","",$K320),IFERROR(IF([1]财务取数接口!$D$319=0,"",[1]财务取数接口!$D$319),""))</f>
        <v/>
      </c>
      <c r="E320" s="89" t="str">
        <f>IF($T$4=0,IF($L320="","",$L320),IFERROR(IF([1]财务取数接口!$E$319=0,"",[1]财务取数接口!$E$319),""))</f>
        <v/>
      </c>
      <c r="F320" s="76" t="str">
        <f>IF($T$4=0,IF($M320="","",$M320),IFERROR(IF([1]财务取数接口!$G$319=0,"",[1]财务取数接口!$G$319),""))</f>
        <v/>
      </c>
      <c r="G320" s="76" t="str">
        <f>IF($T$4=0,IF($N320="","",$N320),IFERROR(IF([1]财务取数接口!$H$319=0,"",[1]财务取数接口!$H$319),""))</f>
        <v/>
      </c>
      <c r="H320" s="75" t="str">
        <f>IF($T$4=0,IF($O320="","",$O320),IFERROR(IF([1]财务取数接口!$I$319=0,"",[1]财务取数接口!$I$319),""))</f>
        <v/>
      </c>
      <c r="I320" s="43"/>
      <c r="J320" s="106"/>
      <c r="K320" s="43"/>
      <c r="L320" s="43"/>
      <c r="M320" s="107"/>
      <c r="N320" s="107"/>
      <c r="O320" s="106"/>
      <c r="P320" s="139">
        <f t="shared" si="8"/>
        <v>0</v>
      </c>
      <c r="Q320" s="139">
        <f t="shared" si="9"/>
        <v>5</v>
      </c>
    </row>
    <row r="321" spans="1:17">
      <c r="A321" s="74">
        <v>320</v>
      </c>
      <c r="B321" s="89" t="str">
        <f>IF($T$4=0,IF($I321="","",$I321),IFERROR(IF([1]财务取数接口!$B$320=0,"",[1]财务取数接口!$B$320),""))</f>
        <v/>
      </c>
      <c r="C321" s="75" t="str">
        <f>IF($T$4=0,IF($J321="","",$J321),IFERROR(IF([1]财务取数接口!$C$320=0,"",[1]财务取数接口!$C$320),""))</f>
        <v/>
      </c>
      <c r="D321" s="89" t="str">
        <f>IF($T$4=0,IF($K321="","",$K321),IFERROR(IF([1]财务取数接口!$D$320=0,"",[1]财务取数接口!$D$320),""))</f>
        <v/>
      </c>
      <c r="E321" s="89" t="str">
        <f>IF($T$4=0,IF($L321="","",$L321),IFERROR(IF([1]财务取数接口!$E$320=0,"",[1]财务取数接口!$E$320),""))</f>
        <v/>
      </c>
      <c r="F321" s="76" t="str">
        <f>IF($T$4=0,IF($M321="","",$M321),IFERROR(IF([1]财务取数接口!$G$320=0,"",[1]财务取数接口!$G$320),""))</f>
        <v/>
      </c>
      <c r="G321" s="76" t="str">
        <f>IF($T$4=0,IF($N321="","",$N321),IFERROR(IF([1]财务取数接口!$H$320=0,"",[1]财务取数接口!$H$320),""))</f>
        <v/>
      </c>
      <c r="H321" s="75" t="str">
        <f>IF($T$4=0,IF($O321="","",$O321),IFERROR(IF([1]财务取数接口!$I$320=0,"",[1]财务取数接口!$I$320),""))</f>
        <v/>
      </c>
      <c r="I321" s="43"/>
      <c r="J321" s="106"/>
      <c r="K321" s="43"/>
      <c r="L321" s="43"/>
      <c r="M321" s="107"/>
      <c r="N321" s="107"/>
      <c r="O321" s="106"/>
      <c r="P321" s="139">
        <f t="shared" si="8"/>
        <v>0</v>
      </c>
      <c r="Q321" s="139">
        <f t="shared" si="9"/>
        <v>5</v>
      </c>
    </row>
    <row r="322" spans="1:17">
      <c r="A322" s="74">
        <v>321</v>
      </c>
      <c r="B322" s="89" t="str">
        <f>IF($T$4=0,IF($I322="","",$I322),IFERROR(IF([1]财务取数接口!$B$321=0,"",[1]财务取数接口!$B$321),""))</f>
        <v/>
      </c>
      <c r="C322" s="75" t="str">
        <f>IF($T$4=0,IF($J322="","",$J322),IFERROR(IF([1]财务取数接口!$C$321=0,"",[1]财务取数接口!$C$321),""))</f>
        <v/>
      </c>
      <c r="D322" s="89" t="str">
        <f>IF($T$4=0,IF($K322="","",$K322),IFERROR(IF([1]财务取数接口!$D$321=0,"",[1]财务取数接口!$D$321),""))</f>
        <v/>
      </c>
      <c r="E322" s="89" t="str">
        <f>IF($T$4=0,IF($L322="","",$L322),IFERROR(IF([1]财务取数接口!$E$321=0,"",[1]财务取数接口!$E$321),""))</f>
        <v/>
      </c>
      <c r="F322" s="76" t="str">
        <f>IF($T$4=0,IF($M322="","",$M322),IFERROR(IF([1]财务取数接口!$G$321=0,"",[1]财务取数接口!$G$321),""))</f>
        <v/>
      </c>
      <c r="G322" s="76" t="str">
        <f>IF($T$4=0,IF($N322="","",$N322),IFERROR(IF([1]财务取数接口!$H$321=0,"",[1]财务取数接口!$H$321),""))</f>
        <v/>
      </c>
      <c r="H322" s="75" t="str">
        <f>IF($T$4=0,IF($O322="","",$O322),IFERROR(IF([1]财务取数接口!$I$321=0,"",[1]财务取数接口!$I$321),""))</f>
        <v/>
      </c>
      <c r="I322" s="43"/>
      <c r="J322" s="106"/>
      <c r="K322" s="43"/>
      <c r="L322" s="43"/>
      <c r="M322" s="107"/>
      <c r="N322" s="107"/>
      <c r="O322" s="106"/>
      <c r="P322" s="139">
        <f t="shared" si="8"/>
        <v>0</v>
      </c>
      <c r="Q322" s="139">
        <f t="shared" si="9"/>
        <v>5</v>
      </c>
    </row>
    <row r="323" spans="1:17">
      <c r="A323" s="74">
        <v>322</v>
      </c>
      <c r="B323" s="89" t="str">
        <f>IF($T$4=0,IF($I323="","",$I323),IFERROR(IF([1]财务取数接口!$B$322=0,"",[1]财务取数接口!$B$322),""))</f>
        <v/>
      </c>
      <c r="C323" s="75" t="str">
        <f>IF($T$4=0,IF($J323="","",$J323),IFERROR(IF([1]财务取数接口!$C$322=0,"",[1]财务取数接口!$C$322),""))</f>
        <v/>
      </c>
      <c r="D323" s="89" t="str">
        <f>IF($T$4=0,IF($K323="","",$K323),IFERROR(IF([1]财务取数接口!$D$322=0,"",[1]财务取数接口!$D$322),""))</f>
        <v/>
      </c>
      <c r="E323" s="89" t="str">
        <f>IF($T$4=0,IF($L323="","",$L323),IFERROR(IF([1]财务取数接口!$E$322=0,"",[1]财务取数接口!$E$322),""))</f>
        <v/>
      </c>
      <c r="F323" s="76" t="str">
        <f>IF($T$4=0,IF($M323="","",$M323),IFERROR(IF([1]财务取数接口!$G$322=0,"",[1]财务取数接口!$G$322),""))</f>
        <v/>
      </c>
      <c r="G323" s="76" t="str">
        <f>IF($T$4=0,IF($N323="","",$N323),IFERROR(IF([1]财务取数接口!$H$322=0,"",[1]财务取数接口!$H$322),""))</f>
        <v/>
      </c>
      <c r="H323" s="75" t="str">
        <f>IF($T$4=0,IF($O323="","",$O323),IFERROR(IF([1]财务取数接口!$I$322=0,"",[1]财务取数接口!$I$322),""))</f>
        <v/>
      </c>
      <c r="I323" s="43"/>
      <c r="J323" s="106"/>
      <c r="K323" s="43"/>
      <c r="L323" s="43"/>
      <c r="M323" s="107"/>
      <c r="N323" s="107"/>
      <c r="O323" s="106"/>
      <c r="P323" s="139">
        <f t="shared" si="8"/>
        <v>0</v>
      </c>
      <c r="Q323" s="139">
        <f t="shared" si="9"/>
        <v>5</v>
      </c>
    </row>
    <row r="324" spans="1:17">
      <c r="A324" s="74">
        <v>323</v>
      </c>
      <c r="B324" s="89" t="str">
        <f>IF($T$4=0,IF($I324="","",$I324),IFERROR(IF([1]财务取数接口!$B$323=0,"",[1]财务取数接口!$B$323),""))</f>
        <v/>
      </c>
      <c r="C324" s="75" t="str">
        <f>IF($T$4=0,IF($J324="","",$J324),IFERROR(IF([1]财务取数接口!$C$323=0,"",[1]财务取数接口!$C$323),""))</f>
        <v/>
      </c>
      <c r="D324" s="89" t="str">
        <f>IF($T$4=0,IF($K324="","",$K324),IFERROR(IF([1]财务取数接口!$D$323=0,"",[1]财务取数接口!$D$323),""))</f>
        <v/>
      </c>
      <c r="E324" s="89" t="str">
        <f>IF($T$4=0,IF($L324="","",$L324),IFERROR(IF([1]财务取数接口!$E$323=0,"",[1]财务取数接口!$E$323),""))</f>
        <v/>
      </c>
      <c r="F324" s="76" t="str">
        <f>IF($T$4=0,IF($M324="","",$M324),IFERROR(IF([1]财务取数接口!$G$323=0,"",[1]财务取数接口!$G$323),""))</f>
        <v/>
      </c>
      <c r="G324" s="76" t="str">
        <f>IF($T$4=0,IF($N324="","",$N324),IFERROR(IF([1]财务取数接口!$H$323=0,"",[1]财务取数接口!$H$323),""))</f>
        <v/>
      </c>
      <c r="H324" s="75" t="str">
        <f>IF($T$4=0,IF($O324="","",$O324),IFERROR(IF([1]财务取数接口!$I$323=0,"",[1]财务取数接口!$I$323),""))</f>
        <v/>
      </c>
      <c r="I324" s="43"/>
      <c r="J324" s="106"/>
      <c r="K324" s="43"/>
      <c r="L324" s="43"/>
      <c r="M324" s="107"/>
      <c r="N324" s="107"/>
      <c r="O324" s="106"/>
      <c r="P324" s="139">
        <f t="shared" si="8"/>
        <v>0</v>
      </c>
      <c r="Q324" s="139">
        <f t="shared" si="9"/>
        <v>5</v>
      </c>
    </row>
    <row r="325" spans="1:17">
      <c r="A325" s="74">
        <v>324</v>
      </c>
      <c r="B325" s="89" t="str">
        <f>IF($T$4=0,IF($I325="","",$I325),IFERROR(IF([1]财务取数接口!$B$324=0,"",[1]财务取数接口!$B$324),""))</f>
        <v/>
      </c>
      <c r="C325" s="75" t="str">
        <f>IF($T$4=0,IF($J325="","",$J325),IFERROR(IF([1]财务取数接口!$C$324=0,"",[1]财务取数接口!$C$324),""))</f>
        <v/>
      </c>
      <c r="D325" s="89" t="str">
        <f>IF($T$4=0,IF($K325="","",$K325),IFERROR(IF([1]财务取数接口!$D$324=0,"",[1]财务取数接口!$D$324),""))</f>
        <v/>
      </c>
      <c r="E325" s="89" t="str">
        <f>IF($T$4=0,IF($L325="","",$L325),IFERROR(IF([1]财务取数接口!$E$324=0,"",[1]财务取数接口!$E$324),""))</f>
        <v/>
      </c>
      <c r="F325" s="76" t="str">
        <f>IF($T$4=0,IF($M325="","",$M325),IFERROR(IF([1]财务取数接口!$G$324=0,"",[1]财务取数接口!$G$324),""))</f>
        <v/>
      </c>
      <c r="G325" s="76" t="str">
        <f>IF($T$4=0,IF($N325="","",$N325),IFERROR(IF([1]财务取数接口!$H$324=0,"",[1]财务取数接口!$H$324),""))</f>
        <v/>
      </c>
      <c r="H325" s="75" t="str">
        <f>IF($T$4=0,IF($O325="","",$O325),IFERROR(IF([1]财务取数接口!$I$324=0,"",[1]财务取数接口!$I$324),""))</f>
        <v/>
      </c>
      <c r="I325" s="43"/>
      <c r="J325" s="106"/>
      <c r="K325" s="43"/>
      <c r="L325" s="43"/>
      <c r="M325" s="107"/>
      <c r="N325" s="107"/>
      <c r="O325" s="106"/>
      <c r="P325" s="139">
        <f t="shared" ref="P325:P388" si="10">IF(AND($C325&lt;&gt;"",$C325&lt;&gt;"项目",OR(N($D325)&lt;&gt;0,N($E325)&lt;&gt;0,N($F325)&lt;&gt;0)),1,0)</f>
        <v>0</v>
      </c>
      <c r="Q325" s="139">
        <f t="shared" ref="Q325:Q388" si="11">N(Q324)+$P325</f>
        <v>5</v>
      </c>
    </row>
    <row r="326" spans="1:17">
      <c r="A326" s="74">
        <v>325</v>
      </c>
      <c r="B326" s="89" t="str">
        <f>IF($T$4=0,IF($I326="","",$I326),IFERROR(IF([1]财务取数接口!$B$325=0,"",[1]财务取数接口!$B$325),""))</f>
        <v/>
      </c>
      <c r="C326" s="75" t="str">
        <f>IF($T$4=0,IF($J326="","",$J326),IFERROR(IF([1]财务取数接口!$C$325=0,"",[1]财务取数接口!$C$325),""))</f>
        <v/>
      </c>
      <c r="D326" s="89" t="str">
        <f>IF($T$4=0,IF($K326="","",$K326),IFERROR(IF([1]财务取数接口!$D$325=0,"",[1]财务取数接口!$D$325),""))</f>
        <v/>
      </c>
      <c r="E326" s="89" t="str">
        <f>IF($T$4=0,IF($L326="","",$L326),IFERROR(IF([1]财务取数接口!$E$325=0,"",[1]财务取数接口!$E$325),""))</f>
        <v/>
      </c>
      <c r="F326" s="76" t="str">
        <f>IF($T$4=0,IF($M326="","",$M326),IFERROR(IF([1]财务取数接口!$G$325=0,"",[1]财务取数接口!$G$325),""))</f>
        <v/>
      </c>
      <c r="G326" s="76" t="str">
        <f>IF($T$4=0,IF($N326="","",$N326),IFERROR(IF([1]财务取数接口!$H$325=0,"",[1]财务取数接口!$H$325),""))</f>
        <v/>
      </c>
      <c r="H326" s="75" t="str">
        <f>IF($T$4=0,IF($O326="","",$O326),IFERROR(IF([1]财务取数接口!$I$325=0,"",[1]财务取数接口!$I$325),""))</f>
        <v/>
      </c>
      <c r="I326" s="43"/>
      <c r="J326" s="106"/>
      <c r="K326" s="43"/>
      <c r="L326" s="43"/>
      <c r="M326" s="107"/>
      <c r="N326" s="107"/>
      <c r="O326" s="106"/>
      <c r="P326" s="139">
        <f t="shared" si="10"/>
        <v>0</v>
      </c>
      <c r="Q326" s="139">
        <f t="shared" si="11"/>
        <v>5</v>
      </c>
    </row>
    <row r="327" spans="1:17">
      <c r="A327" s="74">
        <v>326</v>
      </c>
      <c r="B327" s="89" t="str">
        <f>IF($T$4=0,IF($I327="","",$I327),IFERROR(IF([1]财务取数接口!$B$326=0,"",[1]财务取数接口!$B$326),""))</f>
        <v/>
      </c>
      <c r="C327" s="75" t="str">
        <f>IF($T$4=0,IF($J327="","",$J327),IFERROR(IF([1]财务取数接口!$C$326=0,"",[1]财务取数接口!$C$326),""))</f>
        <v/>
      </c>
      <c r="D327" s="89" t="str">
        <f>IF($T$4=0,IF($K327="","",$K327),IFERROR(IF([1]财务取数接口!$D$326=0,"",[1]财务取数接口!$D$326),""))</f>
        <v/>
      </c>
      <c r="E327" s="89" t="str">
        <f>IF($T$4=0,IF($L327="","",$L327),IFERROR(IF([1]财务取数接口!$E$326=0,"",[1]财务取数接口!$E$326),""))</f>
        <v/>
      </c>
      <c r="F327" s="76" t="str">
        <f>IF($T$4=0,IF($M327="","",$M327),IFERROR(IF([1]财务取数接口!$G$326=0,"",[1]财务取数接口!$G$326),""))</f>
        <v/>
      </c>
      <c r="G327" s="76" t="str">
        <f>IF($T$4=0,IF($N327="","",$N327),IFERROR(IF([1]财务取数接口!$H$326=0,"",[1]财务取数接口!$H$326),""))</f>
        <v/>
      </c>
      <c r="H327" s="75" t="str">
        <f>IF($T$4=0,IF($O327="","",$O327),IFERROR(IF([1]财务取数接口!$I$326=0,"",[1]财务取数接口!$I$326),""))</f>
        <v/>
      </c>
      <c r="I327" s="43"/>
      <c r="J327" s="106"/>
      <c r="K327" s="43"/>
      <c r="L327" s="43"/>
      <c r="M327" s="107"/>
      <c r="N327" s="107"/>
      <c r="O327" s="106"/>
      <c r="P327" s="139">
        <f t="shared" si="10"/>
        <v>0</v>
      </c>
      <c r="Q327" s="139">
        <f t="shared" si="11"/>
        <v>5</v>
      </c>
    </row>
    <row r="328" spans="1:17">
      <c r="A328" s="74">
        <v>327</v>
      </c>
      <c r="B328" s="89" t="str">
        <f>IF($T$4=0,IF($I328="","",$I328),IFERROR(IF([1]财务取数接口!$B$327=0,"",[1]财务取数接口!$B$327),""))</f>
        <v/>
      </c>
      <c r="C328" s="75" t="str">
        <f>IF($T$4=0,IF($J328="","",$J328),IFERROR(IF([1]财务取数接口!$C$327=0,"",[1]财务取数接口!$C$327),""))</f>
        <v/>
      </c>
      <c r="D328" s="89" t="str">
        <f>IF($T$4=0,IF($K328="","",$K328),IFERROR(IF([1]财务取数接口!$D$327=0,"",[1]财务取数接口!$D$327),""))</f>
        <v/>
      </c>
      <c r="E328" s="89" t="str">
        <f>IF($T$4=0,IF($L328="","",$L328),IFERROR(IF([1]财务取数接口!$E$327=0,"",[1]财务取数接口!$E$327),""))</f>
        <v/>
      </c>
      <c r="F328" s="76" t="str">
        <f>IF($T$4=0,IF($M328="","",$M328),IFERROR(IF([1]财务取数接口!$G$327=0,"",[1]财务取数接口!$G$327),""))</f>
        <v/>
      </c>
      <c r="G328" s="76" t="str">
        <f>IF($T$4=0,IF($N328="","",$N328),IFERROR(IF([1]财务取数接口!$H$327=0,"",[1]财务取数接口!$H$327),""))</f>
        <v/>
      </c>
      <c r="H328" s="75" t="str">
        <f>IF($T$4=0,IF($O328="","",$O328),IFERROR(IF([1]财务取数接口!$I$327=0,"",[1]财务取数接口!$I$327),""))</f>
        <v/>
      </c>
      <c r="I328" s="43"/>
      <c r="J328" s="106"/>
      <c r="K328" s="43"/>
      <c r="L328" s="43"/>
      <c r="M328" s="107"/>
      <c r="N328" s="107"/>
      <c r="O328" s="106"/>
      <c r="P328" s="139">
        <f t="shared" si="10"/>
        <v>0</v>
      </c>
      <c r="Q328" s="139">
        <f t="shared" si="11"/>
        <v>5</v>
      </c>
    </row>
    <row r="329" spans="1:17">
      <c r="A329" s="74">
        <v>328</v>
      </c>
      <c r="B329" s="89" t="str">
        <f>IF($T$4=0,IF($I329="","",$I329),IFERROR(IF([1]财务取数接口!$B$328=0,"",[1]财务取数接口!$B$328),""))</f>
        <v/>
      </c>
      <c r="C329" s="75" t="str">
        <f>IF($T$4=0,IF($J329="","",$J329),IFERROR(IF([1]财务取数接口!$C$328=0,"",[1]财务取数接口!$C$328),""))</f>
        <v/>
      </c>
      <c r="D329" s="89" t="str">
        <f>IF($T$4=0,IF($K329="","",$K329),IFERROR(IF([1]财务取数接口!$D$328=0,"",[1]财务取数接口!$D$328),""))</f>
        <v/>
      </c>
      <c r="E329" s="89" t="str">
        <f>IF($T$4=0,IF($L329="","",$L329),IFERROR(IF([1]财务取数接口!$E$328=0,"",[1]财务取数接口!$E$328),""))</f>
        <v/>
      </c>
      <c r="F329" s="76" t="str">
        <f>IF($T$4=0,IF($M329="","",$M329),IFERROR(IF([1]财务取数接口!$G$328=0,"",[1]财务取数接口!$G$328),""))</f>
        <v/>
      </c>
      <c r="G329" s="76" t="str">
        <f>IF($T$4=0,IF($N329="","",$N329),IFERROR(IF([1]财务取数接口!$H$328=0,"",[1]财务取数接口!$H$328),""))</f>
        <v/>
      </c>
      <c r="H329" s="75" t="str">
        <f>IF($T$4=0,IF($O329="","",$O329),IFERROR(IF([1]财务取数接口!$I$328=0,"",[1]财务取数接口!$I$328),""))</f>
        <v/>
      </c>
      <c r="I329" s="43"/>
      <c r="J329" s="106"/>
      <c r="K329" s="43"/>
      <c r="L329" s="43"/>
      <c r="M329" s="107"/>
      <c r="N329" s="107"/>
      <c r="O329" s="106"/>
      <c r="P329" s="139">
        <f t="shared" si="10"/>
        <v>0</v>
      </c>
      <c r="Q329" s="139">
        <f t="shared" si="11"/>
        <v>5</v>
      </c>
    </row>
    <row r="330" spans="1:17">
      <c r="A330" s="74">
        <v>329</v>
      </c>
      <c r="B330" s="89" t="str">
        <f>IF($T$4=0,IF($I330="","",$I330),IFERROR(IF([1]财务取数接口!$B$329=0,"",[1]财务取数接口!$B$329),""))</f>
        <v/>
      </c>
      <c r="C330" s="75" t="str">
        <f>IF($T$4=0,IF($J330="","",$J330),IFERROR(IF([1]财务取数接口!$C$329=0,"",[1]财务取数接口!$C$329),""))</f>
        <v/>
      </c>
      <c r="D330" s="89" t="str">
        <f>IF($T$4=0,IF($K330="","",$K330),IFERROR(IF([1]财务取数接口!$D$329=0,"",[1]财务取数接口!$D$329),""))</f>
        <v/>
      </c>
      <c r="E330" s="89" t="str">
        <f>IF($T$4=0,IF($L330="","",$L330),IFERROR(IF([1]财务取数接口!$E$329=0,"",[1]财务取数接口!$E$329),""))</f>
        <v/>
      </c>
      <c r="F330" s="76" t="str">
        <f>IF($T$4=0,IF($M330="","",$M330),IFERROR(IF([1]财务取数接口!$G$329=0,"",[1]财务取数接口!$G$329),""))</f>
        <v/>
      </c>
      <c r="G330" s="76" t="str">
        <f>IF($T$4=0,IF($N330="","",$N330),IFERROR(IF([1]财务取数接口!$H$329=0,"",[1]财务取数接口!$H$329),""))</f>
        <v/>
      </c>
      <c r="H330" s="75" t="str">
        <f>IF($T$4=0,IF($O330="","",$O330),IFERROR(IF([1]财务取数接口!$I$329=0,"",[1]财务取数接口!$I$329),""))</f>
        <v/>
      </c>
      <c r="I330" s="43"/>
      <c r="J330" s="106"/>
      <c r="K330" s="43"/>
      <c r="L330" s="43"/>
      <c r="M330" s="107"/>
      <c r="N330" s="107"/>
      <c r="O330" s="106"/>
      <c r="P330" s="139">
        <f t="shared" si="10"/>
        <v>0</v>
      </c>
      <c r="Q330" s="139">
        <f t="shared" si="11"/>
        <v>5</v>
      </c>
    </row>
    <row r="331" spans="1:17">
      <c r="A331" s="74">
        <v>330</v>
      </c>
      <c r="B331" s="89" t="str">
        <f>IF($T$4=0,IF($I331="","",$I331),IFERROR(IF([1]财务取数接口!$B$330=0,"",[1]财务取数接口!$B$330),""))</f>
        <v/>
      </c>
      <c r="C331" s="75" t="str">
        <f>IF($T$4=0,IF($J331="","",$J331),IFERROR(IF([1]财务取数接口!$C$330=0,"",[1]财务取数接口!$C$330),""))</f>
        <v/>
      </c>
      <c r="D331" s="89" t="str">
        <f>IF($T$4=0,IF($K331="","",$K331),IFERROR(IF([1]财务取数接口!$D$330=0,"",[1]财务取数接口!$D$330),""))</f>
        <v/>
      </c>
      <c r="E331" s="89" t="str">
        <f>IF($T$4=0,IF($L331="","",$L331),IFERROR(IF([1]财务取数接口!$E$330=0,"",[1]财务取数接口!$E$330),""))</f>
        <v/>
      </c>
      <c r="F331" s="76" t="str">
        <f>IF($T$4=0,IF($M331="","",$M331),IFERROR(IF([1]财务取数接口!$G$330=0,"",[1]财务取数接口!$G$330),""))</f>
        <v/>
      </c>
      <c r="G331" s="76" t="str">
        <f>IF($T$4=0,IF($N331="","",$N331),IFERROR(IF([1]财务取数接口!$H$330=0,"",[1]财务取数接口!$H$330),""))</f>
        <v/>
      </c>
      <c r="H331" s="75" t="str">
        <f>IF($T$4=0,IF($O331="","",$O331),IFERROR(IF([1]财务取数接口!$I$330=0,"",[1]财务取数接口!$I$330),""))</f>
        <v/>
      </c>
      <c r="I331" s="43"/>
      <c r="J331" s="106"/>
      <c r="K331" s="43"/>
      <c r="L331" s="43"/>
      <c r="M331" s="107"/>
      <c r="N331" s="107"/>
      <c r="O331" s="106"/>
      <c r="P331" s="139">
        <f t="shared" si="10"/>
        <v>0</v>
      </c>
      <c r="Q331" s="139">
        <f t="shared" si="11"/>
        <v>5</v>
      </c>
    </row>
    <row r="332" spans="1:17">
      <c r="A332" s="74">
        <v>331</v>
      </c>
      <c r="B332" s="89" t="str">
        <f>IF($T$4=0,IF($I332="","",$I332),IFERROR(IF([1]财务取数接口!$B$331=0,"",[1]财务取数接口!$B$331),""))</f>
        <v/>
      </c>
      <c r="C332" s="75" t="str">
        <f>IF($T$4=0,IF($J332="","",$J332),IFERROR(IF([1]财务取数接口!$C$331=0,"",[1]财务取数接口!$C$331),""))</f>
        <v/>
      </c>
      <c r="D332" s="89" t="str">
        <f>IF($T$4=0,IF($K332="","",$K332),IFERROR(IF([1]财务取数接口!$D$331=0,"",[1]财务取数接口!$D$331),""))</f>
        <v/>
      </c>
      <c r="E332" s="89" t="str">
        <f>IF($T$4=0,IF($L332="","",$L332),IFERROR(IF([1]财务取数接口!$E$331=0,"",[1]财务取数接口!$E$331),""))</f>
        <v/>
      </c>
      <c r="F332" s="76" t="str">
        <f>IF($T$4=0,IF($M332="","",$M332),IFERROR(IF([1]财务取数接口!$G$331=0,"",[1]财务取数接口!$G$331),""))</f>
        <v/>
      </c>
      <c r="G332" s="76" t="str">
        <f>IF($T$4=0,IF($N332="","",$N332),IFERROR(IF([1]财务取数接口!$H$331=0,"",[1]财务取数接口!$H$331),""))</f>
        <v/>
      </c>
      <c r="H332" s="75" t="str">
        <f>IF($T$4=0,IF($O332="","",$O332),IFERROR(IF([1]财务取数接口!$I$331=0,"",[1]财务取数接口!$I$331),""))</f>
        <v/>
      </c>
      <c r="I332" s="43"/>
      <c r="J332" s="106"/>
      <c r="K332" s="43"/>
      <c r="L332" s="43"/>
      <c r="M332" s="107"/>
      <c r="N332" s="107"/>
      <c r="O332" s="106"/>
      <c r="P332" s="139">
        <f t="shared" si="10"/>
        <v>0</v>
      </c>
      <c r="Q332" s="139">
        <f t="shared" si="11"/>
        <v>5</v>
      </c>
    </row>
    <row r="333" spans="1:17">
      <c r="A333" s="74">
        <v>332</v>
      </c>
      <c r="B333" s="89" t="str">
        <f>IF($T$4=0,IF($I333="","",$I333),IFERROR(IF([1]财务取数接口!$B$332=0,"",[1]财务取数接口!$B$332),""))</f>
        <v/>
      </c>
      <c r="C333" s="75" t="str">
        <f>IF($T$4=0,IF($J333="","",$J333),IFERROR(IF([1]财务取数接口!$C$332=0,"",[1]财务取数接口!$C$332),""))</f>
        <v/>
      </c>
      <c r="D333" s="89" t="str">
        <f>IF($T$4=0,IF($K333="","",$K333),IFERROR(IF([1]财务取数接口!$D$332=0,"",[1]财务取数接口!$D$332),""))</f>
        <v/>
      </c>
      <c r="E333" s="89" t="str">
        <f>IF($T$4=0,IF($L333="","",$L333),IFERROR(IF([1]财务取数接口!$E$332=0,"",[1]财务取数接口!$E$332),""))</f>
        <v/>
      </c>
      <c r="F333" s="76" t="str">
        <f>IF($T$4=0,IF($M333="","",$M333),IFERROR(IF([1]财务取数接口!$G$332=0,"",[1]财务取数接口!$G$332),""))</f>
        <v/>
      </c>
      <c r="G333" s="76" t="str">
        <f>IF($T$4=0,IF($N333="","",$N333),IFERROR(IF([1]财务取数接口!$H$332=0,"",[1]财务取数接口!$H$332),""))</f>
        <v/>
      </c>
      <c r="H333" s="75" t="str">
        <f>IF($T$4=0,IF($O333="","",$O333),IFERROR(IF([1]财务取数接口!$I$332=0,"",[1]财务取数接口!$I$332),""))</f>
        <v/>
      </c>
      <c r="I333" s="43"/>
      <c r="J333" s="106"/>
      <c r="K333" s="43"/>
      <c r="L333" s="43"/>
      <c r="M333" s="107"/>
      <c r="N333" s="107"/>
      <c r="O333" s="106"/>
      <c r="P333" s="139">
        <f t="shared" si="10"/>
        <v>0</v>
      </c>
      <c r="Q333" s="139">
        <f t="shared" si="11"/>
        <v>5</v>
      </c>
    </row>
    <row r="334" spans="1:17">
      <c r="A334" s="74">
        <v>333</v>
      </c>
      <c r="B334" s="89" t="str">
        <f>IF($T$4=0,IF($I334="","",$I334),IFERROR(IF([1]财务取数接口!$B$333=0,"",[1]财务取数接口!$B$333),""))</f>
        <v/>
      </c>
      <c r="C334" s="75" t="str">
        <f>IF($T$4=0,IF($J334="","",$J334),IFERROR(IF([1]财务取数接口!$C$333=0,"",[1]财务取数接口!$C$333),""))</f>
        <v/>
      </c>
      <c r="D334" s="89" t="str">
        <f>IF($T$4=0,IF($K334="","",$K334),IFERROR(IF([1]财务取数接口!$D$333=0,"",[1]财务取数接口!$D$333),""))</f>
        <v/>
      </c>
      <c r="E334" s="89" t="str">
        <f>IF($T$4=0,IF($L334="","",$L334),IFERROR(IF([1]财务取数接口!$E$333=0,"",[1]财务取数接口!$E$333),""))</f>
        <v/>
      </c>
      <c r="F334" s="76" t="str">
        <f>IF($T$4=0,IF($M334="","",$M334),IFERROR(IF([1]财务取数接口!$G$333=0,"",[1]财务取数接口!$G$333),""))</f>
        <v/>
      </c>
      <c r="G334" s="76" t="str">
        <f>IF($T$4=0,IF($N334="","",$N334),IFERROR(IF([1]财务取数接口!$H$333=0,"",[1]财务取数接口!$H$333),""))</f>
        <v/>
      </c>
      <c r="H334" s="75" t="str">
        <f>IF($T$4=0,IF($O334="","",$O334),IFERROR(IF([1]财务取数接口!$I$333=0,"",[1]财务取数接口!$I$333),""))</f>
        <v/>
      </c>
      <c r="I334" s="43"/>
      <c r="J334" s="106"/>
      <c r="K334" s="43"/>
      <c r="L334" s="43"/>
      <c r="M334" s="107"/>
      <c r="N334" s="107"/>
      <c r="O334" s="106"/>
      <c r="P334" s="139">
        <f t="shared" si="10"/>
        <v>0</v>
      </c>
      <c r="Q334" s="139">
        <f t="shared" si="11"/>
        <v>5</v>
      </c>
    </row>
    <row r="335" spans="1:17">
      <c r="A335" s="74">
        <v>334</v>
      </c>
      <c r="B335" s="89" t="str">
        <f>IF($T$4=0,IF($I335="","",$I335),IFERROR(IF([1]财务取数接口!$B$334=0,"",[1]财务取数接口!$B$334),""))</f>
        <v/>
      </c>
      <c r="C335" s="75" t="str">
        <f>IF($T$4=0,IF($J335="","",$J335),IFERROR(IF([1]财务取数接口!$C$334=0,"",[1]财务取数接口!$C$334),""))</f>
        <v/>
      </c>
      <c r="D335" s="89" t="str">
        <f>IF($T$4=0,IF($K335="","",$K335),IFERROR(IF([1]财务取数接口!$D$334=0,"",[1]财务取数接口!$D$334),""))</f>
        <v/>
      </c>
      <c r="E335" s="89" t="str">
        <f>IF($T$4=0,IF($L335="","",$L335),IFERROR(IF([1]财务取数接口!$E$334=0,"",[1]财务取数接口!$E$334),""))</f>
        <v/>
      </c>
      <c r="F335" s="76" t="str">
        <f>IF($T$4=0,IF($M335="","",$M335),IFERROR(IF([1]财务取数接口!$G$334=0,"",[1]财务取数接口!$G$334),""))</f>
        <v/>
      </c>
      <c r="G335" s="76" t="str">
        <f>IF($T$4=0,IF($N335="","",$N335),IFERROR(IF([1]财务取数接口!$H$334=0,"",[1]财务取数接口!$H$334),""))</f>
        <v/>
      </c>
      <c r="H335" s="75" t="str">
        <f>IF($T$4=0,IF($O335="","",$O335),IFERROR(IF([1]财务取数接口!$I$334=0,"",[1]财务取数接口!$I$334),""))</f>
        <v/>
      </c>
      <c r="I335" s="43"/>
      <c r="J335" s="106"/>
      <c r="K335" s="43"/>
      <c r="L335" s="43"/>
      <c r="M335" s="107"/>
      <c r="N335" s="107"/>
      <c r="O335" s="106"/>
      <c r="P335" s="139">
        <f t="shared" si="10"/>
        <v>0</v>
      </c>
      <c r="Q335" s="139">
        <f t="shared" si="11"/>
        <v>5</v>
      </c>
    </row>
    <row r="336" spans="1:17">
      <c r="A336" s="74">
        <v>335</v>
      </c>
      <c r="B336" s="89" t="str">
        <f>IF($T$4=0,IF($I336="","",$I336),IFERROR(IF([1]财务取数接口!$B$335=0,"",[1]财务取数接口!$B$335),""))</f>
        <v/>
      </c>
      <c r="C336" s="75" t="str">
        <f>IF($T$4=0,IF($J336="","",$J336),IFERROR(IF([1]财务取数接口!$C$335=0,"",[1]财务取数接口!$C$335),""))</f>
        <v/>
      </c>
      <c r="D336" s="89" t="str">
        <f>IF($T$4=0,IF($K336="","",$K336),IFERROR(IF([1]财务取数接口!$D$335=0,"",[1]财务取数接口!$D$335),""))</f>
        <v/>
      </c>
      <c r="E336" s="89" t="str">
        <f>IF($T$4=0,IF($L336="","",$L336),IFERROR(IF([1]财务取数接口!$E$335=0,"",[1]财务取数接口!$E$335),""))</f>
        <v/>
      </c>
      <c r="F336" s="76" t="str">
        <f>IF($T$4=0,IF($M336="","",$M336),IFERROR(IF([1]财务取数接口!$G$335=0,"",[1]财务取数接口!$G$335),""))</f>
        <v/>
      </c>
      <c r="G336" s="76" t="str">
        <f>IF($T$4=0,IF($N336="","",$N336),IFERROR(IF([1]财务取数接口!$H$335=0,"",[1]财务取数接口!$H$335),""))</f>
        <v/>
      </c>
      <c r="H336" s="75" t="str">
        <f>IF($T$4=0,IF($O336="","",$O336),IFERROR(IF([1]财务取数接口!$I$335=0,"",[1]财务取数接口!$I$335),""))</f>
        <v/>
      </c>
      <c r="I336" s="43"/>
      <c r="J336" s="106"/>
      <c r="K336" s="43"/>
      <c r="L336" s="43"/>
      <c r="M336" s="107"/>
      <c r="N336" s="107"/>
      <c r="O336" s="106"/>
      <c r="P336" s="139">
        <f t="shared" si="10"/>
        <v>0</v>
      </c>
      <c r="Q336" s="139">
        <f t="shared" si="11"/>
        <v>5</v>
      </c>
    </row>
    <row r="337" spans="1:17">
      <c r="A337" s="74">
        <v>336</v>
      </c>
      <c r="B337" s="89" t="str">
        <f>IF($T$4=0,IF($I337="","",$I337),IFERROR(IF([1]财务取数接口!$B$336=0,"",[1]财务取数接口!$B$336),""))</f>
        <v/>
      </c>
      <c r="C337" s="75" t="str">
        <f>IF($T$4=0,IF($J337="","",$J337),IFERROR(IF([1]财务取数接口!$C$336=0,"",[1]财务取数接口!$C$336),""))</f>
        <v/>
      </c>
      <c r="D337" s="89" t="str">
        <f>IF($T$4=0,IF($K337="","",$K337),IFERROR(IF([1]财务取数接口!$D$336=0,"",[1]财务取数接口!$D$336),""))</f>
        <v/>
      </c>
      <c r="E337" s="89" t="str">
        <f>IF($T$4=0,IF($L337="","",$L337),IFERROR(IF([1]财务取数接口!$E$336=0,"",[1]财务取数接口!$E$336),""))</f>
        <v/>
      </c>
      <c r="F337" s="76" t="str">
        <f>IF($T$4=0,IF($M337="","",$M337),IFERROR(IF([1]财务取数接口!$G$336=0,"",[1]财务取数接口!$G$336),""))</f>
        <v/>
      </c>
      <c r="G337" s="76" t="str">
        <f>IF($T$4=0,IF($N337="","",$N337),IFERROR(IF([1]财务取数接口!$H$336=0,"",[1]财务取数接口!$H$336),""))</f>
        <v/>
      </c>
      <c r="H337" s="75" t="str">
        <f>IF($T$4=0,IF($O337="","",$O337),IFERROR(IF([1]财务取数接口!$I$336=0,"",[1]财务取数接口!$I$336),""))</f>
        <v/>
      </c>
      <c r="I337" s="43"/>
      <c r="J337" s="106"/>
      <c r="K337" s="43"/>
      <c r="L337" s="43"/>
      <c r="M337" s="107"/>
      <c r="N337" s="107"/>
      <c r="O337" s="106"/>
      <c r="P337" s="139">
        <f t="shared" si="10"/>
        <v>0</v>
      </c>
      <c r="Q337" s="139">
        <f t="shared" si="11"/>
        <v>5</v>
      </c>
    </row>
    <row r="338" spans="1:17">
      <c r="A338" s="74">
        <v>337</v>
      </c>
      <c r="B338" s="89" t="str">
        <f>IF($T$4=0,IF($I338="","",$I338),IFERROR(IF([1]财务取数接口!$B$337=0,"",[1]财务取数接口!$B$337),""))</f>
        <v/>
      </c>
      <c r="C338" s="75" t="str">
        <f>IF($T$4=0,IF($J338="","",$J338),IFERROR(IF([1]财务取数接口!$C$337=0,"",[1]财务取数接口!$C$337),""))</f>
        <v/>
      </c>
      <c r="D338" s="89" t="str">
        <f>IF($T$4=0,IF($K338="","",$K338),IFERROR(IF([1]财务取数接口!$D$337=0,"",[1]财务取数接口!$D$337),""))</f>
        <v/>
      </c>
      <c r="E338" s="89" t="str">
        <f>IF($T$4=0,IF($L338="","",$L338),IFERROR(IF([1]财务取数接口!$E$337=0,"",[1]财务取数接口!$E$337),""))</f>
        <v/>
      </c>
      <c r="F338" s="76" t="str">
        <f>IF($T$4=0,IF($M338="","",$M338),IFERROR(IF([1]财务取数接口!$G$337=0,"",[1]财务取数接口!$G$337),""))</f>
        <v/>
      </c>
      <c r="G338" s="76" t="str">
        <f>IF($T$4=0,IF($N338="","",$N338),IFERROR(IF([1]财务取数接口!$H$337=0,"",[1]财务取数接口!$H$337),""))</f>
        <v/>
      </c>
      <c r="H338" s="75" t="str">
        <f>IF($T$4=0,IF($O338="","",$O338),IFERROR(IF([1]财务取数接口!$I$337=0,"",[1]财务取数接口!$I$337),""))</f>
        <v/>
      </c>
      <c r="I338" s="43"/>
      <c r="J338" s="106"/>
      <c r="K338" s="43"/>
      <c r="L338" s="43"/>
      <c r="M338" s="107"/>
      <c r="N338" s="107"/>
      <c r="O338" s="106"/>
      <c r="P338" s="139">
        <f t="shared" si="10"/>
        <v>0</v>
      </c>
      <c r="Q338" s="139">
        <f t="shared" si="11"/>
        <v>5</v>
      </c>
    </row>
    <row r="339" spans="1:17">
      <c r="A339" s="74">
        <v>338</v>
      </c>
      <c r="B339" s="89" t="str">
        <f>IF($T$4=0,IF($I339="","",$I339),IFERROR(IF([1]财务取数接口!$B$338=0,"",[1]财务取数接口!$B$338),""))</f>
        <v/>
      </c>
      <c r="C339" s="75" t="str">
        <f>IF($T$4=0,IF($J339="","",$J339),IFERROR(IF([1]财务取数接口!$C$338=0,"",[1]财务取数接口!$C$338),""))</f>
        <v/>
      </c>
      <c r="D339" s="89" t="str">
        <f>IF($T$4=0,IF($K339="","",$K339),IFERROR(IF([1]财务取数接口!$D$338=0,"",[1]财务取数接口!$D$338),""))</f>
        <v/>
      </c>
      <c r="E339" s="89" t="str">
        <f>IF($T$4=0,IF($L339="","",$L339),IFERROR(IF([1]财务取数接口!$E$338=0,"",[1]财务取数接口!$E$338),""))</f>
        <v/>
      </c>
      <c r="F339" s="76" t="str">
        <f>IF($T$4=0,IF($M339="","",$M339),IFERROR(IF([1]财务取数接口!$G$338=0,"",[1]财务取数接口!$G$338),""))</f>
        <v/>
      </c>
      <c r="G339" s="76" t="str">
        <f>IF($T$4=0,IF($N339="","",$N339),IFERROR(IF([1]财务取数接口!$H$338=0,"",[1]财务取数接口!$H$338),""))</f>
        <v/>
      </c>
      <c r="H339" s="75" t="str">
        <f>IF($T$4=0,IF($O339="","",$O339),IFERROR(IF([1]财务取数接口!$I$338=0,"",[1]财务取数接口!$I$338),""))</f>
        <v/>
      </c>
      <c r="I339" s="43"/>
      <c r="J339" s="106"/>
      <c r="K339" s="43"/>
      <c r="L339" s="43"/>
      <c r="M339" s="107"/>
      <c r="N339" s="107"/>
      <c r="O339" s="106"/>
      <c r="P339" s="139">
        <f t="shared" si="10"/>
        <v>0</v>
      </c>
      <c r="Q339" s="139">
        <f t="shared" si="11"/>
        <v>5</v>
      </c>
    </row>
    <row r="340" spans="1:17">
      <c r="A340" s="74">
        <v>339</v>
      </c>
      <c r="B340" s="89" t="str">
        <f>IF($T$4=0,IF($I340="","",$I340),IFERROR(IF([1]财务取数接口!$B$339=0,"",[1]财务取数接口!$B$339),""))</f>
        <v/>
      </c>
      <c r="C340" s="75" t="str">
        <f>IF($T$4=0,IF($J340="","",$J340),IFERROR(IF([1]财务取数接口!$C$339=0,"",[1]财务取数接口!$C$339),""))</f>
        <v/>
      </c>
      <c r="D340" s="89" t="str">
        <f>IF($T$4=0,IF($K340="","",$K340),IFERROR(IF([1]财务取数接口!$D$339=0,"",[1]财务取数接口!$D$339),""))</f>
        <v/>
      </c>
      <c r="E340" s="89" t="str">
        <f>IF($T$4=0,IF($L340="","",$L340),IFERROR(IF([1]财务取数接口!$E$339=0,"",[1]财务取数接口!$E$339),""))</f>
        <v/>
      </c>
      <c r="F340" s="76" t="str">
        <f>IF($T$4=0,IF($M340="","",$M340),IFERROR(IF([1]财务取数接口!$G$339=0,"",[1]财务取数接口!$G$339),""))</f>
        <v/>
      </c>
      <c r="G340" s="76" t="str">
        <f>IF($T$4=0,IF($N340="","",$N340),IFERROR(IF([1]财务取数接口!$H$339=0,"",[1]财务取数接口!$H$339),""))</f>
        <v/>
      </c>
      <c r="H340" s="75" t="str">
        <f>IF($T$4=0,IF($O340="","",$O340),IFERROR(IF([1]财务取数接口!$I$339=0,"",[1]财务取数接口!$I$339),""))</f>
        <v/>
      </c>
      <c r="I340" s="43"/>
      <c r="J340" s="106"/>
      <c r="K340" s="43"/>
      <c r="L340" s="43"/>
      <c r="M340" s="107"/>
      <c r="N340" s="107"/>
      <c r="O340" s="106"/>
      <c r="P340" s="139">
        <f t="shared" si="10"/>
        <v>0</v>
      </c>
      <c r="Q340" s="139">
        <f t="shared" si="11"/>
        <v>5</v>
      </c>
    </row>
    <row r="341" spans="1:17">
      <c r="A341" s="74">
        <v>340</v>
      </c>
      <c r="B341" s="89" t="str">
        <f>IF($T$4=0,IF($I341="","",$I341),IFERROR(IF([1]财务取数接口!$B$340=0,"",[1]财务取数接口!$B$340),""))</f>
        <v/>
      </c>
      <c r="C341" s="75" t="str">
        <f>IF($T$4=0,IF($J341="","",$J341),IFERROR(IF([1]财务取数接口!$C$340=0,"",[1]财务取数接口!$C$340),""))</f>
        <v/>
      </c>
      <c r="D341" s="89" t="str">
        <f>IF($T$4=0,IF($K341="","",$K341),IFERROR(IF([1]财务取数接口!$D$340=0,"",[1]财务取数接口!$D$340),""))</f>
        <v/>
      </c>
      <c r="E341" s="89" t="str">
        <f>IF($T$4=0,IF($L341="","",$L341),IFERROR(IF([1]财务取数接口!$E$340=0,"",[1]财务取数接口!$E$340),""))</f>
        <v/>
      </c>
      <c r="F341" s="76" t="str">
        <f>IF($T$4=0,IF($M341="","",$M341),IFERROR(IF([1]财务取数接口!$G$340=0,"",[1]财务取数接口!$G$340),""))</f>
        <v/>
      </c>
      <c r="G341" s="76" t="str">
        <f>IF($T$4=0,IF($N341="","",$N341),IFERROR(IF([1]财务取数接口!$H$340=0,"",[1]财务取数接口!$H$340),""))</f>
        <v/>
      </c>
      <c r="H341" s="75" t="str">
        <f>IF($T$4=0,IF($O341="","",$O341),IFERROR(IF([1]财务取数接口!$I$340=0,"",[1]财务取数接口!$I$340),""))</f>
        <v/>
      </c>
      <c r="I341" s="43"/>
      <c r="J341" s="106"/>
      <c r="K341" s="43"/>
      <c r="L341" s="43"/>
      <c r="M341" s="107"/>
      <c r="N341" s="107"/>
      <c r="O341" s="106"/>
      <c r="P341" s="139">
        <f t="shared" si="10"/>
        <v>0</v>
      </c>
      <c r="Q341" s="139">
        <f t="shared" si="11"/>
        <v>5</v>
      </c>
    </row>
    <row r="342" spans="1:17">
      <c r="A342" s="74">
        <v>341</v>
      </c>
      <c r="B342" s="89" t="str">
        <f>IF($T$4=0,IF($I342="","",$I342),IFERROR(IF([1]财务取数接口!$B$341=0,"",[1]财务取数接口!$B$341),""))</f>
        <v/>
      </c>
      <c r="C342" s="75" t="str">
        <f>IF($T$4=0,IF($J342="","",$J342),IFERROR(IF([1]财务取数接口!$C$341=0,"",[1]财务取数接口!$C$341),""))</f>
        <v/>
      </c>
      <c r="D342" s="89" t="str">
        <f>IF($T$4=0,IF($K342="","",$K342),IFERROR(IF([1]财务取数接口!$D$341=0,"",[1]财务取数接口!$D$341),""))</f>
        <v/>
      </c>
      <c r="E342" s="89" t="str">
        <f>IF($T$4=0,IF($L342="","",$L342),IFERROR(IF([1]财务取数接口!$E$341=0,"",[1]财务取数接口!$E$341),""))</f>
        <v/>
      </c>
      <c r="F342" s="76" t="str">
        <f>IF($T$4=0,IF($M342="","",$M342),IFERROR(IF([1]财务取数接口!$G$341=0,"",[1]财务取数接口!$G$341),""))</f>
        <v/>
      </c>
      <c r="G342" s="76" t="str">
        <f>IF($T$4=0,IF($N342="","",$N342),IFERROR(IF([1]财务取数接口!$H$341=0,"",[1]财务取数接口!$H$341),""))</f>
        <v/>
      </c>
      <c r="H342" s="75" t="str">
        <f>IF($T$4=0,IF($O342="","",$O342),IFERROR(IF([1]财务取数接口!$I$341=0,"",[1]财务取数接口!$I$341),""))</f>
        <v/>
      </c>
      <c r="I342" s="43"/>
      <c r="J342" s="106"/>
      <c r="K342" s="43"/>
      <c r="L342" s="43"/>
      <c r="M342" s="107"/>
      <c r="N342" s="107"/>
      <c r="O342" s="106"/>
      <c r="P342" s="139">
        <f t="shared" si="10"/>
        <v>0</v>
      </c>
      <c r="Q342" s="139">
        <f t="shared" si="11"/>
        <v>5</v>
      </c>
    </row>
    <row r="343" spans="1:17">
      <c r="A343" s="74">
        <v>342</v>
      </c>
      <c r="B343" s="89" t="str">
        <f>IF($T$4=0,IF($I343="","",$I343),IFERROR(IF([1]财务取数接口!$B$342=0,"",[1]财务取数接口!$B$342),""))</f>
        <v/>
      </c>
      <c r="C343" s="75" t="str">
        <f>IF($T$4=0,IF($J343="","",$J343),IFERROR(IF([1]财务取数接口!$C$342=0,"",[1]财务取数接口!$C$342),""))</f>
        <v/>
      </c>
      <c r="D343" s="89" t="str">
        <f>IF($T$4=0,IF($K343="","",$K343),IFERROR(IF([1]财务取数接口!$D$342=0,"",[1]财务取数接口!$D$342),""))</f>
        <v/>
      </c>
      <c r="E343" s="89" t="str">
        <f>IF($T$4=0,IF($L343="","",$L343),IFERROR(IF([1]财务取数接口!$E$342=0,"",[1]财务取数接口!$E$342),""))</f>
        <v/>
      </c>
      <c r="F343" s="76" t="str">
        <f>IF($T$4=0,IF($M343="","",$M343),IFERROR(IF([1]财务取数接口!$G$342=0,"",[1]财务取数接口!$G$342),""))</f>
        <v/>
      </c>
      <c r="G343" s="76" t="str">
        <f>IF($T$4=0,IF($N343="","",$N343),IFERROR(IF([1]财务取数接口!$H$342=0,"",[1]财务取数接口!$H$342),""))</f>
        <v/>
      </c>
      <c r="H343" s="75" t="str">
        <f>IF($T$4=0,IF($O343="","",$O343),IFERROR(IF([1]财务取数接口!$I$342=0,"",[1]财务取数接口!$I$342),""))</f>
        <v/>
      </c>
      <c r="I343" s="43"/>
      <c r="J343" s="106"/>
      <c r="K343" s="43"/>
      <c r="L343" s="43"/>
      <c r="M343" s="107"/>
      <c r="N343" s="107"/>
      <c r="O343" s="106"/>
      <c r="P343" s="139">
        <f t="shared" si="10"/>
        <v>0</v>
      </c>
      <c r="Q343" s="139">
        <f t="shared" si="11"/>
        <v>5</v>
      </c>
    </row>
    <row r="344" spans="1:17">
      <c r="A344" s="74">
        <v>343</v>
      </c>
      <c r="B344" s="89" t="str">
        <f>IF($T$4=0,IF($I344="","",$I344),IFERROR(IF([1]财务取数接口!$B$343=0,"",[1]财务取数接口!$B$343),""))</f>
        <v/>
      </c>
      <c r="C344" s="75" t="str">
        <f>IF($T$4=0,IF($J344="","",$J344),IFERROR(IF([1]财务取数接口!$C$343=0,"",[1]财务取数接口!$C$343),""))</f>
        <v/>
      </c>
      <c r="D344" s="89" t="str">
        <f>IF($T$4=0,IF($K344="","",$K344),IFERROR(IF([1]财务取数接口!$D$343=0,"",[1]财务取数接口!$D$343),""))</f>
        <v/>
      </c>
      <c r="E344" s="89" t="str">
        <f>IF($T$4=0,IF($L344="","",$L344),IFERROR(IF([1]财务取数接口!$E$343=0,"",[1]财务取数接口!$E$343),""))</f>
        <v/>
      </c>
      <c r="F344" s="76" t="str">
        <f>IF($T$4=0,IF($M344="","",$M344),IFERROR(IF([1]财务取数接口!$G$343=0,"",[1]财务取数接口!$G$343),""))</f>
        <v/>
      </c>
      <c r="G344" s="76" t="str">
        <f>IF($T$4=0,IF($N344="","",$N344),IFERROR(IF([1]财务取数接口!$H$343=0,"",[1]财务取数接口!$H$343),""))</f>
        <v/>
      </c>
      <c r="H344" s="75" t="str">
        <f>IF($T$4=0,IF($O344="","",$O344),IFERROR(IF([1]财务取数接口!$I$343=0,"",[1]财务取数接口!$I$343),""))</f>
        <v/>
      </c>
      <c r="I344" s="43"/>
      <c r="J344" s="106"/>
      <c r="K344" s="43"/>
      <c r="L344" s="43"/>
      <c r="M344" s="107"/>
      <c r="N344" s="107"/>
      <c r="O344" s="106"/>
      <c r="P344" s="139">
        <f t="shared" si="10"/>
        <v>0</v>
      </c>
      <c r="Q344" s="139">
        <f t="shared" si="11"/>
        <v>5</v>
      </c>
    </row>
    <row r="345" spans="1:17">
      <c r="A345" s="74">
        <v>344</v>
      </c>
      <c r="B345" s="89" t="str">
        <f>IF($T$4=0,IF($I345="","",$I345),IFERROR(IF([1]财务取数接口!$B$344=0,"",[1]财务取数接口!$B$344),""))</f>
        <v/>
      </c>
      <c r="C345" s="75" t="str">
        <f>IF($T$4=0,IF($J345="","",$J345),IFERROR(IF([1]财务取数接口!$C$344=0,"",[1]财务取数接口!$C$344),""))</f>
        <v/>
      </c>
      <c r="D345" s="89" t="str">
        <f>IF($T$4=0,IF($K345="","",$K345),IFERROR(IF([1]财务取数接口!$D$344=0,"",[1]财务取数接口!$D$344),""))</f>
        <v/>
      </c>
      <c r="E345" s="89" t="str">
        <f>IF($T$4=0,IF($L345="","",$L345),IFERROR(IF([1]财务取数接口!$E$344=0,"",[1]财务取数接口!$E$344),""))</f>
        <v/>
      </c>
      <c r="F345" s="76" t="str">
        <f>IF($T$4=0,IF($M345="","",$M345),IFERROR(IF([1]财务取数接口!$G$344=0,"",[1]财务取数接口!$G$344),""))</f>
        <v/>
      </c>
      <c r="G345" s="76" t="str">
        <f>IF($T$4=0,IF($N345="","",$N345),IFERROR(IF([1]财务取数接口!$H$344=0,"",[1]财务取数接口!$H$344),""))</f>
        <v/>
      </c>
      <c r="H345" s="75" t="str">
        <f>IF($T$4=0,IF($O345="","",$O345),IFERROR(IF([1]财务取数接口!$I$344=0,"",[1]财务取数接口!$I$344),""))</f>
        <v/>
      </c>
      <c r="I345" s="43"/>
      <c r="J345" s="106"/>
      <c r="K345" s="43"/>
      <c r="L345" s="43"/>
      <c r="M345" s="107"/>
      <c r="N345" s="107"/>
      <c r="O345" s="106"/>
      <c r="P345" s="139">
        <f t="shared" si="10"/>
        <v>0</v>
      </c>
      <c r="Q345" s="139">
        <f t="shared" si="11"/>
        <v>5</v>
      </c>
    </row>
    <row r="346" spans="1:17">
      <c r="A346" s="74">
        <v>345</v>
      </c>
      <c r="B346" s="89" t="str">
        <f>IF($T$4=0,IF($I346="","",$I346),IFERROR(IF([1]财务取数接口!$B$345=0,"",[1]财务取数接口!$B$345),""))</f>
        <v/>
      </c>
      <c r="C346" s="75" t="str">
        <f>IF($T$4=0,IF($J346="","",$J346),IFERROR(IF([1]财务取数接口!$C$345=0,"",[1]财务取数接口!$C$345),""))</f>
        <v/>
      </c>
      <c r="D346" s="89" t="str">
        <f>IF($T$4=0,IF($K346="","",$K346),IFERROR(IF([1]财务取数接口!$D$345=0,"",[1]财务取数接口!$D$345),""))</f>
        <v/>
      </c>
      <c r="E346" s="89" t="str">
        <f>IF($T$4=0,IF($L346="","",$L346),IFERROR(IF([1]财务取数接口!$E$345=0,"",[1]财务取数接口!$E$345),""))</f>
        <v/>
      </c>
      <c r="F346" s="76" t="str">
        <f>IF($T$4=0,IF($M346="","",$M346),IFERROR(IF([1]财务取数接口!$G$345=0,"",[1]财务取数接口!$G$345),""))</f>
        <v/>
      </c>
      <c r="G346" s="76" t="str">
        <f>IF($T$4=0,IF($N346="","",$N346),IFERROR(IF([1]财务取数接口!$H$345=0,"",[1]财务取数接口!$H$345),""))</f>
        <v/>
      </c>
      <c r="H346" s="75" t="str">
        <f>IF($T$4=0,IF($O346="","",$O346),IFERROR(IF([1]财务取数接口!$I$345=0,"",[1]财务取数接口!$I$345),""))</f>
        <v/>
      </c>
      <c r="I346" s="43"/>
      <c r="J346" s="106"/>
      <c r="K346" s="43"/>
      <c r="L346" s="43"/>
      <c r="M346" s="107"/>
      <c r="N346" s="107"/>
      <c r="O346" s="106"/>
      <c r="P346" s="139">
        <f t="shared" si="10"/>
        <v>0</v>
      </c>
      <c r="Q346" s="139">
        <f t="shared" si="11"/>
        <v>5</v>
      </c>
    </row>
    <row r="347" spans="1:17">
      <c r="A347" s="74">
        <v>346</v>
      </c>
      <c r="B347" s="89" t="str">
        <f>IF($T$4=0,IF($I347="","",$I347),IFERROR(IF([1]财务取数接口!$B$346=0,"",[1]财务取数接口!$B$346),""))</f>
        <v/>
      </c>
      <c r="C347" s="75" t="str">
        <f>IF($T$4=0,IF($J347="","",$J347),IFERROR(IF([1]财务取数接口!$C$346=0,"",[1]财务取数接口!$C$346),""))</f>
        <v/>
      </c>
      <c r="D347" s="89" t="str">
        <f>IF($T$4=0,IF($K347="","",$K347),IFERROR(IF([1]财务取数接口!$D$346=0,"",[1]财务取数接口!$D$346),""))</f>
        <v/>
      </c>
      <c r="E347" s="89" t="str">
        <f>IF($T$4=0,IF($L347="","",$L347),IFERROR(IF([1]财务取数接口!$E$346=0,"",[1]财务取数接口!$E$346),""))</f>
        <v/>
      </c>
      <c r="F347" s="76" t="str">
        <f>IF($T$4=0,IF($M347="","",$M347),IFERROR(IF([1]财务取数接口!$G$346=0,"",[1]财务取数接口!$G$346),""))</f>
        <v/>
      </c>
      <c r="G347" s="76" t="str">
        <f>IF($T$4=0,IF($N347="","",$N347),IFERROR(IF([1]财务取数接口!$H$346=0,"",[1]财务取数接口!$H$346),""))</f>
        <v/>
      </c>
      <c r="H347" s="75" t="str">
        <f>IF($T$4=0,IF($O347="","",$O347),IFERROR(IF([1]财务取数接口!$I$346=0,"",[1]财务取数接口!$I$346),""))</f>
        <v/>
      </c>
      <c r="I347" s="43"/>
      <c r="J347" s="106"/>
      <c r="K347" s="43"/>
      <c r="L347" s="43"/>
      <c r="M347" s="107"/>
      <c r="N347" s="107"/>
      <c r="O347" s="106"/>
      <c r="P347" s="139">
        <f t="shared" si="10"/>
        <v>0</v>
      </c>
      <c r="Q347" s="139">
        <f t="shared" si="11"/>
        <v>5</v>
      </c>
    </row>
    <row r="348" spans="1:17">
      <c r="A348" s="74">
        <v>347</v>
      </c>
      <c r="B348" s="89" t="str">
        <f>IF($T$4=0,IF($I348="","",$I348),IFERROR(IF([1]财务取数接口!$B$347=0,"",[1]财务取数接口!$B$347),""))</f>
        <v/>
      </c>
      <c r="C348" s="75" t="str">
        <f>IF($T$4=0,IF($J348="","",$J348),IFERROR(IF([1]财务取数接口!$C$347=0,"",[1]财务取数接口!$C$347),""))</f>
        <v/>
      </c>
      <c r="D348" s="89" t="str">
        <f>IF($T$4=0,IF($K348="","",$K348),IFERROR(IF([1]财务取数接口!$D$347=0,"",[1]财务取数接口!$D$347),""))</f>
        <v/>
      </c>
      <c r="E348" s="89" t="str">
        <f>IF($T$4=0,IF($L348="","",$L348),IFERROR(IF([1]财务取数接口!$E$347=0,"",[1]财务取数接口!$E$347),""))</f>
        <v/>
      </c>
      <c r="F348" s="76" t="str">
        <f>IF($T$4=0,IF($M348="","",$M348),IFERROR(IF([1]财务取数接口!$G$347=0,"",[1]财务取数接口!$G$347),""))</f>
        <v/>
      </c>
      <c r="G348" s="76" t="str">
        <f>IF($T$4=0,IF($N348="","",$N348),IFERROR(IF([1]财务取数接口!$H$347=0,"",[1]财务取数接口!$H$347),""))</f>
        <v/>
      </c>
      <c r="H348" s="75" t="str">
        <f>IF($T$4=0,IF($O348="","",$O348),IFERROR(IF([1]财务取数接口!$I$347=0,"",[1]财务取数接口!$I$347),""))</f>
        <v/>
      </c>
      <c r="I348" s="43"/>
      <c r="J348" s="106"/>
      <c r="K348" s="43"/>
      <c r="L348" s="43"/>
      <c r="M348" s="107"/>
      <c r="N348" s="107"/>
      <c r="O348" s="106"/>
      <c r="P348" s="139">
        <f t="shared" si="10"/>
        <v>0</v>
      </c>
      <c r="Q348" s="139">
        <f t="shared" si="11"/>
        <v>5</v>
      </c>
    </row>
    <row r="349" spans="1:17">
      <c r="A349" s="74">
        <v>348</v>
      </c>
      <c r="B349" s="89" t="str">
        <f>IF($T$4=0,IF($I349="","",$I349),IFERROR(IF([1]财务取数接口!$B$348=0,"",[1]财务取数接口!$B$348),""))</f>
        <v/>
      </c>
      <c r="C349" s="75" t="str">
        <f>IF($T$4=0,IF($J349="","",$J349),IFERROR(IF([1]财务取数接口!$C$348=0,"",[1]财务取数接口!$C$348),""))</f>
        <v/>
      </c>
      <c r="D349" s="89" t="str">
        <f>IF($T$4=0,IF($K349="","",$K349),IFERROR(IF([1]财务取数接口!$D$348=0,"",[1]财务取数接口!$D$348),""))</f>
        <v/>
      </c>
      <c r="E349" s="89" t="str">
        <f>IF($T$4=0,IF($L349="","",$L349),IFERROR(IF([1]财务取数接口!$E$348=0,"",[1]财务取数接口!$E$348),""))</f>
        <v/>
      </c>
      <c r="F349" s="76" t="str">
        <f>IF($T$4=0,IF($M349="","",$M349),IFERROR(IF([1]财务取数接口!$G$348=0,"",[1]财务取数接口!$G$348),""))</f>
        <v/>
      </c>
      <c r="G349" s="76" t="str">
        <f>IF($T$4=0,IF($N349="","",$N349),IFERROR(IF([1]财务取数接口!$H$348=0,"",[1]财务取数接口!$H$348),""))</f>
        <v/>
      </c>
      <c r="H349" s="75" t="str">
        <f>IF($T$4=0,IF($O349="","",$O349),IFERROR(IF([1]财务取数接口!$I$348=0,"",[1]财务取数接口!$I$348),""))</f>
        <v/>
      </c>
      <c r="I349" s="43"/>
      <c r="J349" s="106"/>
      <c r="K349" s="43"/>
      <c r="L349" s="43"/>
      <c r="M349" s="107"/>
      <c r="N349" s="107"/>
      <c r="O349" s="106"/>
      <c r="P349" s="139">
        <f t="shared" si="10"/>
        <v>0</v>
      </c>
      <c r="Q349" s="139">
        <f t="shared" si="11"/>
        <v>5</v>
      </c>
    </row>
    <row r="350" spans="1:17">
      <c r="A350" s="74">
        <v>349</v>
      </c>
      <c r="B350" s="89" t="str">
        <f>IF($T$4=0,IF($I350="","",$I350),IFERROR(IF([1]财务取数接口!$B$349=0,"",[1]财务取数接口!$B$349),""))</f>
        <v/>
      </c>
      <c r="C350" s="75" t="str">
        <f>IF($T$4=0,IF($J350="","",$J350),IFERROR(IF([1]财务取数接口!$C$349=0,"",[1]财务取数接口!$C$349),""))</f>
        <v/>
      </c>
      <c r="D350" s="89" t="str">
        <f>IF($T$4=0,IF($K350="","",$K350),IFERROR(IF([1]财务取数接口!$D$349=0,"",[1]财务取数接口!$D$349),""))</f>
        <v/>
      </c>
      <c r="E350" s="89" t="str">
        <f>IF($T$4=0,IF($L350="","",$L350),IFERROR(IF([1]财务取数接口!$E$349=0,"",[1]财务取数接口!$E$349),""))</f>
        <v/>
      </c>
      <c r="F350" s="76" t="str">
        <f>IF($T$4=0,IF($M350="","",$M350),IFERROR(IF([1]财务取数接口!$G$349=0,"",[1]财务取数接口!$G$349),""))</f>
        <v/>
      </c>
      <c r="G350" s="76" t="str">
        <f>IF($T$4=0,IF($N350="","",$N350),IFERROR(IF([1]财务取数接口!$H$349=0,"",[1]财务取数接口!$H$349),""))</f>
        <v/>
      </c>
      <c r="H350" s="75" t="str">
        <f>IF($T$4=0,IF($O350="","",$O350),IFERROR(IF([1]财务取数接口!$I$349=0,"",[1]财务取数接口!$I$349),""))</f>
        <v/>
      </c>
      <c r="I350" s="43"/>
      <c r="J350" s="106"/>
      <c r="K350" s="43"/>
      <c r="L350" s="43"/>
      <c r="M350" s="107"/>
      <c r="N350" s="107"/>
      <c r="O350" s="106"/>
      <c r="P350" s="139">
        <f t="shared" si="10"/>
        <v>0</v>
      </c>
      <c r="Q350" s="139">
        <f t="shared" si="11"/>
        <v>5</v>
      </c>
    </row>
    <row r="351" spans="1:17">
      <c r="A351" s="74">
        <v>350</v>
      </c>
      <c r="B351" s="89" t="str">
        <f>IF($T$4=0,IF($I351="","",$I351),IFERROR(IF([1]财务取数接口!$B$350=0,"",[1]财务取数接口!$B$350),""))</f>
        <v/>
      </c>
      <c r="C351" s="75" t="str">
        <f>IF($T$4=0,IF($J351="","",$J351),IFERROR(IF([1]财务取数接口!$C$350=0,"",[1]财务取数接口!$C$350),""))</f>
        <v/>
      </c>
      <c r="D351" s="89" t="str">
        <f>IF($T$4=0,IF($K351="","",$K351),IFERROR(IF([1]财务取数接口!$D$350=0,"",[1]财务取数接口!$D$350),""))</f>
        <v/>
      </c>
      <c r="E351" s="89" t="str">
        <f>IF($T$4=0,IF($L351="","",$L351),IFERROR(IF([1]财务取数接口!$E$350=0,"",[1]财务取数接口!$E$350),""))</f>
        <v/>
      </c>
      <c r="F351" s="76" t="str">
        <f>IF($T$4=0,IF($M351="","",$M351),IFERROR(IF([1]财务取数接口!$G$350=0,"",[1]财务取数接口!$G$350),""))</f>
        <v/>
      </c>
      <c r="G351" s="76" t="str">
        <f>IF($T$4=0,IF($N351="","",$N351),IFERROR(IF([1]财务取数接口!$H$350=0,"",[1]财务取数接口!$H$350),""))</f>
        <v/>
      </c>
      <c r="H351" s="75" t="str">
        <f>IF($T$4=0,IF($O351="","",$O351),IFERROR(IF([1]财务取数接口!$I$350=0,"",[1]财务取数接口!$I$350),""))</f>
        <v/>
      </c>
      <c r="I351" s="43"/>
      <c r="J351" s="106"/>
      <c r="K351" s="43"/>
      <c r="L351" s="43"/>
      <c r="M351" s="107"/>
      <c r="N351" s="107"/>
      <c r="O351" s="106"/>
      <c r="P351" s="139">
        <f t="shared" si="10"/>
        <v>0</v>
      </c>
      <c r="Q351" s="139">
        <f t="shared" si="11"/>
        <v>5</v>
      </c>
    </row>
    <row r="352" spans="1:17">
      <c r="A352" s="74">
        <v>351</v>
      </c>
      <c r="B352" s="89" t="str">
        <f>IF($T$4=0,IF($I352="","",$I352),IFERROR(IF([1]财务取数接口!$B$351=0,"",[1]财务取数接口!$B$351),""))</f>
        <v/>
      </c>
      <c r="C352" s="75" t="str">
        <f>IF($T$4=0,IF($J352="","",$J352),IFERROR(IF([1]财务取数接口!$C$351=0,"",[1]财务取数接口!$C$351),""))</f>
        <v/>
      </c>
      <c r="D352" s="89" t="str">
        <f>IF($T$4=0,IF($K352="","",$K352),IFERROR(IF([1]财务取数接口!$D$351=0,"",[1]财务取数接口!$D$351),""))</f>
        <v/>
      </c>
      <c r="E352" s="89" t="str">
        <f>IF($T$4=0,IF($L352="","",$L352),IFERROR(IF([1]财务取数接口!$E$351=0,"",[1]财务取数接口!$E$351),""))</f>
        <v/>
      </c>
      <c r="F352" s="76" t="str">
        <f>IF($T$4=0,IF($M352="","",$M352),IFERROR(IF([1]财务取数接口!$G$351=0,"",[1]财务取数接口!$G$351),""))</f>
        <v/>
      </c>
      <c r="G352" s="76" t="str">
        <f>IF($T$4=0,IF($N352="","",$N352),IFERROR(IF([1]财务取数接口!$H$351=0,"",[1]财务取数接口!$H$351),""))</f>
        <v/>
      </c>
      <c r="H352" s="75" t="str">
        <f>IF($T$4=0,IF($O352="","",$O352),IFERROR(IF([1]财务取数接口!$I$351=0,"",[1]财务取数接口!$I$351),""))</f>
        <v/>
      </c>
      <c r="I352" s="43"/>
      <c r="J352" s="106"/>
      <c r="K352" s="43"/>
      <c r="L352" s="43"/>
      <c r="M352" s="107"/>
      <c r="N352" s="107"/>
      <c r="O352" s="106"/>
      <c r="P352" s="139">
        <f t="shared" si="10"/>
        <v>0</v>
      </c>
      <c r="Q352" s="139">
        <f t="shared" si="11"/>
        <v>5</v>
      </c>
    </row>
    <row r="353" spans="1:17">
      <c r="A353" s="74">
        <v>352</v>
      </c>
      <c r="B353" s="89" t="str">
        <f>IF($T$4=0,IF($I353="","",$I353),IFERROR(IF([1]财务取数接口!$B$352=0,"",[1]财务取数接口!$B$352),""))</f>
        <v/>
      </c>
      <c r="C353" s="75" t="str">
        <f>IF($T$4=0,IF($J353="","",$J353),IFERROR(IF([1]财务取数接口!$C$352=0,"",[1]财务取数接口!$C$352),""))</f>
        <v/>
      </c>
      <c r="D353" s="89" t="str">
        <f>IF($T$4=0,IF($K353="","",$K353),IFERROR(IF([1]财务取数接口!$D$352=0,"",[1]财务取数接口!$D$352),""))</f>
        <v/>
      </c>
      <c r="E353" s="89" t="str">
        <f>IF($T$4=0,IF($L353="","",$L353),IFERROR(IF([1]财务取数接口!$E$352=0,"",[1]财务取数接口!$E$352),""))</f>
        <v/>
      </c>
      <c r="F353" s="76" t="str">
        <f>IF($T$4=0,IF($M353="","",$M353),IFERROR(IF([1]财务取数接口!$G$352=0,"",[1]财务取数接口!$G$352),""))</f>
        <v/>
      </c>
      <c r="G353" s="76" t="str">
        <f>IF($T$4=0,IF($N353="","",$N353),IFERROR(IF([1]财务取数接口!$H$352=0,"",[1]财务取数接口!$H$352),""))</f>
        <v/>
      </c>
      <c r="H353" s="75" t="str">
        <f>IF($T$4=0,IF($O353="","",$O353),IFERROR(IF([1]财务取数接口!$I$352=0,"",[1]财务取数接口!$I$352),""))</f>
        <v/>
      </c>
      <c r="I353" s="43"/>
      <c r="J353" s="106"/>
      <c r="K353" s="43"/>
      <c r="L353" s="43"/>
      <c r="M353" s="107"/>
      <c r="N353" s="107"/>
      <c r="O353" s="106"/>
      <c r="P353" s="139">
        <f t="shared" si="10"/>
        <v>0</v>
      </c>
      <c r="Q353" s="139">
        <f t="shared" si="11"/>
        <v>5</v>
      </c>
    </row>
    <row r="354" spans="1:17">
      <c r="A354" s="74">
        <v>353</v>
      </c>
      <c r="B354" s="89" t="str">
        <f>IF($T$4=0,IF($I354="","",$I354),IFERROR(IF([1]财务取数接口!$B$353=0,"",[1]财务取数接口!$B$353),""))</f>
        <v/>
      </c>
      <c r="C354" s="75" t="str">
        <f>IF($T$4=0,IF($J354="","",$J354),IFERROR(IF([1]财务取数接口!$C$353=0,"",[1]财务取数接口!$C$353),""))</f>
        <v/>
      </c>
      <c r="D354" s="89" t="str">
        <f>IF($T$4=0,IF($K354="","",$K354),IFERROR(IF([1]财务取数接口!$D$353=0,"",[1]财务取数接口!$D$353),""))</f>
        <v/>
      </c>
      <c r="E354" s="89" t="str">
        <f>IF($T$4=0,IF($L354="","",$L354),IFERROR(IF([1]财务取数接口!$E$353=0,"",[1]财务取数接口!$E$353),""))</f>
        <v/>
      </c>
      <c r="F354" s="76" t="str">
        <f>IF($T$4=0,IF($M354="","",$M354),IFERROR(IF([1]财务取数接口!$G$353=0,"",[1]财务取数接口!$G$353),""))</f>
        <v/>
      </c>
      <c r="G354" s="76" t="str">
        <f>IF($T$4=0,IF($N354="","",$N354),IFERROR(IF([1]财务取数接口!$H$353=0,"",[1]财务取数接口!$H$353),""))</f>
        <v/>
      </c>
      <c r="H354" s="75" t="str">
        <f>IF($T$4=0,IF($O354="","",$O354),IFERROR(IF([1]财务取数接口!$I$353=0,"",[1]财务取数接口!$I$353),""))</f>
        <v/>
      </c>
      <c r="I354" s="43"/>
      <c r="J354" s="106"/>
      <c r="K354" s="43"/>
      <c r="L354" s="43"/>
      <c r="M354" s="107"/>
      <c r="N354" s="107"/>
      <c r="O354" s="106"/>
      <c r="P354" s="139">
        <f t="shared" si="10"/>
        <v>0</v>
      </c>
      <c r="Q354" s="139">
        <f t="shared" si="11"/>
        <v>5</v>
      </c>
    </row>
    <row r="355" spans="1:17">
      <c r="A355" s="74">
        <v>354</v>
      </c>
      <c r="B355" s="89" t="str">
        <f>IF($T$4=0,IF($I355="","",$I355),IFERROR(IF([1]财务取数接口!$B$354=0,"",[1]财务取数接口!$B$354),""))</f>
        <v/>
      </c>
      <c r="C355" s="75" t="str">
        <f>IF($T$4=0,IF($J355="","",$J355),IFERROR(IF([1]财务取数接口!$C$354=0,"",[1]财务取数接口!$C$354),""))</f>
        <v/>
      </c>
      <c r="D355" s="89" t="str">
        <f>IF($T$4=0,IF($K355="","",$K355),IFERROR(IF([1]财务取数接口!$D$354=0,"",[1]财务取数接口!$D$354),""))</f>
        <v/>
      </c>
      <c r="E355" s="89" t="str">
        <f>IF($T$4=0,IF($L355="","",$L355),IFERROR(IF([1]财务取数接口!$E$354=0,"",[1]财务取数接口!$E$354),""))</f>
        <v/>
      </c>
      <c r="F355" s="76" t="str">
        <f>IF($T$4=0,IF($M355="","",$M355),IFERROR(IF([1]财务取数接口!$G$354=0,"",[1]财务取数接口!$G$354),""))</f>
        <v/>
      </c>
      <c r="G355" s="76" t="str">
        <f>IF($T$4=0,IF($N355="","",$N355),IFERROR(IF([1]财务取数接口!$H$354=0,"",[1]财务取数接口!$H$354),""))</f>
        <v/>
      </c>
      <c r="H355" s="75" t="str">
        <f>IF($T$4=0,IF($O355="","",$O355),IFERROR(IF([1]财务取数接口!$I$354=0,"",[1]财务取数接口!$I$354),""))</f>
        <v/>
      </c>
      <c r="I355" s="43"/>
      <c r="J355" s="106"/>
      <c r="K355" s="43"/>
      <c r="L355" s="43"/>
      <c r="M355" s="107"/>
      <c r="N355" s="107"/>
      <c r="O355" s="106"/>
      <c r="P355" s="139">
        <f t="shared" si="10"/>
        <v>0</v>
      </c>
      <c r="Q355" s="139">
        <f t="shared" si="11"/>
        <v>5</v>
      </c>
    </row>
    <row r="356" spans="1:17">
      <c r="A356" s="74">
        <v>355</v>
      </c>
      <c r="B356" s="89" t="str">
        <f>IF($T$4=0,IF($I356="","",$I356),IFERROR(IF([1]财务取数接口!$B$355=0,"",[1]财务取数接口!$B$355),""))</f>
        <v/>
      </c>
      <c r="C356" s="75" t="str">
        <f>IF($T$4=0,IF($J356="","",$J356),IFERROR(IF([1]财务取数接口!$C$355=0,"",[1]财务取数接口!$C$355),""))</f>
        <v/>
      </c>
      <c r="D356" s="89" t="str">
        <f>IF($T$4=0,IF($K356="","",$K356),IFERROR(IF([1]财务取数接口!$D$355=0,"",[1]财务取数接口!$D$355),""))</f>
        <v/>
      </c>
      <c r="E356" s="89" t="str">
        <f>IF($T$4=0,IF($L356="","",$L356),IFERROR(IF([1]财务取数接口!$E$355=0,"",[1]财务取数接口!$E$355),""))</f>
        <v/>
      </c>
      <c r="F356" s="76" t="str">
        <f>IF($T$4=0,IF($M356="","",$M356),IFERROR(IF([1]财务取数接口!$G$355=0,"",[1]财务取数接口!$G$355),""))</f>
        <v/>
      </c>
      <c r="G356" s="76" t="str">
        <f>IF($T$4=0,IF($N356="","",$N356),IFERROR(IF([1]财务取数接口!$H$355=0,"",[1]财务取数接口!$H$355),""))</f>
        <v/>
      </c>
      <c r="H356" s="75" t="str">
        <f>IF($T$4=0,IF($O356="","",$O356),IFERROR(IF([1]财务取数接口!$I$355=0,"",[1]财务取数接口!$I$355),""))</f>
        <v/>
      </c>
      <c r="I356" s="43"/>
      <c r="J356" s="106"/>
      <c r="K356" s="43"/>
      <c r="L356" s="43"/>
      <c r="M356" s="107"/>
      <c r="N356" s="107"/>
      <c r="O356" s="106"/>
      <c r="P356" s="139">
        <f t="shared" si="10"/>
        <v>0</v>
      </c>
      <c r="Q356" s="139">
        <f t="shared" si="11"/>
        <v>5</v>
      </c>
    </row>
    <row r="357" spans="1:17">
      <c r="A357" s="74">
        <v>356</v>
      </c>
      <c r="B357" s="89" t="str">
        <f>IF($T$4=0,IF($I357="","",$I357),IFERROR(IF([1]财务取数接口!$B$356=0,"",[1]财务取数接口!$B$356),""))</f>
        <v/>
      </c>
      <c r="C357" s="75" t="str">
        <f>IF($T$4=0,IF($J357="","",$J357),IFERROR(IF([1]财务取数接口!$C$356=0,"",[1]财务取数接口!$C$356),""))</f>
        <v/>
      </c>
      <c r="D357" s="89" t="str">
        <f>IF($T$4=0,IF($K357="","",$K357),IFERROR(IF([1]财务取数接口!$D$356=0,"",[1]财务取数接口!$D$356),""))</f>
        <v/>
      </c>
      <c r="E357" s="89" t="str">
        <f>IF($T$4=0,IF($L357="","",$L357),IFERROR(IF([1]财务取数接口!$E$356=0,"",[1]财务取数接口!$E$356),""))</f>
        <v/>
      </c>
      <c r="F357" s="76" t="str">
        <f>IF($T$4=0,IF($M357="","",$M357),IFERROR(IF([1]财务取数接口!$G$356=0,"",[1]财务取数接口!$G$356),""))</f>
        <v/>
      </c>
      <c r="G357" s="76" t="str">
        <f>IF($T$4=0,IF($N357="","",$N357),IFERROR(IF([1]财务取数接口!$H$356=0,"",[1]财务取数接口!$H$356),""))</f>
        <v/>
      </c>
      <c r="H357" s="75" t="str">
        <f>IF($T$4=0,IF($O357="","",$O357),IFERROR(IF([1]财务取数接口!$I$356=0,"",[1]财务取数接口!$I$356),""))</f>
        <v/>
      </c>
      <c r="I357" s="43"/>
      <c r="J357" s="106"/>
      <c r="K357" s="43"/>
      <c r="L357" s="43"/>
      <c r="M357" s="107"/>
      <c r="N357" s="107"/>
      <c r="O357" s="106"/>
      <c r="P357" s="139">
        <f t="shared" si="10"/>
        <v>0</v>
      </c>
      <c r="Q357" s="139">
        <f t="shared" si="11"/>
        <v>5</v>
      </c>
    </row>
    <row r="358" spans="1:17">
      <c r="A358" s="74">
        <v>357</v>
      </c>
      <c r="B358" s="89" t="str">
        <f>IF($T$4=0,IF($I358="","",$I358),IFERROR(IF([1]财务取数接口!$B$357=0,"",[1]财务取数接口!$B$357),""))</f>
        <v/>
      </c>
      <c r="C358" s="75" t="str">
        <f>IF($T$4=0,IF($J358="","",$J358),IFERROR(IF([1]财务取数接口!$C$357=0,"",[1]财务取数接口!$C$357),""))</f>
        <v/>
      </c>
      <c r="D358" s="89" t="str">
        <f>IF($T$4=0,IF($K358="","",$K358),IFERROR(IF([1]财务取数接口!$D$357=0,"",[1]财务取数接口!$D$357),""))</f>
        <v/>
      </c>
      <c r="E358" s="89" t="str">
        <f>IF($T$4=0,IF($L358="","",$L358),IFERROR(IF([1]财务取数接口!$E$357=0,"",[1]财务取数接口!$E$357),""))</f>
        <v/>
      </c>
      <c r="F358" s="76" t="str">
        <f>IF($T$4=0,IF($M358="","",$M358),IFERROR(IF([1]财务取数接口!$G$357=0,"",[1]财务取数接口!$G$357),""))</f>
        <v/>
      </c>
      <c r="G358" s="76" t="str">
        <f>IF($T$4=0,IF($N358="","",$N358),IFERROR(IF([1]财务取数接口!$H$357=0,"",[1]财务取数接口!$H$357),""))</f>
        <v/>
      </c>
      <c r="H358" s="75" t="str">
        <f>IF($T$4=0,IF($O358="","",$O358),IFERROR(IF([1]财务取数接口!$I$357=0,"",[1]财务取数接口!$I$357),""))</f>
        <v/>
      </c>
      <c r="I358" s="43"/>
      <c r="J358" s="106"/>
      <c r="K358" s="43"/>
      <c r="L358" s="43"/>
      <c r="M358" s="107"/>
      <c r="N358" s="107"/>
      <c r="O358" s="106"/>
      <c r="P358" s="139">
        <f t="shared" si="10"/>
        <v>0</v>
      </c>
      <c r="Q358" s="139">
        <f t="shared" si="11"/>
        <v>5</v>
      </c>
    </row>
    <row r="359" spans="1:17">
      <c r="A359" s="74">
        <v>358</v>
      </c>
      <c r="B359" s="89" t="str">
        <f>IF($T$4=0,IF($I359="","",$I359),IFERROR(IF([1]财务取数接口!$B$358=0,"",[1]财务取数接口!$B$358),""))</f>
        <v/>
      </c>
      <c r="C359" s="75" t="str">
        <f>IF($T$4=0,IF($J359="","",$J359),IFERROR(IF([1]财务取数接口!$C$358=0,"",[1]财务取数接口!$C$358),""))</f>
        <v/>
      </c>
      <c r="D359" s="89" t="str">
        <f>IF($T$4=0,IF($K359="","",$K359),IFERROR(IF([1]财务取数接口!$D$358=0,"",[1]财务取数接口!$D$358),""))</f>
        <v/>
      </c>
      <c r="E359" s="89" t="str">
        <f>IF($T$4=0,IF($L359="","",$L359),IFERROR(IF([1]财务取数接口!$E$358=0,"",[1]财务取数接口!$E$358),""))</f>
        <v/>
      </c>
      <c r="F359" s="76" t="str">
        <f>IF($T$4=0,IF($M359="","",$M359),IFERROR(IF([1]财务取数接口!$G$358=0,"",[1]财务取数接口!$G$358),""))</f>
        <v/>
      </c>
      <c r="G359" s="76" t="str">
        <f>IF($T$4=0,IF($N359="","",$N359),IFERROR(IF([1]财务取数接口!$H$358=0,"",[1]财务取数接口!$H$358),""))</f>
        <v/>
      </c>
      <c r="H359" s="75" t="str">
        <f>IF($T$4=0,IF($O359="","",$O359),IFERROR(IF([1]财务取数接口!$I$358=0,"",[1]财务取数接口!$I$358),""))</f>
        <v/>
      </c>
      <c r="I359" s="43"/>
      <c r="J359" s="106"/>
      <c r="K359" s="43"/>
      <c r="L359" s="43"/>
      <c r="M359" s="107"/>
      <c r="N359" s="107"/>
      <c r="O359" s="106"/>
      <c r="P359" s="139">
        <f t="shared" si="10"/>
        <v>0</v>
      </c>
      <c r="Q359" s="139">
        <f t="shared" si="11"/>
        <v>5</v>
      </c>
    </row>
    <row r="360" spans="1:17">
      <c r="A360" s="74">
        <v>359</v>
      </c>
      <c r="B360" s="89" t="str">
        <f>IF($T$4=0,IF($I360="","",$I360),IFERROR(IF([1]财务取数接口!$B$359=0,"",[1]财务取数接口!$B$359),""))</f>
        <v/>
      </c>
      <c r="C360" s="75" t="str">
        <f>IF($T$4=0,IF($J360="","",$J360),IFERROR(IF([1]财务取数接口!$C$359=0,"",[1]财务取数接口!$C$359),""))</f>
        <v/>
      </c>
      <c r="D360" s="89" t="str">
        <f>IF($T$4=0,IF($K360="","",$K360),IFERROR(IF([1]财务取数接口!$D$359=0,"",[1]财务取数接口!$D$359),""))</f>
        <v/>
      </c>
      <c r="E360" s="89" t="str">
        <f>IF($T$4=0,IF($L360="","",$L360),IFERROR(IF([1]财务取数接口!$E$359=0,"",[1]财务取数接口!$E$359),""))</f>
        <v/>
      </c>
      <c r="F360" s="76" t="str">
        <f>IF($T$4=0,IF($M360="","",$M360),IFERROR(IF([1]财务取数接口!$G$359=0,"",[1]财务取数接口!$G$359),""))</f>
        <v/>
      </c>
      <c r="G360" s="76" t="str">
        <f>IF($T$4=0,IF($N360="","",$N360),IFERROR(IF([1]财务取数接口!$H$359=0,"",[1]财务取数接口!$H$359),""))</f>
        <v/>
      </c>
      <c r="H360" s="75" t="str">
        <f>IF($T$4=0,IF($O360="","",$O360),IFERROR(IF([1]财务取数接口!$I$359=0,"",[1]财务取数接口!$I$359),""))</f>
        <v/>
      </c>
      <c r="I360" s="43"/>
      <c r="J360" s="106"/>
      <c r="K360" s="43"/>
      <c r="L360" s="43"/>
      <c r="M360" s="107"/>
      <c r="N360" s="107"/>
      <c r="O360" s="106"/>
      <c r="P360" s="139">
        <f t="shared" si="10"/>
        <v>0</v>
      </c>
      <c r="Q360" s="139">
        <f t="shared" si="11"/>
        <v>5</v>
      </c>
    </row>
    <row r="361" spans="1:17">
      <c r="A361" s="74">
        <v>360</v>
      </c>
      <c r="B361" s="89" t="str">
        <f>IF($T$4=0,IF($I361="","",$I361),IFERROR(IF([1]财务取数接口!$B$360=0,"",[1]财务取数接口!$B$360),""))</f>
        <v/>
      </c>
      <c r="C361" s="75" t="str">
        <f>IF($T$4=0,IF($J361="","",$J361),IFERROR(IF([1]财务取数接口!$C$360=0,"",[1]财务取数接口!$C$360),""))</f>
        <v/>
      </c>
      <c r="D361" s="89" t="str">
        <f>IF($T$4=0,IF($K361="","",$K361),IFERROR(IF([1]财务取数接口!$D$360=0,"",[1]财务取数接口!$D$360),""))</f>
        <v/>
      </c>
      <c r="E361" s="89" t="str">
        <f>IF($T$4=0,IF($L361="","",$L361),IFERROR(IF([1]财务取数接口!$E$360=0,"",[1]财务取数接口!$E$360),""))</f>
        <v/>
      </c>
      <c r="F361" s="76" t="str">
        <f>IF($T$4=0,IF($M361="","",$M361),IFERROR(IF([1]财务取数接口!$G$360=0,"",[1]财务取数接口!$G$360),""))</f>
        <v/>
      </c>
      <c r="G361" s="76" t="str">
        <f>IF($T$4=0,IF($N361="","",$N361),IFERROR(IF([1]财务取数接口!$H$360=0,"",[1]财务取数接口!$H$360),""))</f>
        <v/>
      </c>
      <c r="H361" s="75" t="str">
        <f>IF($T$4=0,IF($O361="","",$O361),IFERROR(IF([1]财务取数接口!$I$360=0,"",[1]财务取数接口!$I$360),""))</f>
        <v/>
      </c>
      <c r="I361" s="43"/>
      <c r="J361" s="106"/>
      <c r="K361" s="43"/>
      <c r="L361" s="43"/>
      <c r="M361" s="107"/>
      <c r="N361" s="107"/>
      <c r="O361" s="106"/>
      <c r="P361" s="139">
        <f t="shared" si="10"/>
        <v>0</v>
      </c>
      <c r="Q361" s="139">
        <f t="shared" si="11"/>
        <v>5</v>
      </c>
    </row>
    <row r="362" spans="1:17">
      <c r="A362" s="74">
        <v>361</v>
      </c>
      <c r="B362" s="89" t="str">
        <f>IF($T$4=0,IF($I362="","",$I362),IFERROR(IF([1]财务取数接口!$B$361=0,"",[1]财务取数接口!$B$361),""))</f>
        <v/>
      </c>
      <c r="C362" s="75" t="str">
        <f>IF($T$4=0,IF($J362="","",$J362),IFERROR(IF([1]财务取数接口!$C$361=0,"",[1]财务取数接口!$C$361),""))</f>
        <v/>
      </c>
      <c r="D362" s="89" t="str">
        <f>IF($T$4=0,IF($K362="","",$K362),IFERROR(IF([1]财务取数接口!$D$361=0,"",[1]财务取数接口!$D$361),""))</f>
        <v/>
      </c>
      <c r="E362" s="89" t="str">
        <f>IF($T$4=0,IF($L362="","",$L362),IFERROR(IF([1]财务取数接口!$E$361=0,"",[1]财务取数接口!$E$361),""))</f>
        <v/>
      </c>
      <c r="F362" s="76" t="str">
        <f>IF($T$4=0,IF($M362="","",$M362),IFERROR(IF([1]财务取数接口!$G$361=0,"",[1]财务取数接口!$G$361),""))</f>
        <v/>
      </c>
      <c r="G362" s="76" t="str">
        <f>IF($T$4=0,IF($N362="","",$N362),IFERROR(IF([1]财务取数接口!$H$361=0,"",[1]财务取数接口!$H$361),""))</f>
        <v/>
      </c>
      <c r="H362" s="75" t="str">
        <f>IF($T$4=0,IF($O362="","",$O362),IFERROR(IF([1]财务取数接口!$I$361=0,"",[1]财务取数接口!$I$361),""))</f>
        <v/>
      </c>
      <c r="I362" s="43"/>
      <c r="J362" s="106"/>
      <c r="K362" s="43"/>
      <c r="L362" s="43"/>
      <c r="M362" s="107"/>
      <c r="N362" s="107"/>
      <c r="O362" s="106"/>
      <c r="P362" s="139">
        <f t="shared" si="10"/>
        <v>0</v>
      </c>
      <c r="Q362" s="139">
        <f t="shared" si="11"/>
        <v>5</v>
      </c>
    </row>
    <row r="363" spans="1:17">
      <c r="A363" s="74">
        <v>362</v>
      </c>
      <c r="B363" s="89" t="str">
        <f>IF($T$4=0,IF($I363="","",$I363),IFERROR(IF([1]财务取数接口!$B$362=0,"",[1]财务取数接口!$B$362),""))</f>
        <v/>
      </c>
      <c r="C363" s="75" t="str">
        <f>IF($T$4=0,IF($J363="","",$J363),IFERROR(IF([1]财务取数接口!$C$362=0,"",[1]财务取数接口!$C$362),""))</f>
        <v/>
      </c>
      <c r="D363" s="89" t="str">
        <f>IF($T$4=0,IF($K363="","",$K363),IFERROR(IF([1]财务取数接口!$D$362=0,"",[1]财务取数接口!$D$362),""))</f>
        <v/>
      </c>
      <c r="E363" s="89" t="str">
        <f>IF($T$4=0,IF($L363="","",$L363),IFERROR(IF([1]财务取数接口!$E$362=0,"",[1]财务取数接口!$E$362),""))</f>
        <v/>
      </c>
      <c r="F363" s="76" t="str">
        <f>IF($T$4=0,IF($M363="","",$M363),IFERROR(IF([1]财务取数接口!$G$362=0,"",[1]财务取数接口!$G$362),""))</f>
        <v/>
      </c>
      <c r="G363" s="76" t="str">
        <f>IF($T$4=0,IF($N363="","",$N363),IFERROR(IF([1]财务取数接口!$H$362=0,"",[1]财务取数接口!$H$362),""))</f>
        <v/>
      </c>
      <c r="H363" s="75" t="str">
        <f>IF($T$4=0,IF($O363="","",$O363),IFERROR(IF([1]财务取数接口!$I$362=0,"",[1]财务取数接口!$I$362),""))</f>
        <v/>
      </c>
      <c r="I363" s="43"/>
      <c r="J363" s="106"/>
      <c r="K363" s="43"/>
      <c r="L363" s="43"/>
      <c r="M363" s="107"/>
      <c r="N363" s="107"/>
      <c r="O363" s="106"/>
      <c r="P363" s="139">
        <f t="shared" si="10"/>
        <v>0</v>
      </c>
      <c r="Q363" s="139">
        <f t="shared" si="11"/>
        <v>5</v>
      </c>
    </row>
    <row r="364" spans="1:17">
      <c r="A364" s="74">
        <v>363</v>
      </c>
      <c r="B364" s="89" t="str">
        <f>IF($T$4=0,IF($I364="","",$I364),IFERROR(IF([1]财务取数接口!$B$363=0,"",[1]财务取数接口!$B$363),""))</f>
        <v/>
      </c>
      <c r="C364" s="75" t="str">
        <f>IF($T$4=0,IF($J364="","",$J364),IFERROR(IF([1]财务取数接口!$C$363=0,"",[1]财务取数接口!$C$363),""))</f>
        <v/>
      </c>
      <c r="D364" s="89" t="str">
        <f>IF($T$4=0,IF($K364="","",$K364),IFERROR(IF([1]财务取数接口!$D$363=0,"",[1]财务取数接口!$D$363),""))</f>
        <v/>
      </c>
      <c r="E364" s="89" t="str">
        <f>IF($T$4=0,IF($L364="","",$L364),IFERROR(IF([1]财务取数接口!$E$363=0,"",[1]财务取数接口!$E$363),""))</f>
        <v/>
      </c>
      <c r="F364" s="76" t="str">
        <f>IF($T$4=0,IF($M364="","",$M364),IFERROR(IF([1]财务取数接口!$G$363=0,"",[1]财务取数接口!$G$363),""))</f>
        <v/>
      </c>
      <c r="G364" s="76" t="str">
        <f>IF($T$4=0,IF($N364="","",$N364),IFERROR(IF([1]财务取数接口!$H$363=0,"",[1]财务取数接口!$H$363),""))</f>
        <v/>
      </c>
      <c r="H364" s="75" t="str">
        <f>IF($T$4=0,IF($O364="","",$O364),IFERROR(IF([1]财务取数接口!$I$363=0,"",[1]财务取数接口!$I$363),""))</f>
        <v/>
      </c>
      <c r="I364" s="43"/>
      <c r="J364" s="106"/>
      <c r="K364" s="43"/>
      <c r="L364" s="43"/>
      <c r="M364" s="107"/>
      <c r="N364" s="107"/>
      <c r="O364" s="106"/>
      <c r="P364" s="139">
        <f t="shared" si="10"/>
        <v>0</v>
      </c>
      <c r="Q364" s="139">
        <f t="shared" si="11"/>
        <v>5</v>
      </c>
    </row>
    <row r="365" spans="1:17">
      <c r="A365" s="74">
        <v>364</v>
      </c>
      <c r="B365" s="89" t="str">
        <f>IF($T$4=0,IF($I365="","",$I365),IFERROR(IF([1]财务取数接口!$B$364=0,"",[1]财务取数接口!$B$364),""))</f>
        <v/>
      </c>
      <c r="C365" s="75" t="str">
        <f>IF($T$4=0,IF($J365="","",$J365),IFERROR(IF([1]财务取数接口!$C$364=0,"",[1]财务取数接口!$C$364),""))</f>
        <v/>
      </c>
      <c r="D365" s="89" t="str">
        <f>IF($T$4=0,IF($K365="","",$K365),IFERROR(IF([1]财务取数接口!$D$364=0,"",[1]财务取数接口!$D$364),""))</f>
        <v/>
      </c>
      <c r="E365" s="89" t="str">
        <f>IF($T$4=0,IF($L365="","",$L365),IFERROR(IF([1]财务取数接口!$E$364=0,"",[1]财务取数接口!$E$364),""))</f>
        <v/>
      </c>
      <c r="F365" s="76" t="str">
        <f>IF($T$4=0,IF($M365="","",$M365),IFERROR(IF([1]财务取数接口!$G$364=0,"",[1]财务取数接口!$G$364),""))</f>
        <v/>
      </c>
      <c r="G365" s="76" t="str">
        <f>IF($T$4=0,IF($N365="","",$N365),IFERROR(IF([1]财务取数接口!$H$364=0,"",[1]财务取数接口!$H$364),""))</f>
        <v/>
      </c>
      <c r="H365" s="75" t="str">
        <f>IF($T$4=0,IF($O365="","",$O365),IFERROR(IF([1]财务取数接口!$I$364=0,"",[1]财务取数接口!$I$364),""))</f>
        <v/>
      </c>
      <c r="I365" s="43"/>
      <c r="J365" s="106"/>
      <c r="K365" s="43"/>
      <c r="L365" s="43"/>
      <c r="M365" s="107"/>
      <c r="N365" s="107"/>
      <c r="O365" s="106"/>
      <c r="P365" s="139">
        <f t="shared" si="10"/>
        <v>0</v>
      </c>
      <c r="Q365" s="139">
        <f t="shared" si="11"/>
        <v>5</v>
      </c>
    </row>
    <row r="366" spans="1:17">
      <c r="A366" s="74">
        <v>365</v>
      </c>
      <c r="B366" s="89" t="str">
        <f>IF($T$4=0,IF($I366="","",$I366),IFERROR(IF([1]财务取数接口!$B$365=0,"",[1]财务取数接口!$B$365),""))</f>
        <v/>
      </c>
      <c r="C366" s="75" t="str">
        <f>IF($T$4=0,IF($J366="","",$J366),IFERROR(IF([1]财务取数接口!$C$365=0,"",[1]财务取数接口!$C$365),""))</f>
        <v/>
      </c>
      <c r="D366" s="89" t="str">
        <f>IF($T$4=0,IF($K366="","",$K366),IFERROR(IF([1]财务取数接口!$D$365=0,"",[1]财务取数接口!$D$365),""))</f>
        <v/>
      </c>
      <c r="E366" s="89" t="str">
        <f>IF($T$4=0,IF($L366="","",$L366),IFERROR(IF([1]财务取数接口!$E$365=0,"",[1]财务取数接口!$E$365),""))</f>
        <v/>
      </c>
      <c r="F366" s="76" t="str">
        <f>IF($T$4=0,IF($M366="","",$M366),IFERROR(IF([1]财务取数接口!$G$365=0,"",[1]财务取数接口!$G$365),""))</f>
        <v/>
      </c>
      <c r="G366" s="76" t="str">
        <f>IF($T$4=0,IF($N366="","",$N366),IFERROR(IF([1]财务取数接口!$H$365=0,"",[1]财务取数接口!$H$365),""))</f>
        <v/>
      </c>
      <c r="H366" s="75" t="str">
        <f>IF($T$4=0,IF($O366="","",$O366),IFERROR(IF([1]财务取数接口!$I$365=0,"",[1]财务取数接口!$I$365),""))</f>
        <v/>
      </c>
      <c r="I366" s="43"/>
      <c r="J366" s="106"/>
      <c r="K366" s="43"/>
      <c r="L366" s="43"/>
      <c r="M366" s="107"/>
      <c r="N366" s="107"/>
      <c r="O366" s="106"/>
      <c r="P366" s="139">
        <f t="shared" si="10"/>
        <v>0</v>
      </c>
      <c r="Q366" s="139">
        <f t="shared" si="11"/>
        <v>5</v>
      </c>
    </row>
    <row r="367" spans="1:17">
      <c r="A367" s="74">
        <v>366</v>
      </c>
      <c r="B367" s="89" t="str">
        <f>IF($T$4=0,IF($I367="","",$I367),IFERROR(IF([1]财务取数接口!$B$366=0,"",[1]财务取数接口!$B$366),""))</f>
        <v/>
      </c>
      <c r="C367" s="75" t="str">
        <f>IF($T$4=0,IF($J367="","",$J367),IFERROR(IF([1]财务取数接口!$C$366=0,"",[1]财务取数接口!$C$366),""))</f>
        <v/>
      </c>
      <c r="D367" s="89" t="str">
        <f>IF($T$4=0,IF($K367="","",$K367),IFERROR(IF([1]财务取数接口!$D$366=0,"",[1]财务取数接口!$D$366),""))</f>
        <v/>
      </c>
      <c r="E367" s="89" t="str">
        <f>IF($T$4=0,IF($L367="","",$L367),IFERROR(IF([1]财务取数接口!$E$366=0,"",[1]财务取数接口!$E$366),""))</f>
        <v/>
      </c>
      <c r="F367" s="76" t="str">
        <f>IF($T$4=0,IF($M367="","",$M367),IFERROR(IF([1]财务取数接口!$G$366=0,"",[1]财务取数接口!$G$366),""))</f>
        <v/>
      </c>
      <c r="G367" s="76" t="str">
        <f>IF($T$4=0,IF($N367="","",$N367),IFERROR(IF([1]财务取数接口!$H$366=0,"",[1]财务取数接口!$H$366),""))</f>
        <v/>
      </c>
      <c r="H367" s="75" t="str">
        <f>IF($T$4=0,IF($O367="","",$O367),IFERROR(IF([1]财务取数接口!$I$366=0,"",[1]财务取数接口!$I$366),""))</f>
        <v/>
      </c>
      <c r="I367" s="43"/>
      <c r="J367" s="106"/>
      <c r="K367" s="43"/>
      <c r="L367" s="43"/>
      <c r="M367" s="107"/>
      <c r="N367" s="107"/>
      <c r="O367" s="106"/>
      <c r="P367" s="139">
        <f t="shared" si="10"/>
        <v>0</v>
      </c>
      <c r="Q367" s="139">
        <f t="shared" si="11"/>
        <v>5</v>
      </c>
    </row>
    <row r="368" spans="1:17">
      <c r="A368" s="74">
        <v>367</v>
      </c>
      <c r="B368" s="89" t="str">
        <f>IF($T$4=0,IF($I368="","",$I368),IFERROR(IF([1]财务取数接口!$B$367=0,"",[1]财务取数接口!$B$367),""))</f>
        <v/>
      </c>
      <c r="C368" s="75" t="str">
        <f>IF($T$4=0,IF($J368="","",$J368),IFERROR(IF([1]财务取数接口!$C$367=0,"",[1]财务取数接口!$C$367),""))</f>
        <v/>
      </c>
      <c r="D368" s="89" t="str">
        <f>IF($T$4=0,IF($K368="","",$K368),IFERROR(IF([1]财务取数接口!$D$367=0,"",[1]财务取数接口!$D$367),""))</f>
        <v/>
      </c>
      <c r="E368" s="89" t="str">
        <f>IF($T$4=0,IF($L368="","",$L368),IFERROR(IF([1]财务取数接口!$E$367=0,"",[1]财务取数接口!$E$367),""))</f>
        <v/>
      </c>
      <c r="F368" s="76" t="str">
        <f>IF($T$4=0,IF($M368="","",$M368),IFERROR(IF([1]财务取数接口!$G$367=0,"",[1]财务取数接口!$G$367),""))</f>
        <v/>
      </c>
      <c r="G368" s="76" t="str">
        <f>IF($T$4=0,IF($N368="","",$N368),IFERROR(IF([1]财务取数接口!$H$367=0,"",[1]财务取数接口!$H$367),""))</f>
        <v/>
      </c>
      <c r="H368" s="75" t="str">
        <f>IF($T$4=0,IF($O368="","",$O368),IFERROR(IF([1]财务取数接口!$I$367=0,"",[1]财务取数接口!$I$367),""))</f>
        <v/>
      </c>
      <c r="I368" s="43"/>
      <c r="J368" s="106"/>
      <c r="K368" s="43"/>
      <c r="L368" s="43"/>
      <c r="M368" s="107"/>
      <c r="N368" s="107"/>
      <c r="O368" s="106"/>
      <c r="P368" s="139">
        <f t="shared" si="10"/>
        <v>0</v>
      </c>
      <c r="Q368" s="139">
        <f t="shared" si="11"/>
        <v>5</v>
      </c>
    </row>
    <row r="369" spans="1:17">
      <c r="A369" s="74">
        <v>368</v>
      </c>
      <c r="B369" s="89" t="str">
        <f>IF($T$4=0,IF($I369="","",$I369),IFERROR(IF([1]财务取数接口!$B$368=0,"",[1]财务取数接口!$B$368),""))</f>
        <v/>
      </c>
      <c r="C369" s="75" t="str">
        <f>IF($T$4=0,IF($J369="","",$J369),IFERROR(IF([1]财务取数接口!$C$368=0,"",[1]财务取数接口!$C$368),""))</f>
        <v/>
      </c>
      <c r="D369" s="89" t="str">
        <f>IF($T$4=0,IF($K369="","",$K369),IFERROR(IF([1]财务取数接口!$D$368=0,"",[1]财务取数接口!$D$368),""))</f>
        <v/>
      </c>
      <c r="E369" s="89" t="str">
        <f>IF($T$4=0,IF($L369="","",$L369),IFERROR(IF([1]财务取数接口!$E$368=0,"",[1]财务取数接口!$E$368),""))</f>
        <v/>
      </c>
      <c r="F369" s="76" t="str">
        <f>IF($T$4=0,IF($M369="","",$M369),IFERROR(IF([1]财务取数接口!$G$368=0,"",[1]财务取数接口!$G$368),""))</f>
        <v/>
      </c>
      <c r="G369" s="76" t="str">
        <f>IF($T$4=0,IF($N369="","",$N369),IFERROR(IF([1]财务取数接口!$H$368=0,"",[1]财务取数接口!$H$368),""))</f>
        <v/>
      </c>
      <c r="H369" s="75" t="str">
        <f>IF($T$4=0,IF($O369="","",$O369),IFERROR(IF([1]财务取数接口!$I$368=0,"",[1]财务取数接口!$I$368),""))</f>
        <v/>
      </c>
      <c r="I369" s="43"/>
      <c r="J369" s="106"/>
      <c r="K369" s="43"/>
      <c r="L369" s="43"/>
      <c r="M369" s="107"/>
      <c r="N369" s="107"/>
      <c r="O369" s="106"/>
      <c r="P369" s="139">
        <f t="shared" si="10"/>
        <v>0</v>
      </c>
      <c r="Q369" s="139">
        <f t="shared" si="11"/>
        <v>5</v>
      </c>
    </row>
    <row r="370" spans="1:17">
      <c r="A370" s="74">
        <v>369</v>
      </c>
      <c r="B370" s="89" t="str">
        <f>IF($T$4=0,IF($I370="","",$I370),IFERROR(IF([1]财务取数接口!$B$369=0,"",[1]财务取数接口!$B$369),""))</f>
        <v/>
      </c>
      <c r="C370" s="75" t="str">
        <f>IF($T$4=0,IF($J370="","",$J370),IFERROR(IF([1]财务取数接口!$C$369=0,"",[1]财务取数接口!$C$369),""))</f>
        <v/>
      </c>
      <c r="D370" s="89" t="str">
        <f>IF($T$4=0,IF($K370="","",$K370),IFERROR(IF([1]财务取数接口!$D$369=0,"",[1]财务取数接口!$D$369),""))</f>
        <v/>
      </c>
      <c r="E370" s="89" t="str">
        <f>IF($T$4=0,IF($L370="","",$L370),IFERROR(IF([1]财务取数接口!$E$369=0,"",[1]财务取数接口!$E$369),""))</f>
        <v/>
      </c>
      <c r="F370" s="76" t="str">
        <f>IF($T$4=0,IF($M370="","",$M370),IFERROR(IF([1]财务取数接口!$G$369=0,"",[1]财务取数接口!$G$369),""))</f>
        <v/>
      </c>
      <c r="G370" s="76" t="str">
        <f>IF($T$4=0,IF($N370="","",$N370),IFERROR(IF([1]财务取数接口!$H$369=0,"",[1]财务取数接口!$H$369),""))</f>
        <v/>
      </c>
      <c r="H370" s="75" t="str">
        <f>IF($T$4=0,IF($O370="","",$O370),IFERROR(IF([1]财务取数接口!$I$369=0,"",[1]财务取数接口!$I$369),""))</f>
        <v/>
      </c>
      <c r="I370" s="43"/>
      <c r="J370" s="106"/>
      <c r="K370" s="43"/>
      <c r="L370" s="43"/>
      <c r="M370" s="107"/>
      <c r="N370" s="107"/>
      <c r="O370" s="106"/>
      <c r="P370" s="139">
        <f t="shared" si="10"/>
        <v>0</v>
      </c>
      <c r="Q370" s="139">
        <f t="shared" si="11"/>
        <v>5</v>
      </c>
    </row>
    <row r="371" spans="1:17">
      <c r="A371" s="74">
        <v>370</v>
      </c>
      <c r="B371" s="89" t="str">
        <f>IF($T$4=0,IF($I371="","",$I371),IFERROR(IF([1]财务取数接口!$B$370=0,"",[1]财务取数接口!$B$370),""))</f>
        <v/>
      </c>
      <c r="C371" s="75" t="str">
        <f>IF($T$4=0,IF($J371="","",$J371),IFERROR(IF([1]财务取数接口!$C$370=0,"",[1]财务取数接口!$C$370),""))</f>
        <v/>
      </c>
      <c r="D371" s="89" t="str">
        <f>IF($T$4=0,IF($K371="","",$K371),IFERROR(IF([1]财务取数接口!$D$370=0,"",[1]财务取数接口!$D$370),""))</f>
        <v/>
      </c>
      <c r="E371" s="89" t="str">
        <f>IF($T$4=0,IF($L371="","",$L371),IFERROR(IF([1]财务取数接口!$E$370=0,"",[1]财务取数接口!$E$370),""))</f>
        <v/>
      </c>
      <c r="F371" s="76" t="str">
        <f>IF($T$4=0,IF($M371="","",$M371),IFERROR(IF([1]财务取数接口!$G$370=0,"",[1]财务取数接口!$G$370),""))</f>
        <v/>
      </c>
      <c r="G371" s="76" t="str">
        <f>IF($T$4=0,IF($N371="","",$N371),IFERROR(IF([1]财务取数接口!$H$370=0,"",[1]财务取数接口!$H$370),""))</f>
        <v/>
      </c>
      <c r="H371" s="75" t="str">
        <f>IF($T$4=0,IF($O371="","",$O371),IFERROR(IF([1]财务取数接口!$I$370=0,"",[1]财务取数接口!$I$370),""))</f>
        <v/>
      </c>
      <c r="I371" s="43"/>
      <c r="J371" s="106"/>
      <c r="K371" s="43"/>
      <c r="L371" s="43"/>
      <c r="M371" s="107"/>
      <c r="N371" s="107"/>
      <c r="O371" s="106"/>
      <c r="P371" s="139">
        <f t="shared" si="10"/>
        <v>0</v>
      </c>
      <c r="Q371" s="139">
        <f t="shared" si="11"/>
        <v>5</v>
      </c>
    </row>
    <row r="372" spans="1:17">
      <c r="A372" s="74">
        <v>371</v>
      </c>
      <c r="B372" s="89" t="str">
        <f>IF($T$4=0,IF($I372="","",$I372),IFERROR(IF([1]财务取数接口!$B$371=0,"",[1]财务取数接口!$B$371),""))</f>
        <v/>
      </c>
      <c r="C372" s="75" t="str">
        <f>IF($T$4=0,IF($J372="","",$J372),IFERROR(IF([1]财务取数接口!$C$371=0,"",[1]财务取数接口!$C$371),""))</f>
        <v/>
      </c>
      <c r="D372" s="89" t="str">
        <f>IF($T$4=0,IF($K372="","",$K372),IFERROR(IF([1]财务取数接口!$D$371=0,"",[1]财务取数接口!$D$371),""))</f>
        <v/>
      </c>
      <c r="E372" s="89" t="str">
        <f>IF($T$4=0,IF($L372="","",$L372),IFERROR(IF([1]财务取数接口!$E$371=0,"",[1]财务取数接口!$E$371),""))</f>
        <v/>
      </c>
      <c r="F372" s="76" t="str">
        <f>IF($T$4=0,IF($M372="","",$M372),IFERROR(IF([1]财务取数接口!$G$371=0,"",[1]财务取数接口!$G$371),""))</f>
        <v/>
      </c>
      <c r="G372" s="76" t="str">
        <f>IF($T$4=0,IF($N372="","",$N372),IFERROR(IF([1]财务取数接口!$H$371=0,"",[1]财务取数接口!$H$371),""))</f>
        <v/>
      </c>
      <c r="H372" s="75" t="str">
        <f>IF($T$4=0,IF($O372="","",$O372),IFERROR(IF([1]财务取数接口!$I$371=0,"",[1]财务取数接口!$I$371),""))</f>
        <v/>
      </c>
      <c r="I372" s="43"/>
      <c r="J372" s="106"/>
      <c r="K372" s="43"/>
      <c r="L372" s="43"/>
      <c r="M372" s="107"/>
      <c r="N372" s="107"/>
      <c r="O372" s="106"/>
      <c r="P372" s="139">
        <f t="shared" si="10"/>
        <v>0</v>
      </c>
      <c r="Q372" s="139">
        <f t="shared" si="11"/>
        <v>5</v>
      </c>
    </row>
    <row r="373" spans="1:17">
      <c r="A373" s="74">
        <v>372</v>
      </c>
      <c r="B373" s="89" t="str">
        <f>IF($T$4=0,IF($I373="","",$I373),IFERROR(IF([1]财务取数接口!$B$372=0,"",[1]财务取数接口!$B$372),""))</f>
        <v/>
      </c>
      <c r="C373" s="75" t="str">
        <f>IF($T$4=0,IF($J373="","",$J373),IFERROR(IF([1]财务取数接口!$C$372=0,"",[1]财务取数接口!$C$372),""))</f>
        <v/>
      </c>
      <c r="D373" s="89" t="str">
        <f>IF($T$4=0,IF($K373="","",$K373),IFERROR(IF([1]财务取数接口!$D$372=0,"",[1]财务取数接口!$D$372),""))</f>
        <v/>
      </c>
      <c r="E373" s="89" t="str">
        <f>IF($T$4=0,IF($L373="","",$L373),IFERROR(IF([1]财务取数接口!$E$372=0,"",[1]财务取数接口!$E$372),""))</f>
        <v/>
      </c>
      <c r="F373" s="76" t="str">
        <f>IF($T$4=0,IF($M373="","",$M373),IFERROR(IF([1]财务取数接口!$G$372=0,"",[1]财务取数接口!$G$372),""))</f>
        <v/>
      </c>
      <c r="G373" s="76" t="str">
        <f>IF($T$4=0,IF($N373="","",$N373),IFERROR(IF([1]财务取数接口!$H$372=0,"",[1]财务取数接口!$H$372),""))</f>
        <v/>
      </c>
      <c r="H373" s="75" t="str">
        <f>IF($T$4=0,IF($O373="","",$O373),IFERROR(IF([1]财务取数接口!$I$372=0,"",[1]财务取数接口!$I$372),""))</f>
        <v/>
      </c>
      <c r="I373" s="43"/>
      <c r="J373" s="106"/>
      <c r="K373" s="43"/>
      <c r="L373" s="43"/>
      <c r="M373" s="107"/>
      <c r="N373" s="107"/>
      <c r="O373" s="106"/>
      <c r="P373" s="139">
        <f t="shared" si="10"/>
        <v>0</v>
      </c>
      <c r="Q373" s="139">
        <f t="shared" si="11"/>
        <v>5</v>
      </c>
    </row>
    <row r="374" spans="1:17">
      <c r="A374" s="74">
        <v>373</v>
      </c>
      <c r="B374" s="89" t="str">
        <f>IF($T$4=0,IF($I374="","",$I374),IFERROR(IF([1]财务取数接口!$B$373=0,"",[1]财务取数接口!$B$373),""))</f>
        <v/>
      </c>
      <c r="C374" s="75" t="str">
        <f>IF($T$4=0,IF($J374="","",$J374),IFERROR(IF([1]财务取数接口!$C$373=0,"",[1]财务取数接口!$C$373),""))</f>
        <v/>
      </c>
      <c r="D374" s="89" t="str">
        <f>IF($T$4=0,IF($K374="","",$K374),IFERROR(IF([1]财务取数接口!$D$373=0,"",[1]财务取数接口!$D$373),""))</f>
        <v/>
      </c>
      <c r="E374" s="89" t="str">
        <f>IF($T$4=0,IF($L374="","",$L374),IFERROR(IF([1]财务取数接口!$E$373=0,"",[1]财务取数接口!$E$373),""))</f>
        <v/>
      </c>
      <c r="F374" s="76" t="str">
        <f>IF($T$4=0,IF($M374="","",$M374),IFERROR(IF([1]财务取数接口!$G$373=0,"",[1]财务取数接口!$G$373),""))</f>
        <v/>
      </c>
      <c r="G374" s="76" t="str">
        <f>IF($T$4=0,IF($N374="","",$N374),IFERROR(IF([1]财务取数接口!$H$373=0,"",[1]财务取数接口!$H$373),""))</f>
        <v/>
      </c>
      <c r="H374" s="75" t="str">
        <f>IF($T$4=0,IF($O374="","",$O374),IFERROR(IF([1]财务取数接口!$I$373=0,"",[1]财务取数接口!$I$373),""))</f>
        <v/>
      </c>
      <c r="I374" s="43"/>
      <c r="J374" s="106"/>
      <c r="K374" s="43"/>
      <c r="L374" s="43"/>
      <c r="M374" s="107"/>
      <c r="N374" s="107"/>
      <c r="O374" s="106"/>
      <c r="P374" s="139">
        <f t="shared" si="10"/>
        <v>0</v>
      </c>
      <c r="Q374" s="139">
        <f t="shared" si="11"/>
        <v>5</v>
      </c>
    </row>
    <row r="375" spans="1:17">
      <c r="A375" s="74">
        <v>374</v>
      </c>
      <c r="B375" s="89" t="str">
        <f>IF($T$4=0,IF($I375="","",$I375),IFERROR(IF([1]财务取数接口!$B$374=0,"",[1]财务取数接口!$B$374),""))</f>
        <v/>
      </c>
      <c r="C375" s="75" t="str">
        <f>IF($T$4=0,IF($J375="","",$J375),IFERROR(IF([1]财务取数接口!$C$374=0,"",[1]财务取数接口!$C$374),""))</f>
        <v/>
      </c>
      <c r="D375" s="89" t="str">
        <f>IF($T$4=0,IF($K375="","",$K375),IFERROR(IF([1]财务取数接口!$D$374=0,"",[1]财务取数接口!$D$374),""))</f>
        <v/>
      </c>
      <c r="E375" s="89" t="str">
        <f>IF($T$4=0,IF($L375="","",$L375),IFERROR(IF([1]财务取数接口!$E$374=0,"",[1]财务取数接口!$E$374),""))</f>
        <v/>
      </c>
      <c r="F375" s="76" t="str">
        <f>IF($T$4=0,IF($M375="","",$M375),IFERROR(IF([1]财务取数接口!$G$374=0,"",[1]财务取数接口!$G$374),""))</f>
        <v/>
      </c>
      <c r="G375" s="76" t="str">
        <f>IF($T$4=0,IF($N375="","",$N375),IFERROR(IF([1]财务取数接口!$H$374=0,"",[1]财务取数接口!$H$374),""))</f>
        <v/>
      </c>
      <c r="H375" s="75" t="str">
        <f>IF($T$4=0,IF($O375="","",$O375),IFERROR(IF([1]财务取数接口!$I$374=0,"",[1]财务取数接口!$I$374),""))</f>
        <v/>
      </c>
      <c r="I375" s="43"/>
      <c r="J375" s="106"/>
      <c r="K375" s="43"/>
      <c r="L375" s="43"/>
      <c r="M375" s="107"/>
      <c r="N375" s="107"/>
      <c r="O375" s="106"/>
      <c r="P375" s="139">
        <f t="shared" si="10"/>
        <v>0</v>
      </c>
      <c r="Q375" s="139">
        <f t="shared" si="11"/>
        <v>5</v>
      </c>
    </row>
    <row r="376" spans="1:17">
      <c r="A376" s="74">
        <v>375</v>
      </c>
      <c r="B376" s="89" t="str">
        <f>IF($T$4=0,IF($I376="","",$I376),IFERROR(IF([1]财务取数接口!$B$375=0,"",[1]财务取数接口!$B$375),""))</f>
        <v/>
      </c>
      <c r="C376" s="75" t="str">
        <f>IF($T$4=0,IF($J376="","",$J376),IFERROR(IF([1]财务取数接口!$C$375=0,"",[1]财务取数接口!$C$375),""))</f>
        <v/>
      </c>
      <c r="D376" s="89" t="str">
        <f>IF($T$4=0,IF($K376="","",$K376),IFERROR(IF([1]财务取数接口!$D$375=0,"",[1]财务取数接口!$D$375),""))</f>
        <v/>
      </c>
      <c r="E376" s="89" t="str">
        <f>IF($T$4=0,IF($L376="","",$L376),IFERROR(IF([1]财务取数接口!$E$375=0,"",[1]财务取数接口!$E$375),""))</f>
        <v/>
      </c>
      <c r="F376" s="76" t="str">
        <f>IF($T$4=0,IF($M376="","",$M376),IFERROR(IF([1]财务取数接口!$G$375=0,"",[1]财务取数接口!$G$375),""))</f>
        <v/>
      </c>
      <c r="G376" s="76" t="str">
        <f>IF($T$4=0,IF($N376="","",$N376),IFERROR(IF([1]财务取数接口!$H$375=0,"",[1]财务取数接口!$H$375),""))</f>
        <v/>
      </c>
      <c r="H376" s="75" t="str">
        <f>IF($T$4=0,IF($O376="","",$O376),IFERROR(IF([1]财务取数接口!$I$375=0,"",[1]财务取数接口!$I$375),""))</f>
        <v/>
      </c>
      <c r="I376" s="43"/>
      <c r="J376" s="106"/>
      <c r="K376" s="43"/>
      <c r="L376" s="43"/>
      <c r="M376" s="107"/>
      <c r="N376" s="107"/>
      <c r="O376" s="106"/>
      <c r="P376" s="139">
        <f t="shared" si="10"/>
        <v>0</v>
      </c>
      <c r="Q376" s="139">
        <f t="shared" si="11"/>
        <v>5</v>
      </c>
    </row>
    <row r="377" spans="1:17">
      <c r="A377" s="74">
        <v>376</v>
      </c>
      <c r="B377" s="89" t="str">
        <f>IF($T$4=0,IF($I377="","",$I377),IFERROR(IF([1]财务取数接口!$B$376=0,"",[1]财务取数接口!$B$376),""))</f>
        <v/>
      </c>
      <c r="C377" s="75" t="str">
        <f>IF($T$4=0,IF($J377="","",$J377),IFERROR(IF([1]财务取数接口!$C$376=0,"",[1]财务取数接口!$C$376),""))</f>
        <v/>
      </c>
      <c r="D377" s="89" t="str">
        <f>IF($T$4=0,IF($K377="","",$K377),IFERROR(IF([1]财务取数接口!$D$376=0,"",[1]财务取数接口!$D$376),""))</f>
        <v/>
      </c>
      <c r="E377" s="89" t="str">
        <f>IF($T$4=0,IF($L377="","",$L377),IFERROR(IF([1]财务取数接口!$E$376=0,"",[1]财务取数接口!$E$376),""))</f>
        <v/>
      </c>
      <c r="F377" s="76" t="str">
        <f>IF($T$4=0,IF($M377="","",$M377),IFERROR(IF([1]财务取数接口!$G$376=0,"",[1]财务取数接口!$G$376),""))</f>
        <v/>
      </c>
      <c r="G377" s="76" t="str">
        <f>IF($T$4=0,IF($N377="","",$N377),IFERROR(IF([1]财务取数接口!$H$376=0,"",[1]财务取数接口!$H$376),""))</f>
        <v/>
      </c>
      <c r="H377" s="75" t="str">
        <f>IF($T$4=0,IF($O377="","",$O377),IFERROR(IF([1]财务取数接口!$I$376=0,"",[1]财务取数接口!$I$376),""))</f>
        <v/>
      </c>
      <c r="I377" s="43"/>
      <c r="J377" s="106"/>
      <c r="K377" s="43"/>
      <c r="L377" s="43"/>
      <c r="M377" s="107"/>
      <c r="N377" s="107"/>
      <c r="O377" s="106"/>
      <c r="P377" s="139">
        <f t="shared" si="10"/>
        <v>0</v>
      </c>
      <c r="Q377" s="139">
        <f t="shared" si="11"/>
        <v>5</v>
      </c>
    </row>
    <row r="378" spans="1:17">
      <c r="A378" s="74">
        <v>377</v>
      </c>
      <c r="B378" s="89" t="str">
        <f>IF($T$4=0,IF($I378="","",$I378),IFERROR(IF([1]财务取数接口!$B$377=0,"",[1]财务取数接口!$B$377),""))</f>
        <v/>
      </c>
      <c r="C378" s="75" t="str">
        <f>IF($T$4=0,IF($J378="","",$J378),IFERROR(IF([1]财务取数接口!$C$377=0,"",[1]财务取数接口!$C$377),""))</f>
        <v/>
      </c>
      <c r="D378" s="89" t="str">
        <f>IF($T$4=0,IF($K378="","",$K378),IFERROR(IF([1]财务取数接口!$D$377=0,"",[1]财务取数接口!$D$377),""))</f>
        <v/>
      </c>
      <c r="E378" s="89" t="str">
        <f>IF($T$4=0,IF($L378="","",$L378),IFERROR(IF([1]财务取数接口!$E$377=0,"",[1]财务取数接口!$E$377),""))</f>
        <v/>
      </c>
      <c r="F378" s="76" t="str">
        <f>IF($T$4=0,IF($M378="","",$M378),IFERROR(IF([1]财务取数接口!$G$377=0,"",[1]财务取数接口!$G$377),""))</f>
        <v/>
      </c>
      <c r="G378" s="76" t="str">
        <f>IF($T$4=0,IF($N378="","",$N378),IFERROR(IF([1]财务取数接口!$H$377=0,"",[1]财务取数接口!$H$377),""))</f>
        <v/>
      </c>
      <c r="H378" s="75" t="str">
        <f>IF($T$4=0,IF($O378="","",$O378),IFERROR(IF([1]财务取数接口!$I$377=0,"",[1]财务取数接口!$I$377),""))</f>
        <v/>
      </c>
      <c r="I378" s="43"/>
      <c r="J378" s="106"/>
      <c r="K378" s="43"/>
      <c r="L378" s="43"/>
      <c r="M378" s="107"/>
      <c r="N378" s="107"/>
      <c r="O378" s="106"/>
      <c r="P378" s="139">
        <f t="shared" si="10"/>
        <v>0</v>
      </c>
      <c r="Q378" s="139">
        <f t="shared" si="11"/>
        <v>5</v>
      </c>
    </row>
    <row r="379" spans="1:17">
      <c r="A379" s="74">
        <v>378</v>
      </c>
      <c r="B379" s="89" t="str">
        <f>IF($T$4=0,IF($I379="","",$I379),IFERROR(IF([1]财务取数接口!$B$378=0,"",[1]财务取数接口!$B$378),""))</f>
        <v/>
      </c>
      <c r="C379" s="75" t="str">
        <f>IF($T$4=0,IF($J379="","",$J379),IFERROR(IF([1]财务取数接口!$C$378=0,"",[1]财务取数接口!$C$378),""))</f>
        <v/>
      </c>
      <c r="D379" s="89" t="str">
        <f>IF($T$4=0,IF($K379="","",$K379),IFERROR(IF([1]财务取数接口!$D$378=0,"",[1]财务取数接口!$D$378),""))</f>
        <v/>
      </c>
      <c r="E379" s="89" t="str">
        <f>IF($T$4=0,IF($L379="","",$L379),IFERROR(IF([1]财务取数接口!$E$378=0,"",[1]财务取数接口!$E$378),""))</f>
        <v/>
      </c>
      <c r="F379" s="76" t="str">
        <f>IF($T$4=0,IF($M379="","",$M379),IFERROR(IF([1]财务取数接口!$G$378=0,"",[1]财务取数接口!$G$378),""))</f>
        <v/>
      </c>
      <c r="G379" s="76" t="str">
        <f>IF($T$4=0,IF($N379="","",$N379),IFERROR(IF([1]财务取数接口!$H$378=0,"",[1]财务取数接口!$H$378),""))</f>
        <v/>
      </c>
      <c r="H379" s="75" t="str">
        <f>IF($T$4=0,IF($O379="","",$O379),IFERROR(IF([1]财务取数接口!$I$378=0,"",[1]财务取数接口!$I$378),""))</f>
        <v/>
      </c>
      <c r="I379" s="43"/>
      <c r="J379" s="106"/>
      <c r="K379" s="43"/>
      <c r="L379" s="43"/>
      <c r="M379" s="107"/>
      <c r="N379" s="107"/>
      <c r="O379" s="106"/>
      <c r="P379" s="139">
        <f t="shared" si="10"/>
        <v>0</v>
      </c>
      <c r="Q379" s="139">
        <f t="shared" si="11"/>
        <v>5</v>
      </c>
    </row>
    <row r="380" spans="1:17">
      <c r="A380" s="74">
        <v>379</v>
      </c>
      <c r="B380" s="89" t="str">
        <f>IF($T$4=0,IF($I380="","",$I380),IFERROR(IF([1]财务取数接口!$B$379=0,"",[1]财务取数接口!$B$379),""))</f>
        <v/>
      </c>
      <c r="C380" s="75" t="str">
        <f>IF($T$4=0,IF($J380="","",$J380),IFERROR(IF([1]财务取数接口!$C$379=0,"",[1]财务取数接口!$C$379),""))</f>
        <v/>
      </c>
      <c r="D380" s="89" t="str">
        <f>IF($T$4=0,IF($K380="","",$K380),IFERROR(IF([1]财务取数接口!$D$379=0,"",[1]财务取数接口!$D$379),""))</f>
        <v/>
      </c>
      <c r="E380" s="89" t="str">
        <f>IF($T$4=0,IF($L380="","",$L380),IFERROR(IF([1]财务取数接口!$E$379=0,"",[1]财务取数接口!$E$379),""))</f>
        <v/>
      </c>
      <c r="F380" s="76" t="str">
        <f>IF($T$4=0,IF($M380="","",$M380),IFERROR(IF([1]财务取数接口!$G$379=0,"",[1]财务取数接口!$G$379),""))</f>
        <v/>
      </c>
      <c r="G380" s="76" t="str">
        <f>IF($T$4=0,IF($N380="","",$N380),IFERROR(IF([1]财务取数接口!$H$379=0,"",[1]财务取数接口!$H$379),""))</f>
        <v/>
      </c>
      <c r="H380" s="75" t="str">
        <f>IF($T$4=0,IF($O380="","",$O380),IFERROR(IF([1]财务取数接口!$I$379=0,"",[1]财务取数接口!$I$379),""))</f>
        <v/>
      </c>
      <c r="I380" s="43"/>
      <c r="J380" s="106"/>
      <c r="K380" s="43"/>
      <c r="L380" s="43"/>
      <c r="M380" s="107"/>
      <c r="N380" s="107"/>
      <c r="O380" s="106"/>
      <c r="P380" s="139">
        <f t="shared" si="10"/>
        <v>0</v>
      </c>
      <c r="Q380" s="139">
        <f t="shared" si="11"/>
        <v>5</v>
      </c>
    </row>
    <row r="381" spans="1:17">
      <c r="A381" s="74">
        <v>380</v>
      </c>
      <c r="B381" s="89" t="str">
        <f>IF($T$4=0,IF($I381="","",$I381),IFERROR(IF([1]财务取数接口!$B$380=0,"",[1]财务取数接口!$B$380),""))</f>
        <v/>
      </c>
      <c r="C381" s="75" t="str">
        <f>IF($T$4=0,IF($J381="","",$J381),IFERROR(IF([1]财务取数接口!$C$380=0,"",[1]财务取数接口!$C$380),""))</f>
        <v/>
      </c>
      <c r="D381" s="89" t="str">
        <f>IF($T$4=0,IF($K381="","",$K381),IFERROR(IF([1]财务取数接口!$D$380=0,"",[1]财务取数接口!$D$380),""))</f>
        <v/>
      </c>
      <c r="E381" s="89" t="str">
        <f>IF($T$4=0,IF($L381="","",$L381),IFERROR(IF([1]财务取数接口!$E$380=0,"",[1]财务取数接口!$E$380),""))</f>
        <v/>
      </c>
      <c r="F381" s="76" t="str">
        <f>IF($T$4=0,IF($M381="","",$M381),IFERROR(IF([1]财务取数接口!$G$380=0,"",[1]财务取数接口!$G$380),""))</f>
        <v/>
      </c>
      <c r="G381" s="76" t="str">
        <f>IF($T$4=0,IF($N381="","",$N381),IFERROR(IF([1]财务取数接口!$H$380=0,"",[1]财务取数接口!$H$380),""))</f>
        <v/>
      </c>
      <c r="H381" s="75" t="str">
        <f>IF($T$4=0,IF($O381="","",$O381),IFERROR(IF([1]财务取数接口!$I$380=0,"",[1]财务取数接口!$I$380),""))</f>
        <v/>
      </c>
      <c r="I381" s="43"/>
      <c r="J381" s="106"/>
      <c r="K381" s="43"/>
      <c r="L381" s="43"/>
      <c r="M381" s="107"/>
      <c r="N381" s="107"/>
      <c r="O381" s="106"/>
      <c r="P381" s="139">
        <f t="shared" si="10"/>
        <v>0</v>
      </c>
      <c r="Q381" s="139">
        <f t="shared" si="11"/>
        <v>5</v>
      </c>
    </row>
    <row r="382" spans="1:17">
      <c r="A382" s="74">
        <v>381</v>
      </c>
      <c r="B382" s="89" t="str">
        <f>IF($T$4=0,IF($I382="","",$I382),IFERROR(IF([1]财务取数接口!$B$381=0,"",[1]财务取数接口!$B$381),""))</f>
        <v/>
      </c>
      <c r="C382" s="75" t="str">
        <f>IF($T$4=0,IF($J382="","",$J382),IFERROR(IF([1]财务取数接口!$C$381=0,"",[1]财务取数接口!$C$381),""))</f>
        <v/>
      </c>
      <c r="D382" s="89" t="str">
        <f>IF($T$4=0,IF($K382="","",$K382),IFERROR(IF([1]财务取数接口!$D$381=0,"",[1]财务取数接口!$D$381),""))</f>
        <v/>
      </c>
      <c r="E382" s="89" t="str">
        <f>IF($T$4=0,IF($L382="","",$L382),IFERROR(IF([1]财务取数接口!$E$381=0,"",[1]财务取数接口!$E$381),""))</f>
        <v/>
      </c>
      <c r="F382" s="76" t="str">
        <f>IF($T$4=0,IF($M382="","",$M382),IFERROR(IF([1]财务取数接口!$G$381=0,"",[1]财务取数接口!$G$381),""))</f>
        <v/>
      </c>
      <c r="G382" s="76" t="str">
        <f>IF($T$4=0,IF($N382="","",$N382),IFERROR(IF([1]财务取数接口!$H$381=0,"",[1]财务取数接口!$H$381),""))</f>
        <v/>
      </c>
      <c r="H382" s="75" t="str">
        <f>IF($T$4=0,IF($O382="","",$O382),IFERROR(IF([1]财务取数接口!$I$381=0,"",[1]财务取数接口!$I$381),""))</f>
        <v/>
      </c>
      <c r="I382" s="43"/>
      <c r="J382" s="106"/>
      <c r="K382" s="43"/>
      <c r="L382" s="43"/>
      <c r="M382" s="107"/>
      <c r="N382" s="107"/>
      <c r="O382" s="106"/>
      <c r="P382" s="139">
        <f t="shared" si="10"/>
        <v>0</v>
      </c>
      <c r="Q382" s="139">
        <f t="shared" si="11"/>
        <v>5</v>
      </c>
    </row>
    <row r="383" spans="1:17">
      <c r="A383" s="74">
        <v>382</v>
      </c>
      <c r="B383" s="89" t="str">
        <f>IF($T$4=0,IF($I383="","",$I383),IFERROR(IF([1]财务取数接口!$B$382=0,"",[1]财务取数接口!$B$382),""))</f>
        <v/>
      </c>
      <c r="C383" s="75" t="str">
        <f>IF($T$4=0,IF($J383="","",$J383),IFERROR(IF([1]财务取数接口!$C$382=0,"",[1]财务取数接口!$C$382),""))</f>
        <v/>
      </c>
      <c r="D383" s="89" t="str">
        <f>IF($T$4=0,IF($K383="","",$K383),IFERROR(IF([1]财务取数接口!$D$382=0,"",[1]财务取数接口!$D$382),""))</f>
        <v/>
      </c>
      <c r="E383" s="89" t="str">
        <f>IF($T$4=0,IF($L383="","",$L383),IFERROR(IF([1]财务取数接口!$E$382=0,"",[1]财务取数接口!$E$382),""))</f>
        <v/>
      </c>
      <c r="F383" s="76" t="str">
        <f>IF($T$4=0,IF($M383="","",$M383),IFERROR(IF([1]财务取数接口!$G$382=0,"",[1]财务取数接口!$G$382),""))</f>
        <v/>
      </c>
      <c r="G383" s="76" t="str">
        <f>IF($T$4=0,IF($N383="","",$N383),IFERROR(IF([1]财务取数接口!$H$382=0,"",[1]财务取数接口!$H$382),""))</f>
        <v/>
      </c>
      <c r="H383" s="75" t="str">
        <f>IF($T$4=0,IF($O383="","",$O383),IFERROR(IF([1]财务取数接口!$I$382=0,"",[1]财务取数接口!$I$382),""))</f>
        <v/>
      </c>
      <c r="I383" s="43"/>
      <c r="J383" s="106"/>
      <c r="K383" s="43"/>
      <c r="L383" s="43"/>
      <c r="M383" s="107"/>
      <c r="N383" s="107"/>
      <c r="O383" s="106"/>
      <c r="P383" s="139">
        <f t="shared" si="10"/>
        <v>0</v>
      </c>
      <c r="Q383" s="139">
        <f t="shared" si="11"/>
        <v>5</v>
      </c>
    </row>
    <row r="384" spans="1:17">
      <c r="A384" s="74">
        <v>383</v>
      </c>
      <c r="B384" s="89" t="str">
        <f>IF($T$4=0,IF($I384="","",$I384),IFERROR(IF([1]财务取数接口!$B$383=0,"",[1]财务取数接口!$B$383),""))</f>
        <v/>
      </c>
      <c r="C384" s="75" t="str">
        <f>IF($T$4=0,IF($J384="","",$J384),IFERROR(IF([1]财务取数接口!$C$383=0,"",[1]财务取数接口!$C$383),""))</f>
        <v/>
      </c>
      <c r="D384" s="89" t="str">
        <f>IF($T$4=0,IF($K384="","",$K384),IFERROR(IF([1]财务取数接口!$D$383=0,"",[1]财务取数接口!$D$383),""))</f>
        <v/>
      </c>
      <c r="E384" s="89" t="str">
        <f>IF($T$4=0,IF($L384="","",$L384),IFERROR(IF([1]财务取数接口!$E$383=0,"",[1]财务取数接口!$E$383),""))</f>
        <v/>
      </c>
      <c r="F384" s="76" t="str">
        <f>IF($T$4=0,IF($M384="","",$M384),IFERROR(IF([1]财务取数接口!$G$383=0,"",[1]财务取数接口!$G$383),""))</f>
        <v/>
      </c>
      <c r="G384" s="76" t="str">
        <f>IF($T$4=0,IF($N384="","",$N384),IFERROR(IF([1]财务取数接口!$H$383=0,"",[1]财务取数接口!$H$383),""))</f>
        <v/>
      </c>
      <c r="H384" s="75" t="str">
        <f>IF($T$4=0,IF($O384="","",$O384),IFERROR(IF([1]财务取数接口!$I$383=0,"",[1]财务取数接口!$I$383),""))</f>
        <v/>
      </c>
      <c r="I384" s="43"/>
      <c r="J384" s="106"/>
      <c r="K384" s="43"/>
      <c r="L384" s="43"/>
      <c r="M384" s="107"/>
      <c r="N384" s="107"/>
      <c r="O384" s="106"/>
      <c r="P384" s="139">
        <f t="shared" si="10"/>
        <v>0</v>
      </c>
      <c r="Q384" s="139">
        <f t="shared" si="11"/>
        <v>5</v>
      </c>
    </row>
    <row r="385" spans="1:17">
      <c r="A385" s="74">
        <v>384</v>
      </c>
      <c r="B385" s="89" t="str">
        <f>IF($T$4=0,IF($I385="","",$I385),IFERROR(IF([1]财务取数接口!$B$384=0,"",[1]财务取数接口!$B$384),""))</f>
        <v/>
      </c>
      <c r="C385" s="75" t="str">
        <f>IF($T$4=0,IF($J385="","",$J385),IFERROR(IF([1]财务取数接口!$C$384=0,"",[1]财务取数接口!$C$384),""))</f>
        <v/>
      </c>
      <c r="D385" s="89" t="str">
        <f>IF($T$4=0,IF($K385="","",$K385),IFERROR(IF([1]财务取数接口!$D$384=0,"",[1]财务取数接口!$D$384),""))</f>
        <v/>
      </c>
      <c r="E385" s="89" t="str">
        <f>IF($T$4=0,IF($L385="","",$L385),IFERROR(IF([1]财务取数接口!$E$384=0,"",[1]财务取数接口!$E$384),""))</f>
        <v/>
      </c>
      <c r="F385" s="76" t="str">
        <f>IF($T$4=0,IF($M385="","",$M385),IFERROR(IF([1]财务取数接口!$G$384=0,"",[1]财务取数接口!$G$384),""))</f>
        <v/>
      </c>
      <c r="G385" s="76" t="str">
        <f>IF($T$4=0,IF($N385="","",$N385),IFERROR(IF([1]财务取数接口!$H$384=0,"",[1]财务取数接口!$H$384),""))</f>
        <v/>
      </c>
      <c r="H385" s="75" t="str">
        <f>IF($T$4=0,IF($O385="","",$O385),IFERROR(IF([1]财务取数接口!$I$384=0,"",[1]财务取数接口!$I$384),""))</f>
        <v/>
      </c>
      <c r="I385" s="43"/>
      <c r="J385" s="106"/>
      <c r="K385" s="43"/>
      <c r="L385" s="43"/>
      <c r="M385" s="107"/>
      <c r="N385" s="107"/>
      <c r="O385" s="106"/>
      <c r="P385" s="139">
        <f t="shared" si="10"/>
        <v>0</v>
      </c>
      <c r="Q385" s="139">
        <f t="shared" si="11"/>
        <v>5</v>
      </c>
    </row>
    <row r="386" spans="1:17">
      <c r="A386" s="74">
        <v>385</v>
      </c>
      <c r="B386" s="89" t="str">
        <f>IF($T$4=0,IF($I386="","",$I386),IFERROR(IF([1]财务取数接口!$B$385=0,"",[1]财务取数接口!$B$385),""))</f>
        <v/>
      </c>
      <c r="C386" s="75" t="str">
        <f>IF($T$4=0,IF($J386="","",$J386),IFERROR(IF([1]财务取数接口!$C$385=0,"",[1]财务取数接口!$C$385),""))</f>
        <v/>
      </c>
      <c r="D386" s="89" t="str">
        <f>IF($T$4=0,IF($K386="","",$K386),IFERROR(IF([1]财务取数接口!$D$385=0,"",[1]财务取数接口!$D$385),""))</f>
        <v/>
      </c>
      <c r="E386" s="89" t="str">
        <f>IF($T$4=0,IF($L386="","",$L386),IFERROR(IF([1]财务取数接口!$E$385=0,"",[1]财务取数接口!$E$385),""))</f>
        <v/>
      </c>
      <c r="F386" s="76" t="str">
        <f>IF($T$4=0,IF($M386="","",$M386),IFERROR(IF([1]财务取数接口!$G$385=0,"",[1]财务取数接口!$G$385),""))</f>
        <v/>
      </c>
      <c r="G386" s="76" t="str">
        <f>IF($T$4=0,IF($N386="","",$N386),IFERROR(IF([1]财务取数接口!$H$385=0,"",[1]财务取数接口!$H$385),""))</f>
        <v/>
      </c>
      <c r="H386" s="75" t="str">
        <f>IF($T$4=0,IF($O386="","",$O386),IFERROR(IF([1]财务取数接口!$I$385=0,"",[1]财务取数接口!$I$385),""))</f>
        <v/>
      </c>
      <c r="I386" s="43"/>
      <c r="J386" s="106"/>
      <c r="K386" s="43"/>
      <c r="L386" s="43"/>
      <c r="M386" s="107"/>
      <c r="N386" s="107"/>
      <c r="O386" s="106"/>
      <c r="P386" s="139">
        <f t="shared" si="10"/>
        <v>0</v>
      </c>
      <c r="Q386" s="139">
        <f t="shared" si="11"/>
        <v>5</v>
      </c>
    </row>
    <row r="387" spans="1:17">
      <c r="A387" s="74">
        <v>386</v>
      </c>
      <c r="B387" s="89" t="str">
        <f>IF($T$4=0,IF($I387="","",$I387),IFERROR(IF([1]财务取数接口!$B$386=0,"",[1]财务取数接口!$B$386),""))</f>
        <v/>
      </c>
      <c r="C387" s="75" t="str">
        <f>IF($T$4=0,IF($J387="","",$J387),IFERROR(IF([1]财务取数接口!$C$386=0,"",[1]财务取数接口!$C$386),""))</f>
        <v/>
      </c>
      <c r="D387" s="89" t="str">
        <f>IF($T$4=0,IF($K387="","",$K387),IFERROR(IF([1]财务取数接口!$D$386=0,"",[1]财务取数接口!$D$386),""))</f>
        <v/>
      </c>
      <c r="E387" s="89" t="str">
        <f>IF($T$4=0,IF($L387="","",$L387),IFERROR(IF([1]财务取数接口!$E$386=0,"",[1]财务取数接口!$E$386),""))</f>
        <v/>
      </c>
      <c r="F387" s="76" t="str">
        <f>IF($T$4=0,IF($M387="","",$M387),IFERROR(IF([1]财务取数接口!$G$386=0,"",[1]财务取数接口!$G$386),""))</f>
        <v/>
      </c>
      <c r="G387" s="76" t="str">
        <f>IF($T$4=0,IF($N387="","",$N387),IFERROR(IF([1]财务取数接口!$H$386=0,"",[1]财务取数接口!$H$386),""))</f>
        <v/>
      </c>
      <c r="H387" s="75" t="str">
        <f>IF($T$4=0,IF($O387="","",$O387),IFERROR(IF([1]财务取数接口!$I$386=0,"",[1]财务取数接口!$I$386),""))</f>
        <v/>
      </c>
      <c r="I387" s="43"/>
      <c r="J387" s="106"/>
      <c r="K387" s="43"/>
      <c r="L387" s="43"/>
      <c r="M387" s="107"/>
      <c r="N387" s="107"/>
      <c r="O387" s="106"/>
      <c r="P387" s="139">
        <f t="shared" si="10"/>
        <v>0</v>
      </c>
      <c r="Q387" s="139">
        <f t="shared" si="11"/>
        <v>5</v>
      </c>
    </row>
    <row r="388" spans="1:17">
      <c r="A388" s="74">
        <v>387</v>
      </c>
      <c r="B388" s="89" t="str">
        <f>IF($T$4=0,IF($I388="","",$I388),IFERROR(IF([1]财务取数接口!$B$387=0,"",[1]财务取数接口!$B$387),""))</f>
        <v/>
      </c>
      <c r="C388" s="75" t="str">
        <f>IF($T$4=0,IF($J388="","",$J388),IFERROR(IF([1]财务取数接口!$C$387=0,"",[1]财务取数接口!$C$387),""))</f>
        <v/>
      </c>
      <c r="D388" s="89" t="str">
        <f>IF($T$4=0,IF($K388="","",$K388),IFERROR(IF([1]财务取数接口!$D$387=0,"",[1]财务取数接口!$D$387),""))</f>
        <v/>
      </c>
      <c r="E388" s="89" t="str">
        <f>IF($T$4=0,IF($L388="","",$L388),IFERROR(IF([1]财务取数接口!$E$387=0,"",[1]财务取数接口!$E$387),""))</f>
        <v/>
      </c>
      <c r="F388" s="76" t="str">
        <f>IF($T$4=0,IF($M388="","",$M388),IFERROR(IF([1]财务取数接口!$G$387=0,"",[1]财务取数接口!$G$387),""))</f>
        <v/>
      </c>
      <c r="G388" s="76" t="str">
        <f>IF($T$4=0,IF($N388="","",$N388),IFERROR(IF([1]财务取数接口!$H$387=0,"",[1]财务取数接口!$H$387),""))</f>
        <v/>
      </c>
      <c r="H388" s="75" t="str">
        <f>IF($T$4=0,IF($O388="","",$O388),IFERROR(IF([1]财务取数接口!$I$387=0,"",[1]财务取数接口!$I$387),""))</f>
        <v/>
      </c>
      <c r="I388" s="43"/>
      <c r="J388" s="106"/>
      <c r="K388" s="43"/>
      <c r="L388" s="43"/>
      <c r="M388" s="107"/>
      <c r="N388" s="107"/>
      <c r="O388" s="106"/>
      <c r="P388" s="139">
        <f t="shared" si="10"/>
        <v>0</v>
      </c>
      <c r="Q388" s="139">
        <f t="shared" si="11"/>
        <v>5</v>
      </c>
    </row>
    <row r="389" spans="1:17">
      <c r="A389" s="74">
        <v>388</v>
      </c>
      <c r="B389" s="89" t="str">
        <f>IF($T$4=0,IF($I389="","",$I389),IFERROR(IF([1]财务取数接口!$B$388=0,"",[1]财务取数接口!$B$388),""))</f>
        <v/>
      </c>
      <c r="C389" s="75" t="str">
        <f>IF($T$4=0,IF($J389="","",$J389),IFERROR(IF([1]财务取数接口!$C$388=0,"",[1]财务取数接口!$C$388),""))</f>
        <v/>
      </c>
      <c r="D389" s="89" t="str">
        <f>IF($T$4=0,IF($K389="","",$K389),IFERROR(IF([1]财务取数接口!$D$388=0,"",[1]财务取数接口!$D$388),""))</f>
        <v/>
      </c>
      <c r="E389" s="89" t="str">
        <f>IF($T$4=0,IF($L389="","",$L389),IFERROR(IF([1]财务取数接口!$E$388=0,"",[1]财务取数接口!$E$388),""))</f>
        <v/>
      </c>
      <c r="F389" s="76" t="str">
        <f>IF($T$4=0,IF($M389="","",$M389),IFERROR(IF([1]财务取数接口!$G$388=0,"",[1]财务取数接口!$G$388),""))</f>
        <v/>
      </c>
      <c r="G389" s="76" t="str">
        <f>IF($T$4=0,IF($N389="","",$N389),IFERROR(IF([1]财务取数接口!$H$388=0,"",[1]财务取数接口!$H$388),""))</f>
        <v/>
      </c>
      <c r="H389" s="75" t="str">
        <f>IF($T$4=0,IF($O389="","",$O389),IFERROR(IF([1]财务取数接口!$I$388=0,"",[1]财务取数接口!$I$388),""))</f>
        <v/>
      </c>
      <c r="I389" s="43"/>
      <c r="J389" s="106"/>
      <c r="K389" s="43"/>
      <c r="L389" s="43"/>
      <c r="M389" s="107"/>
      <c r="N389" s="107"/>
      <c r="O389" s="106"/>
      <c r="P389" s="139">
        <f t="shared" ref="P389:P452" si="12">IF(AND($C389&lt;&gt;"",$C389&lt;&gt;"项目",OR(N($D389)&lt;&gt;0,N($E389)&lt;&gt;0,N($F389)&lt;&gt;0)),1,0)</f>
        <v>0</v>
      </c>
      <c r="Q389" s="139">
        <f t="shared" ref="Q389:Q452" si="13">N(Q388)+$P389</f>
        <v>5</v>
      </c>
    </row>
    <row r="390" spans="1:17">
      <c r="A390" s="74">
        <v>389</v>
      </c>
      <c r="B390" s="89" t="str">
        <f>IF($T$4=0,IF($I390="","",$I390),IFERROR(IF([1]财务取数接口!$B$389=0,"",[1]财务取数接口!$B$389),""))</f>
        <v/>
      </c>
      <c r="C390" s="75" t="str">
        <f>IF($T$4=0,IF($J390="","",$J390),IFERROR(IF([1]财务取数接口!$C$389=0,"",[1]财务取数接口!$C$389),""))</f>
        <v/>
      </c>
      <c r="D390" s="89" t="str">
        <f>IF($T$4=0,IF($K390="","",$K390),IFERROR(IF([1]财务取数接口!$D$389=0,"",[1]财务取数接口!$D$389),""))</f>
        <v/>
      </c>
      <c r="E390" s="89" t="str">
        <f>IF($T$4=0,IF($L390="","",$L390),IFERROR(IF([1]财务取数接口!$E$389=0,"",[1]财务取数接口!$E$389),""))</f>
        <v/>
      </c>
      <c r="F390" s="76" t="str">
        <f>IF($T$4=0,IF($M390="","",$M390),IFERROR(IF([1]财务取数接口!$G$389=0,"",[1]财务取数接口!$G$389),""))</f>
        <v/>
      </c>
      <c r="G390" s="76" t="str">
        <f>IF($T$4=0,IF($N390="","",$N390),IFERROR(IF([1]财务取数接口!$H$389=0,"",[1]财务取数接口!$H$389),""))</f>
        <v/>
      </c>
      <c r="H390" s="75" t="str">
        <f>IF($T$4=0,IF($O390="","",$O390),IFERROR(IF([1]财务取数接口!$I$389=0,"",[1]财务取数接口!$I$389),""))</f>
        <v/>
      </c>
      <c r="I390" s="43"/>
      <c r="J390" s="106"/>
      <c r="K390" s="43"/>
      <c r="L390" s="43"/>
      <c r="M390" s="107"/>
      <c r="N390" s="107"/>
      <c r="O390" s="106"/>
      <c r="P390" s="139">
        <f t="shared" si="12"/>
        <v>0</v>
      </c>
      <c r="Q390" s="139">
        <f t="shared" si="13"/>
        <v>5</v>
      </c>
    </row>
    <row r="391" spans="1:17">
      <c r="A391" s="74">
        <v>390</v>
      </c>
      <c r="B391" s="89" t="str">
        <f>IF($T$4=0,IF($I391="","",$I391),IFERROR(IF([1]财务取数接口!$B$390=0,"",[1]财务取数接口!$B$390),""))</f>
        <v/>
      </c>
      <c r="C391" s="75" t="str">
        <f>IF($T$4=0,IF($J391="","",$J391),IFERROR(IF([1]财务取数接口!$C$390=0,"",[1]财务取数接口!$C$390),""))</f>
        <v/>
      </c>
      <c r="D391" s="89" t="str">
        <f>IF($T$4=0,IF($K391="","",$K391),IFERROR(IF([1]财务取数接口!$D$390=0,"",[1]财务取数接口!$D$390),""))</f>
        <v/>
      </c>
      <c r="E391" s="89" t="str">
        <f>IF($T$4=0,IF($L391="","",$L391),IFERROR(IF([1]财务取数接口!$E$390=0,"",[1]财务取数接口!$E$390),""))</f>
        <v/>
      </c>
      <c r="F391" s="76" t="str">
        <f>IF($T$4=0,IF($M391="","",$M391),IFERROR(IF([1]财务取数接口!$G$390=0,"",[1]财务取数接口!$G$390),""))</f>
        <v/>
      </c>
      <c r="G391" s="76" t="str">
        <f>IF($T$4=0,IF($N391="","",$N391),IFERROR(IF([1]财务取数接口!$H$390=0,"",[1]财务取数接口!$H$390),""))</f>
        <v/>
      </c>
      <c r="H391" s="75" t="str">
        <f>IF($T$4=0,IF($O391="","",$O391),IFERROR(IF([1]财务取数接口!$I$390=0,"",[1]财务取数接口!$I$390),""))</f>
        <v/>
      </c>
      <c r="I391" s="43"/>
      <c r="J391" s="106"/>
      <c r="K391" s="43"/>
      <c r="L391" s="43"/>
      <c r="M391" s="107"/>
      <c r="N391" s="107"/>
      <c r="O391" s="106"/>
      <c r="P391" s="139">
        <f t="shared" si="12"/>
        <v>0</v>
      </c>
      <c r="Q391" s="139">
        <f t="shared" si="13"/>
        <v>5</v>
      </c>
    </row>
    <row r="392" spans="1:17">
      <c r="A392" s="74">
        <v>391</v>
      </c>
      <c r="B392" s="89" t="str">
        <f>IF($T$4=0,IF($I392="","",$I392),IFERROR(IF([1]财务取数接口!$B$391=0,"",[1]财务取数接口!$B$391),""))</f>
        <v/>
      </c>
      <c r="C392" s="75" t="str">
        <f>IF($T$4=0,IF($J392="","",$J392),IFERROR(IF([1]财务取数接口!$C$391=0,"",[1]财务取数接口!$C$391),""))</f>
        <v/>
      </c>
      <c r="D392" s="89" t="str">
        <f>IF($T$4=0,IF($K392="","",$K392),IFERROR(IF([1]财务取数接口!$D$391=0,"",[1]财务取数接口!$D$391),""))</f>
        <v/>
      </c>
      <c r="E392" s="89" t="str">
        <f>IF($T$4=0,IF($L392="","",$L392),IFERROR(IF([1]财务取数接口!$E$391=0,"",[1]财务取数接口!$E$391),""))</f>
        <v/>
      </c>
      <c r="F392" s="76" t="str">
        <f>IF($T$4=0,IF($M392="","",$M392),IFERROR(IF([1]财务取数接口!$G$391=0,"",[1]财务取数接口!$G$391),""))</f>
        <v/>
      </c>
      <c r="G392" s="76" t="str">
        <f>IF($T$4=0,IF($N392="","",$N392),IFERROR(IF([1]财务取数接口!$H$391=0,"",[1]财务取数接口!$H$391),""))</f>
        <v/>
      </c>
      <c r="H392" s="75" t="str">
        <f>IF($T$4=0,IF($O392="","",$O392),IFERROR(IF([1]财务取数接口!$I$391=0,"",[1]财务取数接口!$I$391),""))</f>
        <v/>
      </c>
      <c r="I392" s="43"/>
      <c r="J392" s="106"/>
      <c r="K392" s="43"/>
      <c r="L392" s="43"/>
      <c r="M392" s="107"/>
      <c r="N392" s="107"/>
      <c r="O392" s="106"/>
      <c r="P392" s="139">
        <f t="shared" si="12"/>
        <v>0</v>
      </c>
      <c r="Q392" s="139">
        <f t="shared" si="13"/>
        <v>5</v>
      </c>
    </row>
    <row r="393" spans="1:17">
      <c r="A393" s="74">
        <v>392</v>
      </c>
      <c r="B393" s="89" t="str">
        <f>IF($T$4=0,IF($I393="","",$I393),IFERROR(IF([1]财务取数接口!$B$392=0,"",[1]财务取数接口!$B$392),""))</f>
        <v/>
      </c>
      <c r="C393" s="75" t="str">
        <f>IF($T$4=0,IF($J393="","",$J393),IFERROR(IF([1]财务取数接口!$C$392=0,"",[1]财务取数接口!$C$392),""))</f>
        <v/>
      </c>
      <c r="D393" s="89" t="str">
        <f>IF($T$4=0,IF($K393="","",$K393),IFERROR(IF([1]财务取数接口!$D$392=0,"",[1]财务取数接口!$D$392),""))</f>
        <v/>
      </c>
      <c r="E393" s="89" t="str">
        <f>IF($T$4=0,IF($L393="","",$L393),IFERROR(IF([1]财务取数接口!$E$392=0,"",[1]财务取数接口!$E$392),""))</f>
        <v/>
      </c>
      <c r="F393" s="76" t="str">
        <f>IF($T$4=0,IF($M393="","",$M393),IFERROR(IF([1]财务取数接口!$G$392=0,"",[1]财务取数接口!$G$392),""))</f>
        <v/>
      </c>
      <c r="G393" s="76" t="str">
        <f>IF($T$4=0,IF($N393="","",$N393),IFERROR(IF([1]财务取数接口!$H$392=0,"",[1]财务取数接口!$H$392),""))</f>
        <v/>
      </c>
      <c r="H393" s="75" t="str">
        <f>IF($T$4=0,IF($O393="","",$O393),IFERROR(IF([1]财务取数接口!$I$392=0,"",[1]财务取数接口!$I$392),""))</f>
        <v/>
      </c>
      <c r="I393" s="43"/>
      <c r="J393" s="106"/>
      <c r="K393" s="43"/>
      <c r="L393" s="43"/>
      <c r="M393" s="107"/>
      <c r="N393" s="107"/>
      <c r="O393" s="106"/>
      <c r="P393" s="139">
        <f t="shared" si="12"/>
        <v>0</v>
      </c>
      <c r="Q393" s="139">
        <f t="shared" si="13"/>
        <v>5</v>
      </c>
    </row>
    <row r="394" spans="1:17">
      <c r="A394" s="74">
        <v>393</v>
      </c>
      <c r="B394" s="89" t="str">
        <f>IF($T$4=0,IF($I394="","",$I394),IFERROR(IF([1]财务取数接口!$B$393=0,"",[1]财务取数接口!$B$393),""))</f>
        <v/>
      </c>
      <c r="C394" s="75" t="str">
        <f>IF($T$4=0,IF($J394="","",$J394),IFERROR(IF([1]财务取数接口!$C$393=0,"",[1]财务取数接口!$C$393),""))</f>
        <v/>
      </c>
      <c r="D394" s="89" t="str">
        <f>IF($T$4=0,IF($K394="","",$K394),IFERROR(IF([1]财务取数接口!$D$393=0,"",[1]财务取数接口!$D$393),""))</f>
        <v/>
      </c>
      <c r="E394" s="89" t="str">
        <f>IF($T$4=0,IF($L394="","",$L394),IFERROR(IF([1]财务取数接口!$E$393=0,"",[1]财务取数接口!$E$393),""))</f>
        <v/>
      </c>
      <c r="F394" s="76" t="str">
        <f>IF($T$4=0,IF($M394="","",$M394),IFERROR(IF([1]财务取数接口!$G$393=0,"",[1]财务取数接口!$G$393),""))</f>
        <v/>
      </c>
      <c r="G394" s="76" t="str">
        <f>IF($T$4=0,IF($N394="","",$N394),IFERROR(IF([1]财务取数接口!$H$393=0,"",[1]财务取数接口!$H$393),""))</f>
        <v/>
      </c>
      <c r="H394" s="75" t="str">
        <f>IF($T$4=0,IF($O394="","",$O394),IFERROR(IF([1]财务取数接口!$I$393=0,"",[1]财务取数接口!$I$393),""))</f>
        <v/>
      </c>
      <c r="I394" s="43"/>
      <c r="J394" s="106"/>
      <c r="K394" s="43"/>
      <c r="L394" s="43"/>
      <c r="M394" s="107"/>
      <c r="N394" s="107"/>
      <c r="O394" s="106"/>
      <c r="P394" s="139">
        <f t="shared" si="12"/>
        <v>0</v>
      </c>
      <c r="Q394" s="139">
        <f t="shared" si="13"/>
        <v>5</v>
      </c>
    </row>
    <row r="395" spans="1:17">
      <c r="A395" s="74">
        <v>394</v>
      </c>
      <c r="B395" s="89" t="str">
        <f>IF($T$4=0,IF($I395="","",$I395),IFERROR(IF([1]财务取数接口!$B$394=0,"",[1]财务取数接口!$B$394),""))</f>
        <v/>
      </c>
      <c r="C395" s="75" t="str">
        <f>IF($T$4=0,IF($J395="","",$J395),IFERROR(IF([1]财务取数接口!$C$394=0,"",[1]财务取数接口!$C$394),""))</f>
        <v/>
      </c>
      <c r="D395" s="89" t="str">
        <f>IF($T$4=0,IF($K395="","",$K395),IFERROR(IF([1]财务取数接口!$D$394=0,"",[1]财务取数接口!$D$394),""))</f>
        <v/>
      </c>
      <c r="E395" s="89" t="str">
        <f>IF($T$4=0,IF($L395="","",$L395),IFERROR(IF([1]财务取数接口!$E$394=0,"",[1]财务取数接口!$E$394),""))</f>
        <v/>
      </c>
      <c r="F395" s="76" t="str">
        <f>IF($T$4=0,IF($M395="","",$M395),IFERROR(IF([1]财务取数接口!$G$394=0,"",[1]财务取数接口!$G$394),""))</f>
        <v/>
      </c>
      <c r="G395" s="76" t="str">
        <f>IF($T$4=0,IF($N395="","",$N395),IFERROR(IF([1]财务取数接口!$H$394=0,"",[1]财务取数接口!$H$394),""))</f>
        <v/>
      </c>
      <c r="H395" s="75" t="str">
        <f>IF($T$4=0,IF($O395="","",$O395),IFERROR(IF([1]财务取数接口!$I$394=0,"",[1]财务取数接口!$I$394),""))</f>
        <v/>
      </c>
      <c r="I395" s="43"/>
      <c r="J395" s="106"/>
      <c r="K395" s="43"/>
      <c r="L395" s="43"/>
      <c r="M395" s="107"/>
      <c r="N395" s="107"/>
      <c r="O395" s="106"/>
      <c r="P395" s="139">
        <f t="shared" si="12"/>
        <v>0</v>
      </c>
      <c r="Q395" s="139">
        <f t="shared" si="13"/>
        <v>5</v>
      </c>
    </row>
    <row r="396" spans="1:17">
      <c r="A396" s="74">
        <v>395</v>
      </c>
      <c r="B396" s="89" t="str">
        <f>IF($T$4=0,IF($I396="","",$I396),IFERROR(IF([1]财务取数接口!$B$395=0,"",[1]财务取数接口!$B$395),""))</f>
        <v/>
      </c>
      <c r="C396" s="75" t="str">
        <f>IF($T$4=0,IF($J396="","",$J396),IFERROR(IF([1]财务取数接口!$C$395=0,"",[1]财务取数接口!$C$395),""))</f>
        <v/>
      </c>
      <c r="D396" s="89" t="str">
        <f>IF($T$4=0,IF($K396="","",$K396),IFERROR(IF([1]财务取数接口!$D$395=0,"",[1]财务取数接口!$D$395),""))</f>
        <v/>
      </c>
      <c r="E396" s="89" t="str">
        <f>IF($T$4=0,IF($L396="","",$L396),IFERROR(IF([1]财务取数接口!$E$395=0,"",[1]财务取数接口!$E$395),""))</f>
        <v/>
      </c>
      <c r="F396" s="76" t="str">
        <f>IF($T$4=0,IF($M396="","",$M396),IFERROR(IF([1]财务取数接口!$G$395=0,"",[1]财务取数接口!$G$395),""))</f>
        <v/>
      </c>
      <c r="G396" s="76" t="str">
        <f>IF($T$4=0,IF($N396="","",$N396),IFERROR(IF([1]财务取数接口!$H$395=0,"",[1]财务取数接口!$H$395),""))</f>
        <v/>
      </c>
      <c r="H396" s="75" t="str">
        <f>IF($T$4=0,IF($O396="","",$O396),IFERROR(IF([1]财务取数接口!$I$395=0,"",[1]财务取数接口!$I$395),""))</f>
        <v/>
      </c>
      <c r="I396" s="43"/>
      <c r="J396" s="106"/>
      <c r="K396" s="43"/>
      <c r="L396" s="43"/>
      <c r="M396" s="107"/>
      <c r="N396" s="107"/>
      <c r="O396" s="106"/>
      <c r="P396" s="139">
        <f t="shared" si="12"/>
        <v>0</v>
      </c>
      <c r="Q396" s="139">
        <f t="shared" si="13"/>
        <v>5</v>
      </c>
    </row>
    <row r="397" spans="1:17">
      <c r="A397" s="74">
        <v>396</v>
      </c>
      <c r="B397" s="89" t="str">
        <f>IF($T$4=0,IF($I397="","",$I397),IFERROR(IF([1]财务取数接口!$B$396=0,"",[1]财务取数接口!$B$396),""))</f>
        <v/>
      </c>
      <c r="C397" s="75" t="str">
        <f>IF($T$4=0,IF($J397="","",$J397),IFERROR(IF([1]财务取数接口!$C$396=0,"",[1]财务取数接口!$C$396),""))</f>
        <v/>
      </c>
      <c r="D397" s="89" t="str">
        <f>IF($T$4=0,IF($K397="","",$K397),IFERROR(IF([1]财务取数接口!$D$396=0,"",[1]财务取数接口!$D$396),""))</f>
        <v/>
      </c>
      <c r="E397" s="89" t="str">
        <f>IF($T$4=0,IF($L397="","",$L397),IFERROR(IF([1]财务取数接口!$E$396=0,"",[1]财务取数接口!$E$396),""))</f>
        <v/>
      </c>
      <c r="F397" s="76" t="str">
        <f>IF($T$4=0,IF($M397="","",$M397),IFERROR(IF([1]财务取数接口!$G$396=0,"",[1]财务取数接口!$G$396),""))</f>
        <v/>
      </c>
      <c r="G397" s="76" t="str">
        <f>IF($T$4=0,IF($N397="","",$N397),IFERROR(IF([1]财务取数接口!$H$396=0,"",[1]财务取数接口!$H$396),""))</f>
        <v/>
      </c>
      <c r="H397" s="75" t="str">
        <f>IF($T$4=0,IF($O397="","",$O397),IFERROR(IF([1]财务取数接口!$I$396=0,"",[1]财务取数接口!$I$396),""))</f>
        <v/>
      </c>
      <c r="I397" s="43"/>
      <c r="J397" s="106"/>
      <c r="K397" s="43"/>
      <c r="L397" s="43"/>
      <c r="M397" s="107"/>
      <c r="N397" s="107"/>
      <c r="O397" s="106"/>
      <c r="P397" s="139">
        <f t="shared" si="12"/>
        <v>0</v>
      </c>
      <c r="Q397" s="139">
        <f t="shared" si="13"/>
        <v>5</v>
      </c>
    </row>
    <row r="398" spans="1:17">
      <c r="A398" s="74">
        <v>397</v>
      </c>
      <c r="B398" s="89" t="str">
        <f>IF($T$4=0,IF($I398="","",$I398),IFERROR(IF([1]财务取数接口!$B$397=0,"",[1]财务取数接口!$B$397),""))</f>
        <v/>
      </c>
      <c r="C398" s="75" t="str">
        <f>IF($T$4=0,IF($J398="","",$J398),IFERROR(IF([1]财务取数接口!$C$397=0,"",[1]财务取数接口!$C$397),""))</f>
        <v/>
      </c>
      <c r="D398" s="89" t="str">
        <f>IF($T$4=0,IF($K398="","",$K398),IFERROR(IF([1]财务取数接口!$D$397=0,"",[1]财务取数接口!$D$397),""))</f>
        <v/>
      </c>
      <c r="E398" s="89" t="str">
        <f>IF($T$4=0,IF($L398="","",$L398),IFERROR(IF([1]财务取数接口!$E$397=0,"",[1]财务取数接口!$E$397),""))</f>
        <v/>
      </c>
      <c r="F398" s="76" t="str">
        <f>IF($T$4=0,IF($M398="","",$M398),IFERROR(IF([1]财务取数接口!$G$397=0,"",[1]财务取数接口!$G$397),""))</f>
        <v/>
      </c>
      <c r="G398" s="76" t="str">
        <f>IF($T$4=0,IF($N398="","",$N398),IFERROR(IF([1]财务取数接口!$H$397=0,"",[1]财务取数接口!$H$397),""))</f>
        <v/>
      </c>
      <c r="H398" s="75" t="str">
        <f>IF($T$4=0,IF($O398="","",$O398),IFERROR(IF([1]财务取数接口!$I$397=0,"",[1]财务取数接口!$I$397),""))</f>
        <v/>
      </c>
      <c r="I398" s="43"/>
      <c r="J398" s="106"/>
      <c r="K398" s="43"/>
      <c r="L398" s="43"/>
      <c r="M398" s="107"/>
      <c r="N398" s="107"/>
      <c r="O398" s="106"/>
      <c r="P398" s="139">
        <f t="shared" si="12"/>
        <v>0</v>
      </c>
      <c r="Q398" s="139">
        <f t="shared" si="13"/>
        <v>5</v>
      </c>
    </row>
    <row r="399" spans="1:17">
      <c r="A399" s="74">
        <v>398</v>
      </c>
      <c r="B399" s="89" t="str">
        <f>IF($T$4=0,IF($I399="","",$I399),IFERROR(IF([1]财务取数接口!$B$398=0,"",[1]财务取数接口!$B$398),""))</f>
        <v/>
      </c>
      <c r="C399" s="75" t="str">
        <f>IF($T$4=0,IF($J399="","",$J399),IFERROR(IF([1]财务取数接口!$C$398=0,"",[1]财务取数接口!$C$398),""))</f>
        <v/>
      </c>
      <c r="D399" s="89" t="str">
        <f>IF($T$4=0,IF($K399="","",$K399),IFERROR(IF([1]财务取数接口!$D$398=0,"",[1]财务取数接口!$D$398),""))</f>
        <v/>
      </c>
      <c r="E399" s="89" t="str">
        <f>IF($T$4=0,IF($L399="","",$L399),IFERROR(IF([1]财务取数接口!$E$398=0,"",[1]财务取数接口!$E$398),""))</f>
        <v/>
      </c>
      <c r="F399" s="76" t="str">
        <f>IF($T$4=0,IF($M399="","",$M399),IFERROR(IF([1]财务取数接口!$G$398=0,"",[1]财务取数接口!$G$398),""))</f>
        <v/>
      </c>
      <c r="G399" s="76" t="str">
        <f>IF($T$4=0,IF($N399="","",$N399),IFERROR(IF([1]财务取数接口!$H$398=0,"",[1]财务取数接口!$H$398),""))</f>
        <v/>
      </c>
      <c r="H399" s="75" t="str">
        <f>IF($T$4=0,IF($O399="","",$O399),IFERROR(IF([1]财务取数接口!$I$398=0,"",[1]财务取数接口!$I$398),""))</f>
        <v/>
      </c>
      <c r="I399" s="43"/>
      <c r="J399" s="106"/>
      <c r="K399" s="43"/>
      <c r="L399" s="43"/>
      <c r="M399" s="107"/>
      <c r="N399" s="107"/>
      <c r="O399" s="106"/>
      <c r="P399" s="139">
        <f t="shared" si="12"/>
        <v>0</v>
      </c>
      <c r="Q399" s="139">
        <f t="shared" si="13"/>
        <v>5</v>
      </c>
    </row>
    <row r="400" spans="1:17">
      <c r="A400" s="74">
        <v>399</v>
      </c>
      <c r="B400" s="89" t="str">
        <f>IF($T$4=0,IF($I400="","",$I400),IFERROR(IF([1]财务取数接口!$B$399=0,"",[1]财务取数接口!$B$399),""))</f>
        <v/>
      </c>
      <c r="C400" s="75" t="str">
        <f>IF($T$4=0,IF($J400="","",$J400),IFERROR(IF([1]财务取数接口!$C$399=0,"",[1]财务取数接口!$C$399),""))</f>
        <v/>
      </c>
      <c r="D400" s="89" t="str">
        <f>IF($T$4=0,IF($K400="","",$K400),IFERROR(IF([1]财务取数接口!$D$399=0,"",[1]财务取数接口!$D$399),""))</f>
        <v/>
      </c>
      <c r="E400" s="89" t="str">
        <f>IF($T$4=0,IF($L400="","",$L400),IFERROR(IF([1]财务取数接口!$E$399=0,"",[1]财务取数接口!$E$399),""))</f>
        <v/>
      </c>
      <c r="F400" s="76" t="str">
        <f>IF($T$4=0,IF($M400="","",$M400),IFERROR(IF([1]财务取数接口!$G$399=0,"",[1]财务取数接口!$G$399),""))</f>
        <v/>
      </c>
      <c r="G400" s="76" t="str">
        <f>IF($T$4=0,IF($N400="","",$N400),IFERROR(IF([1]财务取数接口!$H$399=0,"",[1]财务取数接口!$H$399),""))</f>
        <v/>
      </c>
      <c r="H400" s="75" t="str">
        <f>IF($T$4=0,IF($O400="","",$O400),IFERROR(IF([1]财务取数接口!$I$399=0,"",[1]财务取数接口!$I$399),""))</f>
        <v/>
      </c>
      <c r="I400" s="43"/>
      <c r="J400" s="106"/>
      <c r="K400" s="43"/>
      <c r="L400" s="43"/>
      <c r="M400" s="107"/>
      <c r="N400" s="107"/>
      <c r="O400" s="106"/>
      <c r="P400" s="139">
        <f t="shared" si="12"/>
        <v>0</v>
      </c>
      <c r="Q400" s="139">
        <f t="shared" si="13"/>
        <v>5</v>
      </c>
    </row>
    <row r="401" spans="1:17">
      <c r="A401" s="74">
        <v>400</v>
      </c>
      <c r="B401" s="89" t="str">
        <f>IF($T$4=0,IF($I401="","",$I401),IFERROR(IF([1]财务取数接口!$B$400=0,"",[1]财务取数接口!$B$400),""))</f>
        <v/>
      </c>
      <c r="C401" s="75" t="str">
        <f>IF($T$4=0,IF($J401="","",$J401),IFERROR(IF([1]财务取数接口!$C$400=0,"",[1]财务取数接口!$C$400),""))</f>
        <v/>
      </c>
      <c r="D401" s="89" t="str">
        <f>IF($T$4=0,IF($K401="","",$K401),IFERROR(IF([1]财务取数接口!$D$400=0,"",[1]财务取数接口!$D$400),""))</f>
        <v/>
      </c>
      <c r="E401" s="89" t="str">
        <f>IF($T$4=0,IF($L401="","",$L401),IFERROR(IF([1]财务取数接口!$E$400=0,"",[1]财务取数接口!$E$400),""))</f>
        <v/>
      </c>
      <c r="F401" s="76" t="str">
        <f>IF($T$4=0,IF($M401="","",$M401),IFERROR(IF([1]财务取数接口!$G$400=0,"",[1]财务取数接口!$G$400),""))</f>
        <v/>
      </c>
      <c r="G401" s="76" t="str">
        <f>IF($T$4=0,IF($N401="","",$N401),IFERROR(IF([1]财务取数接口!$H$400=0,"",[1]财务取数接口!$H$400),""))</f>
        <v/>
      </c>
      <c r="H401" s="75" t="str">
        <f>IF($T$4=0,IF($O401="","",$O401),IFERROR(IF([1]财务取数接口!$I$400=0,"",[1]财务取数接口!$I$400),""))</f>
        <v/>
      </c>
      <c r="I401" s="43"/>
      <c r="J401" s="106"/>
      <c r="K401" s="43"/>
      <c r="L401" s="43"/>
      <c r="M401" s="107"/>
      <c r="N401" s="107"/>
      <c r="O401" s="106"/>
      <c r="P401" s="139">
        <f t="shared" si="12"/>
        <v>0</v>
      </c>
      <c r="Q401" s="139">
        <f t="shared" si="13"/>
        <v>5</v>
      </c>
    </row>
    <row r="402" spans="1:17">
      <c r="A402" s="74">
        <v>401</v>
      </c>
      <c r="B402" s="89" t="str">
        <f>IF($T$4=0,IF($I402="","",$I402),IFERROR(IF([1]财务取数接口!$B$401=0,"",[1]财务取数接口!$B$401),""))</f>
        <v/>
      </c>
      <c r="C402" s="75" t="str">
        <f>IF($T$4=0,IF($J402="","",$J402),IFERROR(IF([1]财务取数接口!$C$401=0,"",[1]财务取数接口!$C$401),""))</f>
        <v/>
      </c>
      <c r="D402" s="89" t="str">
        <f>IF($T$4=0,IF($K402="","",$K402),IFERROR(IF([1]财务取数接口!$D$401=0,"",[1]财务取数接口!$D$401),""))</f>
        <v/>
      </c>
      <c r="E402" s="89" t="str">
        <f>IF($T$4=0,IF($L402="","",$L402),IFERROR(IF([1]财务取数接口!$E$401=0,"",[1]财务取数接口!$E$401),""))</f>
        <v/>
      </c>
      <c r="F402" s="76" t="str">
        <f>IF($T$4=0,IF($M402="","",$M402),IFERROR(IF([1]财务取数接口!$G$401=0,"",[1]财务取数接口!$G$401),""))</f>
        <v/>
      </c>
      <c r="G402" s="76" t="str">
        <f>IF($T$4=0,IF($N402="","",$N402),IFERROR(IF([1]财务取数接口!$H$401=0,"",[1]财务取数接口!$H$401),""))</f>
        <v/>
      </c>
      <c r="H402" s="75" t="str">
        <f>IF($T$4=0,IF($O402="","",$O402),IFERROR(IF([1]财务取数接口!$I$401=0,"",[1]财务取数接口!$I$401),""))</f>
        <v/>
      </c>
      <c r="I402" s="43"/>
      <c r="J402" s="106"/>
      <c r="K402" s="43"/>
      <c r="L402" s="43"/>
      <c r="M402" s="107"/>
      <c r="N402" s="107"/>
      <c r="O402" s="106"/>
      <c r="P402" s="139">
        <f t="shared" si="12"/>
        <v>0</v>
      </c>
      <c r="Q402" s="139">
        <f t="shared" si="13"/>
        <v>5</v>
      </c>
    </row>
    <row r="403" spans="1:17">
      <c r="A403" s="74">
        <v>402</v>
      </c>
      <c r="B403" s="89" t="str">
        <f>IF($T$4=0,IF($I403="","",$I403),IFERROR(IF([1]财务取数接口!$B$402=0,"",[1]财务取数接口!$B$402),""))</f>
        <v/>
      </c>
      <c r="C403" s="75" t="str">
        <f>IF($T$4=0,IF($J403="","",$J403),IFERROR(IF([1]财务取数接口!$C$402=0,"",[1]财务取数接口!$C$402),""))</f>
        <v/>
      </c>
      <c r="D403" s="89" t="str">
        <f>IF($T$4=0,IF($K403="","",$K403),IFERROR(IF([1]财务取数接口!$D$402=0,"",[1]财务取数接口!$D$402),""))</f>
        <v/>
      </c>
      <c r="E403" s="89" t="str">
        <f>IF($T$4=0,IF($L403="","",$L403),IFERROR(IF([1]财务取数接口!$E$402=0,"",[1]财务取数接口!$E$402),""))</f>
        <v/>
      </c>
      <c r="F403" s="76" t="str">
        <f>IF($T$4=0,IF($M403="","",$M403),IFERROR(IF([1]财务取数接口!$G$402=0,"",[1]财务取数接口!$G$402),""))</f>
        <v/>
      </c>
      <c r="G403" s="76" t="str">
        <f>IF($T$4=0,IF($N403="","",$N403),IFERROR(IF([1]财务取数接口!$H$402=0,"",[1]财务取数接口!$H$402),""))</f>
        <v/>
      </c>
      <c r="H403" s="75" t="str">
        <f>IF($T$4=0,IF($O403="","",$O403),IFERROR(IF([1]财务取数接口!$I$402=0,"",[1]财务取数接口!$I$402),""))</f>
        <v/>
      </c>
      <c r="I403" s="43"/>
      <c r="J403" s="106"/>
      <c r="K403" s="43"/>
      <c r="L403" s="43"/>
      <c r="M403" s="107"/>
      <c r="N403" s="107"/>
      <c r="O403" s="106"/>
      <c r="P403" s="139">
        <f t="shared" si="12"/>
        <v>0</v>
      </c>
      <c r="Q403" s="139">
        <f t="shared" si="13"/>
        <v>5</v>
      </c>
    </row>
    <row r="404" spans="1:17">
      <c r="A404" s="74">
        <v>403</v>
      </c>
      <c r="B404" s="89" t="str">
        <f>IF($T$4=0,IF($I404="","",$I404),IFERROR(IF([1]财务取数接口!$B$403=0,"",[1]财务取数接口!$B$403),""))</f>
        <v/>
      </c>
      <c r="C404" s="75" t="str">
        <f>IF($T$4=0,IF($J404="","",$J404),IFERROR(IF([1]财务取数接口!$C$403=0,"",[1]财务取数接口!$C$403),""))</f>
        <v/>
      </c>
      <c r="D404" s="89" t="str">
        <f>IF($T$4=0,IF($K404="","",$K404),IFERROR(IF([1]财务取数接口!$D$403=0,"",[1]财务取数接口!$D$403),""))</f>
        <v/>
      </c>
      <c r="E404" s="89" t="str">
        <f>IF($T$4=0,IF($L404="","",$L404),IFERROR(IF([1]财务取数接口!$E$403=0,"",[1]财务取数接口!$E$403),""))</f>
        <v/>
      </c>
      <c r="F404" s="76" t="str">
        <f>IF($T$4=0,IF($M404="","",$M404),IFERROR(IF([1]财务取数接口!$G$403=0,"",[1]财务取数接口!$G$403),""))</f>
        <v/>
      </c>
      <c r="G404" s="76" t="str">
        <f>IF($T$4=0,IF($N404="","",$N404),IFERROR(IF([1]财务取数接口!$H$403=0,"",[1]财务取数接口!$H$403),""))</f>
        <v/>
      </c>
      <c r="H404" s="75" t="str">
        <f>IF($T$4=0,IF($O404="","",$O404),IFERROR(IF([1]财务取数接口!$I$403=0,"",[1]财务取数接口!$I$403),""))</f>
        <v/>
      </c>
      <c r="I404" s="43"/>
      <c r="J404" s="106"/>
      <c r="K404" s="43"/>
      <c r="L404" s="43"/>
      <c r="M404" s="107"/>
      <c r="N404" s="107"/>
      <c r="O404" s="106"/>
      <c r="P404" s="139">
        <f t="shared" si="12"/>
        <v>0</v>
      </c>
      <c r="Q404" s="139">
        <f t="shared" si="13"/>
        <v>5</v>
      </c>
    </row>
    <row r="405" spans="1:17">
      <c r="A405" s="74">
        <v>404</v>
      </c>
      <c r="B405" s="89" t="str">
        <f>IF($T$4=0,IF($I405="","",$I405),IFERROR(IF([1]财务取数接口!$B$404=0,"",[1]财务取数接口!$B$404),""))</f>
        <v/>
      </c>
      <c r="C405" s="75" t="str">
        <f>IF($T$4=0,IF($J405="","",$J405),IFERROR(IF([1]财务取数接口!$C$404=0,"",[1]财务取数接口!$C$404),""))</f>
        <v/>
      </c>
      <c r="D405" s="89" t="str">
        <f>IF($T$4=0,IF($K405="","",$K405),IFERROR(IF([1]财务取数接口!$D$404=0,"",[1]财务取数接口!$D$404),""))</f>
        <v/>
      </c>
      <c r="E405" s="89" t="str">
        <f>IF($T$4=0,IF($L405="","",$L405),IFERROR(IF([1]财务取数接口!$E$404=0,"",[1]财务取数接口!$E$404),""))</f>
        <v/>
      </c>
      <c r="F405" s="76" t="str">
        <f>IF($T$4=0,IF($M405="","",$M405),IFERROR(IF([1]财务取数接口!$G$404=0,"",[1]财务取数接口!$G$404),""))</f>
        <v/>
      </c>
      <c r="G405" s="76" t="str">
        <f>IF($T$4=0,IF($N405="","",$N405),IFERROR(IF([1]财务取数接口!$H$404=0,"",[1]财务取数接口!$H$404),""))</f>
        <v/>
      </c>
      <c r="H405" s="75" t="str">
        <f>IF($T$4=0,IF($O405="","",$O405),IFERROR(IF([1]财务取数接口!$I$404=0,"",[1]财务取数接口!$I$404),""))</f>
        <v/>
      </c>
      <c r="I405" s="43"/>
      <c r="J405" s="106"/>
      <c r="K405" s="43"/>
      <c r="L405" s="43"/>
      <c r="M405" s="107"/>
      <c r="N405" s="107"/>
      <c r="O405" s="106"/>
      <c r="P405" s="139">
        <f t="shared" si="12"/>
        <v>0</v>
      </c>
      <c r="Q405" s="139">
        <f t="shared" si="13"/>
        <v>5</v>
      </c>
    </row>
    <row r="406" spans="1:17">
      <c r="A406" s="74">
        <v>405</v>
      </c>
      <c r="B406" s="89" t="str">
        <f>IF($T$4=0,IF($I406="","",$I406),IFERROR(IF([1]财务取数接口!$B$405=0,"",[1]财务取数接口!$B$405),""))</f>
        <v/>
      </c>
      <c r="C406" s="75" t="str">
        <f>IF($T$4=0,IF($J406="","",$J406),IFERROR(IF([1]财务取数接口!$C$405=0,"",[1]财务取数接口!$C$405),""))</f>
        <v/>
      </c>
      <c r="D406" s="89" t="str">
        <f>IF($T$4=0,IF($K406="","",$K406),IFERROR(IF([1]财务取数接口!$D$405=0,"",[1]财务取数接口!$D$405),""))</f>
        <v/>
      </c>
      <c r="E406" s="89" t="str">
        <f>IF($T$4=0,IF($L406="","",$L406),IFERROR(IF([1]财务取数接口!$E$405=0,"",[1]财务取数接口!$E$405),""))</f>
        <v/>
      </c>
      <c r="F406" s="76" t="str">
        <f>IF($T$4=0,IF($M406="","",$M406),IFERROR(IF([1]财务取数接口!$G$405=0,"",[1]财务取数接口!$G$405),""))</f>
        <v/>
      </c>
      <c r="G406" s="76" t="str">
        <f>IF($T$4=0,IF($N406="","",$N406),IFERROR(IF([1]财务取数接口!$H$405=0,"",[1]财务取数接口!$H$405),""))</f>
        <v/>
      </c>
      <c r="H406" s="75" t="str">
        <f>IF($T$4=0,IF($O406="","",$O406),IFERROR(IF([1]财务取数接口!$I$405=0,"",[1]财务取数接口!$I$405),""))</f>
        <v/>
      </c>
      <c r="I406" s="43"/>
      <c r="J406" s="106"/>
      <c r="K406" s="43"/>
      <c r="L406" s="43"/>
      <c r="M406" s="107"/>
      <c r="N406" s="107"/>
      <c r="O406" s="106"/>
      <c r="P406" s="139">
        <f t="shared" si="12"/>
        <v>0</v>
      </c>
      <c r="Q406" s="139">
        <f t="shared" si="13"/>
        <v>5</v>
      </c>
    </row>
    <row r="407" spans="1:17">
      <c r="A407" s="74">
        <v>406</v>
      </c>
      <c r="B407" s="89" t="str">
        <f>IF($T$4=0,IF($I407="","",$I407),IFERROR(IF([1]财务取数接口!$B$406=0,"",[1]财务取数接口!$B$406),""))</f>
        <v/>
      </c>
      <c r="C407" s="75" t="str">
        <f>IF($T$4=0,IF($J407="","",$J407),IFERROR(IF([1]财务取数接口!$C$406=0,"",[1]财务取数接口!$C$406),""))</f>
        <v/>
      </c>
      <c r="D407" s="89" t="str">
        <f>IF($T$4=0,IF($K407="","",$K407),IFERROR(IF([1]财务取数接口!$D$406=0,"",[1]财务取数接口!$D$406),""))</f>
        <v/>
      </c>
      <c r="E407" s="89" t="str">
        <f>IF($T$4=0,IF($L407="","",$L407),IFERROR(IF([1]财务取数接口!$E$406=0,"",[1]财务取数接口!$E$406),""))</f>
        <v/>
      </c>
      <c r="F407" s="76" t="str">
        <f>IF($T$4=0,IF($M407="","",$M407),IFERROR(IF([1]财务取数接口!$G$406=0,"",[1]财务取数接口!$G$406),""))</f>
        <v/>
      </c>
      <c r="G407" s="76" t="str">
        <f>IF($T$4=0,IF($N407="","",$N407),IFERROR(IF([1]财务取数接口!$H$406=0,"",[1]财务取数接口!$H$406),""))</f>
        <v/>
      </c>
      <c r="H407" s="75" t="str">
        <f>IF($T$4=0,IF($O407="","",$O407),IFERROR(IF([1]财务取数接口!$I$406=0,"",[1]财务取数接口!$I$406),""))</f>
        <v/>
      </c>
      <c r="I407" s="43"/>
      <c r="J407" s="106"/>
      <c r="K407" s="43"/>
      <c r="L407" s="43"/>
      <c r="M407" s="107"/>
      <c r="N407" s="107"/>
      <c r="O407" s="106"/>
      <c r="P407" s="139">
        <f t="shared" si="12"/>
        <v>0</v>
      </c>
      <c r="Q407" s="139">
        <f t="shared" si="13"/>
        <v>5</v>
      </c>
    </row>
    <row r="408" spans="1:17">
      <c r="A408" s="74">
        <v>407</v>
      </c>
      <c r="B408" s="89" t="str">
        <f>IF($T$4=0,IF($I408="","",$I408),IFERROR(IF([1]财务取数接口!$B$407=0,"",[1]财务取数接口!$B$407),""))</f>
        <v/>
      </c>
      <c r="C408" s="75" t="str">
        <f>IF($T$4=0,IF($J408="","",$J408),IFERROR(IF([1]财务取数接口!$C$407=0,"",[1]财务取数接口!$C$407),""))</f>
        <v/>
      </c>
      <c r="D408" s="89" t="str">
        <f>IF($T$4=0,IF($K408="","",$K408),IFERROR(IF([1]财务取数接口!$D$407=0,"",[1]财务取数接口!$D$407),""))</f>
        <v/>
      </c>
      <c r="E408" s="89" t="str">
        <f>IF($T$4=0,IF($L408="","",$L408),IFERROR(IF([1]财务取数接口!$E$407=0,"",[1]财务取数接口!$E$407),""))</f>
        <v/>
      </c>
      <c r="F408" s="76" t="str">
        <f>IF($T$4=0,IF($M408="","",$M408),IFERROR(IF([1]财务取数接口!$G$407=0,"",[1]财务取数接口!$G$407),""))</f>
        <v/>
      </c>
      <c r="G408" s="76" t="str">
        <f>IF($T$4=0,IF($N408="","",$N408),IFERROR(IF([1]财务取数接口!$H$407=0,"",[1]财务取数接口!$H$407),""))</f>
        <v/>
      </c>
      <c r="H408" s="75" t="str">
        <f>IF($T$4=0,IF($O408="","",$O408),IFERROR(IF([1]财务取数接口!$I$407=0,"",[1]财务取数接口!$I$407),""))</f>
        <v/>
      </c>
      <c r="I408" s="43"/>
      <c r="J408" s="106"/>
      <c r="K408" s="43"/>
      <c r="L408" s="43"/>
      <c r="M408" s="107"/>
      <c r="N408" s="107"/>
      <c r="O408" s="106"/>
      <c r="P408" s="139">
        <f t="shared" si="12"/>
        <v>0</v>
      </c>
      <c r="Q408" s="139">
        <f t="shared" si="13"/>
        <v>5</v>
      </c>
    </row>
    <row r="409" spans="1:17">
      <c r="A409" s="74">
        <v>408</v>
      </c>
      <c r="B409" s="89" t="str">
        <f>IF($T$4=0,IF($I409="","",$I409),IFERROR(IF([1]财务取数接口!$B$408=0,"",[1]财务取数接口!$B$408),""))</f>
        <v/>
      </c>
      <c r="C409" s="75" t="str">
        <f>IF($T$4=0,IF($J409="","",$J409),IFERROR(IF([1]财务取数接口!$C$408=0,"",[1]财务取数接口!$C$408),""))</f>
        <v/>
      </c>
      <c r="D409" s="89" t="str">
        <f>IF($T$4=0,IF($K409="","",$K409),IFERROR(IF([1]财务取数接口!$D$408=0,"",[1]财务取数接口!$D$408),""))</f>
        <v/>
      </c>
      <c r="E409" s="89" t="str">
        <f>IF($T$4=0,IF($L409="","",$L409),IFERROR(IF([1]财务取数接口!$E$408=0,"",[1]财务取数接口!$E$408),""))</f>
        <v/>
      </c>
      <c r="F409" s="76" t="str">
        <f>IF($T$4=0,IF($M409="","",$M409),IFERROR(IF([1]财务取数接口!$G$408=0,"",[1]财务取数接口!$G$408),""))</f>
        <v/>
      </c>
      <c r="G409" s="76" t="str">
        <f>IF($T$4=0,IF($N409="","",$N409),IFERROR(IF([1]财务取数接口!$H$408=0,"",[1]财务取数接口!$H$408),""))</f>
        <v/>
      </c>
      <c r="H409" s="75" t="str">
        <f>IF($T$4=0,IF($O409="","",$O409),IFERROR(IF([1]财务取数接口!$I$408=0,"",[1]财务取数接口!$I$408),""))</f>
        <v/>
      </c>
      <c r="I409" s="43"/>
      <c r="J409" s="106"/>
      <c r="K409" s="43"/>
      <c r="L409" s="43"/>
      <c r="M409" s="107"/>
      <c r="N409" s="107"/>
      <c r="O409" s="106"/>
      <c r="P409" s="139">
        <f t="shared" si="12"/>
        <v>0</v>
      </c>
      <c r="Q409" s="139">
        <f t="shared" si="13"/>
        <v>5</v>
      </c>
    </row>
    <row r="410" spans="1:17">
      <c r="A410" s="74">
        <v>409</v>
      </c>
      <c r="B410" s="89" t="str">
        <f>IF($T$4=0,IF($I410="","",$I410),IFERROR(IF([1]财务取数接口!$B$409=0,"",[1]财务取数接口!$B$409),""))</f>
        <v/>
      </c>
      <c r="C410" s="75" t="str">
        <f>IF($T$4=0,IF($J410="","",$J410),IFERROR(IF([1]财务取数接口!$C$409=0,"",[1]财务取数接口!$C$409),""))</f>
        <v/>
      </c>
      <c r="D410" s="89" t="str">
        <f>IF($T$4=0,IF($K410="","",$K410),IFERROR(IF([1]财务取数接口!$D$409=0,"",[1]财务取数接口!$D$409),""))</f>
        <v/>
      </c>
      <c r="E410" s="89" t="str">
        <f>IF($T$4=0,IF($L410="","",$L410),IFERROR(IF([1]财务取数接口!$E$409=0,"",[1]财务取数接口!$E$409),""))</f>
        <v/>
      </c>
      <c r="F410" s="76" t="str">
        <f>IF($T$4=0,IF($M410="","",$M410),IFERROR(IF([1]财务取数接口!$G$409=0,"",[1]财务取数接口!$G$409),""))</f>
        <v/>
      </c>
      <c r="G410" s="76" t="str">
        <f>IF($T$4=0,IF($N410="","",$N410),IFERROR(IF([1]财务取数接口!$H$409=0,"",[1]财务取数接口!$H$409),""))</f>
        <v/>
      </c>
      <c r="H410" s="75" t="str">
        <f>IF($T$4=0,IF($O410="","",$O410),IFERROR(IF([1]财务取数接口!$I$409=0,"",[1]财务取数接口!$I$409),""))</f>
        <v/>
      </c>
      <c r="I410" s="43"/>
      <c r="J410" s="106"/>
      <c r="K410" s="43"/>
      <c r="L410" s="43"/>
      <c r="M410" s="107"/>
      <c r="N410" s="107"/>
      <c r="O410" s="106"/>
      <c r="P410" s="139">
        <f t="shared" si="12"/>
        <v>0</v>
      </c>
      <c r="Q410" s="139">
        <f t="shared" si="13"/>
        <v>5</v>
      </c>
    </row>
    <row r="411" spans="1:17">
      <c r="A411" s="74">
        <v>410</v>
      </c>
      <c r="B411" s="89" t="str">
        <f>IF($T$4=0,IF($I411="","",$I411),IFERROR(IF([1]财务取数接口!$B$410=0,"",[1]财务取数接口!$B$410),""))</f>
        <v/>
      </c>
      <c r="C411" s="75" t="str">
        <f>IF($T$4=0,IF($J411="","",$J411),IFERROR(IF([1]财务取数接口!$C$410=0,"",[1]财务取数接口!$C$410),""))</f>
        <v/>
      </c>
      <c r="D411" s="89" t="str">
        <f>IF($T$4=0,IF($K411="","",$K411),IFERROR(IF([1]财务取数接口!$D$410=0,"",[1]财务取数接口!$D$410),""))</f>
        <v/>
      </c>
      <c r="E411" s="89" t="str">
        <f>IF($T$4=0,IF($L411="","",$L411),IFERROR(IF([1]财务取数接口!$E$410=0,"",[1]财务取数接口!$E$410),""))</f>
        <v/>
      </c>
      <c r="F411" s="76" t="str">
        <f>IF($T$4=0,IF($M411="","",$M411),IFERROR(IF([1]财务取数接口!$G$410=0,"",[1]财务取数接口!$G$410),""))</f>
        <v/>
      </c>
      <c r="G411" s="76" t="str">
        <f>IF($T$4=0,IF($N411="","",$N411),IFERROR(IF([1]财务取数接口!$H$410=0,"",[1]财务取数接口!$H$410),""))</f>
        <v/>
      </c>
      <c r="H411" s="75" t="str">
        <f>IF($T$4=0,IF($O411="","",$O411),IFERROR(IF([1]财务取数接口!$I$410=0,"",[1]财务取数接口!$I$410),""))</f>
        <v/>
      </c>
      <c r="I411" s="43"/>
      <c r="J411" s="106"/>
      <c r="K411" s="43"/>
      <c r="L411" s="43"/>
      <c r="M411" s="107"/>
      <c r="N411" s="107"/>
      <c r="O411" s="106"/>
      <c r="P411" s="139">
        <f t="shared" si="12"/>
        <v>0</v>
      </c>
      <c r="Q411" s="139">
        <f t="shared" si="13"/>
        <v>5</v>
      </c>
    </row>
    <row r="412" spans="1:17">
      <c r="A412" s="74">
        <v>411</v>
      </c>
      <c r="B412" s="89" t="str">
        <f>IF($T$4=0,IF($I412="","",$I412),IFERROR(IF([1]财务取数接口!$B$411=0,"",[1]财务取数接口!$B$411),""))</f>
        <v/>
      </c>
      <c r="C412" s="75" t="str">
        <f>IF($T$4=0,IF($J412="","",$J412),IFERROR(IF([1]财务取数接口!$C$411=0,"",[1]财务取数接口!$C$411),""))</f>
        <v/>
      </c>
      <c r="D412" s="89" t="str">
        <f>IF($T$4=0,IF($K412="","",$K412),IFERROR(IF([1]财务取数接口!$D$411=0,"",[1]财务取数接口!$D$411),""))</f>
        <v/>
      </c>
      <c r="E412" s="89" t="str">
        <f>IF($T$4=0,IF($L412="","",$L412),IFERROR(IF([1]财务取数接口!$E$411=0,"",[1]财务取数接口!$E$411),""))</f>
        <v/>
      </c>
      <c r="F412" s="76" t="str">
        <f>IF($T$4=0,IF($M412="","",$M412),IFERROR(IF([1]财务取数接口!$G$411=0,"",[1]财务取数接口!$G$411),""))</f>
        <v/>
      </c>
      <c r="G412" s="76" t="str">
        <f>IF($T$4=0,IF($N412="","",$N412),IFERROR(IF([1]财务取数接口!$H$411=0,"",[1]财务取数接口!$H$411),""))</f>
        <v/>
      </c>
      <c r="H412" s="75" t="str">
        <f>IF($T$4=0,IF($O412="","",$O412),IFERROR(IF([1]财务取数接口!$I$411=0,"",[1]财务取数接口!$I$411),""))</f>
        <v/>
      </c>
      <c r="I412" s="43"/>
      <c r="J412" s="106"/>
      <c r="K412" s="43"/>
      <c r="L412" s="43"/>
      <c r="M412" s="107"/>
      <c r="N412" s="107"/>
      <c r="O412" s="106"/>
      <c r="P412" s="139">
        <f t="shared" si="12"/>
        <v>0</v>
      </c>
      <c r="Q412" s="139">
        <f t="shared" si="13"/>
        <v>5</v>
      </c>
    </row>
    <row r="413" spans="1:17">
      <c r="A413" s="74">
        <v>412</v>
      </c>
      <c r="B413" s="89" t="str">
        <f>IF($T$4=0,IF($I413="","",$I413),IFERROR(IF([1]财务取数接口!$B$412=0,"",[1]财务取数接口!$B$412),""))</f>
        <v/>
      </c>
      <c r="C413" s="75" t="str">
        <f>IF($T$4=0,IF($J413="","",$J413),IFERROR(IF([1]财务取数接口!$C$412=0,"",[1]财务取数接口!$C$412),""))</f>
        <v/>
      </c>
      <c r="D413" s="89" t="str">
        <f>IF($T$4=0,IF($K413="","",$K413),IFERROR(IF([1]财务取数接口!$D$412=0,"",[1]财务取数接口!$D$412),""))</f>
        <v/>
      </c>
      <c r="E413" s="89" t="str">
        <f>IF($T$4=0,IF($L413="","",$L413),IFERROR(IF([1]财务取数接口!$E$412=0,"",[1]财务取数接口!$E$412),""))</f>
        <v/>
      </c>
      <c r="F413" s="76" t="str">
        <f>IF($T$4=0,IF($M413="","",$M413),IFERROR(IF([1]财务取数接口!$G$412=0,"",[1]财务取数接口!$G$412),""))</f>
        <v/>
      </c>
      <c r="G413" s="76" t="str">
        <f>IF($T$4=0,IF($N413="","",$N413),IFERROR(IF([1]财务取数接口!$H$412=0,"",[1]财务取数接口!$H$412),""))</f>
        <v/>
      </c>
      <c r="H413" s="75" t="str">
        <f>IF($T$4=0,IF($O413="","",$O413),IFERROR(IF([1]财务取数接口!$I$412=0,"",[1]财务取数接口!$I$412),""))</f>
        <v/>
      </c>
      <c r="I413" s="43"/>
      <c r="J413" s="106"/>
      <c r="K413" s="43"/>
      <c r="L413" s="43"/>
      <c r="M413" s="107"/>
      <c r="N413" s="107"/>
      <c r="O413" s="106"/>
      <c r="P413" s="139">
        <f t="shared" si="12"/>
        <v>0</v>
      </c>
      <c r="Q413" s="139">
        <f t="shared" si="13"/>
        <v>5</v>
      </c>
    </row>
    <row r="414" spans="1:17">
      <c r="A414" s="74">
        <v>413</v>
      </c>
      <c r="B414" s="89" t="str">
        <f>IF($T$4=0,IF($I414="","",$I414),IFERROR(IF([1]财务取数接口!$B$413=0,"",[1]财务取数接口!$B$413),""))</f>
        <v/>
      </c>
      <c r="C414" s="75" t="str">
        <f>IF($T$4=0,IF($J414="","",$J414),IFERROR(IF([1]财务取数接口!$C$413=0,"",[1]财务取数接口!$C$413),""))</f>
        <v/>
      </c>
      <c r="D414" s="89" t="str">
        <f>IF($T$4=0,IF($K414="","",$K414),IFERROR(IF([1]财务取数接口!$D$413=0,"",[1]财务取数接口!$D$413),""))</f>
        <v/>
      </c>
      <c r="E414" s="89" t="str">
        <f>IF($T$4=0,IF($L414="","",$L414),IFERROR(IF([1]财务取数接口!$E$413=0,"",[1]财务取数接口!$E$413),""))</f>
        <v/>
      </c>
      <c r="F414" s="76" t="str">
        <f>IF($T$4=0,IF($M414="","",$M414),IFERROR(IF([1]财务取数接口!$G$413=0,"",[1]财务取数接口!$G$413),""))</f>
        <v/>
      </c>
      <c r="G414" s="76" t="str">
        <f>IF($T$4=0,IF($N414="","",$N414),IFERROR(IF([1]财务取数接口!$H$413=0,"",[1]财务取数接口!$H$413),""))</f>
        <v/>
      </c>
      <c r="H414" s="75" t="str">
        <f>IF($T$4=0,IF($O414="","",$O414),IFERROR(IF([1]财务取数接口!$I$413=0,"",[1]财务取数接口!$I$413),""))</f>
        <v/>
      </c>
      <c r="I414" s="43"/>
      <c r="J414" s="106"/>
      <c r="K414" s="43"/>
      <c r="L414" s="43"/>
      <c r="M414" s="107"/>
      <c r="N414" s="107"/>
      <c r="O414" s="106"/>
      <c r="P414" s="139">
        <f t="shared" si="12"/>
        <v>0</v>
      </c>
      <c r="Q414" s="139">
        <f t="shared" si="13"/>
        <v>5</v>
      </c>
    </row>
    <row r="415" spans="1:17">
      <c r="A415" s="74">
        <v>414</v>
      </c>
      <c r="B415" s="89" t="str">
        <f>IF($T$4=0,IF($I415="","",$I415),IFERROR(IF([1]财务取数接口!$B$414=0,"",[1]财务取数接口!$B$414),""))</f>
        <v/>
      </c>
      <c r="C415" s="75" t="str">
        <f>IF($T$4=0,IF($J415="","",$J415),IFERROR(IF([1]财务取数接口!$C$414=0,"",[1]财务取数接口!$C$414),""))</f>
        <v/>
      </c>
      <c r="D415" s="89" t="str">
        <f>IF($T$4=0,IF($K415="","",$K415),IFERROR(IF([1]财务取数接口!$D$414=0,"",[1]财务取数接口!$D$414),""))</f>
        <v/>
      </c>
      <c r="E415" s="89" t="str">
        <f>IF($T$4=0,IF($L415="","",$L415),IFERROR(IF([1]财务取数接口!$E$414=0,"",[1]财务取数接口!$E$414),""))</f>
        <v/>
      </c>
      <c r="F415" s="76" t="str">
        <f>IF($T$4=0,IF($M415="","",$M415),IFERROR(IF([1]财务取数接口!$G$414=0,"",[1]财务取数接口!$G$414),""))</f>
        <v/>
      </c>
      <c r="G415" s="76" t="str">
        <f>IF($T$4=0,IF($N415="","",$N415),IFERROR(IF([1]财务取数接口!$H$414=0,"",[1]财务取数接口!$H$414),""))</f>
        <v/>
      </c>
      <c r="H415" s="75" t="str">
        <f>IF($T$4=0,IF($O415="","",$O415),IFERROR(IF([1]财务取数接口!$I$414=0,"",[1]财务取数接口!$I$414),""))</f>
        <v/>
      </c>
      <c r="I415" s="43"/>
      <c r="J415" s="106"/>
      <c r="K415" s="43"/>
      <c r="L415" s="43"/>
      <c r="M415" s="107"/>
      <c r="N415" s="107"/>
      <c r="O415" s="106"/>
      <c r="P415" s="139">
        <f t="shared" si="12"/>
        <v>0</v>
      </c>
      <c r="Q415" s="139">
        <f t="shared" si="13"/>
        <v>5</v>
      </c>
    </row>
    <row r="416" spans="1:17">
      <c r="A416" s="74">
        <v>415</v>
      </c>
      <c r="B416" s="89" t="str">
        <f>IF($T$4=0,IF($I416="","",$I416),IFERROR(IF([1]财务取数接口!$B$415=0,"",[1]财务取数接口!$B$415),""))</f>
        <v/>
      </c>
      <c r="C416" s="75" t="str">
        <f>IF($T$4=0,IF($J416="","",$J416),IFERROR(IF([1]财务取数接口!$C$415=0,"",[1]财务取数接口!$C$415),""))</f>
        <v/>
      </c>
      <c r="D416" s="89" t="str">
        <f>IF($T$4=0,IF($K416="","",$K416),IFERROR(IF([1]财务取数接口!$D$415=0,"",[1]财务取数接口!$D$415),""))</f>
        <v/>
      </c>
      <c r="E416" s="89" t="str">
        <f>IF($T$4=0,IF($L416="","",$L416),IFERROR(IF([1]财务取数接口!$E$415=0,"",[1]财务取数接口!$E$415),""))</f>
        <v/>
      </c>
      <c r="F416" s="76" t="str">
        <f>IF($T$4=0,IF($M416="","",$M416),IFERROR(IF([1]财务取数接口!$G$415=0,"",[1]财务取数接口!$G$415),""))</f>
        <v/>
      </c>
      <c r="G416" s="76" t="str">
        <f>IF($T$4=0,IF($N416="","",$N416),IFERROR(IF([1]财务取数接口!$H$415=0,"",[1]财务取数接口!$H$415),""))</f>
        <v/>
      </c>
      <c r="H416" s="75" t="str">
        <f>IF($T$4=0,IF($O416="","",$O416),IFERROR(IF([1]财务取数接口!$I$415=0,"",[1]财务取数接口!$I$415),""))</f>
        <v/>
      </c>
      <c r="I416" s="43"/>
      <c r="J416" s="106"/>
      <c r="K416" s="43"/>
      <c r="L416" s="43"/>
      <c r="M416" s="107"/>
      <c r="N416" s="107"/>
      <c r="O416" s="106"/>
      <c r="P416" s="139">
        <f t="shared" si="12"/>
        <v>0</v>
      </c>
      <c r="Q416" s="139">
        <f t="shared" si="13"/>
        <v>5</v>
      </c>
    </row>
    <row r="417" spans="1:17">
      <c r="A417" s="74">
        <v>416</v>
      </c>
      <c r="B417" s="89" t="str">
        <f>IF($T$4=0,IF($I417="","",$I417),IFERROR(IF([1]财务取数接口!$B$416=0,"",[1]财务取数接口!$B$416),""))</f>
        <v/>
      </c>
      <c r="C417" s="75" t="str">
        <f>IF($T$4=0,IF($J417="","",$J417),IFERROR(IF([1]财务取数接口!$C$416=0,"",[1]财务取数接口!$C$416),""))</f>
        <v/>
      </c>
      <c r="D417" s="89" t="str">
        <f>IF($T$4=0,IF($K417="","",$K417),IFERROR(IF([1]财务取数接口!$D$416=0,"",[1]财务取数接口!$D$416),""))</f>
        <v/>
      </c>
      <c r="E417" s="89" t="str">
        <f>IF($T$4=0,IF($L417="","",$L417),IFERROR(IF([1]财务取数接口!$E$416=0,"",[1]财务取数接口!$E$416),""))</f>
        <v/>
      </c>
      <c r="F417" s="76" t="str">
        <f>IF($T$4=0,IF($M417="","",$M417),IFERROR(IF([1]财务取数接口!$G$416=0,"",[1]财务取数接口!$G$416),""))</f>
        <v/>
      </c>
      <c r="G417" s="76" t="str">
        <f>IF($T$4=0,IF($N417="","",$N417),IFERROR(IF([1]财务取数接口!$H$416=0,"",[1]财务取数接口!$H$416),""))</f>
        <v/>
      </c>
      <c r="H417" s="75" t="str">
        <f>IF($T$4=0,IF($O417="","",$O417),IFERROR(IF([1]财务取数接口!$I$416=0,"",[1]财务取数接口!$I$416),""))</f>
        <v/>
      </c>
      <c r="I417" s="43"/>
      <c r="J417" s="106"/>
      <c r="K417" s="43"/>
      <c r="L417" s="43"/>
      <c r="M417" s="107"/>
      <c r="N417" s="107"/>
      <c r="O417" s="106"/>
      <c r="P417" s="139">
        <f t="shared" si="12"/>
        <v>0</v>
      </c>
      <c r="Q417" s="139">
        <f t="shared" si="13"/>
        <v>5</v>
      </c>
    </row>
    <row r="418" spans="1:17">
      <c r="A418" s="74">
        <v>417</v>
      </c>
      <c r="B418" s="89" t="str">
        <f>IF($T$4=0,IF($I418="","",$I418),IFERROR(IF([1]财务取数接口!$B$417=0,"",[1]财务取数接口!$B$417),""))</f>
        <v/>
      </c>
      <c r="C418" s="75" t="str">
        <f>IF($T$4=0,IF($J418="","",$J418),IFERROR(IF([1]财务取数接口!$C$417=0,"",[1]财务取数接口!$C$417),""))</f>
        <v/>
      </c>
      <c r="D418" s="89" t="str">
        <f>IF($T$4=0,IF($K418="","",$K418),IFERROR(IF([1]财务取数接口!$D$417=0,"",[1]财务取数接口!$D$417),""))</f>
        <v/>
      </c>
      <c r="E418" s="89" t="str">
        <f>IF($T$4=0,IF($L418="","",$L418),IFERROR(IF([1]财务取数接口!$E$417=0,"",[1]财务取数接口!$E$417),""))</f>
        <v/>
      </c>
      <c r="F418" s="76" t="str">
        <f>IF($T$4=0,IF($M418="","",$M418),IFERROR(IF([1]财务取数接口!$G$417=0,"",[1]财务取数接口!$G$417),""))</f>
        <v/>
      </c>
      <c r="G418" s="76" t="str">
        <f>IF($T$4=0,IF($N418="","",$N418),IFERROR(IF([1]财务取数接口!$H$417=0,"",[1]财务取数接口!$H$417),""))</f>
        <v/>
      </c>
      <c r="H418" s="75" t="str">
        <f>IF($T$4=0,IF($O418="","",$O418),IFERROR(IF([1]财务取数接口!$I$417=0,"",[1]财务取数接口!$I$417),""))</f>
        <v/>
      </c>
      <c r="I418" s="43"/>
      <c r="J418" s="106"/>
      <c r="K418" s="43"/>
      <c r="L418" s="43"/>
      <c r="M418" s="107"/>
      <c r="N418" s="107"/>
      <c r="O418" s="106"/>
      <c r="P418" s="139">
        <f t="shared" si="12"/>
        <v>0</v>
      </c>
      <c r="Q418" s="139">
        <f t="shared" si="13"/>
        <v>5</v>
      </c>
    </row>
    <row r="419" spans="1:17">
      <c r="A419" s="74">
        <v>418</v>
      </c>
      <c r="B419" s="89" t="str">
        <f>IF($T$4=0,IF($I419="","",$I419),IFERROR(IF([1]财务取数接口!$B$418=0,"",[1]财务取数接口!$B$418),""))</f>
        <v/>
      </c>
      <c r="C419" s="75" t="str">
        <f>IF($T$4=0,IF($J419="","",$J419),IFERROR(IF([1]财务取数接口!$C$418=0,"",[1]财务取数接口!$C$418),""))</f>
        <v/>
      </c>
      <c r="D419" s="89" t="str">
        <f>IF($T$4=0,IF($K419="","",$K419),IFERROR(IF([1]财务取数接口!$D$418=0,"",[1]财务取数接口!$D$418),""))</f>
        <v/>
      </c>
      <c r="E419" s="89" t="str">
        <f>IF($T$4=0,IF($L419="","",$L419),IFERROR(IF([1]财务取数接口!$E$418=0,"",[1]财务取数接口!$E$418),""))</f>
        <v/>
      </c>
      <c r="F419" s="76" t="str">
        <f>IF($T$4=0,IF($M419="","",$M419),IFERROR(IF([1]财务取数接口!$G$418=0,"",[1]财务取数接口!$G$418),""))</f>
        <v/>
      </c>
      <c r="G419" s="76" t="str">
        <f>IF($T$4=0,IF($N419="","",$N419),IFERROR(IF([1]财务取数接口!$H$418=0,"",[1]财务取数接口!$H$418),""))</f>
        <v/>
      </c>
      <c r="H419" s="75" t="str">
        <f>IF($T$4=0,IF($O419="","",$O419),IFERROR(IF([1]财务取数接口!$I$418=0,"",[1]财务取数接口!$I$418),""))</f>
        <v/>
      </c>
      <c r="I419" s="43"/>
      <c r="J419" s="106"/>
      <c r="K419" s="43"/>
      <c r="L419" s="43"/>
      <c r="M419" s="107"/>
      <c r="N419" s="107"/>
      <c r="O419" s="106"/>
      <c r="P419" s="139">
        <f t="shared" si="12"/>
        <v>0</v>
      </c>
      <c r="Q419" s="139">
        <f t="shared" si="13"/>
        <v>5</v>
      </c>
    </row>
    <row r="420" spans="1:17">
      <c r="A420" s="74">
        <v>419</v>
      </c>
      <c r="B420" s="89" t="str">
        <f>IF($T$4=0,IF($I420="","",$I420),IFERROR(IF([1]财务取数接口!$B$419=0,"",[1]财务取数接口!$B$419),""))</f>
        <v/>
      </c>
      <c r="C420" s="75" t="str">
        <f>IF($T$4=0,IF($J420="","",$J420),IFERROR(IF([1]财务取数接口!$C$419=0,"",[1]财务取数接口!$C$419),""))</f>
        <v/>
      </c>
      <c r="D420" s="89" t="str">
        <f>IF($T$4=0,IF($K420="","",$K420),IFERROR(IF([1]财务取数接口!$D$419=0,"",[1]财务取数接口!$D$419),""))</f>
        <v/>
      </c>
      <c r="E420" s="89" t="str">
        <f>IF($T$4=0,IF($L420="","",$L420),IFERROR(IF([1]财务取数接口!$E$419=0,"",[1]财务取数接口!$E$419),""))</f>
        <v/>
      </c>
      <c r="F420" s="76" t="str">
        <f>IF($T$4=0,IF($M420="","",$M420),IFERROR(IF([1]财务取数接口!$G$419=0,"",[1]财务取数接口!$G$419),""))</f>
        <v/>
      </c>
      <c r="G420" s="76" t="str">
        <f>IF($T$4=0,IF($N420="","",$N420),IFERROR(IF([1]财务取数接口!$H$419=0,"",[1]财务取数接口!$H$419),""))</f>
        <v/>
      </c>
      <c r="H420" s="75" t="str">
        <f>IF($T$4=0,IF($O420="","",$O420),IFERROR(IF([1]财务取数接口!$I$419=0,"",[1]财务取数接口!$I$419),""))</f>
        <v/>
      </c>
      <c r="I420" s="43"/>
      <c r="J420" s="106"/>
      <c r="K420" s="43"/>
      <c r="L420" s="43"/>
      <c r="M420" s="107"/>
      <c r="N420" s="107"/>
      <c r="O420" s="106"/>
      <c r="P420" s="139">
        <f t="shared" si="12"/>
        <v>0</v>
      </c>
      <c r="Q420" s="139">
        <f t="shared" si="13"/>
        <v>5</v>
      </c>
    </row>
    <row r="421" spans="1:17">
      <c r="A421" s="74">
        <v>420</v>
      </c>
      <c r="B421" s="89" t="str">
        <f>IF($T$4=0,IF($I421="","",$I421),IFERROR(IF([1]财务取数接口!$B$420=0,"",[1]财务取数接口!$B$420),""))</f>
        <v/>
      </c>
      <c r="C421" s="75" t="str">
        <f>IF($T$4=0,IF($J421="","",$J421),IFERROR(IF([1]财务取数接口!$C$420=0,"",[1]财务取数接口!$C$420),""))</f>
        <v/>
      </c>
      <c r="D421" s="89" t="str">
        <f>IF($T$4=0,IF($K421="","",$K421),IFERROR(IF([1]财务取数接口!$D$420=0,"",[1]财务取数接口!$D$420),""))</f>
        <v/>
      </c>
      <c r="E421" s="89" t="str">
        <f>IF($T$4=0,IF($L421="","",$L421),IFERROR(IF([1]财务取数接口!$E$420=0,"",[1]财务取数接口!$E$420),""))</f>
        <v/>
      </c>
      <c r="F421" s="76" t="str">
        <f>IF($T$4=0,IF($M421="","",$M421),IFERROR(IF([1]财务取数接口!$G$420=0,"",[1]财务取数接口!$G$420),""))</f>
        <v/>
      </c>
      <c r="G421" s="76" t="str">
        <f>IF($T$4=0,IF($N421="","",$N421),IFERROR(IF([1]财务取数接口!$H$420=0,"",[1]财务取数接口!$H$420),""))</f>
        <v/>
      </c>
      <c r="H421" s="75" t="str">
        <f>IF($T$4=0,IF($O421="","",$O421),IFERROR(IF([1]财务取数接口!$I$420=0,"",[1]财务取数接口!$I$420),""))</f>
        <v/>
      </c>
      <c r="I421" s="43"/>
      <c r="J421" s="106"/>
      <c r="K421" s="43"/>
      <c r="L421" s="43"/>
      <c r="M421" s="107"/>
      <c r="N421" s="107"/>
      <c r="O421" s="106"/>
      <c r="P421" s="139">
        <f t="shared" si="12"/>
        <v>0</v>
      </c>
      <c r="Q421" s="139">
        <f t="shared" si="13"/>
        <v>5</v>
      </c>
    </row>
    <row r="422" spans="1:17">
      <c r="A422" s="74">
        <v>421</v>
      </c>
      <c r="B422" s="89" t="str">
        <f>IF($T$4=0,IF($I422="","",$I422),IFERROR(IF([1]财务取数接口!$B$421=0,"",[1]财务取数接口!$B$421),""))</f>
        <v/>
      </c>
      <c r="C422" s="75" t="str">
        <f>IF($T$4=0,IF($J422="","",$J422),IFERROR(IF([1]财务取数接口!$C$421=0,"",[1]财务取数接口!$C$421),""))</f>
        <v/>
      </c>
      <c r="D422" s="89" t="str">
        <f>IF($T$4=0,IF($K422="","",$K422),IFERROR(IF([1]财务取数接口!$D$421=0,"",[1]财务取数接口!$D$421),""))</f>
        <v/>
      </c>
      <c r="E422" s="89" t="str">
        <f>IF($T$4=0,IF($L422="","",$L422),IFERROR(IF([1]财务取数接口!$E$421=0,"",[1]财务取数接口!$E$421),""))</f>
        <v/>
      </c>
      <c r="F422" s="76" t="str">
        <f>IF($T$4=0,IF($M422="","",$M422),IFERROR(IF([1]财务取数接口!$G$421=0,"",[1]财务取数接口!$G$421),""))</f>
        <v/>
      </c>
      <c r="G422" s="76" t="str">
        <f>IF($T$4=0,IF($N422="","",$N422),IFERROR(IF([1]财务取数接口!$H$421=0,"",[1]财务取数接口!$H$421),""))</f>
        <v/>
      </c>
      <c r="H422" s="75" t="str">
        <f>IF($T$4=0,IF($O422="","",$O422),IFERROR(IF([1]财务取数接口!$I$421=0,"",[1]财务取数接口!$I$421),""))</f>
        <v/>
      </c>
      <c r="I422" s="43"/>
      <c r="J422" s="106"/>
      <c r="K422" s="43"/>
      <c r="L422" s="43"/>
      <c r="M422" s="107"/>
      <c r="N422" s="107"/>
      <c r="O422" s="106"/>
      <c r="P422" s="139">
        <f t="shared" si="12"/>
        <v>0</v>
      </c>
      <c r="Q422" s="139">
        <f t="shared" si="13"/>
        <v>5</v>
      </c>
    </row>
    <row r="423" spans="1:17">
      <c r="A423" s="74">
        <v>422</v>
      </c>
      <c r="B423" s="89" t="str">
        <f>IF($T$4=0,IF($I423="","",$I423),IFERROR(IF([1]财务取数接口!$B$422=0,"",[1]财务取数接口!$B$422),""))</f>
        <v/>
      </c>
      <c r="C423" s="75" t="str">
        <f>IF($T$4=0,IF($J423="","",$J423),IFERROR(IF([1]财务取数接口!$C$422=0,"",[1]财务取数接口!$C$422),""))</f>
        <v/>
      </c>
      <c r="D423" s="89" t="str">
        <f>IF($T$4=0,IF($K423="","",$K423),IFERROR(IF([1]财务取数接口!$D$422=0,"",[1]财务取数接口!$D$422),""))</f>
        <v/>
      </c>
      <c r="E423" s="89" t="str">
        <f>IF($T$4=0,IF($L423="","",$L423),IFERROR(IF([1]财务取数接口!$E$422=0,"",[1]财务取数接口!$E$422),""))</f>
        <v/>
      </c>
      <c r="F423" s="76" t="str">
        <f>IF($T$4=0,IF($M423="","",$M423),IFERROR(IF([1]财务取数接口!$G$422=0,"",[1]财务取数接口!$G$422),""))</f>
        <v/>
      </c>
      <c r="G423" s="76" t="str">
        <f>IF($T$4=0,IF($N423="","",$N423),IFERROR(IF([1]财务取数接口!$H$422=0,"",[1]财务取数接口!$H$422),""))</f>
        <v/>
      </c>
      <c r="H423" s="75" t="str">
        <f>IF($T$4=0,IF($O423="","",$O423),IFERROR(IF([1]财务取数接口!$I$422=0,"",[1]财务取数接口!$I$422),""))</f>
        <v/>
      </c>
      <c r="I423" s="43"/>
      <c r="J423" s="106"/>
      <c r="K423" s="43"/>
      <c r="L423" s="43"/>
      <c r="M423" s="107"/>
      <c r="N423" s="107"/>
      <c r="O423" s="106"/>
      <c r="P423" s="139">
        <f t="shared" si="12"/>
        <v>0</v>
      </c>
      <c r="Q423" s="139">
        <f t="shared" si="13"/>
        <v>5</v>
      </c>
    </row>
    <row r="424" spans="1:17">
      <c r="A424" s="74">
        <v>423</v>
      </c>
      <c r="B424" s="89" t="str">
        <f>IF($T$4=0,IF($I424="","",$I424),IFERROR(IF([1]财务取数接口!$B$423=0,"",[1]财务取数接口!$B$423),""))</f>
        <v/>
      </c>
      <c r="C424" s="75" t="str">
        <f>IF($T$4=0,IF($J424="","",$J424),IFERROR(IF([1]财务取数接口!$C$423=0,"",[1]财务取数接口!$C$423),""))</f>
        <v/>
      </c>
      <c r="D424" s="89" t="str">
        <f>IF($T$4=0,IF($K424="","",$K424),IFERROR(IF([1]财务取数接口!$D$423=0,"",[1]财务取数接口!$D$423),""))</f>
        <v/>
      </c>
      <c r="E424" s="89" t="str">
        <f>IF($T$4=0,IF($L424="","",$L424),IFERROR(IF([1]财务取数接口!$E$423=0,"",[1]财务取数接口!$E$423),""))</f>
        <v/>
      </c>
      <c r="F424" s="76" t="str">
        <f>IF($T$4=0,IF($M424="","",$M424),IFERROR(IF([1]财务取数接口!$G$423=0,"",[1]财务取数接口!$G$423),""))</f>
        <v/>
      </c>
      <c r="G424" s="76" t="str">
        <f>IF($T$4=0,IF($N424="","",$N424),IFERROR(IF([1]财务取数接口!$H$423=0,"",[1]财务取数接口!$H$423),""))</f>
        <v/>
      </c>
      <c r="H424" s="75" t="str">
        <f>IF($T$4=0,IF($O424="","",$O424),IFERROR(IF([1]财务取数接口!$I$423=0,"",[1]财务取数接口!$I$423),""))</f>
        <v/>
      </c>
      <c r="I424" s="43"/>
      <c r="J424" s="106"/>
      <c r="K424" s="43"/>
      <c r="L424" s="43"/>
      <c r="M424" s="107"/>
      <c r="N424" s="107"/>
      <c r="O424" s="106"/>
      <c r="P424" s="139">
        <f t="shared" si="12"/>
        <v>0</v>
      </c>
      <c r="Q424" s="139">
        <f t="shared" si="13"/>
        <v>5</v>
      </c>
    </row>
    <row r="425" spans="1:17">
      <c r="A425" s="74">
        <v>424</v>
      </c>
      <c r="B425" s="89" t="str">
        <f>IF($T$4=0,IF($I425="","",$I425),IFERROR(IF([1]财务取数接口!$B$424=0,"",[1]财务取数接口!$B$424),""))</f>
        <v/>
      </c>
      <c r="C425" s="75" t="str">
        <f>IF($T$4=0,IF($J425="","",$J425),IFERROR(IF([1]财务取数接口!$C$424=0,"",[1]财务取数接口!$C$424),""))</f>
        <v/>
      </c>
      <c r="D425" s="89" t="str">
        <f>IF($T$4=0,IF($K425="","",$K425),IFERROR(IF([1]财务取数接口!$D$424=0,"",[1]财务取数接口!$D$424),""))</f>
        <v/>
      </c>
      <c r="E425" s="89" t="str">
        <f>IF($T$4=0,IF($L425="","",$L425),IFERROR(IF([1]财务取数接口!$E$424=0,"",[1]财务取数接口!$E$424),""))</f>
        <v/>
      </c>
      <c r="F425" s="76" t="str">
        <f>IF($T$4=0,IF($M425="","",$M425),IFERROR(IF([1]财务取数接口!$G$424=0,"",[1]财务取数接口!$G$424),""))</f>
        <v/>
      </c>
      <c r="G425" s="76" t="str">
        <f>IF($T$4=0,IF($N425="","",$N425),IFERROR(IF([1]财务取数接口!$H$424=0,"",[1]财务取数接口!$H$424),""))</f>
        <v/>
      </c>
      <c r="H425" s="75" t="str">
        <f>IF($T$4=0,IF($O425="","",$O425),IFERROR(IF([1]财务取数接口!$I$424=0,"",[1]财务取数接口!$I$424),""))</f>
        <v/>
      </c>
      <c r="I425" s="43"/>
      <c r="J425" s="106"/>
      <c r="K425" s="43"/>
      <c r="L425" s="43"/>
      <c r="M425" s="107"/>
      <c r="N425" s="107"/>
      <c r="O425" s="106"/>
      <c r="P425" s="139">
        <f t="shared" si="12"/>
        <v>0</v>
      </c>
      <c r="Q425" s="139">
        <f t="shared" si="13"/>
        <v>5</v>
      </c>
    </row>
    <row r="426" spans="1:17">
      <c r="A426" s="74">
        <v>425</v>
      </c>
      <c r="B426" s="89" t="str">
        <f>IF($T$4=0,IF($I426="","",$I426),IFERROR(IF([1]财务取数接口!$B$425=0,"",[1]财务取数接口!$B$425),""))</f>
        <v/>
      </c>
      <c r="C426" s="75" t="str">
        <f>IF($T$4=0,IF($J426="","",$J426),IFERROR(IF([1]财务取数接口!$C$425=0,"",[1]财务取数接口!$C$425),""))</f>
        <v/>
      </c>
      <c r="D426" s="89" t="str">
        <f>IF($T$4=0,IF($K426="","",$K426),IFERROR(IF([1]财务取数接口!$D$425=0,"",[1]财务取数接口!$D$425),""))</f>
        <v/>
      </c>
      <c r="E426" s="89" t="str">
        <f>IF($T$4=0,IF($L426="","",$L426),IFERROR(IF([1]财务取数接口!$E$425=0,"",[1]财务取数接口!$E$425),""))</f>
        <v/>
      </c>
      <c r="F426" s="76" t="str">
        <f>IF($T$4=0,IF($M426="","",$M426),IFERROR(IF([1]财务取数接口!$G$425=0,"",[1]财务取数接口!$G$425),""))</f>
        <v/>
      </c>
      <c r="G426" s="76" t="str">
        <f>IF($T$4=0,IF($N426="","",$N426),IFERROR(IF([1]财务取数接口!$H$425=0,"",[1]财务取数接口!$H$425),""))</f>
        <v/>
      </c>
      <c r="H426" s="75" t="str">
        <f>IF($T$4=0,IF($O426="","",$O426),IFERROR(IF([1]财务取数接口!$I$425=0,"",[1]财务取数接口!$I$425),""))</f>
        <v/>
      </c>
      <c r="I426" s="43"/>
      <c r="J426" s="106"/>
      <c r="K426" s="43"/>
      <c r="L426" s="43"/>
      <c r="M426" s="107"/>
      <c r="N426" s="107"/>
      <c r="O426" s="106"/>
      <c r="P426" s="139">
        <f t="shared" si="12"/>
        <v>0</v>
      </c>
      <c r="Q426" s="139">
        <f t="shared" si="13"/>
        <v>5</v>
      </c>
    </row>
    <row r="427" spans="1:17">
      <c r="A427" s="74">
        <v>426</v>
      </c>
      <c r="B427" s="89" t="str">
        <f>IF($T$4=0,IF($I427="","",$I427),IFERROR(IF([1]财务取数接口!$B$426=0,"",[1]财务取数接口!$B$426),""))</f>
        <v/>
      </c>
      <c r="C427" s="75" t="str">
        <f>IF($T$4=0,IF($J427="","",$J427),IFERROR(IF([1]财务取数接口!$C$426=0,"",[1]财务取数接口!$C$426),""))</f>
        <v/>
      </c>
      <c r="D427" s="89" t="str">
        <f>IF($T$4=0,IF($K427="","",$K427),IFERROR(IF([1]财务取数接口!$D$426=0,"",[1]财务取数接口!$D$426),""))</f>
        <v/>
      </c>
      <c r="E427" s="89" t="str">
        <f>IF($T$4=0,IF($L427="","",$L427),IFERROR(IF([1]财务取数接口!$E$426=0,"",[1]财务取数接口!$E$426),""))</f>
        <v/>
      </c>
      <c r="F427" s="76" t="str">
        <f>IF($T$4=0,IF($M427="","",$M427),IFERROR(IF([1]财务取数接口!$G$426=0,"",[1]财务取数接口!$G$426),""))</f>
        <v/>
      </c>
      <c r="G427" s="76" t="str">
        <f>IF($T$4=0,IF($N427="","",$N427),IFERROR(IF([1]财务取数接口!$H$426=0,"",[1]财务取数接口!$H$426),""))</f>
        <v/>
      </c>
      <c r="H427" s="75" t="str">
        <f>IF($T$4=0,IF($O427="","",$O427),IFERROR(IF([1]财务取数接口!$I$426=0,"",[1]财务取数接口!$I$426),""))</f>
        <v/>
      </c>
      <c r="I427" s="43"/>
      <c r="J427" s="106"/>
      <c r="K427" s="43"/>
      <c r="L427" s="43"/>
      <c r="M427" s="107"/>
      <c r="N427" s="107"/>
      <c r="O427" s="106"/>
      <c r="P427" s="139">
        <f t="shared" si="12"/>
        <v>0</v>
      </c>
      <c r="Q427" s="139">
        <f t="shared" si="13"/>
        <v>5</v>
      </c>
    </row>
    <row r="428" spans="1:17">
      <c r="A428" s="74">
        <v>427</v>
      </c>
      <c r="B428" s="89" t="str">
        <f>IF($T$4=0,IF($I428="","",$I428),IFERROR(IF([1]财务取数接口!$B$427=0,"",[1]财务取数接口!$B$427),""))</f>
        <v/>
      </c>
      <c r="C428" s="75" t="str">
        <f>IF($T$4=0,IF($J428="","",$J428),IFERROR(IF([1]财务取数接口!$C$427=0,"",[1]财务取数接口!$C$427),""))</f>
        <v/>
      </c>
      <c r="D428" s="89" t="str">
        <f>IF($T$4=0,IF($K428="","",$K428),IFERROR(IF([1]财务取数接口!$D$427=0,"",[1]财务取数接口!$D$427),""))</f>
        <v/>
      </c>
      <c r="E428" s="89" t="str">
        <f>IF($T$4=0,IF($L428="","",$L428),IFERROR(IF([1]财务取数接口!$E$427=0,"",[1]财务取数接口!$E$427),""))</f>
        <v/>
      </c>
      <c r="F428" s="76" t="str">
        <f>IF($T$4=0,IF($M428="","",$M428),IFERROR(IF([1]财务取数接口!$G$427=0,"",[1]财务取数接口!$G$427),""))</f>
        <v/>
      </c>
      <c r="G428" s="76" t="str">
        <f>IF($T$4=0,IF($N428="","",$N428),IFERROR(IF([1]财务取数接口!$H$427=0,"",[1]财务取数接口!$H$427),""))</f>
        <v/>
      </c>
      <c r="H428" s="75" t="str">
        <f>IF($T$4=0,IF($O428="","",$O428),IFERROR(IF([1]财务取数接口!$I$427=0,"",[1]财务取数接口!$I$427),""))</f>
        <v/>
      </c>
      <c r="I428" s="43"/>
      <c r="J428" s="106"/>
      <c r="K428" s="43"/>
      <c r="L428" s="43"/>
      <c r="M428" s="107"/>
      <c r="N428" s="107"/>
      <c r="O428" s="106"/>
      <c r="P428" s="139">
        <f t="shared" si="12"/>
        <v>0</v>
      </c>
      <c r="Q428" s="139">
        <f t="shared" si="13"/>
        <v>5</v>
      </c>
    </row>
    <row r="429" spans="1:17">
      <c r="A429" s="74">
        <v>428</v>
      </c>
      <c r="B429" s="89" t="str">
        <f>IF($T$4=0,IF($I429="","",$I429),IFERROR(IF([1]财务取数接口!$B$428=0,"",[1]财务取数接口!$B$428),""))</f>
        <v/>
      </c>
      <c r="C429" s="75" t="str">
        <f>IF($T$4=0,IF($J429="","",$J429),IFERROR(IF([1]财务取数接口!$C$428=0,"",[1]财务取数接口!$C$428),""))</f>
        <v/>
      </c>
      <c r="D429" s="89" t="str">
        <f>IF($T$4=0,IF($K429="","",$K429),IFERROR(IF([1]财务取数接口!$D$428=0,"",[1]财务取数接口!$D$428),""))</f>
        <v/>
      </c>
      <c r="E429" s="89" t="str">
        <f>IF($T$4=0,IF($L429="","",$L429),IFERROR(IF([1]财务取数接口!$E$428=0,"",[1]财务取数接口!$E$428),""))</f>
        <v/>
      </c>
      <c r="F429" s="76" t="str">
        <f>IF($T$4=0,IF($M429="","",$M429),IFERROR(IF([1]财务取数接口!$G$428=0,"",[1]财务取数接口!$G$428),""))</f>
        <v/>
      </c>
      <c r="G429" s="76" t="str">
        <f>IF($T$4=0,IF($N429="","",$N429),IFERROR(IF([1]财务取数接口!$H$428=0,"",[1]财务取数接口!$H$428),""))</f>
        <v/>
      </c>
      <c r="H429" s="75" t="str">
        <f>IF($T$4=0,IF($O429="","",$O429),IFERROR(IF([1]财务取数接口!$I$428=0,"",[1]财务取数接口!$I$428),""))</f>
        <v/>
      </c>
      <c r="I429" s="43"/>
      <c r="J429" s="106"/>
      <c r="K429" s="43"/>
      <c r="L429" s="43"/>
      <c r="M429" s="107"/>
      <c r="N429" s="107"/>
      <c r="O429" s="106"/>
      <c r="P429" s="139">
        <f t="shared" si="12"/>
        <v>0</v>
      </c>
      <c r="Q429" s="139">
        <f t="shared" si="13"/>
        <v>5</v>
      </c>
    </row>
    <row r="430" spans="1:17">
      <c r="A430" s="74">
        <v>429</v>
      </c>
      <c r="B430" s="89" t="str">
        <f>IF($T$4=0,IF($I430="","",$I430),IFERROR(IF([1]财务取数接口!$B$429=0,"",[1]财务取数接口!$B$429),""))</f>
        <v/>
      </c>
      <c r="C430" s="75" t="str">
        <f>IF($T$4=0,IF($J430="","",$J430),IFERROR(IF([1]财务取数接口!$C$429=0,"",[1]财务取数接口!$C$429),""))</f>
        <v/>
      </c>
      <c r="D430" s="89" t="str">
        <f>IF($T$4=0,IF($K430="","",$K430),IFERROR(IF([1]财务取数接口!$D$429=0,"",[1]财务取数接口!$D$429),""))</f>
        <v/>
      </c>
      <c r="E430" s="89" t="str">
        <f>IF($T$4=0,IF($L430="","",$L430),IFERROR(IF([1]财务取数接口!$E$429=0,"",[1]财务取数接口!$E$429),""))</f>
        <v/>
      </c>
      <c r="F430" s="76" t="str">
        <f>IF($T$4=0,IF($M430="","",$M430),IFERROR(IF([1]财务取数接口!$G$429=0,"",[1]财务取数接口!$G$429),""))</f>
        <v/>
      </c>
      <c r="G430" s="76" t="str">
        <f>IF($T$4=0,IF($N430="","",$N430),IFERROR(IF([1]财务取数接口!$H$429=0,"",[1]财务取数接口!$H$429),""))</f>
        <v/>
      </c>
      <c r="H430" s="75" t="str">
        <f>IF($T$4=0,IF($O430="","",$O430),IFERROR(IF([1]财务取数接口!$I$429=0,"",[1]财务取数接口!$I$429),""))</f>
        <v/>
      </c>
      <c r="I430" s="43"/>
      <c r="J430" s="106"/>
      <c r="K430" s="43"/>
      <c r="L430" s="43"/>
      <c r="M430" s="107"/>
      <c r="N430" s="107"/>
      <c r="O430" s="106"/>
      <c r="P430" s="139">
        <f t="shared" si="12"/>
        <v>0</v>
      </c>
      <c r="Q430" s="139">
        <f t="shared" si="13"/>
        <v>5</v>
      </c>
    </row>
    <row r="431" spans="1:17">
      <c r="A431" s="74">
        <v>430</v>
      </c>
      <c r="B431" s="89" t="str">
        <f>IF($T$4=0,IF($I431="","",$I431),IFERROR(IF([1]财务取数接口!$B$430=0,"",[1]财务取数接口!$B$430),""))</f>
        <v/>
      </c>
      <c r="C431" s="75" t="str">
        <f>IF($T$4=0,IF($J431="","",$J431),IFERROR(IF([1]财务取数接口!$C$430=0,"",[1]财务取数接口!$C$430),""))</f>
        <v/>
      </c>
      <c r="D431" s="89" t="str">
        <f>IF($T$4=0,IF($K431="","",$K431),IFERROR(IF([1]财务取数接口!$D$430=0,"",[1]财务取数接口!$D$430),""))</f>
        <v/>
      </c>
      <c r="E431" s="89" t="str">
        <f>IF($T$4=0,IF($L431="","",$L431),IFERROR(IF([1]财务取数接口!$E$430=0,"",[1]财务取数接口!$E$430),""))</f>
        <v/>
      </c>
      <c r="F431" s="76" t="str">
        <f>IF($T$4=0,IF($M431="","",$M431),IFERROR(IF([1]财务取数接口!$G$430=0,"",[1]财务取数接口!$G$430),""))</f>
        <v/>
      </c>
      <c r="G431" s="76" t="str">
        <f>IF($T$4=0,IF($N431="","",$N431),IFERROR(IF([1]财务取数接口!$H$430=0,"",[1]财务取数接口!$H$430),""))</f>
        <v/>
      </c>
      <c r="H431" s="75" t="str">
        <f>IF($T$4=0,IF($O431="","",$O431),IFERROR(IF([1]财务取数接口!$I$430=0,"",[1]财务取数接口!$I$430),""))</f>
        <v/>
      </c>
      <c r="I431" s="43"/>
      <c r="J431" s="106"/>
      <c r="K431" s="43"/>
      <c r="L431" s="43"/>
      <c r="M431" s="107"/>
      <c r="N431" s="107"/>
      <c r="O431" s="106"/>
      <c r="P431" s="139">
        <f t="shared" si="12"/>
        <v>0</v>
      </c>
      <c r="Q431" s="139">
        <f t="shared" si="13"/>
        <v>5</v>
      </c>
    </row>
    <row r="432" spans="1:17">
      <c r="A432" s="74">
        <v>431</v>
      </c>
      <c r="B432" s="89" t="str">
        <f>IF($T$4=0,IF($I432="","",$I432),IFERROR(IF([1]财务取数接口!$B$431=0,"",[1]财务取数接口!$B$431),""))</f>
        <v/>
      </c>
      <c r="C432" s="75" t="str">
        <f>IF($T$4=0,IF($J432="","",$J432),IFERROR(IF([1]财务取数接口!$C$431=0,"",[1]财务取数接口!$C$431),""))</f>
        <v/>
      </c>
      <c r="D432" s="89" t="str">
        <f>IF($T$4=0,IF($K432="","",$K432),IFERROR(IF([1]财务取数接口!$D$431=0,"",[1]财务取数接口!$D$431),""))</f>
        <v/>
      </c>
      <c r="E432" s="89" t="str">
        <f>IF($T$4=0,IF($L432="","",$L432),IFERROR(IF([1]财务取数接口!$E$431=0,"",[1]财务取数接口!$E$431),""))</f>
        <v/>
      </c>
      <c r="F432" s="76" t="str">
        <f>IF($T$4=0,IF($M432="","",$M432),IFERROR(IF([1]财务取数接口!$G$431=0,"",[1]财务取数接口!$G$431),""))</f>
        <v/>
      </c>
      <c r="G432" s="76" t="str">
        <f>IF($T$4=0,IF($N432="","",$N432),IFERROR(IF([1]财务取数接口!$H$431=0,"",[1]财务取数接口!$H$431),""))</f>
        <v/>
      </c>
      <c r="H432" s="75" t="str">
        <f>IF($T$4=0,IF($O432="","",$O432),IFERROR(IF([1]财务取数接口!$I$431=0,"",[1]财务取数接口!$I$431),""))</f>
        <v/>
      </c>
      <c r="I432" s="43"/>
      <c r="J432" s="106"/>
      <c r="K432" s="43"/>
      <c r="L432" s="43"/>
      <c r="M432" s="107"/>
      <c r="N432" s="107"/>
      <c r="O432" s="106"/>
      <c r="P432" s="139">
        <f t="shared" si="12"/>
        <v>0</v>
      </c>
      <c r="Q432" s="139">
        <f t="shared" si="13"/>
        <v>5</v>
      </c>
    </row>
    <row r="433" spans="1:17">
      <c r="A433" s="74">
        <v>432</v>
      </c>
      <c r="B433" s="89" t="str">
        <f>IF($T$4=0,IF($I433="","",$I433),IFERROR(IF([1]财务取数接口!$B$432=0,"",[1]财务取数接口!$B$432),""))</f>
        <v/>
      </c>
      <c r="C433" s="75" t="str">
        <f>IF($T$4=0,IF($J433="","",$J433),IFERROR(IF([1]财务取数接口!$C$432=0,"",[1]财务取数接口!$C$432),""))</f>
        <v/>
      </c>
      <c r="D433" s="89" t="str">
        <f>IF($T$4=0,IF($K433="","",$K433),IFERROR(IF([1]财务取数接口!$D$432=0,"",[1]财务取数接口!$D$432),""))</f>
        <v/>
      </c>
      <c r="E433" s="89" t="str">
        <f>IF($T$4=0,IF($L433="","",$L433),IFERROR(IF([1]财务取数接口!$E$432=0,"",[1]财务取数接口!$E$432),""))</f>
        <v/>
      </c>
      <c r="F433" s="76" t="str">
        <f>IF($T$4=0,IF($M433="","",$M433),IFERROR(IF([1]财务取数接口!$G$432=0,"",[1]财务取数接口!$G$432),""))</f>
        <v/>
      </c>
      <c r="G433" s="76" t="str">
        <f>IF($T$4=0,IF($N433="","",$N433),IFERROR(IF([1]财务取数接口!$H$432=0,"",[1]财务取数接口!$H$432),""))</f>
        <v/>
      </c>
      <c r="H433" s="75" t="str">
        <f>IF($T$4=0,IF($O433="","",$O433),IFERROR(IF([1]财务取数接口!$I$432=0,"",[1]财务取数接口!$I$432),""))</f>
        <v/>
      </c>
      <c r="I433" s="43"/>
      <c r="J433" s="106"/>
      <c r="K433" s="43"/>
      <c r="L433" s="43"/>
      <c r="M433" s="107"/>
      <c r="N433" s="107"/>
      <c r="O433" s="106"/>
      <c r="P433" s="139">
        <f t="shared" si="12"/>
        <v>0</v>
      </c>
      <c r="Q433" s="139">
        <f t="shared" si="13"/>
        <v>5</v>
      </c>
    </row>
    <row r="434" spans="1:17">
      <c r="A434" s="74">
        <v>433</v>
      </c>
      <c r="B434" s="89" t="str">
        <f>IF($T$4=0,IF($I434="","",$I434),IFERROR(IF([1]财务取数接口!$B$433=0,"",[1]财务取数接口!$B$433),""))</f>
        <v/>
      </c>
      <c r="C434" s="75" t="str">
        <f>IF($T$4=0,IF($J434="","",$J434),IFERROR(IF([1]财务取数接口!$C$433=0,"",[1]财务取数接口!$C$433),""))</f>
        <v/>
      </c>
      <c r="D434" s="89" t="str">
        <f>IF($T$4=0,IF($K434="","",$K434),IFERROR(IF([1]财务取数接口!$D$433=0,"",[1]财务取数接口!$D$433),""))</f>
        <v/>
      </c>
      <c r="E434" s="89" t="str">
        <f>IF($T$4=0,IF($L434="","",$L434),IFERROR(IF([1]财务取数接口!$E$433=0,"",[1]财务取数接口!$E$433),""))</f>
        <v/>
      </c>
      <c r="F434" s="76" t="str">
        <f>IF($T$4=0,IF($M434="","",$M434),IFERROR(IF([1]财务取数接口!$G$433=0,"",[1]财务取数接口!$G$433),""))</f>
        <v/>
      </c>
      <c r="G434" s="76" t="str">
        <f>IF($T$4=0,IF($N434="","",$N434),IFERROR(IF([1]财务取数接口!$H$433=0,"",[1]财务取数接口!$H$433),""))</f>
        <v/>
      </c>
      <c r="H434" s="75" t="str">
        <f>IF($T$4=0,IF($O434="","",$O434),IFERROR(IF([1]财务取数接口!$I$433=0,"",[1]财务取数接口!$I$433),""))</f>
        <v/>
      </c>
      <c r="I434" s="43"/>
      <c r="J434" s="106"/>
      <c r="K434" s="43"/>
      <c r="L434" s="43"/>
      <c r="M434" s="107"/>
      <c r="N434" s="107"/>
      <c r="O434" s="106"/>
      <c r="P434" s="139">
        <f t="shared" si="12"/>
        <v>0</v>
      </c>
      <c r="Q434" s="139">
        <f t="shared" si="13"/>
        <v>5</v>
      </c>
    </row>
    <row r="435" spans="1:17">
      <c r="A435" s="74">
        <v>434</v>
      </c>
      <c r="B435" s="89" t="str">
        <f>IF($T$4=0,IF($I435="","",$I435),IFERROR(IF([1]财务取数接口!$B$434=0,"",[1]财务取数接口!$B$434),""))</f>
        <v/>
      </c>
      <c r="C435" s="75" t="str">
        <f>IF($T$4=0,IF($J435="","",$J435),IFERROR(IF([1]财务取数接口!$C$434=0,"",[1]财务取数接口!$C$434),""))</f>
        <v/>
      </c>
      <c r="D435" s="89" t="str">
        <f>IF($T$4=0,IF($K435="","",$K435),IFERROR(IF([1]财务取数接口!$D$434=0,"",[1]财务取数接口!$D$434),""))</f>
        <v/>
      </c>
      <c r="E435" s="89" t="str">
        <f>IF($T$4=0,IF($L435="","",$L435),IFERROR(IF([1]财务取数接口!$E$434=0,"",[1]财务取数接口!$E$434),""))</f>
        <v/>
      </c>
      <c r="F435" s="76" t="str">
        <f>IF($T$4=0,IF($M435="","",$M435),IFERROR(IF([1]财务取数接口!$G$434=0,"",[1]财务取数接口!$G$434),""))</f>
        <v/>
      </c>
      <c r="G435" s="76" t="str">
        <f>IF($T$4=0,IF($N435="","",$N435),IFERROR(IF([1]财务取数接口!$H$434=0,"",[1]财务取数接口!$H$434),""))</f>
        <v/>
      </c>
      <c r="H435" s="75" t="str">
        <f>IF($T$4=0,IF($O435="","",$O435),IFERROR(IF([1]财务取数接口!$I$434=0,"",[1]财务取数接口!$I$434),""))</f>
        <v/>
      </c>
      <c r="I435" s="43"/>
      <c r="J435" s="106"/>
      <c r="K435" s="43"/>
      <c r="L435" s="43"/>
      <c r="M435" s="107"/>
      <c r="N435" s="107"/>
      <c r="O435" s="106"/>
      <c r="P435" s="139">
        <f t="shared" si="12"/>
        <v>0</v>
      </c>
      <c r="Q435" s="139">
        <f t="shared" si="13"/>
        <v>5</v>
      </c>
    </row>
    <row r="436" spans="1:17">
      <c r="A436" s="74">
        <v>435</v>
      </c>
      <c r="B436" s="89" t="str">
        <f>IF($T$4=0,IF($I436="","",$I436),IFERROR(IF([1]财务取数接口!$B$435=0,"",[1]财务取数接口!$B$435),""))</f>
        <v/>
      </c>
      <c r="C436" s="75" t="str">
        <f>IF($T$4=0,IF($J436="","",$J436),IFERROR(IF([1]财务取数接口!$C$435=0,"",[1]财务取数接口!$C$435),""))</f>
        <v/>
      </c>
      <c r="D436" s="89" t="str">
        <f>IF($T$4=0,IF($K436="","",$K436),IFERROR(IF([1]财务取数接口!$D$435=0,"",[1]财务取数接口!$D$435),""))</f>
        <v/>
      </c>
      <c r="E436" s="89" t="str">
        <f>IF($T$4=0,IF($L436="","",$L436),IFERROR(IF([1]财务取数接口!$E$435=0,"",[1]财务取数接口!$E$435),""))</f>
        <v/>
      </c>
      <c r="F436" s="76" t="str">
        <f>IF($T$4=0,IF($M436="","",$M436),IFERROR(IF([1]财务取数接口!$G$435=0,"",[1]财务取数接口!$G$435),""))</f>
        <v/>
      </c>
      <c r="G436" s="76" t="str">
        <f>IF($T$4=0,IF($N436="","",$N436),IFERROR(IF([1]财务取数接口!$H$435=0,"",[1]财务取数接口!$H$435),""))</f>
        <v/>
      </c>
      <c r="H436" s="75" t="str">
        <f>IF($T$4=0,IF($O436="","",$O436),IFERROR(IF([1]财务取数接口!$I$435=0,"",[1]财务取数接口!$I$435),""))</f>
        <v/>
      </c>
      <c r="I436" s="43"/>
      <c r="J436" s="106"/>
      <c r="K436" s="43"/>
      <c r="L436" s="43"/>
      <c r="M436" s="107"/>
      <c r="N436" s="107"/>
      <c r="O436" s="106"/>
      <c r="P436" s="139">
        <f t="shared" si="12"/>
        <v>0</v>
      </c>
      <c r="Q436" s="139">
        <f t="shared" si="13"/>
        <v>5</v>
      </c>
    </row>
    <row r="437" spans="1:17">
      <c r="A437" s="74">
        <v>436</v>
      </c>
      <c r="B437" s="89" t="str">
        <f>IF($T$4=0,IF($I437="","",$I437),IFERROR(IF([1]财务取数接口!$B$436=0,"",[1]财务取数接口!$B$436),""))</f>
        <v/>
      </c>
      <c r="C437" s="75" t="str">
        <f>IF($T$4=0,IF($J437="","",$J437),IFERROR(IF([1]财务取数接口!$C$436=0,"",[1]财务取数接口!$C$436),""))</f>
        <v/>
      </c>
      <c r="D437" s="89" t="str">
        <f>IF($T$4=0,IF($K437="","",$K437),IFERROR(IF([1]财务取数接口!$D$436=0,"",[1]财务取数接口!$D$436),""))</f>
        <v/>
      </c>
      <c r="E437" s="89" t="str">
        <f>IF($T$4=0,IF($L437="","",$L437),IFERROR(IF([1]财务取数接口!$E$436=0,"",[1]财务取数接口!$E$436),""))</f>
        <v/>
      </c>
      <c r="F437" s="76" t="str">
        <f>IF($T$4=0,IF($M437="","",$M437),IFERROR(IF([1]财务取数接口!$G$436=0,"",[1]财务取数接口!$G$436),""))</f>
        <v/>
      </c>
      <c r="G437" s="76" t="str">
        <f>IF($T$4=0,IF($N437="","",$N437),IFERROR(IF([1]财务取数接口!$H$436=0,"",[1]财务取数接口!$H$436),""))</f>
        <v/>
      </c>
      <c r="H437" s="75" t="str">
        <f>IF($T$4=0,IF($O437="","",$O437),IFERROR(IF([1]财务取数接口!$I$436=0,"",[1]财务取数接口!$I$436),""))</f>
        <v/>
      </c>
      <c r="I437" s="43"/>
      <c r="J437" s="106"/>
      <c r="K437" s="43"/>
      <c r="L437" s="43"/>
      <c r="M437" s="107"/>
      <c r="N437" s="107"/>
      <c r="O437" s="106"/>
      <c r="P437" s="139">
        <f t="shared" si="12"/>
        <v>0</v>
      </c>
      <c r="Q437" s="139">
        <f t="shared" si="13"/>
        <v>5</v>
      </c>
    </row>
    <row r="438" spans="1:17">
      <c r="A438" s="74">
        <v>437</v>
      </c>
      <c r="B438" s="89" t="str">
        <f>IF($T$4=0,IF($I438="","",$I438),IFERROR(IF([1]财务取数接口!$B$437=0,"",[1]财务取数接口!$B$437),""))</f>
        <v/>
      </c>
      <c r="C438" s="75" t="str">
        <f>IF($T$4=0,IF($J438="","",$J438),IFERROR(IF([1]财务取数接口!$C$437=0,"",[1]财务取数接口!$C$437),""))</f>
        <v/>
      </c>
      <c r="D438" s="89" t="str">
        <f>IF($T$4=0,IF($K438="","",$K438),IFERROR(IF([1]财务取数接口!$D$437=0,"",[1]财务取数接口!$D$437),""))</f>
        <v/>
      </c>
      <c r="E438" s="89" t="str">
        <f>IF($T$4=0,IF($L438="","",$L438),IFERROR(IF([1]财务取数接口!$E$437=0,"",[1]财务取数接口!$E$437),""))</f>
        <v/>
      </c>
      <c r="F438" s="76" t="str">
        <f>IF($T$4=0,IF($M438="","",$M438),IFERROR(IF([1]财务取数接口!$G$437=0,"",[1]财务取数接口!$G$437),""))</f>
        <v/>
      </c>
      <c r="G438" s="76" t="str">
        <f>IF($T$4=0,IF($N438="","",$N438),IFERROR(IF([1]财务取数接口!$H$437=0,"",[1]财务取数接口!$H$437),""))</f>
        <v/>
      </c>
      <c r="H438" s="75" t="str">
        <f>IF($T$4=0,IF($O438="","",$O438),IFERROR(IF([1]财务取数接口!$I$437=0,"",[1]财务取数接口!$I$437),""))</f>
        <v/>
      </c>
      <c r="I438" s="43"/>
      <c r="J438" s="106"/>
      <c r="K438" s="43"/>
      <c r="L438" s="43"/>
      <c r="M438" s="107"/>
      <c r="N438" s="107"/>
      <c r="O438" s="106"/>
      <c r="P438" s="139">
        <f t="shared" si="12"/>
        <v>0</v>
      </c>
      <c r="Q438" s="139">
        <f t="shared" si="13"/>
        <v>5</v>
      </c>
    </row>
    <row r="439" spans="1:17">
      <c r="A439" s="74">
        <v>438</v>
      </c>
      <c r="B439" s="89" t="str">
        <f>IF($T$4=0,IF($I439="","",$I439),IFERROR(IF([1]财务取数接口!$B$438=0,"",[1]财务取数接口!$B$438),""))</f>
        <v/>
      </c>
      <c r="C439" s="75" t="str">
        <f>IF($T$4=0,IF($J439="","",$J439),IFERROR(IF([1]财务取数接口!$C$438=0,"",[1]财务取数接口!$C$438),""))</f>
        <v/>
      </c>
      <c r="D439" s="89" t="str">
        <f>IF($T$4=0,IF($K439="","",$K439),IFERROR(IF([1]财务取数接口!$D$438=0,"",[1]财务取数接口!$D$438),""))</f>
        <v/>
      </c>
      <c r="E439" s="89" t="str">
        <f>IF($T$4=0,IF($L439="","",$L439),IFERROR(IF([1]财务取数接口!$E$438=0,"",[1]财务取数接口!$E$438),""))</f>
        <v/>
      </c>
      <c r="F439" s="76" t="str">
        <f>IF($T$4=0,IF($M439="","",$M439),IFERROR(IF([1]财务取数接口!$G$438=0,"",[1]财务取数接口!$G$438),""))</f>
        <v/>
      </c>
      <c r="G439" s="76" t="str">
        <f>IF($T$4=0,IF($N439="","",$N439),IFERROR(IF([1]财务取数接口!$H$438=0,"",[1]财务取数接口!$H$438),""))</f>
        <v/>
      </c>
      <c r="H439" s="75" t="str">
        <f>IF($T$4=0,IF($O439="","",$O439),IFERROR(IF([1]财务取数接口!$I$438=0,"",[1]财务取数接口!$I$438),""))</f>
        <v/>
      </c>
      <c r="I439" s="43"/>
      <c r="J439" s="106"/>
      <c r="K439" s="43"/>
      <c r="L439" s="43"/>
      <c r="M439" s="107"/>
      <c r="N439" s="107"/>
      <c r="O439" s="106"/>
      <c r="P439" s="139">
        <f t="shared" si="12"/>
        <v>0</v>
      </c>
      <c r="Q439" s="139">
        <f t="shared" si="13"/>
        <v>5</v>
      </c>
    </row>
    <row r="440" spans="1:17">
      <c r="A440" s="74">
        <v>439</v>
      </c>
      <c r="B440" s="89" t="str">
        <f>IF($T$4=0,IF($I440="","",$I440),IFERROR(IF([1]财务取数接口!$B$439=0,"",[1]财务取数接口!$B$439),""))</f>
        <v/>
      </c>
      <c r="C440" s="75" t="str">
        <f>IF($T$4=0,IF($J440="","",$J440),IFERROR(IF([1]财务取数接口!$C$439=0,"",[1]财务取数接口!$C$439),""))</f>
        <v/>
      </c>
      <c r="D440" s="89" t="str">
        <f>IF($T$4=0,IF($K440="","",$K440),IFERROR(IF([1]财务取数接口!$D$439=0,"",[1]财务取数接口!$D$439),""))</f>
        <v/>
      </c>
      <c r="E440" s="89" t="str">
        <f>IF($T$4=0,IF($L440="","",$L440),IFERROR(IF([1]财务取数接口!$E$439=0,"",[1]财务取数接口!$E$439),""))</f>
        <v/>
      </c>
      <c r="F440" s="76" t="str">
        <f>IF($T$4=0,IF($M440="","",$M440),IFERROR(IF([1]财务取数接口!$G$439=0,"",[1]财务取数接口!$G$439),""))</f>
        <v/>
      </c>
      <c r="G440" s="76" t="str">
        <f>IF($T$4=0,IF($N440="","",$N440),IFERROR(IF([1]财务取数接口!$H$439=0,"",[1]财务取数接口!$H$439),""))</f>
        <v/>
      </c>
      <c r="H440" s="75" t="str">
        <f>IF($T$4=0,IF($O440="","",$O440),IFERROR(IF([1]财务取数接口!$I$439=0,"",[1]财务取数接口!$I$439),""))</f>
        <v/>
      </c>
      <c r="I440" s="43"/>
      <c r="J440" s="106"/>
      <c r="K440" s="43"/>
      <c r="L440" s="43"/>
      <c r="M440" s="107"/>
      <c r="N440" s="107"/>
      <c r="O440" s="106"/>
      <c r="P440" s="139">
        <f t="shared" si="12"/>
        <v>0</v>
      </c>
      <c r="Q440" s="139">
        <f t="shared" si="13"/>
        <v>5</v>
      </c>
    </row>
    <row r="441" spans="1:17">
      <c r="A441" s="74">
        <v>440</v>
      </c>
      <c r="B441" s="89" t="str">
        <f>IF($T$4=0,IF($I441="","",$I441),IFERROR(IF([1]财务取数接口!$B$440=0,"",[1]财务取数接口!$B$440),""))</f>
        <v/>
      </c>
      <c r="C441" s="75" t="str">
        <f>IF($T$4=0,IF($J441="","",$J441),IFERROR(IF([1]财务取数接口!$C$440=0,"",[1]财务取数接口!$C$440),""))</f>
        <v/>
      </c>
      <c r="D441" s="89" t="str">
        <f>IF($T$4=0,IF($K441="","",$K441),IFERROR(IF([1]财务取数接口!$D$440=0,"",[1]财务取数接口!$D$440),""))</f>
        <v/>
      </c>
      <c r="E441" s="89" t="str">
        <f>IF($T$4=0,IF($L441="","",$L441),IFERROR(IF([1]财务取数接口!$E$440=0,"",[1]财务取数接口!$E$440),""))</f>
        <v/>
      </c>
      <c r="F441" s="76" t="str">
        <f>IF($T$4=0,IF($M441="","",$M441),IFERROR(IF([1]财务取数接口!$G$440=0,"",[1]财务取数接口!$G$440),""))</f>
        <v/>
      </c>
      <c r="G441" s="76" t="str">
        <f>IF($T$4=0,IF($N441="","",$N441),IFERROR(IF([1]财务取数接口!$H$440=0,"",[1]财务取数接口!$H$440),""))</f>
        <v/>
      </c>
      <c r="H441" s="75" t="str">
        <f>IF($T$4=0,IF($O441="","",$O441),IFERROR(IF([1]财务取数接口!$I$440=0,"",[1]财务取数接口!$I$440),""))</f>
        <v/>
      </c>
      <c r="I441" s="43"/>
      <c r="J441" s="106"/>
      <c r="K441" s="43"/>
      <c r="L441" s="43"/>
      <c r="M441" s="107"/>
      <c r="N441" s="107"/>
      <c r="O441" s="106"/>
      <c r="P441" s="139">
        <f t="shared" si="12"/>
        <v>0</v>
      </c>
      <c r="Q441" s="139">
        <f t="shared" si="13"/>
        <v>5</v>
      </c>
    </row>
    <row r="442" spans="1:17">
      <c r="A442" s="74">
        <v>441</v>
      </c>
      <c r="B442" s="89" t="str">
        <f>IF($T$4=0,IF($I442="","",$I442),IFERROR(IF([1]财务取数接口!$B$441=0,"",[1]财务取数接口!$B$441),""))</f>
        <v/>
      </c>
      <c r="C442" s="75" t="str">
        <f>IF($T$4=0,IF($J442="","",$J442),IFERROR(IF([1]财务取数接口!$C$441=0,"",[1]财务取数接口!$C$441),""))</f>
        <v/>
      </c>
      <c r="D442" s="89" t="str">
        <f>IF($T$4=0,IF($K442="","",$K442),IFERROR(IF([1]财务取数接口!$D$441=0,"",[1]财务取数接口!$D$441),""))</f>
        <v/>
      </c>
      <c r="E442" s="89" t="str">
        <f>IF($T$4=0,IF($L442="","",$L442),IFERROR(IF([1]财务取数接口!$E$441=0,"",[1]财务取数接口!$E$441),""))</f>
        <v/>
      </c>
      <c r="F442" s="76" t="str">
        <f>IF($T$4=0,IF($M442="","",$M442),IFERROR(IF([1]财务取数接口!$G$441=0,"",[1]财务取数接口!$G$441),""))</f>
        <v/>
      </c>
      <c r="G442" s="76" t="str">
        <f>IF($T$4=0,IF($N442="","",$N442),IFERROR(IF([1]财务取数接口!$H$441=0,"",[1]财务取数接口!$H$441),""))</f>
        <v/>
      </c>
      <c r="H442" s="75" t="str">
        <f>IF($T$4=0,IF($O442="","",$O442),IFERROR(IF([1]财务取数接口!$I$441=0,"",[1]财务取数接口!$I$441),""))</f>
        <v/>
      </c>
      <c r="I442" s="43"/>
      <c r="J442" s="106"/>
      <c r="K442" s="43"/>
      <c r="L442" s="43"/>
      <c r="M442" s="107"/>
      <c r="N442" s="107"/>
      <c r="O442" s="106"/>
      <c r="P442" s="139">
        <f t="shared" si="12"/>
        <v>0</v>
      </c>
      <c r="Q442" s="139">
        <f t="shared" si="13"/>
        <v>5</v>
      </c>
    </row>
    <row r="443" spans="1:17">
      <c r="A443" s="74">
        <v>442</v>
      </c>
      <c r="B443" s="89" t="str">
        <f>IF($T$4=0,IF($I443="","",$I443),IFERROR(IF([1]财务取数接口!$B$442=0,"",[1]财务取数接口!$B$442),""))</f>
        <v/>
      </c>
      <c r="C443" s="75" t="str">
        <f>IF($T$4=0,IF($J443="","",$J443),IFERROR(IF([1]财务取数接口!$C$442=0,"",[1]财务取数接口!$C$442),""))</f>
        <v/>
      </c>
      <c r="D443" s="89" t="str">
        <f>IF($T$4=0,IF($K443="","",$K443),IFERROR(IF([1]财务取数接口!$D$442=0,"",[1]财务取数接口!$D$442),""))</f>
        <v/>
      </c>
      <c r="E443" s="89" t="str">
        <f>IF($T$4=0,IF($L443="","",$L443),IFERROR(IF([1]财务取数接口!$E$442=0,"",[1]财务取数接口!$E$442),""))</f>
        <v/>
      </c>
      <c r="F443" s="76" t="str">
        <f>IF($T$4=0,IF($M443="","",$M443),IFERROR(IF([1]财务取数接口!$G$442=0,"",[1]财务取数接口!$G$442),""))</f>
        <v/>
      </c>
      <c r="G443" s="76" t="str">
        <f>IF($T$4=0,IF($N443="","",$N443),IFERROR(IF([1]财务取数接口!$H$442=0,"",[1]财务取数接口!$H$442),""))</f>
        <v/>
      </c>
      <c r="H443" s="75" t="str">
        <f>IF($T$4=0,IF($O443="","",$O443),IFERROR(IF([1]财务取数接口!$I$442=0,"",[1]财务取数接口!$I$442),""))</f>
        <v/>
      </c>
      <c r="I443" s="43"/>
      <c r="J443" s="106"/>
      <c r="K443" s="43"/>
      <c r="L443" s="43"/>
      <c r="M443" s="107"/>
      <c r="N443" s="107"/>
      <c r="O443" s="106"/>
      <c r="P443" s="139">
        <f t="shared" si="12"/>
        <v>0</v>
      </c>
      <c r="Q443" s="139">
        <f t="shared" si="13"/>
        <v>5</v>
      </c>
    </row>
    <row r="444" spans="1:17">
      <c r="A444" s="74">
        <v>443</v>
      </c>
      <c r="B444" s="89" t="str">
        <f>IF($T$4=0,IF($I444="","",$I444),IFERROR(IF([1]财务取数接口!$B$443=0,"",[1]财务取数接口!$B$443),""))</f>
        <v/>
      </c>
      <c r="C444" s="75" t="str">
        <f>IF($T$4=0,IF($J444="","",$J444),IFERROR(IF([1]财务取数接口!$C$443=0,"",[1]财务取数接口!$C$443),""))</f>
        <v/>
      </c>
      <c r="D444" s="89" t="str">
        <f>IF($T$4=0,IF($K444="","",$K444),IFERROR(IF([1]财务取数接口!$D$443=0,"",[1]财务取数接口!$D$443),""))</f>
        <v/>
      </c>
      <c r="E444" s="89" t="str">
        <f>IF($T$4=0,IF($L444="","",$L444),IFERROR(IF([1]财务取数接口!$E$443=0,"",[1]财务取数接口!$E$443),""))</f>
        <v/>
      </c>
      <c r="F444" s="76" t="str">
        <f>IF($T$4=0,IF($M444="","",$M444),IFERROR(IF([1]财务取数接口!$G$443=0,"",[1]财务取数接口!$G$443),""))</f>
        <v/>
      </c>
      <c r="G444" s="76" t="str">
        <f>IF($T$4=0,IF($N444="","",$N444),IFERROR(IF([1]财务取数接口!$H$443=0,"",[1]财务取数接口!$H$443),""))</f>
        <v/>
      </c>
      <c r="H444" s="75" t="str">
        <f>IF($T$4=0,IF($O444="","",$O444),IFERROR(IF([1]财务取数接口!$I$443=0,"",[1]财务取数接口!$I$443),""))</f>
        <v/>
      </c>
      <c r="I444" s="43"/>
      <c r="J444" s="106"/>
      <c r="K444" s="43"/>
      <c r="L444" s="43"/>
      <c r="M444" s="107"/>
      <c r="N444" s="107"/>
      <c r="O444" s="106"/>
      <c r="P444" s="139">
        <f t="shared" si="12"/>
        <v>0</v>
      </c>
      <c r="Q444" s="139">
        <f t="shared" si="13"/>
        <v>5</v>
      </c>
    </row>
    <row r="445" spans="1:17">
      <c r="A445" s="74">
        <v>444</v>
      </c>
      <c r="B445" s="89" t="str">
        <f>IF($T$4=0,IF($I445="","",$I445),IFERROR(IF([1]财务取数接口!$B$444=0,"",[1]财务取数接口!$B$444),""))</f>
        <v/>
      </c>
      <c r="C445" s="75" t="str">
        <f>IF($T$4=0,IF($J445="","",$J445),IFERROR(IF([1]财务取数接口!$C$444=0,"",[1]财务取数接口!$C$444),""))</f>
        <v/>
      </c>
      <c r="D445" s="89" t="str">
        <f>IF($T$4=0,IF($K445="","",$K445),IFERROR(IF([1]财务取数接口!$D$444=0,"",[1]财务取数接口!$D$444),""))</f>
        <v/>
      </c>
      <c r="E445" s="89" t="str">
        <f>IF($T$4=0,IF($L445="","",$L445),IFERROR(IF([1]财务取数接口!$E$444=0,"",[1]财务取数接口!$E$444),""))</f>
        <v/>
      </c>
      <c r="F445" s="76" t="str">
        <f>IF($T$4=0,IF($M445="","",$M445),IFERROR(IF([1]财务取数接口!$G$444=0,"",[1]财务取数接口!$G$444),""))</f>
        <v/>
      </c>
      <c r="G445" s="76" t="str">
        <f>IF($T$4=0,IF($N445="","",$N445),IFERROR(IF([1]财务取数接口!$H$444=0,"",[1]财务取数接口!$H$444),""))</f>
        <v/>
      </c>
      <c r="H445" s="75" t="str">
        <f>IF($T$4=0,IF($O445="","",$O445),IFERROR(IF([1]财务取数接口!$I$444=0,"",[1]财务取数接口!$I$444),""))</f>
        <v/>
      </c>
      <c r="I445" s="43"/>
      <c r="J445" s="106"/>
      <c r="K445" s="43"/>
      <c r="L445" s="43"/>
      <c r="M445" s="107"/>
      <c r="N445" s="107"/>
      <c r="O445" s="106"/>
      <c r="P445" s="139">
        <f t="shared" si="12"/>
        <v>0</v>
      </c>
      <c r="Q445" s="139">
        <f t="shared" si="13"/>
        <v>5</v>
      </c>
    </row>
    <row r="446" spans="1:17">
      <c r="A446" s="74">
        <v>445</v>
      </c>
      <c r="B446" s="89" t="str">
        <f>IF($T$4=0,IF($I446="","",$I446),IFERROR(IF([1]财务取数接口!$B$445=0,"",[1]财务取数接口!$B$445),""))</f>
        <v/>
      </c>
      <c r="C446" s="75" t="str">
        <f>IF($T$4=0,IF($J446="","",$J446),IFERROR(IF([1]财务取数接口!$C$445=0,"",[1]财务取数接口!$C$445),""))</f>
        <v/>
      </c>
      <c r="D446" s="89" t="str">
        <f>IF($T$4=0,IF($K446="","",$K446),IFERROR(IF([1]财务取数接口!$D$445=0,"",[1]财务取数接口!$D$445),""))</f>
        <v/>
      </c>
      <c r="E446" s="89" t="str">
        <f>IF($T$4=0,IF($L446="","",$L446),IFERROR(IF([1]财务取数接口!$E$445=0,"",[1]财务取数接口!$E$445),""))</f>
        <v/>
      </c>
      <c r="F446" s="76" t="str">
        <f>IF($T$4=0,IF($M446="","",$M446),IFERROR(IF([1]财务取数接口!$G$445=0,"",[1]财务取数接口!$G$445),""))</f>
        <v/>
      </c>
      <c r="G446" s="76" t="str">
        <f>IF($T$4=0,IF($N446="","",$N446),IFERROR(IF([1]财务取数接口!$H$445=0,"",[1]财务取数接口!$H$445),""))</f>
        <v/>
      </c>
      <c r="H446" s="75" t="str">
        <f>IF($T$4=0,IF($O446="","",$O446),IFERROR(IF([1]财务取数接口!$I$445=0,"",[1]财务取数接口!$I$445),""))</f>
        <v/>
      </c>
      <c r="I446" s="43"/>
      <c r="J446" s="106"/>
      <c r="K446" s="43"/>
      <c r="L446" s="43"/>
      <c r="M446" s="107"/>
      <c r="N446" s="107"/>
      <c r="O446" s="106"/>
      <c r="P446" s="139">
        <f t="shared" si="12"/>
        <v>0</v>
      </c>
      <c r="Q446" s="139">
        <f t="shared" si="13"/>
        <v>5</v>
      </c>
    </row>
    <row r="447" spans="1:17">
      <c r="A447" s="74">
        <v>446</v>
      </c>
      <c r="B447" s="89" t="str">
        <f>IF($T$4=0,IF($I447="","",$I447),IFERROR(IF([1]财务取数接口!$B$446=0,"",[1]财务取数接口!$B$446),""))</f>
        <v/>
      </c>
      <c r="C447" s="75" t="str">
        <f>IF($T$4=0,IF($J447="","",$J447),IFERROR(IF([1]财务取数接口!$C$446=0,"",[1]财务取数接口!$C$446),""))</f>
        <v/>
      </c>
      <c r="D447" s="89" t="str">
        <f>IF($T$4=0,IF($K447="","",$K447),IFERROR(IF([1]财务取数接口!$D$446=0,"",[1]财务取数接口!$D$446),""))</f>
        <v/>
      </c>
      <c r="E447" s="89" t="str">
        <f>IF($T$4=0,IF($L447="","",$L447),IFERROR(IF([1]财务取数接口!$E$446=0,"",[1]财务取数接口!$E$446),""))</f>
        <v/>
      </c>
      <c r="F447" s="76" t="str">
        <f>IF($T$4=0,IF($M447="","",$M447),IFERROR(IF([1]财务取数接口!$G$446=0,"",[1]财务取数接口!$G$446),""))</f>
        <v/>
      </c>
      <c r="G447" s="76" t="str">
        <f>IF($T$4=0,IF($N447="","",$N447),IFERROR(IF([1]财务取数接口!$H$446=0,"",[1]财务取数接口!$H$446),""))</f>
        <v/>
      </c>
      <c r="H447" s="75" t="str">
        <f>IF($T$4=0,IF($O447="","",$O447),IFERROR(IF([1]财务取数接口!$I$446=0,"",[1]财务取数接口!$I$446),""))</f>
        <v/>
      </c>
      <c r="I447" s="43"/>
      <c r="J447" s="106"/>
      <c r="K447" s="43"/>
      <c r="L447" s="43"/>
      <c r="M447" s="107"/>
      <c r="N447" s="107"/>
      <c r="O447" s="106"/>
      <c r="P447" s="139">
        <f t="shared" si="12"/>
        <v>0</v>
      </c>
      <c r="Q447" s="139">
        <f t="shared" si="13"/>
        <v>5</v>
      </c>
    </row>
    <row r="448" spans="1:17">
      <c r="A448" s="74">
        <v>447</v>
      </c>
      <c r="B448" s="89" t="str">
        <f>IF($T$4=0,IF($I448="","",$I448),IFERROR(IF([1]财务取数接口!$B$447=0,"",[1]财务取数接口!$B$447),""))</f>
        <v/>
      </c>
      <c r="C448" s="75" t="str">
        <f>IF($T$4=0,IF($J448="","",$J448),IFERROR(IF([1]财务取数接口!$C$447=0,"",[1]财务取数接口!$C$447),""))</f>
        <v/>
      </c>
      <c r="D448" s="89" t="str">
        <f>IF($T$4=0,IF($K448="","",$K448),IFERROR(IF([1]财务取数接口!$D$447=0,"",[1]财务取数接口!$D$447),""))</f>
        <v/>
      </c>
      <c r="E448" s="89" t="str">
        <f>IF($T$4=0,IF($L448="","",$L448),IFERROR(IF([1]财务取数接口!$E$447=0,"",[1]财务取数接口!$E$447),""))</f>
        <v/>
      </c>
      <c r="F448" s="76" t="str">
        <f>IF($T$4=0,IF($M448="","",$M448),IFERROR(IF([1]财务取数接口!$G$447=0,"",[1]财务取数接口!$G$447),""))</f>
        <v/>
      </c>
      <c r="G448" s="76" t="str">
        <f>IF($T$4=0,IF($N448="","",$N448),IFERROR(IF([1]财务取数接口!$H$447=0,"",[1]财务取数接口!$H$447),""))</f>
        <v/>
      </c>
      <c r="H448" s="75" t="str">
        <f>IF($T$4=0,IF($O448="","",$O448),IFERROR(IF([1]财务取数接口!$I$447=0,"",[1]财务取数接口!$I$447),""))</f>
        <v/>
      </c>
      <c r="I448" s="43"/>
      <c r="J448" s="106"/>
      <c r="K448" s="43"/>
      <c r="L448" s="43"/>
      <c r="M448" s="107"/>
      <c r="N448" s="107"/>
      <c r="O448" s="106"/>
      <c r="P448" s="139">
        <f t="shared" si="12"/>
        <v>0</v>
      </c>
      <c r="Q448" s="139">
        <f t="shared" si="13"/>
        <v>5</v>
      </c>
    </row>
    <row r="449" spans="1:17">
      <c r="A449" s="74">
        <v>448</v>
      </c>
      <c r="B449" s="89" t="str">
        <f>IF($T$4=0,IF($I449="","",$I449),IFERROR(IF([1]财务取数接口!$B$448=0,"",[1]财务取数接口!$B$448),""))</f>
        <v/>
      </c>
      <c r="C449" s="75" t="str">
        <f>IF($T$4=0,IF($J449="","",$J449),IFERROR(IF([1]财务取数接口!$C$448=0,"",[1]财务取数接口!$C$448),""))</f>
        <v/>
      </c>
      <c r="D449" s="89" t="str">
        <f>IF($T$4=0,IF($K449="","",$K449),IFERROR(IF([1]财务取数接口!$D$448=0,"",[1]财务取数接口!$D$448),""))</f>
        <v/>
      </c>
      <c r="E449" s="89" t="str">
        <f>IF($T$4=0,IF($L449="","",$L449),IFERROR(IF([1]财务取数接口!$E$448=0,"",[1]财务取数接口!$E$448),""))</f>
        <v/>
      </c>
      <c r="F449" s="76" t="str">
        <f>IF($T$4=0,IF($M449="","",$M449),IFERROR(IF([1]财务取数接口!$G$448=0,"",[1]财务取数接口!$G$448),""))</f>
        <v/>
      </c>
      <c r="G449" s="76" t="str">
        <f>IF($T$4=0,IF($N449="","",$N449),IFERROR(IF([1]财务取数接口!$H$448=0,"",[1]财务取数接口!$H$448),""))</f>
        <v/>
      </c>
      <c r="H449" s="75" t="str">
        <f>IF($T$4=0,IF($O449="","",$O449),IFERROR(IF([1]财务取数接口!$I$448=0,"",[1]财务取数接口!$I$448),""))</f>
        <v/>
      </c>
      <c r="I449" s="43"/>
      <c r="J449" s="106"/>
      <c r="K449" s="43"/>
      <c r="L449" s="43"/>
      <c r="M449" s="107"/>
      <c r="N449" s="107"/>
      <c r="O449" s="106"/>
      <c r="P449" s="139">
        <f t="shared" si="12"/>
        <v>0</v>
      </c>
      <c r="Q449" s="139">
        <f t="shared" si="13"/>
        <v>5</v>
      </c>
    </row>
    <row r="450" spans="1:17">
      <c r="A450" s="74">
        <v>449</v>
      </c>
      <c r="B450" s="89" t="str">
        <f>IF($T$4=0,IF($I450="","",$I450),IFERROR(IF([1]财务取数接口!$B$449=0,"",[1]财务取数接口!$B$449),""))</f>
        <v/>
      </c>
      <c r="C450" s="75" t="str">
        <f>IF($T$4=0,IF($J450="","",$J450),IFERROR(IF([1]财务取数接口!$C$449=0,"",[1]财务取数接口!$C$449),""))</f>
        <v/>
      </c>
      <c r="D450" s="89" t="str">
        <f>IF($T$4=0,IF($K450="","",$K450),IFERROR(IF([1]财务取数接口!$D$449=0,"",[1]财务取数接口!$D$449),""))</f>
        <v/>
      </c>
      <c r="E450" s="89" t="str">
        <f>IF($T$4=0,IF($L450="","",$L450),IFERROR(IF([1]财务取数接口!$E$449=0,"",[1]财务取数接口!$E$449),""))</f>
        <v/>
      </c>
      <c r="F450" s="76" t="str">
        <f>IF($T$4=0,IF($M450="","",$M450),IFERROR(IF([1]财务取数接口!$G$449=0,"",[1]财务取数接口!$G$449),""))</f>
        <v/>
      </c>
      <c r="G450" s="76" t="str">
        <f>IF($T$4=0,IF($N450="","",$N450),IFERROR(IF([1]财务取数接口!$H$449=0,"",[1]财务取数接口!$H$449),""))</f>
        <v/>
      </c>
      <c r="H450" s="75" t="str">
        <f>IF($T$4=0,IF($O450="","",$O450),IFERROR(IF([1]财务取数接口!$I$449=0,"",[1]财务取数接口!$I$449),""))</f>
        <v/>
      </c>
      <c r="I450" s="43"/>
      <c r="J450" s="106"/>
      <c r="K450" s="43"/>
      <c r="L450" s="43"/>
      <c r="M450" s="107"/>
      <c r="N450" s="107"/>
      <c r="O450" s="106"/>
      <c r="P450" s="139">
        <f t="shared" si="12"/>
        <v>0</v>
      </c>
      <c r="Q450" s="139">
        <f t="shared" si="13"/>
        <v>5</v>
      </c>
    </row>
    <row r="451" spans="1:17">
      <c r="A451" s="74">
        <v>450</v>
      </c>
      <c r="B451" s="89" t="str">
        <f>IF($T$4=0,IF($I451="","",$I451),IFERROR(IF([1]财务取数接口!$B$450=0,"",[1]财务取数接口!$B$450),""))</f>
        <v/>
      </c>
      <c r="C451" s="75" t="str">
        <f>IF($T$4=0,IF($J451="","",$J451),IFERROR(IF([1]财务取数接口!$C$450=0,"",[1]财务取数接口!$C$450),""))</f>
        <v/>
      </c>
      <c r="D451" s="89" t="str">
        <f>IF($T$4=0,IF($K451="","",$K451),IFERROR(IF([1]财务取数接口!$D$450=0,"",[1]财务取数接口!$D$450),""))</f>
        <v/>
      </c>
      <c r="E451" s="89" t="str">
        <f>IF($T$4=0,IF($L451="","",$L451),IFERROR(IF([1]财务取数接口!$E$450=0,"",[1]财务取数接口!$E$450),""))</f>
        <v/>
      </c>
      <c r="F451" s="76" t="str">
        <f>IF($T$4=0,IF($M451="","",$M451),IFERROR(IF([1]财务取数接口!$G$450=0,"",[1]财务取数接口!$G$450),""))</f>
        <v/>
      </c>
      <c r="G451" s="76" t="str">
        <f>IF($T$4=0,IF($N451="","",$N451),IFERROR(IF([1]财务取数接口!$H$450=0,"",[1]财务取数接口!$H$450),""))</f>
        <v/>
      </c>
      <c r="H451" s="75" t="str">
        <f>IF($T$4=0,IF($O451="","",$O451),IFERROR(IF([1]财务取数接口!$I$450=0,"",[1]财务取数接口!$I$450),""))</f>
        <v/>
      </c>
      <c r="I451" s="43"/>
      <c r="J451" s="106"/>
      <c r="K451" s="43"/>
      <c r="L451" s="43"/>
      <c r="M451" s="107"/>
      <c r="N451" s="107"/>
      <c r="O451" s="106"/>
      <c r="P451" s="139">
        <f t="shared" si="12"/>
        <v>0</v>
      </c>
      <c r="Q451" s="139">
        <f t="shared" si="13"/>
        <v>5</v>
      </c>
    </row>
    <row r="452" spans="1:17">
      <c r="A452" s="74">
        <v>451</v>
      </c>
      <c r="B452" s="89" t="str">
        <f>IF($T$4=0,IF($I452="","",$I452),IFERROR(IF([1]财务取数接口!$B$451=0,"",[1]财务取数接口!$B$451),""))</f>
        <v/>
      </c>
      <c r="C452" s="75" t="str">
        <f>IF($T$4=0,IF($J452="","",$J452),IFERROR(IF([1]财务取数接口!$C$451=0,"",[1]财务取数接口!$C$451),""))</f>
        <v/>
      </c>
      <c r="D452" s="89" t="str">
        <f>IF($T$4=0,IF($K452="","",$K452),IFERROR(IF([1]财务取数接口!$D$451=0,"",[1]财务取数接口!$D$451),""))</f>
        <v/>
      </c>
      <c r="E452" s="89" t="str">
        <f>IF($T$4=0,IF($L452="","",$L452),IFERROR(IF([1]财务取数接口!$E$451=0,"",[1]财务取数接口!$E$451),""))</f>
        <v/>
      </c>
      <c r="F452" s="76" t="str">
        <f>IF($T$4=0,IF($M452="","",$M452),IFERROR(IF([1]财务取数接口!$G$451=0,"",[1]财务取数接口!$G$451),""))</f>
        <v/>
      </c>
      <c r="G452" s="76" t="str">
        <f>IF($T$4=0,IF($N452="","",$N452),IFERROR(IF([1]财务取数接口!$H$451=0,"",[1]财务取数接口!$H$451),""))</f>
        <v/>
      </c>
      <c r="H452" s="75" t="str">
        <f>IF($T$4=0,IF($O452="","",$O452),IFERROR(IF([1]财务取数接口!$I$451=0,"",[1]财务取数接口!$I$451),""))</f>
        <v/>
      </c>
      <c r="I452" s="43"/>
      <c r="J452" s="106"/>
      <c r="K452" s="43"/>
      <c r="L452" s="43"/>
      <c r="M452" s="107"/>
      <c r="N452" s="107"/>
      <c r="O452" s="106"/>
      <c r="P452" s="139">
        <f t="shared" si="12"/>
        <v>0</v>
      </c>
      <c r="Q452" s="139">
        <f t="shared" si="13"/>
        <v>5</v>
      </c>
    </row>
    <row r="453" spans="1:17">
      <c r="A453" s="74">
        <v>452</v>
      </c>
      <c r="B453" s="89" t="str">
        <f>IF($T$4=0,IF($I453="","",$I453),IFERROR(IF([1]财务取数接口!$B$452=0,"",[1]财务取数接口!$B$452),""))</f>
        <v/>
      </c>
      <c r="C453" s="75" t="str">
        <f>IF($T$4=0,IF($J453="","",$J453),IFERROR(IF([1]财务取数接口!$C$452=0,"",[1]财务取数接口!$C$452),""))</f>
        <v/>
      </c>
      <c r="D453" s="89" t="str">
        <f>IF($T$4=0,IF($K453="","",$K453),IFERROR(IF([1]财务取数接口!$D$452=0,"",[1]财务取数接口!$D$452),""))</f>
        <v/>
      </c>
      <c r="E453" s="89" t="str">
        <f>IF($T$4=0,IF($L453="","",$L453),IFERROR(IF([1]财务取数接口!$E$452=0,"",[1]财务取数接口!$E$452),""))</f>
        <v/>
      </c>
      <c r="F453" s="76" t="str">
        <f>IF($T$4=0,IF($M453="","",$M453),IFERROR(IF([1]财务取数接口!$G$452=0,"",[1]财务取数接口!$G$452),""))</f>
        <v/>
      </c>
      <c r="G453" s="76" t="str">
        <f>IF($T$4=0,IF($N453="","",$N453),IFERROR(IF([1]财务取数接口!$H$452=0,"",[1]财务取数接口!$H$452),""))</f>
        <v/>
      </c>
      <c r="H453" s="75" t="str">
        <f>IF($T$4=0,IF($O453="","",$O453),IFERROR(IF([1]财务取数接口!$I$452=0,"",[1]财务取数接口!$I$452),""))</f>
        <v/>
      </c>
      <c r="I453" s="43"/>
      <c r="J453" s="106"/>
      <c r="K453" s="43"/>
      <c r="L453" s="43"/>
      <c r="M453" s="107"/>
      <c r="N453" s="107"/>
      <c r="O453" s="106"/>
      <c r="P453" s="139">
        <f t="shared" ref="P453:P507" si="14">IF(AND($C453&lt;&gt;"",$C453&lt;&gt;"项目",OR(N($D453)&lt;&gt;0,N($E453)&lt;&gt;0,N($F453)&lt;&gt;0)),1,0)</f>
        <v>0</v>
      </c>
      <c r="Q453" s="139">
        <f t="shared" ref="Q453:Q507" si="15">N(Q452)+$P453</f>
        <v>5</v>
      </c>
    </row>
    <row r="454" spans="1:17">
      <c r="A454" s="74">
        <v>453</v>
      </c>
      <c r="B454" s="89" t="str">
        <f>IF($T$4=0,IF($I454="","",$I454),IFERROR(IF([1]财务取数接口!$B$453=0,"",[1]财务取数接口!$B$453),""))</f>
        <v/>
      </c>
      <c r="C454" s="75" t="str">
        <f>IF($T$4=0,IF($J454="","",$J454),IFERROR(IF([1]财务取数接口!$C$453=0,"",[1]财务取数接口!$C$453),""))</f>
        <v/>
      </c>
      <c r="D454" s="89" t="str">
        <f>IF($T$4=0,IF($K454="","",$K454),IFERROR(IF([1]财务取数接口!$D$453=0,"",[1]财务取数接口!$D$453),""))</f>
        <v/>
      </c>
      <c r="E454" s="89" t="str">
        <f>IF($T$4=0,IF($L454="","",$L454),IFERROR(IF([1]财务取数接口!$E$453=0,"",[1]财务取数接口!$E$453),""))</f>
        <v/>
      </c>
      <c r="F454" s="76" t="str">
        <f>IF($T$4=0,IF($M454="","",$M454),IFERROR(IF([1]财务取数接口!$G$453=0,"",[1]财务取数接口!$G$453),""))</f>
        <v/>
      </c>
      <c r="G454" s="76" t="str">
        <f>IF($T$4=0,IF($N454="","",$N454),IFERROR(IF([1]财务取数接口!$H$453=0,"",[1]财务取数接口!$H$453),""))</f>
        <v/>
      </c>
      <c r="H454" s="75" t="str">
        <f>IF($T$4=0,IF($O454="","",$O454),IFERROR(IF([1]财务取数接口!$I$453=0,"",[1]财务取数接口!$I$453),""))</f>
        <v/>
      </c>
      <c r="I454" s="43"/>
      <c r="J454" s="106"/>
      <c r="K454" s="43"/>
      <c r="L454" s="43"/>
      <c r="M454" s="107"/>
      <c r="N454" s="107"/>
      <c r="O454" s="106"/>
      <c r="P454" s="139">
        <f t="shared" si="14"/>
        <v>0</v>
      </c>
      <c r="Q454" s="139">
        <f t="shared" si="15"/>
        <v>5</v>
      </c>
    </row>
    <row r="455" spans="1:17">
      <c r="A455" s="74">
        <v>454</v>
      </c>
      <c r="B455" s="89" t="str">
        <f>IF($T$4=0,IF($I455="","",$I455),IFERROR(IF([1]财务取数接口!$B$454=0,"",[1]财务取数接口!$B$454),""))</f>
        <v/>
      </c>
      <c r="C455" s="75" t="str">
        <f>IF($T$4=0,IF($J455="","",$J455),IFERROR(IF([1]财务取数接口!$C$454=0,"",[1]财务取数接口!$C$454),""))</f>
        <v/>
      </c>
      <c r="D455" s="89" t="str">
        <f>IF($T$4=0,IF($K455="","",$K455),IFERROR(IF([1]财务取数接口!$D$454=0,"",[1]财务取数接口!$D$454),""))</f>
        <v/>
      </c>
      <c r="E455" s="89" t="str">
        <f>IF($T$4=0,IF($L455="","",$L455),IFERROR(IF([1]财务取数接口!$E$454=0,"",[1]财务取数接口!$E$454),""))</f>
        <v/>
      </c>
      <c r="F455" s="76" t="str">
        <f>IF($T$4=0,IF($M455="","",$M455),IFERROR(IF([1]财务取数接口!$G$454=0,"",[1]财务取数接口!$G$454),""))</f>
        <v/>
      </c>
      <c r="G455" s="76" t="str">
        <f>IF($T$4=0,IF($N455="","",$N455),IFERROR(IF([1]财务取数接口!$H$454=0,"",[1]财务取数接口!$H$454),""))</f>
        <v/>
      </c>
      <c r="H455" s="75" t="str">
        <f>IF($T$4=0,IF($O455="","",$O455),IFERROR(IF([1]财务取数接口!$I$454=0,"",[1]财务取数接口!$I$454),""))</f>
        <v/>
      </c>
      <c r="I455" s="43"/>
      <c r="J455" s="106"/>
      <c r="K455" s="43"/>
      <c r="L455" s="43"/>
      <c r="M455" s="107"/>
      <c r="N455" s="107"/>
      <c r="O455" s="106"/>
      <c r="P455" s="139">
        <f t="shared" si="14"/>
        <v>0</v>
      </c>
      <c r="Q455" s="139">
        <f t="shared" si="15"/>
        <v>5</v>
      </c>
    </row>
    <row r="456" spans="1:17">
      <c r="A456" s="74">
        <v>455</v>
      </c>
      <c r="B456" s="89" t="str">
        <f>IF($T$4=0,IF($I456="","",$I456),IFERROR(IF([1]财务取数接口!$B$455=0,"",[1]财务取数接口!$B$455),""))</f>
        <v/>
      </c>
      <c r="C456" s="75" t="str">
        <f>IF($T$4=0,IF($J456="","",$J456),IFERROR(IF([1]财务取数接口!$C$455=0,"",[1]财务取数接口!$C$455),""))</f>
        <v/>
      </c>
      <c r="D456" s="89" t="str">
        <f>IF($T$4=0,IF($K456="","",$K456),IFERROR(IF([1]财务取数接口!$D$455=0,"",[1]财务取数接口!$D$455),""))</f>
        <v/>
      </c>
      <c r="E456" s="89" t="str">
        <f>IF($T$4=0,IF($L456="","",$L456),IFERROR(IF([1]财务取数接口!$E$455=0,"",[1]财务取数接口!$E$455),""))</f>
        <v/>
      </c>
      <c r="F456" s="76" t="str">
        <f>IF($T$4=0,IF($M456="","",$M456),IFERROR(IF([1]财务取数接口!$G$455=0,"",[1]财务取数接口!$G$455),""))</f>
        <v/>
      </c>
      <c r="G456" s="76" t="str">
        <f>IF($T$4=0,IF($N456="","",$N456),IFERROR(IF([1]财务取数接口!$H$455=0,"",[1]财务取数接口!$H$455),""))</f>
        <v/>
      </c>
      <c r="H456" s="75" t="str">
        <f>IF($T$4=0,IF($O456="","",$O456),IFERROR(IF([1]财务取数接口!$I$455=0,"",[1]财务取数接口!$I$455),""))</f>
        <v/>
      </c>
      <c r="I456" s="43"/>
      <c r="J456" s="106"/>
      <c r="K456" s="43"/>
      <c r="L456" s="43"/>
      <c r="M456" s="107"/>
      <c r="N456" s="107"/>
      <c r="O456" s="106"/>
      <c r="P456" s="139">
        <f t="shared" si="14"/>
        <v>0</v>
      </c>
      <c r="Q456" s="139">
        <f t="shared" si="15"/>
        <v>5</v>
      </c>
    </row>
    <row r="457" spans="1:17">
      <c r="A457" s="74">
        <v>456</v>
      </c>
      <c r="B457" s="89" t="str">
        <f>IF($T$4=0,IF($I457="","",$I457),IFERROR(IF([1]财务取数接口!$B$456=0,"",[1]财务取数接口!$B$456),""))</f>
        <v/>
      </c>
      <c r="C457" s="75" t="str">
        <f>IF($T$4=0,IF($J457="","",$J457),IFERROR(IF([1]财务取数接口!$C$456=0,"",[1]财务取数接口!$C$456),""))</f>
        <v/>
      </c>
      <c r="D457" s="89" t="str">
        <f>IF($T$4=0,IF($K457="","",$K457),IFERROR(IF([1]财务取数接口!$D$456=0,"",[1]财务取数接口!$D$456),""))</f>
        <v/>
      </c>
      <c r="E457" s="89" t="str">
        <f>IF($T$4=0,IF($L457="","",$L457),IFERROR(IF([1]财务取数接口!$E$456=0,"",[1]财务取数接口!$E$456),""))</f>
        <v/>
      </c>
      <c r="F457" s="76" t="str">
        <f>IF($T$4=0,IF($M457="","",$M457),IFERROR(IF([1]财务取数接口!$G$456=0,"",[1]财务取数接口!$G$456),""))</f>
        <v/>
      </c>
      <c r="G457" s="76" t="str">
        <f>IF($T$4=0,IF($N457="","",$N457),IFERROR(IF([1]财务取数接口!$H$456=0,"",[1]财务取数接口!$H$456),""))</f>
        <v/>
      </c>
      <c r="H457" s="75" t="str">
        <f>IF($T$4=0,IF($O457="","",$O457),IFERROR(IF([1]财务取数接口!$I$456=0,"",[1]财务取数接口!$I$456),""))</f>
        <v/>
      </c>
      <c r="I457" s="43"/>
      <c r="J457" s="106"/>
      <c r="K457" s="43"/>
      <c r="L457" s="43"/>
      <c r="M457" s="107"/>
      <c r="N457" s="107"/>
      <c r="O457" s="106"/>
      <c r="P457" s="139">
        <f t="shared" si="14"/>
        <v>0</v>
      </c>
      <c r="Q457" s="139">
        <f t="shared" si="15"/>
        <v>5</v>
      </c>
    </row>
    <row r="458" spans="1:17">
      <c r="A458" s="74">
        <v>457</v>
      </c>
      <c r="B458" s="89" t="str">
        <f>IF($T$4=0,IF($I458="","",$I458),IFERROR(IF([1]财务取数接口!$B$457=0,"",[1]财务取数接口!$B$457),""))</f>
        <v/>
      </c>
      <c r="C458" s="75" t="str">
        <f>IF($T$4=0,IF($J458="","",$J458),IFERROR(IF([1]财务取数接口!$C$457=0,"",[1]财务取数接口!$C$457),""))</f>
        <v/>
      </c>
      <c r="D458" s="89" t="str">
        <f>IF($T$4=0,IF($K458="","",$K458),IFERROR(IF([1]财务取数接口!$D$457=0,"",[1]财务取数接口!$D$457),""))</f>
        <v/>
      </c>
      <c r="E458" s="89" t="str">
        <f>IF($T$4=0,IF($L458="","",$L458),IFERROR(IF([1]财务取数接口!$E$457=0,"",[1]财务取数接口!$E$457),""))</f>
        <v/>
      </c>
      <c r="F458" s="76" t="str">
        <f>IF($T$4=0,IF($M458="","",$M458),IFERROR(IF([1]财务取数接口!$G$457=0,"",[1]财务取数接口!$G$457),""))</f>
        <v/>
      </c>
      <c r="G458" s="76" t="str">
        <f>IF($T$4=0,IF($N458="","",$N458),IFERROR(IF([1]财务取数接口!$H$457=0,"",[1]财务取数接口!$H$457),""))</f>
        <v/>
      </c>
      <c r="H458" s="75" t="str">
        <f>IF($T$4=0,IF($O458="","",$O458),IFERROR(IF([1]财务取数接口!$I$457=0,"",[1]财务取数接口!$I$457),""))</f>
        <v/>
      </c>
      <c r="I458" s="43"/>
      <c r="J458" s="106"/>
      <c r="K458" s="43"/>
      <c r="L458" s="43"/>
      <c r="M458" s="107"/>
      <c r="N458" s="107"/>
      <c r="O458" s="106"/>
      <c r="P458" s="139">
        <f t="shared" si="14"/>
        <v>0</v>
      </c>
      <c r="Q458" s="139">
        <f t="shared" si="15"/>
        <v>5</v>
      </c>
    </row>
    <row r="459" spans="1:17">
      <c r="A459" s="74">
        <v>458</v>
      </c>
      <c r="B459" s="89" t="str">
        <f>IF($T$4=0,IF($I459="","",$I459),IFERROR(IF([1]财务取数接口!$B$458=0,"",[1]财务取数接口!$B$458),""))</f>
        <v/>
      </c>
      <c r="C459" s="75" t="str">
        <f>IF($T$4=0,IF($J459="","",$J459),IFERROR(IF([1]财务取数接口!$C$458=0,"",[1]财务取数接口!$C$458),""))</f>
        <v/>
      </c>
      <c r="D459" s="89" t="str">
        <f>IF($T$4=0,IF($K459="","",$K459),IFERROR(IF([1]财务取数接口!$D$458=0,"",[1]财务取数接口!$D$458),""))</f>
        <v/>
      </c>
      <c r="E459" s="89" t="str">
        <f>IF($T$4=0,IF($L459="","",$L459),IFERROR(IF([1]财务取数接口!$E$458=0,"",[1]财务取数接口!$E$458),""))</f>
        <v/>
      </c>
      <c r="F459" s="76" t="str">
        <f>IF($T$4=0,IF($M459="","",$M459),IFERROR(IF([1]财务取数接口!$G$458=0,"",[1]财务取数接口!$G$458),""))</f>
        <v/>
      </c>
      <c r="G459" s="76" t="str">
        <f>IF($T$4=0,IF($N459="","",$N459),IFERROR(IF([1]财务取数接口!$H$458=0,"",[1]财务取数接口!$H$458),""))</f>
        <v/>
      </c>
      <c r="H459" s="75" t="str">
        <f>IF($T$4=0,IF($O459="","",$O459),IFERROR(IF([1]财务取数接口!$I$458=0,"",[1]财务取数接口!$I$458),""))</f>
        <v/>
      </c>
      <c r="I459" s="43"/>
      <c r="J459" s="106"/>
      <c r="K459" s="43"/>
      <c r="L459" s="43"/>
      <c r="M459" s="107"/>
      <c r="N459" s="107"/>
      <c r="O459" s="106"/>
      <c r="P459" s="139">
        <f t="shared" si="14"/>
        <v>0</v>
      </c>
      <c r="Q459" s="139">
        <f t="shared" si="15"/>
        <v>5</v>
      </c>
    </row>
    <row r="460" spans="1:17">
      <c r="A460" s="74">
        <v>459</v>
      </c>
      <c r="B460" s="89" t="str">
        <f>IF($T$4=0,IF($I460="","",$I460),IFERROR(IF([1]财务取数接口!$B$459=0,"",[1]财务取数接口!$B$459),""))</f>
        <v/>
      </c>
      <c r="C460" s="75" t="str">
        <f>IF($T$4=0,IF($J460="","",$J460),IFERROR(IF([1]财务取数接口!$C$459=0,"",[1]财务取数接口!$C$459),""))</f>
        <v/>
      </c>
      <c r="D460" s="89" t="str">
        <f>IF($T$4=0,IF($K460="","",$K460),IFERROR(IF([1]财务取数接口!$D$459=0,"",[1]财务取数接口!$D$459),""))</f>
        <v/>
      </c>
      <c r="E460" s="89" t="str">
        <f>IF($T$4=0,IF($L460="","",$L460),IFERROR(IF([1]财务取数接口!$E$459=0,"",[1]财务取数接口!$E$459),""))</f>
        <v/>
      </c>
      <c r="F460" s="76" t="str">
        <f>IF($T$4=0,IF($M460="","",$M460),IFERROR(IF([1]财务取数接口!$G$459=0,"",[1]财务取数接口!$G$459),""))</f>
        <v/>
      </c>
      <c r="G460" s="76" t="str">
        <f>IF($T$4=0,IF($N460="","",$N460),IFERROR(IF([1]财务取数接口!$H$459=0,"",[1]财务取数接口!$H$459),""))</f>
        <v/>
      </c>
      <c r="H460" s="75" t="str">
        <f>IF($T$4=0,IF($O460="","",$O460),IFERROR(IF([1]财务取数接口!$I$459=0,"",[1]财务取数接口!$I$459),""))</f>
        <v/>
      </c>
      <c r="I460" s="43"/>
      <c r="J460" s="106"/>
      <c r="K460" s="43"/>
      <c r="L460" s="43"/>
      <c r="M460" s="107"/>
      <c r="N460" s="107"/>
      <c r="O460" s="106"/>
      <c r="P460" s="139">
        <f t="shared" si="14"/>
        <v>0</v>
      </c>
      <c r="Q460" s="139">
        <f t="shared" si="15"/>
        <v>5</v>
      </c>
    </row>
    <row r="461" spans="1:17">
      <c r="A461" s="74">
        <v>460</v>
      </c>
      <c r="B461" s="89" t="str">
        <f>IF($T$4=0,IF($I461="","",$I461),IFERROR(IF([1]财务取数接口!$B$460=0,"",[1]财务取数接口!$B$460),""))</f>
        <v/>
      </c>
      <c r="C461" s="75" t="str">
        <f>IF($T$4=0,IF($J461="","",$J461),IFERROR(IF([1]财务取数接口!$C$460=0,"",[1]财务取数接口!$C$460),""))</f>
        <v/>
      </c>
      <c r="D461" s="89" t="str">
        <f>IF($T$4=0,IF($K461="","",$K461),IFERROR(IF([1]财务取数接口!$D$460=0,"",[1]财务取数接口!$D$460),""))</f>
        <v/>
      </c>
      <c r="E461" s="89" t="str">
        <f>IF($T$4=0,IF($L461="","",$L461),IFERROR(IF([1]财务取数接口!$E$460=0,"",[1]财务取数接口!$E$460),""))</f>
        <v/>
      </c>
      <c r="F461" s="76" t="str">
        <f>IF($T$4=0,IF($M461="","",$M461),IFERROR(IF([1]财务取数接口!$G$460=0,"",[1]财务取数接口!$G$460),""))</f>
        <v/>
      </c>
      <c r="G461" s="76" t="str">
        <f>IF($T$4=0,IF($N461="","",$N461),IFERROR(IF([1]财务取数接口!$H$460=0,"",[1]财务取数接口!$H$460),""))</f>
        <v/>
      </c>
      <c r="H461" s="75" t="str">
        <f>IF($T$4=0,IF($O461="","",$O461),IFERROR(IF([1]财务取数接口!$I$460=0,"",[1]财务取数接口!$I$460),""))</f>
        <v/>
      </c>
      <c r="I461" s="43"/>
      <c r="J461" s="106"/>
      <c r="K461" s="43"/>
      <c r="L461" s="43"/>
      <c r="M461" s="107"/>
      <c r="N461" s="107"/>
      <c r="O461" s="106"/>
      <c r="P461" s="139">
        <f t="shared" si="14"/>
        <v>0</v>
      </c>
      <c r="Q461" s="139">
        <f t="shared" si="15"/>
        <v>5</v>
      </c>
    </row>
    <row r="462" spans="1:17">
      <c r="A462" s="74">
        <v>461</v>
      </c>
      <c r="B462" s="89" t="str">
        <f>IF($T$4=0,IF($I462="","",$I462),IFERROR(IF([1]财务取数接口!$B$461=0,"",[1]财务取数接口!$B$461),""))</f>
        <v/>
      </c>
      <c r="C462" s="75" t="str">
        <f>IF($T$4=0,IF($J462="","",$J462),IFERROR(IF([1]财务取数接口!$C$461=0,"",[1]财务取数接口!$C$461),""))</f>
        <v/>
      </c>
      <c r="D462" s="89" t="str">
        <f>IF($T$4=0,IF($K462="","",$K462),IFERROR(IF([1]财务取数接口!$D$461=0,"",[1]财务取数接口!$D$461),""))</f>
        <v/>
      </c>
      <c r="E462" s="89" t="str">
        <f>IF($T$4=0,IF($L462="","",$L462),IFERROR(IF([1]财务取数接口!$E$461=0,"",[1]财务取数接口!$E$461),""))</f>
        <v/>
      </c>
      <c r="F462" s="76" t="str">
        <f>IF($T$4=0,IF($M462="","",$M462),IFERROR(IF([1]财务取数接口!$G$461=0,"",[1]财务取数接口!$G$461),""))</f>
        <v/>
      </c>
      <c r="G462" s="76" t="str">
        <f>IF($T$4=0,IF($N462="","",$N462),IFERROR(IF([1]财务取数接口!$H$461=0,"",[1]财务取数接口!$H$461),""))</f>
        <v/>
      </c>
      <c r="H462" s="75" t="str">
        <f>IF($T$4=0,IF($O462="","",$O462),IFERROR(IF([1]财务取数接口!$I$461=0,"",[1]财务取数接口!$I$461),""))</f>
        <v/>
      </c>
      <c r="I462" s="43"/>
      <c r="J462" s="106"/>
      <c r="K462" s="43"/>
      <c r="L462" s="43"/>
      <c r="M462" s="107"/>
      <c r="N462" s="107"/>
      <c r="O462" s="106"/>
      <c r="P462" s="139">
        <f t="shared" si="14"/>
        <v>0</v>
      </c>
      <c r="Q462" s="139">
        <f t="shared" si="15"/>
        <v>5</v>
      </c>
    </row>
    <row r="463" spans="1:17">
      <c r="A463" s="74">
        <v>462</v>
      </c>
      <c r="B463" s="89" t="str">
        <f>IF($T$4=0,IF($I463="","",$I463),IFERROR(IF([1]财务取数接口!$B$462=0,"",[1]财务取数接口!$B$462),""))</f>
        <v/>
      </c>
      <c r="C463" s="75" t="str">
        <f>IF($T$4=0,IF($J463="","",$J463),IFERROR(IF([1]财务取数接口!$C$462=0,"",[1]财务取数接口!$C$462),""))</f>
        <v/>
      </c>
      <c r="D463" s="89" t="str">
        <f>IF($T$4=0,IF($K463="","",$K463),IFERROR(IF([1]财务取数接口!$D$462=0,"",[1]财务取数接口!$D$462),""))</f>
        <v/>
      </c>
      <c r="E463" s="89" t="str">
        <f>IF($T$4=0,IF($L463="","",$L463),IFERROR(IF([1]财务取数接口!$E$462=0,"",[1]财务取数接口!$E$462),""))</f>
        <v/>
      </c>
      <c r="F463" s="76" t="str">
        <f>IF($T$4=0,IF($M463="","",$M463),IFERROR(IF([1]财务取数接口!$G$462=0,"",[1]财务取数接口!$G$462),""))</f>
        <v/>
      </c>
      <c r="G463" s="76" t="str">
        <f>IF($T$4=0,IF($N463="","",$N463),IFERROR(IF([1]财务取数接口!$H$462=0,"",[1]财务取数接口!$H$462),""))</f>
        <v/>
      </c>
      <c r="H463" s="75" t="str">
        <f>IF($T$4=0,IF($O463="","",$O463),IFERROR(IF([1]财务取数接口!$I$462=0,"",[1]财务取数接口!$I$462),""))</f>
        <v/>
      </c>
      <c r="I463" s="43"/>
      <c r="J463" s="106"/>
      <c r="K463" s="43"/>
      <c r="L463" s="43"/>
      <c r="M463" s="107"/>
      <c r="N463" s="107"/>
      <c r="O463" s="106"/>
      <c r="P463" s="139">
        <f t="shared" si="14"/>
        <v>0</v>
      </c>
      <c r="Q463" s="139">
        <f t="shared" si="15"/>
        <v>5</v>
      </c>
    </row>
    <row r="464" spans="1:17">
      <c r="A464" s="74">
        <v>463</v>
      </c>
      <c r="B464" s="89" t="str">
        <f>IF($T$4=0,IF($I464="","",$I464),IFERROR(IF([1]财务取数接口!$B$463=0,"",[1]财务取数接口!$B$463),""))</f>
        <v/>
      </c>
      <c r="C464" s="75" t="str">
        <f>IF($T$4=0,IF($J464="","",$J464),IFERROR(IF([1]财务取数接口!$C$463=0,"",[1]财务取数接口!$C$463),""))</f>
        <v/>
      </c>
      <c r="D464" s="89" t="str">
        <f>IF($T$4=0,IF($K464="","",$K464),IFERROR(IF([1]财务取数接口!$D$463=0,"",[1]财务取数接口!$D$463),""))</f>
        <v/>
      </c>
      <c r="E464" s="89" t="str">
        <f>IF($T$4=0,IF($L464="","",$L464),IFERROR(IF([1]财务取数接口!$E$463=0,"",[1]财务取数接口!$E$463),""))</f>
        <v/>
      </c>
      <c r="F464" s="76" t="str">
        <f>IF($T$4=0,IF($M464="","",$M464),IFERROR(IF([1]财务取数接口!$G$463=0,"",[1]财务取数接口!$G$463),""))</f>
        <v/>
      </c>
      <c r="G464" s="76" t="str">
        <f>IF($T$4=0,IF($N464="","",$N464),IFERROR(IF([1]财务取数接口!$H$463=0,"",[1]财务取数接口!$H$463),""))</f>
        <v/>
      </c>
      <c r="H464" s="75" t="str">
        <f>IF($T$4=0,IF($O464="","",$O464),IFERROR(IF([1]财务取数接口!$I$463=0,"",[1]财务取数接口!$I$463),""))</f>
        <v/>
      </c>
      <c r="I464" s="43"/>
      <c r="J464" s="106"/>
      <c r="K464" s="43"/>
      <c r="L464" s="43"/>
      <c r="M464" s="107"/>
      <c r="N464" s="107"/>
      <c r="O464" s="106"/>
      <c r="P464" s="139">
        <f t="shared" si="14"/>
        <v>0</v>
      </c>
      <c r="Q464" s="139">
        <f t="shared" si="15"/>
        <v>5</v>
      </c>
    </row>
    <row r="465" spans="1:17">
      <c r="A465" s="74">
        <v>464</v>
      </c>
      <c r="B465" s="89" t="str">
        <f>IF($T$4=0,IF($I465="","",$I465),IFERROR(IF([1]财务取数接口!$B$464=0,"",[1]财务取数接口!$B$464),""))</f>
        <v/>
      </c>
      <c r="C465" s="75" t="str">
        <f>IF($T$4=0,IF($J465="","",$J465),IFERROR(IF([1]财务取数接口!$C$464=0,"",[1]财务取数接口!$C$464),""))</f>
        <v/>
      </c>
      <c r="D465" s="89" t="str">
        <f>IF($T$4=0,IF($K465="","",$K465),IFERROR(IF([1]财务取数接口!$D$464=0,"",[1]财务取数接口!$D$464),""))</f>
        <v/>
      </c>
      <c r="E465" s="89" t="str">
        <f>IF($T$4=0,IF($L465="","",$L465),IFERROR(IF([1]财务取数接口!$E$464=0,"",[1]财务取数接口!$E$464),""))</f>
        <v/>
      </c>
      <c r="F465" s="76" t="str">
        <f>IF($T$4=0,IF($M465="","",$M465),IFERROR(IF([1]财务取数接口!$G$464=0,"",[1]财务取数接口!$G$464),""))</f>
        <v/>
      </c>
      <c r="G465" s="76" t="str">
        <f>IF($T$4=0,IF($N465="","",$N465),IFERROR(IF([1]财务取数接口!$H$464=0,"",[1]财务取数接口!$H$464),""))</f>
        <v/>
      </c>
      <c r="H465" s="75" t="str">
        <f>IF($T$4=0,IF($O465="","",$O465),IFERROR(IF([1]财务取数接口!$I$464=0,"",[1]财务取数接口!$I$464),""))</f>
        <v/>
      </c>
      <c r="I465" s="43"/>
      <c r="J465" s="106"/>
      <c r="K465" s="43"/>
      <c r="L465" s="43"/>
      <c r="M465" s="107"/>
      <c r="N465" s="107"/>
      <c r="O465" s="106"/>
      <c r="P465" s="139">
        <f t="shared" si="14"/>
        <v>0</v>
      </c>
      <c r="Q465" s="139">
        <f t="shared" si="15"/>
        <v>5</v>
      </c>
    </row>
    <row r="466" spans="1:17">
      <c r="A466" s="74">
        <v>465</v>
      </c>
      <c r="B466" s="89" t="str">
        <f>IF($T$4=0,IF($I466="","",$I466),IFERROR(IF([1]财务取数接口!$B$465=0,"",[1]财务取数接口!$B$465),""))</f>
        <v/>
      </c>
      <c r="C466" s="75" t="str">
        <f>IF($T$4=0,IF($J466="","",$J466),IFERROR(IF([1]财务取数接口!$C$465=0,"",[1]财务取数接口!$C$465),""))</f>
        <v/>
      </c>
      <c r="D466" s="89" t="str">
        <f>IF($T$4=0,IF($K466="","",$K466),IFERROR(IF([1]财务取数接口!$D$465=0,"",[1]财务取数接口!$D$465),""))</f>
        <v/>
      </c>
      <c r="E466" s="89" t="str">
        <f>IF($T$4=0,IF($L466="","",$L466),IFERROR(IF([1]财务取数接口!$E$465=0,"",[1]财务取数接口!$E$465),""))</f>
        <v/>
      </c>
      <c r="F466" s="76" t="str">
        <f>IF($T$4=0,IF($M466="","",$M466),IFERROR(IF([1]财务取数接口!$G$465=0,"",[1]财务取数接口!$G$465),""))</f>
        <v/>
      </c>
      <c r="G466" s="76" t="str">
        <f>IF($T$4=0,IF($N466="","",$N466),IFERROR(IF([1]财务取数接口!$H$465=0,"",[1]财务取数接口!$H$465),""))</f>
        <v/>
      </c>
      <c r="H466" s="75" t="str">
        <f>IF($T$4=0,IF($O466="","",$O466),IFERROR(IF([1]财务取数接口!$I$465=0,"",[1]财务取数接口!$I$465),""))</f>
        <v/>
      </c>
      <c r="I466" s="43"/>
      <c r="J466" s="106"/>
      <c r="K466" s="43"/>
      <c r="L466" s="43"/>
      <c r="M466" s="107"/>
      <c r="N466" s="107"/>
      <c r="O466" s="106"/>
      <c r="P466" s="139">
        <f t="shared" si="14"/>
        <v>0</v>
      </c>
      <c r="Q466" s="139">
        <f t="shared" si="15"/>
        <v>5</v>
      </c>
    </row>
    <row r="467" spans="1:17">
      <c r="A467" s="74">
        <v>466</v>
      </c>
      <c r="B467" s="89" t="str">
        <f>IF($T$4=0,IF($I467="","",$I467),IFERROR(IF([1]财务取数接口!$B$466=0,"",[1]财务取数接口!$B$466),""))</f>
        <v/>
      </c>
      <c r="C467" s="75" t="str">
        <f>IF($T$4=0,IF($J467="","",$J467),IFERROR(IF([1]财务取数接口!$C$466=0,"",[1]财务取数接口!$C$466),""))</f>
        <v/>
      </c>
      <c r="D467" s="89" t="str">
        <f>IF($T$4=0,IF($K467="","",$K467),IFERROR(IF([1]财务取数接口!$D$466=0,"",[1]财务取数接口!$D$466),""))</f>
        <v/>
      </c>
      <c r="E467" s="89" t="str">
        <f>IF($T$4=0,IF($L467="","",$L467),IFERROR(IF([1]财务取数接口!$E$466=0,"",[1]财务取数接口!$E$466),""))</f>
        <v/>
      </c>
      <c r="F467" s="76" t="str">
        <f>IF($T$4=0,IF($M467="","",$M467),IFERROR(IF([1]财务取数接口!$G$466=0,"",[1]财务取数接口!$G$466),""))</f>
        <v/>
      </c>
      <c r="G467" s="76" t="str">
        <f>IF($T$4=0,IF($N467="","",$N467),IFERROR(IF([1]财务取数接口!$H$466=0,"",[1]财务取数接口!$H$466),""))</f>
        <v/>
      </c>
      <c r="H467" s="75" t="str">
        <f>IF($T$4=0,IF($O467="","",$O467),IFERROR(IF([1]财务取数接口!$I$466=0,"",[1]财务取数接口!$I$466),""))</f>
        <v/>
      </c>
      <c r="I467" s="43"/>
      <c r="J467" s="106"/>
      <c r="K467" s="43"/>
      <c r="L467" s="43"/>
      <c r="M467" s="107"/>
      <c r="N467" s="107"/>
      <c r="O467" s="106"/>
      <c r="P467" s="139">
        <f t="shared" si="14"/>
        <v>0</v>
      </c>
      <c r="Q467" s="139">
        <f t="shared" si="15"/>
        <v>5</v>
      </c>
    </row>
    <row r="468" spans="1:17">
      <c r="A468" s="74">
        <v>467</v>
      </c>
      <c r="B468" s="89" t="str">
        <f>IF($T$4=0,IF($I468="","",$I468),IFERROR(IF([1]财务取数接口!$B$467=0,"",[1]财务取数接口!$B$467),""))</f>
        <v/>
      </c>
      <c r="C468" s="75" t="str">
        <f>IF($T$4=0,IF($J468="","",$J468),IFERROR(IF([1]财务取数接口!$C$467=0,"",[1]财务取数接口!$C$467),""))</f>
        <v/>
      </c>
      <c r="D468" s="89" t="str">
        <f>IF($T$4=0,IF($K468="","",$K468),IFERROR(IF([1]财务取数接口!$D$467=0,"",[1]财务取数接口!$D$467),""))</f>
        <v/>
      </c>
      <c r="E468" s="89" t="str">
        <f>IF($T$4=0,IF($L468="","",$L468),IFERROR(IF([1]财务取数接口!$E$467=0,"",[1]财务取数接口!$E$467),""))</f>
        <v/>
      </c>
      <c r="F468" s="76" t="str">
        <f>IF($T$4=0,IF($M468="","",$M468),IFERROR(IF([1]财务取数接口!$G$467=0,"",[1]财务取数接口!$G$467),""))</f>
        <v/>
      </c>
      <c r="G468" s="76" t="str">
        <f>IF($T$4=0,IF($N468="","",$N468),IFERROR(IF([1]财务取数接口!$H$467=0,"",[1]财务取数接口!$H$467),""))</f>
        <v/>
      </c>
      <c r="H468" s="75" t="str">
        <f>IF($T$4=0,IF($O468="","",$O468),IFERROR(IF([1]财务取数接口!$I$467=0,"",[1]财务取数接口!$I$467),""))</f>
        <v/>
      </c>
      <c r="I468" s="43"/>
      <c r="J468" s="106"/>
      <c r="K468" s="43"/>
      <c r="L468" s="43"/>
      <c r="M468" s="107"/>
      <c r="N468" s="107"/>
      <c r="O468" s="106"/>
      <c r="P468" s="139">
        <f t="shared" si="14"/>
        <v>0</v>
      </c>
      <c r="Q468" s="139">
        <f t="shared" si="15"/>
        <v>5</v>
      </c>
    </row>
    <row r="469" spans="1:17">
      <c r="A469" s="74">
        <v>468</v>
      </c>
      <c r="B469" s="89" t="str">
        <f>IF($T$4=0,IF($I469="","",$I469),IFERROR(IF([1]财务取数接口!$B$468=0,"",[1]财务取数接口!$B$468),""))</f>
        <v/>
      </c>
      <c r="C469" s="75" t="str">
        <f>IF($T$4=0,IF($J469="","",$J469),IFERROR(IF([1]财务取数接口!$C$468=0,"",[1]财务取数接口!$C$468),""))</f>
        <v/>
      </c>
      <c r="D469" s="89" t="str">
        <f>IF($T$4=0,IF($K469="","",$K469),IFERROR(IF([1]财务取数接口!$D$468=0,"",[1]财务取数接口!$D$468),""))</f>
        <v/>
      </c>
      <c r="E469" s="89" t="str">
        <f>IF($T$4=0,IF($L469="","",$L469),IFERROR(IF([1]财务取数接口!$E$468=0,"",[1]财务取数接口!$E$468),""))</f>
        <v/>
      </c>
      <c r="F469" s="76" t="str">
        <f>IF($T$4=0,IF($M469="","",$M469),IFERROR(IF([1]财务取数接口!$G$468=0,"",[1]财务取数接口!$G$468),""))</f>
        <v/>
      </c>
      <c r="G469" s="76" t="str">
        <f>IF($T$4=0,IF($N469="","",$N469),IFERROR(IF([1]财务取数接口!$H$468=0,"",[1]财务取数接口!$H$468),""))</f>
        <v/>
      </c>
      <c r="H469" s="75" t="str">
        <f>IF($T$4=0,IF($O469="","",$O469),IFERROR(IF([1]财务取数接口!$I$468=0,"",[1]财务取数接口!$I$468),""))</f>
        <v/>
      </c>
      <c r="I469" s="43"/>
      <c r="J469" s="106"/>
      <c r="K469" s="43"/>
      <c r="L469" s="43"/>
      <c r="M469" s="107"/>
      <c r="N469" s="107"/>
      <c r="O469" s="106"/>
      <c r="P469" s="139">
        <f t="shared" si="14"/>
        <v>0</v>
      </c>
      <c r="Q469" s="139">
        <f t="shared" si="15"/>
        <v>5</v>
      </c>
    </row>
    <row r="470" spans="1:17">
      <c r="A470" s="74">
        <v>469</v>
      </c>
      <c r="B470" s="89" t="str">
        <f>IF($T$4=0,IF($I470="","",$I470),IFERROR(IF([1]财务取数接口!$B$469=0,"",[1]财务取数接口!$B$469),""))</f>
        <v/>
      </c>
      <c r="C470" s="75" t="str">
        <f>IF($T$4=0,IF($J470="","",$J470),IFERROR(IF([1]财务取数接口!$C$469=0,"",[1]财务取数接口!$C$469),""))</f>
        <v/>
      </c>
      <c r="D470" s="89" t="str">
        <f>IF($T$4=0,IF($K470="","",$K470),IFERROR(IF([1]财务取数接口!$D$469=0,"",[1]财务取数接口!$D$469),""))</f>
        <v/>
      </c>
      <c r="E470" s="89" t="str">
        <f>IF($T$4=0,IF($L470="","",$L470),IFERROR(IF([1]财务取数接口!$E$469=0,"",[1]财务取数接口!$E$469),""))</f>
        <v/>
      </c>
      <c r="F470" s="76" t="str">
        <f>IF($T$4=0,IF($M470="","",$M470),IFERROR(IF([1]财务取数接口!$G$469=0,"",[1]财务取数接口!$G$469),""))</f>
        <v/>
      </c>
      <c r="G470" s="76" t="str">
        <f>IF($T$4=0,IF($N470="","",$N470),IFERROR(IF([1]财务取数接口!$H$469=0,"",[1]财务取数接口!$H$469),""))</f>
        <v/>
      </c>
      <c r="H470" s="75" t="str">
        <f>IF($T$4=0,IF($O470="","",$O470),IFERROR(IF([1]财务取数接口!$I$469=0,"",[1]财务取数接口!$I$469),""))</f>
        <v/>
      </c>
      <c r="I470" s="43"/>
      <c r="J470" s="106"/>
      <c r="K470" s="43"/>
      <c r="L470" s="43"/>
      <c r="M470" s="107"/>
      <c r="N470" s="107"/>
      <c r="O470" s="106"/>
      <c r="P470" s="139">
        <f t="shared" si="14"/>
        <v>0</v>
      </c>
      <c r="Q470" s="139">
        <f t="shared" si="15"/>
        <v>5</v>
      </c>
    </row>
    <row r="471" spans="1:17">
      <c r="A471" s="74">
        <v>470</v>
      </c>
      <c r="B471" s="89" t="str">
        <f>IF($T$4=0,IF($I471="","",$I471),IFERROR(IF([1]财务取数接口!$B$470=0,"",[1]财务取数接口!$B$470),""))</f>
        <v/>
      </c>
      <c r="C471" s="75" t="str">
        <f>IF($T$4=0,IF($J471="","",$J471),IFERROR(IF([1]财务取数接口!$C$470=0,"",[1]财务取数接口!$C$470),""))</f>
        <v/>
      </c>
      <c r="D471" s="89" t="str">
        <f>IF($T$4=0,IF($K471="","",$K471),IFERROR(IF([1]财务取数接口!$D$470=0,"",[1]财务取数接口!$D$470),""))</f>
        <v/>
      </c>
      <c r="E471" s="89" t="str">
        <f>IF($T$4=0,IF($L471="","",$L471),IFERROR(IF([1]财务取数接口!$E$470=0,"",[1]财务取数接口!$E$470),""))</f>
        <v/>
      </c>
      <c r="F471" s="76" t="str">
        <f>IF($T$4=0,IF($M471="","",$M471),IFERROR(IF([1]财务取数接口!$G$470=0,"",[1]财务取数接口!$G$470),""))</f>
        <v/>
      </c>
      <c r="G471" s="76" t="str">
        <f>IF($T$4=0,IF($N471="","",$N471),IFERROR(IF([1]财务取数接口!$H$470=0,"",[1]财务取数接口!$H$470),""))</f>
        <v/>
      </c>
      <c r="H471" s="75" t="str">
        <f>IF($T$4=0,IF($O471="","",$O471),IFERROR(IF([1]财务取数接口!$I$470=0,"",[1]财务取数接口!$I$470),""))</f>
        <v/>
      </c>
      <c r="I471" s="43"/>
      <c r="J471" s="106"/>
      <c r="K471" s="43"/>
      <c r="L471" s="43"/>
      <c r="M471" s="107"/>
      <c r="N471" s="107"/>
      <c r="O471" s="106"/>
      <c r="P471" s="139">
        <f t="shared" si="14"/>
        <v>0</v>
      </c>
      <c r="Q471" s="139">
        <f t="shared" si="15"/>
        <v>5</v>
      </c>
    </row>
    <row r="472" spans="1:17">
      <c r="A472" s="74">
        <v>471</v>
      </c>
      <c r="B472" s="89" t="str">
        <f>IF($T$4=0,IF($I472="","",$I472),IFERROR(IF([1]财务取数接口!$B$471=0,"",[1]财务取数接口!$B$471),""))</f>
        <v/>
      </c>
      <c r="C472" s="75" t="str">
        <f>IF($T$4=0,IF($J472="","",$J472),IFERROR(IF([1]财务取数接口!$C$471=0,"",[1]财务取数接口!$C$471),""))</f>
        <v/>
      </c>
      <c r="D472" s="89" t="str">
        <f>IF($T$4=0,IF($K472="","",$K472),IFERROR(IF([1]财务取数接口!$D$471=0,"",[1]财务取数接口!$D$471),""))</f>
        <v/>
      </c>
      <c r="E472" s="89" t="str">
        <f>IF($T$4=0,IF($L472="","",$L472),IFERROR(IF([1]财务取数接口!$E$471=0,"",[1]财务取数接口!$E$471),""))</f>
        <v/>
      </c>
      <c r="F472" s="76" t="str">
        <f>IF($T$4=0,IF($M472="","",$M472),IFERROR(IF([1]财务取数接口!$G$471=0,"",[1]财务取数接口!$G$471),""))</f>
        <v/>
      </c>
      <c r="G472" s="76" t="str">
        <f>IF($T$4=0,IF($N472="","",$N472),IFERROR(IF([1]财务取数接口!$H$471=0,"",[1]财务取数接口!$H$471),""))</f>
        <v/>
      </c>
      <c r="H472" s="75" t="str">
        <f>IF($T$4=0,IF($O472="","",$O472),IFERROR(IF([1]财务取数接口!$I$471=0,"",[1]财务取数接口!$I$471),""))</f>
        <v/>
      </c>
      <c r="I472" s="43"/>
      <c r="J472" s="106"/>
      <c r="K472" s="43"/>
      <c r="L472" s="43"/>
      <c r="M472" s="107"/>
      <c r="N472" s="107"/>
      <c r="O472" s="106"/>
      <c r="P472" s="139">
        <f t="shared" si="14"/>
        <v>0</v>
      </c>
      <c r="Q472" s="139">
        <f t="shared" si="15"/>
        <v>5</v>
      </c>
    </row>
    <row r="473" spans="1:17">
      <c r="A473" s="74">
        <v>472</v>
      </c>
      <c r="B473" s="89" t="str">
        <f>IF($T$4=0,IF($I473="","",$I473),IFERROR(IF([1]财务取数接口!$B$472=0,"",[1]财务取数接口!$B$472),""))</f>
        <v/>
      </c>
      <c r="C473" s="75" t="str">
        <f>IF($T$4=0,IF($J473="","",$J473),IFERROR(IF([1]财务取数接口!$C$472=0,"",[1]财务取数接口!$C$472),""))</f>
        <v/>
      </c>
      <c r="D473" s="89" t="str">
        <f>IF($T$4=0,IF($K473="","",$K473),IFERROR(IF([1]财务取数接口!$D$472=0,"",[1]财务取数接口!$D$472),""))</f>
        <v/>
      </c>
      <c r="E473" s="89" t="str">
        <f>IF($T$4=0,IF($L473="","",$L473),IFERROR(IF([1]财务取数接口!$E$472=0,"",[1]财务取数接口!$E$472),""))</f>
        <v/>
      </c>
      <c r="F473" s="76" t="str">
        <f>IF($T$4=0,IF($M473="","",$M473),IFERROR(IF([1]财务取数接口!$G$472=0,"",[1]财务取数接口!$G$472),""))</f>
        <v/>
      </c>
      <c r="G473" s="76" t="str">
        <f>IF($T$4=0,IF($N473="","",$N473),IFERROR(IF([1]财务取数接口!$H$472=0,"",[1]财务取数接口!$H$472),""))</f>
        <v/>
      </c>
      <c r="H473" s="75" t="str">
        <f>IF($T$4=0,IF($O473="","",$O473),IFERROR(IF([1]财务取数接口!$I$472=0,"",[1]财务取数接口!$I$472),""))</f>
        <v/>
      </c>
      <c r="I473" s="43"/>
      <c r="J473" s="106"/>
      <c r="K473" s="43"/>
      <c r="L473" s="43"/>
      <c r="M473" s="107"/>
      <c r="N473" s="107"/>
      <c r="O473" s="106"/>
      <c r="P473" s="139">
        <f t="shared" si="14"/>
        <v>0</v>
      </c>
      <c r="Q473" s="139">
        <f t="shared" si="15"/>
        <v>5</v>
      </c>
    </row>
    <row r="474" spans="1:17">
      <c r="A474" s="74">
        <v>473</v>
      </c>
      <c r="B474" s="89" t="str">
        <f>IF($T$4=0,IF($I474="","",$I474),IFERROR(IF([1]财务取数接口!$B$473=0,"",[1]财务取数接口!$B$473),""))</f>
        <v/>
      </c>
      <c r="C474" s="75" t="str">
        <f>IF($T$4=0,IF($J474="","",$J474),IFERROR(IF([1]财务取数接口!$C$473=0,"",[1]财务取数接口!$C$473),""))</f>
        <v/>
      </c>
      <c r="D474" s="89" t="str">
        <f>IF($T$4=0,IF($K474="","",$K474),IFERROR(IF([1]财务取数接口!$D$473=0,"",[1]财务取数接口!$D$473),""))</f>
        <v/>
      </c>
      <c r="E474" s="89" t="str">
        <f>IF($T$4=0,IF($L474="","",$L474),IFERROR(IF([1]财务取数接口!$E$473=0,"",[1]财务取数接口!$E$473),""))</f>
        <v/>
      </c>
      <c r="F474" s="76" t="str">
        <f>IF($T$4=0,IF($M474="","",$M474),IFERROR(IF([1]财务取数接口!$G$473=0,"",[1]财务取数接口!$G$473),""))</f>
        <v/>
      </c>
      <c r="G474" s="76" t="str">
        <f>IF($T$4=0,IF($N474="","",$N474),IFERROR(IF([1]财务取数接口!$H$473=0,"",[1]财务取数接口!$H$473),""))</f>
        <v/>
      </c>
      <c r="H474" s="75" t="str">
        <f>IF($T$4=0,IF($O474="","",$O474),IFERROR(IF([1]财务取数接口!$I$473=0,"",[1]财务取数接口!$I$473),""))</f>
        <v/>
      </c>
      <c r="I474" s="43"/>
      <c r="J474" s="106"/>
      <c r="K474" s="43"/>
      <c r="L474" s="43"/>
      <c r="M474" s="107"/>
      <c r="N474" s="107"/>
      <c r="O474" s="106"/>
      <c r="P474" s="139">
        <f t="shared" si="14"/>
        <v>0</v>
      </c>
      <c r="Q474" s="139">
        <f t="shared" si="15"/>
        <v>5</v>
      </c>
    </row>
    <row r="475" spans="1:17">
      <c r="A475" s="74">
        <v>474</v>
      </c>
      <c r="B475" s="89" t="str">
        <f>IF($T$4=0,IF($I475="","",$I475),IFERROR(IF([1]财务取数接口!$B$474=0,"",[1]财务取数接口!$B$474),""))</f>
        <v/>
      </c>
      <c r="C475" s="75" t="str">
        <f>IF($T$4=0,IF($J475="","",$J475),IFERROR(IF([1]财务取数接口!$C$474=0,"",[1]财务取数接口!$C$474),""))</f>
        <v/>
      </c>
      <c r="D475" s="89" t="str">
        <f>IF($T$4=0,IF($K475="","",$K475),IFERROR(IF([1]财务取数接口!$D$474=0,"",[1]财务取数接口!$D$474),""))</f>
        <v/>
      </c>
      <c r="E475" s="89" t="str">
        <f>IF($T$4=0,IF($L475="","",$L475),IFERROR(IF([1]财务取数接口!$E$474=0,"",[1]财务取数接口!$E$474),""))</f>
        <v/>
      </c>
      <c r="F475" s="76" t="str">
        <f>IF($T$4=0,IF($M475="","",$M475),IFERROR(IF([1]财务取数接口!$G$474=0,"",[1]财务取数接口!$G$474),""))</f>
        <v/>
      </c>
      <c r="G475" s="76" t="str">
        <f>IF($T$4=0,IF($N475="","",$N475),IFERROR(IF([1]财务取数接口!$H$474=0,"",[1]财务取数接口!$H$474),""))</f>
        <v/>
      </c>
      <c r="H475" s="75" t="str">
        <f>IF($T$4=0,IF($O475="","",$O475),IFERROR(IF([1]财务取数接口!$I$474=0,"",[1]财务取数接口!$I$474),""))</f>
        <v/>
      </c>
      <c r="I475" s="43"/>
      <c r="J475" s="106"/>
      <c r="K475" s="43"/>
      <c r="L475" s="43"/>
      <c r="M475" s="107"/>
      <c r="N475" s="107"/>
      <c r="O475" s="106"/>
      <c r="P475" s="139">
        <f t="shared" si="14"/>
        <v>0</v>
      </c>
      <c r="Q475" s="139">
        <f t="shared" si="15"/>
        <v>5</v>
      </c>
    </row>
    <row r="476" spans="1:17">
      <c r="A476" s="74">
        <v>475</v>
      </c>
      <c r="B476" s="89" t="str">
        <f>IF($T$4=0,IF($I476="","",$I476),IFERROR(IF([1]财务取数接口!$B$475=0,"",[1]财务取数接口!$B$475),""))</f>
        <v/>
      </c>
      <c r="C476" s="75" t="str">
        <f>IF($T$4=0,IF($J476="","",$J476),IFERROR(IF([1]财务取数接口!$C$475=0,"",[1]财务取数接口!$C$475),""))</f>
        <v/>
      </c>
      <c r="D476" s="89" t="str">
        <f>IF($T$4=0,IF($K476="","",$K476),IFERROR(IF([1]财务取数接口!$D$475=0,"",[1]财务取数接口!$D$475),""))</f>
        <v/>
      </c>
      <c r="E476" s="89" t="str">
        <f>IF($T$4=0,IF($L476="","",$L476),IFERROR(IF([1]财务取数接口!$E$475=0,"",[1]财务取数接口!$E$475),""))</f>
        <v/>
      </c>
      <c r="F476" s="76" t="str">
        <f>IF($T$4=0,IF($M476="","",$M476),IFERROR(IF([1]财务取数接口!$G$475=0,"",[1]财务取数接口!$G$475),""))</f>
        <v/>
      </c>
      <c r="G476" s="76" t="str">
        <f>IF($T$4=0,IF($N476="","",$N476),IFERROR(IF([1]财务取数接口!$H$475=0,"",[1]财务取数接口!$H$475),""))</f>
        <v/>
      </c>
      <c r="H476" s="75" t="str">
        <f>IF($T$4=0,IF($O476="","",$O476),IFERROR(IF([1]财务取数接口!$I$475=0,"",[1]财务取数接口!$I$475),""))</f>
        <v/>
      </c>
      <c r="I476" s="43"/>
      <c r="J476" s="106"/>
      <c r="K476" s="43"/>
      <c r="L476" s="43"/>
      <c r="M476" s="107"/>
      <c r="N476" s="107"/>
      <c r="O476" s="106"/>
      <c r="P476" s="139">
        <f t="shared" si="14"/>
        <v>0</v>
      </c>
      <c r="Q476" s="139">
        <f t="shared" si="15"/>
        <v>5</v>
      </c>
    </row>
    <row r="477" spans="1:17">
      <c r="A477" s="74">
        <v>476</v>
      </c>
      <c r="B477" s="89" t="str">
        <f>IF($T$4=0,IF($I477="","",$I477),IFERROR(IF([1]财务取数接口!$B$476=0,"",[1]财务取数接口!$B$476),""))</f>
        <v/>
      </c>
      <c r="C477" s="75" t="str">
        <f>IF($T$4=0,IF($J477="","",$J477),IFERROR(IF([1]财务取数接口!$C$476=0,"",[1]财务取数接口!$C$476),""))</f>
        <v/>
      </c>
      <c r="D477" s="89" t="str">
        <f>IF($T$4=0,IF($K477="","",$K477),IFERROR(IF([1]财务取数接口!$D$476=0,"",[1]财务取数接口!$D$476),""))</f>
        <v/>
      </c>
      <c r="E477" s="89" t="str">
        <f>IF($T$4=0,IF($L477="","",$L477),IFERROR(IF([1]财务取数接口!$E$476=0,"",[1]财务取数接口!$E$476),""))</f>
        <v/>
      </c>
      <c r="F477" s="76" t="str">
        <f>IF($T$4=0,IF($M477="","",$M477),IFERROR(IF([1]财务取数接口!$G$476=0,"",[1]财务取数接口!$G$476),""))</f>
        <v/>
      </c>
      <c r="G477" s="76" t="str">
        <f>IF($T$4=0,IF($N477="","",$N477),IFERROR(IF([1]财务取数接口!$H$476=0,"",[1]财务取数接口!$H$476),""))</f>
        <v/>
      </c>
      <c r="H477" s="75" t="str">
        <f>IF($T$4=0,IF($O477="","",$O477),IFERROR(IF([1]财务取数接口!$I$476=0,"",[1]财务取数接口!$I$476),""))</f>
        <v/>
      </c>
      <c r="I477" s="43"/>
      <c r="J477" s="106"/>
      <c r="K477" s="43"/>
      <c r="L477" s="43"/>
      <c r="M477" s="107"/>
      <c r="N477" s="107"/>
      <c r="O477" s="106"/>
      <c r="P477" s="139">
        <f t="shared" si="14"/>
        <v>0</v>
      </c>
      <c r="Q477" s="139">
        <f t="shared" si="15"/>
        <v>5</v>
      </c>
    </row>
    <row r="478" spans="1:17">
      <c r="A478" s="74">
        <v>477</v>
      </c>
      <c r="B478" s="89" t="str">
        <f>IF($T$4=0,IF($I478="","",$I478),IFERROR(IF([1]财务取数接口!$B$477=0,"",[1]财务取数接口!$B$477),""))</f>
        <v/>
      </c>
      <c r="C478" s="75" t="str">
        <f>IF($T$4=0,IF($J478="","",$J478),IFERROR(IF([1]财务取数接口!$C$477=0,"",[1]财务取数接口!$C$477),""))</f>
        <v/>
      </c>
      <c r="D478" s="89" t="str">
        <f>IF($T$4=0,IF($K478="","",$K478),IFERROR(IF([1]财务取数接口!$D$477=0,"",[1]财务取数接口!$D$477),""))</f>
        <v/>
      </c>
      <c r="E478" s="89" t="str">
        <f>IF($T$4=0,IF($L478="","",$L478),IFERROR(IF([1]财务取数接口!$E$477=0,"",[1]财务取数接口!$E$477),""))</f>
        <v/>
      </c>
      <c r="F478" s="76" t="str">
        <f>IF($T$4=0,IF($M478="","",$M478),IFERROR(IF([1]财务取数接口!$G$477=0,"",[1]财务取数接口!$G$477),""))</f>
        <v/>
      </c>
      <c r="G478" s="76" t="str">
        <f>IF($T$4=0,IF($N478="","",$N478),IFERROR(IF([1]财务取数接口!$H$477=0,"",[1]财务取数接口!$H$477),""))</f>
        <v/>
      </c>
      <c r="H478" s="75" t="str">
        <f>IF($T$4=0,IF($O478="","",$O478),IFERROR(IF([1]财务取数接口!$I$477=0,"",[1]财务取数接口!$I$477),""))</f>
        <v/>
      </c>
      <c r="I478" s="43"/>
      <c r="J478" s="106"/>
      <c r="K478" s="43"/>
      <c r="L478" s="43"/>
      <c r="M478" s="107"/>
      <c r="N478" s="107"/>
      <c r="O478" s="106"/>
      <c r="P478" s="139">
        <f t="shared" si="14"/>
        <v>0</v>
      </c>
      <c r="Q478" s="139">
        <f t="shared" si="15"/>
        <v>5</v>
      </c>
    </row>
    <row r="479" spans="1:17">
      <c r="A479" s="74">
        <v>478</v>
      </c>
      <c r="B479" s="89" t="str">
        <f>IF($T$4=0,IF($I479="","",$I479),IFERROR(IF([1]财务取数接口!$B$478=0,"",[1]财务取数接口!$B$478),""))</f>
        <v/>
      </c>
      <c r="C479" s="75" t="str">
        <f>IF($T$4=0,IF($J479="","",$J479),IFERROR(IF([1]财务取数接口!$C$478=0,"",[1]财务取数接口!$C$478),""))</f>
        <v/>
      </c>
      <c r="D479" s="89" t="str">
        <f>IF($T$4=0,IF($K479="","",$K479),IFERROR(IF([1]财务取数接口!$D$478=0,"",[1]财务取数接口!$D$478),""))</f>
        <v/>
      </c>
      <c r="E479" s="89" t="str">
        <f>IF($T$4=0,IF($L479="","",$L479),IFERROR(IF([1]财务取数接口!$E$478=0,"",[1]财务取数接口!$E$478),""))</f>
        <v/>
      </c>
      <c r="F479" s="76" t="str">
        <f>IF($T$4=0,IF($M479="","",$M479),IFERROR(IF([1]财务取数接口!$G$478=0,"",[1]财务取数接口!$G$478),""))</f>
        <v/>
      </c>
      <c r="G479" s="76" t="str">
        <f>IF($T$4=0,IF($N479="","",$N479),IFERROR(IF([1]财务取数接口!$H$478=0,"",[1]财务取数接口!$H$478),""))</f>
        <v/>
      </c>
      <c r="H479" s="75" t="str">
        <f>IF($T$4=0,IF($O479="","",$O479),IFERROR(IF([1]财务取数接口!$I$478=0,"",[1]财务取数接口!$I$478),""))</f>
        <v/>
      </c>
      <c r="I479" s="43"/>
      <c r="J479" s="106"/>
      <c r="K479" s="43"/>
      <c r="L479" s="43"/>
      <c r="M479" s="107"/>
      <c r="N479" s="107"/>
      <c r="O479" s="106"/>
      <c r="P479" s="139">
        <f t="shared" si="14"/>
        <v>0</v>
      </c>
      <c r="Q479" s="139">
        <f t="shared" si="15"/>
        <v>5</v>
      </c>
    </row>
    <row r="480" spans="1:17">
      <c r="A480" s="74">
        <v>479</v>
      </c>
      <c r="B480" s="89" t="str">
        <f>IF($T$4=0,IF($I480="","",$I480),IFERROR(IF([1]财务取数接口!$B$479=0,"",[1]财务取数接口!$B$479),""))</f>
        <v/>
      </c>
      <c r="C480" s="75" t="str">
        <f>IF($T$4=0,IF($J480="","",$J480),IFERROR(IF([1]财务取数接口!$C$479=0,"",[1]财务取数接口!$C$479),""))</f>
        <v/>
      </c>
      <c r="D480" s="89" t="str">
        <f>IF($T$4=0,IF($K480="","",$K480),IFERROR(IF([1]财务取数接口!$D$479=0,"",[1]财务取数接口!$D$479),""))</f>
        <v/>
      </c>
      <c r="E480" s="89" t="str">
        <f>IF($T$4=0,IF($L480="","",$L480),IFERROR(IF([1]财务取数接口!$E$479=0,"",[1]财务取数接口!$E$479),""))</f>
        <v/>
      </c>
      <c r="F480" s="76" t="str">
        <f>IF($T$4=0,IF($M480="","",$M480),IFERROR(IF([1]财务取数接口!$G$479=0,"",[1]财务取数接口!$G$479),""))</f>
        <v/>
      </c>
      <c r="G480" s="76" t="str">
        <f>IF($T$4=0,IF($N480="","",$N480),IFERROR(IF([1]财务取数接口!$H$479=0,"",[1]财务取数接口!$H$479),""))</f>
        <v/>
      </c>
      <c r="H480" s="75" t="str">
        <f>IF($T$4=0,IF($O480="","",$O480),IFERROR(IF([1]财务取数接口!$I$479=0,"",[1]财务取数接口!$I$479),""))</f>
        <v/>
      </c>
      <c r="I480" s="43"/>
      <c r="J480" s="106"/>
      <c r="K480" s="43"/>
      <c r="L480" s="43"/>
      <c r="M480" s="107"/>
      <c r="N480" s="107"/>
      <c r="O480" s="106"/>
      <c r="P480" s="139">
        <f t="shared" si="14"/>
        <v>0</v>
      </c>
      <c r="Q480" s="139">
        <f t="shared" si="15"/>
        <v>5</v>
      </c>
    </row>
    <row r="481" spans="1:17">
      <c r="A481" s="74">
        <v>480</v>
      </c>
      <c r="B481" s="89" t="str">
        <f>IF($T$4=0,IF($I481="","",$I481),IFERROR(IF([1]财务取数接口!$B$480=0,"",[1]财务取数接口!$B$480),""))</f>
        <v/>
      </c>
      <c r="C481" s="75" t="str">
        <f>IF($T$4=0,IF($J481="","",$J481),IFERROR(IF([1]财务取数接口!$C$480=0,"",[1]财务取数接口!$C$480),""))</f>
        <v/>
      </c>
      <c r="D481" s="89" t="str">
        <f>IF($T$4=0,IF($K481="","",$K481),IFERROR(IF([1]财务取数接口!$D$480=0,"",[1]财务取数接口!$D$480),""))</f>
        <v/>
      </c>
      <c r="E481" s="89" t="str">
        <f>IF($T$4=0,IF($L481="","",$L481),IFERROR(IF([1]财务取数接口!$E$480=0,"",[1]财务取数接口!$E$480),""))</f>
        <v/>
      </c>
      <c r="F481" s="76" t="str">
        <f>IF($T$4=0,IF($M481="","",$M481),IFERROR(IF([1]财务取数接口!$G$480=0,"",[1]财务取数接口!$G$480),""))</f>
        <v/>
      </c>
      <c r="G481" s="76" t="str">
        <f>IF($T$4=0,IF($N481="","",$N481),IFERROR(IF([1]财务取数接口!$H$480=0,"",[1]财务取数接口!$H$480),""))</f>
        <v/>
      </c>
      <c r="H481" s="75" t="str">
        <f>IF($T$4=0,IF($O481="","",$O481),IFERROR(IF([1]财务取数接口!$I$480=0,"",[1]财务取数接口!$I$480),""))</f>
        <v/>
      </c>
      <c r="I481" s="43"/>
      <c r="J481" s="106"/>
      <c r="K481" s="43"/>
      <c r="L481" s="43"/>
      <c r="M481" s="107"/>
      <c r="N481" s="107"/>
      <c r="O481" s="106"/>
      <c r="P481" s="139">
        <f t="shared" si="14"/>
        <v>0</v>
      </c>
      <c r="Q481" s="139">
        <f t="shared" si="15"/>
        <v>5</v>
      </c>
    </row>
    <row r="482" spans="1:17">
      <c r="A482" s="74">
        <v>481</v>
      </c>
      <c r="B482" s="89" t="str">
        <f>IF($T$4=0,IF($I482="","",$I482),IFERROR(IF([1]财务取数接口!$B$481=0,"",[1]财务取数接口!$B$481),""))</f>
        <v/>
      </c>
      <c r="C482" s="75" t="str">
        <f>IF($T$4=0,IF($J482="","",$J482),IFERROR(IF([1]财务取数接口!$C$481=0,"",[1]财务取数接口!$C$481),""))</f>
        <v/>
      </c>
      <c r="D482" s="89" t="str">
        <f>IF($T$4=0,IF($K482="","",$K482),IFERROR(IF([1]财务取数接口!$D$481=0,"",[1]财务取数接口!$D$481),""))</f>
        <v/>
      </c>
      <c r="E482" s="89" t="str">
        <f>IF($T$4=0,IF($L482="","",$L482),IFERROR(IF([1]财务取数接口!$E$481=0,"",[1]财务取数接口!$E$481),""))</f>
        <v/>
      </c>
      <c r="F482" s="76" t="str">
        <f>IF($T$4=0,IF($M482="","",$M482),IFERROR(IF([1]财务取数接口!$G$481=0,"",[1]财务取数接口!$G$481),""))</f>
        <v/>
      </c>
      <c r="G482" s="76" t="str">
        <f>IF($T$4=0,IF($N482="","",$N482),IFERROR(IF([1]财务取数接口!$H$481=0,"",[1]财务取数接口!$H$481),""))</f>
        <v/>
      </c>
      <c r="H482" s="75" t="str">
        <f>IF($T$4=0,IF($O482="","",$O482),IFERROR(IF([1]财务取数接口!$I$481=0,"",[1]财务取数接口!$I$481),""))</f>
        <v/>
      </c>
      <c r="I482" s="43"/>
      <c r="J482" s="106"/>
      <c r="K482" s="43"/>
      <c r="L482" s="43"/>
      <c r="M482" s="107"/>
      <c r="N482" s="107"/>
      <c r="O482" s="106"/>
      <c r="P482" s="139">
        <f t="shared" si="14"/>
        <v>0</v>
      </c>
      <c r="Q482" s="139">
        <f t="shared" si="15"/>
        <v>5</v>
      </c>
    </row>
    <row r="483" spans="1:17">
      <c r="A483" s="74">
        <v>482</v>
      </c>
      <c r="B483" s="89" t="str">
        <f>IF($T$4=0,IF($I483="","",$I483),IFERROR(IF([1]财务取数接口!$B$482=0,"",[1]财务取数接口!$B$482),""))</f>
        <v/>
      </c>
      <c r="C483" s="75" t="str">
        <f>IF($T$4=0,IF($J483="","",$J483),IFERROR(IF([1]财务取数接口!$C$482=0,"",[1]财务取数接口!$C$482),""))</f>
        <v/>
      </c>
      <c r="D483" s="89" t="str">
        <f>IF($T$4=0,IF($K483="","",$K483),IFERROR(IF([1]财务取数接口!$D$482=0,"",[1]财务取数接口!$D$482),""))</f>
        <v/>
      </c>
      <c r="E483" s="89" t="str">
        <f>IF($T$4=0,IF($L483="","",$L483),IFERROR(IF([1]财务取数接口!$E$482=0,"",[1]财务取数接口!$E$482),""))</f>
        <v/>
      </c>
      <c r="F483" s="76" t="str">
        <f>IF($T$4=0,IF($M483="","",$M483),IFERROR(IF([1]财务取数接口!$G$482=0,"",[1]财务取数接口!$G$482),""))</f>
        <v/>
      </c>
      <c r="G483" s="76" t="str">
        <f>IF($T$4=0,IF($N483="","",$N483),IFERROR(IF([1]财务取数接口!$H$482=0,"",[1]财务取数接口!$H$482),""))</f>
        <v/>
      </c>
      <c r="H483" s="75" t="str">
        <f>IF($T$4=0,IF($O483="","",$O483),IFERROR(IF([1]财务取数接口!$I$482=0,"",[1]财务取数接口!$I$482),""))</f>
        <v/>
      </c>
      <c r="I483" s="43"/>
      <c r="J483" s="106"/>
      <c r="K483" s="43"/>
      <c r="L483" s="43"/>
      <c r="M483" s="107"/>
      <c r="N483" s="107"/>
      <c r="O483" s="106"/>
      <c r="P483" s="139">
        <f t="shared" si="14"/>
        <v>0</v>
      </c>
      <c r="Q483" s="139">
        <f t="shared" si="15"/>
        <v>5</v>
      </c>
    </row>
    <row r="484" spans="1:17">
      <c r="A484" s="74">
        <v>483</v>
      </c>
      <c r="B484" s="89" t="str">
        <f>IF($T$4=0,IF($I484="","",$I484),IFERROR(IF([1]财务取数接口!$B$483=0,"",[1]财务取数接口!$B$483),""))</f>
        <v/>
      </c>
      <c r="C484" s="75" t="str">
        <f>IF($T$4=0,IF($J484="","",$J484),IFERROR(IF([1]财务取数接口!$C$483=0,"",[1]财务取数接口!$C$483),""))</f>
        <v/>
      </c>
      <c r="D484" s="89" t="str">
        <f>IF($T$4=0,IF($K484="","",$K484),IFERROR(IF([1]财务取数接口!$D$483=0,"",[1]财务取数接口!$D$483),""))</f>
        <v/>
      </c>
      <c r="E484" s="89" t="str">
        <f>IF($T$4=0,IF($L484="","",$L484),IFERROR(IF([1]财务取数接口!$E$483=0,"",[1]财务取数接口!$E$483),""))</f>
        <v/>
      </c>
      <c r="F484" s="76" t="str">
        <f>IF($T$4=0,IF($M484="","",$M484),IFERROR(IF([1]财务取数接口!$G$483=0,"",[1]财务取数接口!$G$483),""))</f>
        <v/>
      </c>
      <c r="G484" s="76" t="str">
        <f>IF($T$4=0,IF($N484="","",$N484),IFERROR(IF([1]财务取数接口!$H$483=0,"",[1]财务取数接口!$H$483),""))</f>
        <v/>
      </c>
      <c r="H484" s="75" t="str">
        <f>IF($T$4=0,IF($O484="","",$O484),IFERROR(IF([1]财务取数接口!$I$483=0,"",[1]财务取数接口!$I$483),""))</f>
        <v/>
      </c>
      <c r="I484" s="43"/>
      <c r="J484" s="106"/>
      <c r="K484" s="43"/>
      <c r="L484" s="43"/>
      <c r="M484" s="107"/>
      <c r="N484" s="107"/>
      <c r="O484" s="106"/>
      <c r="P484" s="139">
        <f t="shared" si="14"/>
        <v>0</v>
      </c>
      <c r="Q484" s="139">
        <f t="shared" si="15"/>
        <v>5</v>
      </c>
    </row>
    <row r="485" spans="1:17">
      <c r="A485" s="74">
        <v>484</v>
      </c>
      <c r="B485" s="89" t="str">
        <f>IF($T$4=0,IF($I485="","",$I485),IFERROR(IF([1]财务取数接口!$B$484=0,"",[1]财务取数接口!$B$484),""))</f>
        <v/>
      </c>
      <c r="C485" s="75" t="str">
        <f>IF($T$4=0,IF($J485="","",$J485),IFERROR(IF([1]财务取数接口!$C$484=0,"",[1]财务取数接口!$C$484),""))</f>
        <v/>
      </c>
      <c r="D485" s="89" t="str">
        <f>IF($T$4=0,IF($K485="","",$K485),IFERROR(IF([1]财务取数接口!$D$484=0,"",[1]财务取数接口!$D$484),""))</f>
        <v/>
      </c>
      <c r="E485" s="89" t="str">
        <f>IF($T$4=0,IF($L485="","",$L485),IFERROR(IF([1]财务取数接口!$E$484=0,"",[1]财务取数接口!$E$484),""))</f>
        <v/>
      </c>
      <c r="F485" s="76" t="str">
        <f>IF($T$4=0,IF($M485="","",$M485),IFERROR(IF([1]财务取数接口!$G$484=0,"",[1]财务取数接口!$G$484),""))</f>
        <v/>
      </c>
      <c r="G485" s="76" t="str">
        <f>IF($T$4=0,IF($N485="","",$N485),IFERROR(IF([1]财务取数接口!$H$484=0,"",[1]财务取数接口!$H$484),""))</f>
        <v/>
      </c>
      <c r="H485" s="75" t="str">
        <f>IF($T$4=0,IF($O485="","",$O485),IFERROR(IF([1]财务取数接口!$I$484=0,"",[1]财务取数接口!$I$484),""))</f>
        <v/>
      </c>
      <c r="I485" s="43"/>
      <c r="J485" s="106"/>
      <c r="K485" s="43"/>
      <c r="L485" s="43"/>
      <c r="M485" s="107"/>
      <c r="N485" s="107"/>
      <c r="O485" s="106"/>
      <c r="P485" s="139">
        <f t="shared" si="14"/>
        <v>0</v>
      </c>
      <c r="Q485" s="139">
        <f t="shared" si="15"/>
        <v>5</v>
      </c>
    </row>
    <row r="486" spans="1:17">
      <c r="A486" s="74">
        <v>485</v>
      </c>
      <c r="B486" s="89" t="str">
        <f>IF($T$4=0,IF($I486="","",$I486),IFERROR(IF([1]财务取数接口!$B$485=0,"",[1]财务取数接口!$B$485),""))</f>
        <v/>
      </c>
      <c r="C486" s="75" t="str">
        <f>IF($T$4=0,IF($J486="","",$J486),IFERROR(IF([1]财务取数接口!$C$485=0,"",[1]财务取数接口!$C$485),""))</f>
        <v/>
      </c>
      <c r="D486" s="89" t="str">
        <f>IF($T$4=0,IF($K486="","",$K486),IFERROR(IF([1]财务取数接口!$D$485=0,"",[1]财务取数接口!$D$485),""))</f>
        <v/>
      </c>
      <c r="E486" s="89" t="str">
        <f>IF($T$4=0,IF($L486="","",$L486),IFERROR(IF([1]财务取数接口!$E$485=0,"",[1]财务取数接口!$E$485),""))</f>
        <v/>
      </c>
      <c r="F486" s="76" t="str">
        <f>IF($T$4=0,IF($M486="","",$M486),IFERROR(IF([1]财务取数接口!$G$485=0,"",[1]财务取数接口!$G$485),""))</f>
        <v/>
      </c>
      <c r="G486" s="76" t="str">
        <f>IF($T$4=0,IF($N486="","",$N486),IFERROR(IF([1]财务取数接口!$H$485=0,"",[1]财务取数接口!$H$485),""))</f>
        <v/>
      </c>
      <c r="H486" s="75" t="str">
        <f>IF($T$4=0,IF($O486="","",$O486),IFERROR(IF([1]财务取数接口!$I$485=0,"",[1]财务取数接口!$I$485),""))</f>
        <v/>
      </c>
      <c r="I486" s="43"/>
      <c r="J486" s="106"/>
      <c r="K486" s="43"/>
      <c r="L486" s="43"/>
      <c r="M486" s="107"/>
      <c r="N486" s="107"/>
      <c r="O486" s="106"/>
      <c r="P486" s="139">
        <f t="shared" si="14"/>
        <v>0</v>
      </c>
      <c r="Q486" s="139">
        <f t="shared" si="15"/>
        <v>5</v>
      </c>
    </row>
    <row r="487" spans="1:17">
      <c r="A487" s="74">
        <v>486</v>
      </c>
      <c r="B487" s="89" t="str">
        <f>IF($T$4=0,IF($I487="","",$I487),IFERROR(IF([1]财务取数接口!$B$486=0,"",[1]财务取数接口!$B$486),""))</f>
        <v/>
      </c>
      <c r="C487" s="75" t="str">
        <f>IF($T$4=0,IF($J487="","",$J487),IFERROR(IF([1]财务取数接口!$C$486=0,"",[1]财务取数接口!$C$486),""))</f>
        <v/>
      </c>
      <c r="D487" s="89" t="str">
        <f>IF($T$4=0,IF($K487="","",$K487),IFERROR(IF([1]财务取数接口!$D$486=0,"",[1]财务取数接口!$D$486),""))</f>
        <v/>
      </c>
      <c r="E487" s="89" t="str">
        <f>IF($T$4=0,IF($L487="","",$L487),IFERROR(IF([1]财务取数接口!$E$486=0,"",[1]财务取数接口!$E$486),""))</f>
        <v/>
      </c>
      <c r="F487" s="76" t="str">
        <f>IF($T$4=0,IF($M487="","",$M487),IFERROR(IF([1]财务取数接口!$G$486=0,"",[1]财务取数接口!$G$486),""))</f>
        <v/>
      </c>
      <c r="G487" s="76" t="str">
        <f>IF($T$4=0,IF($N487="","",$N487),IFERROR(IF([1]财务取数接口!$H$486=0,"",[1]财务取数接口!$H$486),""))</f>
        <v/>
      </c>
      <c r="H487" s="75" t="str">
        <f>IF($T$4=0,IF($O487="","",$O487),IFERROR(IF([1]财务取数接口!$I$486=0,"",[1]财务取数接口!$I$486),""))</f>
        <v/>
      </c>
      <c r="I487" s="43"/>
      <c r="J487" s="106"/>
      <c r="K487" s="43"/>
      <c r="L487" s="43"/>
      <c r="M487" s="107"/>
      <c r="N487" s="107"/>
      <c r="O487" s="106"/>
      <c r="P487" s="139">
        <f t="shared" si="14"/>
        <v>0</v>
      </c>
      <c r="Q487" s="139">
        <f t="shared" si="15"/>
        <v>5</v>
      </c>
    </row>
    <row r="488" spans="1:17">
      <c r="A488" s="74">
        <v>487</v>
      </c>
      <c r="B488" s="89" t="str">
        <f>IF($T$4=0,IF($I488="","",$I488),IFERROR(IF([1]财务取数接口!$B$487=0,"",[1]财务取数接口!$B$487),""))</f>
        <v/>
      </c>
      <c r="C488" s="75" t="str">
        <f>IF($T$4=0,IF($J488="","",$J488),IFERROR(IF([1]财务取数接口!$C$487=0,"",[1]财务取数接口!$C$487),""))</f>
        <v/>
      </c>
      <c r="D488" s="89" t="str">
        <f>IF($T$4=0,IF($K488="","",$K488),IFERROR(IF([1]财务取数接口!$D$487=0,"",[1]财务取数接口!$D$487),""))</f>
        <v/>
      </c>
      <c r="E488" s="89" t="str">
        <f>IF($T$4=0,IF($L488="","",$L488),IFERROR(IF([1]财务取数接口!$E$487=0,"",[1]财务取数接口!$E$487),""))</f>
        <v/>
      </c>
      <c r="F488" s="76" t="str">
        <f>IF($T$4=0,IF($M488="","",$M488),IFERROR(IF([1]财务取数接口!$G$487=0,"",[1]财务取数接口!$G$487),""))</f>
        <v/>
      </c>
      <c r="G488" s="76" t="str">
        <f>IF($T$4=0,IF($N488="","",$N488),IFERROR(IF([1]财务取数接口!$H$487=0,"",[1]财务取数接口!$H$487),""))</f>
        <v/>
      </c>
      <c r="H488" s="75" t="str">
        <f>IF($T$4=0,IF($O488="","",$O488),IFERROR(IF([1]财务取数接口!$I$487=0,"",[1]财务取数接口!$I$487),""))</f>
        <v/>
      </c>
      <c r="I488" s="43"/>
      <c r="J488" s="106"/>
      <c r="K488" s="43"/>
      <c r="L488" s="43"/>
      <c r="M488" s="107"/>
      <c r="N488" s="107"/>
      <c r="O488" s="106"/>
      <c r="P488" s="139">
        <f t="shared" si="14"/>
        <v>0</v>
      </c>
      <c r="Q488" s="139">
        <f t="shared" si="15"/>
        <v>5</v>
      </c>
    </row>
    <row r="489" spans="1:17">
      <c r="A489" s="74">
        <v>488</v>
      </c>
      <c r="B489" s="89" t="str">
        <f>IF($T$4=0,IF($I489="","",$I489),IFERROR(IF([1]财务取数接口!$B$488=0,"",[1]财务取数接口!$B$488),""))</f>
        <v/>
      </c>
      <c r="C489" s="75" t="str">
        <f>IF($T$4=0,IF($J489="","",$J489),IFERROR(IF([1]财务取数接口!$C$488=0,"",[1]财务取数接口!$C$488),""))</f>
        <v/>
      </c>
      <c r="D489" s="89" t="str">
        <f>IF($T$4=0,IF($K489="","",$K489),IFERROR(IF([1]财务取数接口!$D$488=0,"",[1]财务取数接口!$D$488),""))</f>
        <v/>
      </c>
      <c r="E489" s="89" t="str">
        <f>IF($T$4=0,IF($L489="","",$L489),IFERROR(IF([1]财务取数接口!$E$488=0,"",[1]财务取数接口!$E$488),""))</f>
        <v/>
      </c>
      <c r="F489" s="76" t="str">
        <f>IF($T$4=0,IF($M489="","",$M489),IFERROR(IF([1]财务取数接口!$G$488=0,"",[1]财务取数接口!$G$488),""))</f>
        <v/>
      </c>
      <c r="G489" s="76" t="str">
        <f>IF($T$4=0,IF($N489="","",$N489),IFERROR(IF([1]财务取数接口!$H$488=0,"",[1]财务取数接口!$H$488),""))</f>
        <v/>
      </c>
      <c r="H489" s="75" t="str">
        <f>IF($T$4=0,IF($O489="","",$O489),IFERROR(IF([1]财务取数接口!$I$488=0,"",[1]财务取数接口!$I$488),""))</f>
        <v/>
      </c>
      <c r="I489" s="43"/>
      <c r="J489" s="106"/>
      <c r="K489" s="43"/>
      <c r="L489" s="43"/>
      <c r="M489" s="107"/>
      <c r="N489" s="107"/>
      <c r="O489" s="106"/>
      <c r="P489" s="139">
        <f t="shared" si="14"/>
        <v>0</v>
      </c>
      <c r="Q489" s="139">
        <f t="shared" si="15"/>
        <v>5</v>
      </c>
    </row>
    <row r="490" spans="1:17">
      <c r="A490" s="74">
        <v>489</v>
      </c>
      <c r="B490" s="89" t="str">
        <f>IF($T$4=0,IF($I490="","",$I490),IFERROR(IF([1]财务取数接口!$B$489=0,"",[1]财务取数接口!$B$489),""))</f>
        <v/>
      </c>
      <c r="C490" s="75" t="str">
        <f>IF($T$4=0,IF($J490="","",$J490),IFERROR(IF([1]财务取数接口!$C$489=0,"",[1]财务取数接口!$C$489),""))</f>
        <v/>
      </c>
      <c r="D490" s="89" t="str">
        <f>IF($T$4=0,IF($K490="","",$K490),IFERROR(IF([1]财务取数接口!$D$489=0,"",[1]财务取数接口!$D$489),""))</f>
        <v/>
      </c>
      <c r="E490" s="89" t="str">
        <f>IF($T$4=0,IF($L490="","",$L490),IFERROR(IF([1]财务取数接口!$E$489=0,"",[1]财务取数接口!$E$489),""))</f>
        <v/>
      </c>
      <c r="F490" s="76" t="str">
        <f>IF($T$4=0,IF($M490="","",$M490),IFERROR(IF([1]财务取数接口!$G$489=0,"",[1]财务取数接口!$G$489),""))</f>
        <v/>
      </c>
      <c r="G490" s="76" t="str">
        <f>IF($T$4=0,IF($N490="","",$N490),IFERROR(IF([1]财务取数接口!$H$489=0,"",[1]财务取数接口!$H$489),""))</f>
        <v/>
      </c>
      <c r="H490" s="75" t="str">
        <f>IF($T$4=0,IF($O490="","",$O490),IFERROR(IF([1]财务取数接口!$I$489=0,"",[1]财务取数接口!$I$489),""))</f>
        <v/>
      </c>
      <c r="I490" s="43"/>
      <c r="J490" s="106"/>
      <c r="K490" s="43"/>
      <c r="L490" s="43"/>
      <c r="M490" s="107"/>
      <c r="N490" s="107"/>
      <c r="O490" s="106"/>
      <c r="P490" s="139">
        <f t="shared" si="14"/>
        <v>0</v>
      </c>
      <c r="Q490" s="139">
        <f t="shared" si="15"/>
        <v>5</v>
      </c>
    </row>
    <row r="491" spans="1:17">
      <c r="A491" s="74">
        <v>490</v>
      </c>
      <c r="B491" s="89" t="str">
        <f>IF($T$4=0,IF($I491="","",$I491),IFERROR(IF([1]财务取数接口!$B$490=0,"",[1]财务取数接口!$B$490),""))</f>
        <v/>
      </c>
      <c r="C491" s="75" t="str">
        <f>IF($T$4=0,IF($J491="","",$J491),IFERROR(IF([1]财务取数接口!$C$490=0,"",[1]财务取数接口!$C$490),""))</f>
        <v/>
      </c>
      <c r="D491" s="89" t="str">
        <f>IF($T$4=0,IF($K491="","",$K491),IFERROR(IF([1]财务取数接口!$D$490=0,"",[1]财务取数接口!$D$490),""))</f>
        <v/>
      </c>
      <c r="E491" s="89" t="str">
        <f>IF($T$4=0,IF($L491="","",$L491),IFERROR(IF([1]财务取数接口!$E$490=0,"",[1]财务取数接口!$E$490),""))</f>
        <v/>
      </c>
      <c r="F491" s="76" t="str">
        <f>IF($T$4=0,IF($M491="","",$M491),IFERROR(IF([1]财务取数接口!$G$490=0,"",[1]财务取数接口!$G$490),""))</f>
        <v/>
      </c>
      <c r="G491" s="76" t="str">
        <f>IF($T$4=0,IF($N491="","",$N491),IFERROR(IF([1]财务取数接口!$H$490=0,"",[1]财务取数接口!$H$490),""))</f>
        <v/>
      </c>
      <c r="H491" s="75" t="str">
        <f>IF($T$4=0,IF($O491="","",$O491),IFERROR(IF([1]财务取数接口!$I$490=0,"",[1]财务取数接口!$I$490),""))</f>
        <v/>
      </c>
      <c r="I491" s="43"/>
      <c r="J491" s="106"/>
      <c r="K491" s="43"/>
      <c r="L491" s="43"/>
      <c r="M491" s="107"/>
      <c r="N491" s="107"/>
      <c r="O491" s="106"/>
      <c r="P491" s="139">
        <f t="shared" si="14"/>
        <v>0</v>
      </c>
      <c r="Q491" s="139">
        <f t="shared" si="15"/>
        <v>5</v>
      </c>
    </row>
    <row r="492" spans="1:17">
      <c r="A492" s="74">
        <v>491</v>
      </c>
      <c r="B492" s="89" t="str">
        <f>IF($T$4=0,IF($I492="","",$I492),IFERROR(IF([1]财务取数接口!$B$491=0,"",[1]财务取数接口!$B$491),""))</f>
        <v/>
      </c>
      <c r="C492" s="75" t="str">
        <f>IF($T$4=0,IF($J492="","",$J492),IFERROR(IF([1]财务取数接口!$C$491=0,"",[1]财务取数接口!$C$491),""))</f>
        <v/>
      </c>
      <c r="D492" s="89" t="str">
        <f>IF($T$4=0,IF($K492="","",$K492),IFERROR(IF([1]财务取数接口!$D$491=0,"",[1]财务取数接口!$D$491),""))</f>
        <v/>
      </c>
      <c r="E492" s="89" t="str">
        <f>IF($T$4=0,IF($L492="","",$L492),IFERROR(IF([1]财务取数接口!$E$491=0,"",[1]财务取数接口!$E$491),""))</f>
        <v/>
      </c>
      <c r="F492" s="76" t="str">
        <f>IF($T$4=0,IF($M492="","",$M492),IFERROR(IF([1]财务取数接口!$G$491=0,"",[1]财务取数接口!$G$491),""))</f>
        <v/>
      </c>
      <c r="G492" s="76" t="str">
        <f>IF($T$4=0,IF($N492="","",$N492),IFERROR(IF([1]财务取数接口!$H$491=0,"",[1]财务取数接口!$H$491),""))</f>
        <v/>
      </c>
      <c r="H492" s="75" t="str">
        <f>IF($T$4=0,IF($O492="","",$O492),IFERROR(IF([1]财务取数接口!$I$491=0,"",[1]财务取数接口!$I$491),""))</f>
        <v/>
      </c>
      <c r="I492" s="43"/>
      <c r="J492" s="106"/>
      <c r="K492" s="43"/>
      <c r="L492" s="43"/>
      <c r="M492" s="107"/>
      <c r="N492" s="107"/>
      <c r="O492" s="106"/>
      <c r="P492" s="139">
        <f t="shared" si="14"/>
        <v>0</v>
      </c>
      <c r="Q492" s="139">
        <f t="shared" si="15"/>
        <v>5</v>
      </c>
    </row>
    <row r="493" spans="1:17">
      <c r="A493" s="74">
        <v>492</v>
      </c>
      <c r="B493" s="89" t="str">
        <f>IF($T$4=0,IF($I493="","",$I493),IFERROR(IF([1]财务取数接口!$B$492=0,"",[1]财务取数接口!$B$492),""))</f>
        <v/>
      </c>
      <c r="C493" s="75" t="str">
        <f>IF($T$4=0,IF($J493="","",$J493),IFERROR(IF([1]财务取数接口!$C$492=0,"",[1]财务取数接口!$C$492),""))</f>
        <v/>
      </c>
      <c r="D493" s="89" t="str">
        <f>IF($T$4=0,IF($K493="","",$K493),IFERROR(IF([1]财务取数接口!$D$492=0,"",[1]财务取数接口!$D$492),""))</f>
        <v/>
      </c>
      <c r="E493" s="89" t="str">
        <f>IF($T$4=0,IF($L493="","",$L493),IFERROR(IF([1]财务取数接口!$E$492=0,"",[1]财务取数接口!$E$492),""))</f>
        <v/>
      </c>
      <c r="F493" s="76" t="str">
        <f>IF($T$4=0,IF($M493="","",$M493),IFERROR(IF([1]财务取数接口!$G$492=0,"",[1]财务取数接口!$G$492),""))</f>
        <v/>
      </c>
      <c r="G493" s="76" t="str">
        <f>IF($T$4=0,IF($N493="","",$N493),IFERROR(IF([1]财务取数接口!$H$492=0,"",[1]财务取数接口!$H$492),""))</f>
        <v/>
      </c>
      <c r="H493" s="75" t="str">
        <f>IF($T$4=0,IF($O493="","",$O493),IFERROR(IF([1]财务取数接口!$I$492=0,"",[1]财务取数接口!$I$492),""))</f>
        <v/>
      </c>
      <c r="I493" s="43"/>
      <c r="J493" s="106"/>
      <c r="K493" s="43"/>
      <c r="L493" s="43"/>
      <c r="M493" s="107"/>
      <c r="N493" s="107"/>
      <c r="O493" s="106"/>
      <c r="P493" s="139">
        <f t="shared" si="14"/>
        <v>0</v>
      </c>
      <c r="Q493" s="139">
        <f t="shared" si="15"/>
        <v>5</v>
      </c>
    </row>
    <row r="494" spans="1:17">
      <c r="A494" s="74">
        <v>493</v>
      </c>
      <c r="B494" s="89" t="str">
        <f>IF($T$4=0,IF($I494="","",$I494),IFERROR(IF([1]财务取数接口!$B$493=0,"",[1]财务取数接口!$B$493),""))</f>
        <v/>
      </c>
      <c r="C494" s="75" t="str">
        <f>IF($T$4=0,IF($J494="","",$J494),IFERROR(IF([1]财务取数接口!$C$493=0,"",[1]财务取数接口!$C$493),""))</f>
        <v/>
      </c>
      <c r="D494" s="89" t="str">
        <f>IF($T$4=0,IF($K494="","",$K494),IFERROR(IF([1]财务取数接口!$D$493=0,"",[1]财务取数接口!$D$493),""))</f>
        <v/>
      </c>
      <c r="E494" s="89" t="str">
        <f>IF($T$4=0,IF($L494="","",$L494),IFERROR(IF([1]财务取数接口!$E$493=0,"",[1]财务取数接口!$E$493),""))</f>
        <v/>
      </c>
      <c r="F494" s="76" t="str">
        <f>IF($T$4=0,IF($M494="","",$M494),IFERROR(IF([1]财务取数接口!$G$493=0,"",[1]财务取数接口!$G$493),""))</f>
        <v/>
      </c>
      <c r="G494" s="76" t="str">
        <f>IF($T$4=0,IF($N494="","",$N494),IFERROR(IF([1]财务取数接口!$H$493=0,"",[1]财务取数接口!$H$493),""))</f>
        <v/>
      </c>
      <c r="H494" s="75" t="str">
        <f>IF($T$4=0,IF($O494="","",$O494),IFERROR(IF([1]财务取数接口!$I$493=0,"",[1]财务取数接口!$I$493),""))</f>
        <v/>
      </c>
      <c r="I494" s="43"/>
      <c r="J494" s="106"/>
      <c r="K494" s="43"/>
      <c r="L494" s="43"/>
      <c r="M494" s="107"/>
      <c r="N494" s="107"/>
      <c r="O494" s="106"/>
      <c r="P494" s="139">
        <f t="shared" si="14"/>
        <v>0</v>
      </c>
      <c r="Q494" s="139">
        <f t="shared" si="15"/>
        <v>5</v>
      </c>
    </row>
    <row r="495" spans="1:17">
      <c r="A495" s="74">
        <v>494</v>
      </c>
      <c r="B495" s="89" t="str">
        <f>IF($T$4=0,IF($I495="","",$I495),IFERROR(IF([1]财务取数接口!$B$494=0,"",[1]财务取数接口!$B$494),""))</f>
        <v/>
      </c>
      <c r="C495" s="75" t="str">
        <f>IF($T$4=0,IF($J495="","",$J495),IFERROR(IF([1]财务取数接口!$C$494=0,"",[1]财务取数接口!$C$494),""))</f>
        <v/>
      </c>
      <c r="D495" s="89" t="str">
        <f>IF($T$4=0,IF($K495="","",$K495),IFERROR(IF([1]财务取数接口!$D$494=0,"",[1]财务取数接口!$D$494),""))</f>
        <v/>
      </c>
      <c r="E495" s="89" t="str">
        <f>IF($T$4=0,IF($L495="","",$L495),IFERROR(IF([1]财务取数接口!$E$494=0,"",[1]财务取数接口!$E$494),""))</f>
        <v/>
      </c>
      <c r="F495" s="76" t="str">
        <f>IF($T$4=0,IF($M495="","",$M495),IFERROR(IF([1]财务取数接口!$G$494=0,"",[1]财务取数接口!$G$494),""))</f>
        <v/>
      </c>
      <c r="G495" s="76" t="str">
        <f>IF($T$4=0,IF($N495="","",$N495),IFERROR(IF([1]财务取数接口!$H$494=0,"",[1]财务取数接口!$H$494),""))</f>
        <v/>
      </c>
      <c r="H495" s="75" t="str">
        <f>IF($T$4=0,IF($O495="","",$O495),IFERROR(IF([1]财务取数接口!$I$494=0,"",[1]财务取数接口!$I$494),""))</f>
        <v/>
      </c>
      <c r="I495" s="43"/>
      <c r="J495" s="106"/>
      <c r="K495" s="43"/>
      <c r="L495" s="43"/>
      <c r="M495" s="107"/>
      <c r="N495" s="107"/>
      <c r="O495" s="106"/>
      <c r="P495" s="139">
        <f t="shared" si="14"/>
        <v>0</v>
      </c>
      <c r="Q495" s="139">
        <f t="shared" si="15"/>
        <v>5</v>
      </c>
    </row>
    <row r="496" spans="1:17">
      <c r="A496" s="74">
        <v>495</v>
      </c>
      <c r="B496" s="89" t="str">
        <f>IF($T$4=0,IF($I496="","",$I496),IFERROR(IF([1]财务取数接口!$B$495=0,"",[1]财务取数接口!$B$495),""))</f>
        <v/>
      </c>
      <c r="C496" s="75" t="str">
        <f>IF($T$4=0,IF($J496="","",$J496),IFERROR(IF([1]财务取数接口!$C$495=0,"",[1]财务取数接口!$C$495),""))</f>
        <v/>
      </c>
      <c r="D496" s="89" t="str">
        <f>IF($T$4=0,IF($K496="","",$K496),IFERROR(IF([1]财务取数接口!$D$495=0,"",[1]财务取数接口!$D$495),""))</f>
        <v/>
      </c>
      <c r="E496" s="89" t="str">
        <f>IF($T$4=0,IF($L496="","",$L496),IFERROR(IF([1]财务取数接口!$E$495=0,"",[1]财务取数接口!$E$495),""))</f>
        <v/>
      </c>
      <c r="F496" s="76" t="str">
        <f>IF($T$4=0,IF($M496="","",$M496),IFERROR(IF([1]财务取数接口!$G$495=0,"",[1]财务取数接口!$G$495),""))</f>
        <v/>
      </c>
      <c r="G496" s="76" t="str">
        <f>IF($T$4=0,IF($N496="","",$N496),IFERROR(IF([1]财务取数接口!$H$495=0,"",[1]财务取数接口!$H$495),""))</f>
        <v/>
      </c>
      <c r="H496" s="75" t="str">
        <f>IF($T$4=0,IF($O496="","",$O496),IFERROR(IF([1]财务取数接口!$I$495=0,"",[1]财务取数接口!$I$495),""))</f>
        <v/>
      </c>
      <c r="I496" s="43"/>
      <c r="J496" s="106"/>
      <c r="K496" s="43"/>
      <c r="L496" s="43"/>
      <c r="M496" s="107"/>
      <c r="N496" s="107"/>
      <c r="O496" s="106"/>
      <c r="P496" s="139">
        <f t="shared" si="14"/>
        <v>0</v>
      </c>
      <c r="Q496" s="139">
        <f t="shared" si="15"/>
        <v>5</v>
      </c>
    </row>
    <row r="497" spans="1:17">
      <c r="A497" s="74">
        <v>496</v>
      </c>
      <c r="B497" s="89" t="str">
        <f>IF($T$4=0,IF($I497="","",$I497),IFERROR(IF([1]财务取数接口!$B$496=0,"",[1]财务取数接口!$B$496),""))</f>
        <v/>
      </c>
      <c r="C497" s="75" t="str">
        <f>IF($T$4=0,IF($J497="","",$J497),IFERROR(IF([1]财务取数接口!$C$496=0,"",[1]财务取数接口!$C$496),""))</f>
        <v/>
      </c>
      <c r="D497" s="89" t="str">
        <f>IF($T$4=0,IF($K497="","",$K497),IFERROR(IF([1]财务取数接口!$D$496=0,"",[1]财务取数接口!$D$496),""))</f>
        <v/>
      </c>
      <c r="E497" s="89" t="str">
        <f>IF($T$4=0,IF($L497="","",$L497),IFERROR(IF([1]财务取数接口!$E$496=0,"",[1]财务取数接口!$E$496),""))</f>
        <v/>
      </c>
      <c r="F497" s="76" t="str">
        <f>IF($T$4=0,IF($M497="","",$M497),IFERROR(IF([1]财务取数接口!$G$496=0,"",[1]财务取数接口!$G$496),""))</f>
        <v/>
      </c>
      <c r="G497" s="76" t="str">
        <f>IF($T$4=0,IF($N497="","",$N497),IFERROR(IF([1]财务取数接口!$H$496=0,"",[1]财务取数接口!$H$496),""))</f>
        <v/>
      </c>
      <c r="H497" s="75" t="str">
        <f>IF($T$4=0,IF($O497="","",$O497),IFERROR(IF([1]财务取数接口!$I$496=0,"",[1]财务取数接口!$I$496),""))</f>
        <v/>
      </c>
      <c r="I497" s="43"/>
      <c r="J497" s="106"/>
      <c r="K497" s="43"/>
      <c r="L497" s="43"/>
      <c r="M497" s="107"/>
      <c r="N497" s="107"/>
      <c r="O497" s="106"/>
      <c r="P497" s="139">
        <f t="shared" si="14"/>
        <v>0</v>
      </c>
      <c r="Q497" s="139">
        <f t="shared" si="15"/>
        <v>5</v>
      </c>
    </row>
    <row r="498" spans="1:17">
      <c r="A498" s="74">
        <v>497</v>
      </c>
      <c r="B498" s="89" t="str">
        <f>IF($T$4=0,IF($I498="","",$I498),IFERROR(IF([1]财务取数接口!$B$497=0,"",[1]财务取数接口!$B$497),""))</f>
        <v/>
      </c>
      <c r="C498" s="75" t="str">
        <f>IF($T$4=0,IF($J498="","",$J498),IFERROR(IF([1]财务取数接口!$C$497=0,"",[1]财务取数接口!$C$497),""))</f>
        <v/>
      </c>
      <c r="D498" s="89" t="str">
        <f>IF($T$4=0,IF($K498="","",$K498),IFERROR(IF([1]财务取数接口!$D$497=0,"",[1]财务取数接口!$D$497),""))</f>
        <v/>
      </c>
      <c r="E498" s="89" t="str">
        <f>IF($T$4=0,IF($L498="","",$L498),IFERROR(IF([1]财务取数接口!$E$497=0,"",[1]财务取数接口!$E$497),""))</f>
        <v/>
      </c>
      <c r="F498" s="76" t="str">
        <f>IF($T$4=0,IF($M498="","",$M498),IFERROR(IF([1]财务取数接口!$G$497=0,"",[1]财务取数接口!$G$497),""))</f>
        <v/>
      </c>
      <c r="G498" s="76" t="str">
        <f>IF($T$4=0,IF($N498="","",$N498),IFERROR(IF([1]财务取数接口!$H$497=0,"",[1]财务取数接口!$H$497),""))</f>
        <v/>
      </c>
      <c r="H498" s="75" t="str">
        <f>IF($T$4=0,IF($O498="","",$O498),IFERROR(IF([1]财务取数接口!$I$497=0,"",[1]财务取数接口!$I$497),""))</f>
        <v/>
      </c>
      <c r="I498" s="43"/>
      <c r="J498" s="106"/>
      <c r="K498" s="43"/>
      <c r="L498" s="43"/>
      <c r="M498" s="107"/>
      <c r="N498" s="107"/>
      <c r="O498" s="106"/>
      <c r="P498" s="139">
        <f t="shared" si="14"/>
        <v>0</v>
      </c>
      <c r="Q498" s="139">
        <f t="shared" si="15"/>
        <v>5</v>
      </c>
    </row>
    <row r="499" spans="1:17">
      <c r="A499" s="74">
        <v>498</v>
      </c>
      <c r="B499" s="89" t="str">
        <f>IF($T$4=0,IF($I499="","",$I499),IFERROR(IF([1]财务取数接口!$B$498=0,"",[1]财务取数接口!$B$498),""))</f>
        <v/>
      </c>
      <c r="C499" s="75" t="str">
        <f>IF($T$4=0,IF($J499="","",$J499),IFERROR(IF([1]财务取数接口!$C$498=0,"",[1]财务取数接口!$C$498),""))</f>
        <v/>
      </c>
      <c r="D499" s="89" t="str">
        <f>IF($T$4=0,IF($K499="","",$K499),IFERROR(IF([1]财务取数接口!$D$498=0,"",[1]财务取数接口!$D$498),""))</f>
        <v/>
      </c>
      <c r="E499" s="89" t="str">
        <f>IF($T$4=0,IF($L499="","",$L499),IFERROR(IF([1]财务取数接口!$E$498=0,"",[1]财务取数接口!$E$498),""))</f>
        <v/>
      </c>
      <c r="F499" s="76" t="str">
        <f>IF($T$4=0,IF($M499="","",$M499),IFERROR(IF([1]财务取数接口!$G$498=0,"",[1]财务取数接口!$G$498),""))</f>
        <v/>
      </c>
      <c r="G499" s="76" t="str">
        <f>IF($T$4=0,IF($N499="","",$N499),IFERROR(IF([1]财务取数接口!$H$498=0,"",[1]财务取数接口!$H$498),""))</f>
        <v/>
      </c>
      <c r="H499" s="75" t="str">
        <f>IF($T$4=0,IF($O499="","",$O499),IFERROR(IF([1]财务取数接口!$I$498=0,"",[1]财务取数接口!$I$498),""))</f>
        <v/>
      </c>
      <c r="I499" s="43"/>
      <c r="J499" s="106"/>
      <c r="K499" s="43"/>
      <c r="L499" s="43"/>
      <c r="M499" s="107"/>
      <c r="N499" s="107"/>
      <c r="O499" s="106"/>
      <c r="P499" s="139">
        <f t="shared" si="14"/>
        <v>0</v>
      </c>
      <c r="Q499" s="139">
        <f t="shared" si="15"/>
        <v>5</v>
      </c>
    </row>
    <row r="500" spans="1:17">
      <c r="A500" s="74">
        <v>499</v>
      </c>
      <c r="B500" s="89" t="str">
        <f>IF($T$4=0,IF($I500="","",$I500),IFERROR(IF([1]财务取数接口!$B$499=0,"",[1]财务取数接口!$B$499),""))</f>
        <v/>
      </c>
      <c r="C500" s="75" t="str">
        <f>IF($T$4=0,IF($J500="","",$J500),IFERROR(IF([1]财务取数接口!$C$499=0,"",[1]财务取数接口!$C$499),""))</f>
        <v/>
      </c>
      <c r="D500" s="89" t="str">
        <f>IF($T$4=0,IF($K500="","",$K500),IFERROR(IF([1]财务取数接口!$D$499=0,"",[1]财务取数接口!$D$499),""))</f>
        <v/>
      </c>
      <c r="E500" s="89" t="str">
        <f>IF($T$4=0,IF($L500="","",$L500),IFERROR(IF([1]财务取数接口!$E$499=0,"",[1]财务取数接口!$E$499),""))</f>
        <v/>
      </c>
      <c r="F500" s="76" t="str">
        <f>IF($T$4=0,IF($M500="","",$M500),IFERROR(IF([1]财务取数接口!$G$499=0,"",[1]财务取数接口!$G$499),""))</f>
        <v/>
      </c>
      <c r="G500" s="76" t="str">
        <f>IF($T$4=0,IF($N500="","",$N500),IFERROR(IF([1]财务取数接口!$H$499=0,"",[1]财务取数接口!$H$499),""))</f>
        <v/>
      </c>
      <c r="H500" s="75" t="str">
        <f>IF($T$4=0,IF($O500="","",$O500),IFERROR(IF([1]财务取数接口!$I$499=0,"",[1]财务取数接口!$I$499),""))</f>
        <v/>
      </c>
      <c r="I500" s="43"/>
      <c r="J500" s="106"/>
      <c r="K500" s="43"/>
      <c r="L500" s="43"/>
      <c r="M500" s="107"/>
      <c r="N500" s="107"/>
      <c r="O500" s="106"/>
      <c r="P500" s="139">
        <f t="shared" si="14"/>
        <v>0</v>
      </c>
      <c r="Q500" s="139">
        <f t="shared" si="15"/>
        <v>5</v>
      </c>
    </row>
    <row r="501" spans="1:17">
      <c r="A501" s="74">
        <v>500</v>
      </c>
      <c r="B501" s="89" t="str">
        <f>IF($T$4=0,IF($I501="","",$I501),IFERROR(IF([1]财务取数接口!$B$500=0,"",[1]财务取数接口!$B$500),""))</f>
        <v/>
      </c>
      <c r="C501" s="75" t="str">
        <f>IF($T$4=0,IF($J501="","",$J501),IFERROR(IF([1]财务取数接口!$C$500=0,"",[1]财务取数接口!$C$500),""))</f>
        <v/>
      </c>
      <c r="D501" s="89" t="str">
        <f>IF($T$4=0,IF($K501="","",$K501),IFERROR(IF([1]财务取数接口!$D$500=0,"",[1]财务取数接口!$D$500),""))</f>
        <v/>
      </c>
      <c r="E501" s="89" t="str">
        <f>IF($T$4=0,IF($L501="","",$L501),IFERROR(IF([1]财务取数接口!$E$500=0,"",[1]财务取数接口!$E$500),""))</f>
        <v/>
      </c>
      <c r="F501" s="76" t="str">
        <f>IF($T$4=0,IF($M501="","",$M501),IFERROR(IF([1]财务取数接口!$G$500=0,"",[1]财务取数接口!$G$500),""))</f>
        <v/>
      </c>
      <c r="G501" s="76" t="str">
        <f>IF($T$4=0,IF($N501="","",$N501),IFERROR(IF([1]财务取数接口!$H$500=0,"",[1]财务取数接口!$H$500),""))</f>
        <v/>
      </c>
      <c r="H501" s="75" t="str">
        <f>IF($T$4=0,IF($O501="","",$O501),IFERROR(IF([1]财务取数接口!$I$500=0,"",[1]财务取数接口!$I$500),""))</f>
        <v/>
      </c>
      <c r="I501" s="43"/>
      <c r="J501" s="106"/>
      <c r="K501" s="43"/>
      <c r="L501" s="43"/>
      <c r="M501" s="107"/>
      <c r="N501" s="107"/>
      <c r="O501" s="106"/>
      <c r="P501" s="139">
        <f t="shared" si="14"/>
        <v>0</v>
      </c>
      <c r="Q501" s="139">
        <f t="shared" si="15"/>
        <v>5</v>
      </c>
    </row>
    <row r="502" spans="1:17">
      <c r="A502" s="74">
        <v>501</v>
      </c>
      <c r="B502" s="89" t="str">
        <f>IF($T$4=0,IF($I502="","",$I502),IFERROR(IF([1]财务取数接口!$B$501=0,"",[1]财务取数接口!$B$501),""))</f>
        <v/>
      </c>
      <c r="C502" s="75" t="str">
        <f>IF($T$4=0,IF($J502="","",$J502),IFERROR(IF([1]财务取数接口!$C$501=0,"",[1]财务取数接口!$C$501),""))</f>
        <v/>
      </c>
      <c r="D502" s="89" t="str">
        <f>IF($T$4=0,IF($K502="","",$K502),IFERROR(IF([1]财务取数接口!$D$501=0,"",[1]财务取数接口!$D$501),""))</f>
        <v/>
      </c>
      <c r="E502" s="89" t="str">
        <f>IF($T$4=0,IF($L502="","",$L502),IFERROR(IF([1]财务取数接口!$E$501=0,"",[1]财务取数接口!$E$501),""))</f>
        <v/>
      </c>
      <c r="F502" s="76" t="str">
        <f>IF($T$4=0,IF($M502="","",$M502),IFERROR(IF([1]财务取数接口!$G$501=0,"",[1]财务取数接口!$G$501),""))</f>
        <v/>
      </c>
      <c r="G502" s="76" t="str">
        <f>IF($T$4=0,IF($N502="","",$N502),IFERROR(IF([1]财务取数接口!$H$501=0,"",[1]财务取数接口!$H$501),""))</f>
        <v/>
      </c>
      <c r="H502" s="75" t="str">
        <f>IF($T$4=0,IF($O502="","",$O502),IFERROR(IF([1]财务取数接口!$I$501=0,"",[1]财务取数接口!$I$501),""))</f>
        <v/>
      </c>
      <c r="I502" s="43"/>
      <c r="J502" s="106"/>
      <c r="K502" s="43"/>
      <c r="L502" s="43"/>
      <c r="M502" s="107"/>
      <c r="N502" s="107"/>
      <c r="O502" s="106"/>
      <c r="P502" s="139">
        <f t="shared" si="14"/>
        <v>0</v>
      </c>
      <c r="Q502" s="139">
        <f t="shared" si="15"/>
        <v>5</v>
      </c>
    </row>
    <row r="503" spans="1:17">
      <c r="A503" s="74">
        <v>502</v>
      </c>
      <c r="B503" s="89" t="str">
        <f>IF($T$4=0,IF($I503="","",$I503),IFERROR(IF([1]财务取数接口!$B$502=0,"",[1]财务取数接口!$B$502),""))</f>
        <v/>
      </c>
      <c r="C503" s="75" t="str">
        <f>IF($T$4=0,IF($J503="","",$J503),IFERROR(IF([1]财务取数接口!$C$502=0,"",[1]财务取数接口!$C$502),""))</f>
        <v/>
      </c>
      <c r="D503" s="89" t="str">
        <f>IF($T$4=0,IF($K503="","",$K503),IFERROR(IF([1]财务取数接口!$D$502=0,"",[1]财务取数接口!$D$502),""))</f>
        <v/>
      </c>
      <c r="E503" s="89" t="str">
        <f>IF($T$4=0,IF($L503="","",$L503),IFERROR(IF([1]财务取数接口!$E$502=0,"",[1]财务取数接口!$E$502),""))</f>
        <v/>
      </c>
      <c r="F503" s="76" t="str">
        <f>IF($T$4=0,IF($M503="","",$M503),IFERROR(IF([1]财务取数接口!$G$502=0,"",[1]财务取数接口!$G$502),""))</f>
        <v/>
      </c>
      <c r="G503" s="76" t="str">
        <f>IF($T$4=0,IF($N503="","",$N503),IFERROR(IF([1]财务取数接口!$H$502=0,"",[1]财务取数接口!$H$502),""))</f>
        <v/>
      </c>
      <c r="H503" s="75" t="str">
        <f>IF($T$4=0,IF($O503="","",$O503),IFERROR(IF([1]财务取数接口!$I$502=0,"",[1]财务取数接口!$I$502),""))</f>
        <v/>
      </c>
      <c r="I503" s="43"/>
      <c r="J503" s="106"/>
      <c r="K503" s="43"/>
      <c r="L503" s="43"/>
      <c r="M503" s="107"/>
      <c r="N503" s="107"/>
      <c r="O503" s="106"/>
      <c r="P503" s="139">
        <f t="shared" si="14"/>
        <v>0</v>
      </c>
      <c r="Q503" s="139">
        <f t="shared" si="15"/>
        <v>5</v>
      </c>
    </row>
    <row r="504" spans="1:17">
      <c r="A504" s="74">
        <v>503</v>
      </c>
      <c r="B504" s="89" t="str">
        <f>IF($T$4=0,IF($I504="","",$I504),IFERROR(IF([1]财务取数接口!$B$503=0,"",[1]财务取数接口!$B$503),""))</f>
        <v/>
      </c>
      <c r="C504" s="75" t="str">
        <f>IF($T$4=0,IF($J504="","",$J504),IFERROR(IF([1]财务取数接口!$C$503=0,"",[1]财务取数接口!$C$503),""))</f>
        <v/>
      </c>
      <c r="D504" s="89" t="str">
        <f>IF($T$4=0,IF($K504="","",$K504),IFERROR(IF([1]财务取数接口!$D$503=0,"",[1]财务取数接口!$D$503),""))</f>
        <v/>
      </c>
      <c r="E504" s="89" t="str">
        <f>IF($T$4=0,IF($L504="","",$L504),IFERROR(IF([1]财务取数接口!$E$503=0,"",[1]财务取数接口!$E$503),""))</f>
        <v/>
      </c>
      <c r="F504" s="76" t="str">
        <f>IF($T$4=0,IF($M504="","",$M504),IFERROR(IF([1]财务取数接口!$G$503=0,"",[1]财务取数接口!$G$503),""))</f>
        <v/>
      </c>
      <c r="G504" s="76" t="str">
        <f>IF($T$4=0,IF($N504="","",$N504),IFERROR(IF([1]财务取数接口!$H$503=0,"",[1]财务取数接口!$H$503),""))</f>
        <v/>
      </c>
      <c r="H504" s="75" t="str">
        <f>IF($T$4=0,IF($O504="","",$O504),IFERROR(IF([1]财务取数接口!$I$503=0,"",[1]财务取数接口!$I$503),""))</f>
        <v/>
      </c>
      <c r="I504" s="43"/>
      <c r="J504" s="106"/>
      <c r="K504" s="43"/>
      <c r="L504" s="43"/>
      <c r="M504" s="107"/>
      <c r="N504" s="107"/>
      <c r="O504" s="106"/>
      <c r="P504" s="139">
        <f t="shared" si="14"/>
        <v>0</v>
      </c>
      <c r="Q504" s="139">
        <f t="shared" si="15"/>
        <v>5</v>
      </c>
    </row>
    <row r="505" spans="1:17">
      <c r="A505" s="74">
        <v>504</v>
      </c>
      <c r="B505" s="89" t="str">
        <f>IF($T$4=0,IF($I505="","",$I505),IFERROR(IF([1]财务取数接口!$B$504=0,"",[1]财务取数接口!$B$504),""))</f>
        <v/>
      </c>
      <c r="C505" s="75" t="str">
        <f>IF($T$4=0,IF($J505="","",$J505),IFERROR(IF([1]财务取数接口!$C$504=0,"",[1]财务取数接口!$C$504),""))</f>
        <v/>
      </c>
      <c r="D505" s="89" t="str">
        <f>IF($T$4=0,IF($K505="","",$K505),IFERROR(IF([1]财务取数接口!$D$504=0,"",[1]财务取数接口!$D$504),""))</f>
        <v/>
      </c>
      <c r="E505" s="89" t="str">
        <f>IF($T$4=0,IF($L505="","",$L505),IFERROR(IF([1]财务取数接口!$E$504=0,"",[1]财务取数接口!$E$504),""))</f>
        <v/>
      </c>
      <c r="F505" s="76" t="str">
        <f>IF($T$4=0,IF($M505="","",$M505),IFERROR(IF([1]财务取数接口!$G$504=0,"",[1]财务取数接口!$G$504),""))</f>
        <v/>
      </c>
      <c r="G505" s="76" t="str">
        <f>IF($T$4=0,IF($N505="","",$N505),IFERROR(IF([1]财务取数接口!$H$504=0,"",[1]财务取数接口!$H$504),""))</f>
        <v/>
      </c>
      <c r="H505" s="75" t="str">
        <f>IF($T$4=0,IF($O505="","",$O505),IFERROR(IF([1]财务取数接口!$I$504=0,"",[1]财务取数接口!$I$504),""))</f>
        <v/>
      </c>
      <c r="I505" s="43"/>
      <c r="J505" s="106"/>
      <c r="K505" s="43"/>
      <c r="L505" s="43"/>
      <c r="M505" s="107"/>
      <c r="N505" s="107"/>
      <c r="O505" s="106"/>
      <c r="P505" s="139">
        <f t="shared" si="14"/>
        <v>0</v>
      </c>
      <c r="Q505" s="139">
        <f t="shared" si="15"/>
        <v>5</v>
      </c>
    </row>
    <row r="506" spans="1:17">
      <c r="A506" s="74">
        <v>505</v>
      </c>
      <c r="B506" s="89" t="str">
        <f>IF($T$4=0,IF($I506="","",$I506),IFERROR(IF([1]财务取数接口!$B$505=0,"",[1]财务取数接口!$B$505),""))</f>
        <v/>
      </c>
      <c r="C506" s="75" t="str">
        <f>IF($T$4=0,IF($J506="","",$J506),IFERROR(IF([1]财务取数接口!$C$505=0,"",[1]财务取数接口!$C$505),""))</f>
        <v/>
      </c>
      <c r="D506" s="89" t="str">
        <f>IF($T$4=0,IF($K506="","",$K506),IFERROR(IF([1]财务取数接口!$D$505=0,"",[1]财务取数接口!$D$505),""))</f>
        <v/>
      </c>
      <c r="E506" s="89" t="str">
        <f>IF($T$4=0,IF($L506="","",$L506),IFERROR(IF([1]财务取数接口!$E$505=0,"",[1]财务取数接口!$E$505),""))</f>
        <v/>
      </c>
      <c r="F506" s="76" t="str">
        <f>IF($T$4=0,IF($M506="","",$M506),IFERROR(IF([1]财务取数接口!$G$505=0,"",[1]财务取数接口!$G$505),""))</f>
        <v/>
      </c>
      <c r="G506" s="76" t="str">
        <f>IF($T$4=0,IF($N506="","",$N506),IFERROR(IF([1]财务取数接口!$H$505=0,"",[1]财务取数接口!$H$505),""))</f>
        <v/>
      </c>
      <c r="H506" s="75" t="str">
        <f>IF($T$4=0,IF($O506="","",$O506),IFERROR(IF([1]财务取数接口!$I$505=0,"",[1]财务取数接口!$I$505),""))</f>
        <v/>
      </c>
      <c r="I506" s="43"/>
      <c r="J506" s="106"/>
      <c r="K506" s="43"/>
      <c r="L506" s="43"/>
      <c r="M506" s="107"/>
      <c r="N506" s="107"/>
      <c r="O506" s="106"/>
      <c r="P506" s="139">
        <f t="shared" si="14"/>
        <v>0</v>
      </c>
      <c r="Q506" s="139">
        <f t="shared" si="15"/>
        <v>5</v>
      </c>
    </row>
    <row r="507" spans="1:17">
      <c r="A507" s="74">
        <v>506</v>
      </c>
      <c r="B507" s="89" t="str">
        <f>IF($T$4=0,IF($I507="","",$I507),IFERROR(IF([1]财务取数接口!$B$506=0,"",[1]财务取数接口!$B$506),""))</f>
        <v/>
      </c>
      <c r="C507" s="75" t="str">
        <f>IF($T$4=0,IF($J507="","",$J507),IFERROR(IF([1]财务取数接口!$C$506=0,"",[1]财务取数接口!$C$506),""))</f>
        <v/>
      </c>
      <c r="D507" s="89" t="str">
        <f>IF($T$4=0,IF($K507="","",$K507),IFERROR(IF([1]财务取数接口!$D$506=0,"",[1]财务取数接口!$D$506),""))</f>
        <v/>
      </c>
      <c r="E507" s="89" t="str">
        <f>IF($T$4=0,IF($L507="","",$L507),IFERROR(IF([1]财务取数接口!$E$506=0,"",[1]财务取数接口!$E$506),""))</f>
        <v/>
      </c>
      <c r="F507" s="76" t="str">
        <f>IF($T$4=0,IF($M507="","",$M507),IFERROR(IF([1]财务取数接口!$G$506=0,"",[1]财务取数接口!$G$506),""))</f>
        <v/>
      </c>
      <c r="G507" s="76" t="str">
        <f>IF($T$4=0,IF($N507="","",$N507),IFERROR(IF([1]财务取数接口!$H$506=0,"",[1]财务取数接口!$H$506),""))</f>
        <v/>
      </c>
      <c r="H507" s="75" t="str">
        <f>IF($T$4=0,IF($O507="","",$O507),IFERROR(IF([1]财务取数接口!$I$506=0,"",[1]财务取数接口!$I$506),""))</f>
        <v/>
      </c>
      <c r="I507" s="43"/>
      <c r="J507" s="106"/>
      <c r="K507" s="43"/>
      <c r="L507" s="43"/>
      <c r="M507" s="107"/>
      <c r="N507" s="107"/>
      <c r="O507" s="106"/>
      <c r="P507" s="139">
        <f t="shared" si="14"/>
        <v>0</v>
      </c>
      <c r="Q507" s="139">
        <f t="shared" si="15"/>
        <v>5</v>
      </c>
    </row>
  </sheetData>
  <mergeCells count="6">
    <mergeCell ref="A1:Q1"/>
    <mergeCell ref="A2:Q2"/>
    <mergeCell ref="A3:H3"/>
    <mergeCell ref="I3:O3"/>
    <mergeCell ref="P3:Q3"/>
    <mergeCell ref="S6:T9"/>
  </mergeCells>
  <conditionalFormatting sqref="A2">
    <cfRule type="expression" dxfId="0" priority="1">
      <formula>$T$4=0</formula>
    </cfRule>
  </conditionalFormatting>
  <conditionalFormatting sqref="S6">
    <cfRule type="expression" dxfId="0" priority="2">
      <formula>$T$4=0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T460"/>
  <sheetViews>
    <sheetView showGridLines="0" workbookViewId="0">
      <pane xSplit="1" ySplit="4" topLeftCell="B26" activePane="bottomRight" state="frozen"/>
      <selection/>
      <selection pane="topRight"/>
      <selection pane="bottomLeft"/>
      <selection pane="bottomRight" activeCell="J43" sqref="J43"/>
    </sheetView>
  </sheetViews>
  <sheetFormatPr defaultColWidth="9" defaultRowHeight="13.5"/>
  <cols>
    <col min="1" max="1" width="6" customWidth="1"/>
    <col min="2" max="2" width="15" customWidth="1"/>
    <col min="3" max="3" width="20" customWidth="1"/>
    <col min="4" max="4" width="16" customWidth="1"/>
    <col min="5" max="5" width="14" customWidth="1"/>
    <col min="6" max="6" width="15" customWidth="1"/>
    <col min="7" max="7" width="13" customWidth="1"/>
    <col min="8" max="8" width="22" customWidth="1"/>
    <col min="9" max="9" width="13" customWidth="1"/>
    <col min="10" max="10" width="17" customWidth="1"/>
    <col min="11" max="11" width="13" customWidth="1"/>
    <col min="12" max="12" width="11" customWidth="1"/>
    <col min="13" max="13" width="13" customWidth="1"/>
    <col min="14" max="14" width="12" customWidth="1"/>
    <col min="15" max="15" width="16" customWidth="1"/>
    <col min="16" max="17" width="6" customWidth="1"/>
    <col min="18" max="18" width="2" customWidth="1"/>
    <col min="19" max="19" width="13" customWidth="1"/>
    <col min="20" max="20" width="64" customWidth="1"/>
  </cols>
  <sheetData>
    <row r="1" ht="30" customHeight="1" spans="1:20">
      <c r="A1" s="71" t="s">
        <v>184</v>
      </c>
      <c r="S1" s="135" t="s">
        <v>159</v>
      </c>
      <c r="T1" s="86">
        <f>MAX($Q$5:$Q$460)</f>
        <v>5</v>
      </c>
    </row>
    <row r="2" ht="18" customHeight="1" spans="1:20">
      <c r="A2" s="136" t="str">
        <f>IF($T$4=1,"✔ 链接正常，已自动取到 "&amp;$T$1&amp;" 行（只算有金额/数量的行）　｜　本表 1:1 对应《02 物料与周转物台账》的【财务取数接口】第 4～309 行","★★ 链接没接上！当前取数来源："&amp;$T$5&amp;"　→ 见 S6 修复说明")</f>
        <v>✔ 链接正常，已自动取到 5 行（只算有金额/数量的行）　｜　本表 1:1 对应《02 物料与周转物台账》的【财务取数接口】第 4～309 行</v>
      </c>
      <c r="S2" s="135" t="s">
        <v>160</v>
      </c>
      <c r="T2" s="86" t="str">
        <f>IFERROR(IF([1]财务取数接口!$C$4=0,"未更新",[1]财务取数接口!$C$4),"断开")</f>
        <v>筐子销售</v>
      </c>
    </row>
    <row r="3" ht="20" customHeight="1" spans="1:20">
      <c r="A3" s="121" t="s">
        <v>161</v>
      </c>
      <c r="I3" s="137" t="s">
        <v>162</v>
      </c>
      <c r="P3" s="130" t="s">
        <v>163</v>
      </c>
      <c r="S3" s="135" t="s">
        <v>164</v>
      </c>
      <c r="T3" s="86">
        <f>COUNTIF($J$5:$J$460,"?*")-COUNTIF($J$5:$J$460,"项目")</f>
        <v>0</v>
      </c>
    </row>
    <row r="4" ht="30" customHeight="1" spans="1:20">
      <c r="A4" s="73" t="s">
        <v>165</v>
      </c>
      <c r="B4" s="73" t="s">
        <v>166</v>
      </c>
      <c r="C4" s="73" t="s">
        <v>167</v>
      </c>
      <c r="D4" s="73" t="s">
        <v>168</v>
      </c>
      <c r="E4" s="73" t="s">
        <v>169</v>
      </c>
      <c r="F4" s="73" t="s">
        <v>170</v>
      </c>
      <c r="G4" s="73" t="s">
        <v>171</v>
      </c>
      <c r="H4" s="73" t="s">
        <v>172</v>
      </c>
      <c r="I4" s="73" t="s">
        <v>173</v>
      </c>
      <c r="J4" s="73" t="s">
        <v>174</v>
      </c>
      <c r="K4" s="73" t="s">
        <v>175</v>
      </c>
      <c r="L4" s="73" t="s">
        <v>176</v>
      </c>
      <c r="M4" s="73" t="s">
        <v>177</v>
      </c>
      <c r="N4" s="73" t="s">
        <v>178</v>
      </c>
      <c r="O4" s="73" t="s">
        <v>179</v>
      </c>
      <c r="P4" s="73" t="s">
        <v>180</v>
      </c>
      <c r="Q4" s="73" t="s">
        <v>181</v>
      </c>
      <c r="S4" s="135" t="s">
        <v>182</v>
      </c>
      <c r="T4" s="86">
        <f>IF(OR($T$2="断开",$T$2="未更新"),0,1)</f>
        <v>1</v>
      </c>
    </row>
    <row r="5" spans="1:20">
      <c r="A5" s="74">
        <v>4</v>
      </c>
      <c r="B5" s="138" t="str">
        <f>IF($T$4=0,IF($I5="","",$I5),IFERROR(IF([1]财务取数接口!$B$4=0,"",[1]财务取数接口!$B$4),""))</f>
        <v/>
      </c>
      <c r="C5" s="75" t="str">
        <f>IF($T$4=0,IF($J5="","",$J5),IFERROR(IF([1]财务取数接口!$C$4=0,"",[1]财务取数接口!$C$4),""))</f>
        <v>筐子销售</v>
      </c>
      <c r="D5" s="89" t="str">
        <f>IF($T$4=0,IF($K5="","",$K5),IFERROR(IF([1]财务取数接口!$D$4=0,"",[1]财务取数接口!$D$4),""))</f>
        <v/>
      </c>
      <c r="E5" s="89" t="str">
        <f>IF($T$4=0,IF($L5="","",$L5),IFERROR(IF([1]财务取数接口!$E$4=0,"",[1]财务取数接口!$E$4),""))</f>
        <v>个</v>
      </c>
      <c r="F5" s="76" t="str">
        <f>IF($T$4=0,IF($M5="","",$M5),IFERROR(IF([1]财务取数接口!$G$4=0,"",[1]财务取数接口!$G$4),""))</f>
        <v/>
      </c>
      <c r="G5" s="76" t="str">
        <f>IF($T$4=0,IF($N5="","",$N5),IFERROR(IF([1]财务取数接口!$H$4=0,"",[1]财务取数接口!$H$4),""))</f>
        <v/>
      </c>
      <c r="H5" s="75" t="str">
        <f>IF($T$4=0,IF($O5="","",$O5),IFERROR(IF([1]财务取数接口!$I$4=0,"",[1]财务取数接口!$I$4),""))</f>
        <v/>
      </c>
      <c r="I5" s="43"/>
      <c r="J5" s="106"/>
      <c r="K5" s="43"/>
      <c r="L5" s="43"/>
      <c r="M5" s="107"/>
      <c r="N5" s="107"/>
      <c r="O5" s="106"/>
      <c r="P5" s="139">
        <f t="shared" ref="P5:P68" si="0">IF(AND($C5&lt;&gt;"",$C5&lt;&gt;"项目",OR(N($D5)&lt;&gt;0,N($E5)&lt;&gt;0,N($F5)&lt;&gt;0)),1,0)</f>
        <v>0</v>
      </c>
      <c r="Q5" s="139">
        <f t="shared" ref="Q5:Q68" si="1">N(Q4)+$P5</f>
        <v>0</v>
      </c>
      <c r="S5" s="135" t="s">
        <v>183</v>
      </c>
      <c r="T5" s="86" t="str">
        <f>IF($T$4=1,"自动（跨文件链接）",IF($T$3&gt;0,"应急备份","无数据"))</f>
        <v>自动（跨文件链接）</v>
      </c>
    </row>
    <row r="6" spans="1:20">
      <c r="A6" s="74">
        <v>5</v>
      </c>
      <c r="B6" s="138" t="str">
        <f>IF($T$4=0,IF($I6="","",$I6),IFERROR(IF([1]财务取数接口!$B$5=0,"",[1]财务取数接口!$B$5),""))</f>
        <v/>
      </c>
      <c r="C6" s="75" t="str">
        <f>IF($T$4=0,IF($J6="","",$J6),IFERROR(IF([1]财务取数接口!$C$5=0,"",[1]财务取数接口!$C$5),""))</f>
        <v>筐子销售</v>
      </c>
      <c r="D6" s="89" t="str">
        <f>IF($T$4=0,IF($K6="","",$K6),IFERROR(IF([1]财务取数接口!$D$5=0,"",[1]财务取数接口!$D$5),""))</f>
        <v/>
      </c>
      <c r="E6" s="89" t="str">
        <f>IF($T$4=0,IF($L6="","",$L6),IFERROR(IF([1]财务取数接口!$E$5=0,"",[1]财务取数接口!$E$5),""))</f>
        <v>个</v>
      </c>
      <c r="F6" s="76" t="str">
        <f>IF($T$4=0,IF($M6="","",$M6),IFERROR(IF([1]财务取数接口!$G$5=0,"",[1]财务取数接口!$G$5),""))</f>
        <v/>
      </c>
      <c r="G6" s="76" t="str">
        <f>IF($T$4=0,IF($N6="","",$N6),IFERROR(IF([1]财务取数接口!$H$5=0,"",[1]财务取数接口!$H$5),""))</f>
        <v/>
      </c>
      <c r="H6" s="75" t="str">
        <f>IF($T$4=0,IF($O6="","",$O6),IFERROR(IF([1]财务取数接口!$I$5=0,"",[1]财务取数接口!$I$5),""))</f>
        <v/>
      </c>
      <c r="I6" s="43"/>
      <c r="J6" s="106"/>
      <c r="K6" s="43"/>
      <c r="L6" s="43"/>
      <c r="M6" s="107"/>
      <c r="N6" s="107"/>
      <c r="O6" s="106"/>
      <c r="P6" s="139">
        <f t="shared" si="0"/>
        <v>0</v>
      </c>
      <c r="Q6" s="139">
        <f t="shared" si="1"/>
        <v>0</v>
      </c>
      <c r="S6" s="140" t="str">
        <f>IF($T$2="断开",IF($T$3&gt;0,"✘ 链接已断开，正在用【应急备份区】的 "&amp;$T$3&amp;" 行数据出账（不是实时数）。修复：菜单【数据】→【编辑链接】→【更改源】，重新指向《02_物料与周转物台账模板.xlsx》","✘ 链接已断开，而且应急备份区是空的，本册报表将缺少这本业务册的全部数据。修复：菜单【数据】→【编辑链接】→【更改源】，重新指向《02_物料与周转物台账模板.xlsx》"),IF($T$2="未更新",IF($T$3&gt;0,"★ 链接还没更新，或者那两个文件被改名、挪走了。正在用【应急备份区】的 "&amp;$T$3&amp;" 行数据出账（不是实时数）。修复：菜单【数据】→【编辑链接】→先点【立即更新值】；还是取不到数就点【更改源】重新指向《02_物料与周转物台账模板.xlsx》","★ 链接还没更新，或者那两个文件被改名、挪走了，而且没有应急备份，本册报表会缺少这本业务册的全部数据。修复：菜单【数据】→【编辑链接】→先点【立即更新值】；还是取不到数就点【更改源】重新指向《02_物料与周转物台账模板.xlsx》"),"✔ 链接正常，已自动取到 "&amp;$T$1&amp;" 行。备份区现有 "&amp;$T$3&amp;" 行。建议每月底把 B5:H156 复制→选择性粘贴【数值】到 I5，作为断链时的兜底"))</f>
        <v>✔ 链接正常，已自动取到 5 行。备份区现有 0 行。建议每月底把 B5:H156 复制→选择性粘贴【数值】到 I5，作为断链时的兜底</v>
      </c>
    </row>
    <row r="7" spans="1:20">
      <c r="A7" s="74">
        <v>6</v>
      </c>
      <c r="B7" s="138" t="str">
        <f>IF($T$4=0,IF($I7="","",$I7),IFERROR(IF([1]财务取数接口!$B$6=0,"",[1]财务取数接口!$B$6),""))</f>
        <v/>
      </c>
      <c r="C7" s="75" t="str">
        <f>IF($T$4=0,IF($J7="","",$J7),IFERROR(IF([1]财务取数接口!$C$6=0,"",[1]财务取数接口!$C$6),""))</f>
        <v>筐子销售</v>
      </c>
      <c r="D7" s="89" t="str">
        <f>IF($T$4=0,IF($K7="","",$K7),IFERROR(IF([1]财务取数接口!$D$6=0,"",[1]财务取数接口!$D$6),""))</f>
        <v/>
      </c>
      <c r="E7" s="89" t="str">
        <f>IF($T$4=0,IF($L7="","",$L7),IFERROR(IF([1]财务取数接口!$E$6=0,"",[1]财务取数接口!$E$6),""))</f>
        <v>个</v>
      </c>
      <c r="F7" s="76" t="str">
        <f>IF($T$4=0,IF($M7="","",$M7),IFERROR(IF([1]财务取数接口!$G$6=0,"",[1]财务取数接口!$G$6),""))</f>
        <v/>
      </c>
      <c r="G7" s="76" t="str">
        <f>IF($T$4=0,IF($N7="","",$N7),IFERROR(IF([1]财务取数接口!$H$6=0,"",[1]财务取数接口!$H$6),""))</f>
        <v/>
      </c>
      <c r="H7" s="75" t="str">
        <f>IF($T$4=0,IF($O7="","",$O7),IFERROR(IF([1]财务取数接口!$I$6=0,"",[1]财务取数接口!$I$6),""))</f>
        <v/>
      </c>
      <c r="I7" s="43"/>
      <c r="J7" s="106"/>
      <c r="K7" s="43"/>
      <c r="L7" s="43"/>
      <c r="M7" s="107"/>
      <c r="N7" s="107"/>
      <c r="O7" s="106"/>
      <c r="P7" s="139">
        <f t="shared" si="0"/>
        <v>0</v>
      </c>
      <c r="Q7" s="139">
        <f t="shared" si="1"/>
        <v>0</v>
      </c>
    </row>
    <row r="8" spans="1:20">
      <c r="A8" s="74">
        <v>7</v>
      </c>
      <c r="B8" s="138" t="str">
        <f>IF($T$4=0,IF($I8="","",$I8),IFERROR(IF([1]财务取数接口!$B$7=0,"",[1]财务取数接口!$B$7),""))</f>
        <v/>
      </c>
      <c r="C8" s="75" t="str">
        <f>IF($T$4=0,IF($J8="","",$J8),IFERROR(IF([1]财务取数接口!$C$7=0,"",[1]财务取数接口!$C$7),""))</f>
        <v>筐子销售</v>
      </c>
      <c r="D8" s="89" t="str">
        <f>IF($T$4=0,IF($K8="","",$K8),IFERROR(IF([1]财务取数接口!$D$7=0,"",[1]财务取数接口!$D$7),""))</f>
        <v/>
      </c>
      <c r="E8" s="89" t="str">
        <f>IF($T$4=0,IF($L8="","",$L8),IFERROR(IF([1]财务取数接口!$E$7=0,"",[1]财务取数接口!$E$7),""))</f>
        <v>个</v>
      </c>
      <c r="F8" s="76" t="str">
        <f>IF($T$4=0,IF($M8="","",$M8),IFERROR(IF([1]财务取数接口!$G$7=0,"",[1]财务取数接口!$G$7),""))</f>
        <v/>
      </c>
      <c r="G8" s="76" t="str">
        <f>IF($T$4=0,IF($N8="","",$N8),IFERROR(IF([1]财务取数接口!$H$7=0,"",[1]财务取数接口!$H$7),""))</f>
        <v/>
      </c>
      <c r="H8" s="75" t="str">
        <f>IF($T$4=0,IF($O8="","",$O8),IFERROR(IF([1]财务取数接口!$I$7=0,"",[1]财务取数接口!$I$7),""))</f>
        <v/>
      </c>
      <c r="I8" s="43"/>
      <c r="J8" s="106"/>
      <c r="K8" s="43"/>
      <c r="L8" s="43"/>
      <c r="M8" s="107"/>
      <c r="N8" s="107"/>
      <c r="O8" s="106"/>
      <c r="P8" s="139">
        <f t="shared" si="0"/>
        <v>0</v>
      </c>
      <c r="Q8" s="139">
        <f t="shared" si="1"/>
        <v>0</v>
      </c>
    </row>
    <row r="9" spans="1:20">
      <c r="A9" s="74">
        <v>8</v>
      </c>
      <c r="B9" s="138" t="str">
        <f>IF($T$4=0,IF($I9="","",$I9),IFERROR(IF([1]财务取数接口!$B$8=0,"",[1]财务取数接口!$B$8),""))</f>
        <v/>
      </c>
      <c r="C9" s="75" t="str">
        <f>IF($T$4=0,IF($J9="","",$J9),IFERROR(IF([1]财务取数接口!$C$8=0,"",[1]财务取数接口!$C$8),""))</f>
        <v>筐子销售</v>
      </c>
      <c r="D9" s="89" t="str">
        <f>IF($T$4=0,IF($K9="","",$K9),IFERROR(IF([1]财务取数接口!$D$8=0,"",[1]财务取数接口!$D$8),""))</f>
        <v/>
      </c>
      <c r="E9" s="89" t="str">
        <f>IF($T$4=0,IF($L9="","",$L9),IFERROR(IF([1]财务取数接口!$E$8=0,"",[1]财务取数接口!$E$8),""))</f>
        <v>个</v>
      </c>
      <c r="F9" s="76" t="str">
        <f>IF($T$4=0,IF($M9="","",$M9),IFERROR(IF([1]财务取数接口!$G$8=0,"",[1]财务取数接口!$G$8),""))</f>
        <v/>
      </c>
      <c r="G9" s="76" t="str">
        <f>IF($T$4=0,IF($N9="","",$N9),IFERROR(IF([1]财务取数接口!$H$8=0,"",[1]财务取数接口!$H$8),""))</f>
        <v/>
      </c>
      <c r="H9" s="75" t="str">
        <f>IF($T$4=0,IF($O9="","",$O9),IFERROR(IF([1]财务取数接口!$I$8=0,"",[1]财务取数接口!$I$8),""))</f>
        <v/>
      </c>
      <c r="I9" s="43"/>
      <c r="J9" s="106"/>
      <c r="K9" s="43"/>
      <c r="L9" s="43"/>
      <c r="M9" s="107"/>
      <c r="N9" s="107"/>
      <c r="O9" s="106"/>
      <c r="P9" s="139">
        <f t="shared" si="0"/>
        <v>0</v>
      </c>
      <c r="Q9" s="139">
        <f t="shared" si="1"/>
        <v>0</v>
      </c>
    </row>
    <row r="10" spans="1:20">
      <c r="A10" s="74">
        <v>9</v>
      </c>
      <c r="B10" s="138" t="str">
        <f>IF($T$4=0,IF($I10="","",$I10),IFERROR(IF([1]财务取数接口!$B$9=0,"",[1]财务取数接口!$B$9),""))</f>
        <v/>
      </c>
      <c r="C10" s="75" t="str">
        <f>IF($T$4=0,IF($J10="","",$J10),IFERROR(IF([1]财务取数接口!$C$9=0,"",[1]财务取数接口!$C$9),""))</f>
        <v>筐子销售</v>
      </c>
      <c r="D10" s="89" t="str">
        <f>IF($T$4=0,IF($K10="","",$K10),IFERROR(IF([1]财务取数接口!$D$9=0,"",[1]财务取数接口!$D$9),""))</f>
        <v/>
      </c>
      <c r="E10" s="89" t="str">
        <f>IF($T$4=0,IF($L10="","",$L10),IFERROR(IF([1]财务取数接口!$E$9=0,"",[1]财务取数接口!$E$9),""))</f>
        <v>个</v>
      </c>
      <c r="F10" s="76" t="str">
        <f>IF($T$4=0,IF($M10="","",$M10),IFERROR(IF([1]财务取数接口!$G$9=0,"",[1]财务取数接口!$G$9),""))</f>
        <v/>
      </c>
      <c r="G10" s="76" t="str">
        <f>IF($T$4=0,IF($N10="","",$N10),IFERROR(IF([1]财务取数接口!$H$9=0,"",[1]财务取数接口!$H$9),""))</f>
        <v/>
      </c>
      <c r="H10" s="75" t="str">
        <f>IF($T$4=0,IF($O10="","",$O10),IFERROR(IF([1]财务取数接口!$I$9=0,"",[1]财务取数接口!$I$9),""))</f>
        <v/>
      </c>
      <c r="I10" s="43"/>
      <c r="J10" s="106"/>
      <c r="K10" s="43"/>
      <c r="L10" s="43"/>
      <c r="M10" s="107"/>
      <c r="N10" s="107"/>
      <c r="O10" s="106"/>
      <c r="P10" s="139">
        <f t="shared" si="0"/>
        <v>0</v>
      </c>
      <c r="Q10" s="139">
        <f t="shared" si="1"/>
        <v>0</v>
      </c>
    </row>
    <row r="11" spans="1:20">
      <c r="A11" s="74">
        <v>10</v>
      </c>
      <c r="B11" s="138" t="str">
        <f>IF($T$4=0,IF($I11="","",$I11),IFERROR(IF([1]财务取数接口!$B$10=0,"",[1]财务取数接口!$B$10),""))</f>
        <v/>
      </c>
      <c r="C11" s="75" t="str">
        <f>IF($T$4=0,IF($J11="","",$J11),IFERROR(IF([1]财务取数接口!$C$10=0,"",[1]财务取数接口!$C$10),""))</f>
        <v>筐子销售</v>
      </c>
      <c r="D11" s="89" t="str">
        <f>IF($T$4=0,IF($K11="","",$K11),IFERROR(IF([1]财务取数接口!$D$10=0,"",[1]财务取数接口!$D$10),""))</f>
        <v/>
      </c>
      <c r="E11" s="89" t="str">
        <f>IF($T$4=0,IF($L11="","",$L11),IFERROR(IF([1]财务取数接口!$E$10=0,"",[1]财务取数接口!$E$10),""))</f>
        <v>个</v>
      </c>
      <c r="F11" s="76" t="str">
        <f>IF($T$4=0,IF($M11="","",$M11),IFERROR(IF([1]财务取数接口!$G$10=0,"",[1]财务取数接口!$G$10),""))</f>
        <v/>
      </c>
      <c r="G11" s="76" t="str">
        <f>IF($T$4=0,IF($N11="","",$N11),IFERROR(IF([1]财务取数接口!$H$10=0,"",[1]财务取数接口!$H$10),""))</f>
        <v/>
      </c>
      <c r="H11" s="75" t="str">
        <f>IF($T$4=0,IF($O11="","",$O11),IFERROR(IF([1]财务取数接口!$I$10=0,"",[1]财务取数接口!$I$10),""))</f>
        <v/>
      </c>
      <c r="I11" s="43"/>
      <c r="J11" s="106"/>
      <c r="K11" s="43"/>
      <c r="L11" s="43"/>
      <c r="M11" s="107"/>
      <c r="N11" s="107"/>
      <c r="O11" s="106"/>
      <c r="P11" s="139">
        <f t="shared" si="0"/>
        <v>0</v>
      </c>
      <c r="Q11" s="139">
        <f t="shared" si="1"/>
        <v>0</v>
      </c>
    </row>
    <row r="12" spans="1:20">
      <c r="A12" s="74">
        <v>11</v>
      </c>
      <c r="B12" s="138" t="str">
        <f>IF($T$4=0,IF($I12="","",$I12),IFERROR(IF([1]财务取数接口!$B$11=0,"",[1]财务取数接口!$B$11),""))</f>
        <v/>
      </c>
      <c r="C12" s="75" t="str">
        <f>IF($T$4=0,IF($J12="","",$J12),IFERROR(IF([1]财务取数接口!$C$11=0,"",[1]财务取数接口!$C$11),""))</f>
        <v>筐子销售</v>
      </c>
      <c r="D12" s="89" t="str">
        <f>IF($T$4=0,IF($K12="","",$K12),IFERROR(IF([1]财务取数接口!$D$11=0,"",[1]财务取数接口!$D$11),""))</f>
        <v/>
      </c>
      <c r="E12" s="89" t="str">
        <f>IF($T$4=0,IF($L12="","",$L12),IFERROR(IF([1]财务取数接口!$E$11=0,"",[1]财务取数接口!$E$11),""))</f>
        <v>个</v>
      </c>
      <c r="F12" s="76" t="str">
        <f>IF($T$4=0,IF($M12="","",$M12),IFERROR(IF([1]财务取数接口!$G$11=0,"",[1]财务取数接口!$G$11),""))</f>
        <v/>
      </c>
      <c r="G12" s="76" t="str">
        <f>IF($T$4=0,IF($N12="","",$N12),IFERROR(IF([1]财务取数接口!$H$11=0,"",[1]财务取数接口!$H$11),""))</f>
        <v/>
      </c>
      <c r="H12" s="75" t="str">
        <f>IF($T$4=0,IF($O12="","",$O12),IFERROR(IF([1]财务取数接口!$I$11=0,"",[1]财务取数接口!$I$11),""))</f>
        <v/>
      </c>
      <c r="I12" s="43"/>
      <c r="J12" s="106"/>
      <c r="K12" s="43"/>
      <c r="L12" s="43"/>
      <c r="M12" s="107"/>
      <c r="N12" s="107"/>
      <c r="O12" s="106"/>
      <c r="P12" s="139">
        <f t="shared" si="0"/>
        <v>0</v>
      </c>
      <c r="Q12" s="139">
        <f t="shared" si="1"/>
        <v>0</v>
      </c>
    </row>
    <row r="13" spans="1:20">
      <c r="A13" s="74">
        <v>12</v>
      </c>
      <c r="B13" s="138" t="str">
        <f>IF($T$4=0,IF($I13="","",$I13),IFERROR(IF([1]财务取数接口!$B$12=0,"",[1]财务取数接口!$B$12),""))</f>
        <v/>
      </c>
      <c r="C13" s="75" t="str">
        <f>IF($T$4=0,IF($J13="","",$J13),IFERROR(IF([1]财务取数接口!$C$12=0,"",[1]财务取数接口!$C$12),""))</f>
        <v>筐子销售</v>
      </c>
      <c r="D13" s="89" t="str">
        <f>IF($T$4=0,IF($K13="","",$K13),IFERROR(IF([1]财务取数接口!$D$12=0,"",[1]财务取数接口!$D$12),""))</f>
        <v/>
      </c>
      <c r="E13" s="89" t="str">
        <f>IF($T$4=0,IF($L13="","",$L13),IFERROR(IF([1]财务取数接口!$E$12=0,"",[1]财务取数接口!$E$12),""))</f>
        <v>个</v>
      </c>
      <c r="F13" s="76" t="str">
        <f>IF($T$4=0,IF($M13="","",$M13),IFERROR(IF([1]财务取数接口!$G$12=0,"",[1]财务取数接口!$G$12),""))</f>
        <v/>
      </c>
      <c r="G13" s="76" t="str">
        <f>IF($T$4=0,IF($N13="","",$N13),IFERROR(IF([1]财务取数接口!$H$12=0,"",[1]财务取数接口!$H$12),""))</f>
        <v/>
      </c>
      <c r="H13" s="75" t="str">
        <f>IF($T$4=0,IF($O13="","",$O13),IFERROR(IF([1]财务取数接口!$I$12=0,"",[1]财务取数接口!$I$12),""))</f>
        <v/>
      </c>
      <c r="I13" s="43"/>
      <c r="J13" s="106"/>
      <c r="K13" s="43"/>
      <c r="L13" s="43"/>
      <c r="M13" s="107"/>
      <c r="N13" s="107"/>
      <c r="O13" s="106"/>
      <c r="P13" s="139">
        <f t="shared" si="0"/>
        <v>0</v>
      </c>
      <c r="Q13" s="139">
        <f t="shared" si="1"/>
        <v>0</v>
      </c>
    </row>
    <row r="14" spans="1:20">
      <c r="A14" s="74">
        <v>13</v>
      </c>
      <c r="B14" s="138" t="str">
        <f>IF($T$4=0,IF($I14="","",$I14),IFERROR(IF([1]财务取数接口!$B$13=0,"",[1]财务取数接口!$B$13),""))</f>
        <v/>
      </c>
      <c r="C14" s="75" t="str">
        <f>IF($T$4=0,IF($J14="","",$J14),IFERROR(IF([1]财务取数接口!$C$13=0,"",[1]财务取数接口!$C$13),""))</f>
        <v>筐子销售</v>
      </c>
      <c r="D14" s="89" t="str">
        <f>IF($T$4=0,IF($K14="","",$K14),IFERROR(IF([1]财务取数接口!$D$13=0,"",[1]财务取数接口!$D$13),""))</f>
        <v/>
      </c>
      <c r="E14" s="89" t="str">
        <f>IF($T$4=0,IF($L14="","",$L14),IFERROR(IF([1]财务取数接口!$E$13=0,"",[1]财务取数接口!$E$13),""))</f>
        <v>个</v>
      </c>
      <c r="F14" s="76" t="str">
        <f>IF($T$4=0,IF($M14="","",$M14),IFERROR(IF([1]财务取数接口!$G$13=0,"",[1]财务取数接口!$G$13),""))</f>
        <v/>
      </c>
      <c r="G14" s="76" t="str">
        <f>IF($T$4=0,IF($N14="","",$N14),IFERROR(IF([1]财务取数接口!$H$13=0,"",[1]财务取数接口!$H$13),""))</f>
        <v/>
      </c>
      <c r="H14" s="75" t="str">
        <f>IF($T$4=0,IF($O14="","",$O14),IFERROR(IF([1]财务取数接口!$I$13=0,"",[1]财务取数接口!$I$13),""))</f>
        <v/>
      </c>
      <c r="I14" s="43"/>
      <c r="J14" s="106"/>
      <c r="K14" s="43"/>
      <c r="L14" s="43"/>
      <c r="M14" s="107"/>
      <c r="N14" s="107"/>
      <c r="O14" s="106"/>
      <c r="P14" s="139">
        <f t="shared" si="0"/>
        <v>0</v>
      </c>
      <c r="Q14" s="139">
        <f t="shared" si="1"/>
        <v>0</v>
      </c>
    </row>
    <row r="15" spans="1:20">
      <c r="A15" s="74">
        <v>14</v>
      </c>
      <c r="B15" s="138" t="str">
        <f>IF($T$4=0,IF($I15="","",$I15),IFERROR(IF([1]财务取数接口!$B$14=0,"",[1]财务取数接口!$B$14),""))</f>
        <v/>
      </c>
      <c r="C15" s="75" t="str">
        <f>IF($T$4=0,IF($J15="","",$J15),IFERROR(IF([1]财务取数接口!$C$14=0,"",[1]财务取数接口!$C$14),""))</f>
        <v>筐子销售</v>
      </c>
      <c r="D15" s="89" t="str">
        <f>IF($T$4=0,IF($K15="","",$K15),IFERROR(IF([1]财务取数接口!$D$14=0,"",[1]财务取数接口!$D$14),""))</f>
        <v/>
      </c>
      <c r="E15" s="89" t="str">
        <f>IF($T$4=0,IF($L15="","",$L15),IFERROR(IF([1]财务取数接口!$E$14=0,"",[1]财务取数接口!$E$14),""))</f>
        <v>个</v>
      </c>
      <c r="F15" s="76" t="str">
        <f>IF($T$4=0,IF($M15="","",$M15),IFERROR(IF([1]财务取数接口!$G$14=0,"",[1]财务取数接口!$G$14),""))</f>
        <v/>
      </c>
      <c r="G15" s="76" t="str">
        <f>IF($T$4=0,IF($N15="","",$N15),IFERROR(IF([1]财务取数接口!$H$14=0,"",[1]财务取数接口!$H$14),""))</f>
        <v/>
      </c>
      <c r="H15" s="75" t="str">
        <f>IF($T$4=0,IF($O15="","",$O15),IFERROR(IF([1]财务取数接口!$I$14=0,"",[1]财务取数接口!$I$14),""))</f>
        <v/>
      </c>
      <c r="I15" s="43"/>
      <c r="J15" s="106"/>
      <c r="K15" s="43"/>
      <c r="L15" s="43"/>
      <c r="M15" s="107"/>
      <c r="N15" s="107"/>
      <c r="O15" s="106"/>
      <c r="P15" s="139">
        <f t="shared" si="0"/>
        <v>0</v>
      </c>
      <c r="Q15" s="139">
        <f t="shared" si="1"/>
        <v>0</v>
      </c>
    </row>
    <row r="16" spans="1:20">
      <c r="A16" s="74">
        <v>15</v>
      </c>
      <c r="B16" s="138" t="str">
        <f>IF($T$4=0,IF($I16="","",$I16),IFERROR(IF([1]财务取数接口!$B$15=0,"",[1]财务取数接口!$B$15),""))</f>
        <v/>
      </c>
      <c r="C16" s="75" t="str">
        <f>IF($T$4=0,IF($J16="","",$J16),IFERROR(IF([1]财务取数接口!$C$15=0,"",[1]财务取数接口!$C$15),""))</f>
        <v>筐子销售</v>
      </c>
      <c r="D16" s="89" t="str">
        <f>IF($T$4=0,IF($K16="","",$K16),IFERROR(IF([1]财务取数接口!$D$15=0,"",[1]财务取数接口!$D$15),""))</f>
        <v/>
      </c>
      <c r="E16" s="89" t="str">
        <f>IF($T$4=0,IF($L16="","",$L16),IFERROR(IF([1]财务取数接口!$E$15=0,"",[1]财务取数接口!$E$15),""))</f>
        <v>个</v>
      </c>
      <c r="F16" s="76" t="str">
        <f>IF($T$4=0,IF($M16="","",$M16),IFERROR(IF([1]财务取数接口!$G$15=0,"",[1]财务取数接口!$G$15),""))</f>
        <v/>
      </c>
      <c r="G16" s="76" t="str">
        <f>IF($T$4=0,IF($N16="","",$N16),IFERROR(IF([1]财务取数接口!$H$15=0,"",[1]财务取数接口!$H$15),""))</f>
        <v/>
      </c>
      <c r="H16" s="75" t="str">
        <f>IF($T$4=0,IF($O16="","",$O16),IFERROR(IF([1]财务取数接口!$I$15=0,"",[1]财务取数接口!$I$15),""))</f>
        <v/>
      </c>
      <c r="I16" s="43"/>
      <c r="J16" s="106"/>
      <c r="K16" s="43"/>
      <c r="L16" s="43"/>
      <c r="M16" s="107"/>
      <c r="N16" s="107"/>
      <c r="O16" s="106"/>
      <c r="P16" s="139">
        <f t="shared" si="0"/>
        <v>0</v>
      </c>
      <c r="Q16" s="139">
        <f t="shared" si="1"/>
        <v>0</v>
      </c>
    </row>
    <row r="17" spans="1:17">
      <c r="A17" s="74">
        <v>16</v>
      </c>
      <c r="B17" s="138" t="str">
        <f>IF($T$4=0,IF($I17="","",$I17),IFERROR(IF([1]财务取数接口!$B$16=0,"",[1]财务取数接口!$B$16),""))</f>
        <v/>
      </c>
      <c r="C17" s="75" t="str">
        <f>IF($T$4=0,IF($J17="","",$J17),IFERROR(IF([1]财务取数接口!$C$16=0,"",[1]财务取数接口!$C$16),""))</f>
        <v>筐子销售</v>
      </c>
      <c r="D17" s="89" t="str">
        <f>IF($T$4=0,IF($K17="","",$K17),IFERROR(IF([1]财务取数接口!$D$16=0,"",[1]财务取数接口!$D$16),""))</f>
        <v/>
      </c>
      <c r="E17" s="89" t="str">
        <f>IF($T$4=0,IF($L17="","",$L17),IFERROR(IF([1]财务取数接口!$E$16=0,"",[1]财务取数接口!$E$16),""))</f>
        <v>个</v>
      </c>
      <c r="F17" s="76" t="str">
        <f>IF($T$4=0,IF($M17="","",$M17),IFERROR(IF([1]财务取数接口!$G$16=0,"",[1]财务取数接口!$G$16),""))</f>
        <v/>
      </c>
      <c r="G17" s="76" t="str">
        <f>IF($T$4=0,IF($N17="","",$N17),IFERROR(IF([1]财务取数接口!$H$16=0,"",[1]财务取数接口!$H$16),""))</f>
        <v/>
      </c>
      <c r="H17" s="75" t="str">
        <f>IF($T$4=0,IF($O17="","",$O17),IFERROR(IF([1]财务取数接口!$I$16=0,"",[1]财务取数接口!$I$16),""))</f>
        <v/>
      </c>
      <c r="I17" s="43"/>
      <c r="J17" s="106"/>
      <c r="K17" s="43"/>
      <c r="L17" s="43"/>
      <c r="M17" s="107"/>
      <c r="N17" s="107"/>
      <c r="O17" s="106"/>
      <c r="P17" s="139">
        <f t="shared" si="0"/>
        <v>0</v>
      </c>
      <c r="Q17" s="139">
        <f t="shared" si="1"/>
        <v>0</v>
      </c>
    </row>
    <row r="18" spans="1:17">
      <c r="A18" s="74">
        <v>17</v>
      </c>
      <c r="B18" s="138" t="str">
        <f>IF($T$4=0,IF($I18="","",$I18),IFERROR(IF([1]财务取数接口!$B$17=0,"",[1]财务取数接口!$B$17),""))</f>
        <v/>
      </c>
      <c r="C18" s="75" t="str">
        <f>IF($T$4=0,IF($J18="","",$J18),IFERROR(IF([1]财务取数接口!$C$17=0,"",[1]财务取数接口!$C$17),""))</f>
        <v>筐子销售</v>
      </c>
      <c r="D18" s="89" t="str">
        <f>IF($T$4=0,IF($K18="","",$K18),IFERROR(IF([1]财务取数接口!$D$17=0,"",[1]财务取数接口!$D$17),""))</f>
        <v/>
      </c>
      <c r="E18" s="89" t="str">
        <f>IF($T$4=0,IF($L18="","",$L18),IFERROR(IF([1]财务取数接口!$E$17=0,"",[1]财务取数接口!$E$17),""))</f>
        <v>个</v>
      </c>
      <c r="F18" s="76" t="str">
        <f>IF($T$4=0,IF($M18="","",$M18),IFERROR(IF([1]财务取数接口!$G$17=0,"",[1]财务取数接口!$G$17),""))</f>
        <v/>
      </c>
      <c r="G18" s="76" t="str">
        <f>IF($T$4=0,IF($N18="","",$N18),IFERROR(IF([1]财务取数接口!$H$17=0,"",[1]财务取数接口!$H$17),""))</f>
        <v/>
      </c>
      <c r="H18" s="75" t="str">
        <f>IF($T$4=0,IF($O18="","",$O18),IFERROR(IF([1]财务取数接口!$I$17=0,"",[1]财务取数接口!$I$17),""))</f>
        <v/>
      </c>
      <c r="I18" s="43"/>
      <c r="J18" s="106"/>
      <c r="K18" s="43"/>
      <c r="L18" s="43"/>
      <c r="M18" s="107"/>
      <c r="N18" s="107"/>
      <c r="O18" s="106"/>
      <c r="P18" s="139">
        <f t="shared" si="0"/>
        <v>0</v>
      </c>
      <c r="Q18" s="139">
        <f t="shared" si="1"/>
        <v>0</v>
      </c>
    </row>
    <row r="19" spans="1:17">
      <c r="A19" s="74">
        <v>18</v>
      </c>
      <c r="B19" s="138" t="str">
        <f>IF($T$4=0,IF($I19="","",$I19),IFERROR(IF([1]财务取数接口!$B$18=0,"",[1]财务取数接口!$B$18),""))</f>
        <v/>
      </c>
      <c r="C19" s="75" t="str">
        <f>IF($T$4=0,IF($J19="","",$J19),IFERROR(IF([1]财务取数接口!$C$18=0,"",[1]财务取数接口!$C$18),""))</f>
        <v>筐子销售</v>
      </c>
      <c r="D19" s="89" t="str">
        <f>IF($T$4=0,IF($K19="","",$K19),IFERROR(IF([1]财务取数接口!$D$18=0,"",[1]财务取数接口!$D$18),""))</f>
        <v/>
      </c>
      <c r="E19" s="89" t="str">
        <f>IF($T$4=0,IF($L19="","",$L19),IFERROR(IF([1]财务取数接口!$E$18=0,"",[1]财务取数接口!$E$18),""))</f>
        <v>个</v>
      </c>
      <c r="F19" s="76" t="str">
        <f>IF($T$4=0,IF($M19="","",$M19),IFERROR(IF([1]财务取数接口!$G$18=0,"",[1]财务取数接口!$G$18),""))</f>
        <v/>
      </c>
      <c r="G19" s="76" t="str">
        <f>IF($T$4=0,IF($N19="","",$N19),IFERROR(IF([1]财务取数接口!$H$18=0,"",[1]财务取数接口!$H$18),""))</f>
        <v/>
      </c>
      <c r="H19" s="75" t="str">
        <f>IF($T$4=0,IF($O19="","",$O19),IFERROR(IF([1]财务取数接口!$I$18=0,"",[1]财务取数接口!$I$18),""))</f>
        <v/>
      </c>
      <c r="I19" s="43"/>
      <c r="J19" s="106"/>
      <c r="K19" s="43"/>
      <c r="L19" s="43"/>
      <c r="M19" s="107"/>
      <c r="N19" s="107"/>
      <c r="O19" s="106"/>
      <c r="P19" s="139">
        <f t="shared" si="0"/>
        <v>0</v>
      </c>
      <c r="Q19" s="139">
        <f t="shared" si="1"/>
        <v>0</v>
      </c>
    </row>
    <row r="20" spans="1:17">
      <c r="A20" s="74">
        <v>19</v>
      </c>
      <c r="B20" s="138" t="str">
        <f>IF($T$4=0,IF($I20="","",$I20),IFERROR(IF([1]财务取数接口!$B$19=0,"",[1]财务取数接口!$B$19),""))</f>
        <v/>
      </c>
      <c r="C20" s="75" t="str">
        <f>IF($T$4=0,IF($J20="","",$J20),IFERROR(IF([1]财务取数接口!$C$19=0,"",[1]财务取数接口!$C$19),""))</f>
        <v>筐子销售</v>
      </c>
      <c r="D20" s="89" t="str">
        <f>IF($T$4=0,IF($K20="","",$K20),IFERROR(IF([1]财务取数接口!$D$19=0,"",[1]财务取数接口!$D$19),""))</f>
        <v/>
      </c>
      <c r="E20" s="89" t="str">
        <f>IF($T$4=0,IF($L20="","",$L20),IFERROR(IF([1]财务取数接口!$E$19=0,"",[1]财务取数接口!$E$19),""))</f>
        <v>个</v>
      </c>
      <c r="F20" s="76" t="str">
        <f>IF($T$4=0,IF($M20="","",$M20),IFERROR(IF([1]财务取数接口!$G$19=0,"",[1]财务取数接口!$G$19),""))</f>
        <v/>
      </c>
      <c r="G20" s="76" t="str">
        <f>IF($T$4=0,IF($N20="","",$N20),IFERROR(IF([1]财务取数接口!$H$19=0,"",[1]财务取数接口!$H$19),""))</f>
        <v/>
      </c>
      <c r="H20" s="75" t="str">
        <f>IF($T$4=0,IF($O20="","",$O20),IFERROR(IF([1]财务取数接口!$I$19=0,"",[1]财务取数接口!$I$19),""))</f>
        <v/>
      </c>
      <c r="I20" s="43"/>
      <c r="J20" s="106"/>
      <c r="K20" s="43"/>
      <c r="L20" s="43"/>
      <c r="M20" s="107"/>
      <c r="N20" s="107"/>
      <c r="O20" s="106"/>
      <c r="P20" s="139">
        <f t="shared" si="0"/>
        <v>0</v>
      </c>
      <c r="Q20" s="139">
        <f t="shared" si="1"/>
        <v>0</v>
      </c>
    </row>
    <row r="21" spans="1:17">
      <c r="A21" s="74">
        <v>20</v>
      </c>
      <c r="B21" s="138" t="str">
        <f>IF($T$4=0,IF($I21="","",$I21),IFERROR(IF([1]财务取数接口!$B$20=0,"",[1]财务取数接口!$B$20),""))</f>
        <v/>
      </c>
      <c r="C21" s="75" t="str">
        <f>IF($T$4=0,IF($J21="","",$J21),IFERROR(IF([1]财务取数接口!$C$20=0,"",[1]财务取数接口!$C$20),""))</f>
        <v>筐子销售</v>
      </c>
      <c r="D21" s="89" t="str">
        <f>IF($T$4=0,IF($K21="","",$K21),IFERROR(IF([1]财务取数接口!$D$20=0,"",[1]财务取数接口!$D$20),""))</f>
        <v/>
      </c>
      <c r="E21" s="89" t="str">
        <f>IF($T$4=0,IF($L21="","",$L21),IFERROR(IF([1]财务取数接口!$E$20=0,"",[1]财务取数接口!$E$20),""))</f>
        <v>个</v>
      </c>
      <c r="F21" s="76" t="str">
        <f>IF($T$4=0,IF($M21="","",$M21),IFERROR(IF([1]财务取数接口!$G$20=0,"",[1]财务取数接口!$G$20),""))</f>
        <v/>
      </c>
      <c r="G21" s="76" t="str">
        <f>IF($T$4=0,IF($N21="","",$N21),IFERROR(IF([1]财务取数接口!$H$20=0,"",[1]财务取数接口!$H$20),""))</f>
        <v/>
      </c>
      <c r="H21" s="75" t="str">
        <f>IF($T$4=0,IF($O21="","",$O21),IFERROR(IF([1]财务取数接口!$I$20=0,"",[1]财务取数接口!$I$20),""))</f>
        <v/>
      </c>
      <c r="I21" s="43"/>
      <c r="J21" s="106"/>
      <c r="K21" s="43"/>
      <c r="L21" s="43"/>
      <c r="M21" s="107"/>
      <c r="N21" s="107"/>
      <c r="O21" s="106"/>
      <c r="P21" s="139">
        <f t="shared" si="0"/>
        <v>0</v>
      </c>
      <c r="Q21" s="139">
        <f t="shared" si="1"/>
        <v>0</v>
      </c>
    </row>
    <row r="22" spans="1:17">
      <c r="A22" s="74">
        <v>21</v>
      </c>
      <c r="B22" s="138" t="str">
        <f>IF($T$4=0,IF($I22="","",$I22),IFERROR(IF([1]财务取数接口!$B$21=0,"",[1]财务取数接口!$B$21),""))</f>
        <v/>
      </c>
      <c r="C22" s="75" t="str">
        <f>IF($T$4=0,IF($J22="","",$J22),IFERROR(IF([1]财务取数接口!$C$21=0,"",[1]财务取数接口!$C$21),""))</f>
        <v>筐子销售</v>
      </c>
      <c r="D22" s="89" t="str">
        <f>IF($T$4=0,IF($K22="","",$K22),IFERROR(IF([1]财务取数接口!$D$21=0,"",[1]财务取数接口!$D$21),""))</f>
        <v/>
      </c>
      <c r="E22" s="89" t="str">
        <f>IF($T$4=0,IF($L22="","",$L22),IFERROR(IF([1]财务取数接口!$E$21=0,"",[1]财务取数接口!$E$21),""))</f>
        <v>个</v>
      </c>
      <c r="F22" s="76" t="str">
        <f>IF($T$4=0,IF($M22="","",$M22),IFERROR(IF([1]财务取数接口!$G$21=0,"",[1]财务取数接口!$G$21),""))</f>
        <v/>
      </c>
      <c r="G22" s="76" t="str">
        <f>IF($T$4=0,IF($N22="","",$N22),IFERROR(IF([1]财务取数接口!$H$21=0,"",[1]财务取数接口!$H$21),""))</f>
        <v/>
      </c>
      <c r="H22" s="75" t="str">
        <f>IF($T$4=0,IF($O22="","",$O22),IFERROR(IF([1]财务取数接口!$I$21=0,"",[1]财务取数接口!$I$21),""))</f>
        <v/>
      </c>
      <c r="I22" s="43"/>
      <c r="J22" s="106"/>
      <c r="K22" s="43"/>
      <c r="L22" s="43"/>
      <c r="M22" s="107"/>
      <c r="N22" s="107"/>
      <c r="O22" s="106"/>
      <c r="P22" s="139">
        <f t="shared" si="0"/>
        <v>0</v>
      </c>
      <c r="Q22" s="139">
        <f t="shared" si="1"/>
        <v>0</v>
      </c>
    </row>
    <row r="23" spans="1:17">
      <c r="A23" s="74">
        <v>22</v>
      </c>
      <c r="B23" s="138" t="str">
        <f>IF($T$4=0,IF($I23="","",$I23),IFERROR(IF([1]财务取数接口!$B$22=0,"",[1]财务取数接口!$B$22),""))</f>
        <v/>
      </c>
      <c r="C23" s="75" t="str">
        <f>IF($T$4=0,IF($J23="","",$J23),IFERROR(IF([1]财务取数接口!$C$22=0,"",[1]财务取数接口!$C$22),""))</f>
        <v>筐子销售</v>
      </c>
      <c r="D23" s="89" t="str">
        <f>IF($T$4=0,IF($K23="","",$K23),IFERROR(IF([1]财务取数接口!$D$22=0,"",[1]财务取数接口!$D$22),""))</f>
        <v/>
      </c>
      <c r="E23" s="89" t="str">
        <f>IF($T$4=0,IF($L23="","",$L23),IFERROR(IF([1]财务取数接口!$E$22=0,"",[1]财务取数接口!$E$22),""))</f>
        <v>个</v>
      </c>
      <c r="F23" s="76" t="str">
        <f>IF($T$4=0,IF($M23="","",$M23),IFERROR(IF([1]财务取数接口!$G$22=0,"",[1]财务取数接口!$G$22),""))</f>
        <v/>
      </c>
      <c r="G23" s="76" t="str">
        <f>IF($T$4=0,IF($N23="","",$N23),IFERROR(IF([1]财务取数接口!$H$22=0,"",[1]财务取数接口!$H$22),""))</f>
        <v/>
      </c>
      <c r="H23" s="75" t="str">
        <f>IF($T$4=0,IF($O23="","",$O23),IFERROR(IF([1]财务取数接口!$I$22=0,"",[1]财务取数接口!$I$22),""))</f>
        <v/>
      </c>
      <c r="I23" s="43"/>
      <c r="J23" s="106"/>
      <c r="K23" s="43"/>
      <c r="L23" s="43"/>
      <c r="M23" s="107"/>
      <c r="N23" s="107"/>
      <c r="O23" s="106"/>
      <c r="P23" s="139">
        <f t="shared" si="0"/>
        <v>0</v>
      </c>
      <c r="Q23" s="139">
        <f t="shared" si="1"/>
        <v>0</v>
      </c>
    </row>
    <row r="24" spans="1:17">
      <c r="A24" s="74">
        <v>23</v>
      </c>
      <c r="B24" s="138" t="str">
        <f>IF($T$4=0,IF($I24="","",$I24),IFERROR(IF([1]财务取数接口!$B$23=0,"",[1]财务取数接口!$B$23),""))</f>
        <v/>
      </c>
      <c r="C24" s="75" t="str">
        <f>IF($T$4=0,IF($J24="","",$J24),IFERROR(IF([1]财务取数接口!$C$23=0,"",[1]财务取数接口!$C$23),""))</f>
        <v>筐子销售</v>
      </c>
      <c r="D24" s="89" t="str">
        <f>IF($T$4=0,IF($K24="","",$K24),IFERROR(IF([1]财务取数接口!$D$23=0,"",[1]财务取数接口!$D$23),""))</f>
        <v/>
      </c>
      <c r="E24" s="89" t="str">
        <f>IF($T$4=0,IF($L24="","",$L24),IFERROR(IF([1]财务取数接口!$E$23=0,"",[1]财务取数接口!$E$23),""))</f>
        <v>个</v>
      </c>
      <c r="F24" s="76" t="str">
        <f>IF($T$4=0,IF($M24="","",$M24),IFERROR(IF([1]财务取数接口!$G$23=0,"",[1]财务取数接口!$G$23),""))</f>
        <v/>
      </c>
      <c r="G24" s="76" t="str">
        <f>IF($T$4=0,IF($N24="","",$N24),IFERROR(IF([1]财务取数接口!$H$23=0,"",[1]财务取数接口!$H$23),""))</f>
        <v/>
      </c>
      <c r="H24" s="75" t="str">
        <f>IF($T$4=0,IF($O24="","",$O24),IFERROR(IF([1]财务取数接口!$I$23=0,"",[1]财务取数接口!$I$23),""))</f>
        <v/>
      </c>
      <c r="I24" s="43"/>
      <c r="J24" s="106"/>
      <c r="K24" s="43"/>
      <c r="L24" s="43"/>
      <c r="M24" s="107"/>
      <c r="N24" s="107"/>
      <c r="O24" s="106"/>
      <c r="P24" s="139">
        <f t="shared" si="0"/>
        <v>0</v>
      </c>
      <c r="Q24" s="139">
        <f t="shared" si="1"/>
        <v>0</v>
      </c>
    </row>
    <row r="25" spans="1:17">
      <c r="A25" s="74">
        <v>24</v>
      </c>
      <c r="B25" s="138" t="str">
        <f>IF($T$4=0,IF($I25="","",$I25),IFERROR(IF([1]财务取数接口!$B$24=0,"",[1]财务取数接口!$B$24),""))</f>
        <v/>
      </c>
      <c r="C25" s="75" t="str">
        <f>IF($T$4=0,IF($J25="","",$J25),IFERROR(IF([1]财务取数接口!$C$24=0,"",[1]财务取数接口!$C$24),""))</f>
        <v>筐子销售</v>
      </c>
      <c r="D25" s="89" t="str">
        <f>IF($T$4=0,IF($K25="","",$K25),IFERROR(IF([1]财务取数接口!$D$24=0,"",[1]财务取数接口!$D$24),""))</f>
        <v/>
      </c>
      <c r="E25" s="89" t="str">
        <f>IF($T$4=0,IF($L25="","",$L25),IFERROR(IF([1]财务取数接口!$E$24=0,"",[1]财务取数接口!$E$24),""))</f>
        <v>个</v>
      </c>
      <c r="F25" s="76" t="str">
        <f>IF($T$4=0,IF($M25="","",$M25),IFERROR(IF([1]财务取数接口!$G$24=0,"",[1]财务取数接口!$G$24),""))</f>
        <v/>
      </c>
      <c r="G25" s="76" t="str">
        <f>IF($T$4=0,IF($N25="","",$N25),IFERROR(IF([1]财务取数接口!$H$24=0,"",[1]财务取数接口!$H$24),""))</f>
        <v/>
      </c>
      <c r="H25" s="75" t="str">
        <f>IF($T$4=0,IF($O25="","",$O25),IFERROR(IF([1]财务取数接口!$I$24=0,"",[1]财务取数接口!$I$24),""))</f>
        <v/>
      </c>
      <c r="I25" s="43"/>
      <c r="J25" s="106"/>
      <c r="K25" s="43"/>
      <c r="L25" s="43"/>
      <c r="M25" s="107"/>
      <c r="N25" s="107"/>
      <c r="O25" s="106"/>
      <c r="P25" s="139">
        <f t="shared" si="0"/>
        <v>0</v>
      </c>
      <c r="Q25" s="139">
        <f t="shared" si="1"/>
        <v>0</v>
      </c>
    </row>
    <row r="26" spans="1:17">
      <c r="A26" s="74">
        <v>25</v>
      </c>
      <c r="B26" s="138" t="str">
        <f>IF($T$4=0,IF($I26="","",$I26),IFERROR(IF([1]财务取数接口!$B$25=0,"",[1]财务取数接口!$B$25),""))</f>
        <v/>
      </c>
      <c r="C26" s="75" t="str">
        <f>IF($T$4=0,IF($J26="","",$J26),IFERROR(IF([1]财务取数接口!$C$25=0,"",[1]财务取数接口!$C$25),""))</f>
        <v>筐子销售</v>
      </c>
      <c r="D26" s="89" t="str">
        <f>IF($T$4=0,IF($K26="","",$K26),IFERROR(IF([1]财务取数接口!$D$25=0,"",[1]财务取数接口!$D$25),""))</f>
        <v/>
      </c>
      <c r="E26" s="89" t="str">
        <f>IF($T$4=0,IF($L26="","",$L26),IFERROR(IF([1]财务取数接口!$E$25=0,"",[1]财务取数接口!$E$25),""))</f>
        <v>个</v>
      </c>
      <c r="F26" s="76" t="str">
        <f>IF($T$4=0,IF($M26="","",$M26),IFERROR(IF([1]财务取数接口!$G$25=0,"",[1]财务取数接口!$G$25),""))</f>
        <v/>
      </c>
      <c r="G26" s="76" t="str">
        <f>IF($T$4=0,IF($N26="","",$N26),IFERROR(IF([1]财务取数接口!$H$25=0,"",[1]财务取数接口!$H$25),""))</f>
        <v/>
      </c>
      <c r="H26" s="75" t="str">
        <f>IF($T$4=0,IF($O26="","",$O26),IFERROR(IF([1]财务取数接口!$I$25=0,"",[1]财务取数接口!$I$25),""))</f>
        <v/>
      </c>
      <c r="I26" s="43"/>
      <c r="J26" s="106"/>
      <c r="K26" s="43"/>
      <c r="L26" s="43"/>
      <c r="M26" s="107"/>
      <c r="N26" s="107"/>
      <c r="O26" s="106"/>
      <c r="P26" s="139">
        <f t="shared" si="0"/>
        <v>0</v>
      </c>
      <c r="Q26" s="139">
        <f t="shared" si="1"/>
        <v>0</v>
      </c>
    </row>
    <row r="27" spans="1:17">
      <c r="A27" s="74">
        <v>26</v>
      </c>
      <c r="B27" s="138" t="str">
        <f>IF($T$4=0,IF($I27="","",$I27),IFERROR(IF([1]财务取数接口!$B$26=0,"",[1]财务取数接口!$B$26),""))</f>
        <v/>
      </c>
      <c r="C27" s="75" t="str">
        <f>IF($T$4=0,IF($J27="","",$J27),IFERROR(IF([1]财务取数接口!$C$26=0,"",[1]财务取数接口!$C$26),""))</f>
        <v>筐子销售</v>
      </c>
      <c r="D27" s="89" t="str">
        <f>IF($T$4=0,IF($K27="","",$K27),IFERROR(IF([1]财务取数接口!$D$26=0,"",[1]财务取数接口!$D$26),""))</f>
        <v/>
      </c>
      <c r="E27" s="89" t="str">
        <f>IF($T$4=0,IF($L27="","",$L27),IFERROR(IF([1]财务取数接口!$E$26=0,"",[1]财务取数接口!$E$26),""))</f>
        <v>个</v>
      </c>
      <c r="F27" s="76" t="str">
        <f>IF($T$4=0,IF($M27="","",$M27),IFERROR(IF([1]财务取数接口!$G$26=0,"",[1]财务取数接口!$G$26),""))</f>
        <v/>
      </c>
      <c r="G27" s="76" t="str">
        <f>IF($T$4=0,IF($N27="","",$N27),IFERROR(IF([1]财务取数接口!$H$26=0,"",[1]财务取数接口!$H$26),""))</f>
        <v/>
      </c>
      <c r="H27" s="75" t="str">
        <f>IF($T$4=0,IF($O27="","",$O27),IFERROR(IF([1]财务取数接口!$I$26=0,"",[1]财务取数接口!$I$26),""))</f>
        <v/>
      </c>
      <c r="I27" s="43"/>
      <c r="J27" s="106"/>
      <c r="K27" s="43"/>
      <c r="L27" s="43"/>
      <c r="M27" s="107"/>
      <c r="N27" s="107"/>
      <c r="O27" s="106"/>
      <c r="P27" s="139">
        <f t="shared" si="0"/>
        <v>0</v>
      </c>
      <c r="Q27" s="139">
        <f t="shared" si="1"/>
        <v>0</v>
      </c>
    </row>
    <row r="28" spans="1:17">
      <c r="A28" s="74">
        <v>27</v>
      </c>
      <c r="B28" s="138" t="str">
        <f>IF($T$4=0,IF($I28="","",$I28),IFERROR(IF([1]财务取数接口!$B$27=0,"",[1]财务取数接口!$B$27),""))</f>
        <v/>
      </c>
      <c r="C28" s="75" t="str">
        <f>IF($T$4=0,IF($J28="","",$J28),IFERROR(IF([1]财务取数接口!$C$27=0,"",[1]财务取数接口!$C$27),""))</f>
        <v>筐子销售</v>
      </c>
      <c r="D28" s="89" t="str">
        <f>IF($T$4=0,IF($K28="","",$K28),IFERROR(IF([1]财务取数接口!$D$27=0,"",[1]财务取数接口!$D$27),""))</f>
        <v/>
      </c>
      <c r="E28" s="89" t="str">
        <f>IF($T$4=0,IF($L28="","",$L28),IFERROR(IF([1]财务取数接口!$E$27=0,"",[1]财务取数接口!$E$27),""))</f>
        <v>个</v>
      </c>
      <c r="F28" s="76" t="str">
        <f>IF($T$4=0,IF($M28="","",$M28),IFERROR(IF([1]财务取数接口!$G$27=0,"",[1]财务取数接口!$G$27),""))</f>
        <v/>
      </c>
      <c r="G28" s="76" t="str">
        <f>IF($T$4=0,IF($N28="","",$N28),IFERROR(IF([1]财务取数接口!$H$27=0,"",[1]财务取数接口!$H$27),""))</f>
        <v/>
      </c>
      <c r="H28" s="75" t="str">
        <f>IF($T$4=0,IF($O28="","",$O28),IFERROR(IF([1]财务取数接口!$I$27=0,"",[1]财务取数接口!$I$27),""))</f>
        <v/>
      </c>
      <c r="I28" s="43"/>
      <c r="J28" s="106"/>
      <c r="K28" s="43"/>
      <c r="L28" s="43"/>
      <c r="M28" s="107"/>
      <c r="N28" s="107"/>
      <c r="O28" s="106"/>
      <c r="P28" s="139">
        <f t="shared" si="0"/>
        <v>0</v>
      </c>
      <c r="Q28" s="139">
        <f t="shared" si="1"/>
        <v>0</v>
      </c>
    </row>
    <row r="29" spans="1:17">
      <c r="A29" s="74">
        <v>28</v>
      </c>
      <c r="B29" s="138" t="str">
        <f>IF($T$4=0,IF($I29="","",$I29),IFERROR(IF([1]财务取数接口!$B$28=0,"",[1]财务取数接口!$B$28),""))</f>
        <v/>
      </c>
      <c r="C29" s="75" t="str">
        <f>IF($T$4=0,IF($J29="","",$J29),IFERROR(IF([1]财务取数接口!$C$28=0,"",[1]财务取数接口!$C$28),""))</f>
        <v>物料销售</v>
      </c>
      <c r="D29" s="89" t="str">
        <f>IF($T$4=0,IF($K29="","",$K29),IFERROR(IF([1]财务取数接口!$D$28=0,"",[1]财务取数接口!$D$28),""))</f>
        <v/>
      </c>
      <c r="E29" s="89" t="str">
        <f>IF($T$4=0,IF($L29="","",$L29),IFERROR(IF([1]财务取数接口!$E$28=0,"",[1]财务取数接口!$E$28),""))</f>
        <v>包</v>
      </c>
      <c r="F29" s="76" t="str">
        <f>IF($T$4=0,IF($M29="","",$M29),IFERROR(IF([1]财务取数接口!$G$28=0,"",[1]财务取数接口!$G$28),""))</f>
        <v/>
      </c>
      <c r="G29" s="76" t="str">
        <f>IF($T$4=0,IF($N29="","",$N29),IFERROR(IF([1]财务取数接口!$H$28=0,"",[1]财务取数接口!$H$28),""))</f>
        <v/>
      </c>
      <c r="H29" s="75" t="str">
        <f>IF($T$4=0,IF($O29="","",$O29),IFERROR(IF([1]财务取数接口!$I$28=0,"",[1]财务取数接口!$I$28),""))</f>
        <v/>
      </c>
      <c r="I29" s="43"/>
      <c r="J29" s="106"/>
      <c r="K29" s="43"/>
      <c r="L29" s="43"/>
      <c r="M29" s="107"/>
      <c r="N29" s="107"/>
      <c r="O29" s="106"/>
      <c r="P29" s="139">
        <f t="shared" si="0"/>
        <v>0</v>
      </c>
      <c r="Q29" s="139">
        <f t="shared" si="1"/>
        <v>0</v>
      </c>
    </row>
    <row r="30" spans="1:17">
      <c r="A30" s="74">
        <v>29</v>
      </c>
      <c r="B30" s="138" t="str">
        <f>IF($T$4=0,IF($I30="","",$I30),IFERROR(IF([1]财务取数接口!$B$29=0,"",[1]财务取数接口!$B$29),""))</f>
        <v/>
      </c>
      <c r="C30" s="75" t="str">
        <f>IF($T$4=0,IF($J30="","",$J30),IFERROR(IF([1]财务取数接口!$C$29=0,"",[1]财务取数接口!$C$29),""))</f>
        <v>物料销售</v>
      </c>
      <c r="D30" s="89" t="str">
        <f>IF($T$4=0,IF($K30="","",$K30),IFERROR(IF([1]财务取数接口!$D$29=0,"",[1]财务取数接口!$D$29),""))</f>
        <v/>
      </c>
      <c r="E30" s="89" t="str">
        <f>IF($T$4=0,IF($L30="","",$L30),IFERROR(IF([1]财务取数接口!$E$29=0,"",[1]财务取数接口!$E$29),""))</f>
        <v>包</v>
      </c>
      <c r="F30" s="76" t="str">
        <f>IF($T$4=0,IF($M30="","",$M30),IFERROR(IF([1]财务取数接口!$G$29=0,"",[1]财务取数接口!$G$29),""))</f>
        <v/>
      </c>
      <c r="G30" s="76" t="str">
        <f>IF($T$4=0,IF($N30="","",$N30),IFERROR(IF([1]财务取数接口!$H$29=0,"",[1]财务取数接口!$H$29),""))</f>
        <v/>
      </c>
      <c r="H30" s="75" t="str">
        <f>IF($T$4=0,IF($O30="","",$O30),IFERROR(IF([1]财务取数接口!$I$29=0,"",[1]财务取数接口!$I$29),""))</f>
        <v/>
      </c>
      <c r="I30" s="43"/>
      <c r="J30" s="106"/>
      <c r="K30" s="43"/>
      <c r="L30" s="43"/>
      <c r="M30" s="107"/>
      <c r="N30" s="107"/>
      <c r="O30" s="106"/>
      <c r="P30" s="139">
        <f t="shared" si="0"/>
        <v>0</v>
      </c>
      <c r="Q30" s="139">
        <f t="shared" si="1"/>
        <v>0</v>
      </c>
    </row>
    <row r="31" spans="1:17">
      <c r="A31" s="74">
        <v>30</v>
      </c>
      <c r="B31" s="138" t="str">
        <f>IF($T$4=0,IF($I31="","",$I31),IFERROR(IF([1]财务取数接口!$B$30=0,"",[1]财务取数接口!$B$30),""))</f>
        <v/>
      </c>
      <c r="C31" s="75" t="str">
        <f>IF($T$4=0,IF($J31="","",$J31),IFERROR(IF([1]财务取数接口!$C$30=0,"",[1]财务取数接口!$C$30),""))</f>
        <v>物料销售</v>
      </c>
      <c r="D31" s="89" t="str">
        <f>IF($T$4=0,IF($K31="","",$K31),IFERROR(IF([1]财务取数接口!$D$30=0,"",[1]财务取数接口!$D$30),""))</f>
        <v/>
      </c>
      <c r="E31" s="89" t="str">
        <f>IF($T$4=0,IF($L31="","",$L31),IFERROR(IF([1]财务取数接口!$E$30=0,"",[1]财务取数接口!$E$30),""))</f>
        <v>包</v>
      </c>
      <c r="F31" s="76" t="str">
        <f>IF($T$4=0,IF($M31="","",$M31),IFERROR(IF([1]财务取数接口!$G$30=0,"",[1]财务取数接口!$G$30),""))</f>
        <v/>
      </c>
      <c r="G31" s="76" t="str">
        <f>IF($T$4=0,IF($N31="","",$N31),IFERROR(IF([1]财务取数接口!$H$30=0,"",[1]财务取数接口!$H$30),""))</f>
        <v/>
      </c>
      <c r="H31" s="75" t="str">
        <f>IF($T$4=0,IF($O31="","",$O31),IFERROR(IF([1]财务取数接口!$I$30=0,"",[1]财务取数接口!$I$30),""))</f>
        <v/>
      </c>
      <c r="I31" s="43"/>
      <c r="J31" s="106"/>
      <c r="K31" s="43"/>
      <c r="L31" s="43"/>
      <c r="M31" s="107"/>
      <c r="N31" s="107"/>
      <c r="O31" s="106"/>
      <c r="P31" s="139">
        <f t="shared" si="0"/>
        <v>0</v>
      </c>
      <c r="Q31" s="139">
        <f t="shared" si="1"/>
        <v>0</v>
      </c>
    </row>
    <row r="32" spans="1:17">
      <c r="A32" s="74">
        <v>31</v>
      </c>
      <c r="B32" s="138" t="str">
        <f>IF($T$4=0,IF($I32="","",$I32),IFERROR(IF([1]财务取数接口!$B$31=0,"",[1]财务取数接口!$B$31),""))</f>
        <v/>
      </c>
      <c r="C32" s="75" t="str">
        <f>IF($T$4=0,IF($J32="","",$J32),IFERROR(IF([1]财务取数接口!$C$31=0,"",[1]财务取数接口!$C$31),""))</f>
        <v>物料销售</v>
      </c>
      <c r="D32" s="89" t="str">
        <f>IF($T$4=0,IF($K32="","",$K32),IFERROR(IF([1]财务取数接口!$D$31=0,"",[1]财务取数接口!$D$31),""))</f>
        <v/>
      </c>
      <c r="E32" s="89" t="str">
        <f>IF($T$4=0,IF($L32="","",$L32),IFERROR(IF([1]财务取数接口!$E$31=0,"",[1]财务取数接口!$E$31),""))</f>
        <v>包</v>
      </c>
      <c r="F32" s="76" t="str">
        <f>IF($T$4=0,IF($M32="","",$M32),IFERROR(IF([1]财务取数接口!$G$31=0,"",[1]财务取数接口!$G$31),""))</f>
        <v/>
      </c>
      <c r="G32" s="76" t="str">
        <f>IF($T$4=0,IF($N32="","",$N32),IFERROR(IF([1]财务取数接口!$H$31=0,"",[1]财务取数接口!$H$31),""))</f>
        <v/>
      </c>
      <c r="H32" s="75" t="str">
        <f>IF($T$4=0,IF($O32="","",$O32),IFERROR(IF([1]财务取数接口!$I$31=0,"",[1]财务取数接口!$I$31),""))</f>
        <v/>
      </c>
      <c r="I32" s="43"/>
      <c r="J32" s="106"/>
      <c r="K32" s="43"/>
      <c r="L32" s="43"/>
      <c r="M32" s="107"/>
      <c r="N32" s="107"/>
      <c r="O32" s="106"/>
      <c r="P32" s="139">
        <f t="shared" si="0"/>
        <v>0</v>
      </c>
      <c r="Q32" s="139">
        <f t="shared" si="1"/>
        <v>0</v>
      </c>
    </row>
    <row r="33" spans="1:17">
      <c r="A33" s="74">
        <v>32</v>
      </c>
      <c r="B33" s="138" t="str">
        <f>IF($T$4=0,IF($I33="","",$I33),IFERROR(IF([1]财务取数接口!$B$32=0,"",[1]财务取数接口!$B$32),""))</f>
        <v/>
      </c>
      <c r="C33" s="75" t="str">
        <f>IF($T$4=0,IF($J33="","",$J33),IFERROR(IF([1]财务取数接口!$C$32=0,"",[1]财务取数接口!$C$32),""))</f>
        <v>物料销售</v>
      </c>
      <c r="D33" s="89" t="str">
        <f>IF($T$4=0,IF($K33="","",$K33),IFERROR(IF([1]财务取数接口!$D$32=0,"",[1]财务取数接口!$D$32),""))</f>
        <v/>
      </c>
      <c r="E33" s="89" t="str">
        <f>IF($T$4=0,IF($L33="","",$L33),IFERROR(IF([1]财务取数接口!$E$32=0,"",[1]财务取数接口!$E$32),""))</f>
        <v>包</v>
      </c>
      <c r="F33" s="76" t="str">
        <f>IF($T$4=0,IF($M33="","",$M33),IFERROR(IF([1]财务取数接口!$G$32=0,"",[1]财务取数接口!$G$32),""))</f>
        <v/>
      </c>
      <c r="G33" s="76" t="str">
        <f>IF($T$4=0,IF($N33="","",$N33),IFERROR(IF([1]财务取数接口!$H$32=0,"",[1]财务取数接口!$H$32),""))</f>
        <v/>
      </c>
      <c r="H33" s="75" t="str">
        <f>IF($T$4=0,IF($O33="","",$O33),IFERROR(IF([1]财务取数接口!$I$32=0,"",[1]财务取数接口!$I$32),""))</f>
        <v/>
      </c>
      <c r="I33" s="43"/>
      <c r="J33" s="106"/>
      <c r="K33" s="43"/>
      <c r="L33" s="43"/>
      <c r="M33" s="107"/>
      <c r="N33" s="107"/>
      <c r="O33" s="106"/>
      <c r="P33" s="139">
        <f t="shared" si="0"/>
        <v>0</v>
      </c>
      <c r="Q33" s="139">
        <f t="shared" si="1"/>
        <v>0</v>
      </c>
    </row>
    <row r="34" spans="1:17">
      <c r="A34" s="74">
        <v>33</v>
      </c>
      <c r="B34" s="138" t="str">
        <f>IF($T$4=0,IF($I34="","",$I34),IFERROR(IF([1]财务取数接口!$B$33=0,"",[1]财务取数接口!$B$33),""))</f>
        <v/>
      </c>
      <c r="C34" s="75" t="str">
        <f>IF($T$4=0,IF($J34="","",$J34),IFERROR(IF([1]财务取数接口!$C$33=0,"",[1]财务取数接口!$C$33),""))</f>
        <v>物料销售</v>
      </c>
      <c r="D34" s="89" t="str">
        <f>IF($T$4=0,IF($K34="","",$K34),IFERROR(IF([1]财务取数接口!$D$33=0,"",[1]财务取数接口!$D$33),""))</f>
        <v/>
      </c>
      <c r="E34" s="89" t="str">
        <f>IF($T$4=0,IF($L34="","",$L34),IFERROR(IF([1]财务取数接口!$E$33=0,"",[1]财务取数接口!$E$33),""))</f>
        <v>包</v>
      </c>
      <c r="F34" s="76" t="str">
        <f>IF($T$4=0,IF($M34="","",$M34),IFERROR(IF([1]财务取数接口!$G$33=0,"",[1]财务取数接口!$G$33),""))</f>
        <v/>
      </c>
      <c r="G34" s="76" t="str">
        <f>IF($T$4=0,IF($N34="","",$N34),IFERROR(IF([1]财务取数接口!$H$33=0,"",[1]财务取数接口!$H$33),""))</f>
        <v/>
      </c>
      <c r="H34" s="75" t="str">
        <f>IF($T$4=0,IF($O34="","",$O34),IFERROR(IF([1]财务取数接口!$I$33=0,"",[1]财务取数接口!$I$33),""))</f>
        <v/>
      </c>
      <c r="I34" s="43"/>
      <c r="J34" s="106"/>
      <c r="K34" s="43"/>
      <c r="L34" s="43"/>
      <c r="M34" s="107"/>
      <c r="N34" s="107"/>
      <c r="O34" s="106"/>
      <c r="P34" s="139">
        <f t="shared" si="0"/>
        <v>0</v>
      </c>
      <c r="Q34" s="139">
        <f t="shared" si="1"/>
        <v>0</v>
      </c>
    </row>
    <row r="35" spans="1:17">
      <c r="A35" s="74">
        <v>34</v>
      </c>
      <c r="B35" s="138" t="str">
        <f>IF($T$4=0,IF($I35="","",$I35),IFERROR(IF([1]财务取数接口!$B$34=0,"",[1]财务取数接口!$B$34),""))</f>
        <v/>
      </c>
      <c r="C35" s="75" t="str">
        <f>IF($T$4=0,IF($J35="","",$J35),IFERROR(IF([1]财务取数接口!$C$34=0,"",[1]财务取数接口!$C$34),""))</f>
        <v>物料销售</v>
      </c>
      <c r="D35" s="89" t="str">
        <f>IF($T$4=0,IF($K35="","",$K35),IFERROR(IF([1]财务取数接口!$D$34=0,"",[1]财务取数接口!$D$34),""))</f>
        <v/>
      </c>
      <c r="E35" s="89" t="str">
        <f>IF($T$4=0,IF($L35="","",$L35),IFERROR(IF([1]财务取数接口!$E$34=0,"",[1]财务取数接口!$E$34),""))</f>
        <v>包</v>
      </c>
      <c r="F35" s="76" t="str">
        <f>IF($T$4=0,IF($M35="","",$M35),IFERROR(IF([1]财务取数接口!$G$34=0,"",[1]财务取数接口!$G$34),""))</f>
        <v/>
      </c>
      <c r="G35" s="76" t="str">
        <f>IF($T$4=0,IF($N35="","",$N35),IFERROR(IF([1]财务取数接口!$H$34=0,"",[1]财务取数接口!$H$34),""))</f>
        <v/>
      </c>
      <c r="H35" s="75" t="str">
        <f>IF($T$4=0,IF($O35="","",$O35),IFERROR(IF([1]财务取数接口!$I$34=0,"",[1]财务取数接口!$I$34),""))</f>
        <v/>
      </c>
      <c r="I35" s="43"/>
      <c r="J35" s="106"/>
      <c r="K35" s="43"/>
      <c r="L35" s="43"/>
      <c r="M35" s="107"/>
      <c r="N35" s="107"/>
      <c r="O35" s="106"/>
      <c r="P35" s="139">
        <f t="shared" si="0"/>
        <v>0</v>
      </c>
      <c r="Q35" s="139">
        <f t="shared" si="1"/>
        <v>0</v>
      </c>
    </row>
    <row r="36" spans="1:17">
      <c r="A36" s="74">
        <v>35</v>
      </c>
      <c r="B36" s="138" t="str">
        <f>IF($T$4=0,IF($I36="","",$I36),IFERROR(IF([1]财务取数接口!$B$35=0,"",[1]财务取数接口!$B$35),""))</f>
        <v/>
      </c>
      <c r="C36" s="75" t="str">
        <f>IF($T$4=0,IF($J36="","",$J36),IFERROR(IF([1]财务取数接口!$C$35=0,"",[1]财务取数接口!$C$35),""))</f>
        <v>物料销售</v>
      </c>
      <c r="D36" s="89" t="str">
        <f>IF($T$4=0,IF($K36="","",$K36),IFERROR(IF([1]财务取数接口!$D$35=0,"",[1]财务取数接口!$D$35),""))</f>
        <v/>
      </c>
      <c r="E36" s="89" t="str">
        <f>IF($T$4=0,IF($L36="","",$L36),IFERROR(IF([1]财务取数接口!$E$35=0,"",[1]财务取数接口!$E$35),""))</f>
        <v>包</v>
      </c>
      <c r="F36" s="76" t="str">
        <f>IF($T$4=0,IF($M36="","",$M36),IFERROR(IF([1]财务取数接口!$G$35=0,"",[1]财务取数接口!$G$35),""))</f>
        <v/>
      </c>
      <c r="G36" s="76" t="str">
        <f>IF($T$4=0,IF($N36="","",$N36),IFERROR(IF([1]财务取数接口!$H$35=0,"",[1]财务取数接口!$H$35),""))</f>
        <v/>
      </c>
      <c r="H36" s="75" t="str">
        <f>IF($T$4=0,IF($O36="","",$O36),IFERROR(IF([1]财务取数接口!$I$35=0,"",[1]财务取数接口!$I$35),""))</f>
        <v/>
      </c>
      <c r="I36" s="43"/>
      <c r="J36" s="106"/>
      <c r="K36" s="43"/>
      <c r="L36" s="43"/>
      <c r="M36" s="107"/>
      <c r="N36" s="107"/>
      <c r="O36" s="106"/>
      <c r="P36" s="139">
        <f t="shared" si="0"/>
        <v>0</v>
      </c>
      <c r="Q36" s="139">
        <f t="shared" si="1"/>
        <v>0</v>
      </c>
    </row>
    <row r="37" spans="1:17">
      <c r="A37" s="74">
        <v>36</v>
      </c>
      <c r="B37" s="138" t="str">
        <f>IF($T$4=0,IF($I37="","",$I37),IFERROR(IF([1]财务取数接口!$B$36=0,"",[1]财务取数接口!$B$36),""))</f>
        <v/>
      </c>
      <c r="C37" s="75" t="str">
        <f>IF($T$4=0,IF($J37="","",$J37),IFERROR(IF([1]财务取数接口!$C$36=0,"",[1]财务取数接口!$C$36),""))</f>
        <v>物料销售</v>
      </c>
      <c r="D37" s="89" t="str">
        <f>IF($T$4=0,IF($K37="","",$K37),IFERROR(IF([1]财务取数接口!$D$36=0,"",[1]财务取数接口!$D$36),""))</f>
        <v/>
      </c>
      <c r="E37" s="89" t="str">
        <f>IF($T$4=0,IF($L37="","",$L37),IFERROR(IF([1]财务取数接口!$E$36=0,"",[1]财务取数接口!$E$36),""))</f>
        <v>包</v>
      </c>
      <c r="F37" s="76" t="str">
        <f>IF($T$4=0,IF($M37="","",$M37),IFERROR(IF([1]财务取数接口!$G$36=0,"",[1]财务取数接口!$G$36),""))</f>
        <v/>
      </c>
      <c r="G37" s="76" t="str">
        <f>IF($T$4=0,IF($N37="","",$N37),IFERROR(IF([1]财务取数接口!$H$36=0,"",[1]财务取数接口!$H$36),""))</f>
        <v/>
      </c>
      <c r="H37" s="75" t="str">
        <f>IF($T$4=0,IF($O37="","",$O37),IFERROR(IF([1]财务取数接口!$I$36=0,"",[1]财务取数接口!$I$36),""))</f>
        <v/>
      </c>
      <c r="I37" s="43"/>
      <c r="J37" s="106"/>
      <c r="K37" s="43"/>
      <c r="L37" s="43"/>
      <c r="M37" s="107"/>
      <c r="N37" s="107"/>
      <c r="O37" s="106"/>
      <c r="P37" s="139">
        <f t="shared" si="0"/>
        <v>0</v>
      </c>
      <c r="Q37" s="139">
        <f t="shared" si="1"/>
        <v>0</v>
      </c>
    </row>
    <row r="38" spans="1:17">
      <c r="A38" s="74">
        <v>37</v>
      </c>
      <c r="B38" s="138" t="str">
        <f>IF($T$4=0,IF($I38="","",$I38),IFERROR(IF([1]财务取数接口!$B$37=0,"",[1]财务取数接口!$B$37),""))</f>
        <v/>
      </c>
      <c r="C38" s="75" t="str">
        <f>IF($T$4=0,IF($J38="","",$J38),IFERROR(IF([1]财务取数接口!$C$37=0,"",[1]财务取数接口!$C$37),""))</f>
        <v>物料销售</v>
      </c>
      <c r="D38" s="89" t="str">
        <f>IF($T$4=0,IF($K38="","",$K38),IFERROR(IF([1]财务取数接口!$D$37=0,"",[1]财务取数接口!$D$37),""))</f>
        <v/>
      </c>
      <c r="E38" s="89" t="str">
        <f>IF($T$4=0,IF($L38="","",$L38),IFERROR(IF([1]财务取数接口!$E$37=0,"",[1]财务取数接口!$E$37),""))</f>
        <v>包</v>
      </c>
      <c r="F38" s="76" t="str">
        <f>IF($T$4=0,IF($M38="","",$M38),IFERROR(IF([1]财务取数接口!$G$37=0,"",[1]财务取数接口!$G$37),""))</f>
        <v/>
      </c>
      <c r="G38" s="76" t="str">
        <f>IF($T$4=0,IF($N38="","",$N38),IFERROR(IF([1]财务取数接口!$H$37=0,"",[1]财务取数接口!$H$37),""))</f>
        <v/>
      </c>
      <c r="H38" s="75" t="str">
        <f>IF($T$4=0,IF($O38="","",$O38),IFERROR(IF([1]财务取数接口!$I$37=0,"",[1]财务取数接口!$I$37),""))</f>
        <v/>
      </c>
      <c r="I38" s="43"/>
      <c r="J38" s="106"/>
      <c r="K38" s="43"/>
      <c r="L38" s="43"/>
      <c r="M38" s="107"/>
      <c r="N38" s="107"/>
      <c r="O38" s="106"/>
      <c r="P38" s="139">
        <f t="shared" si="0"/>
        <v>0</v>
      </c>
      <c r="Q38" s="139">
        <f t="shared" si="1"/>
        <v>0</v>
      </c>
    </row>
    <row r="39" spans="1:17">
      <c r="A39" s="74">
        <v>38</v>
      </c>
      <c r="B39" s="138" t="str">
        <f>IF($T$4=0,IF($I39="","",$I39),IFERROR(IF([1]财务取数接口!$B$38=0,"",[1]财务取数接口!$B$38),""))</f>
        <v/>
      </c>
      <c r="C39" s="75" t="str">
        <f>IF($T$4=0,IF($J39="","",$J39),IFERROR(IF([1]财务取数接口!$C$38=0,"",[1]财务取数接口!$C$38),""))</f>
        <v>物料销售</v>
      </c>
      <c r="D39" s="89" t="str">
        <f>IF($T$4=0,IF($K39="","",$K39),IFERROR(IF([1]财务取数接口!$D$38=0,"",[1]财务取数接口!$D$38),""))</f>
        <v/>
      </c>
      <c r="E39" s="89" t="str">
        <f>IF($T$4=0,IF($L39="","",$L39),IFERROR(IF([1]财务取数接口!$E$38=0,"",[1]财务取数接口!$E$38),""))</f>
        <v>包</v>
      </c>
      <c r="F39" s="76" t="str">
        <f>IF($T$4=0,IF($M39="","",$M39),IFERROR(IF([1]财务取数接口!$G$38=0,"",[1]财务取数接口!$G$38),""))</f>
        <v/>
      </c>
      <c r="G39" s="76" t="str">
        <f>IF($T$4=0,IF($N39="","",$N39),IFERROR(IF([1]财务取数接口!$H$38=0,"",[1]财务取数接口!$H$38),""))</f>
        <v/>
      </c>
      <c r="H39" s="75" t="str">
        <f>IF($T$4=0,IF($O39="","",$O39),IFERROR(IF([1]财务取数接口!$I$38=0,"",[1]财务取数接口!$I$38),""))</f>
        <v/>
      </c>
      <c r="I39" s="43"/>
      <c r="J39" s="106"/>
      <c r="K39" s="43"/>
      <c r="L39" s="43"/>
      <c r="M39" s="107"/>
      <c r="N39" s="107"/>
      <c r="O39" s="106"/>
      <c r="P39" s="139">
        <f t="shared" si="0"/>
        <v>0</v>
      </c>
      <c r="Q39" s="139">
        <f t="shared" si="1"/>
        <v>0</v>
      </c>
    </row>
    <row r="40" spans="1:17">
      <c r="A40" s="74">
        <v>39</v>
      </c>
      <c r="B40" s="138" t="str">
        <f>IF($T$4=0,IF($I40="","",$I40),IFERROR(IF([1]财务取数接口!$B$39=0,"",[1]财务取数接口!$B$39),""))</f>
        <v/>
      </c>
      <c r="C40" s="75" t="str">
        <f>IF($T$4=0,IF($J40="","",$J40),IFERROR(IF([1]财务取数接口!$C$39=0,"",[1]财务取数接口!$C$39),""))</f>
        <v>物料销售</v>
      </c>
      <c r="D40" s="89" t="str">
        <f>IF($T$4=0,IF($K40="","",$K40),IFERROR(IF([1]财务取数接口!$D$39=0,"",[1]财务取数接口!$D$39),""))</f>
        <v/>
      </c>
      <c r="E40" s="89" t="str">
        <f>IF($T$4=0,IF($L40="","",$L40),IFERROR(IF([1]财务取数接口!$E$39=0,"",[1]财务取数接口!$E$39),""))</f>
        <v>包</v>
      </c>
      <c r="F40" s="76" t="str">
        <f>IF($T$4=0,IF($M40="","",$M40),IFERROR(IF([1]财务取数接口!$G$39=0,"",[1]财务取数接口!$G$39),""))</f>
        <v/>
      </c>
      <c r="G40" s="76" t="str">
        <f>IF($T$4=0,IF($N40="","",$N40),IFERROR(IF([1]财务取数接口!$H$39=0,"",[1]财务取数接口!$H$39),""))</f>
        <v/>
      </c>
      <c r="H40" s="75" t="str">
        <f>IF($T$4=0,IF($O40="","",$O40),IFERROR(IF([1]财务取数接口!$I$39=0,"",[1]财务取数接口!$I$39),""))</f>
        <v/>
      </c>
      <c r="I40" s="43"/>
      <c r="J40" s="106"/>
      <c r="K40" s="43"/>
      <c r="L40" s="43"/>
      <c r="M40" s="107"/>
      <c r="N40" s="107"/>
      <c r="O40" s="106"/>
      <c r="P40" s="139">
        <f t="shared" si="0"/>
        <v>0</v>
      </c>
      <c r="Q40" s="139">
        <f t="shared" si="1"/>
        <v>0</v>
      </c>
    </row>
    <row r="41" spans="1:17">
      <c r="A41" s="74">
        <v>40</v>
      </c>
      <c r="B41" s="138" t="str">
        <f>IF($T$4=0,IF($I41="","",$I41),IFERROR(IF([1]财务取数接口!$B$40=0,"",[1]财务取数接口!$B$40),""))</f>
        <v/>
      </c>
      <c r="C41" s="75" t="str">
        <f>IF($T$4=0,IF($J41="","",$J41),IFERROR(IF([1]财务取数接口!$C$40=0,"",[1]财务取数接口!$C$40),""))</f>
        <v>物料销售</v>
      </c>
      <c r="D41" s="89" t="str">
        <f>IF($T$4=0,IF($K41="","",$K41),IFERROR(IF([1]财务取数接口!$D$40=0,"",[1]财务取数接口!$D$40),""))</f>
        <v/>
      </c>
      <c r="E41" s="89" t="str">
        <f>IF($T$4=0,IF($L41="","",$L41),IFERROR(IF([1]财务取数接口!$E$40=0,"",[1]财务取数接口!$E$40),""))</f>
        <v>包</v>
      </c>
      <c r="F41" s="76" t="str">
        <f>IF($T$4=0,IF($M41="","",$M41),IFERROR(IF([1]财务取数接口!$G$40=0,"",[1]财务取数接口!$G$40),""))</f>
        <v/>
      </c>
      <c r="G41" s="76" t="str">
        <f>IF($T$4=0,IF($N41="","",$N41),IFERROR(IF([1]财务取数接口!$H$40=0,"",[1]财务取数接口!$H$40),""))</f>
        <v/>
      </c>
      <c r="H41" s="75" t="str">
        <f>IF($T$4=0,IF($O41="","",$O41),IFERROR(IF([1]财务取数接口!$I$40=0,"",[1]财务取数接口!$I$40),""))</f>
        <v/>
      </c>
      <c r="I41" s="43"/>
      <c r="J41" s="106"/>
      <c r="K41" s="43"/>
      <c r="L41" s="43"/>
      <c r="M41" s="107"/>
      <c r="N41" s="107"/>
      <c r="O41" s="106"/>
      <c r="P41" s="139">
        <f t="shared" si="0"/>
        <v>0</v>
      </c>
      <c r="Q41" s="139">
        <f t="shared" si="1"/>
        <v>0</v>
      </c>
    </row>
    <row r="42" spans="1:17">
      <c r="A42" s="74">
        <v>41</v>
      </c>
      <c r="B42" s="138" t="str">
        <f>IF($T$4=0,IF($I42="","",$I42),IFERROR(IF([1]财务取数接口!$B$41=0,"",[1]财务取数接口!$B$41),""))</f>
        <v/>
      </c>
      <c r="C42" s="75" t="str">
        <f>IF($T$4=0,IF($J42="","",$J42),IFERROR(IF([1]财务取数接口!$C$41=0,"",[1]财务取数接口!$C$41),""))</f>
        <v>物料销售</v>
      </c>
      <c r="D42" s="89" t="str">
        <f>IF($T$4=0,IF($K42="","",$K42),IFERROR(IF([1]财务取数接口!$D$41=0,"",[1]财务取数接口!$D$41),""))</f>
        <v/>
      </c>
      <c r="E42" s="89" t="str">
        <f>IF($T$4=0,IF($L42="","",$L42),IFERROR(IF([1]财务取数接口!$E$41=0,"",[1]财务取数接口!$E$41),""))</f>
        <v>包</v>
      </c>
      <c r="F42" s="76" t="str">
        <f>IF($T$4=0,IF($M42="","",$M42),IFERROR(IF([1]财务取数接口!$G$41=0,"",[1]财务取数接口!$G$41),""))</f>
        <v/>
      </c>
      <c r="G42" s="76" t="str">
        <f>IF($T$4=0,IF($N42="","",$N42),IFERROR(IF([1]财务取数接口!$H$41=0,"",[1]财务取数接口!$H$41),""))</f>
        <v/>
      </c>
      <c r="H42" s="75" t="str">
        <f>IF($T$4=0,IF($O42="","",$O42),IFERROR(IF([1]财务取数接口!$I$41=0,"",[1]财务取数接口!$I$41),""))</f>
        <v/>
      </c>
      <c r="I42" s="43"/>
      <c r="J42" s="106"/>
      <c r="K42" s="43"/>
      <c r="L42" s="43"/>
      <c r="M42" s="107"/>
      <c r="N42" s="107"/>
      <c r="O42" s="106"/>
      <c r="P42" s="139">
        <f t="shared" si="0"/>
        <v>0</v>
      </c>
      <c r="Q42" s="139">
        <f t="shared" si="1"/>
        <v>0</v>
      </c>
    </row>
    <row r="43" spans="1:17">
      <c r="A43" s="74">
        <v>42</v>
      </c>
      <c r="B43" s="138" t="str">
        <f>IF($T$4=0,IF($I43="","",$I43),IFERROR(IF([1]财务取数接口!$B$42=0,"",[1]财务取数接口!$B$42),""))</f>
        <v/>
      </c>
      <c r="C43" s="75" t="str">
        <f>IF($T$4=0,IF($J43="","",$J43),IFERROR(IF([1]财务取数接口!$C$42=0,"",[1]财务取数接口!$C$42),""))</f>
        <v>物料销售</v>
      </c>
      <c r="D43" s="89" t="str">
        <f>IF($T$4=0,IF($K43="","",$K43),IFERROR(IF([1]财务取数接口!$D$42=0,"",[1]财务取数接口!$D$42),""))</f>
        <v/>
      </c>
      <c r="E43" s="89" t="str">
        <f>IF($T$4=0,IF($L43="","",$L43),IFERROR(IF([1]财务取数接口!$E$42=0,"",[1]财务取数接口!$E$42),""))</f>
        <v>包</v>
      </c>
      <c r="F43" s="76" t="str">
        <f>IF($T$4=0,IF($M43="","",$M43),IFERROR(IF([1]财务取数接口!$G$42=0,"",[1]财务取数接口!$G$42),""))</f>
        <v/>
      </c>
      <c r="G43" s="76" t="str">
        <f>IF($T$4=0,IF($N43="","",$N43),IFERROR(IF([1]财务取数接口!$H$42=0,"",[1]财务取数接口!$H$42),""))</f>
        <v/>
      </c>
      <c r="H43" s="75" t="str">
        <f>IF($T$4=0,IF($O43="","",$O43),IFERROR(IF([1]财务取数接口!$I$42=0,"",[1]财务取数接口!$I$42),""))</f>
        <v/>
      </c>
      <c r="I43" s="43"/>
      <c r="J43" s="106"/>
      <c r="K43" s="43"/>
      <c r="L43" s="43"/>
      <c r="M43" s="107"/>
      <c r="N43" s="107"/>
      <c r="O43" s="106"/>
      <c r="P43" s="139">
        <f t="shared" si="0"/>
        <v>0</v>
      </c>
      <c r="Q43" s="139">
        <f t="shared" si="1"/>
        <v>0</v>
      </c>
    </row>
    <row r="44" spans="1:17">
      <c r="A44" s="74">
        <v>43</v>
      </c>
      <c r="B44" s="138" t="str">
        <f>IF($T$4=0,IF($I44="","",$I44),IFERROR(IF([1]财务取数接口!$B$43=0,"",[1]财务取数接口!$B$43),""))</f>
        <v/>
      </c>
      <c r="C44" s="75" t="str">
        <f>IF($T$4=0,IF($J44="","",$J44),IFERROR(IF([1]财务取数接口!$C$43=0,"",[1]财务取数接口!$C$43),""))</f>
        <v>物料销售</v>
      </c>
      <c r="D44" s="89" t="str">
        <f>IF($T$4=0,IF($K44="","",$K44),IFERROR(IF([1]财务取数接口!$D$43=0,"",[1]财务取数接口!$D$43),""))</f>
        <v/>
      </c>
      <c r="E44" s="89" t="str">
        <f>IF($T$4=0,IF($L44="","",$L44),IFERROR(IF([1]财务取数接口!$E$43=0,"",[1]财务取数接口!$E$43),""))</f>
        <v>包</v>
      </c>
      <c r="F44" s="76" t="str">
        <f>IF($T$4=0,IF($M44="","",$M44),IFERROR(IF([1]财务取数接口!$G$43=0,"",[1]财务取数接口!$G$43),""))</f>
        <v/>
      </c>
      <c r="G44" s="76" t="str">
        <f>IF($T$4=0,IF($N44="","",$N44),IFERROR(IF([1]财务取数接口!$H$43=0,"",[1]财务取数接口!$H$43),""))</f>
        <v/>
      </c>
      <c r="H44" s="75" t="str">
        <f>IF($T$4=0,IF($O44="","",$O44),IFERROR(IF([1]财务取数接口!$I$43=0,"",[1]财务取数接口!$I$43),""))</f>
        <v/>
      </c>
      <c r="I44" s="43"/>
      <c r="J44" s="106"/>
      <c r="K44" s="43"/>
      <c r="L44" s="43"/>
      <c r="M44" s="107"/>
      <c r="N44" s="107"/>
      <c r="O44" s="106"/>
      <c r="P44" s="139">
        <f t="shared" si="0"/>
        <v>0</v>
      </c>
      <c r="Q44" s="139">
        <f t="shared" si="1"/>
        <v>0</v>
      </c>
    </row>
    <row r="45" spans="1:17">
      <c r="A45" s="74">
        <v>44</v>
      </c>
      <c r="B45" s="138" t="str">
        <f>IF($T$4=0,IF($I45="","",$I45),IFERROR(IF([1]财务取数接口!$B$44=0,"",[1]财务取数接口!$B$44),""))</f>
        <v/>
      </c>
      <c r="C45" s="75" t="str">
        <f>IF($T$4=0,IF($J45="","",$J45),IFERROR(IF([1]财务取数接口!$C$44=0,"",[1]财务取数接口!$C$44),""))</f>
        <v>物料销售</v>
      </c>
      <c r="D45" s="89" t="str">
        <f>IF($T$4=0,IF($K45="","",$K45),IFERROR(IF([1]财务取数接口!$D$44=0,"",[1]财务取数接口!$D$44),""))</f>
        <v/>
      </c>
      <c r="E45" s="89" t="str">
        <f>IF($T$4=0,IF($L45="","",$L45),IFERROR(IF([1]财务取数接口!$E$44=0,"",[1]财务取数接口!$E$44),""))</f>
        <v>包</v>
      </c>
      <c r="F45" s="76" t="str">
        <f>IF($T$4=0,IF($M45="","",$M45),IFERROR(IF([1]财务取数接口!$G$44=0,"",[1]财务取数接口!$G$44),""))</f>
        <v/>
      </c>
      <c r="G45" s="76" t="str">
        <f>IF($T$4=0,IF($N45="","",$N45),IFERROR(IF([1]财务取数接口!$H$44=0,"",[1]财务取数接口!$H$44),""))</f>
        <v/>
      </c>
      <c r="H45" s="75" t="str">
        <f>IF($T$4=0,IF($O45="","",$O45),IFERROR(IF([1]财务取数接口!$I$44=0,"",[1]财务取数接口!$I$44),""))</f>
        <v/>
      </c>
      <c r="I45" s="43"/>
      <c r="J45" s="106"/>
      <c r="K45" s="43"/>
      <c r="L45" s="43"/>
      <c r="M45" s="107"/>
      <c r="N45" s="107"/>
      <c r="O45" s="106"/>
      <c r="P45" s="139">
        <f t="shared" si="0"/>
        <v>0</v>
      </c>
      <c r="Q45" s="139">
        <f t="shared" si="1"/>
        <v>0</v>
      </c>
    </row>
    <row r="46" spans="1:17">
      <c r="A46" s="74">
        <v>45</v>
      </c>
      <c r="B46" s="138" t="str">
        <f>IF($T$4=0,IF($I46="","",$I46),IFERROR(IF([1]财务取数接口!$B$45=0,"",[1]财务取数接口!$B$45),""))</f>
        <v/>
      </c>
      <c r="C46" s="75" t="str">
        <f>IF($T$4=0,IF($J46="","",$J46),IFERROR(IF([1]财务取数接口!$C$45=0,"",[1]财务取数接口!$C$45),""))</f>
        <v>物料销售</v>
      </c>
      <c r="D46" s="89" t="str">
        <f>IF($T$4=0,IF($K46="","",$K46),IFERROR(IF([1]财务取数接口!$D$45=0,"",[1]财务取数接口!$D$45),""))</f>
        <v/>
      </c>
      <c r="E46" s="89" t="str">
        <f>IF($T$4=0,IF($L46="","",$L46),IFERROR(IF([1]财务取数接口!$E$45=0,"",[1]财务取数接口!$E$45),""))</f>
        <v>包</v>
      </c>
      <c r="F46" s="76" t="str">
        <f>IF($T$4=0,IF($M46="","",$M46),IFERROR(IF([1]财务取数接口!$G$45=0,"",[1]财务取数接口!$G$45),""))</f>
        <v/>
      </c>
      <c r="G46" s="76" t="str">
        <f>IF($T$4=0,IF($N46="","",$N46),IFERROR(IF([1]财务取数接口!$H$45=0,"",[1]财务取数接口!$H$45),""))</f>
        <v/>
      </c>
      <c r="H46" s="75" t="str">
        <f>IF($T$4=0,IF($O46="","",$O46),IFERROR(IF([1]财务取数接口!$I$45=0,"",[1]财务取数接口!$I$45),""))</f>
        <v/>
      </c>
      <c r="I46" s="43"/>
      <c r="J46" s="106"/>
      <c r="K46" s="43"/>
      <c r="L46" s="43"/>
      <c r="M46" s="107"/>
      <c r="N46" s="107"/>
      <c r="O46" s="106"/>
      <c r="P46" s="139">
        <f t="shared" si="0"/>
        <v>0</v>
      </c>
      <c r="Q46" s="139">
        <f t="shared" si="1"/>
        <v>0</v>
      </c>
    </row>
    <row r="47" spans="1:17">
      <c r="A47" s="74">
        <v>46</v>
      </c>
      <c r="B47" s="138" t="str">
        <f>IF($T$4=0,IF($I47="","",$I47),IFERROR(IF([1]财务取数接口!$B$46=0,"",[1]财务取数接口!$B$46),""))</f>
        <v/>
      </c>
      <c r="C47" s="75" t="str">
        <f>IF($T$4=0,IF($J47="","",$J47),IFERROR(IF([1]财务取数接口!$C$46=0,"",[1]财务取数接口!$C$46),""))</f>
        <v>物料销售</v>
      </c>
      <c r="D47" s="89" t="str">
        <f>IF($T$4=0,IF($K47="","",$K47),IFERROR(IF([1]财务取数接口!$D$46=0,"",[1]财务取数接口!$D$46),""))</f>
        <v/>
      </c>
      <c r="E47" s="89" t="str">
        <f>IF($T$4=0,IF($L47="","",$L47),IFERROR(IF([1]财务取数接口!$E$46=0,"",[1]财务取数接口!$E$46),""))</f>
        <v>包</v>
      </c>
      <c r="F47" s="76" t="str">
        <f>IF($T$4=0,IF($M47="","",$M47),IFERROR(IF([1]财务取数接口!$G$46=0,"",[1]财务取数接口!$G$46),""))</f>
        <v/>
      </c>
      <c r="G47" s="76" t="str">
        <f>IF($T$4=0,IF($N47="","",$N47),IFERROR(IF([1]财务取数接口!$H$46=0,"",[1]财务取数接口!$H$46),""))</f>
        <v/>
      </c>
      <c r="H47" s="75" t="str">
        <f>IF($T$4=0,IF($O47="","",$O47),IFERROR(IF([1]财务取数接口!$I$46=0,"",[1]财务取数接口!$I$46),""))</f>
        <v/>
      </c>
      <c r="I47" s="43"/>
      <c r="J47" s="106"/>
      <c r="K47" s="43"/>
      <c r="L47" s="43"/>
      <c r="M47" s="107"/>
      <c r="N47" s="107"/>
      <c r="O47" s="106"/>
      <c r="P47" s="139">
        <f t="shared" si="0"/>
        <v>0</v>
      </c>
      <c r="Q47" s="139">
        <f t="shared" si="1"/>
        <v>0</v>
      </c>
    </row>
    <row r="48" spans="1:17">
      <c r="A48" s="74">
        <v>47</v>
      </c>
      <c r="B48" s="138" t="str">
        <f>IF($T$4=0,IF($I48="","",$I48),IFERROR(IF([1]财务取数接口!$B$47=0,"",[1]财务取数接口!$B$47),""))</f>
        <v/>
      </c>
      <c r="C48" s="75" t="str">
        <f>IF($T$4=0,IF($J48="","",$J48),IFERROR(IF([1]财务取数接口!$C$47=0,"",[1]财务取数接口!$C$47),""))</f>
        <v>物料销售</v>
      </c>
      <c r="D48" s="89" t="str">
        <f>IF($T$4=0,IF($K48="","",$K48),IFERROR(IF([1]财务取数接口!$D$47=0,"",[1]财务取数接口!$D$47),""))</f>
        <v/>
      </c>
      <c r="E48" s="89" t="str">
        <f>IF($T$4=0,IF($L48="","",$L48),IFERROR(IF([1]财务取数接口!$E$47=0,"",[1]财务取数接口!$E$47),""))</f>
        <v>包</v>
      </c>
      <c r="F48" s="76" t="str">
        <f>IF($T$4=0,IF($M48="","",$M48),IFERROR(IF([1]财务取数接口!$G$47=0,"",[1]财务取数接口!$G$47),""))</f>
        <v/>
      </c>
      <c r="G48" s="76" t="str">
        <f>IF($T$4=0,IF($N48="","",$N48),IFERROR(IF([1]财务取数接口!$H$47=0,"",[1]财务取数接口!$H$47),""))</f>
        <v/>
      </c>
      <c r="H48" s="75" t="str">
        <f>IF($T$4=0,IF($O48="","",$O48),IFERROR(IF([1]财务取数接口!$I$47=0,"",[1]财务取数接口!$I$47),""))</f>
        <v/>
      </c>
      <c r="I48" s="43"/>
      <c r="J48" s="106"/>
      <c r="K48" s="43"/>
      <c r="L48" s="43"/>
      <c r="M48" s="107"/>
      <c r="N48" s="107"/>
      <c r="O48" s="106"/>
      <c r="P48" s="139">
        <f t="shared" si="0"/>
        <v>0</v>
      </c>
      <c r="Q48" s="139">
        <f t="shared" si="1"/>
        <v>0</v>
      </c>
    </row>
    <row r="49" spans="1:17">
      <c r="A49" s="74">
        <v>48</v>
      </c>
      <c r="B49" s="138" t="str">
        <f>IF($T$4=0,IF($I49="","",$I49),IFERROR(IF([1]财务取数接口!$B$48=0,"",[1]财务取数接口!$B$48),""))</f>
        <v/>
      </c>
      <c r="C49" s="75" t="str">
        <f>IF($T$4=0,IF($J49="","",$J49),IFERROR(IF([1]财务取数接口!$C$48=0,"",[1]财务取数接口!$C$48),""))</f>
        <v>物料销售</v>
      </c>
      <c r="D49" s="89" t="str">
        <f>IF($T$4=0,IF($K49="","",$K49),IFERROR(IF([1]财务取数接口!$D$48=0,"",[1]财务取数接口!$D$48),""))</f>
        <v/>
      </c>
      <c r="E49" s="89" t="str">
        <f>IF($T$4=0,IF($L49="","",$L49),IFERROR(IF([1]财务取数接口!$E$48=0,"",[1]财务取数接口!$E$48),""))</f>
        <v>包</v>
      </c>
      <c r="F49" s="76" t="str">
        <f>IF($T$4=0,IF($M49="","",$M49),IFERROR(IF([1]财务取数接口!$G$48=0,"",[1]财务取数接口!$G$48),""))</f>
        <v/>
      </c>
      <c r="G49" s="76" t="str">
        <f>IF($T$4=0,IF($N49="","",$N49),IFERROR(IF([1]财务取数接口!$H$48=0,"",[1]财务取数接口!$H$48),""))</f>
        <v/>
      </c>
      <c r="H49" s="75" t="str">
        <f>IF($T$4=0,IF($O49="","",$O49),IFERROR(IF([1]财务取数接口!$I$48=0,"",[1]财务取数接口!$I$48),""))</f>
        <v/>
      </c>
      <c r="I49" s="43"/>
      <c r="J49" s="106"/>
      <c r="K49" s="43"/>
      <c r="L49" s="43"/>
      <c r="M49" s="107"/>
      <c r="N49" s="107"/>
      <c r="O49" s="106"/>
      <c r="P49" s="139">
        <f t="shared" si="0"/>
        <v>0</v>
      </c>
      <c r="Q49" s="139">
        <f t="shared" si="1"/>
        <v>0</v>
      </c>
    </row>
    <row r="50" spans="1:17">
      <c r="A50" s="74">
        <v>49</v>
      </c>
      <c r="B50" s="138" t="str">
        <f>IF($T$4=0,IF($I50="","",$I50),IFERROR(IF([1]财务取数接口!$B$49=0,"",[1]财务取数接口!$B$49),""))</f>
        <v/>
      </c>
      <c r="C50" s="75" t="str">
        <f>IF($T$4=0,IF($J50="","",$J50),IFERROR(IF([1]财务取数接口!$C$49=0,"",[1]财务取数接口!$C$49),""))</f>
        <v>物料销售</v>
      </c>
      <c r="D50" s="89" t="str">
        <f>IF($T$4=0,IF($K50="","",$K50),IFERROR(IF([1]财务取数接口!$D$49=0,"",[1]财务取数接口!$D$49),""))</f>
        <v/>
      </c>
      <c r="E50" s="89" t="str">
        <f>IF($T$4=0,IF($L50="","",$L50),IFERROR(IF([1]财务取数接口!$E$49=0,"",[1]财务取数接口!$E$49),""))</f>
        <v>包</v>
      </c>
      <c r="F50" s="76" t="str">
        <f>IF($T$4=0,IF($M50="","",$M50),IFERROR(IF([1]财务取数接口!$G$49=0,"",[1]财务取数接口!$G$49),""))</f>
        <v/>
      </c>
      <c r="G50" s="76" t="str">
        <f>IF($T$4=0,IF($N50="","",$N50),IFERROR(IF([1]财务取数接口!$H$49=0,"",[1]财务取数接口!$H$49),""))</f>
        <v/>
      </c>
      <c r="H50" s="75" t="str">
        <f>IF($T$4=0,IF($O50="","",$O50),IFERROR(IF([1]财务取数接口!$I$49=0,"",[1]财务取数接口!$I$49),""))</f>
        <v/>
      </c>
      <c r="I50" s="43"/>
      <c r="J50" s="106"/>
      <c r="K50" s="43"/>
      <c r="L50" s="43"/>
      <c r="M50" s="107"/>
      <c r="N50" s="107"/>
      <c r="O50" s="106"/>
      <c r="P50" s="139">
        <f t="shared" si="0"/>
        <v>0</v>
      </c>
      <c r="Q50" s="139">
        <f t="shared" si="1"/>
        <v>0</v>
      </c>
    </row>
    <row r="51" spans="1:17">
      <c r="A51" s="74">
        <v>50</v>
      </c>
      <c r="B51" s="138" t="str">
        <f>IF($T$4=0,IF($I51="","",$I51),IFERROR(IF([1]财务取数接口!$B$50=0,"",[1]财务取数接口!$B$50),""))</f>
        <v/>
      </c>
      <c r="C51" s="75" t="str">
        <f>IF($T$4=0,IF($J51="","",$J51),IFERROR(IF([1]财务取数接口!$C$50=0,"",[1]财务取数接口!$C$50),""))</f>
        <v>物料销售</v>
      </c>
      <c r="D51" s="89" t="str">
        <f>IF($T$4=0,IF($K51="","",$K51),IFERROR(IF([1]财务取数接口!$D$50=0,"",[1]财务取数接口!$D$50),""))</f>
        <v/>
      </c>
      <c r="E51" s="89" t="str">
        <f>IF($T$4=0,IF($L51="","",$L51),IFERROR(IF([1]财务取数接口!$E$50=0,"",[1]财务取数接口!$E$50),""))</f>
        <v>包</v>
      </c>
      <c r="F51" s="76" t="str">
        <f>IF($T$4=0,IF($M51="","",$M51),IFERROR(IF([1]财务取数接口!$G$50=0,"",[1]财务取数接口!$G$50),""))</f>
        <v/>
      </c>
      <c r="G51" s="76" t="str">
        <f>IF($T$4=0,IF($N51="","",$N51),IFERROR(IF([1]财务取数接口!$H$50=0,"",[1]财务取数接口!$H$50),""))</f>
        <v/>
      </c>
      <c r="H51" s="75" t="str">
        <f>IF($T$4=0,IF($O51="","",$O51),IFERROR(IF([1]财务取数接口!$I$50=0,"",[1]财务取数接口!$I$50),""))</f>
        <v/>
      </c>
      <c r="I51" s="43"/>
      <c r="J51" s="106"/>
      <c r="K51" s="43"/>
      <c r="L51" s="43"/>
      <c r="M51" s="107"/>
      <c r="N51" s="107"/>
      <c r="O51" s="106"/>
      <c r="P51" s="139">
        <f t="shared" si="0"/>
        <v>0</v>
      </c>
      <c r="Q51" s="139">
        <f t="shared" si="1"/>
        <v>0</v>
      </c>
    </row>
    <row r="52" spans="1:17">
      <c r="A52" s="74">
        <v>51</v>
      </c>
      <c r="B52" s="138" t="str">
        <f>IF($T$4=0,IF($I52="","",$I52),IFERROR(IF([1]财务取数接口!$B$51=0,"",[1]财务取数接口!$B$51),""))</f>
        <v/>
      </c>
      <c r="C52" s="75" t="str">
        <f>IF($T$4=0,IF($J52="","",$J52),IFERROR(IF([1]财务取数接口!$C$51=0,"",[1]财务取数接口!$C$51),""))</f>
        <v>物料销售</v>
      </c>
      <c r="D52" s="89" t="str">
        <f>IF($T$4=0,IF($K52="","",$K52),IFERROR(IF([1]财务取数接口!$D$51=0,"",[1]财务取数接口!$D$51),""))</f>
        <v/>
      </c>
      <c r="E52" s="89" t="str">
        <f>IF($T$4=0,IF($L52="","",$L52),IFERROR(IF([1]财务取数接口!$E$51=0,"",[1]财务取数接口!$E$51),""))</f>
        <v>包</v>
      </c>
      <c r="F52" s="76" t="str">
        <f>IF($T$4=0,IF($M52="","",$M52),IFERROR(IF([1]财务取数接口!$G$51=0,"",[1]财务取数接口!$G$51),""))</f>
        <v/>
      </c>
      <c r="G52" s="76" t="str">
        <f>IF($T$4=0,IF($N52="","",$N52),IFERROR(IF([1]财务取数接口!$H$51=0,"",[1]财务取数接口!$H$51),""))</f>
        <v/>
      </c>
      <c r="H52" s="75" t="str">
        <f>IF($T$4=0,IF($O52="","",$O52),IFERROR(IF([1]财务取数接口!$I$51=0,"",[1]财务取数接口!$I$51),""))</f>
        <v/>
      </c>
      <c r="I52" s="43"/>
      <c r="J52" s="106"/>
      <c r="K52" s="43"/>
      <c r="L52" s="43"/>
      <c r="M52" s="107"/>
      <c r="N52" s="107"/>
      <c r="O52" s="106"/>
      <c r="P52" s="139">
        <f t="shared" si="0"/>
        <v>0</v>
      </c>
      <c r="Q52" s="139">
        <f t="shared" si="1"/>
        <v>0</v>
      </c>
    </row>
    <row r="53" spans="1:17">
      <c r="A53" s="74">
        <v>52</v>
      </c>
      <c r="B53" s="138" t="str">
        <f>IF($T$4=0,IF($I53="","",$I53),IFERROR(IF([1]财务取数接口!$B$52=0,"",[1]财务取数接口!$B$52),""))</f>
        <v/>
      </c>
      <c r="C53" s="75" t="str">
        <f>IF($T$4=0,IF($J53="","",$J53),IFERROR(IF([1]财务取数接口!$C$52=0,"",[1]财务取数接口!$C$52),""))</f>
        <v>押金收取</v>
      </c>
      <c r="D53" s="89" t="str">
        <f>IF($T$4=0,IF($K53="","",$K53),IFERROR(IF([1]财务取数接口!$D$52=0,"",[1]财务取数接口!$D$52),""))</f>
        <v/>
      </c>
      <c r="E53" s="89" t="str">
        <f>IF($T$4=0,IF($L53="","",$L53),IFERROR(IF([1]财务取数接口!$E$52=0,"",[1]财务取数接口!$E$52),""))</f>
        <v>元</v>
      </c>
      <c r="F53" s="76" t="str">
        <f>IF($T$4=0,IF($M53="","",$M53),IFERROR(IF([1]财务取数接口!$G$52=0,"",[1]财务取数接口!$G$52),""))</f>
        <v/>
      </c>
      <c r="G53" s="76" t="str">
        <f>IF($T$4=0,IF($N53="","",$N53),IFERROR(IF([1]财务取数接口!$H$52=0,"",[1]财务取数接口!$H$52),""))</f>
        <v/>
      </c>
      <c r="H53" s="75" t="str">
        <f>IF($T$4=0,IF($O53="","",$O53),IFERROR(IF([1]财务取数接口!$I$52=0,"",[1]财务取数接口!$I$52),""))</f>
        <v/>
      </c>
      <c r="I53" s="43"/>
      <c r="J53" s="106"/>
      <c r="K53" s="43"/>
      <c r="L53" s="43"/>
      <c r="M53" s="107"/>
      <c r="N53" s="107"/>
      <c r="O53" s="106"/>
      <c r="P53" s="139">
        <f t="shared" si="0"/>
        <v>0</v>
      </c>
      <c r="Q53" s="139">
        <f t="shared" si="1"/>
        <v>0</v>
      </c>
    </row>
    <row r="54" spans="1:17">
      <c r="A54" s="74">
        <v>53</v>
      </c>
      <c r="B54" s="138" t="str">
        <f>IF($T$4=0,IF($I54="","",$I54),IFERROR(IF([1]财务取数接口!$B$53=0,"",[1]财务取数接口!$B$53),""))</f>
        <v/>
      </c>
      <c r="C54" s="75" t="str">
        <f>IF($T$4=0,IF($J54="","",$J54),IFERROR(IF([1]财务取数接口!$C$53=0,"",[1]财务取数接口!$C$53),""))</f>
        <v>押金收取</v>
      </c>
      <c r="D54" s="89" t="str">
        <f>IF($T$4=0,IF($K54="","",$K54),IFERROR(IF([1]财务取数接口!$D$53=0,"",[1]财务取数接口!$D$53),""))</f>
        <v/>
      </c>
      <c r="E54" s="89" t="str">
        <f>IF($T$4=0,IF($L54="","",$L54),IFERROR(IF([1]财务取数接口!$E$53=0,"",[1]财务取数接口!$E$53),""))</f>
        <v>元</v>
      </c>
      <c r="F54" s="76" t="str">
        <f>IF($T$4=0,IF($M54="","",$M54),IFERROR(IF([1]财务取数接口!$G$53=0,"",[1]财务取数接口!$G$53),""))</f>
        <v/>
      </c>
      <c r="G54" s="76" t="str">
        <f>IF($T$4=0,IF($N54="","",$N54),IFERROR(IF([1]财务取数接口!$H$53=0,"",[1]财务取数接口!$H$53),""))</f>
        <v/>
      </c>
      <c r="H54" s="75" t="str">
        <f>IF($T$4=0,IF($O54="","",$O54),IFERROR(IF([1]财务取数接口!$I$53=0,"",[1]财务取数接口!$I$53),""))</f>
        <v/>
      </c>
      <c r="I54" s="43"/>
      <c r="J54" s="106"/>
      <c r="K54" s="43"/>
      <c r="L54" s="43"/>
      <c r="M54" s="107"/>
      <c r="N54" s="107"/>
      <c r="O54" s="106"/>
      <c r="P54" s="139">
        <f t="shared" si="0"/>
        <v>0</v>
      </c>
      <c r="Q54" s="139">
        <f t="shared" si="1"/>
        <v>0</v>
      </c>
    </row>
    <row r="55" spans="1:17">
      <c r="A55" s="74">
        <v>54</v>
      </c>
      <c r="B55" s="138" t="str">
        <f>IF($T$4=0,IF($I55="","",$I55),IFERROR(IF([1]财务取数接口!$B$54=0,"",[1]财务取数接口!$B$54),""))</f>
        <v/>
      </c>
      <c r="C55" s="75" t="str">
        <f>IF($T$4=0,IF($J55="","",$J55),IFERROR(IF([1]财务取数接口!$C$54=0,"",[1]财务取数接口!$C$54),""))</f>
        <v>押金收取</v>
      </c>
      <c r="D55" s="89" t="str">
        <f>IF($T$4=0,IF($K55="","",$K55),IFERROR(IF([1]财务取数接口!$D$54=0,"",[1]财务取数接口!$D$54),""))</f>
        <v/>
      </c>
      <c r="E55" s="89" t="str">
        <f>IF($T$4=0,IF($L55="","",$L55),IFERROR(IF([1]财务取数接口!$E$54=0,"",[1]财务取数接口!$E$54),""))</f>
        <v>元</v>
      </c>
      <c r="F55" s="76" t="str">
        <f>IF($T$4=0,IF($M55="","",$M55),IFERROR(IF([1]财务取数接口!$G$54=0,"",[1]财务取数接口!$G$54),""))</f>
        <v/>
      </c>
      <c r="G55" s="76" t="str">
        <f>IF($T$4=0,IF($N55="","",$N55),IFERROR(IF([1]财务取数接口!$H$54=0,"",[1]财务取数接口!$H$54),""))</f>
        <v/>
      </c>
      <c r="H55" s="75" t="str">
        <f>IF($T$4=0,IF($O55="","",$O55),IFERROR(IF([1]财务取数接口!$I$54=0,"",[1]财务取数接口!$I$54),""))</f>
        <v/>
      </c>
      <c r="I55" s="43"/>
      <c r="J55" s="106"/>
      <c r="K55" s="43"/>
      <c r="L55" s="43"/>
      <c r="M55" s="107"/>
      <c r="N55" s="107"/>
      <c r="O55" s="106"/>
      <c r="P55" s="139">
        <f t="shared" si="0"/>
        <v>0</v>
      </c>
      <c r="Q55" s="139">
        <f t="shared" si="1"/>
        <v>0</v>
      </c>
    </row>
    <row r="56" spans="1:17">
      <c r="A56" s="74">
        <v>55</v>
      </c>
      <c r="B56" s="138" t="str">
        <f>IF($T$4=0,IF($I56="","",$I56),IFERROR(IF([1]财务取数接口!$B$55=0,"",[1]财务取数接口!$B$55),""))</f>
        <v/>
      </c>
      <c r="C56" s="75" t="str">
        <f>IF($T$4=0,IF($J56="","",$J56),IFERROR(IF([1]财务取数接口!$C$55=0,"",[1]财务取数接口!$C$55),""))</f>
        <v>押金收取</v>
      </c>
      <c r="D56" s="89" t="str">
        <f>IF($T$4=0,IF($K56="","",$K56),IFERROR(IF([1]财务取数接口!$D$55=0,"",[1]财务取数接口!$D$55),""))</f>
        <v/>
      </c>
      <c r="E56" s="89" t="str">
        <f>IF($T$4=0,IF($L56="","",$L56),IFERROR(IF([1]财务取数接口!$E$55=0,"",[1]财务取数接口!$E$55),""))</f>
        <v>元</v>
      </c>
      <c r="F56" s="76" t="str">
        <f>IF($T$4=0,IF($M56="","",$M56),IFERROR(IF([1]财务取数接口!$G$55=0,"",[1]财务取数接口!$G$55),""))</f>
        <v/>
      </c>
      <c r="G56" s="76" t="str">
        <f>IF($T$4=0,IF($N56="","",$N56),IFERROR(IF([1]财务取数接口!$H$55=0,"",[1]财务取数接口!$H$55),""))</f>
        <v/>
      </c>
      <c r="H56" s="75" t="str">
        <f>IF($T$4=0,IF($O56="","",$O56),IFERROR(IF([1]财务取数接口!$I$55=0,"",[1]财务取数接口!$I$55),""))</f>
        <v/>
      </c>
      <c r="I56" s="43"/>
      <c r="J56" s="106"/>
      <c r="K56" s="43"/>
      <c r="L56" s="43"/>
      <c r="M56" s="107"/>
      <c r="N56" s="107"/>
      <c r="O56" s="106"/>
      <c r="P56" s="139">
        <f t="shared" si="0"/>
        <v>0</v>
      </c>
      <c r="Q56" s="139">
        <f t="shared" si="1"/>
        <v>0</v>
      </c>
    </row>
    <row r="57" spans="1:17">
      <c r="A57" s="74">
        <v>56</v>
      </c>
      <c r="B57" s="138" t="str">
        <f>IF($T$4=0,IF($I57="","",$I57),IFERROR(IF([1]财务取数接口!$B$56=0,"",[1]财务取数接口!$B$56),""))</f>
        <v/>
      </c>
      <c r="C57" s="75" t="str">
        <f>IF($T$4=0,IF($J57="","",$J57),IFERROR(IF([1]财务取数接口!$C$56=0,"",[1]财务取数接口!$C$56),""))</f>
        <v>押金收取</v>
      </c>
      <c r="D57" s="89" t="str">
        <f>IF($T$4=0,IF($K57="","",$K57),IFERROR(IF([1]财务取数接口!$D$56=0,"",[1]财务取数接口!$D$56),""))</f>
        <v/>
      </c>
      <c r="E57" s="89" t="str">
        <f>IF($T$4=0,IF($L57="","",$L57),IFERROR(IF([1]财务取数接口!$E$56=0,"",[1]财务取数接口!$E$56),""))</f>
        <v>元</v>
      </c>
      <c r="F57" s="76" t="str">
        <f>IF($T$4=0,IF($M57="","",$M57),IFERROR(IF([1]财务取数接口!$G$56=0,"",[1]财务取数接口!$G$56),""))</f>
        <v/>
      </c>
      <c r="G57" s="76" t="str">
        <f>IF($T$4=0,IF($N57="","",$N57),IFERROR(IF([1]财务取数接口!$H$56=0,"",[1]财务取数接口!$H$56),""))</f>
        <v/>
      </c>
      <c r="H57" s="75" t="str">
        <f>IF($T$4=0,IF($O57="","",$O57),IFERROR(IF([1]财务取数接口!$I$56=0,"",[1]财务取数接口!$I$56),""))</f>
        <v/>
      </c>
      <c r="I57" s="43"/>
      <c r="J57" s="106"/>
      <c r="K57" s="43"/>
      <c r="L57" s="43"/>
      <c r="M57" s="107"/>
      <c r="N57" s="107"/>
      <c r="O57" s="106"/>
      <c r="P57" s="139">
        <f t="shared" si="0"/>
        <v>0</v>
      </c>
      <c r="Q57" s="139">
        <f t="shared" si="1"/>
        <v>0</v>
      </c>
    </row>
    <row r="58" spans="1:17">
      <c r="A58" s="74">
        <v>57</v>
      </c>
      <c r="B58" s="138" t="str">
        <f>IF($T$4=0,IF($I58="","",$I58),IFERROR(IF([1]财务取数接口!$B$57=0,"",[1]财务取数接口!$B$57),""))</f>
        <v/>
      </c>
      <c r="C58" s="75" t="str">
        <f>IF($T$4=0,IF($J58="","",$J58),IFERROR(IF([1]财务取数接口!$C$57=0,"",[1]财务取数接口!$C$57),""))</f>
        <v>押金收取</v>
      </c>
      <c r="D58" s="89" t="str">
        <f>IF($T$4=0,IF($K58="","",$K58),IFERROR(IF([1]财务取数接口!$D$57=0,"",[1]财务取数接口!$D$57),""))</f>
        <v/>
      </c>
      <c r="E58" s="89" t="str">
        <f>IF($T$4=0,IF($L58="","",$L58),IFERROR(IF([1]财务取数接口!$E$57=0,"",[1]财务取数接口!$E$57),""))</f>
        <v>元</v>
      </c>
      <c r="F58" s="76" t="str">
        <f>IF($T$4=0,IF($M58="","",$M58),IFERROR(IF([1]财务取数接口!$G$57=0,"",[1]财务取数接口!$G$57),""))</f>
        <v/>
      </c>
      <c r="G58" s="76" t="str">
        <f>IF($T$4=0,IF($N58="","",$N58),IFERROR(IF([1]财务取数接口!$H$57=0,"",[1]财务取数接口!$H$57),""))</f>
        <v/>
      </c>
      <c r="H58" s="75" t="str">
        <f>IF($T$4=0,IF($O58="","",$O58),IFERROR(IF([1]财务取数接口!$I$57=0,"",[1]财务取数接口!$I$57),""))</f>
        <v/>
      </c>
      <c r="I58" s="43"/>
      <c r="J58" s="106"/>
      <c r="K58" s="43"/>
      <c r="L58" s="43"/>
      <c r="M58" s="107"/>
      <c r="N58" s="107"/>
      <c r="O58" s="106"/>
      <c r="P58" s="139">
        <f t="shared" si="0"/>
        <v>0</v>
      </c>
      <c r="Q58" s="139">
        <f t="shared" si="1"/>
        <v>0</v>
      </c>
    </row>
    <row r="59" spans="1:17">
      <c r="A59" s="74">
        <v>58</v>
      </c>
      <c r="B59" s="138" t="str">
        <f>IF($T$4=0,IF($I59="","",$I59),IFERROR(IF([1]财务取数接口!$B$58=0,"",[1]财务取数接口!$B$58),""))</f>
        <v/>
      </c>
      <c r="C59" s="75" t="str">
        <f>IF($T$4=0,IF($J59="","",$J59),IFERROR(IF([1]财务取数接口!$C$58=0,"",[1]财务取数接口!$C$58),""))</f>
        <v>押金收取</v>
      </c>
      <c r="D59" s="89" t="str">
        <f>IF($T$4=0,IF($K59="","",$K59),IFERROR(IF([1]财务取数接口!$D$58=0,"",[1]财务取数接口!$D$58),""))</f>
        <v/>
      </c>
      <c r="E59" s="89" t="str">
        <f>IF($T$4=0,IF($L59="","",$L59),IFERROR(IF([1]财务取数接口!$E$58=0,"",[1]财务取数接口!$E$58),""))</f>
        <v>元</v>
      </c>
      <c r="F59" s="76" t="str">
        <f>IF($T$4=0,IF($M59="","",$M59),IFERROR(IF([1]财务取数接口!$G$58=0,"",[1]财务取数接口!$G$58),""))</f>
        <v/>
      </c>
      <c r="G59" s="76" t="str">
        <f>IF($T$4=0,IF($N59="","",$N59),IFERROR(IF([1]财务取数接口!$H$58=0,"",[1]财务取数接口!$H$58),""))</f>
        <v/>
      </c>
      <c r="H59" s="75" t="str">
        <f>IF($T$4=0,IF($O59="","",$O59),IFERROR(IF([1]财务取数接口!$I$58=0,"",[1]财务取数接口!$I$58),""))</f>
        <v/>
      </c>
      <c r="I59" s="43"/>
      <c r="J59" s="106"/>
      <c r="K59" s="43"/>
      <c r="L59" s="43"/>
      <c r="M59" s="107"/>
      <c r="N59" s="107"/>
      <c r="O59" s="106"/>
      <c r="P59" s="139">
        <f t="shared" si="0"/>
        <v>0</v>
      </c>
      <c r="Q59" s="139">
        <f t="shared" si="1"/>
        <v>0</v>
      </c>
    </row>
    <row r="60" spans="1:17">
      <c r="A60" s="74">
        <v>59</v>
      </c>
      <c r="B60" s="138" t="str">
        <f>IF($T$4=0,IF($I60="","",$I60),IFERROR(IF([1]财务取数接口!$B$59=0,"",[1]财务取数接口!$B$59),""))</f>
        <v/>
      </c>
      <c r="C60" s="75" t="str">
        <f>IF($T$4=0,IF($J60="","",$J60),IFERROR(IF([1]财务取数接口!$C$59=0,"",[1]财务取数接口!$C$59),""))</f>
        <v>押金收取</v>
      </c>
      <c r="D60" s="89" t="str">
        <f>IF($T$4=0,IF($K60="","",$K60),IFERROR(IF([1]财务取数接口!$D$59=0,"",[1]财务取数接口!$D$59),""))</f>
        <v/>
      </c>
      <c r="E60" s="89" t="str">
        <f>IF($T$4=0,IF($L60="","",$L60),IFERROR(IF([1]财务取数接口!$E$59=0,"",[1]财务取数接口!$E$59),""))</f>
        <v>元</v>
      </c>
      <c r="F60" s="76" t="str">
        <f>IF($T$4=0,IF($M60="","",$M60),IFERROR(IF([1]财务取数接口!$G$59=0,"",[1]财务取数接口!$G$59),""))</f>
        <v/>
      </c>
      <c r="G60" s="76" t="str">
        <f>IF($T$4=0,IF($N60="","",$N60),IFERROR(IF([1]财务取数接口!$H$59=0,"",[1]财务取数接口!$H$59),""))</f>
        <v/>
      </c>
      <c r="H60" s="75" t="str">
        <f>IF($T$4=0,IF($O60="","",$O60),IFERROR(IF([1]财务取数接口!$I$59=0,"",[1]财务取数接口!$I$59),""))</f>
        <v/>
      </c>
      <c r="I60" s="43"/>
      <c r="J60" s="106"/>
      <c r="K60" s="43"/>
      <c r="L60" s="43"/>
      <c r="M60" s="107"/>
      <c r="N60" s="107"/>
      <c r="O60" s="106"/>
      <c r="P60" s="139">
        <f t="shared" si="0"/>
        <v>0</v>
      </c>
      <c r="Q60" s="139">
        <f t="shared" si="1"/>
        <v>0</v>
      </c>
    </row>
    <row r="61" spans="1:17">
      <c r="A61" s="74">
        <v>60</v>
      </c>
      <c r="B61" s="138" t="str">
        <f>IF($T$4=0,IF($I61="","",$I61),IFERROR(IF([1]财务取数接口!$B$60=0,"",[1]财务取数接口!$B$60),""))</f>
        <v/>
      </c>
      <c r="C61" s="75" t="str">
        <f>IF($T$4=0,IF($J61="","",$J61),IFERROR(IF([1]财务取数接口!$C$60=0,"",[1]财务取数接口!$C$60),""))</f>
        <v>押金收取</v>
      </c>
      <c r="D61" s="89" t="str">
        <f>IF($T$4=0,IF($K61="","",$K61),IFERROR(IF([1]财务取数接口!$D$60=0,"",[1]财务取数接口!$D$60),""))</f>
        <v/>
      </c>
      <c r="E61" s="89" t="str">
        <f>IF($T$4=0,IF($L61="","",$L61),IFERROR(IF([1]财务取数接口!$E$60=0,"",[1]财务取数接口!$E$60),""))</f>
        <v>元</v>
      </c>
      <c r="F61" s="76" t="str">
        <f>IF($T$4=0,IF($M61="","",$M61),IFERROR(IF([1]财务取数接口!$G$60=0,"",[1]财务取数接口!$G$60),""))</f>
        <v/>
      </c>
      <c r="G61" s="76" t="str">
        <f>IF($T$4=0,IF($N61="","",$N61),IFERROR(IF([1]财务取数接口!$H$60=0,"",[1]财务取数接口!$H$60),""))</f>
        <v/>
      </c>
      <c r="H61" s="75" t="str">
        <f>IF($T$4=0,IF($O61="","",$O61),IFERROR(IF([1]财务取数接口!$I$60=0,"",[1]财务取数接口!$I$60),""))</f>
        <v/>
      </c>
      <c r="I61" s="43"/>
      <c r="J61" s="106"/>
      <c r="K61" s="43"/>
      <c r="L61" s="43"/>
      <c r="M61" s="107"/>
      <c r="N61" s="107"/>
      <c r="O61" s="106"/>
      <c r="P61" s="139">
        <f t="shared" si="0"/>
        <v>0</v>
      </c>
      <c r="Q61" s="139">
        <f t="shared" si="1"/>
        <v>0</v>
      </c>
    </row>
    <row r="62" spans="1:17">
      <c r="A62" s="74">
        <v>61</v>
      </c>
      <c r="B62" s="138" t="str">
        <f>IF($T$4=0,IF($I62="","",$I62),IFERROR(IF([1]财务取数接口!$B$61=0,"",[1]财务取数接口!$B$61),""))</f>
        <v/>
      </c>
      <c r="C62" s="75" t="str">
        <f>IF($T$4=0,IF($J62="","",$J62),IFERROR(IF([1]财务取数接口!$C$61=0,"",[1]财务取数接口!$C$61),""))</f>
        <v>押金收取</v>
      </c>
      <c r="D62" s="89" t="str">
        <f>IF($T$4=0,IF($K62="","",$K62),IFERROR(IF([1]财务取数接口!$D$61=0,"",[1]财务取数接口!$D$61),""))</f>
        <v/>
      </c>
      <c r="E62" s="89" t="str">
        <f>IF($T$4=0,IF($L62="","",$L62),IFERROR(IF([1]财务取数接口!$E$61=0,"",[1]财务取数接口!$E$61),""))</f>
        <v>元</v>
      </c>
      <c r="F62" s="76" t="str">
        <f>IF($T$4=0,IF($M62="","",$M62),IFERROR(IF([1]财务取数接口!$G$61=0,"",[1]财务取数接口!$G$61),""))</f>
        <v/>
      </c>
      <c r="G62" s="76" t="str">
        <f>IF($T$4=0,IF($N62="","",$N62),IFERROR(IF([1]财务取数接口!$H$61=0,"",[1]财务取数接口!$H$61),""))</f>
        <v/>
      </c>
      <c r="H62" s="75" t="str">
        <f>IF($T$4=0,IF($O62="","",$O62),IFERROR(IF([1]财务取数接口!$I$61=0,"",[1]财务取数接口!$I$61),""))</f>
        <v/>
      </c>
      <c r="I62" s="43"/>
      <c r="J62" s="106"/>
      <c r="K62" s="43"/>
      <c r="L62" s="43"/>
      <c r="M62" s="107"/>
      <c r="N62" s="107"/>
      <c r="O62" s="106"/>
      <c r="P62" s="139">
        <f t="shared" si="0"/>
        <v>0</v>
      </c>
      <c r="Q62" s="139">
        <f t="shared" si="1"/>
        <v>0</v>
      </c>
    </row>
    <row r="63" spans="1:17">
      <c r="A63" s="74">
        <v>62</v>
      </c>
      <c r="B63" s="138" t="str">
        <f>IF($T$4=0,IF($I63="","",$I63),IFERROR(IF([1]财务取数接口!$B$62=0,"",[1]财务取数接口!$B$62),""))</f>
        <v/>
      </c>
      <c r="C63" s="75" t="str">
        <f>IF($T$4=0,IF($J63="","",$J63),IFERROR(IF([1]财务取数接口!$C$62=0,"",[1]财务取数接口!$C$62),""))</f>
        <v>押金收取</v>
      </c>
      <c r="D63" s="89" t="str">
        <f>IF($T$4=0,IF($K63="","",$K63),IFERROR(IF([1]财务取数接口!$D$62=0,"",[1]财务取数接口!$D$62),""))</f>
        <v/>
      </c>
      <c r="E63" s="89" t="str">
        <f>IF($T$4=0,IF($L63="","",$L63),IFERROR(IF([1]财务取数接口!$E$62=0,"",[1]财务取数接口!$E$62),""))</f>
        <v>元</v>
      </c>
      <c r="F63" s="76" t="str">
        <f>IF($T$4=0,IF($M63="","",$M63),IFERROR(IF([1]财务取数接口!$G$62=0,"",[1]财务取数接口!$G$62),""))</f>
        <v/>
      </c>
      <c r="G63" s="76" t="str">
        <f>IF($T$4=0,IF($N63="","",$N63),IFERROR(IF([1]财务取数接口!$H$62=0,"",[1]财务取数接口!$H$62),""))</f>
        <v/>
      </c>
      <c r="H63" s="75" t="str">
        <f>IF($T$4=0,IF($O63="","",$O63),IFERROR(IF([1]财务取数接口!$I$62=0,"",[1]财务取数接口!$I$62),""))</f>
        <v/>
      </c>
      <c r="I63" s="43"/>
      <c r="J63" s="106"/>
      <c r="K63" s="43"/>
      <c r="L63" s="43"/>
      <c r="M63" s="107"/>
      <c r="N63" s="107"/>
      <c r="O63" s="106"/>
      <c r="P63" s="139">
        <f t="shared" si="0"/>
        <v>0</v>
      </c>
      <c r="Q63" s="139">
        <f t="shared" si="1"/>
        <v>0</v>
      </c>
    </row>
    <row r="64" spans="1:17">
      <c r="A64" s="74">
        <v>63</v>
      </c>
      <c r="B64" s="138" t="str">
        <f>IF($T$4=0,IF($I64="","",$I64),IFERROR(IF([1]财务取数接口!$B$63=0,"",[1]财务取数接口!$B$63),""))</f>
        <v/>
      </c>
      <c r="C64" s="75" t="str">
        <f>IF($T$4=0,IF($J64="","",$J64),IFERROR(IF([1]财务取数接口!$C$63=0,"",[1]财务取数接口!$C$63),""))</f>
        <v>押金收取</v>
      </c>
      <c r="D64" s="89" t="str">
        <f>IF($T$4=0,IF($K64="","",$K64),IFERROR(IF([1]财务取数接口!$D$63=0,"",[1]财务取数接口!$D$63),""))</f>
        <v/>
      </c>
      <c r="E64" s="89" t="str">
        <f>IF($T$4=0,IF($L64="","",$L64),IFERROR(IF([1]财务取数接口!$E$63=0,"",[1]财务取数接口!$E$63),""))</f>
        <v>元</v>
      </c>
      <c r="F64" s="76" t="str">
        <f>IF($T$4=0,IF($M64="","",$M64),IFERROR(IF([1]财务取数接口!$G$63=0,"",[1]财务取数接口!$G$63),""))</f>
        <v/>
      </c>
      <c r="G64" s="76" t="str">
        <f>IF($T$4=0,IF($N64="","",$N64),IFERROR(IF([1]财务取数接口!$H$63=0,"",[1]财务取数接口!$H$63),""))</f>
        <v/>
      </c>
      <c r="H64" s="75" t="str">
        <f>IF($T$4=0,IF($O64="","",$O64),IFERROR(IF([1]财务取数接口!$I$63=0,"",[1]财务取数接口!$I$63),""))</f>
        <v/>
      </c>
      <c r="I64" s="43"/>
      <c r="J64" s="106"/>
      <c r="K64" s="43"/>
      <c r="L64" s="43"/>
      <c r="M64" s="107"/>
      <c r="N64" s="107"/>
      <c r="O64" s="106"/>
      <c r="P64" s="139">
        <f t="shared" si="0"/>
        <v>0</v>
      </c>
      <c r="Q64" s="139">
        <f t="shared" si="1"/>
        <v>0</v>
      </c>
    </row>
    <row r="65" spans="1:17">
      <c r="A65" s="74">
        <v>64</v>
      </c>
      <c r="B65" s="138" t="str">
        <f>IF($T$4=0,IF($I65="","",$I65),IFERROR(IF([1]财务取数接口!$B$64=0,"",[1]财务取数接口!$B$64),""))</f>
        <v/>
      </c>
      <c r="C65" s="75" t="str">
        <f>IF($T$4=0,IF($J65="","",$J65),IFERROR(IF([1]财务取数接口!$C$64=0,"",[1]财务取数接口!$C$64),""))</f>
        <v>押金收取</v>
      </c>
      <c r="D65" s="89" t="str">
        <f>IF($T$4=0,IF($K65="","",$K65),IFERROR(IF([1]财务取数接口!$D$64=0,"",[1]财务取数接口!$D$64),""))</f>
        <v/>
      </c>
      <c r="E65" s="89" t="str">
        <f>IF($T$4=0,IF($L65="","",$L65),IFERROR(IF([1]财务取数接口!$E$64=0,"",[1]财务取数接口!$E$64),""))</f>
        <v>元</v>
      </c>
      <c r="F65" s="76" t="str">
        <f>IF($T$4=0,IF($M65="","",$M65),IFERROR(IF([1]财务取数接口!$G$64=0,"",[1]财务取数接口!$G$64),""))</f>
        <v/>
      </c>
      <c r="G65" s="76" t="str">
        <f>IF($T$4=0,IF($N65="","",$N65),IFERROR(IF([1]财务取数接口!$H$64=0,"",[1]财务取数接口!$H$64),""))</f>
        <v/>
      </c>
      <c r="H65" s="75" t="str">
        <f>IF($T$4=0,IF($O65="","",$O65),IFERROR(IF([1]财务取数接口!$I$64=0,"",[1]财务取数接口!$I$64),""))</f>
        <v/>
      </c>
      <c r="I65" s="43"/>
      <c r="J65" s="106"/>
      <c r="K65" s="43"/>
      <c r="L65" s="43"/>
      <c r="M65" s="107"/>
      <c r="N65" s="107"/>
      <c r="O65" s="106"/>
      <c r="P65" s="139">
        <f t="shared" si="0"/>
        <v>0</v>
      </c>
      <c r="Q65" s="139">
        <f t="shared" si="1"/>
        <v>0</v>
      </c>
    </row>
    <row r="66" spans="1:17">
      <c r="A66" s="74">
        <v>65</v>
      </c>
      <c r="B66" s="138" t="str">
        <f>IF($T$4=0,IF($I66="","",$I66),IFERROR(IF([1]财务取数接口!$B$65=0,"",[1]财务取数接口!$B$65),""))</f>
        <v/>
      </c>
      <c r="C66" s="75" t="str">
        <f>IF($T$4=0,IF($J66="","",$J66),IFERROR(IF([1]财务取数接口!$C$65=0,"",[1]财务取数接口!$C$65),""))</f>
        <v>押金收取</v>
      </c>
      <c r="D66" s="89" t="str">
        <f>IF($T$4=0,IF($K66="","",$K66),IFERROR(IF([1]财务取数接口!$D$65=0,"",[1]财务取数接口!$D$65),""))</f>
        <v/>
      </c>
      <c r="E66" s="89" t="str">
        <f>IF($T$4=0,IF($L66="","",$L66),IFERROR(IF([1]财务取数接口!$E$65=0,"",[1]财务取数接口!$E$65),""))</f>
        <v>元</v>
      </c>
      <c r="F66" s="76" t="str">
        <f>IF($T$4=0,IF($M66="","",$M66),IFERROR(IF([1]财务取数接口!$G$65=0,"",[1]财务取数接口!$G$65),""))</f>
        <v/>
      </c>
      <c r="G66" s="76" t="str">
        <f>IF($T$4=0,IF($N66="","",$N66),IFERROR(IF([1]财务取数接口!$H$65=0,"",[1]财务取数接口!$H$65),""))</f>
        <v/>
      </c>
      <c r="H66" s="75" t="str">
        <f>IF($T$4=0,IF($O66="","",$O66),IFERROR(IF([1]财务取数接口!$I$65=0,"",[1]财务取数接口!$I$65),""))</f>
        <v/>
      </c>
      <c r="I66" s="43"/>
      <c r="J66" s="106"/>
      <c r="K66" s="43"/>
      <c r="L66" s="43"/>
      <c r="M66" s="107"/>
      <c r="N66" s="107"/>
      <c r="O66" s="106"/>
      <c r="P66" s="139">
        <f t="shared" si="0"/>
        <v>0</v>
      </c>
      <c r="Q66" s="139">
        <f t="shared" si="1"/>
        <v>0</v>
      </c>
    </row>
    <row r="67" spans="1:17">
      <c r="A67" s="74">
        <v>66</v>
      </c>
      <c r="B67" s="138" t="str">
        <f>IF($T$4=0,IF($I67="","",$I67),IFERROR(IF([1]财务取数接口!$B$66=0,"",[1]财务取数接口!$B$66),""))</f>
        <v/>
      </c>
      <c r="C67" s="75" t="str">
        <f>IF($T$4=0,IF($J67="","",$J67),IFERROR(IF([1]财务取数接口!$C$66=0,"",[1]财务取数接口!$C$66),""))</f>
        <v>押金收取</v>
      </c>
      <c r="D67" s="89" t="str">
        <f>IF($T$4=0,IF($K67="","",$K67),IFERROR(IF([1]财务取数接口!$D$66=0,"",[1]财务取数接口!$D$66),""))</f>
        <v/>
      </c>
      <c r="E67" s="89" t="str">
        <f>IF($T$4=0,IF($L67="","",$L67),IFERROR(IF([1]财务取数接口!$E$66=0,"",[1]财务取数接口!$E$66),""))</f>
        <v>元</v>
      </c>
      <c r="F67" s="76" t="str">
        <f>IF($T$4=0,IF($M67="","",$M67),IFERROR(IF([1]财务取数接口!$G$66=0,"",[1]财务取数接口!$G$66),""))</f>
        <v/>
      </c>
      <c r="G67" s="76" t="str">
        <f>IF($T$4=0,IF($N67="","",$N67),IFERROR(IF([1]财务取数接口!$H$66=0,"",[1]财务取数接口!$H$66),""))</f>
        <v/>
      </c>
      <c r="H67" s="75" t="str">
        <f>IF($T$4=0,IF($O67="","",$O67),IFERROR(IF([1]财务取数接口!$I$66=0,"",[1]财务取数接口!$I$66),""))</f>
        <v/>
      </c>
      <c r="I67" s="43"/>
      <c r="J67" s="106"/>
      <c r="K67" s="43"/>
      <c r="L67" s="43"/>
      <c r="M67" s="107"/>
      <c r="N67" s="107"/>
      <c r="O67" s="106"/>
      <c r="P67" s="139">
        <f t="shared" si="0"/>
        <v>0</v>
      </c>
      <c r="Q67" s="139">
        <f t="shared" si="1"/>
        <v>0</v>
      </c>
    </row>
    <row r="68" spans="1:17">
      <c r="A68" s="74">
        <v>67</v>
      </c>
      <c r="B68" s="138" t="str">
        <f>IF($T$4=0,IF($I68="","",$I68),IFERROR(IF([1]财务取数接口!$B$67=0,"",[1]财务取数接口!$B$67),""))</f>
        <v/>
      </c>
      <c r="C68" s="75" t="str">
        <f>IF($T$4=0,IF($J68="","",$J68),IFERROR(IF([1]财务取数接口!$C$67=0,"",[1]财务取数接口!$C$67),""))</f>
        <v>押金收取</v>
      </c>
      <c r="D68" s="89" t="str">
        <f>IF($T$4=0,IF($K68="","",$K68),IFERROR(IF([1]财务取数接口!$D$67=0,"",[1]财务取数接口!$D$67),""))</f>
        <v/>
      </c>
      <c r="E68" s="89" t="str">
        <f>IF($T$4=0,IF($L68="","",$L68),IFERROR(IF([1]财务取数接口!$E$67=0,"",[1]财务取数接口!$E$67),""))</f>
        <v>元</v>
      </c>
      <c r="F68" s="76" t="str">
        <f>IF($T$4=0,IF($M68="","",$M68),IFERROR(IF([1]财务取数接口!$G$67=0,"",[1]财务取数接口!$G$67),""))</f>
        <v/>
      </c>
      <c r="G68" s="76" t="str">
        <f>IF($T$4=0,IF($N68="","",$N68),IFERROR(IF([1]财务取数接口!$H$67=0,"",[1]财务取数接口!$H$67),""))</f>
        <v/>
      </c>
      <c r="H68" s="75" t="str">
        <f>IF($T$4=0,IF($O68="","",$O68),IFERROR(IF([1]财务取数接口!$I$67=0,"",[1]财务取数接口!$I$67),""))</f>
        <v/>
      </c>
      <c r="I68" s="43"/>
      <c r="J68" s="106"/>
      <c r="K68" s="43"/>
      <c r="L68" s="43"/>
      <c r="M68" s="107"/>
      <c r="N68" s="107"/>
      <c r="O68" s="106"/>
      <c r="P68" s="139">
        <f t="shared" si="0"/>
        <v>0</v>
      </c>
      <c r="Q68" s="139">
        <f t="shared" si="1"/>
        <v>0</v>
      </c>
    </row>
    <row r="69" spans="1:17">
      <c r="A69" s="74">
        <v>68</v>
      </c>
      <c r="B69" s="138" t="str">
        <f>IF($T$4=0,IF($I69="","",$I69),IFERROR(IF([1]财务取数接口!$B$68=0,"",[1]财务取数接口!$B$68),""))</f>
        <v/>
      </c>
      <c r="C69" s="75" t="str">
        <f>IF($T$4=0,IF($J69="","",$J69),IFERROR(IF([1]财务取数接口!$C$68=0,"",[1]财务取数接口!$C$68),""))</f>
        <v>押金收取</v>
      </c>
      <c r="D69" s="89" t="str">
        <f>IF($T$4=0,IF($K69="","",$K69),IFERROR(IF([1]财务取数接口!$D$68=0,"",[1]财务取数接口!$D$68),""))</f>
        <v/>
      </c>
      <c r="E69" s="89" t="str">
        <f>IF($T$4=0,IF($L69="","",$L69),IFERROR(IF([1]财务取数接口!$E$68=0,"",[1]财务取数接口!$E$68),""))</f>
        <v>元</v>
      </c>
      <c r="F69" s="76" t="str">
        <f>IF($T$4=0,IF($M69="","",$M69),IFERROR(IF([1]财务取数接口!$G$68=0,"",[1]财务取数接口!$G$68),""))</f>
        <v/>
      </c>
      <c r="G69" s="76" t="str">
        <f>IF($T$4=0,IF($N69="","",$N69),IFERROR(IF([1]财务取数接口!$H$68=0,"",[1]财务取数接口!$H$68),""))</f>
        <v/>
      </c>
      <c r="H69" s="75" t="str">
        <f>IF($T$4=0,IF($O69="","",$O69),IFERROR(IF([1]财务取数接口!$I$68=0,"",[1]财务取数接口!$I$68),""))</f>
        <v/>
      </c>
      <c r="I69" s="43"/>
      <c r="J69" s="106"/>
      <c r="K69" s="43"/>
      <c r="L69" s="43"/>
      <c r="M69" s="107"/>
      <c r="N69" s="107"/>
      <c r="O69" s="106"/>
      <c r="P69" s="139">
        <f t="shared" ref="P69:P132" si="2">IF(AND($C69&lt;&gt;"",$C69&lt;&gt;"项目",OR(N($D69)&lt;&gt;0,N($E69)&lt;&gt;0,N($F69)&lt;&gt;0)),1,0)</f>
        <v>0</v>
      </c>
      <c r="Q69" s="139">
        <f t="shared" ref="Q69:Q132" si="3">N(Q68)+$P69</f>
        <v>0</v>
      </c>
    </row>
    <row r="70" spans="1:17">
      <c r="A70" s="74">
        <v>69</v>
      </c>
      <c r="B70" s="138" t="str">
        <f>IF($T$4=0,IF($I70="","",$I70),IFERROR(IF([1]财务取数接口!$B$69=0,"",[1]财务取数接口!$B$69),""))</f>
        <v/>
      </c>
      <c r="C70" s="75" t="str">
        <f>IF($T$4=0,IF($J70="","",$J70),IFERROR(IF([1]财务取数接口!$C$69=0,"",[1]财务取数接口!$C$69),""))</f>
        <v>押金收取</v>
      </c>
      <c r="D70" s="89" t="str">
        <f>IF($T$4=0,IF($K70="","",$K70),IFERROR(IF([1]财务取数接口!$D$69=0,"",[1]财务取数接口!$D$69),""))</f>
        <v/>
      </c>
      <c r="E70" s="89" t="str">
        <f>IF($T$4=0,IF($L70="","",$L70),IFERROR(IF([1]财务取数接口!$E$69=0,"",[1]财务取数接口!$E$69),""))</f>
        <v>元</v>
      </c>
      <c r="F70" s="76" t="str">
        <f>IF($T$4=0,IF($M70="","",$M70),IFERROR(IF([1]财务取数接口!$G$69=0,"",[1]财务取数接口!$G$69),""))</f>
        <v/>
      </c>
      <c r="G70" s="76" t="str">
        <f>IF($T$4=0,IF($N70="","",$N70),IFERROR(IF([1]财务取数接口!$H$69=0,"",[1]财务取数接口!$H$69),""))</f>
        <v/>
      </c>
      <c r="H70" s="75" t="str">
        <f>IF($T$4=0,IF($O70="","",$O70),IFERROR(IF([1]财务取数接口!$I$69=0,"",[1]财务取数接口!$I$69),""))</f>
        <v/>
      </c>
      <c r="I70" s="43"/>
      <c r="J70" s="106"/>
      <c r="K70" s="43"/>
      <c r="L70" s="43"/>
      <c r="M70" s="107"/>
      <c r="N70" s="107"/>
      <c r="O70" s="106"/>
      <c r="P70" s="139">
        <f t="shared" si="2"/>
        <v>0</v>
      </c>
      <c r="Q70" s="139">
        <f t="shared" si="3"/>
        <v>0</v>
      </c>
    </row>
    <row r="71" spans="1:17">
      <c r="A71" s="74">
        <v>70</v>
      </c>
      <c r="B71" s="138" t="str">
        <f>IF($T$4=0,IF($I71="","",$I71),IFERROR(IF([1]财务取数接口!$B$70=0,"",[1]财务取数接口!$B$70),""))</f>
        <v/>
      </c>
      <c r="C71" s="75" t="str">
        <f>IF($T$4=0,IF($J71="","",$J71),IFERROR(IF([1]财务取数接口!$C$70=0,"",[1]财务取数接口!$C$70),""))</f>
        <v>押金收取</v>
      </c>
      <c r="D71" s="89" t="str">
        <f>IF($T$4=0,IF($K71="","",$K71),IFERROR(IF([1]财务取数接口!$D$70=0,"",[1]财务取数接口!$D$70),""))</f>
        <v/>
      </c>
      <c r="E71" s="89" t="str">
        <f>IF($T$4=0,IF($L71="","",$L71),IFERROR(IF([1]财务取数接口!$E$70=0,"",[1]财务取数接口!$E$70),""))</f>
        <v>元</v>
      </c>
      <c r="F71" s="76" t="str">
        <f>IF($T$4=0,IF($M71="","",$M71),IFERROR(IF([1]财务取数接口!$G$70=0,"",[1]财务取数接口!$G$70),""))</f>
        <v/>
      </c>
      <c r="G71" s="76" t="str">
        <f>IF($T$4=0,IF($N71="","",$N71),IFERROR(IF([1]财务取数接口!$H$70=0,"",[1]财务取数接口!$H$70),""))</f>
        <v/>
      </c>
      <c r="H71" s="75" t="str">
        <f>IF($T$4=0,IF($O71="","",$O71),IFERROR(IF([1]财务取数接口!$I$70=0,"",[1]财务取数接口!$I$70),""))</f>
        <v/>
      </c>
      <c r="I71" s="43"/>
      <c r="J71" s="106"/>
      <c r="K71" s="43"/>
      <c r="L71" s="43"/>
      <c r="M71" s="107"/>
      <c r="N71" s="107"/>
      <c r="O71" s="106"/>
      <c r="P71" s="139">
        <f t="shared" si="2"/>
        <v>0</v>
      </c>
      <c r="Q71" s="139">
        <f t="shared" si="3"/>
        <v>0</v>
      </c>
    </row>
    <row r="72" spans="1:17">
      <c r="A72" s="74">
        <v>71</v>
      </c>
      <c r="B72" s="138" t="str">
        <f>IF($T$4=0,IF($I72="","",$I72),IFERROR(IF([1]财务取数接口!$B$71=0,"",[1]财务取数接口!$B$71),""))</f>
        <v/>
      </c>
      <c r="C72" s="75" t="str">
        <f>IF($T$4=0,IF($J72="","",$J72),IFERROR(IF([1]财务取数接口!$C$71=0,"",[1]财务取数接口!$C$71),""))</f>
        <v>押金收取</v>
      </c>
      <c r="D72" s="89" t="str">
        <f>IF($T$4=0,IF($K72="","",$K72),IFERROR(IF([1]财务取数接口!$D$71=0,"",[1]财务取数接口!$D$71),""))</f>
        <v/>
      </c>
      <c r="E72" s="89" t="str">
        <f>IF($T$4=0,IF($L72="","",$L72),IFERROR(IF([1]财务取数接口!$E$71=0,"",[1]财务取数接口!$E$71),""))</f>
        <v>元</v>
      </c>
      <c r="F72" s="76" t="str">
        <f>IF($T$4=0,IF($M72="","",$M72),IFERROR(IF([1]财务取数接口!$G$71=0,"",[1]财务取数接口!$G$71),""))</f>
        <v/>
      </c>
      <c r="G72" s="76" t="str">
        <f>IF($T$4=0,IF($N72="","",$N72),IFERROR(IF([1]财务取数接口!$H$71=0,"",[1]财务取数接口!$H$71),""))</f>
        <v/>
      </c>
      <c r="H72" s="75" t="str">
        <f>IF($T$4=0,IF($O72="","",$O72),IFERROR(IF([1]财务取数接口!$I$71=0,"",[1]财务取数接口!$I$71),""))</f>
        <v/>
      </c>
      <c r="I72" s="43"/>
      <c r="J72" s="106"/>
      <c r="K72" s="43"/>
      <c r="L72" s="43"/>
      <c r="M72" s="107"/>
      <c r="N72" s="107"/>
      <c r="O72" s="106"/>
      <c r="P72" s="139">
        <f t="shared" si="2"/>
        <v>0</v>
      </c>
      <c r="Q72" s="139">
        <f t="shared" si="3"/>
        <v>0</v>
      </c>
    </row>
    <row r="73" spans="1:17">
      <c r="A73" s="74">
        <v>72</v>
      </c>
      <c r="B73" s="138" t="str">
        <f>IF($T$4=0,IF($I73="","",$I73),IFERROR(IF([1]财务取数接口!$B$72=0,"",[1]财务取数接口!$B$72),""))</f>
        <v/>
      </c>
      <c r="C73" s="75" t="str">
        <f>IF($T$4=0,IF($J73="","",$J73),IFERROR(IF([1]财务取数接口!$C$72=0,"",[1]财务取数接口!$C$72),""))</f>
        <v>押金收取</v>
      </c>
      <c r="D73" s="89" t="str">
        <f>IF($T$4=0,IF($K73="","",$K73),IFERROR(IF([1]财务取数接口!$D$72=0,"",[1]财务取数接口!$D$72),""))</f>
        <v/>
      </c>
      <c r="E73" s="89" t="str">
        <f>IF($T$4=0,IF($L73="","",$L73),IFERROR(IF([1]财务取数接口!$E$72=0,"",[1]财务取数接口!$E$72),""))</f>
        <v>元</v>
      </c>
      <c r="F73" s="76" t="str">
        <f>IF($T$4=0,IF($M73="","",$M73),IFERROR(IF([1]财务取数接口!$G$72=0,"",[1]财务取数接口!$G$72),""))</f>
        <v/>
      </c>
      <c r="G73" s="76" t="str">
        <f>IF($T$4=0,IF($N73="","",$N73),IFERROR(IF([1]财务取数接口!$H$72=0,"",[1]财务取数接口!$H$72),""))</f>
        <v/>
      </c>
      <c r="H73" s="75" t="str">
        <f>IF($T$4=0,IF($O73="","",$O73),IFERROR(IF([1]财务取数接口!$I$72=0,"",[1]财务取数接口!$I$72),""))</f>
        <v/>
      </c>
      <c r="I73" s="43"/>
      <c r="J73" s="106"/>
      <c r="K73" s="43"/>
      <c r="L73" s="43"/>
      <c r="M73" s="107"/>
      <c r="N73" s="107"/>
      <c r="O73" s="106"/>
      <c r="P73" s="139">
        <f t="shared" si="2"/>
        <v>0</v>
      </c>
      <c r="Q73" s="139">
        <f t="shared" si="3"/>
        <v>0</v>
      </c>
    </row>
    <row r="74" spans="1:17">
      <c r="A74" s="74">
        <v>73</v>
      </c>
      <c r="B74" s="138" t="str">
        <f>IF($T$4=0,IF($I74="","",$I74),IFERROR(IF([1]财务取数接口!$B$73=0,"",[1]财务取数接口!$B$73),""))</f>
        <v/>
      </c>
      <c r="C74" s="75" t="str">
        <f>IF($T$4=0,IF($J74="","",$J74),IFERROR(IF([1]财务取数接口!$C$73=0,"",[1]财务取数接口!$C$73),""))</f>
        <v>押金收取</v>
      </c>
      <c r="D74" s="89" t="str">
        <f>IF($T$4=0,IF($K74="","",$K74),IFERROR(IF([1]财务取数接口!$D$73=0,"",[1]财务取数接口!$D$73),""))</f>
        <v/>
      </c>
      <c r="E74" s="89" t="str">
        <f>IF($T$4=0,IF($L74="","",$L74),IFERROR(IF([1]财务取数接口!$E$73=0,"",[1]财务取数接口!$E$73),""))</f>
        <v>元</v>
      </c>
      <c r="F74" s="76" t="str">
        <f>IF($T$4=0,IF($M74="","",$M74),IFERROR(IF([1]财务取数接口!$G$73=0,"",[1]财务取数接口!$G$73),""))</f>
        <v/>
      </c>
      <c r="G74" s="76" t="str">
        <f>IF($T$4=0,IF($N74="","",$N74),IFERROR(IF([1]财务取数接口!$H$73=0,"",[1]财务取数接口!$H$73),""))</f>
        <v/>
      </c>
      <c r="H74" s="75" t="str">
        <f>IF($T$4=0,IF($O74="","",$O74),IFERROR(IF([1]财务取数接口!$I$73=0,"",[1]财务取数接口!$I$73),""))</f>
        <v/>
      </c>
      <c r="I74" s="43"/>
      <c r="J74" s="106"/>
      <c r="K74" s="43"/>
      <c r="L74" s="43"/>
      <c r="M74" s="107"/>
      <c r="N74" s="107"/>
      <c r="O74" s="106"/>
      <c r="P74" s="139">
        <f t="shared" si="2"/>
        <v>0</v>
      </c>
      <c r="Q74" s="139">
        <f t="shared" si="3"/>
        <v>0</v>
      </c>
    </row>
    <row r="75" spans="1:17">
      <c r="A75" s="74">
        <v>74</v>
      </c>
      <c r="B75" s="138" t="str">
        <f>IF($T$4=0,IF($I75="","",$I75),IFERROR(IF([1]财务取数接口!$B$74=0,"",[1]财务取数接口!$B$74),""))</f>
        <v/>
      </c>
      <c r="C75" s="75" t="str">
        <f>IF($T$4=0,IF($J75="","",$J75),IFERROR(IF([1]财务取数接口!$C$74=0,"",[1]财务取数接口!$C$74),""))</f>
        <v>押金收取</v>
      </c>
      <c r="D75" s="89" t="str">
        <f>IF($T$4=0,IF($K75="","",$K75),IFERROR(IF([1]财务取数接口!$D$74=0,"",[1]财务取数接口!$D$74),""))</f>
        <v/>
      </c>
      <c r="E75" s="89" t="str">
        <f>IF($T$4=0,IF($L75="","",$L75),IFERROR(IF([1]财务取数接口!$E$74=0,"",[1]财务取数接口!$E$74),""))</f>
        <v>元</v>
      </c>
      <c r="F75" s="76" t="str">
        <f>IF($T$4=0,IF($M75="","",$M75),IFERROR(IF([1]财务取数接口!$G$74=0,"",[1]财务取数接口!$G$74),""))</f>
        <v/>
      </c>
      <c r="G75" s="76" t="str">
        <f>IF($T$4=0,IF($N75="","",$N75),IFERROR(IF([1]财务取数接口!$H$74=0,"",[1]财务取数接口!$H$74),""))</f>
        <v/>
      </c>
      <c r="H75" s="75" t="str">
        <f>IF($T$4=0,IF($O75="","",$O75),IFERROR(IF([1]财务取数接口!$I$74=0,"",[1]财务取数接口!$I$74),""))</f>
        <v/>
      </c>
      <c r="I75" s="43"/>
      <c r="J75" s="106"/>
      <c r="K75" s="43"/>
      <c r="L75" s="43"/>
      <c r="M75" s="107"/>
      <c r="N75" s="107"/>
      <c r="O75" s="106"/>
      <c r="P75" s="139">
        <f t="shared" si="2"/>
        <v>0</v>
      </c>
      <c r="Q75" s="139">
        <f t="shared" si="3"/>
        <v>0</v>
      </c>
    </row>
    <row r="76" spans="1:17">
      <c r="A76" s="74">
        <v>75</v>
      </c>
      <c r="B76" s="138" t="str">
        <f>IF($T$4=0,IF($I76="","",$I76),IFERROR(IF([1]财务取数接口!$B$75=0,"",[1]财务取数接口!$B$75),""))</f>
        <v/>
      </c>
      <c r="C76" s="75" t="str">
        <f>IF($T$4=0,IF($J76="","",$J76),IFERROR(IF([1]财务取数接口!$C$75=0,"",[1]财务取数接口!$C$75),""))</f>
        <v>押金收取</v>
      </c>
      <c r="D76" s="89" t="str">
        <f>IF($T$4=0,IF($K76="","",$K76),IFERROR(IF([1]财务取数接口!$D$75=0,"",[1]财务取数接口!$D$75),""))</f>
        <v/>
      </c>
      <c r="E76" s="89" t="str">
        <f>IF($T$4=0,IF($L76="","",$L76),IFERROR(IF([1]财务取数接口!$E$75=0,"",[1]财务取数接口!$E$75),""))</f>
        <v>元</v>
      </c>
      <c r="F76" s="76" t="str">
        <f>IF($T$4=0,IF($M76="","",$M76),IFERROR(IF([1]财务取数接口!$G$75=0,"",[1]财务取数接口!$G$75),""))</f>
        <v/>
      </c>
      <c r="G76" s="76" t="str">
        <f>IF($T$4=0,IF($N76="","",$N76),IFERROR(IF([1]财务取数接口!$H$75=0,"",[1]财务取数接口!$H$75),""))</f>
        <v/>
      </c>
      <c r="H76" s="75" t="str">
        <f>IF($T$4=0,IF($O76="","",$O76),IFERROR(IF([1]财务取数接口!$I$75=0,"",[1]财务取数接口!$I$75),""))</f>
        <v/>
      </c>
      <c r="I76" s="43"/>
      <c r="J76" s="106"/>
      <c r="K76" s="43"/>
      <c r="L76" s="43"/>
      <c r="M76" s="107"/>
      <c r="N76" s="107"/>
      <c r="O76" s="106"/>
      <c r="P76" s="139">
        <f t="shared" si="2"/>
        <v>0</v>
      </c>
      <c r="Q76" s="139">
        <f t="shared" si="3"/>
        <v>0</v>
      </c>
    </row>
    <row r="77" spans="1:17">
      <c r="A77" s="74">
        <v>76</v>
      </c>
      <c r="B77" s="138" t="str">
        <f>IF($T$4=0,IF($I77="","",$I77),IFERROR(IF([1]财务取数接口!$B$76=0,"",[1]财务取数接口!$B$76),""))</f>
        <v/>
      </c>
      <c r="C77" s="75" t="str">
        <f>IF($T$4=0,IF($J77="","",$J77),IFERROR(IF([1]财务取数接口!$C$76=0,"",[1]财务取数接口!$C$76),""))</f>
        <v>押金退还</v>
      </c>
      <c r="D77" s="89" t="str">
        <f>IF($T$4=0,IF($K77="","",$K77),IFERROR(IF([1]财务取数接口!$D$76=0,"",[1]财务取数接口!$D$76),""))</f>
        <v/>
      </c>
      <c r="E77" s="89" t="str">
        <f>IF($T$4=0,IF($L77="","",$L77),IFERROR(IF([1]财务取数接口!$E$76=0,"",[1]财务取数接口!$E$76),""))</f>
        <v>元</v>
      </c>
      <c r="F77" s="76" t="str">
        <f>IF($T$4=0,IF($M77="","",$M77),IFERROR(IF([1]财务取数接口!$G$76=0,"",[1]财务取数接口!$G$76),""))</f>
        <v/>
      </c>
      <c r="G77" s="76" t="str">
        <f>IF($T$4=0,IF($N77="","",$N77),IFERROR(IF([1]财务取数接口!$H$76=0,"",[1]财务取数接口!$H$76),""))</f>
        <v/>
      </c>
      <c r="H77" s="75" t="str">
        <f>IF($T$4=0,IF($O77="","",$O77),IFERROR(IF([1]财务取数接口!$I$76=0,"",[1]财务取数接口!$I$76),""))</f>
        <v/>
      </c>
      <c r="I77" s="43"/>
      <c r="J77" s="106"/>
      <c r="K77" s="43"/>
      <c r="L77" s="43"/>
      <c r="M77" s="107"/>
      <c r="N77" s="107"/>
      <c r="O77" s="106"/>
      <c r="P77" s="139">
        <f t="shared" si="2"/>
        <v>0</v>
      </c>
      <c r="Q77" s="139">
        <f t="shared" si="3"/>
        <v>0</v>
      </c>
    </row>
    <row r="78" spans="1:17">
      <c r="A78" s="74">
        <v>77</v>
      </c>
      <c r="B78" s="138" t="str">
        <f>IF($T$4=0,IF($I78="","",$I78),IFERROR(IF([1]财务取数接口!$B$77=0,"",[1]财务取数接口!$B$77),""))</f>
        <v/>
      </c>
      <c r="C78" s="75" t="str">
        <f>IF($T$4=0,IF($J78="","",$J78),IFERROR(IF([1]财务取数接口!$C$77=0,"",[1]财务取数接口!$C$77),""))</f>
        <v>押金退还</v>
      </c>
      <c r="D78" s="89" t="str">
        <f>IF($T$4=0,IF($K78="","",$K78),IFERROR(IF([1]财务取数接口!$D$77=0,"",[1]财务取数接口!$D$77),""))</f>
        <v/>
      </c>
      <c r="E78" s="89" t="str">
        <f>IF($T$4=0,IF($L78="","",$L78),IFERROR(IF([1]财务取数接口!$E$77=0,"",[1]财务取数接口!$E$77),""))</f>
        <v>元</v>
      </c>
      <c r="F78" s="76" t="str">
        <f>IF($T$4=0,IF($M78="","",$M78),IFERROR(IF([1]财务取数接口!$G$77=0,"",[1]财务取数接口!$G$77),""))</f>
        <v/>
      </c>
      <c r="G78" s="76" t="str">
        <f>IF($T$4=0,IF($N78="","",$N78),IFERROR(IF([1]财务取数接口!$H$77=0,"",[1]财务取数接口!$H$77),""))</f>
        <v/>
      </c>
      <c r="H78" s="75" t="str">
        <f>IF($T$4=0,IF($O78="","",$O78),IFERROR(IF([1]财务取数接口!$I$77=0,"",[1]财务取数接口!$I$77),""))</f>
        <v/>
      </c>
      <c r="I78" s="43"/>
      <c r="J78" s="106"/>
      <c r="K78" s="43"/>
      <c r="L78" s="43"/>
      <c r="M78" s="107"/>
      <c r="N78" s="107"/>
      <c r="O78" s="106"/>
      <c r="P78" s="139">
        <f t="shared" si="2"/>
        <v>0</v>
      </c>
      <c r="Q78" s="139">
        <f t="shared" si="3"/>
        <v>0</v>
      </c>
    </row>
    <row r="79" spans="1:17">
      <c r="A79" s="74">
        <v>78</v>
      </c>
      <c r="B79" s="138" t="str">
        <f>IF($T$4=0,IF($I79="","",$I79),IFERROR(IF([1]财务取数接口!$B$78=0,"",[1]财务取数接口!$B$78),""))</f>
        <v/>
      </c>
      <c r="C79" s="75" t="str">
        <f>IF($T$4=0,IF($J79="","",$J79),IFERROR(IF([1]财务取数接口!$C$78=0,"",[1]财务取数接口!$C$78),""))</f>
        <v>押金退还</v>
      </c>
      <c r="D79" s="89" t="str">
        <f>IF($T$4=0,IF($K79="","",$K79),IFERROR(IF([1]财务取数接口!$D$78=0,"",[1]财务取数接口!$D$78),""))</f>
        <v/>
      </c>
      <c r="E79" s="89" t="str">
        <f>IF($T$4=0,IF($L79="","",$L79),IFERROR(IF([1]财务取数接口!$E$78=0,"",[1]财务取数接口!$E$78),""))</f>
        <v>元</v>
      </c>
      <c r="F79" s="76" t="str">
        <f>IF($T$4=0,IF($M79="","",$M79),IFERROR(IF([1]财务取数接口!$G$78=0,"",[1]财务取数接口!$G$78),""))</f>
        <v/>
      </c>
      <c r="G79" s="76" t="str">
        <f>IF($T$4=0,IF($N79="","",$N79),IFERROR(IF([1]财务取数接口!$H$78=0,"",[1]财务取数接口!$H$78),""))</f>
        <v/>
      </c>
      <c r="H79" s="75" t="str">
        <f>IF($T$4=0,IF($O79="","",$O79),IFERROR(IF([1]财务取数接口!$I$78=0,"",[1]财务取数接口!$I$78),""))</f>
        <v/>
      </c>
      <c r="I79" s="43"/>
      <c r="J79" s="106"/>
      <c r="K79" s="43"/>
      <c r="L79" s="43"/>
      <c r="M79" s="107"/>
      <c r="N79" s="107"/>
      <c r="O79" s="106"/>
      <c r="P79" s="139">
        <f t="shared" si="2"/>
        <v>0</v>
      </c>
      <c r="Q79" s="139">
        <f t="shared" si="3"/>
        <v>0</v>
      </c>
    </row>
    <row r="80" spans="1:17">
      <c r="A80" s="74">
        <v>79</v>
      </c>
      <c r="B80" s="138" t="str">
        <f>IF($T$4=0,IF($I80="","",$I80),IFERROR(IF([1]财务取数接口!$B$79=0,"",[1]财务取数接口!$B$79),""))</f>
        <v/>
      </c>
      <c r="C80" s="75" t="str">
        <f>IF($T$4=0,IF($J80="","",$J80),IFERROR(IF([1]财务取数接口!$C$79=0,"",[1]财务取数接口!$C$79),""))</f>
        <v>押金退还</v>
      </c>
      <c r="D80" s="89" t="str">
        <f>IF($T$4=0,IF($K80="","",$K80),IFERROR(IF([1]财务取数接口!$D$79=0,"",[1]财务取数接口!$D$79),""))</f>
        <v/>
      </c>
      <c r="E80" s="89" t="str">
        <f>IF($T$4=0,IF($L80="","",$L80),IFERROR(IF([1]财务取数接口!$E$79=0,"",[1]财务取数接口!$E$79),""))</f>
        <v>元</v>
      </c>
      <c r="F80" s="76" t="str">
        <f>IF($T$4=0,IF($M80="","",$M80),IFERROR(IF([1]财务取数接口!$G$79=0,"",[1]财务取数接口!$G$79),""))</f>
        <v/>
      </c>
      <c r="G80" s="76" t="str">
        <f>IF($T$4=0,IF($N80="","",$N80),IFERROR(IF([1]财务取数接口!$H$79=0,"",[1]财务取数接口!$H$79),""))</f>
        <v/>
      </c>
      <c r="H80" s="75" t="str">
        <f>IF($T$4=0,IF($O80="","",$O80),IFERROR(IF([1]财务取数接口!$I$79=0,"",[1]财务取数接口!$I$79),""))</f>
        <v/>
      </c>
      <c r="I80" s="43"/>
      <c r="J80" s="106"/>
      <c r="K80" s="43"/>
      <c r="L80" s="43"/>
      <c r="M80" s="107"/>
      <c r="N80" s="107"/>
      <c r="O80" s="106"/>
      <c r="P80" s="139">
        <f t="shared" si="2"/>
        <v>0</v>
      </c>
      <c r="Q80" s="139">
        <f t="shared" si="3"/>
        <v>0</v>
      </c>
    </row>
    <row r="81" spans="1:17">
      <c r="A81" s="74">
        <v>80</v>
      </c>
      <c r="B81" s="138" t="str">
        <f>IF($T$4=0,IF($I81="","",$I81),IFERROR(IF([1]财务取数接口!$B$80=0,"",[1]财务取数接口!$B$80),""))</f>
        <v/>
      </c>
      <c r="C81" s="75" t="str">
        <f>IF($T$4=0,IF($J81="","",$J81),IFERROR(IF([1]财务取数接口!$C$80=0,"",[1]财务取数接口!$C$80),""))</f>
        <v>押金退还</v>
      </c>
      <c r="D81" s="89" t="str">
        <f>IF($T$4=0,IF($K81="","",$K81),IFERROR(IF([1]财务取数接口!$D$80=0,"",[1]财务取数接口!$D$80),""))</f>
        <v/>
      </c>
      <c r="E81" s="89" t="str">
        <f>IF($T$4=0,IF($L81="","",$L81),IFERROR(IF([1]财务取数接口!$E$80=0,"",[1]财务取数接口!$E$80),""))</f>
        <v>元</v>
      </c>
      <c r="F81" s="76" t="str">
        <f>IF($T$4=0,IF($M81="","",$M81),IFERROR(IF([1]财务取数接口!$G$80=0,"",[1]财务取数接口!$G$80),""))</f>
        <v/>
      </c>
      <c r="G81" s="76" t="str">
        <f>IF($T$4=0,IF($N81="","",$N81),IFERROR(IF([1]财务取数接口!$H$80=0,"",[1]财务取数接口!$H$80),""))</f>
        <v/>
      </c>
      <c r="H81" s="75" t="str">
        <f>IF($T$4=0,IF($O81="","",$O81),IFERROR(IF([1]财务取数接口!$I$80=0,"",[1]财务取数接口!$I$80),""))</f>
        <v/>
      </c>
      <c r="I81" s="43"/>
      <c r="J81" s="106"/>
      <c r="K81" s="43"/>
      <c r="L81" s="43"/>
      <c r="M81" s="107"/>
      <c r="N81" s="107"/>
      <c r="O81" s="106"/>
      <c r="P81" s="139">
        <f t="shared" si="2"/>
        <v>0</v>
      </c>
      <c r="Q81" s="139">
        <f t="shared" si="3"/>
        <v>0</v>
      </c>
    </row>
    <row r="82" spans="1:17">
      <c r="A82" s="74">
        <v>81</v>
      </c>
      <c r="B82" s="138" t="str">
        <f>IF($T$4=0,IF($I82="","",$I82),IFERROR(IF([1]财务取数接口!$B$81=0,"",[1]财务取数接口!$B$81),""))</f>
        <v/>
      </c>
      <c r="C82" s="75" t="str">
        <f>IF($T$4=0,IF($J82="","",$J82),IFERROR(IF([1]财务取数接口!$C$81=0,"",[1]财务取数接口!$C$81),""))</f>
        <v>押金退还</v>
      </c>
      <c r="D82" s="89" t="str">
        <f>IF($T$4=0,IF($K82="","",$K82),IFERROR(IF([1]财务取数接口!$D$81=0,"",[1]财务取数接口!$D$81),""))</f>
        <v/>
      </c>
      <c r="E82" s="89" t="str">
        <f>IF($T$4=0,IF($L82="","",$L82),IFERROR(IF([1]财务取数接口!$E$81=0,"",[1]财务取数接口!$E$81),""))</f>
        <v>元</v>
      </c>
      <c r="F82" s="76" t="str">
        <f>IF($T$4=0,IF($M82="","",$M82),IFERROR(IF([1]财务取数接口!$G$81=0,"",[1]财务取数接口!$G$81),""))</f>
        <v/>
      </c>
      <c r="G82" s="76" t="str">
        <f>IF($T$4=0,IF($N82="","",$N82),IFERROR(IF([1]财务取数接口!$H$81=0,"",[1]财务取数接口!$H$81),""))</f>
        <v/>
      </c>
      <c r="H82" s="75" t="str">
        <f>IF($T$4=0,IF($O82="","",$O82),IFERROR(IF([1]财务取数接口!$I$81=0,"",[1]财务取数接口!$I$81),""))</f>
        <v/>
      </c>
      <c r="I82" s="43"/>
      <c r="J82" s="106"/>
      <c r="K82" s="43"/>
      <c r="L82" s="43"/>
      <c r="M82" s="107"/>
      <c r="N82" s="107"/>
      <c r="O82" s="106"/>
      <c r="P82" s="139">
        <f t="shared" si="2"/>
        <v>0</v>
      </c>
      <c r="Q82" s="139">
        <f t="shared" si="3"/>
        <v>0</v>
      </c>
    </row>
    <row r="83" spans="1:17">
      <c r="A83" s="74">
        <v>82</v>
      </c>
      <c r="B83" s="138" t="str">
        <f>IF($T$4=0,IF($I83="","",$I83),IFERROR(IF([1]财务取数接口!$B$82=0,"",[1]财务取数接口!$B$82),""))</f>
        <v/>
      </c>
      <c r="C83" s="75" t="str">
        <f>IF($T$4=0,IF($J83="","",$J83),IFERROR(IF([1]财务取数接口!$C$82=0,"",[1]财务取数接口!$C$82),""))</f>
        <v>押金退还</v>
      </c>
      <c r="D83" s="89" t="str">
        <f>IF($T$4=0,IF($K83="","",$K83),IFERROR(IF([1]财务取数接口!$D$82=0,"",[1]财务取数接口!$D$82),""))</f>
        <v/>
      </c>
      <c r="E83" s="89" t="str">
        <f>IF($T$4=0,IF($L83="","",$L83),IFERROR(IF([1]财务取数接口!$E$82=0,"",[1]财务取数接口!$E$82),""))</f>
        <v>元</v>
      </c>
      <c r="F83" s="76" t="str">
        <f>IF($T$4=0,IF($M83="","",$M83),IFERROR(IF([1]财务取数接口!$G$82=0,"",[1]财务取数接口!$G$82),""))</f>
        <v/>
      </c>
      <c r="G83" s="76" t="str">
        <f>IF($T$4=0,IF($N83="","",$N83),IFERROR(IF([1]财务取数接口!$H$82=0,"",[1]财务取数接口!$H$82),""))</f>
        <v/>
      </c>
      <c r="H83" s="75" t="str">
        <f>IF($T$4=0,IF($O83="","",$O83),IFERROR(IF([1]财务取数接口!$I$82=0,"",[1]财务取数接口!$I$82),""))</f>
        <v/>
      </c>
      <c r="I83" s="43"/>
      <c r="J83" s="106"/>
      <c r="K83" s="43"/>
      <c r="L83" s="43"/>
      <c r="M83" s="107"/>
      <c r="N83" s="107"/>
      <c r="O83" s="106"/>
      <c r="P83" s="139">
        <f t="shared" si="2"/>
        <v>0</v>
      </c>
      <c r="Q83" s="139">
        <f t="shared" si="3"/>
        <v>0</v>
      </c>
    </row>
    <row r="84" spans="1:17">
      <c r="A84" s="74">
        <v>83</v>
      </c>
      <c r="B84" s="138" t="str">
        <f>IF($T$4=0,IF($I84="","",$I84),IFERROR(IF([1]财务取数接口!$B$83=0,"",[1]财务取数接口!$B$83),""))</f>
        <v/>
      </c>
      <c r="C84" s="75" t="str">
        <f>IF($T$4=0,IF($J84="","",$J84),IFERROR(IF([1]财务取数接口!$C$83=0,"",[1]财务取数接口!$C$83),""))</f>
        <v>押金退还</v>
      </c>
      <c r="D84" s="89" t="str">
        <f>IF($T$4=0,IF($K84="","",$K84),IFERROR(IF([1]财务取数接口!$D$83=0,"",[1]财务取数接口!$D$83),""))</f>
        <v/>
      </c>
      <c r="E84" s="89" t="str">
        <f>IF($T$4=0,IF($L84="","",$L84),IFERROR(IF([1]财务取数接口!$E$83=0,"",[1]财务取数接口!$E$83),""))</f>
        <v>元</v>
      </c>
      <c r="F84" s="76" t="str">
        <f>IF($T$4=0,IF($M84="","",$M84),IFERROR(IF([1]财务取数接口!$G$83=0,"",[1]财务取数接口!$G$83),""))</f>
        <v/>
      </c>
      <c r="G84" s="76" t="str">
        <f>IF($T$4=0,IF($N84="","",$N84),IFERROR(IF([1]财务取数接口!$H$83=0,"",[1]财务取数接口!$H$83),""))</f>
        <v/>
      </c>
      <c r="H84" s="75" t="str">
        <f>IF($T$4=0,IF($O84="","",$O84),IFERROR(IF([1]财务取数接口!$I$83=0,"",[1]财务取数接口!$I$83),""))</f>
        <v/>
      </c>
      <c r="I84" s="43"/>
      <c r="J84" s="106"/>
      <c r="K84" s="43"/>
      <c r="L84" s="43"/>
      <c r="M84" s="107"/>
      <c r="N84" s="107"/>
      <c r="O84" s="106"/>
      <c r="P84" s="139">
        <f t="shared" si="2"/>
        <v>0</v>
      </c>
      <c r="Q84" s="139">
        <f t="shared" si="3"/>
        <v>0</v>
      </c>
    </row>
    <row r="85" spans="1:17">
      <c r="A85" s="74">
        <v>84</v>
      </c>
      <c r="B85" s="138" t="str">
        <f>IF($T$4=0,IF($I85="","",$I85),IFERROR(IF([1]财务取数接口!$B$84=0,"",[1]财务取数接口!$B$84),""))</f>
        <v/>
      </c>
      <c r="C85" s="75" t="str">
        <f>IF($T$4=0,IF($J85="","",$J85),IFERROR(IF([1]财务取数接口!$C$84=0,"",[1]财务取数接口!$C$84),""))</f>
        <v>押金退还</v>
      </c>
      <c r="D85" s="89" t="str">
        <f>IF($T$4=0,IF($K85="","",$K85),IFERROR(IF([1]财务取数接口!$D$84=0,"",[1]财务取数接口!$D$84),""))</f>
        <v/>
      </c>
      <c r="E85" s="89" t="str">
        <f>IF($T$4=0,IF($L85="","",$L85),IFERROR(IF([1]财务取数接口!$E$84=0,"",[1]财务取数接口!$E$84),""))</f>
        <v>元</v>
      </c>
      <c r="F85" s="76" t="str">
        <f>IF($T$4=0,IF($M85="","",$M85),IFERROR(IF([1]财务取数接口!$G$84=0,"",[1]财务取数接口!$G$84),""))</f>
        <v/>
      </c>
      <c r="G85" s="76" t="str">
        <f>IF($T$4=0,IF($N85="","",$N85),IFERROR(IF([1]财务取数接口!$H$84=0,"",[1]财务取数接口!$H$84),""))</f>
        <v/>
      </c>
      <c r="H85" s="75" t="str">
        <f>IF($T$4=0,IF($O85="","",$O85),IFERROR(IF([1]财务取数接口!$I$84=0,"",[1]财务取数接口!$I$84),""))</f>
        <v/>
      </c>
      <c r="I85" s="43"/>
      <c r="J85" s="106"/>
      <c r="K85" s="43"/>
      <c r="L85" s="43"/>
      <c r="M85" s="107"/>
      <c r="N85" s="107"/>
      <c r="O85" s="106"/>
      <c r="P85" s="139">
        <f t="shared" si="2"/>
        <v>0</v>
      </c>
      <c r="Q85" s="139">
        <f t="shared" si="3"/>
        <v>0</v>
      </c>
    </row>
    <row r="86" spans="1:17">
      <c r="A86" s="74">
        <v>85</v>
      </c>
      <c r="B86" s="138" t="str">
        <f>IF($T$4=0,IF($I86="","",$I86),IFERROR(IF([1]财务取数接口!$B$85=0,"",[1]财务取数接口!$B$85),""))</f>
        <v/>
      </c>
      <c r="C86" s="75" t="str">
        <f>IF($T$4=0,IF($J86="","",$J86),IFERROR(IF([1]财务取数接口!$C$85=0,"",[1]财务取数接口!$C$85),""))</f>
        <v>押金退还</v>
      </c>
      <c r="D86" s="89" t="str">
        <f>IF($T$4=0,IF($K86="","",$K86),IFERROR(IF([1]财务取数接口!$D$85=0,"",[1]财务取数接口!$D$85),""))</f>
        <v/>
      </c>
      <c r="E86" s="89" t="str">
        <f>IF($T$4=0,IF($L86="","",$L86),IFERROR(IF([1]财务取数接口!$E$85=0,"",[1]财务取数接口!$E$85),""))</f>
        <v>元</v>
      </c>
      <c r="F86" s="76" t="str">
        <f>IF($T$4=0,IF($M86="","",$M86),IFERROR(IF([1]财务取数接口!$G$85=0,"",[1]财务取数接口!$G$85),""))</f>
        <v/>
      </c>
      <c r="G86" s="76" t="str">
        <f>IF($T$4=0,IF($N86="","",$N86),IFERROR(IF([1]财务取数接口!$H$85=0,"",[1]财务取数接口!$H$85),""))</f>
        <v/>
      </c>
      <c r="H86" s="75" t="str">
        <f>IF($T$4=0,IF($O86="","",$O86),IFERROR(IF([1]财务取数接口!$I$85=0,"",[1]财务取数接口!$I$85),""))</f>
        <v/>
      </c>
      <c r="I86" s="43"/>
      <c r="J86" s="106"/>
      <c r="K86" s="43"/>
      <c r="L86" s="43"/>
      <c r="M86" s="107"/>
      <c r="N86" s="107"/>
      <c r="O86" s="106"/>
      <c r="P86" s="139">
        <f t="shared" si="2"/>
        <v>0</v>
      </c>
      <c r="Q86" s="139">
        <f t="shared" si="3"/>
        <v>0</v>
      </c>
    </row>
    <row r="87" spans="1:17">
      <c r="A87" s="74">
        <v>86</v>
      </c>
      <c r="B87" s="138" t="str">
        <f>IF($T$4=0,IF($I87="","",$I87),IFERROR(IF([1]财务取数接口!$B$86=0,"",[1]财务取数接口!$B$86),""))</f>
        <v/>
      </c>
      <c r="C87" s="75" t="str">
        <f>IF($T$4=0,IF($J87="","",$J87),IFERROR(IF([1]财务取数接口!$C$86=0,"",[1]财务取数接口!$C$86),""))</f>
        <v>押金退还</v>
      </c>
      <c r="D87" s="89" t="str">
        <f>IF($T$4=0,IF($K87="","",$K87),IFERROR(IF([1]财务取数接口!$D$86=0,"",[1]财务取数接口!$D$86),""))</f>
        <v/>
      </c>
      <c r="E87" s="89" t="str">
        <f>IF($T$4=0,IF($L87="","",$L87),IFERROR(IF([1]财务取数接口!$E$86=0,"",[1]财务取数接口!$E$86),""))</f>
        <v>元</v>
      </c>
      <c r="F87" s="76" t="str">
        <f>IF($T$4=0,IF($M87="","",$M87),IFERROR(IF([1]财务取数接口!$G$86=0,"",[1]财务取数接口!$G$86),""))</f>
        <v/>
      </c>
      <c r="G87" s="76" t="str">
        <f>IF($T$4=0,IF($N87="","",$N87),IFERROR(IF([1]财务取数接口!$H$86=0,"",[1]财务取数接口!$H$86),""))</f>
        <v/>
      </c>
      <c r="H87" s="75" t="str">
        <f>IF($T$4=0,IF($O87="","",$O87),IFERROR(IF([1]财务取数接口!$I$86=0,"",[1]财务取数接口!$I$86),""))</f>
        <v/>
      </c>
      <c r="I87" s="43"/>
      <c r="J87" s="106"/>
      <c r="K87" s="43"/>
      <c r="L87" s="43"/>
      <c r="M87" s="107"/>
      <c r="N87" s="107"/>
      <c r="O87" s="106"/>
      <c r="P87" s="139">
        <f t="shared" si="2"/>
        <v>0</v>
      </c>
      <c r="Q87" s="139">
        <f t="shared" si="3"/>
        <v>0</v>
      </c>
    </row>
    <row r="88" spans="1:17">
      <c r="A88" s="74">
        <v>87</v>
      </c>
      <c r="B88" s="138" t="str">
        <f>IF($T$4=0,IF($I88="","",$I88),IFERROR(IF([1]财务取数接口!$B$87=0,"",[1]财务取数接口!$B$87),""))</f>
        <v/>
      </c>
      <c r="C88" s="75" t="str">
        <f>IF($T$4=0,IF($J88="","",$J88),IFERROR(IF([1]财务取数接口!$C$87=0,"",[1]财务取数接口!$C$87),""))</f>
        <v>押金退还</v>
      </c>
      <c r="D88" s="89" t="str">
        <f>IF($T$4=0,IF($K88="","",$K88),IFERROR(IF([1]财务取数接口!$D$87=0,"",[1]财务取数接口!$D$87),""))</f>
        <v/>
      </c>
      <c r="E88" s="89" t="str">
        <f>IF($T$4=0,IF($L88="","",$L88),IFERROR(IF([1]财务取数接口!$E$87=0,"",[1]财务取数接口!$E$87),""))</f>
        <v>元</v>
      </c>
      <c r="F88" s="76" t="str">
        <f>IF($T$4=0,IF($M88="","",$M88),IFERROR(IF([1]财务取数接口!$G$87=0,"",[1]财务取数接口!$G$87),""))</f>
        <v/>
      </c>
      <c r="G88" s="76" t="str">
        <f>IF($T$4=0,IF($N88="","",$N88),IFERROR(IF([1]财务取数接口!$H$87=0,"",[1]财务取数接口!$H$87),""))</f>
        <v/>
      </c>
      <c r="H88" s="75" t="str">
        <f>IF($T$4=0,IF($O88="","",$O88),IFERROR(IF([1]财务取数接口!$I$87=0,"",[1]财务取数接口!$I$87),""))</f>
        <v/>
      </c>
      <c r="I88" s="43"/>
      <c r="J88" s="106"/>
      <c r="K88" s="43"/>
      <c r="L88" s="43"/>
      <c r="M88" s="107"/>
      <c r="N88" s="107"/>
      <c r="O88" s="106"/>
      <c r="P88" s="139">
        <f t="shared" si="2"/>
        <v>0</v>
      </c>
      <c r="Q88" s="139">
        <f t="shared" si="3"/>
        <v>0</v>
      </c>
    </row>
    <row r="89" spans="1:17">
      <c r="A89" s="74">
        <v>88</v>
      </c>
      <c r="B89" s="138" t="str">
        <f>IF($T$4=0,IF($I89="","",$I89),IFERROR(IF([1]财务取数接口!$B$88=0,"",[1]财务取数接口!$B$88),""))</f>
        <v/>
      </c>
      <c r="C89" s="75" t="str">
        <f>IF($T$4=0,IF($J89="","",$J89),IFERROR(IF([1]财务取数接口!$C$88=0,"",[1]财务取数接口!$C$88),""))</f>
        <v>押金退还</v>
      </c>
      <c r="D89" s="89" t="str">
        <f>IF($T$4=0,IF($K89="","",$K89),IFERROR(IF([1]财务取数接口!$D$88=0,"",[1]财务取数接口!$D$88),""))</f>
        <v/>
      </c>
      <c r="E89" s="89" t="str">
        <f>IF($T$4=0,IF($L89="","",$L89),IFERROR(IF([1]财务取数接口!$E$88=0,"",[1]财务取数接口!$E$88),""))</f>
        <v>元</v>
      </c>
      <c r="F89" s="76" t="str">
        <f>IF($T$4=0,IF($M89="","",$M89),IFERROR(IF([1]财务取数接口!$G$88=0,"",[1]财务取数接口!$G$88),""))</f>
        <v/>
      </c>
      <c r="G89" s="76" t="str">
        <f>IF($T$4=0,IF($N89="","",$N89),IFERROR(IF([1]财务取数接口!$H$88=0,"",[1]财务取数接口!$H$88),""))</f>
        <v/>
      </c>
      <c r="H89" s="75" t="str">
        <f>IF($T$4=0,IF($O89="","",$O89),IFERROR(IF([1]财务取数接口!$I$88=0,"",[1]财务取数接口!$I$88),""))</f>
        <v/>
      </c>
      <c r="I89" s="43"/>
      <c r="J89" s="106"/>
      <c r="K89" s="43"/>
      <c r="L89" s="43"/>
      <c r="M89" s="107"/>
      <c r="N89" s="107"/>
      <c r="O89" s="106"/>
      <c r="P89" s="139">
        <f t="shared" si="2"/>
        <v>0</v>
      </c>
      <c r="Q89" s="139">
        <f t="shared" si="3"/>
        <v>0</v>
      </c>
    </row>
    <row r="90" spans="1:17">
      <c r="A90" s="74">
        <v>89</v>
      </c>
      <c r="B90" s="138" t="str">
        <f>IF($T$4=0,IF($I90="","",$I90),IFERROR(IF([1]财务取数接口!$B$89=0,"",[1]财务取数接口!$B$89),""))</f>
        <v/>
      </c>
      <c r="C90" s="75" t="str">
        <f>IF($T$4=0,IF($J90="","",$J90),IFERROR(IF([1]财务取数接口!$C$89=0,"",[1]财务取数接口!$C$89),""))</f>
        <v>押金退还</v>
      </c>
      <c r="D90" s="89" t="str">
        <f>IF($T$4=0,IF($K90="","",$K90),IFERROR(IF([1]财务取数接口!$D$89=0,"",[1]财务取数接口!$D$89),""))</f>
        <v/>
      </c>
      <c r="E90" s="89" t="str">
        <f>IF($T$4=0,IF($L90="","",$L90),IFERROR(IF([1]财务取数接口!$E$89=0,"",[1]财务取数接口!$E$89),""))</f>
        <v>元</v>
      </c>
      <c r="F90" s="76" t="str">
        <f>IF($T$4=0,IF($M90="","",$M90),IFERROR(IF([1]财务取数接口!$G$89=0,"",[1]财务取数接口!$G$89),""))</f>
        <v/>
      </c>
      <c r="G90" s="76" t="str">
        <f>IF($T$4=0,IF($N90="","",$N90),IFERROR(IF([1]财务取数接口!$H$89=0,"",[1]财务取数接口!$H$89),""))</f>
        <v/>
      </c>
      <c r="H90" s="75" t="str">
        <f>IF($T$4=0,IF($O90="","",$O90),IFERROR(IF([1]财务取数接口!$I$89=0,"",[1]财务取数接口!$I$89),""))</f>
        <v/>
      </c>
      <c r="I90" s="43"/>
      <c r="J90" s="106"/>
      <c r="K90" s="43"/>
      <c r="L90" s="43"/>
      <c r="M90" s="107"/>
      <c r="N90" s="107"/>
      <c r="O90" s="106"/>
      <c r="P90" s="139">
        <f t="shared" si="2"/>
        <v>0</v>
      </c>
      <c r="Q90" s="139">
        <f t="shared" si="3"/>
        <v>0</v>
      </c>
    </row>
    <row r="91" spans="1:17">
      <c r="A91" s="74">
        <v>90</v>
      </c>
      <c r="B91" s="138" t="str">
        <f>IF($T$4=0,IF($I91="","",$I91),IFERROR(IF([1]财务取数接口!$B$90=0,"",[1]财务取数接口!$B$90),""))</f>
        <v/>
      </c>
      <c r="C91" s="75" t="str">
        <f>IF($T$4=0,IF($J91="","",$J91),IFERROR(IF([1]财务取数接口!$C$90=0,"",[1]财务取数接口!$C$90),""))</f>
        <v>押金退还</v>
      </c>
      <c r="D91" s="89" t="str">
        <f>IF($T$4=0,IF($K91="","",$K91),IFERROR(IF([1]财务取数接口!$D$90=0,"",[1]财务取数接口!$D$90),""))</f>
        <v/>
      </c>
      <c r="E91" s="89" t="str">
        <f>IF($T$4=0,IF($L91="","",$L91),IFERROR(IF([1]财务取数接口!$E$90=0,"",[1]财务取数接口!$E$90),""))</f>
        <v>元</v>
      </c>
      <c r="F91" s="76" t="str">
        <f>IF($T$4=0,IF($M91="","",$M91),IFERROR(IF([1]财务取数接口!$G$90=0,"",[1]财务取数接口!$G$90),""))</f>
        <v/>
      </c>
      <c r="G91" s="76" t="str">
        <f>IF($T$4=0,IF($N91="","",$N91),IFERROR(IF([1]财务取数接口!$H$90=0,"",[1]财务取数接口!$H$90),""))</f>
        <v/>
      </c>
      <c r="H91" s="75" t="str">
        <f>IF($T$4=0,IF($O91="","",$O91),IFERROR(IF([1]财务取数接口!$I$90=0,"",[1]财务取数接口!$I$90),""))</f>
        <v/>
      </c>
      <c r="I91" s="43"/>
      <c r="J91" s="106"/>
      <c r="K91" s="43"/>
      <c r="L91" s="43"/>
      <c r="M91" s="107"/>
      <c r="N91" s="107"/>
      <c r="O91" s="106"/>
      <c r="P91" s="139">
        <f t="shared" si="2"/>
        <v>0</v>
      </c>
      <c r="Q91" s="139">
        <f t="shared" si="3"/>
        <v>0</v>
      </c>
    </row>
    <row r="92" spans="1:17">
      <c r="A92" s="74">
        <v>91</v>
      </c>
      <c r="B92" s="138" t="str">
        <f>IF($T$4=0,IF($I92="","",$I92),IFERROR(IF([1]财务取数接口!$B$91=0,"",[1]财务取数接口!$B$91),""))</f>
        <v/>
      </c>
      <c r="C92" s="75" t="str">
        <f>IF($T$4=0,IF($J92="","",$J92),IFERROR(IF([1]财务取数接口!$C$91=0,"",[1]财务取数接口!$C$91),""))</f>
        <v>押金退还</v>
      </c>
      <c r="D92" s="89" t="str">
        <f>IF($T$4=0,IF($K92="","",$K92),IFERROR(IF([1]财务取数接口!$D$91=0,"",[1]财务取数接口!$D$91),""))</f>
        <v/>
      </c>
      <c r="E92" s="89" t="str">
        <f>IF($T$4=0,IF($L92="","",$L92),IFERROR(IF([1]财务取数接口!$E$91=0,"",[1]财务取数接口!$E$91),""))</f>
        <v>元</v>
      </c>
      <c r="F92" s="76" t="str">
        <f>IF($T$4=0,IF($M92="","",$M92),IFERROR(IF([1]财务取数接口!$G$91=0,"",[1]财务取数接口!$G$91),""))</f>
        <v/>
      </c>
      <c r="G92" s="76" t="str">
        <f>IF($T$4=0,IF($N92="","",$N92),IFERROR(IF([1]财务取数接口!$H$91=0,"",[1]财务取数接口!$H$91),""))</f>
        <v/>
      </c>
      <c r="H92" s="75" t="str">
        <f>IF($T$4=0,IF($O92="","",$O92),IFERROR(IF([1]财务取数接口!$I$91=0,"",[1]财务取数接口!$I$91),""))</f>
        <v/>
      </c>
      <c r="I92" s="43"/>
      <c r="J92" s="106"/>
      <c r="K92" s="43"/>
      <c r="L92" s="43"/>
      <c r="M92" s="107"/>
      <c r="N92" s="107"/>
      <c r="O92" s="106"/>
      <c r="P92" s="139">
        <f t="shared" si="2"/>
        <v>0</v>
      </c>
      <c r="Q92" s="139">
        <f t="shared" si="3"/>
        <v>0</v>
      </c>
    </row>
    <row r="93" spans="1:17">
      <c r="A93" s="74">
        <v>92</v>
      </c>
      <c r="B93" s="138" t="str">
        <f>IF($T$4=0,IF($I93="","",$I93),IFERROR(IF([1]财务取数接口!$B$92=0,"",[1]财务取数接口!$B$92),""))</f>
        <v/>
      </c>
      <c r="C93" s="75" t="str">
        <f>IF($T$4=0,IF($J93="","",$J93),IFERROR(IF([1]财务取数接口!$C$92=0,"",[1]财务取数接口!$C$92),""))</f>
        <v>押金退还</v>
      </c>
      <c r="D93" s="89" t="str">
        <f>IF($T$4=0,IF($K93="","",$K93),IFERROR(IF([1]财务取数接口!$D$92=0,"",[1]财务取数接口!$D$92),""))</f>
        <v/>
      </c>
      <c r="E93" s="89" t="str">
        <f>IF($T$4=0,IF($L93="","",$L93),IFERROR(IF([1]财务取数接口!$E$92=0,"",[1]财务取数接口!$E$92),""))</f>
        <v>元</v>
      </c>
      <c r="F93" s="76" t="str">
        <f>IF($T$4=0,IF($M93="","",$M93),IFERROR(IF([1]财务取数接口!$G$92=0,"",[1]财务取数接口!$G$92),""))</f>
        <v/>
      </c>
      <c r="G93" s="76" t="str">
        <f>IF($T$4=0,IF($N93="","",$N93),IFERROR(IF([1]财务取数接口!$H$92=0,"",[1]财务取数接口!$H$92),""))</f>
        <v/>
      </c>
      <c r="H93" s="75" t="str">
        <f>IF($T$4=0,IF($O93="","",$O93),IFERROR(IF([1]财务取数接口!$I$92=0,"",[1]财务取数接口!$I$92),""))</f>
        <v/>
      </c>
      <c r="I93" s="43"/>
      <c r="J93" s="106"/>
      <c r="K93" s="43"/>
      <c r="L93" s="43"/>
      <c r="M93" s="107"/>
      <c r="N93" s="107"/>
      <c r="O93" s="106"/>
      <c r="P93" s="139">
        <f t="shared" si="2"/>
        <v>0</v>
      </c>
      <c r="Q93" s="139">
        <f t="shared" si="3"/>
        <v>0</v>
      </c>
    </row>
    <row r="94" spans="1:17">
      <c r="A94" s="74">
        <v>93</v>
      </c>
      <c r="B94" s="138" t="str">
        <f>IF($T$4=0,IF($I94="","",$I94),IFERROR(IF([1]财务取数接口!$B$93=0,"",[1]财务取数接口!$B$93),""))</f>
        <v/>
      </c>
      <c r="C94" s="75" t="str">
        <f>IF($T$4=0,IF($J94="","",$J94),IFERROR(IF([1]财务取数接口!$C$93=0,"",[1]财务取数接口!$C$93),""))</f>
        <v>押金退还</v>
      </c>
      <c r="D94" s="89" t="str">
        <f>IF($T$4=0,IF($K94="","",$K94),IFERROR(IF([1]财务取数接口!$D$93=0,"",[1]财务取数接口!$D$93),""))</f>
        <v/>
      </c>
      <c r="E94" s="89" t="str">
        <f>IF($T$4=0,IF($L94="","",$L94),IFERROR(IF([1]财务取数接口!$E$93=0,"",[1]财务取数接口!$E$93),""))</f>
        <v>元</v>
      </c>
      <c r="F94" s="76" t="str">
        <f>IF($T$4=0,IF($M94="","",$M94),IFERROR(IF([1]财务取数接口!$G$93=0,"",[1]财务取数接口!$G$93),""))</f>
        <v/>
      </c>
      <c r="G94" s="76" t="str">
        <f>IF($T$4=0,IF($N94="","",$N94),IFERROR(IF([1]财务取数接口!$H$93=0,"",[1]财务取数接口!$H$93),""))</f>
        <v/>
      </c>
      <c r="H94" s="75" t="str">
        <f>IF($T$4=0,IF($O94="","",$O94),IFERROR(IF([1]财务取数接口!$I$93=0,"",[1]财务取数接口!$I$93),""))</f>
        <v/>
      </c>
      <c r="I94" s="43"/>
      <c r="J94" s="106"/>
      <c r="K94" s="43"/>
      <c r="L94" s="43"/>
      <c r="M94" s="107"/>
      <c r="N94" s="107"/>
      <c r="O94" s="106"/>
      <c r="P94" s="139">
        <f t="shared" si="2"/>
        <v>0</v>
      </c>
      <c r="Q94" s="139">
        <f t="shared" si="3"/>
        <v>0</v>
      </c>
    </row>
    <row r="95" spans="1:17">
      <c r="A95" s="74">
        <v>94</v>
      </c>
      <c r="B95" s="138" t="str">
        <f>IF($T$4=0,IF($I95="","",$I95),IFERROR(IF([1]财务取数接口!$B$94=0,"",[1]财务取数接口!$B$94),""))</f>
        <v/>
      </c>
      <c r="C95" s="75" t="str">
        <f>IF($T$4=0,IF($J95="","",$J95),IFERROR(IF([1]财务取数接口!$C$94=0,"",[1]财务取数接口!$C$94),""))</f>
        <v>押金退还</v>
      </c>
      <c r="D95" s="89" t="str">
        <f>IF($T$4=0,IF($K95="","",$K95),IFERROR(IF([1]财务取数接口!$D$94=0,"",[1]财务取数接口!$D$94),""))</f>
        <v/>
      </c>
      <c r="E95" s="89" t="str">
        <f>IF($T$4=0,IF($L95="","",$L95),IFERROR(IF([1]财务取数接口!$E$94=0,"",[1]财务取数接口!$E$94),""))</f>
        <v>元</v>
      </c>
      <c r="F95" s="76" t="str">
        <f>IF($T$4=0,IF($M95="","",$M95),IFERROR(IF([1]财务取数接口!$G$94=0,"",[1]财务取数接口!$G$94),""))</f>
        <v/>
      </c>
      <c r="G95" s="76" t="str">
        <f>IF($T$4=0,IF($N95="","",$N95),IFERROR(IF([1]财务取数接口!$H$94=0,"",[1]财务取数接口!$H$94),""))</f>
        <v/>
      </c>
      <c r="H95" s="75" t="str">
        <f>IF($T$4=0,IF($O95="","",$O95),IFERROR(IF([1]财务取数接口!$I$94=0,"",[1]财务取数接口!$I$94),""))</f>
        <v/>
      </c>
      <c r="I95" s="43"/>
      <c r="J95" s="106"/>
      <c r="K95" s="43"/>
      <c r="L95" s="43"/>
      <c r="M95" s="107"/>
      <c r="N95" s="107"/>
      <c r="O95" s="106"/>
      <c r="P95" s="139">
        <f t="shared" si="2"/>
        <v>0</v>
      </c>
      <c r="Q95" s="139">
        <f t="shared" si="3"/>
        <v>0</v>
      </c>
    </row>
    <row r="96" spans="1:17">
      <c r="A96" s="74">
        <v>95</v>
      </c>
      <c r="B96" s="138" t="str">
        <f>IF($T$4=0,IF($I96="","",$I96),IFERROR(IF([1]财务取数接口!$B$95=0,"",[1]财务取数接口!$B$95),""))</f>
        <v/>
      </c>
      <c r="C96" s="75" t="str">
        <f>IF($T$4=0,IF($J96="","",$J96),IFERROR(IF([1]财务取数接口!$C$95=0,"",[1]财务取数接口!$C$95),""))</f>
        <v>押金退还</v>
      </c>
      <c r="D96" s="89" t="str">
        <f>IF($T$4=0,IF($K96="","",$K96),IFERROR(IF([1]财务取数接口!$D$95=0,"",[1]财务取数接口!$D$95),""))</f>
        <v/>
      </c>
      <c r="E96" s="89" t="str">
        <f>IF($T$4=0,IF($L96="","",$L96),IFERROR(IF([1]财务取数接口!$E$95=0,"",[1]财务取数接口!$E$95),""))</f>
        <v>元</v>
      </c>
      <c r="F96" s="76" t="str">
        <f>IF($T$4=0,IF($M96="","",$M96),IFERROR(IF([1]财务取数接口!$G$95=0,"",[1]财务取数接口!$G$95),""))</f>
        <v/>
      </c>
      <c r="G96" s="76" t="str">
        <f>IF($T$4=0,IF($N96="","",$N96),IFERROR(IF([1]财务取数接口!$H$95=0,"",[1]财务取数接口!$H$95),""))</f>
        <v/>
      </c>
      <c r="H96" s="75" t="str">
        <f>IF($T$4=0,IF($O96="","",$O96),IFERROR(IF([1]财务取数接口!$I$95=0,"",[1]财务取数接口!$I$95),""))</f>
        <v/>
      </c>
      <c r="I96" s="43"/>
      <c r="J96" s="106"/>
      <c r="K96" s="43"/>
      <c r="L96" s="43"/>
      <c r="M96" s="107"/>
      <c r="N96" s="107"/>
      <c r="O96" s="106"/>
      <c r="P96" s="139">
        <f t="shared" si="2"/>
        <v>0</v>
      </c>
      <c r="Q96" s="139">
        <f t="shared" si="3"/>
        <v>0</v>
      </c>
    </row>
    <row r="97" spans="1:17">
      <c r="A97" s="74">
        <v>96</v>
      </c>
      <c r="B97" s="138" t="str">
        <f>IF($T$4=0,IF($I97="","",$I97),IFERROR(IF([1]财务取数接口!$B$96=0,"",[1]财务取数接口!$B$96),""))</f>
        <v/>
      </c>
      <c r="C97" s="75" t="str">
        <f>IF($T$4=0,IF($J97="","",$J97),IFERROR(IF([1]财务取数接口!$C$96=0,"",[1]财务取数接口!$C$96),""))</f>
        <v>押金退还</v>
      </c>
      <c r="D97" s="89" t="str">
        <f>IF($T$4=0,IF($K97="","",$K97),IFERROR(IF([1]财务取数接口!$D$96=0,"",[1]财务取数接口!$D$96),""))</f>
        <v/>
      </c>
      <c r="E97" s="89" t="str">
        <f>IF($T$4=0,IF($L97="","",$L97),IFERROR(IF([1]财务取数接口!$E$96=0,"",[1]财务取数接口!$E$96),""))</f>
        <v>元</v>
      </c>
      <c r="F97" s="76" t="str">
        <f>IF($T$4=0,IF($M97="","",$M97),IFERROR(IF([1]财务取数接口!$G$96=0,"",[1]财务取数接口!$G$96),""))</f>
        <v/>
      </c>
      <c r="G97" s="76" t="str">
        <f>IF($T$4=0,IF($N97="","",$N97),IFERROR(IF([1]财务取数接口!$H$96=0,"",[1]财务取数接口!$H$96),""))</f>
        <v/>
      </c>
      <c r="H97" s="75" t="str">
        <f>IF($T$4=0,IF($O97="","",$O97),IFERROR(IF([1]财务取数接口!$I$96=0,"",[1]财务取数接口!$I$96),""))</f>
        <v/>
      </c>
      <c r="I97" s="43"/>
      <c r="J97" s="106"/>
      <c r="K97" s="43"/>
      <c r="L97" s="43"/>
      <c r="M97" s="107"/>
      <c r="N97" s="107"/>
      <c r="O97" s="106"/>
      <c r="P97" s="139">
        <f t="shared" si="2"/>
        <v>0</v>
      </c>
      <c r="Q97" s="139">
        <f t="shared" si="3"/>
        <v>0</v>
      </c>
    </row>
    <row r="98" spans="1:17">
      <c r="A98" s="74">
        <v>97</v>
      </c>
      <c r="B98" s="138" t="str">
        <f>IF($T$4=0,IF($I98="","",$I98),IFERROR(IF([1]财务取数接口!$B$97=0,"",[1]财务取数接口!$B$97),""))</f>
        <v/>
      </c>
      <c r="C98" s="75" t="str">
        <f>IF($T$4=0,IF($J98="","",$J98),IFERROR(IF([1]财务取数接口!$C$97=0,"",[1]财务取数接口!$C$97),""))</f>
        <v>押金退还</v>
      </c>
      <c r="D98" s="89" t="str">
        <f>IF($T$4=0,IF($K98="","",$K98),IFERROR(IF([1]财务取数接口!$D$97=0,"",[1]财务取数接口!$D$97),""))</f>
        <v/>
      </c>
      <c r="E98" s="89" t="str">
        <f>IF($T$4=0,IF($L98="","",$L98),IFERROR(IF([1]财务取数接口!$E$97=0,"",[1]财务取数接口!$E$97),""))</f>
        <v>元</v>
      </c>
      <c r="F98" s="76" t="str">
        <f>IF($T$4=0,IF($M98="","",$M98),IFERROR(IF([1]财务取数接口!$G$97=0,"",[1]财务取数接口!$G$97),""))</f>
        <v/>
      </c>
      <c r="G98" s="76" t="str">
        <f>IF($T$4=0,IF($N98="","",$N98),IFERROR(IF([1]财务取数接口!$H$97=0,"",[1]财务取数接口!$H$97),""))</f>
        <v/>
      </c>
      <c r="H98" s="75" t="str">
        <f>IF($T$4=0,IF($O98="","",$O98),IFERROR(IF([1]财务取数接口!$I$97=0,"",[1]财务取数接口!$I$97),""))</f>
        <v/>
      </c>
      <c r="I98" s="43"/>
      <c r="J98" s="106"/>
      <c r="K98" s="43"/>
      <c r="L98" s="43"/>
      <c r="M98" s="107"/>
      <c r="N98" s="107"/>
      <c r="O98" s="106"/>
      <c r="P98" s="139">
        <f t="shared" si="2"/>
        <v>0</v>
      </c>
      <c r="Q98" s="139">
        <f t="shared" si="3"/>
        <v>0</v>
      </c>
    </row>
    <row r="99" spans="1:17">
      <c r="A99" s="74">
        <v>98</v>
      </c>
      <c r="B99" s="138" t="str">
        <f>IF($T$4=0,IF($I99="","",$I99),IFERROR(IF([1]财务取数接口!$B$98=0,"",[1]财务取数接口!$B$98),""))</f>
        <v/>
      </c>
      <c r="C99" s="75" t="str">
        <f>IF($T$4=0,IF($J99="","",$J99),IFERROR(IF([1]财务取数接口!$C$98=0,"",[1]财务取数接口!$C$98),""))</f>
        <v>押金退还</v>
      </c>
      <c r="D99" s="89" t="str">
        <f>IF($T$4=0,IF($K99="","",$K99),IFERROR(IF([1]财务取数接口!$D$98=0,"",[1]财务取数接口!$D$98),""))</f>
        <v/>
      </c>
      <c r="E99" s="89" t="str">
        <f>IF($T$4=0,IF($L99="","",$L99),IFERROR(IF([1]财务取数接口!$E$98=0,"",[1]财务取数接口!$E$98),""))</f>
        <v>元</v>
      </c>
      <c r="F99" s="76" t="str">
        <f>IF($T$4=0,IF($M99="","",$M99),IFERROR(IF([1]财务取数接口!$G$98=0,"",[1]财务取数接口!$G$98),""))</f>
        <v/>
      </c>
      <c r="G99" s="76" t="str">
        <f>IF($T$4=0,IF($N99="","",$N99),IFERROR(IF([1]财务取数接口!$H$98=0,"",[1]财务取数接口!$H$98),""))</f>
        <v/>
      </c>
      <c r="H99" s="75" t="str">
        <f>IF($T$4=0,IF($O99="","",$O99),IFERROR(IF([1]财务取数接口!$I$98=0,"",[1]财务取数接口!$I$98),""))</f>
        <v/>
      </c>
      <c r="I99" s="43"/>
      <c r="J99" s="106"/>
      <c r="K99" s="43"/>
      <c r="L99" s="43"/>
      <c r="M99" s="107"/>
      <c r="N99" s="107"/>
      <c r="O99" s="106"/>
      <c r="P99" s="139">
        <f t="shared" si="2"/>
        <v>0</v>
      </c>
      <c r="Q99" s="139">
        <f t="shared" si="3"/>
        <v>0</v>
      </c>
    </row>
    <row r="100" spans="1:17">
      <c r="A100" s="74">
        <v>99</v>
      </c>
      <c r="B100" s="138" t="str">
        <f>IF($T$4=0,IF($I100="","",$I100),IFERROR(IF([1]财务取数接口!$B$99=0,"",[1]财务取数接口!$B$99),""))</f>
        <v/>
      </c>
      <c r="C100" s="75" t="str">
        <f>IF($T$4=0,IF($J100="","",$J100),IFERROR(IF([1]财务取数接口!$C$99=0,"",[1]财务取数接口!$C$99),""))</f>
        <v>押金退还</v>
      </c>
      <c r="D100" s="89" t="str">
        <f>IF($T$4=0,IF($K100="","",$K100),IFERROR(IF([1]财务取数接口!$D$99=0,"",[1]财务取数接口!$D$99),""))</f>
        <v/>
      </c>
      <c r="E100" s="89" t="str">
        <f>IF($T$4=0,IF($L100="","",$L100),IFERROR(IF([1]财务取数接口!$E$99=0,"",[1]财务取数接口!$E$99),""))</f>
        <v>元</v>
      </c>
      <c r="F100" s="76" t="str">
        <f>IF($T$4=0,IF($M100="","",$M100),IFERROR(IF([1]财务取数接口!$G$99=0,"",[1]财务取数接口!$G$99),""))</f>
        <v/>
      </c>
      <c r="G100" s="76" t="str">
        <f>IF($T$4=0,IF($N100="","",$N100),IFERROR(IF([1]财务取数接口!$H$99=0,"",[1]财务取数接口!$H$99),""))</f>
        <v/>
      </c>
      <c r="H100" s="75" t="str">
        <f>IF($T$4=0,IF($O100="","",$O100),IFERROR(IF([1]财务取数接口!$I$99=0,"",[1]财务取数接口!$I$99),""))</f>
        <v/>
      </c>
      <c r="I100" s="43"/>
      <c r="J100" s="106"/>
      <c r="K100" s="43"/>
      <c r="L100" s="43"/>
      <c r="M100" s="107"/>
      <c r="N100" s="107"/>
      <c r="O100" s="106"/>
      <c r="P100" s="139">
        <f t="shared" si="2"/>
        <v>0</v>
      </c>
      <c r="Q100" s="139">
        <f t="shared" si="3"/>
        <v>0</v>
      </c>
    </row>
    <row r="101" spans="1:17">
      <c r="A101" s="74">
        <v>100</v>
      </c>
      <c r="B101" s="89" t="str">
        <f>IF($T$4=0,IF($I101="","",$I101),IFERROR(IF([1]财务取数接口!$B$100=0,"",[1]财务取数接口!$B$100),""))</f>
        <v/>
      </c>
      <c r="C101" s="75" t="str">
        <f>IF($T$4=0,IF($J101="","",$J101),IFERROR(IF([1]财务取数接口!$C$100=0,"",[1]财务取数接口!$C$100),""))</f>
        <v/>
      </c>
      <c r="D101" s="89" t="str">
        <f>IF($T$4=0,IF($K101="","",$K101),IFERROR(IF([1]财务取数接口!$D$100=0,"",[1]财务取数接口!$D$100),""))</f>
        <v/>
      </c>
      <c r="E101" s="89" t="str">
        <f>IF($T$4=0,IF($L101="","",$L101),IFERROR(IF([1]财务取数接口!$E$100=0,"",[1]财务取数接口!$E$100),""))</f>
        <v/>
      </c>
      <c r="F101" s="76" t="str">
        <f>IF($T$4=0,IF($M101="","",$M101),IFERROR(IF([1]财务取数接口!$G$100=0,"",[1]财务取数接口!$G$100),""))</f>
        <v/>
      </c>
      <c r="G101" s="76" t="str">
        <f>IF($T$4=0,IF($N101="","",$N101),IFERROR(IF([1]财务取数接口!$H$100=0,"",[1]财务取数接口!$H$100),""))</f>
        <v/>
      </c>
      <c r="H101" s="75" t="str">
        <f>IF($T$4=0,IF($O101="","",$O101),IFERROR(IF([1]财务取数接口!$I$100=0,"",[1]财务取数接口!$I$100),""))</f>
        <v/>
      </c>
      <c r="I101" s="43"/>
      <c r="J101" s="106"/>
      <c r="K101" s="43"/>
      <c r="L101" s="43"/>
      <c r="M101" s="107"/>
      <c r="N101" s="107"/>
      <c r="O101" s="106"/>
      <c r="P101" s="139">
        <f t="shared" si="2"/>
        <v>0</v>
      </c>
      <c r="Q101" s="139">
        <f t="shared" si="3"/>
        <v>0</v>
      </c>
    </row>
    <row r="102" spans="1:17">
      <c r="A102" s="74">
        <v>101</v>
      </c>
      <c r="B102" s="89" t="str">
        <f>IF($T$4=0,IF($I102="","",$I102),IFERROR(IF([1]财务取数接口!$B$101=0,"",[1]财务取数接口!$B$101),""))</f>
        <v/>
      </c>
      <c r="C102" s="75" t="str">
        <f>IF($T$4=0,IF($J102="","",$J102),IFERROR(IF([1]财务取数接口!$C$101=0,"",[1]财务取数接口!$C$101),""))</f>
        <v/>
      </c>
      <c r="D102" s="89" t="str">
        <f>IF($T$4=0,IF($K102="","",$K102),IFERROR(IF([1]财务取数接口!$D$101=0,"",[1]财务取数接口!$D$101),""))</f>
        <v/>
      </c>
      <c r="E102" s="89" t="str">
        <f>IF($T$4=0,IF($L102="","",$L102),IFERROR(IF([1]财务取数接口!$E$101=0,"",[1]财务取数接口!$E$101),""))</f>
        <v/>
      </c>
      <c r="F102" s="76" t="str">
        <f>IF($T$4=0,IF($M102="","",$M102),IFERROR(IF([1]财务取数接口!$G$101=0,"",[1]财务取数接口!$G$101),""))</f>
        <v/>
      </c>
      <c r="G102" s="76" t="str">
        <f>IF($T$4=0,IF($N102="","",$N102),IFERROR(IF([1]财务取数接口!$H$101=0,"",[1]财务取数接口!$H$101),""))</f>
        <v/>
      </c>
      <c r="H102" s="75" t="str">
        <f>IF($T$4=0,IF($O102="","",$O102),IFERROR(IF([1]财务取数接口!$I$101=0,"",[1]财务取数接口!$I$101),""))</f>
        <v/>
      </c>
      <c r="I102" s="43"/>
      <c r="J102" s="106"/>
      <c r="K102" s="43"/>
      <c r="L102" s="43"/>
      <c r="M102" s="107"/>
      <c r="N102" s="107"/>
      <c r="O102" s="106"/>
      <c r="P102" s="139">
        <f t="shared" si="2"/>
        <v>0</v>
      </c>
      <c r="Q102" s="139">
        <f t="shared" si="3"/>
        <v>0</v>
      </c>
    </row>
    <row r="103" spans="1:17">
      <c r="A103" s="74">
        <v>102</v>
      </c>
      <c r="B103" s="89" t="str">
        <f>IF($T$4=0,IF($I103="","",$I103),IFERROR(IF([1]财务取数接口!$B$102=0,"",[1]财务取数接口!$B$102),""))</f>
        <v>年月</v>
      </c>
      <c r="C103" s="75" t="str">
        <f>IF($T$4=0,IF($J103="","",$J103),IFERROR(IF([1]财务取数接口!$C$102=0,"",[1]财务取数接口!$C$102),""))</f>
        <v>项目</v>
      </c>
      <c r="D103" s="89" t="str">
        <f>IF($T$4=0,IF($K103="","",$K103),IFERROR(IF([1]财务取数接口!$D$102=0,"",[1]财务取数接口!$D$102),""))</f>
        <v>计费数量</v>
      </c>
      <c r="E103" s="89" t="str">
        <f>IF($T$4=0,IF($L103="","",$L103),IFERROR(IF([1]财务取数接口!$E$102=0,"",[1]财务取数接口!$E$102),""))</f>
        <v>计量单位</v>
      </c>
      <c r="F103" s="76" t="str">
        <f>IF($T$4=0,IF($M103="","",$M103),IFERROR(IF([1]财务取数接口!$G$102=0,"",[1]财务取数接口!$G$102),""))</f>
        <v>价税合计金额</v>
      </c>
      <c r="G103" s="76" t="str">
        <f>IF($T$4=0,IF($N103="","",$N103),IFERROR(IF([1]财务取数接口!$H$102=0,"",[1]财务取数接口!$H$102),""))</f>
        <v>已收金额</v>
      </c>
      <c r="H103" s="75" t="str">
        <f>IF($T$4=0,IF($O103="","",$O103),IFERROR(IF([1]财务取数接口!$I$102=0,"",[1]财务取数接口!$I$102),""))</f>
        <v>备注</v>
      </c>
      <c r="I103" s="43"/>
      <c r="J103" s="106"/>
      <c r="K103" s="43"/>
      <c r="L103" s="43"/>
      <c r="M103" s="107"/>
      <c r="N103" s="107"/>
      <c r="O103" s="106"/>
      <c r="P103" s="139">
        <f t="shared" si="2"/>
        <v>0</v>
      </c>
      <c r="Q103" s="139">
        <f t="shared" si="3"/>
        <v>0</v>
      </c>
    </row>
    <row r="104" spans="1:17">
      <c r="A104" s="74">
        <v>103</v>
      </c>
      <c r="B104" s="138" t="str">
        <f>IF($T$4=0,IF($I104="","",$I104),IFERROR(IF([1]财务取数接口!$B$103=0,"",[1]财务取数接口!$B$103),""))</f>
        <v/>
      </c>
      <c r="C104" s="75" t="str">
        <f>IF($T$4=0,IF($J104="","",$J104),IFERROR(IF([1]财务取数接口!$C$103=0,"",[1]财务取数接口!$C$103),""))</f>
        <v>包装物料采购入库</v>
      </c>
      <c r="D104" s="89" t="str">
        <f>IF($T$4=0,IF($K104="","",$K104),IFERROR(IF([1]财务取数接口!$D$103=0,"",[1]财务取数接口!$D$103),""))</f>
        <v/>
      </c>
      <c r="E104" s="89" t="str">
        <f>IF($T$4=0,IF($L104="","",$L104),IFERROR(IF([1]财务取数接口!$E$103=0,"",[1]财务取数接口!$E$103),""))</f>
        <v>包</v>
      </c>
      <c r="F104" s="76" t="str">
        <f>IF($T$4=0,IF($M104="","",$M104),IFERROR(IF([1]财务取数接口!$G$103=0,"",[1]财务取数接口!$G$103),""))</f>
        <v/>
      </c>
      <c r="G104" s="76" t="str">
        <f>IF($T$4=0,IF($N104="","",$N104),IFERROR(IF([1]财务取数接口!$H$103=0,"",[1]财务取数接口!$H$103),""))</f>
        <v/>
      </c>
      <c r="H104" s="75" t="str">
        <f>IF($T$4=0,IF($O104="","",$O104),IFERROR(IF([1]财务取数接口!$I$103=0,"",[1]财务取数接口!$I$103),""))</f>
        <v/>
      </c>
      <c r="I104" s="43"/>
      <c r="J104" s="106"/>
      <c r="K104" s="43"/>
      <c r="L104" s="43"/>
      <c r="M104" s="107"/>
      <c r="N104" s="107"/>
      <c r="O104" s="106"/>
      <c r="P104" s="139">
        <f t="shared" si="2"/>
        <v>0</v>
      </c>
      <c r="Q104" s="139">
        <f t="shared" si="3"/>
        <v>0</v>
      </c>
    </row>
    <row r="105" spans="1:17">
      <c r="A105" s="74">
        <v>104</v>
      </c>
      <c r="B105" s="138" t="str">
        <f>IF($T$4=0,IF($I105="","",$I105),IFERROR(IF([1]财务取数接口!$B$104=0,"",[1]财务取数接口!$B$104),""))</f>
        <v/>
      </c>
      <c r="C105" s="75" t="str">
        <f>IF($T$4=0,IF($J105="","",$J105),IFERROR(IF([1]财务取数接口!$C$104=0,"",[1]财务取数接口!$C$104),""))</f>
        <v>包装物料采购入库</v>
      </c>
      <c r="D105" s="89" t="str">
        <f>IF($T$4=0,IF($K105="","",$K105),IFERROR(IF([1]财务取数接口!$D$104=0,"",[1]财务取数接口!$D$104),""))</f>
        <v/>
      </c>
      <c r="E105" s="89" t="str">
        <f>IF($T$4=0,IF($L105="","",$L105),IFERROR(IF([1]财务取数接口!$E$104=0,"",[1]财务取数接口!$E$104),""))</f>
        <v>包</v>
      </c>
      <c r="F105" s="76" t="str">
        <f>IF($T$4=0,IF($M105="","",$M105),IFERROR(IF([1]财务取数接口!$G$104=0,"",[1]财务取数接口!$G$104),""))</f>
        <v/>
      </c>
      <c r="G105" s="76" t="str">
        <f>IF($T$4=0,IF($N105="","",$N105),IFERROR(IF([1]财务取数接口!$H$104=0,"",[1]财务取数接口!$H$104),""))</f>
        <v/>
      </c>
      <c r="H105" s="75" t="str">
        <f>IF($T$4=0,IF($O105="","",$O105),IFERROR(IF([1]财务取数接口!$I$104=0,"",[1]财务取数接口!$I$104),""))</f>
        <v/>
      </c>
      <c r="I105" s="43"/>
      <c r="J105" s="106"/>
      <c r="K105" s="43"/>
      <c r="L105" s="43"/>
      <c r="M105" s="107"/>
      <c r="N105" s="107"/>
      <c r="O105" s="106"/>
      <c r="P105" s="139">
        <f t="shared" si="2"/>
        <v>0</v>
      </c>
      <c r="Q105" s="139">
        <f t="shared" si="3"/>
        <v>0</v>
      </c>
    </row>
    <row r="106" spans="1:17">
      <c r="A106" s="74">
        <v>105</v>
      </c>
      <c r="B106" s="138" t="str">
        <f>IF($T$4=0,IF($I106="","",$I106),IFERROR(IF([1]财务取数接口!$B$105=0,"",[1]财务取数接口!$B$105),""))</f>
        <v/>
      </c>
      <c r="C106" s="75" t="str">
        <f>IF($T$4=0,IF($J106="","",$J106),IFERROR(IF([1]财务取数接口!$C$105=0,"",[1]财务取数接口!$C$105),""))</f>
        <v>包装物料采购入库</v>
      </c>
      <c r="D106" s="89" t="str">
        <f>IF($T$4=0,IF($K106="","",$K106),IFERROR(IF([1]财务取数接口!$D$105=0,"",[1]财务取数接口!$D$105),""))</f>
        <v/>
      </c>
      <c r="E106" s="89" t="str">
        <f>IF($T$4=0,IF($L106="","",$L106),IFERROR(IF([1]财务取数接口!$E$105=0,"",[1]财务取数接口!$E$105),""))</f>
        <v>包</v>
      </c>
      <c r="F106" s="76" t="str">
        <f>IF($T$4=0,IF($M106="","",$M106),IFERROR(IF([1]财务取数接口!$G$105=0,"",[1]财务取数接口!$G$105),""))</f>
        <v/>
      </c>
      <c r="G106" s="76" t="str">
        <f>IF($T$4=0,IF($N106="","",$N106),IFERROR(IF([1]财务取数接口!$H$105=0,"",[1]财务取数接口!$H$105),""))</f>
        <v/>
      </c>
      <c r="H106" s="75" t="str">
        <f>IF($T$4=0,IF($O106="","",$O106),IFERROR(IF([1]财务取数接口!$I$105=0,"",[1]财务取数接口!$I$105),""))</f>
        <v/>
      </c>
      <c r="I106" s="43"/>
      <c r="J106" s="106"/>
      <c r="K106" s="43"/>
      <c r="L106" s="43"/>
      <c r="M106" s="107"/>
      <c r="N106" s="107"/>
      <c r="O106" s="106"/>
      <c r="P106" s="139">
        <f t="shared" si="2"/>
        <v>0</v>
      </c>
      <c r="Q106" s="139">
        <f t="shared" si="3"/>
        <v>0</v>
      </c>
    </row>
    <row r="107" spans="1:17">
      <c r="A107" s="74">
        <v>106</v>
      </c>
      <c r="B107" s="138" t="str">
        <f>IF($T$4=0,IF($I107="","",$I107),IFERROR(IF([1]财务取数接口!$B$106=0,"",[1]财务取数接口!$B$106),""))</f>
        <v/>
      </c>
      <c r="C107" s="75" t="str">
        <f>IF($T$4=0,IF($J107="","",$J107),IFERROR(IF([1]财务取数接口!$C$106=0,"",[1]财务取数接口!$C$106),""))</f>
        <v>包装物料采购入库</v>
      </c>
      <c r="D107" s="89" t="str">
        <f>IF($T$4=0,IF($K107="","",$K107),IFERROR(IF([1]财务取数接口!$D$106=0,"",[1]财务取数接口!$D$106),""))</f>
        <v/>
      </c>
      <c r="E107" s="89" t="str">
        <f>IF($T$4=0,IF($L107="","",$L107),IFERROR(IF([1]财务取数接口!$E$106=0,"",[1]财务取数接口!$E$106),""))</f>
        <v>包</v>
      </c>
      <c r="F107" s="76" t="str">
        <f>IF($T$4=0,IF($M107="","",$M107),IFERROR(IF([1]财务取数接口!$G$106=0,"",[1]财务取数接口!$G$106),""))</f>
        <v/>
      </c>
      <c r="G107" s="76" t="str">
        <f>IF($T$4=0,IF($N107="","",$N107),IFERROR(IF([1]财务取数接口!$H$106=0,"",[1]财务取数接口!$H$106),""))</f>
        <v/>
      </c>
      <c r="H107" s="75" t="str">
        <f>IF($T$4=0,IF($O107="","",$O107),IFERROR(IF([1]财务取数接口!$I$106=0,"",[1]财务取数接口!$I$106),""))</f>
        <v/>
      </c>
      <c r="I107" s="43"/>
      <c r="J107" s="106"/>
      <c r="K107" s="43"/>
      <c r="L107" s="43"/>
      <c r="M107" s="107"/>
      <c r="N107" s="107"/>
      <c r="O107" s="106"/>
      <c r="P107" s="139">
        <f t="shared" si="2"/>
        <v>0</v>
      </c>
      <c r="Q107" s="139">
        <f t="shared" si="3"/>
        <v>0</v>
      </c>
    </row>
    <row r="108" spans="1:17">
      <c r="A108" s="74">
        <v>107</v>
      </c>
      <c r="B108" s="138" t="str">
        <f>IF($T$4=0,IF($I108="","",$I108),IFERROR(IF([1]财务取数接口!$B$107=0,"",[1]财务取数接口!$B$107),""))</f>
        <v/>
      </c>
      <c r="C108" s="75" t="str">
        <f>IF($T$4=0,IF($J108="","",$J108),IFERROR(IF([1]财务取数接口!$C$107=0,"",[1]财务取数接口!$C$107),""))</f>
        <v>包装物料采购入库</v>
      </c>
      <c r="D108" s="89" t="str">
        <f>IF($T$4=0,IF($K108="","",$K108),IFERROR(IF([1]财务取数接口!$D$107=0,"",[1]财务取数接口!$D$107),""))</f>
        <v/>
      </c>
      <c r="E108" s="89" t="str">
        <f>IF($T$4=0,IF($L108="","",$L108),IFERROR(IF([1]财务取数接口!$E$107=0,"",[1]财务取数接口!$E$107),""))</f>
        <v>包</v>
      </c>
      <c r="F108" s="76" t="str">
        <f>IF($T$4=0,IF($M108="","",$M108),IFERROR(IF([1]财务取数接口!$G$107=0,"",[1]财务取数接口!$G$107),""))</f>
        <v/>
      </c>
      <c r="G108" s="76" t="str">
        <f>IF($T$4=0,IF($N108="","",$N108),IFERROR(IF([1]财务取数接口!$H$107=0,"",[1]财务取数接口!$H$107),""))</f>
        <v/>
      </c>
      <c r="H108" s="75" t="str">
        <f>IF($T$4=0,IF($O108="","",$O108),IFERROR(IF([1]财务取数接口!$I$107=0,"",[1]财务取数接口!$I$107),""))</f>
        <v/>
      </c>
      <c r="I108" s="43"/>
      <c r="J108" s="106"/>
      <c r="K108" s="43"/>
      <c r="L108" s="43"/>
      <c r="M108" s="107"/>
      <c r="N108" s="107"/>
      <c r="O108" s="106"/>
      <c r="P108" s="139">
        <f t="shared" si="2"/>
        <v>0</v>
      </c>
      <c r="Q108" s="139">
        <f t="shared" si="3"/>
        <v>0</v>
      </c>
    </row>
    <row r="109" spans="1:17">
      <c r="A109" s="74">
        <v>108</v>
      </c>
      <c r="B109" s="138" t="str">
        <f>IF($T$4=0,IF($I109="","",$I109),IFERROR(IF([1]财务取数接口!$B$108=0,"",[1]财务取数接口!$B$108),""))</f>
        <v/>
      </c>
      <c r="C109" s="75" t="str">
        <f>IF($T$4=0,IF($J109="","",$J109),IFERROR(IF([1]财务取数接口!$C$108=0,"",[1]财务取数接口!$C$108),""))</f>
        <v>包装物料采购入库</v>
      </c>
      <c r="D109" s="89" t="str">
        <f>IF($T$4=0,IF($K109="","",$K109),IFERROR(IF([1]财务取数接口!$D$108=0,"",[1]财务取数接口!$D$108),""))</f>
        <v/>
      </c>
      <c r="E109" s="89" t="str">
        <f>IF($T$4=0,IF($L109="","",$L109),IFERROR(IF([1]财务取数接口!$E$108=0,"",[1]财务取数接口!$E$108),""))</f>
        <v>包</v>
      </c>
      <c r="F109" s="76" t="str">
        <f>IF($T$4=0,IF($M109="","",$M109),IFERROR(IF([1]财务取数接口!$G$108=0,"",[1]财务取数接口!$G$108),""))</f>
        <v/>
      </c>
      <c r="G109" s="76" t="str">
        <f>IF($T$4=0,IF($N109="","",$N109),IFERROR(IF([1]财务取数接口!$H$108=0,"",[1]财务取数接口!$H$108),""))</f>
        <v/>
      </c>
      <c r="H109" s="75" t="str">
        <f>IF($T$4=0,IF($O109="","",$O109),IFERROR(IF([1]财务取数接口!$I$108=0,"",[1]财务取数接口!$I$108),""))</f>
        <v/>
      </c>
      <c r="I109" s="43"/>
      <c r="J109" s="106"/>
      <c r="K109" s="43"/>
      <c r="L109" s="43"/>
      <c r="M109" s="107"/>
      <c r="N109" s="107"/>
      <c r="O109" s="106"/>
      <c r="P109" s="139">
        <f t="shared" si="2"/>
        <v>0</v>
      </c>
      <c r="Q109" s="139">
        <f t="shared" si="3"/>
        <v>0</v>
      </c>
    </row>
    <row r="110" spans="1:17">
      <c r="A110" s="74">
        <v>109</v>
      </c>
      <c r="B110" s="138" t="str">
        <f>IF($T$4=0,IF($I110="","",$I110),IFERROR(IF([1]财务取数接口!$B$109=0,"",[1]财务取数接口!$B$109),""))</f>
        <v/>
      </c>
      <c r="C110" s="75" t="str">
        <f>IF($T$4=0,IF($J110="","",$J110),IFERROR(IF([1]财务取数接口!$C$109=0,"",[1]财务取数接口!$C$109),""))</f>
        <v>包装物料采购入库</v>
      </c>
      <c r="D110" s="89" t="str">
        <f>IF($T$4=0,IF($K110="","",$K110),IFERROR(IF([1]财务取数接口!$D$109=0,"",[1]财务取数接口!$D$109),""))</f>
        <v/>
      </c>
      <c r="E110" s="89" t="str">
        <f>IF($T$4=0,IF($L110="","",$L110),IFERROR(IF([1]财务取数接口!$E$109=0,"",[1]财务取数接口!$E$109),""))</f>
        <v>包</v>
      </c>
      <c r="F110" s="76" t="str">
        <f>IF($T$4=0,IF($M110="","",$M110),IFERROR(IF([1]财务取数接口!$G$109=0,"",[1]财务取数接口!$G$109),""))</f>
        <v/>
      </c>
      <c r="G110" s="76" t="str">
        <f>IF($T$4=0,IF($N110="","",$N110),IFERROR(IF([1]财务取数接口!$H$109=0,"",[1]财务取数接口!$H$109),""))</f>
        <v/>
      </c>
      <c r="H110" s="75" t="str">
        <f>IF($T$4=0,IF($O110="","",$O110),IFERROR(IF([1]财务取数接口!$I$109=0,"",[1]财务取数接口!$I$109),""))</f>
        <v/>
      </c>
      <c r="I110" s="43"/>
      <c r="J110" s="106"/>
      <c r="K110" s="43"/>
      <c r="L110" s="43"/>
      <c r="M110" s="107"/>
      <c r="N110" s="107"/>
      <c r="O110" s="106"/>
      <c r="P110" s="139">
        <f t="shared" si="2"/>
        <v>0</v>
      </c>
      <c r="Q110" s="139">
        <f t="shared" si="3"/>
        <v>0</v>
      </c>
    </row>
    <row r="111" spans="1:17">
      <c r="A111" s="74">
        <v>110</v>
      </c>
      <c r="B111" s="138" t="str">
        <f>IF($T$4=0,IF($I111="","",$I111),IFERROR(IF([1]财务取数接口!$B$110=0,"",[1]财务取数接口!$B$110),""))</f>
        <v/>
      </c>
      <c r="C111" s="75" t="str">
        <f>IF($T$4=0,IF($J111="","",$J111),IFERROR(IF([1]财务取数接口!$C$110=0,"",[1]财务取数接口!$C$110),""))</f>
        <v>包装物料采购入库</v>
      </c>
      <c r="D111" s="89" t="str">
        <f>IF($T$4=0,IF($K111="","",$K111),IFERROR(IF([1]财务取数接口!$D$110=0,"",[1]财务取数接口!$D$110),""))</f>
        <v/>
      </c>
      <c r="E111" s="89" t="str">
        <f>IF($T$4=0,IF($L111="","",$L111),IFERROR(IF([1]财务取数接口!$E$110=0,"",[1]财务取数接口!$E$110),""))</f>
        <v>包</v>
      </c>
      <c r="F111" s="76" t="str">
        <f>IF($T$4=0,IF($M111="","",$M111),IFERROR(IF([1]财务取数接口!$G$110=0,"",[1]财务取数接口!$G$110),""))</f>
        <v/>
      </c>
      <c r="G111" s="76" t="str">
        <f>IF($T$4=0,IF($N111="","",$N111),IFERROR(IF([1]财务取数接口!$H$110=0,"",[1]财务取数接口!$H$110),""))</f>
        <v/>
      </c>
      <c r="H111" s="75" t="str">
        <f>IF($T$4=0,IF($O111="","",$O111),IFERROR(IF([1]财务取数接口!$I$110=0,"",[1]财务取数接口!$I$110),""))</f>
        <v/>
      </c>
      <c r="I111" s="43"/>
      <c r="J111" s="106"/>
      <c r="K111" s="43"/>
      <c r="L111" s="43"/>
      <c r="M111" s="107"/>
      <c r="N111" s="107"/>
      <c r="O111" s="106"/>
      <c r="P111" s="139">
        <f t="shared" si="2"/>
        <v>0</v>
      </c>
      <c r="Q111" s="139">
        <f t="shared" si="3"/>
        <v>0</v>
      </c>
    </row>
    <row r="112" spans="1:17">
      <c r="A112" s="74">
        <v>111</v>
      </c>
      <c r="B112" s="138" t="str">
        <f>IF($T$4=0,IF($I112="","",$I112),IFERROR(IF([1]财务取数接口!$B$111=0,"",[1]财务取数接口!$B$111),""))</f>
        <v/>
      </c>
      <c r="C112" s="75" t="str">
        <f>IF($T$4=0,IF($J112="","",$J112),IFERROR(IF([1]财务取数接口!$C$111=0,"",[1]财务取数接口!$C$111),""))</f>
        <v>包装物料采购入库</v>
      </c>
      <c r="D112" s="89" t="str">
        <f>IF($T$4=0,IF($K112="","",$K112),IFERROR(IF([1]财务取数接口!$D$111=0,"",[1]财务取数接口!$D$111),""))</f>
        <v/>
      </c>
      <c r="E112" s="89" t="str">
        <f>IF($T$4=0,IF($L112="","",$L112),IFERROR(IF([1]财务取数接口!$E$111=0,"",[1]财务取数接口!$E$111),""))</f>
        <v>包</v>
      </c>
      <c r="F112" s="76" t="str">
        <f>IF($T$4=0,IF($M112="","",$M112),IFERROR(IF([1]财务取数接口!$G$111=0,"",[1]财务取数接口!$G$111),""))</f>
        <v/>
      </c>
      <c r="G112" s="76" t="str">
        <f>IF($T$4=0,IF($N112="","",$N112),IFERROR(IF([1]财务取数接口!$H$111=0,"",[1]财务取数接口!$H$111),""))</f>
        <v/>
      </c>
      <c r="H112" s="75" t="str">
        <f>IF($T$4=0,IF($O112="","",$O112),IFERROR(IF([1]财务取数接口!$I$111=0,"",[1]财务取数接口!$I$111),""))</f>
        <v/>
      </c>
      <c r="I112" s="43"/>
      <c r="J112" s="106"/>
      <c r="K112" s="43"/>
      <c r="L112" s="43"/>
      <c r="M112" s="107"/>
      <c r="N112" s="107"/>
      <c r="O112" s="106"/>
      <c r="P112" s="139">
        <f t="shared" si="2"/>
        <v>0</v>
      </c>
      <c r="Q112" s="139">
        <f t="shared" si="3"/>
        <v>0</v>
      </c>
    </row>
    <row r="113" spans="1:17">
      <c r="A113" s="74">
        <v>112</v>
      </c>
      <c r="B113" s="138" t="str">
        <f>IF($T$4=0,IF($I113="","",$I113),IFERROR(IF([1]财务取数接口!$B$112=0,"",[1]财务取数接口!$B$112),""))</f>
        <v/>
      </c>
      <c r="C113" s="75" t="str">
        <f>IF($T$4=0,IF($J113="","",$J113),IFERROR(IF([1]财务取数接口!$C$112=0,"",[1]财务取数接口!$C$112),""))</f>
        <v>包装物料采购入库</v>
      </c>
      <c r="D113" s="89" t="str">
        <f>IF($T$4=0,IF($K113="","",$K113),IFERROR(IF([1]财务取数接口!$D$112=0,"",[1]财务取数接口!$D$112),""))</f>
        <v/>
      </c>
      <c r="E113" s="89" t="str">
        <f>IF($T$4=0,IF($L113="","",$L113),IFERROR(IF([1]财务取数接口!$E$112=0,"",[1]财务取数接口!$E$112),""))</f>
        <v>包</v>
      </c>
      <c r="F113" s="76" t="str">
        <f>IF($T$4=0,IF($M113="","",$M113),IFERROR(IF([1]财务取数接口!$G$112=0,"",[1]财务取数接口!$G$112),""))</f>
        <v/>
      </c>
      <c r="G113" s="76" t="str">
        <f>IF($T$4=0,IF($N113="","",$N113),IFERROR(IF([1]财务取数接口!$H$112=0,"",[1]财务取数接口!$H$112),""))</f>
        <v/>
      </c>
      <c r="H113" s="75" t="str">
        <f>IF($T$4=0,IF($O113="","",$O113),IFERROR(IF([1]财务取数接口!$I$112=0,"",[1]财务取数接口!$I$112),""))</f>
        <v/>
      </c>
      <c r="I113" s="43"/>
      <c r="J113" s="106"/>
      <c r="K113" s="43"/>
      <c r="L113" s="43"/>
      <c r="M113" s="107"/>
      <c r="N113" s="107"/>
      <c r="O113" s="106"/>
      <c r="P113" s="139">
        <f t="shared" si="2"/>
        <v>0</v>
      </c>
      <c r="Q113" s="139">
        <f t="shared" si="3"/>
        <v>0</v>
      </c>
    </row>
    <row r="114" spans="1:17">
      <c r="A114" s="74">
        <v>113</v>
      </c>
      <c r="B114" s="138" t="str">
        <f>IF($T$4=0,IF($I114="","",$I114),IFERROR(IF([1]财务取数接口!$B$113=0,"",[1]财务取数接口!$B$113),""))</f>
        <v/>
      </c>
      <c r="C114" s="75" t="str">
        <f>IF($T$4=0,IF($J114="","",$J114),IFERROR(IF([1]财务取数接口!$C$113=0,"",[1]财务取数接口!$C$113),""))</f>
        <v>包装物料采购入库</v>
      </c>
      <c r="D114" s="89" t="str">
        <f>IF($T$4=0,IF($K114="","",$K114),IFERROR(IF([1]财务取数接口!$D$113=0,"",[1]财务取数接口!$D$113),""))</f>
        <v/>
      </c>
      <c r="E114" s="89" t="str">
        <f>IF($T$4=0,IF($L114="","",$L114),IFERROR(IF([1]财务取数接口!$E$113=0,"",[1]财务取数接口!$E$113),""))</f>
        <v>包</v>
      </c>
      <c r="F114" s="76" t="str">
        <f>IF($T$4=0,IF($M114="","",$M114),IFERROR(IF([1]财务取数接口!$G$113=0,"",[1]财务取数接口!$G$113),""))</f>
        <v/>
      </c>
      <c r="G114" s="76" t="str">
        <f>IF($T$4=0,IF($N114="","",$N114),IFERROR(IF([1]财务取数接口!$H$113=0,"",[1]财务取数接口!$H$113),""))</f>
        <v/>
      </c>
      <c r="H114" s="75" t="str">
        <f>IF($T$4=0,IF($O114="","",$O114),IFERROR(IF([1]财务取数接口!$I$113=0,"",[1]财务取数接口!$I$113),""))</f>
        <v/>
      </c>
      <c r="I114" s="43"/>
      <c r="J114" s="106"/>
      <c r="K114" s="43"/>
      <c r="L114" s="43"/>
      <c r="M114" s="107"/>
      <c r="N114" s="107"/>
      <c r="O114" s="106"/>
      <c r="P114" s="139">
        <f t="shared" si="2"/>
        <v>0</v>
      </c>
      <c r="Q114" s="139">
        <f t="shared" si="3"/>
        <v>0</v>
      </c>
    </row>
    <row r="115" spans="1:17">
      <c r="A115" s="74">
        <v>114</v>
      </c>
      <c r="B115" s="138" t="str">
        <f>IF($T$4=0,IF($I115="","",$I115),IFERROR(IF([1]财务取数接口!$B$114=0,"",[1]财务取数接口!$B$114),""))</f>
        <v/>
      </c>
      <c r="C115" s="75" t="str">
        <f>IF($T$4=0,IF($J115="","",$J115),IFERROR(IF([1]财务取数接口!$C$114=0,"",[1]财务取数接口!$C$114),""))</f>
        <v>包装物料采购入库</v>
      </c>
      <c r="D115" s="89" t="str">
        <f>IF($T$4=0,IF($K115="","",$K115),IFERROR(IF([1]财务取数接口!$D$114=0,"",[1]财务取数接口!$D$114),""))</f>
        <v/>
      </c>
      <c r="E115" s="89" t="str">
        <f>IF($T$4=0,IF($L115="","",$L115),IFERROR(IF([1]财务取数接口!$E$114=0,"",[1]财务取数接口!$E$114),""))</f>
        <v>包</v>
      </c>
      <c r="F115" s="76" t="str">
        <f>IF($T$4=0,IF($M115="","",$M115),IFERROR(IF([1]财务取数接口!$G$114=0,"",[1]财务取数接口!$G$114),""))</f>
        <v/>
      </c>
      <c r="G115" s="76" t="str">
        <f>IF($T$4=0,IF($N115="","",$N115),IFERROR(IF([1]财务取数接口!$H$114=0,"",[1]财务取数接口!$H$114),""))</f>
        <v/>
      </c>
      <c r="H115" s="75" t="str">
        <f>IF($T$4=0,IF($O115="","",$O115),IFERROR(IF([1]财务取数接口!$I$114=0,"",[1]财务取数接口!$I$114),""))</f>
        <v/>
      </c>
      <c r="I115" s="43"/>
      <c r="J115" s="106"/>
      <c r="K115" s="43"/>
      <c r="L115" s="43"/>
      <c r="M115" s="107"/>
      <c r="N115" s="107"/>
      <c r="O115" s="106"/>
      <c r="P115" s="139">
        <f t="shared" si="2"/>
        <v>0</v>
      </c>
      <c r="Q115" s="139">
        <f t="shared" si="3"/>
        <v>0</v>
      </c>
    </row>
    <row r="116" spans="1:17">
      <c r="A116" s="74">
        <v>115</v>
      </c>
      <c r="B116" s="138" t="str">
        <f>IF($T$4=0,IF($I116="","",$I116),IFERROR(IF([1]财务取数接口!$B$115=0,"",[1]财务取数接口!$B$115),""))</f>
        <v/>
      </c>
      <c r="C116" s="75" t="str">
        <f>IF($T$4=0,IF($J116="","",$J116),IFERROR(IF([1]财务取数接口!$C$115=0,"",[1]财务取数接口!$C$115),""))</f>
        <v>包装物料采购入库</v>
      </c>
      <c r="D116" s="89" t="str">
        <f>IF($T$4=0,IF($K116="","",$K116),IFERROR(IF([1]财务取数接口!$D$115=0,"",[1]财务取数接口!$D$115),""))</f>
        <v/>
      </c>
      <c r="E116" s="89" t="str">
        <f>IF($T$4=0,IF($L116="","",$L116),IFERROR(IF([1]财务取数接口!$E$115=0,"",[1]财务取数接口!$E$115),""))</f>
        <v>包</v>
      </c>
      <c r="F116" s="76" t="str">
        <f>IF($T$4=0,IF($M116="","",$M116),IFERROR(IF([1]财务取数接口!$G$115=0,"",[1]财务取数接口!$G$115),""))</f>
        <v/>
      </c>
      <c r="G116" s="76" t="str">
        <f>IF($T$4=0,IF($N116="","",$N116),IFERROR(IF([1]财务取数接口!$H$115=0,"",[1]财务取数接口!$H$115),""))</f>
        <v/>
      </c>
      <c r="H116" s="75" t="str">
        <f>IF($T$4=0,IF($O116="","",$O116),IFERROR(IF([1]财务取数接口!$I$115=0,"",[1]财务取数接口!$I$115),""))</f>
        <v/>
      </c>
      <c r="I116" s="43"/>
      <c r="J116" s="106"/>
      <c r="K116" s="43"/>
      <c r="L116" s="43"/>
      <c r="M116" s="107"/>
      <c r="N116" s="107"/>
      <c r="O116" s="106"/>
      <c r="P116" s="139">
        <f t="shared" si="2"/>
        <v>0</v>
      </c>
      <c r="Q116" s="139">
        <f t="shared" si="3"/>
        <v>0</v>
      </c>
    </row>
    <row r="117" spans="1:17">
      <c r="A117" s="74">
        <v>116</v>
      </c>
      <c r="B117" s="138" t="str">
        <f>IF($T$4=0,IF($I117="","",$I117),IFERROR(IF([1]财务取数接口!$B$116=0,"",[1]财务取数接口!$B$116),""))</f>
        <v/>
      </c>
      <c r="C117" s="75" t="str">
        <f>IF($T$4=0,IF($J117="","",$J117),IFERROR(IF([1]财务取数接口!$C$116=0,"",[1]财务取数接口!$C$116),""))</f>
        <v>包装物料采购入库</v>
      </c>
      <c r="D117" s="89" t="str">
        <f>IF($T$4=0,IF($K117="","",$K117),IFERROR(IF([1]财务取数接口!$D$116=0,"",[1]财务取数接口!$D$116),""))</f>
        <v/>
      </c>
      <c r="E117" s="89" t="str">
        <f>IF($T$4=0,IF($L117="","",$L117),IFERROR(IF([1]财务取数接口!$E$116=0,"",[1]财务取数接口!$E$116),""))</f>
        <v>包</v>
      </c>
      <c r="F117" s="76" t="str">
        <f>IF($T$4=0,IF($M117="","",$M117),IFERROR(IF([1]财务取数接口!$G$116=0,"",[1]财务取数接口!$G$116),""))</f>
        <v/>
      </c>
      <c r="G117" s="76" t="str">
        <f>IF($T$4=0,IF($N117="","",$N117),IFERROR(IF([1]财务取数接口!$H$116=0,"",[1]财务取数接口!$H$116),""))</f>
        <v/>
      </c>
      <c r="H117" s="75" t="str">
        <f>IF($T$4=0,IF($O117="","",$O117),IFERROR(IF([1]财务取数接口!$I$116=0,"",[1]财务取数接口!$I$116),""))</f>
        <v/>
      </c>
      <c r="I117" s="43"/>
      <c r="J117" s="106"/>
      <c r="K117" s="43"/>
      <c r="L117" s="43"/>
      <c r="M117" s="107"/>
      <c r="N117" s="107"/>
      <c r="O117" s="106"/>
      <c r="P117" s="139">
        <f t="shared" si="2"/>
        <v>0</v>
      </c>
      <c r="Q117" s="139">
        <f t="shared" si="3"/>
        <v>0</v>
      </c>
    </row>
    <row r="118" spans="1:17">
      <c r="A118" s="74">
        <v>117</v>
      </c>
      <c r="B118" s="138" t="str">
        <f>IF($T$4=0,IF($I118="","",$I118),IFERROR(IF([1]财务取数接口!$B$117=0,"",[1]财务取数接口!$B$117),""))</f>
        <v/>
      </c>
      <c r="C118" s="75" t="str">
        <f>IF($T$4=0,IF($J118="","",$J118),IFERROR(IF([1]财务取数接口!$C$117=0,"",[1]财务取数接口!$C$117),""))</f>
        <v>包装物料采购入库</v>
      </c>
      <c r="D118" s="89" t="str">
        <f>IF($T$4=0,IF($K118="","",$K118),IFERROR(IF([1]财务取数接口!$D$117=0,"",[1]财务取数接口!$D$117),""))</f>
        <v/>
      </c>
      <c r="E118" s="89" t="str">
        <f>IF($T$4=0,IF($L118="","",$L118),IFERROR(IF([1]财务取数接口!$E$117=0,"",[1]财务取数接口!$E$117),""))</f>
        <v>包</v>
      </c>
      <c r="F118" s="76" t="str">
        <f>IF($T$4=0,IF($M118="","",$M118),IFERROR(IF([1]财务取数接口!$G$117=0,"",[1]财务取数接口!$G$117),""))</f>
        <v/>
      </c>
      <c r="G118" s="76" t="str">
        <f>IF($T$4=0,IF($N118="","",$N118),IFERROR(IF([1]财务取数接口!$H$117=0,"",[1]财务取数接口!$H$117),""))</f>
        <v/>
      </c>
      <c r="H118" s="75" t="str">
        <f>IF($T$4=0,IF($O118="","",$O118),IFERROR(IF([1]财务取数接口!$I$117=0,"",[1]财务取数接口!$I$117),""))</f>
        <v/>
      </c>
      <c r="I118" s="43"/>
      <c r="J118" s="106"/>
      <c r="K118" s="43"/>
      <c r="L118" s="43"/>
      <c r="M118" s="107"/>
      <c r="N118" s="107"/>
      <c r="O118" s="106"/>
      <c r="P118" s="139">
        <f t="shared" si="2"/>
        <v>0</v>
      </c>
      <c r="Q118" s="139">
        <f t="shared" si="3"/>
        <v>0</v>
      </c>
    </row>
    <row r="119" spans="1:17">
      <c r="A119" s="74">
        <v>118</v>
      </c>
      <c r="B119" s="138" t="str">
        <f>IF($T$4=0,IF($I119="","",$I119),IFERROR(IF([1]财务取数接口!$B$118=0,"",[1]财务取数接口!$B$118),""))</f>
        <v/>
      </c>
      <c r="C119" s="75" t="str">
        <f>IF($T$4=0,IF($J119="","",$J119),IFERROR(IF([1]财务取数接口!$C$118=0,"",[1]财务取数接口!$C$118),""))</f>
        <v>包装物料采购入库</v>
      </c>
      <c r="D119" s="89" t="str">
        <f>IF($T$4=0,IF($K119="","",$K119),IFERROR(IF([1]财务取数接口!$D$118=0,"",[1]财务取数接口!$D$118),""))</f>
        <v/>
      </c>
      <c r="E119" s="89" t="str">
        <f>IF($T$4=0,IF($L119="","",$L119),IFERROR(IF([1]财务取数接口!$E$118=0,"",[1]财务取数接口!$E$118),""))</f>
        <v>包</v>
      </c>
      <c r="F119" s="76" t="str">
        <f>IF($T$4=0,IF($M119="","",$M119),IFERROR(IF([1]财务取数接口!$G$118=0,"",[1]财务取数接口!$G$118),""))</f>
        <v/>
      </c>
      <c r="G119" s="76" t="str">
        <f>IF($T$4=0,IF($N119="","",$N119),IFERROR(IF([1]财务取数接口!$H$118=0,"",[1]财务取数接口!$H$118),""))</f>
        <v/>
      </c>
      <c r="H119" s="75" t="str">
        <f>IF($T$4=0,IF($O119="","",$O119),IFERROR(IF([1]财务取数接口!$I$118=0,"",[1]财务取数接口!$I$118),""))</f>
        <v/>
      </c>
      <c r="I119" s="43"/>
      <c r="J119" s="106"/>
      <c r="K119" s="43"/>
      <c r="L119" s="43"/>
      <c r="M119" s="107"/>
      <c r="N119" s="107"/>
      <c r="O119" s="106"/>
      <c r="P119" s="139">
        <f t="shared" si="2"/>
        <v>0</v>
      </c>
      <c r="Q119" s="139">
        <f t="shared" si="3"/>
        <v>0</v>
      </c>
    </row>
    <row r="120" spans="1:17">
      <c r="A120" s="74">
        <v>119</v>
      </c>
      <c r="B120" s="138" t="str">
        <f>IF($T$4=0,IF($I120="","",$I120),IFERROR(IF([1]财务取数接口!$B$119=0,"",[1]财务取数接口!$B$119),""))</f>
        <v/>
      </c>
      <c r="C120" s="75" t="str">
        <f>IF($T$4=0,IF($J120="","",$J120),IFERROR(IF([1]财务取数接口!$C$119=0,"",[1]财务取数接口!$C$119),""))</f>
        <v>包装物料采购入库</v>
      </c>
      <c r="D120" s="89" t="str">
        <f>IF($T$4=0,IF($K120="","",$K120),IFERROR(IF([1]财务取数接口!$D$119=0,"",[1]财务取数接口!$D$119),""))</f>
        <v/>
      </c>
      <c r="E120" s="89" t="str">
        <f>IF($T$4=0,IF($L120="","",$L120),IFERROR(IF([1]财务取数接口!$E$119=0,"",[1]财务取数接口!$E$119),""))</f>
        <v>包</v>
      </c>
      <c r="F120" s="76" t="str">
        <f>IF($T$4=0,IF($M120="","",$M120),IFERROR(IF([1]财务取数接口!$G$119=0,"",[1]财务取数接口!$G$119),""))</f>
        <v/>
      </c>
      <c r="G120" s="76" t="str">
        <f>IF($T$4=0,IF($N120="","",$N120),IFERROR(IF([1]财务取数接口!$H$119=0,"",[1]财务取数接口!$H$119),""))</f>
        <v/>
      </c>
      <c r="H120" s="75" t="str">
        <f>IF($T$4=0,IF($O120="","",$O120),IFERROR(IF([1]财务取数接口!$I$119=0,"",[1]财务取数接口!$I$119),""))</f>
        <v/>
      </c>
      <c r="I120" s="43"/>
      <c r="J120" s="106"/>
      <c r="K120" s="43"/>
      <c r="L120" s="43"/>
      <c r="M120" s="107"/>
      <c r="N120" s="107"/>
      <c r="O120" s="106"/>
      <c r="P120" s="139">
        <f t="shared" si="2"/>
        <v>0</v>
      </c>
      <c r="Q120" s="139">
        <f t="shared" si="3"/>
        <v>0</v>
      </c>
    </row>
    <row r="121" spans="1:17">
      <c r="A121" s="74">
        <v>120</v>
      </c>
      <c r="B121" s="138" t="str">
        <f>IF($T$4=0,IF($I121="","",$I121),IFERROR(IF([1]财务取数接口!$B$120=0,"",[1]财务取数接口!$B$120),""))</f>
        <v/>
      </c>
      <c r="C121" s="75" t="str">
        <f>IF($T$4=0,IF($J121="","",$J121),IFERROR(IF([1]财务取数接口!$C$120=0,"",[1]财务取数接口!$C$120),""))</f>
        <v>包装物料采购入库</v>
      </c>
      <c r="D121" s="89" t="str">
        <f>IF($T$4=0,IF($K121="","",$K121),IFERROR(IF([1]财务取数接口!$D$120=0,"",[1]财务取数接口!$D$120),""))</f>
        <v/>
      </c>
      <c r="E121" s="89" t="str">
        <f>IF($T$4=0,IF($L121="","",$L121),IFERROR(IF([1]财务取数接口!$E$120=0,"",[1]财务取数接口!$E$120),""))</f>
        <v>包</v>
      </c>
      <c r="F121" s="76" t="str">
        <f>IF($T$4=0,IF($M121="","",$M121),IFERROR(IF([1]财务取数接口!$G$120=0,"",[1]财务取数接口!$G$120),""))</f>
        <v/>
      </c>
      <c r="G121" s="76" t="str">
        <f>IF($T$4=0,IF($N121="","",$N121),IFERROR(IF([1]财务取数接口!$H$120=0,"",[1]财务取数接口!$H$120),""))</f>
        <v/>
      </c>
      <c r="H121" s="75" t="str">
        <f>IF($T$4=0,IF($O121="","",$O121),IFERROR(IF([1]财务取数接口!$I$120=0,"",[1]财务取数接口!$I$120),""))</f>
        <v/>
      </c>
      <c r="I121" s="43"/>
      <c r="J121" s="106"/>
      <c r="K121" s="43"/>
      <c r="L121" s="43"/>
      <c r="M121" s="107"/>
      <c r="N121" s="107"/>
      <c r="O121" s="106"/>
      <c r="P121" s="139">
        <f t="shared" si="2"/>
        <v>0</v>
      </c>
      <c r="Q121" s="139">
        <f t="shared" si="3"/>
        <v>0</v>
      </c>
    </row>
    <row r="122" spans="1:17">
      <c r="A122" s="74">
        <v>121</v>
      </c>
      <c r="B122" s="138" t="str">
        <f>IF($T$4=0,IF($I122="","",$I122),IFERROR(IF([1]财务取数接口!$B$121=0,"",[1]财务取数接口!$B$121),""))</f>
        <v/>
      </c>
      <c r="C122" s="75" t="str">
        <f>IF($T$4=0,IF($J122="","",$J122),IFERROR(IF([1]财务取数接口!$C$121=0,"",[1]财务取数接口!$C$121),""))</f>
        <v>包装物料采购入库</v>
      </c>
      <c r="D122" s="89" t="str">
        <f>IF($T$4=0,IF($K122="","",$K122),IFERROR(IF([1]财务取数接口!$D$121=0,"",[1]财务取数接口!$D$121),""))</f>
        <v/>
      </c>
      <c r="E122" s="89" t="str">
        <f>IF($T$4=0,IF($L122="","",$L122),IFERROR(IF([1]财务取数接口!$E$121=0,"",[1]财务取数接口!$E$121),""))</f>
        <v>包</v>
      </c>
      <c r="F122" s="76" t="str">
        <f>IF($T$4=0,IF($M122="","",$M122),IFERROR(IF([1]财务取数接口!$G$121=0,"",[1]财务取数接口!$G$121),""))</f>
        <v/>
      </c>
      <c r="G122" s="76" t="str">
        <f>IF($T$4=0,IF($N122="","",$N122),IFERROR(IF([1]财务取数接口!$H$121=0,"",[1]财务取数接口!$H$121),""))</f>
        <v/>
      </c>
      <c r="H122" s="75" t="str">
        <f>IF($T$4=0,IF($O122="","",$O122),IFERROR(IF([1]财务取数接口!$I$121=0,"",[1]财务取数接口!$I$121),""))</f>
        <v/>
      </c>
      <c r="I122" s="43"/>
      <c r="J122" s="106"/>
      <c r="K122" s="43"/>
      <c r="L122" s="43"/>
      <c r="M122" s="107"/>
      <c r="N122" s="107"/>
      <c r="O122" s="106"/>
      <c r="P122" s="139">
        <f t="shared" si="2"/>
        <v>0</v>
      </c>
      <c r="Q122" s="139">
        <f t="shared" si="3"/>
        <v>0</v>
      </c>
    </row>
    <row r="123" spans="1:17">
      <c r="A123" s="74">
        <v>122</v>
      </c>
      <c r="B123" s="138" t="str">
        <f>IF($T$4=0,IF($I123="","",$I123),IFERROR(IF([1]财务取数接口!$B$122=0,"",[1]财务取数接口!$B$122),""))</f>
        <v/>
      </c>
      <c r="C123" s="75" t="str">
        <f>IF($T$4=0,IF($J123="","",$J123),IFERROR(IF([1]财务取数接口!$C$122=0,"",[1]财务取数接口!$C$122),""))</f>
        <v>包装物料采购入库</v>
      </c>
      <c r="D123" s="89" t="str">
        <f>IF($T$4=0,IF($K123="","",$K123),IFERROR(IF([1]财务取数接口!$D$122=0,"",[1]财务取数接口!$D$122),""))</f>
        <v/>
      </c>
      <c r="E123" s="89" t="str">
        <f>IF($T$4=0,IF($L123="","",$L123),IFERROR(IF([1]财务取数接口!$E$122=0,"",[1]财务取数接口!$E$122),""))</f>
        <v>包</v>
      </c>
      <c r="F123" s="76" t="str">
        <f>IF($T$4=0,IF($M123="","",$M123),IFERROR(IF([1]财务取数接口!$G$122=0,"",[1]财务取数接口!$G$122),""))</f>
        <v/>
      </c>
      <c r="G123" s="76" t="str">
        <f>IF($T$4=0,IF($N123="","",$N123),IFERROR(IF([1]财务取数接口!$H$122=0,"",[1]财务取数接口!$H$122),""))</f>
        <v/>
      </c>
      <c r="H123" s="75" t="str">
        <f>IF($T$4=0,IF($O123="","",$O123),IFERROR(IF([1]财务取数接口!$I$122=0,"",[1]财务取数接口!$I$122),""))</f>
        <v/>
      </c>
      <c r="I123" s="43"/>
      <c r="J123" s="106"/>
      <c r="K123" s="43"/>
      <c r="L123" s="43"/>
      <c r="M123" s="107"/>
      <c r="N123" s="107"/>
      <c r="O123" s="106"/>
      <c r="P123" s="139">
        <f t="shared" si="2"/>
        <v>0</v>
      </c>
      <c r="Q123" s="139">
        <f t="shared" si="3"/>
        <v>0</v>
      </c>
    </row>
    <row r="124" spans="1:17">
      <c r="A124" s="74">
        <v>123</v>
      </c>
      <c r="B124" s="138" t="str">
        <f>IF($T$4=0,IF($I124="","",$I124),IFERROR(IF([1]财务取数接口!$B$123=0,"",[1]财务取数接口!$B$123),""))</f>
        <v/>
      </c>
      <c r="C124" s="75" t="str">
        <f>IF($T$4=0,IF($J124="","",$J124),IFERROR(IF([1]财务取数接口!$C$123=0,"",[1]财务取数接口!$C$123),""))</f>
        <v>包装物料采购入库</v>
      </c>
      <c r="D124" s="89" t="str">
        <f>IF($T$4=0,IF($K124="","",$K124),IFERROR(IF([1]财务取数接口!$D$123=0,"",[1]财务取数接口!$D$123),""))</f>
        <v/>
      </c>
      <c r="E124" s="89" t="str">
        <f>IF($T$4=0,IF($L124="","",$L124),IFERROR(IF([1]财务取数接口!$E$123=0,"",[1]财务取数接口!$E$123),""))</f>
        <v>包</v>
      </c>
      <c r="F124" s="76" t="str">
        <f>IF($T$4=0,IF($M124="","",$M124),IFERROR(IF([1]财务取数接口!$G$123=0,"",[1]财务取数接口!$G$123),""))</f>
        <v/>
      </c>
      <c r="G124" s="76" t="str">
        <f>IF($T$4=0,IF($N124="","",$N124),IFERROR(IF([1]财务取数接口!$H$123=0,"",[1]财务取数接口!$H$123),""))</f>
        <v/>
      </c>
      <c r="H124" s="75" t="str">
        <f>IF($T$4=0,IF($O124="","",$O124),IFERROR(IF([1]财务取数接口!$I$123=0,"",[1]财务取数接口!$I$123),""))</f>
        <v/>
      </c>
      <c r="I124" s="43"/>
      <c r="J124" s="106"/>
      <c r="K124" s="43"/>
      <c r="L124" s="43"/>
      <c r="M124" s="107"/>
      <c r="N124" s="107"/>
      <c r="O124" s="106"/>
      <c r="P124" s="139">
        <f t="shared" si="2"/>
        <v>0</v>
      </c>
      <c r="Q124" s="139">
        <f t="shared" si="3"/>
        <v>0</v>
      </c>
    </row>
    <row r="125" spans="1:17">
      <c r="A125" s="74">
        <v>124</v>
      </c>
      <c r="B125" s="138" t="str">
        <f>IF($T$4=0,IF($I125="","",$I125),IFERROR(IF([1]财务取数接口!$B$124=0,"",[1]财务取数接口!$B$124),""))</f>
        <v/>
      </c>
      <c r="C125" s="75" t="str">
        <f>IF($T$4=0,IF($J125="","",$J125),IFERROR(IF([1]财务取数接口!$C$124=0,"",[1]财务取数接口!$C$124),""))</f>
        <v>包装物料采购入库</v>
      </c>
      <c r="D125" s="89" t="str">
        <f>IF($T$4=0,IF($K125="","",$K125),IFERROR(IF([1]财务取数接口!$D$124=0,"",[1]财务取数接口!$D$124),""))</f>
        <v/>
      </c>
      <c r="E125" s="89" t="str">
        <f>IF($T$4=0,IF($L125="","",$L125),IFERROR(IF([1]财务取数接口!$E$124=0,"",[1]财务取数接口!$E$124),""))</f>
        <v>包</v>
      </c>
      <c r="F125" s="76" t="str">
        <f>IF($T$4=0,IF($M125="","",$M125),IFERROR(IF([1]财务取数接口!$G$124=0,"",[1]财务取数接口!$G$124),""))</f>
        <v/>
      </c>
      <c r="G125" s="76" t="str">
        <f>IF($T$4=0,IF($N125="","",$N125),IFERROR(IF([1]财务取数接口!$H$124=0,"",[1]财务取数接口!$H$124),""))</f>
        <v/>
      </c>
      <c r="H125" s="75" t="str">
        <f>IF($T$4=0,IF($O125="","",$O125),IFERROR(IF([1]财务取数接口!$I$124=0,"",[1]财务取数接口!$I$124),""))</f>
        <v/>
      </c>
      <c r="I125" s="43"/>
      <c r="J125" s="106"/>
      <c r="K125" s="43"/>
      <c r="L125" s="43"/>
      <c r="M125" s="107"/>
      <c r="N125" s="107"/>
      <c r="O125" s="106"/>
      <c r="P125" s="139">
        <f t="shared" si="2"/>
        <v>0</v>
      </c>
      <c r="Q125" s="139">
        <f t="shared" si="3"/>
        <v>0</v>
      </c>
    </row>
    <row r="126" spans="1:17">
      <c r="A126" s="74">
        <v>125</v>
      </c>
      <c r="B126" s="138" t="str">
        <f>IF($T$4=0,IF($I126="","",$I126),IFERROR(IF([1]财务取数接口!$B$125=0,"",[1]财务取数接口!$B$125),""))</f>
        <v/>
      </c>
      <c r="C126" s="75" t="str">
        <f>IF($T$4=0,IF($J126="","",$J126),IFERROR(IF([1]财务取数接口!$C$125=0,"",[1]财务取数接口!$C$125),""))</f>
        <v>包装物料采购入库</v>
      </c>
      <c r="D126" s="89" t="str">
        <f>IF($T$4=0,IF($K126="","",$K126),IFERROR(IF([1]财务取数接口!$D$125=0,"",[1]财务取数接口!$D$125),""))</f>
        <v/>
      </c>
      <c r="E126" s="89" t="str">
        <f>IF($T$4=0,IF($L126="","",$L126),IFERROR(IF([1]财务取数接口!$E$125=0,"",[1]财务取数接口!$E$125),""))</f>
        <v>包</v>
      </c>
      <c r="F126" s="76" t="str">
        <f>IF($T$4=0,IF($M126="","",$M126),IFERROR(IF([1]财务取数接口!$G$125=0,"",[1]财务取数接口!$G$125),""))</f>
        <v/>
      </c>
      <c r="G126" s="76" t="str">
        <f>IF($T$4=0,IF($N126="","",$N126),IFERROR(IF([1]财务取数接口!$H$125=0,"",[1]财务取数接口!$H$125),""))</f>
        <v/>
      </c>
      <c r="H126" s="75" t="str">
        <f>IF($T$4=0,IF($O126="","",$O126),IFERROR(IF([1]财务取数接口!$I$125=0,"",[1]财务取数接口!$I$125),""))</f>
        <v/>
      </c>
      <c r="I126" s="43"/>
      <c r="J126" s="106"/>
      <c r="K126" s="43"/>
      <c r="L126" s="43"/>
      <c r="M126" s="107"/>
      <c r="N126" s="107"/>
      <c r="O126" s="106"/>
      <c r="P126" s="139">
        <f t="shared" si="2"/>
        <v>0</v>
      </c>
      <c r="Q126" s="139">
        <f t="shared" si="3"/>
        <v>0</v>
      </c>
    </row>
    <row r="127" spans="1:17">
      <c r="A127" s="74">
        <v>126</v>
      </c>
      <c r="B127" s="138" t="str">
        <f>IF($T$4=0,IF($I127="","",$I127),IFERROR(IF([1]财务取数接口!$B$126=0,"",[1]财务取数接口!$B$126),""))</f>
        <v/>
      </c>
      <c r="C127" s="75" t="str">
        <f>IF($T$4=0,IF($J127="","",$J127),IFERROR(IF([1]财务取数接口!$C$126=0,"",[1]财务取数接口!$C$126),""))</f>
        <v>包装物料采购入库</v>
      </c>
      <c r="D127" s="89" t="str">
        <f>IF($T$4=0,IF($K127="","",$K127),IFERROR(IF([1]财务取数接口!$D$126=0,"",[1]财务取数接口!$D$126),""))</f>
        <v/>
      </c>
      <c r="E127" s="89" t="str">
        <f>IF($T$4=0,IF($L127="","",$L127),IFERROR(IF([1]财务取数接口!$E$126=0,"",[1]财务取数接口!$E$126),""))</f>
        <v>包</v>
      </c>
      <c r="F127" s="76" t="str">
        <f>IF($T$4=0,IF($M127="","",$M127),IFERROR(IF([1]财务取数接口!$G$126=0,"",[1]财务取数接口!$G$126),""))</f>
        <v/>
      </c>
      <c r="G127" s="76" t="str">
        <f>IF($T$4=0,IF($N127="","",$N127),IFERROR(IF([1]财务取数接口!$H$126=0,"",[1]财务取数接口!$H$126),""))</f>
        <v/>
      </c>
      <c r="H127" s="75" t="str">
        <f>IF($T$4=0,IF($O127="","",$O127),IFERROR(IF([1]财务取数接口!$I$126=0,"",[1]财务取数接口!$I$126),""))</f>
        <v/>
      </c>
      <c r="I127" s="43"/>
      <c r="J127" s="106"/>
      <c r="K127" s="43"/>
      <c r="L127" s="43"/>
      <c r="M127" s="107"/>
      <c r="N127" s="107"/>
      <c r="O127" s="106"/>
      <c r="P127" s="139">
        <f t="shared" si="2"/>
        <v>0</v>
      </c>
      <c r="Q127" s="139">
        <f t="shared" si="3"/>
        <v>0</v>
      </c>
    </row>
    <row r="128" spans="1:17">
      <c r="A128" s="74">
        <v>127</v>
      </c>
      <c r="B128" s="138" t="str">
        <f>IF($T$4=0,IF($I128="","",$I128),IFERROR(IF([1]财务取数接口!$B$127=0,"",[1]财务取数接口!$B$127),""))</f>
        <v/>
      </c>
      <c r="C128" s="75" t="str">
        <f>IF($T$4=0,IF($J128="","",$J128),IFERROR(IF([1]财务取数接口!$C$127=0,"",[1]财务取数接口!$C$127),""))</f>
        <v>周转筐托盘采购入库</v>
      </c>
      <c r="D128" s="89" t="str">
        <f>IF($T$4=0,IF($K128="","",$K128),IFERROR(IF([1]财务取数接口!$D$127=0,"",[1]财务取数接口!$D$127),""))</f>
        <v/>
      </c>
      <c r="E128" s="89" t="str">
        <f>IF($T$4=0,IF($L128="","",$L128),IFERROR(IF([1]财务取数接口!$E$127=0,"",[1]财务取数接口!$E$127),""))</f>
        <v>个</v>
      </c>
      <c r="F128" s="76" t="str">
        <f>IF($T$4=0,IF($M128="","",$M128),IFERROR(IF([1]财务取数接口!$G$127=0,"",[1]财务取数接口!$G$127),""))</f>
        <v/>
      </c>
      <c r="G128" s="76" t="str">
        <f>IF($T$4=0,IF($N128="","",$N128),IFERROR(IF([1]财务取数接口!$H$127=0,"",[1]财务取数接口!$H$127),""))</f>
        <v/>
      </c>
      <c r="H128" s="75" t="str">
        <f>IF($T$4=0,IF($O128="","",$O128),IFERROR(IF([1]财务取数接口!$I$127=0,"",[1]财务取数接口!$I$127),""))</f>
        <v/>
      </c>
      <c r="I128" s="43"/>
      <c r="J128" s="106"/>
      <c r="K128" s="43"/>
      <c r="L128" s="43"/>
      <c r="M128" s="107"/>
      <c r="N128" s="107"/>
      <c r="O128" s="106"/>
      <c r="P128" s="139">
        <f t="shared" si="2"/>
        <v>0</v>
      </c>
      <c r="Q128" s="139">
        <f t="shared" si="3"/>
        <v>0</v>
      </c>
    </row>
    <row r="129" spans="1:17">
      <c r="A129" s="74">
        <v>128</v>
      </c>
      <c r="B129" s="138" t="str">
        <f>IF($T$4=0,IF($I129="","",$I129),IFERROR(IF([1]财务取数接口!$B$128=0,"",[1]财务取数接口!$B$128),""))</f>
        <v/>
      </c>
      <c r="C129" s="75" t="str">
        <f>IF($T$4=0,IF($J129="","",$J129),IFERROR(IF([1]财务取数接口!$C$128=0,"",[1]财务取数接口!$C$128),""))</f>
        <v>周转筐托盘采购入库</v>
      </c>
      <c r="D129" s="89" t="str">
        <f>IF($T$4=0,IF($K129="","",$K129),IFERROR(IF([1]财务取数接口!$D$128=0,"",[1]财务取数接口!$D$128),""))</f>
        <v/>
      </c>
      <c r="E129" s="89" t="str">
        <f>IF($T$4=0,IF($L129="","",$L129),IFERROR(IF([1]财务取数接口!$E$128=0,"",[1]财务取数接口!$E$128),""))</f>
        <v>个</v>
      </c>
      <c r="F129" s="76" t="str">
        <f>IF($T$4=0,IF($M129="","",$M129),IFERROR(IF([1]财务取数接口!$G$128=0,"",[1]财务取数接口!$G$128),""))</f>
        <v/>
      </c>
      <c r="G129" s="76" t="str">
        <f>IF($T$4=0,IF($N129="","",$N129),IFERROR(IF([1]财务取数接口!$H$128=0,"",[1]财务取数接口!$H$128),""))</f>
        <v/>
      </c>
      <c r="H129" s="75" t="str">
        <f>IF($T$4=0,IF($O129="","",$O129),IFERROR(IF([1]财务取数接口!$I$128=0,"",[1]财务取数接口!$I$128),""))</f>
        <v/>
      </c>
      <c r="I129" s="43"/>
      <c r="J129" s="106"/>
      <c r="K129" s="43"/>
      <c r="L129" s="43"/>
      <c r="M129" s="107"/>
      <c r="N129" s="107"/>
      <c r="O129" s="106"/>
      <c r="P129" s="139">
        <f t="shared" si="2"/>
        <v>0</v>
      </c>
      <c r="Q129" s="139">
        <f t="shared" si="3"/>
        <v>0</v>
      </c>
    </row>
    <row r="130" spans="1:17">
      <c r="A130" s="74">
        <v>129</v>
      </c>
      <c r="B130" s="138" t="str">
        <f>IF($T$4=0,IF($I130="","",$I130),IFERROR(IF([1]财务取数接口!$B$129=0,"",[1]财务取数接口!$B$129),""))</f>
        <v/>
      </c>
      <c r="C130" s="75" t="str">
        <f>IF($T$4=0,IF($J130="","",$J130),IFERROR(IF([1]财务取数接口!$C$129=0,"",[1]财务取数接口!$C$129),""))</f>
        <v>周转筐托盘采购入库</v>
      </c>
      <c r="D130" s="89" t="str">
        <f>IF($T$4=0,IF($K130="","",$K130),IFERROR(IF([1]财务取数接口!$D$129=0,"",[1]财务取数接口!$D$129),""))</f>
        <v/>
      </c>
      <c r="E130" s="89" t="str">
        <f>IF($T$4=0,IF($L130="","",$L130),IFERROR(IF([1]财务取数接口!$E$129=0,"",[1]财务取数接口!$E$129),""))</f>
        <v>个</v>
      </c>
      <c r="F130" s="76" t="str">
        <f>IF($T$4=0,IF($M130="","",$M130),IFERROR(IF([1]财务取数接口!$G$129=0,"",[1]财务取数接口!$G$129),""))</f>
        <v/>
      </c>
      <c r="G130" s="76" t="str">
        <f>IF($T$4=0,IF($N130="","",$N130),IFERROR(IF([1]财务取数接口!$H$129=0,"",[1]财务取数接口!$H$129),""))</f>
        <v/>
      </c>
      <c r="H130" s="75" t="str">
        <f>IF($T$4=0,IF($O130="","",$O130),IFERROR(IF([1]财务取数接口!$I$129=0,"",[1]财务取数接口!$I$129),""))</f>
        <v/>
      </c>
      <c r="I130" s="43"/>
      <c r="J130" s="106"/>
      <c r="K130" s="43"/>
      <c r="L130" s="43"/>
      <c r="M130" s="107"/>
      <c r="N130" s="107"/>
      <c r="O130" s="106"/>
      <c r="P130" s="139">
        <f t="shared" si="2"/>
        <v>0</v>
      </c>
      <c r="Q130" s="139">
        <f t="shared" si="3"/>
        <v>0</v>
      </c>
    </row>
    <row r="131" spans="1:17">
      <c r="A131" s="74">
        <v>130</v>
      </c>
      <c r="B131" s="138" t="str">
        <f>IF($T$4=0,IF($I131="","",$I131),IFERROR(IF([1]财务取数接口!$B$130=0,"",[1]财务取数接口!$B$130),""))</f>
        <v/>
      </c>
      <c r="C131" s="75" t="str">
        <f>IF($T$4=0,IF($J131="","",$J131),IFERROR(IF([1]财务取数接口!$C$130=0,"",[1]财务取数接口!$C$130),""))</f>
        <v>周转筐托盘采购入库</v>
      </c>
      <c r="D131" s="89" t="str">
        <f>IF($T$4=0,IF($K131="","",$K131),IFERROR(IF([1]财务取数接口!$D$130=0,"",[1]财务取数接口!$D$130),""))</f>
        <v/>
      </c>
      <c r="E131" s="89" t="str">
        <f>IF($T$4=0,IF($L131="","",$L131),IFERROR(IF([1]财务取数接口!$E$130=0,"",[1]财务取数接口!$E$130),""))</f>
        <v>个</v>
      </c>
      <c r="F131" s="76" t="str">
        <f>IF($T$4=0,IF($M131="","",$M131),IFERROR(IF([1]财务取数接口!$G$130=0,"",[1]财务取数接口!$G$130),""))</f>
        <v/>
      </c>
      <c r="G131" s="76" t="str">
        <f>IF($T$4=0,IF($N131="","",$N131),IFERROR(IF([1]财务取数接口!$H$130=0,"",[1]财务取数接口!$H$130),""))</f>
        <v/>
      </c>
      <c r="H131" s="75" t="str">
        <f>IF($T$4=0,IF($O131="","",$O131),IFERROR(IF([1]财务取数接口!$I$130=0,"",[1]财务取数接口!$I$130),""))</f>
        <v/>
      </c>
      <c r="I131" s="43"/>
      <c r="J131" s="106"/>
      <c r="K131" s="43"/>
      <c r="L131" s="43"/>
      <c r="M131" s="107"/>
      <c r="N131" s="107"/>
      <c r="O131" s="106"/>
      <c r="P131" s="139">
        <f t="shared" si="2"/>
        <v>0</v>
      </c>
      <c r="Q131" s="139">
        <f t="shared" si="3"/>
        <v>0</v>
      </c>
    </row>
    <row r="132" spans="1:17">
      <c r="A132" s="74">
        <v>131</v>
      </c>
      <c r="B132" s="138" t="str">
        <f>IF($T$4=0,IF($I132="","",$I132),IFERROR(IF([1]财务取数接口!$B$131=0,"",[1]财务取数接口!$B$131),""))</f>
        <v/>
      </c>
      <c r="C132" s="75" t="str">
        <f>IF($T$4=0,IF($J132="","",$J132),IFERROR(IF([1]财务取数接口!$C$131=0,"",[1]财务取数接口!$C$131),""))</f>
        <v>周转筐托盘采购入库</v>
      </c>
      <c r="D132" s="89" t="str">
        <f>IF($T$4=0,IF($K132="","",$K132),IFERROR(IF([1]财务取数接口!$D$131=0,"",[1]财务取数接口!$D$131),""))</f>
        <v/>
      </c>
      <c r="E132" s="89" t="str">
        <f>IF($T$4=0,IF($L132="","",$L132),IFERROR(IF([1]财务取数接口!$E$131=0,"",[1]财务取数接口!$E$131),""))</f>
        <v>个</v>
      </c>
      <c r="F132" s="76" t="str">
        <f>IF($T$4=0,IF($M132="","",$M132),IFERROR(IF([1]财务取数接口!$G$131=0,"",[1]财务取数接口!$G$131),""))</f>
        <v/>
      </c>
      <c r="G132" s="76" t="str">
        <f>IF($T$4=0,IF($N132="","",$N132),IFERROR(IF([1]财务取数接口!$H$131=0,"",[1]财务取数接口!$H$131),""))</f>
        <v/>
      </c>
      <c r="H132" s="75" t="str">
        <f>IF($T$4=0,IF($O132="","",$O132),IFERROR(IF([1]财务取数接口!$I$131=0,"",[1]财务取数接口!$I$131),""))</f>
        <v/>
      </c>
      <c r="I132" s="43"/>
      <c r="J132" s="106"/>
      <c r="K132" s="43"/>
      <c r="L132" s="43"/>
      <c r="M132" s="107"/>
      <c r="N132" s="107"/>
      <c r="O132" s="106"/>
      <c r="P132" s="139">
        <f t="shared" si="2"/>
        <v>0</v>
      </c>
      <c r="Q132" s="139">
        <f t="shared" si="3"/>
        <v>0</v>
      </c>
    </row>
    <row r="133" spans="1:17">
      <c r="A133" s="74">
        <v>132</v>
      </c>
      <c r="B133" s="138" t="str">
        <f>IF($T$4=0,IF($I133="","",$I133),IFERROR(IF([1]财务取数接口!$B$132=0,"",[1]财务取数接口!$B$132),""))</f>
        <v/>
      </c>
      <c r="C133" s="75" t="str">
        <f>IF($T$4=0,IF($J133="","",$J133),IFERROR(IF([1]财务取数接口!$C$132=0,"",[1]财务取数接口!$C$132),""))</f>
        <v>周转筐托盘采购入库</v>
      </c>
      <c r="D133" s="89" t="str">
        <f>IF($T$4=0,IF($K133="","",$K133),IFERROR(IF([1]财务取数接口!$D$132=0,"",[1]财务取数接口!$D$132),""))</f>
        <v/>
      </c>
      <c r="E133" s="89" t="str">
        <f>IF($T$4=0,IF($L133="","",$L133),IFERROR(IF([1]财务取数接口!$E$132=0,"",[1]财务取数接口!$E$132),""))</f>
        <v>个</v>
      </c>
      <c r="F133" s="76" t="str">
        <f>IF($T$4=0,IF($M133="","",$M133),IFERROR(IF([1]财务取数接口!$G$132=0,"",[1]财务取数接口!$G$132),""))</f>
        <v/>
      </c>
      <c r="G133" s="76" t="str">
        <f>IF($T$4=0,IF($N133="","",$N133),IFERROR(IF([1]财务取数接口!$H$132=0,"",[1]财务取数接口!$H$132),""))</f>
        <v/>
      </c>
      <c r="H133" s="75" t="str">
        <f>IF($T$4=0,IF($O133="","",$O133),IFERROR(IF([1]财务取数接口!$I$132=0,"",[1]财务取数接口!$I$132),""))</f>
        <v/>
      </c>
      <c r="I133" s="43"/>
      <c r="J133" s="106"/>
      <c r="K133" s="43"/>
      <c r="L133" s="43"/>
      <c r="M133" s="107"/>
      <c r="N133" s="107"/>
      <c r="O133" s="106"/>
      <c r="P133" s="139">
        <f t="shared" ref="P133:P196" si="4">IF(AND($C133&lt;&gt;"",$C133&lt;&gt;"项目",OR(N($D133)&lt;&gt;0,N($E133)&lt;&gt;0,N($F133)&lt;&gt;0)),1,0)</f>
        <v>0</v>
      </c>
      <c r="Q133" s="139">
        <f t="shared" ref="Q133:Q196" si="5">N(Q132)+$P133</f>
        <v>0</v>
      </c>
    </row>
    <row r="134" spans="1:17">
      <c r="A134" s="74">
        <v>133</v>
      </c>
      <c r="B134" s="138" t="str">
        <f>IF($T$4=0,IF($I134="","",$I134),IFERROR(IF([1]财务取数接口!$B$133=0,"",[1]财务取数接口!$B$133),""))</f>
        <v/>
      </c>
      <c r="C134" s="75" t="str">
        <f>IF($T$4=0,IF($J134="","",$J134),IFERROR(IF([1]财务取数接口!$C$133=0,"",[1]财务取数接口!$C$133),""))</f>
        <v>周转筐托盘采购入库</v>
      </c>
      <c r="D134" s="89" t="str">
        <f>IF($T$4=0,IF($K134="","",$K134),IFERROR(IF([1]财务取数接口!$D$133=0,"",[1]财务取数接口!$D$133),""))</f>
        <v/>
      </c>
      <c r="E134" s="89" t="str">
        <f>IF($T$4=0,IF($L134="","",$L134),IFERROR(IF([1]财务取数接口!$E$133=0,"",[1]财务取数接口!$E$133),""))</f>
        <v>个</v>
      </c>
      <c r="F134" s="76" t="str">
        <f>IF($T$4=0,IF($M134="","",$M134),IFERROR(IF([1]财务取数接口!$G$133=0,"",[1]财务取数接口!$G$133),""))</f>
        <v/>
      </c>
      <c r="G134" s="76" t="str">
        <f>IF($T$4=0,IF($N134="","",$N134),IFERROR(IF([1]财务取数接口!$H$133=0,"",[1]财务取数接口!$H$133),""))</f>
        <v/>
      </c>
      <c r="H134" s="75" t="str">
        <f>IF($T$4=0,IF($O134="","",$O134),IFERROR(IF([1]财务取数接口!$I$133=0,"",[1]财务取数接口!$I$133),""))</f>
        <v/>
      </c>
      <c r="I134" s="43"/>
      <c r="J134" s="106"/>
      <c r="K134" s="43"/>
      <c r="L134" s="43"/>
      <c r="M134" s="107"/>
      <c r="N134" s="107"/>
      <c r="O134" s="106"/>
      <c r="P134" s="139">
        <f t="shared" si="4"/>
        <v>0</v>
      </c>
      <c r="Q134" s="139">
        <f t="shared" si="5"/>
        <v>0</v>
      </c>
    </row>
    <row r="135" spans="1:17">
      <c r="A135" s="74">
        <v>134</v>
      </c>
      <c r="B135" s="138" t="str">
        <f>IF($T$4=0,IF($I135="","",$I135),IFERROR(IF([1]财务取数接口!$B$134=0,"",[1]财务取数接口!$B$134),""))</f>
        <v/>
      </c>
      <c r="C135" s="75" t="str">
        <f>IF($T$4=0,IF($J135="","",$J135),IFERROR(IF([1]财务取数接口!$C$134=0,"",[1]财务取数接口!$C$134),""))</f>
        <v>周转筐托盘采购入库</v>
      </c>
      <c r="D135" s="89" t="str">
        <f>IF($T$4=0,IF($K135="","",$K135),IFERROR(IF([1]财务取数接口!$D$134=0,"",[1]财务取数接口!$D$134),""))</f>
        <v/>
      </c>
      <c r="E135" s="89" t="str">
        <f>IF($T$4=0,IF($L135="","",$L135),IFERROR(IF([1]财务取数接口!$E$134=0,"",[1]财务取数接口!$E$134),""))</f>
        <v>个</v>
      </c>
      <c r="F135" s="76" t="str">
        <f>IF($T$4=0,IF($M135="","",$M135),IFERROR(IF([1]财务取数接口!$G$134=0,"",[1]财务取数接口!$G$134),""))</f>
        <v/>
      </c>
      <c r="G135" s="76" t="str">
        <f>IF($T$4=0,IF($N135="","",$N135),IFERROR(IF([1]财务取数接口!$H$134=0,"",[1]财务取数接口!$H$134),""))</f>
        <v/>
      </c>
      <c r="H135" s="75" t="str">
        <f>IF($T$4=0,IF($O135="","",$O135),IFERROR(IF([1]财务取数接口!$I$134=0,"",[1]财务取数接口!$I$134),""))</f>
        <v/>
      </c>
      <c r="I135" s="43"/>
      <c r="J135" s="106"/>
      <c r="K135" s="43"/>
      <c r="L135" s="43"/>
      <c r="M135" s="107"/>
      <c r="N135" s="107"/>
      <c r="O135" s="106"/>
      <c r="P135" s="139">
        <f t="shared" si="4"/>
        <v>0</v>
      </c>
      <c r="Q135" s="139">
        <f t="shared" si="5"/>
        <v>0</v>
      </c>
    </row>
    <row r="136" spans="1:17">
      <c r="A136" s="74">
        <v>135</v>
      </c>
      <c r="B136" s="138" t="str">
        <f>IF($T$4=0,IF($I136="","",$I136),IFERROR(IF([1]财务取数接口!$B$135=0,"",[1]财务取数接口!$B$135),""))</f>
        <v/>
      </c>
      <c r="C136" s="75" t="str">
        <f>IF($T$4=0,IF($J136="","",$J136),IFERROR(IF([1]财务取数接口!$C$135=0,"",[1]财务取数接口!$C$135),""))</f>
        <v>周转筐托盘采购入库</v>
      </c>
      <c r="D136" s="89" t="str">
        <f>IF($T$4=0,IF($K136="","",$K136),IFERROR(IF([1]财务取数接口!$D$135=0,"",[1]财务取数接口!$D$135),""))</f>
        <v/>
      </c>
      <c r="E136" s="89" t="str">
        <f>IF($T$4=0,IF($L136="","",$L136),IFERROR(IF([1]财务取数接口!$E$135=0,"",[1]财务取数接口!$E$135),""))</f>
        <v>个</v>
      </c>
      <c r="F136" s="76" t="str">
        <f>IF($T$4=0,IF($M136="","",$M136),IFERROR(IF([1]财务取数接口!$G$135=0,"",[1]财务取数接口!$G$135),""))</f>
        <v/>
      </c>
      <c r="G136" s="76" t="str">
        <f>IF($T$4=0,IF($N136="","",$N136),IFERROR(IF([1]财务取数接口!$H$135=0,"",[1]财务取数接口!$H$135),""))</f>
        <v/>
      </c>
      <c r="H136" s="75" t="str">
        <f>IF($T$4=0,IF($O136="","",$O136),IFERROR(IF([1]财务取数接口!$I$135=0,"",[1]财务取数接口!$I$135),""))</f>
        <v/>
      </c>
      <c r="I136" s="43"/>
      <c r="J136" s="106"/>
      <c r="K136" s="43"/>
      <c r="L136" s="43"/>
      <c r="M136" s="107"/>
      <c r="N136" s="107"/>
      <c r="O136" s="106"/>
      <c r="P136" s="139">
        <f t="shared" si="4"/>
        <v>0</v>
      </c>
      <c r="Q136" s="139">
        <f t="shared" si="5"/>
        <v>0</v>
      </c>
    </row>
    <row r="137" spans="1:17">
      <c r="A137" s="74">
        <v>136</v>
      </c>
      <c r="B137" s="138" t="str">
        <f>IF($T$4=0,IF($I137="","",$I137),IFERROR(IF([1]财务取数接口!$B$136=0,"",[1]财务取数接口!$B$136),""))</f>
        <v/>
      </c>
      <c r="C137" s="75" t="str">
        <f>IF($T$4=0,IF($J137="","",$J137),IFERROR(IF([1]财务取数接口!$C$136=0,"",[1]财务取数接口!$C$136),""))</f>
        <v>周转筐托盘采购入库</v>
      </c>
      <c r="D137" s="89" t="str">
        <f>IF($T$4=0,IF($K137="","",$K137),IFERROR(IF([1]财务取数接口!$D$136=0,"",[1]财务取数接口!$D$136),""))</f>
        <v/>
      </c>
      <c r="E137" s="89" t="str">
        <f>IF($T$4=0,IF($L137="","",$L137),IFERROR(IF([1]财务取数接口!$E$136=0,"",[1]财务取数接口!$E$136),""))</f>
        <v>个</v>
      </c>
      <c r="F137" s="76" t="str">
        <f>IF($T$4=0,IF($M137="","",$M137),IFERROR(IF([1]财务取数接口!$G$136=0,"",[1]财务取数接口!$G$136),""))</f>
        <v/>
      </c>
      <c r="G137" s="76" t="str">
        <f>IF($T$4=0,IF($N137="","",$N137),IFERROR(IF([1]财务取数接口!$H$136=0,"",[1]财务取数接口!$H$136),""))</f>
        <v/>
      </c>
      <c r="H137" s="75" t="str">
        <f>IF($T$4=0,IF($O137="","",$O137),IFERROR(IF([1]财务取数接口!$I$136=0,"",[1]财务取数接口!$I$136),""))</f>
        <v/>
      </c>
      <c r="I137" s="43"/>
      <c r="J137" s="106"/>
      <c r="K137" s="43"/>
      <c r="L137" s="43"/>
      <c r="M137" s="107"/>
      <c r="N137" s="107"/>
      <c r="O137" s="106"/>
      <c r="P137" s="139">
        <f t="shared" si="4"/>
        <v>0</v>
      </c>
      <c r="Q137" s="139">
        <f t="shared" si="5"/>
        <v>0</v>
      </c>
    </row>
    <row r="138" spans="1:17">
      <c r="A138" s="74">
        <v>137</v>
      </c>
      <c r="B138" s="138" t="str">
        <f>IF($T$4=0,IF($I138="","",$I138),IFERROR(IF([1]财务取数接口!$B$137=0,"",[1]财务取数接口!$B$137),""))</f>
        <v/>
      </c>
      <c r="C138" s="75" t="str">
        <f>IF($T$4=0,IF($J138="","",$J138),IFERROR(IF([1]财务取数接口!$C$137=0,"",[1]财务取数接口!$C$137),""))</f>
        <v>周转筐托盘采购入库</v>
      </c>
      <c r="D138" s="89" t="str">
        <f>IF($T$4=0,IF($K138="","",$K138),IFERROR(IF([1]财务取数接口!$D$137=0,"",[1]财务取数接口!$D$137),""))</f>
        <v/>
      </c>
      <c r="E138" s="89" t="str">
        <f>IF($T$4=0,IF($L138="","",$L138),IFERROR(IF([1]财务取数接口!$E$137=0,"",[1]财务取数接口!$E$137),""))</f>
        <v>个</v>
      </c>
      <c r="F138" s="76" t="str">
        <f>IF($T$4=0,IF($M138="","",$M138),IFERROR(IF([1]财务取数接口!$G$137=0,"",[1]财务取数接口!$G$137),""))</f>
        <v/>
      </c>
      <c r="G138" s="76" t="str">
        <f>IF($T$4=0,IF($N138="","",$N138),IFERROR(IF([1]财务取数接口!$H$137=0,"",[1]财务取数接口!$H$137),""))</f>
        <v/>
      </c>
      <c r="H138" s="75" t="str">
        <f>IF($T$4=0,IF($O138="","",$O138),IFERROR(IF([1]财务取数接口!$I$137=0,"",[1]财务取数接口!$I$137),""))</f>
        <v/>
      </c>
      <c r="I138" s="43"/>
      <c r="J138" s="106"/>
      <c r="K138" s="43"/>
      <c r="L138" s="43"/>
      <c r="M138" s="107"/>
      <c r="N138" s="107"/>
      <c r="O138" s="106"/>
      <c r="P138" s="139">
        <f t="shared" si="4"/>
        <v>0</v>
      </c>
      <c r="Q138" s="139">
        <f t="shared" si="5"/>
        <v>0</v>
      </c>
    </row>
    <row r="139" spans="1:17">
      <c r="A139" s="74">
        <v>138</v>
      </c>
      <c r="B139" s="138" t="str">
        <f>IF($T$4=0,IF($I139="","",$I139),IFERROR(IF([1]财务取数接口!$B$138=0,"",[1]财务取数接口!$B$138),""))</f>
        <v/>
      </c>
      <c r="C139" s="75" t="str">
        <f>IF($T$4=0,IF($J139="","",$J139),IFERROR(IF([1]财务取数接口!$C$138=0,"",[1]财务取数接口!$C$138),""))</f>
        <v>周转筐托盘采购入库</v>
      </c>
      <c r="D139" s="89" t="str">
        <f>IF($T$4=0,IF($K139="","",$K139),IFERROR(IF([1]财务取数接口!$D$138=0,"",[1]财务取数接口!$D$138),""))</f>
        <v/>
      </c>
      <c r="E139" s="89" t="str">
        <f>IF($T$4=0,IF($L139="","",$L139),IFERROR(IF([1]财务取数接口!$E$138=0,"",[1]财务取数接口!$E$138),""))</f>
        <v>个</v>
      </c>
      <c r="F139" s="76" t="str">
        <f>IF($T$4=0,IF($M139="","",$M139),IFERROR(IF([1]财务取数接口!$G$138=0,"",[1]财务取数接口!$G$138),""))</f>
        <v/>
      </c>
      <c r="G139" s="76" t="str">
        <f>IF($T$4=0,IF($N139="","",$N139),IFERROR(IF([1]财务取数接口!$H$138=0,"",[1]财务取数接口!$H$138),""))</f>
        <v/>
      </c>
      <c r="H139" s="75" t="str">
        <f>IF($T$4=0,IF($O139="","",$O139),IFERROR(IF([1]财务取数接口!$I$138=0,"",[1]财务取数接口!$I$138),""))</f>
        <v/>
      </c>
      <c r="I139" s="43"/>
      <c r="J139" s="106"/>
      <c r="K139" s="43"/>
      <c r="L139" s="43"/>
      <c r="M139" s="107"/>
      <c r="N139" s="107"/>
      <c r="O139" s="106"/>
      <c r="P139" s="139">
        <f t="shared" si="4"/>
        <v>0</v>
      </c>
      <c r="Q139" s="139">
        <f t="shared" si="5"/>
        <v>0</v>
      </c>
    </row>
    <row r="140" spans="1:17">
      <c r="A140" s="74">
        <v>139</v>
      </c>
      <c r="B140" s="138" t="str">
        <f>IF($T$4=0,IF($I140="","",$I140),IFERROR(IF([1]财务取数接口!$B$139=0,"",[1]财务取数接口!$B$139),""))</f>
        <v/>
      </c>
      <c r="C140" s="75" t="str">
        <f>IF($T$4=0,IF($J140="","",$J140),IFERROR(IF([1]财务取数接口!$C$139=0,"",[1]财务取数接口!$C$139),""))</f>
        <v>周转筐托盘采购入库</v>
      </c>
      <c r="D140" s="89" t="str">
        <f>IF($T$4=0,IF($K140="","",$K140),IFERROR(IF([1]财务取数接口!$D$139=0,"",[1]财务取数接口!$D$139),""))</f>
        <v/>
      </c>
      <c r="E140" s="89" t="str">
        <f>IF($T$4=0,IF($L140="","",$L140),IFERROR(IF([1]财务取数接口!$E$139=0,"",[1]财务取数接口!$E$139),""))</f>
        <v>个</v>
      </c>
      <c r="F140" s="76" t="str">
        <f>IF($T$4=0,IF($M140="","",$M140),IFERROR(IF([1]财务取数接口!$G$139=0,"",[1]财务取数接口!$G$139),""))</f>
        <v/>
      </c>
      <c r="G140" s="76" t="str">
        <f>IF($T$4=0,IF($N140="","",$N140),IFERROR(IF([1]财务取数接口!$H$139=0,"",[1]财务取数接口!$H$139),""))</f>
        <v/>
      </c>
      <c r="H140" s="75" t="str">
        <f>IF($T$4=0,IF($O140="","",$O140),IFERROR(IF([1]财务取数接口!$I$139=0,"",[1]财务取数接口!$I$139),""))</f>
        <v/>
      </c>
      <c r="I140" s="43"/>
      <c r="J140" s="106"/>
      <c r="K140" s="43"/>
      <c r="L140" s="43"/>
      <c r="M140" s="107"/>
      <c r="N140" s="107"/>
      <c r="O140" s="106"/>
      <c r="P140" s="139">
        <f t="shared" si="4"/>
        <v>0</v>
      </c>
      <c r="Q140" s="139">
        <f t="shared" si="5"/>
        <v>0</v>
      </c>
    </row>
    <row r="141" spans="1:17">
      <c r="A141" s="74">
        <v>140</v>
      </c>
      <c r="B141" s="138" t="str">
        <f>IF($T$4=0,IF($I141="","",$I141),IFERROR(IF([1]财务取数接口!$B$140=0,"",[1]财务取数接口!$B$140),""))</f>
        <v/>
      </c>
      <c r="C141" s="75" t="str">
        <f>IF($T$4=0,IF($J141="","",$J141),IFERROR(IF([1]财务取数接口!$C$140=0,"",[1]财务取数接口!$C$140),""))</f>
        <v>周转筐托盘采购入库</v>
      </c>
      <c r="D141" s="89" t="str">
        <f>IF($T$4=0,IF($K141="","",$K141),IFERROR(IF([1]财务取数接口!$D$140=0,"",[1]财务取数接口!$D$140),""))</f>
        <v/>
      </c>
      <c r="E141" s="89" t="str">
        <f>IF($T$4=0,IF($L141="","",$L141),IFERROR(IF([1]财务取数接口!$E$140=0,"",[1]财务取数接口!$E$140),""))</f>
        <v>个</v>
      </c>
      <c r="F141" s="76" t="str">
        <f>IF($T$4=0,IF($M141="","",$M141),IFERROR(IF([1]财务取数接口!$G$140=0,"",[1]财务取数接口!$G$140),""))</f>
        <v/>
      </c>
      <c r="G141" s="76" t="str">
        <f>IF($T$4=0,IF($N141="","",$N141),IFERROR(IF([1]财务取数接口!$H$140=0,"",[1]财务取数接口!$H$140),""))</f>
        <v/>
      </c>
      <c r="H141" s="75" t="str">
        <f>IF($T$4=0,IF($O141="","",$O141),IFERROR(IF([1]财务取数接口!$I$140=0,"",[1]财务取数接口!$I$140),""))</f>
        <v/>
      </c>
      <c r="I141" s="43"/>
      <c r="J141" s="106"/>
      <c r="K141" s="43"/>
      <c r="L141" s="43"/>
      <c r="M141" s="107"/>
      <c r="N141" s="107"/>
      <c r="O141" s="106"/>
      <c r="P141" s="139">
        <f t="shared" si="4"/>
        <v>0</v>
      </c>
      <c r="Q141" s="139">
        <f t="shared" si="5"/>
        <v>0</v>
      </c>
    </row>
    <row r="142" spans="1:17">
      <c r="A142" s="74">
        <v>141</v>
      </c>
      <c r="B142" s="138" t="str">
        <f>IF($T$4=0,IF($I142="","",$I142),IFERROR(IF([1]财务取数接口!$B$141=0,"",[1]财务取数接口!$B$141),""))</f>
        <v/>
      </c>
      <c r="C142" s="75" t="str">
        <f>IF($T$4=0,IF($J142="","",$J142),IFERROR(IF([1]财务取数接口!$C$141=0,"",[1]财务取数接口!$C$141),""))</f>
        <v>周转筐托盘采购入库</v>
      </c>
      <c r="D142" s="89" t="str">
        <f>IF($T$4=0,IF($K142="","",$K142),IFERROR(IF([1]财务取数接口!$D$141=0,"",[1]财务取数接口!$D$141),""))</f>
        <v/>
      </c>
      <c r="E142" s="89" t="str">
        <f>IF($T$4=0,IF($L142="","",$L142),IFERROR(IF([1]财务取数接口!$E$141=0,"",[1]财务取数接口!$E$141),""))</f>
        <v>个</v>
      </c>
      <c r="F142" s="76" t="str">
        <f>IF($T$4=0,IF($M142="","",$M142),IFERROR(IF([1]财务取数接口!$G$141=0,"",[1]财务取数接口!$G$141),""))</f>
        <v/>
      </c>
      <c r="G142" s="76" t="str">
        <f>IF($T$4=0,IF($N142="","",$N142),IFERROR(IF([1]财务取数接口!$H$141=0,"",[1]财务取数接口!$H$141),""))</f>
        <v/>
      </c>
      <c r="H142" s="75" t="str">
        <f>IF($T$4=0,IF($O142="","",$O142),IFERROR(IF([1]财务取数接口!$I$141=0,"",[1]财务取数接口!$I$141),""))</f>
        <v/>
      </c>
      <c r="I142" s="43"/>
      <c r="J142" s="106"/>
      <c r="K142" s="43"/>
      <c r="L142" s="43"/>
      <c r="M142" s="107"/>
      <c r="N142" s="107"/>
      <c r="O142" s="106"/>
      <c r="P142" s="139">
        <f t="shared" si="4"/>
        <v>0</v>
      </c>
      <c r="Q142" s="139">
        <f t="shared" si="5"/>
        <v>0</v>
      </c>
    </row>
    <row r="143" spans="1:17">
      <c r="A143" s="74">
        <v>142</v>
      </c>
      <c r="B143" s="138" t="str">
        <f>IF($T$4=0,IF($I143="","",$I143),IFERROR(IF([1]财务取数接口!$B$142=0,"",[1]财务取数接口!$B$142),""))</f>
        <v/>
      </c>
      <c r="C143" s="75" t="str">
        <f>IF($T$4=0,IF($J143="","",$J143),IFERROR(IF([1]财务取数接口!$C$142=0,"",[1]财务取数接口!$C$142),""))</f>
        <v>周转筐托盘采购入库</v>
      </c>
      <c r="D143" s="89" t="str">
        <f>IF($T$4=0,IF($K143="","",$K143),IFERROR(IF([1]财务取数接口!$D$142=0,"",[1]财务取数接口!$D$142),""))</f>
        <v/>
      </c>
      <c r="E143" s="89" t="str">
        <f>IF($T$4=0,IF($L143="","",$L143),IFERROR(IF([1]财务取数接口!$E$142=0,"",[1]财务取数接口!$E$142),""))</f>
        <v>个</v>
      </c>
      <c r="F143" s="76" t="str">
        <f>IF($T$4=0,IF($M143="","",$M143),IFERROR(IF([1]财务取数接口!$G$142=0,"",[1]财务取数接口!$G$142),""))</f>
        <v/>
      </c>
      <c r="G143" s="76" t="str">
        <f>IF($T$4=0,IF($N143="","",$N143),IFERROR(IF([1]财务取数接口!$H$142=0,"",[1]财务取数接口!$H$142),""))</f>
        <v/>
      </c>
      <c r="H143" s="75" t="str">
        <f>IF($T$4=0,IF($O143="","",$O143),IFERROR(IF([1]财务取数接口!$I$142=0,"",[1]财务取数接口!$I$142),""))</f>
        <v/>
      </c>
      <c r="I143" s="43"/>
      <c r="J143" s="106"/>
      <c r="K143" s="43"/>
      <c r="L143" s="43"/>
      <c r="M143" s="107"/>
      <c r="N143" s="107"/>
      <c r="O143" s="106"/>
      <c r="P143" s="139">
        <f t="shared" si="4"/>
        <v>0</v>
      </c>
      <c r="Q143" s="139">
        <f t="shared" si="5"/>
        <v>0</v>
      </c>
    </row>
    <row r="144" spans="1:17">
      <c r="A144" s="74">
        <v>143</v>
      </c>
      <c r="B144" s="138" t="str">
        <f>IF($T$4=0,IF($I144="","",$I144),IFERROR(IF([1]财务取数接口!$B$143=0,"",[1]财务取数接口!$B$143),""))</f>
        <v/>
      </c>
      <c r="C144" s="75" t="str">
        <f>IF($T$4=0,IF($J144="","",$J144),IFERROR(IF([1]财务取数接口!$C$143=0,"",[1]财务取数接口!$C$143),""))</f>
        <v>周转筐托盘采购入库</v>
      </c>
      <c r="D144" s="89" t="str">
        <f>IF($T$4=0,IF($K144="","",$K144),IFERROR(IF([1]财务取数接口!$D$143=0,"",[1]财务取数接口!$D$143),""))</f>
        <v/>
      </c>
      <c r="E144" s="89" t="str">
        <f>IF($T$4=0,IF($L144="","",$L144),IFERROR(IF([1]财务取数接口!$E$143=0,"",[1]财务取数接口!$E$143),""))</f>
        <v>个</v>
      </c>
      <c r="F144" s="76" t="str">
        <f>IF($T$4=0,IF($M144="","",$M144),IFERROR(IF([1]财务取数接口!$G$143=0,"",[1]财务取数接口!$G$143),""))</f>
        <v/>
      </c>
      <c r="G144" s="76" t="str">
        <f>IF($T$4=0,IF($N144="","",$N144),IFERROR(IF([1]财务取数接口!$H$143=0,"",[1]财务取数接口!$H$143),""))</f>
        <v/>
      </c>
      <c r="H144" s="75" t="str">
        <f>IF($T$4=0,IF($O144="","",$O144),IFERROR(IF([1]财务取数接口!$I$143=0,"",[1]财务取数接口!$I$143),""))</f>
        <v/>
      </c>
      <c r="I144" s="43"/>
      <c r="J144" s="106"/>
      <c r="K144" s="43"/>
      <c r="L144" s="43"/>
      <c r="M144" s="107"/>
      <c r="N144" s="107"/>
      <c r="O144" s="106"/>
      <c r="P144" s="139">
        <f t="shared" si="4"/>
        <v>0</v>
      </c>
      <c r="Q144" s="139">
        <f t="shared" si="5"/>
        <v>0</v>
      </c>
    </row>
    <row r="145" spans="1:17">
      <c r="A145" s="74">
        <v>144</v>
      </c>
      <c r="B145" s="138" t="str">
        <f>IF($T$4=0,IF($I145="","",$I145),IFERROR(IF([1]财务取数接口!$B$144=0,"",[1]财务取数接口!$B$144),""))</f>
        <v/>
      </c>
      <c r="C145" s="75" t="str">
        <f>IF($T$4=0,IF($J145="","",$J145),IFERROR(IF([1]财务取数接口!$C$144=0,"",[1]财务取数接口!$C$144),""))</f>
        <v>周转筐托盘采购入库</v>
      </c>
      <c r="D145" s="89" t="str">
        <f>IF($T$4=0,IF($K145="","",$K145),IFERROR(IF([1]财务取数接口!$D$144=0,"",[1]财务取数接口!$D$144),""))</f>
        <v/>
      </c>
      <c r="E145" s="89" t="str">
        <f>IF($T$4=0,IF($L145="","",$L145),IFERROR(IF([1]财务取数接口!$E$144=0,"",[1]财务取数接口!$E$144),""))</f>
        <v>个</v>
      </c>
      <c r="F145" s="76" t="str">
        <f>IF($T$4=0,IF($M145="","",$M145),IFERROR(IF([1]财务取数接口!$G$144=0,"",[1]财务取数接口!$G$144),""))</f>
        <v/>
      </c>
      <c r="G145" s="76" t="str">
        <f>IF($T$4=0,IF($N145="","",$N145),IFERROR(IF([1]财务取数接口!$H$144=0,"",[1]财务取数接口!$H$144),""))</f>
        <v/>
      </c>
      <c r="H145" s="75" t="str">
        <f>IF($T$4=0,IF($O145="","",$O145),IFERROR(IF([1]财务取数接口!$I$144=0,"",[1]财务取数接口!$I$144),""))</f>
        <v/>
      </c>
      <c r="I145" s="43"/>
      <c r="J145" s="106"/>
      <c r="K145" s="43"/>
      <c r="L145" s="43"/>
      <c r="M145" s="107"/>
      <c r="N145" s="107"/>
      <c r="O145" s="106"/>
      <c r="P145" s="139">
        <f t="shared" si="4"/>
        <v>0</v>
      </c>
      <c r="Q145" s="139">
        <f t="shared" si="5"/>
        <v>0</v>
      </c>
    </row>
    <row r="146" spans="1:17">
      <c r="A146" s="74">
        <v>145</v>
      </c>
      <c r="B146" s="138" t="str">
        <f>IF($T$4=0,IF($I146="","",$I146),IFERROR(IF([1]财务取数接口!$B$145=0,"",[1]财务取数接口!$B$145),""))</f>
        <v/>
      </c>
      <c r="C146" s="75" t="str">
        <f>IF($T$4=0,IF($J146="","",$J146),IFERROR(IF([1]财务取数接口!$C$145=0,"",[1]财务取数接口!$C$145),""))</f>
        <v>周转筐托盘采购入库</v>
      </c>
      <c r="D146" s="89" t="str">
        <f>IF($T$4=0,IF($K146="","",$K146),IFERROR(IF([1]财务取数接口!$D$145=0,"",[1]财务取数接口!$D$145),""))</f>
        <v/>
      </c>
      <c r="E146" s="89" t="str">
        <f>IF($T$4=0,IF($L146="","",$L146),IFERROR(IF([1]财务取数接口!$E$145=0,"",[1]财务取数接口!$E$145),""))</f>
        <v>个</v>
      </c>
      <c r="F146" s="76" t="str">
        <f>IF($T$4=0,IF($M146="","",$M146),IFERROR(IF([1]财务取数接口!$G$145=0,"",[1]财务取数接口!$G$145),""))</f>
        <v/>
      </c>
      <c r="G146" s="76" t="str">
        <f>IF($T$4=0,IF($N146="","",$N146),IFERROR(IF([1]财务取数接口!$H$145=0,"",[1]财务取数接口!$H$145),""))</f>
        <v/>
      </c>
      <c r="H146" s="75" t="str">
        <f>IF($T$4=0,IF($O146="","",$O146),IFERROR(IF([1]财务取数接口!$I$145=0,"",[1]财务取数接口!$I$145),""))</f>
        <v/>
      </c>
      <c r="I146" s="43"/>
      <c r="J146" s="106"/>
      <c r="K146" s="43"/>
      <c r="L146" s="43"/>
      <c r="M146" s="107"/>
      <c r="N146" s="107"/>
      <c r="O146" s="106"/>
      <c r="P146" s="139">
        <f t="shared" si="4"/>
        <v>0</v>
      </c>
      <c r="Q146" s="139">
        <f t="shared" si="5"/>
        <v>0</v>
      </c>
    </row>
    <row r="147" spans="1:17">
      <c r="A147" s="74">
        <v>146</v>
      </c>
      <c r="B147" s="138" t="str">
        <f>IF($T$4=0,IF($I147="","",$I147),IFERROR(IF([1]财务取数接口!$B$146=0,"",[1]财务取数接口!$B$146),""))</f>
        <v/>
      </c>
      <c r="C147" s="75" t="str">
        <f>IF($T$4=0,IF($J147="","",$J147),IFERROR(IF([1]财务取数接口!$C$146=0,"",[1]财务取数接口!$C$146),""))</f>
        <v>周转筐托盘采购入库</v>
      </c>
      <c r="D147" s="89" t="str">
        <f>IF($T$4=0,IF($K147="","",$K147),IFERROR(IF([1]财务取数接口!$D$146=0,"",[1]财务取数接口!$D$146),""))</f>
        <v/>
      </c>
      <c r="E147" s="89" t="str">
        <f>IF($T$4=0,IF($L147="","",$L147),IFERROR(IF([1]财务取数接口!$E$146=0,"",[1]财务取数接口!$E$146),""))</f>
        <v>个</v>
      </c>
      <c r="F147" s="76" t="str">
        <f>IF($T$4=0,IF($M147="","",$M147),IFERROR(IF([1]财务取数接口!$G$146=0,"",[1]财务取数接口!$G$146),""))</f>
        <v/>
      </c>
      <c r="G147" s="76" t="str">
        <f>IF($T$4=0,IF($N147="","",$N147),IFERROR(IF([1]财务取数接口!$H$146=0,"",[1]财务取数接口!$H$146),""))</f>
        <v/>
      </c>
      <c r="H147" s="75" t="str">
        <f>IF($T$4=0,IF($O147="","",$O147),IFERROR(IF([1]财务取数接口!$I$146=0,"",[1]财务取数接口!$I$146),""))</f>
        <v/>
      </c>
      <c r="I147" s="43"/>
      <c r="J147" s="106"/>
      <c r="K147" s="43"/>
      <c r="L147" s="43"/>
      <c r="M147" s="107"/>
      <c r="N147" s="107"/>
      <c r="O147" s="106"/>
      <c r="P147" s="139">
        <f t="shared" si="4"/>
        <v>0</v>
      </c>
      <c r="Q147" s="139">
        <f t="shared" si="5"/>
        <v>0</v>
      </c>
    </row>
    <row r="148" spans="1:17">
      <c r="A148" s="74">
        <v>147</v>
      </c>
      <c r="B148" s="138" t="str">
        <f>IF($T$4=0,IF($I148="","",$I148),IFERROR(IF([1]财务取数接口!$B$147=0,"",[1]财务取数接口!$B$147),""))</f>
        <v/>
      </c>
      <c r="C148" s="75" t="str">
        <f>IF($T$4=0,IF($J148="","",$J148),IFERROR(IF([1]财务取数接口!$C$147=0,"",[1]财务取数接口!$C$147),""))</f>
        <v>周转筐托盘采购入库</v>
      </c>
      <c r="D148" s="89" t="str">
        <f>IF($T$4=0,IF($K148="","",$K148),IFERROR(IF([1]财务取数接口!$D$147=0,"",[1]财务取数接口!$D$147),""))</f>
        <v/>
      </c>
      <c r="E148" s="89" t="str">
        <f>IF($T$4=0,IF($L148="","",$L148),IFERROR(IF([1]财务取数接口!$E$147=0,"",[1]财务取数接口!$E$147),""))</f>
        <v>个</v>
      </c>
      <c r="F148" s="76" t="str">
        <f>IF($T$4=0,IF($M148="","",$M148),IFERROR(IF([1]财务取数接口!$G$147=0,"",[1]财务取数接口!$G$147),""))</f>
        <v/>
      </c>
      <c r="G148" s="76" t="str">
        <f>IF($T$4=0,IF($N148="","",$N148),IFERROR(IF([1]财务取数接口!$H$147=0,"",[1]财务取数接口!$H$147),""))</f>
        <v/>
      </c>
      <c r="H148" s="75" t="str">
        <f>IF($T$4=0,IF($O148="","",$O148),IFERROR(IF([1]财务取数接口!$I$147=0,"",[1]财务取数接口!$I$147),""))</f>
        <v/>
      </c>
      <c r="I148" s="43"/>
      <c r="J148" s="106"/>
      <c r="K148" s="43"/>
      <c r="L148" s="43"/>
      <c r="M148" s="107"/>
      <c r="N148" s="107"/>
      <c r="O148" s="106"/>
      <c r="P148" s="139">
        <f t="shared" si="4"/>
        <v>0</v>
      </c>
      <c r="Q148" s="139">
        <f t="shared" si="5"/>
        <v>0</v>
      </c>
    </row>
    <row r="149" spans="1:17">
      <c r="A149" s="74">
        <v>148</v>
      </c>
      <c r="B149" s="138" t="str">
        <f>IF($T$4=0,IF($I149="","",$I149),IFERROR(IF([1]财务取数接口!$B$148=0,"",[1]财务取数接口!$B$148),""))</f>
        <v/>
      </c>
      <c r="C149" s="75" t="str">
        <f>IF($T$4=0,IF($J149="","",$J149),IFERROR(IF([1]财务取数接口!$C$148=0,"",[1]财务取数接口!$C$148),""))</f>
        <v>周转筐托盘采购入库</v>
      </c>
      <c r="D149" s="89" t="str">
        <f>IF($T$4=0,IF($K149="","",$K149),IFERROR(IF([1]财务取数接口!$D$148=0,"",[1]财务取数接口!$D$148),""))</f>
        <v/>
      </c>
      <c r="E149" s="89" t="str">
        <f>IF($T$4=0,IF($L149="","",$L149),IFERROR(IF([1]财务取数接口!$E$148=0,"",[1]财务取数接口!$E$148),""))</f>
        <v>个</v>
      </c>
      <c r="F149" s="76" t="str">
        <f>IF($T$4=0,IF($M149="","",$M149),IFERROR(IF([1]财务取数接口!$G$148=0,"",[1]财务取数接口!$G$148),""))</f>
        <v/>
      </c>
      <c r="G149" s="76" t="str">
        <f>IF($T$4=0,IF($N149="","",$N149),IFERROR(IF([1]财务取数接口!$H$148=0,"",[1]财务取数接口!$H$148),""))</f>
        <v/>
      </c>
      <c r="H149" s="75" t="str">
        <f>IF($T$4=0,IF($O149="","",$O149),IFERROR(IF([1]财务取数接口!$I$148=0,"",[1]财务取数接口!$I$148),""))</f>
        <v/>
      </c>
      <c r="I149" s="43"/>
      <c r="J149" s="106"/>
      <c r="K149" s="43"/>
      <c r="L149" s="43"/>
      <c r="M149" s="107"/>
      <c r="N149" s="107"/>
      <c r="O149" s="106"/>
      <c r="P149" s="139">
        <f t="shared" si="4"/>
        <v>0</v>
      </c>
      <c r="Q149" s="139">
        <f t="shared" si="5"/>
        <v>0</v>
      </c>
    </row>
    <row r="150" spans="1:17">
      <c r="A150" s="74">
        <v>149</v>
      </c>
      <c r="B150" s="138" t="str">
        <f>IF($T$4=0,IF($I150="","",$I150),IFERROR(IF([1]财务取数接口!$B$149=0,"",[1]财务取数接口!$B$149),""))</f>
        <v/>
      </c>
      <c r="C150" s="75" t="str">
        <f>IF($T$4=0,IF($J150="","",$J150),IFERROR(IF([1]财务取数接口!$C$149=0,"",[1]财务取数接口!$C$149),""))</f>
        <v>周转筐托盘采购入库</v>
      </c>
      <c r="D150" s="89" t="str">
        <f>IF($T$4=0,IF($K150="","",$K150),IFERROR(IF([1]财务取数接口!$D$149=0,"",[1]财务取数接口!$D$149),""))</f>
        <v/>
      </c>
      <c r="E150" s="89" t="str">
        <f>IF($T$4=0,IF($L150="","",$L150),IFERROR(IF([1]财务取数接口!$E$149=0,"",[1]财务取数接口!$E$149),""))</f>
        <v>个</v>
      </c>
      <c r="F150" s="76" t="str">
        <f>IF($T$4=0,IF($M150="","",$M150),IFERROR(IF([1]财务取数接口!$G$149=0,"",[1]财务取数接口!$G$149),""))</f>
        <v/>
      </c>
      <c r="G150" s="76" t="str">
        <f>IF($T$4=0,IF($N150="","",$N150),IFERROR(IF([1]财务取数接口!$H$149=0,"",[1]财务取数接口!$H$149),""))</f>
        <v/>
      </c>
      <c r="H150" s="75" t="str">
        <f>IF($T$4=0,IF($O150="","",$O150),IFERROR(IF([1]财务取数接口!$I$149=0,"",[1]财务取数接口!$I$149),""))</f>
        <v/>
      </c>
      <c r="I150" s="43"/>
      <c r="J150" s="106"/>
      <c r="K150" s="43"/>
      <c r="L150" s="43"/>
      <c r="M150" s="107"/>
      <c r="N150" s="107"/>
      <c r="O150" s="106"/>
      <c r="P150" s="139">
        <f t="shared" si="4"/>
        <v>0</v>
      </c>
      <c r="Q150" s="139">
        <f t="shared" si="5"/>
        <v>0</v>
      </c>
    </row>
    <row r="151" spans="1:17">
      <c r="A151" s="74">
        <v>150</v>
      </c>
      <c r="B151" s="138" t="str">
        <f>IF($T$4=0,IF($I151="","",$I151),IFERROR(IF([1]财务取数接口!$B$150=0,"",[1]财务取数接口!$B$150),""))</f>
        <v/>
      </c>
      <c r="C151" s="75" t="str">
        <f>IF($T$4=0,IF($J151="","",$J151),IFERROR(IF([1]财务取数接口!$C$150=0,"",[1]财务取数接口!$C$150),""))</f>
        <v>周转筐托盘采购入库</v>
      </c>
      <c r="D151" s="89" t="str">
        <f>IF($T$4=0,IF($K151="","",$K151),IFERROR(IF([1]财务取数接口!$D$150=0,"",[1]财务取数接口!$D$150),""))</f>
        <v/>
      </c>
      <c r="E151" s="89" t="str">
        <f>IF($T$4=0,IF($L151="","",$L151),IFERROR(IF([1]财务取数接口!$E$150=0,"",[1]财务取数接口!$E$150),""))</f>
        <v>个</v>
      </c>
      <c r="F151" s="76" t="str">
        <f>IF($T$4=0,IF($M151="","",$M151),IFERROR(IF([1]财务取数接口!$G$150=0,"",[1]财务取数接口!$G$150),""))</f>
        <v/>
      </c>
      <c r="G151" s="76" t="str">
        <f>IF($T$4=0,IF($N151="","",$N151),IFERROR(IF([1]财务取数接口!$H$150=0,"",[1]财务取数接口!$H$150),""))</f>
        <v/>
      </c>
      <c r="H151" s="75" t="str">
        <f>IF($T$4=0,IF($O151="","",$O151),IFERROR(IF([1]财务取数接口!$I$150=0,"",[1]财务取数接口!$I$150),""))</f>
        <v/>
      </c>
      <c r="I151" s="43"/>
      <c r="J151" s="106"/>
      <c r="K151" s="43"/>
      <c r="L151" s="43"/>
      <c r="M151" s="107"/>
      <c r="N151" s="107"/>
      <c r="O151" s="106"/>
      <c r="P151" s="139">
        <f t="shared" si="4"/>
        <v>0</v>
      </c>
      <c r="Q151" s="139">
        <f t="shared" si="5"/>
        <v>0</v>
      </c>
    </row>
    <row r="152" spans="1:17">
      <c r="A152" s="74">
        <v>151</v>
      </c>
      <c r="B152" s="89" t="str">
        <f>IF($T$4=0,IF($I152="","",$I152),IFERROR(IF([1]财务取数接口!$B$151=0,"",[1]财务取数接口!$B$151),""))</f>
        <v/>
      </c>
      <c r="C152" s="75" t="str">
        <f>IF($T$4=0,IF($J152="","",$J152),IFERROR(IF([1]财务取数接口!$C$151=0,"",[1]财务取数接口!$C$151),""))</f>
        <v/>
      </c>
      <c r="D152" s="89" t="str">
        <f>IF($T$4=0,IF($K152="","",$K152),IFERROR(IF([1]财务取数接口!$D$151=0,"",[1]财务取数接口!$D$151),""))</f>
        <v/>
      </c>
      <c r="E152" s="89" t="str">
        <f>IF($T$4=0,IF($L152="","",$L152),IFERROR(IF([1]财务取数接口!$E$151=0,"",[1]财务取数接口!$E$151),""))</f>
        <v/>
      </c>
      <c r="F152" s="76" t="str">
        <f>IF($T$4=0,IF($M152="","",$M152),IFERROR(IF([1]财务取数接口!$G$151=0,"",[1]财务取数接口!$G$151),""))</f>
        <v/>
      </c>
      <c r="G152" s="76" t="str">
        <f>IF($T$4=0,IF($N152="","",$N152),IFERROR(IF([1]财务取数接口!$H$151=0,"",[1]财务取数接口!$H$151),""))</f>
        <v/>
      </c>
      <c r="H152" s="75" t="str">
        <f>IF($T$4=0,IF($O152="","",$O152),IFERROR(IF([1]财务取数接口!$I$151=0,"",[1]财务取数接口!$I$151),""))</f>
        <v/>
      </c>
      <c r="I152" s="43"/>
      <c r="J152" s="106"/>
      <c r="K152" s="43"/>
      <c r="L152" s="43"/>
      <c r="M152" s="107"/>
      <c r="N152" s="107"/>
      <c r="O152" s="106"/>
      <c r="P152" s="139">
        <f t="shared" si="4"/>
        <v>0</v>
      </c>
      <c r="Q152" s="139">
        <f t="shared" si="5"/>
        <v>0</v>
      </c>
    </row>
    <row r="153" spans="1:17">
      <c r="A153" s="74">
        <v>152</v>
      </c>
      <c r="B153" s="89" t="str">
        <f>IF($T$4=0,IF($I153="","",$I153),IFERROR(IF([1]财务取数接口!$B$152=0,"",[1]财务取数接口!$B$152),""))</f>
        <v/>
      </c>
      <c r="C153" s="75" t="str">
        <f>IF($T$4=0,IF($J153="","",$J153),IFERROR(IF([1]财务取数接口!$C$152=0,"",[1]财务取数接口!$C$152),""))</f>
        <v/>
      </c>
      <c r="D153" s="89" t="str">
        <f>IF($T$4=0,IF($K153="","",$K153),IFERROR(IF([1]财务取数接口!$D$152=0,"",[1]财务取数接口!$D$152),""))</f>
        <v/>
      </c>
      <c r="E153" s="89" t="str">
        <f>IF($T$4=0,IF($L153="","",$L153),IFERROR(IF([1]财务取数接口!$E$152=0,"",[1]财务取数接口!$E$152),""))</f>
        <v/>
      </c>
      <c r="F153" s="76" t="str">
        <f>IF($T$4=0,IF($M153="","",$M153),IFERROR(IF([1]财务取数接口!$G$152=0,"",[1]财务取数接口!$G$152),""))</f>
        <v/>
      </c>
      <c r="G153" s="76" t="str">
        <f>IF($T$4=0,IF($N153="","",$N153),IFERROR(IF([1]财务取数接口!$H$152=0,"",[1]财务取数接口!$H$152),""))</f>
        <v/>
      </c>
      <c r="H153" s="75" t="str">
        <f>IF($T$4=0,IF($O153="","",$O153),IFERROR(IF([1]财务取数接口!$I$152=0,"",[1]财务取数接口!$I$152),""))</f>
        <v/>
      </c>
      <c r="I153" s="43"/>
      <c r="J153" s="106"/>
      <c r="K153" s="43"/>
      <c r="L153" s="43"/>
      <c r="M153" s="107"/>
      <c r="N153" s="107"/>
      <c r="O153" s="106"/>
      <c r="P153" s="139">
        <f t="shared" si="4"/>
        <v>0</v>
      </c>
      <c r="Q153" s="139">
        <f t="shared" si="5"/>
        <v>0</v>
      </c>
    </row>
    <row r="154" spans="1:17">
      <c r="A154" s="74">
        <v>153</v>
      </c>
      <c r="B154" s="89" t="str">
        <f>IF($T$4=0,IF($I154="","",$I154),IFERROR(IF([1]财务取数接口!$B$153=0,"",[1]财务取数接口!$B$153),""))</f>
        <v>年月</v>
      </c>
      <c r="C154" s="75" t="str">
        <f>IF($T$4=0,IF($J154="","",$J154),IFERROR(IF([1]财务取数接口!$C$153=0,"",[1]财务取数接口!$C$153),""))</f>
        <v>项目</v>
      </c>
      <c r="D154" s="89" t="str">
        <f>IF($T$4=0,IF($K154="","",$K154),IFERROR(IF([1]财务取数接口!$D$153=0,"",[1]财务取数接口!$D$153),""))</f>
        <v>计费数量</v>
      </c>
      <c r="E154" s="89" t="str">
        <f>IF($T$4=0,IF($L154="","",$L154),IFERROR(IF([1]财务取数接口!$E$153=0,"",[1]财务取数接口!$E$153),""))</f>
        <v>计量单位</v>
      </c>
      <c r="F154" s="76" t="str">
        <f>IF($T$4=0,IF($M154="","",$M154),IFERROR(IF([1]财务取数接口!$G$153=0,"",[1]财务取数接口!$G$153),""))</f>
        <v>价税合计金额</v>
      </c>
      <c r="G154" s="76" t="str">
        <f>IF($T$4=0,IF($N154="","",$N154),IFERROR(IF([1]财务取数接口!$H$153=0,"",[1]财务取数接口!$H$153),""))</f>
        <v>已收金额</v>
      </c>
      <c r="H154" s="75" t="str">
        <f>IF($T$4=0,IF($O154="","",$O154),IFERROR(IF([1]财务取数接口!$I$153=0,"",[1]财务取数接口!$I$153),""))</f>
        <v>备注</v>
      </c>
      <c r="I154" s="43"/>
      <c r="J154" s="106"/>
      <c r="K154" s="43"/>
      <c r="L154" s="43"/>
      <c r="M154" s="107"/>
      <c r="N154" s="107"/>
      <c r="O154" s="106"/>
      <c r="P154" s="139">
        <f t="shared" si="4"/>
        <v>0</v>
      </c>
      <c r="Q154" s="139">
        <f t="shared" si="5"/>
        <v>0</v>
      </c>
    </row>
    <row r="155" spans="1:17">
      <c r="A155" s="74">
        <v>154</v>
      </c>
      <c r="B155" s="89" t="str">
        <f>IF($T$4=0,IF($I155="","",$I155),IFERROR(IF([1]财务取数接口!$B$154=0,"",[1]财务取数接口!$B$154),""))</f>
        <v/>
      </c>
      <c r="C155" s="75" t="str">
        <f>IF($T$4=0,IF($J155="","",$J155),IFERROR(IF([1]财务取数接口!$C$154=0,"",[1]财务取数接口!$C$154),""))</f>
        <v>包装物料期末库存</v>
      </c>
      <c r="D155" s="89">
        <f>IF($T$4=0,IF($K155="","",$K155),IFERROR(IF([1]财务取数接口!$D$154=0,"",[1]财务取数接口!$D$154),""))</f>
        <v>23490</v>
      </c>
      <c r="E155" s="89" t="str">
        <f>IF($T$4=0,IF($L155="","",$L155),IFERROR(IF([1]财务取数接口!$E$154=0,"",[1]财务取数接口!$E$154),""))</f>
        <v>包</v>
      </c>
      <c r="F155" s="76" t="str">
        <f>IF($T$4=0,IF($M155="","",$M155),IFERROR(IF([1]财务取数接口!$G$154=0,"",[1]财务取数接口!$G$154),""))</f>
        <v/>
      </c>
      <c r="G155" s="76" t="str">
        <f>IF($T$4=0,IF($N155="","",$N155),IFERROR(IF([1]财务取数接口!$H$154=0,"",[1]财务取数接口!$H$154),""))</f>
        <v/>
      </c>
      <c r="H155" s="75" t="str">
        <f>IF($T$4=0,IF($O155="","",$O155),IFERROR(IF([1]财务取数接口!$I$154=0,"",[1]财务取数接口!$I$154),""))</f>
        <v/>
      </c>
      <c r="I155" s="43"/>
      <c r="J155" s="106"/>
      <c r="K155" s="43"/>
      <c r="L155" s="43"/>
      <c r="M155" s="107"/>
      <c r="N155" s="107"/>
      <c r="O155" s="106"/>
      <c r="P155" s="139">
        <f t="shared" si="4"/>
        <v>1</v>
      </c>
      <c r="Q155" s="139">
        <f t="shared" si="5"/>
        <v>1</v>
      </c>
    </row>
    <row r="156" spans="1:17">
      <c r="A156" s="74">
        <v>155</v>
      </c>
      <c r="B156" s="89" t="str">
        <f>IF($T$4=0,IF($I156="","",$I156),IFERROR(IF([1]财务取数接口!$B$155=0,"",[1]财务取数接口!$B$155),""))</f>
        <v/>
      </c>
      <c r="C156" s="75" t="str">
        <f>IF($T$4=0,IF($J156="","",$J156),IFERROR(IF([1]财务取数接口!$C$155=0,"",[1]财务取数接口!$C$155),""))</f>
        <v>公司筐子期末总量</v>
      </c>
      <c r="D156" s="89">
        <f>IF($T$4=0,IF($K156="","",$K156),IFERROR(IF([1]财务取数接口!$D$155=0,"",[1]财务取数接口!$D$155),""))</f>
        <v>180226</v>
      </c>
      <c r="E156" s="89" t="str">
        <f>IF($T$4=0,IF($L156="","",$L156),IFERROR(IF([1]财务取数接口!$E$155=0,"",[1]财务取数接口!$E$155),""))</f>
        <v>个</v>
      </c>
      <c r="F156" s="76" t="str">
        <f>IF($T$4=0,IF($M156="","",$M156),IFERROR(IF([1]财务取数接口!$G$155=0,"",[1]财务取数接口!$G$155),""))</f>
        <v/>
      </c>
      <c r="G156" s="76" t="str">
        <f>IF($T$4=0,IF($N156="","",$N156),IFERROR(IF([1]财务取数接口!$H$155=0,"",[1]财务取数接口!$H$155),""))</f>
        <v/>
      </c>
      <c r="H156" s="75" t="str">
        <f>IF($T$4=0,IF($O156="","",$O156),IFERROR(IF([1]财务取数接口!$I$155=0,"",[1]财务取数接口!$I$155),""))</f>
        <v/>
      </c>
      <c r="I156" s="43"/>
      <c r="J156" s="106"/>
      <c r="K156" s="43"/>
      <c r="L156" s="43"/>
      <c r="M156" s="107"/>
      <c r="N156" s="107"/>
      <c r="O156" s="106"/>
      <c r="P156" s="139">
        <f t="shared" si="4"/>
        <v>1</v>
      </c>
      <c r="Q156" s="139">
        <f t="shared" si="5"/>
        <v>2</v>
      </c>
    </row>
    <row r="157" spans="1:17">
      <c r="A157" s="74">
        <v>156</v>
      </c>
      <c r="B157" s="89" t="str">
        <f>IF($T$4=0,IF($I157="","",$I157),IFERROR(IF([1]财务取数接口!$B$156=0,"",[1]财务取数接口!$B$156),""))</f>
        <v/>
      </c>
      <c r="C157" s="75" t="str">
        <f>IF($T$4=0,IF($J157="","",$J157),IFERROR(IF([1]财务取数接口!$C$156=0,"",[1]财务取数接口!$C$156),""))</f>
        <v>客户自备筐结存（表外备查）</v>
      </c>
      <c r="D157" s="89">
        <f>IF($T$4=0,IF($K157="","",$K157),IFERROR(IF([1]财务取数接口!$D$156=0,"",[1]财务取数接口!$D$156),""))</f>
        <v>2362</v>
      </c>
      <c r="E157" s="89" t="str">
        <f>IF($T$4=0,IF($L157="","",$L157),IFERROR(IF([1]财务取数接口!$E$156=0,"",[1]财务取数接口!$E$156),""))</f>
        <v>个</v>
      </c>
      <c r="F157" s="76" t="str">
        <f>IF($T$4=0,IF($M157="","",$M157),IFERROR(IF([1]财务取数接口!$G$156=0,"",[1]财务取数接口!$G$156),""))</f>
        <v/>
      </c>
      <c r="G157" s="76" t="str">
        <f>IF($T$4=0,IF($N157="","",$N157),IFERROR(IF([1]财务取数接口!$H$156=0,"",[1]财务取数接口!$H$156),""))</f>
        <v/>
      </c>
      <c r="H157" s="75" t="str">
        <f>IF($T$4=0,IF($O157="","",$O157),IFERROR(IF([1]财务取数接口!$I$156=0,"",[1]财务取数接口!$I$156),""))</f>
        <v/>
      </c>
      <c r="I157" s="43"/>
      <c r="J157" s="106"/>
      <c r="K157" s="43"/>
      <c r="L157" s="43"/>
      <c r="M157" s="107"/>
      <c r="N157" s="107"/>
      <c r="O157" s="106"/>
      <c r="P157" s="139">
        <f t="shared" si="4"/>
        <v>1</v>
      </c>
      <c r="Q157" s="139">
        <f t="shared" si="5"/>
        <v>3</v>
      </c>
    </row>
    <row r="158" ht="22" customHeight="1" spans="1:17">
      <c r="A158" s="74">
        <v>157</v>
      </c>
      <c r="B158" s="89" t="str">
        <f>IF($T$4=0,IF($I158="","",$I158),IFERROR(IF([1]财务取数接口!$B$157=0,"",[1]财务取数接口!$B$157),""))</f>
        <v/>
      </c>
      <c r="C158" s="75" t="str">
        <f>IF($T$4=0,IF($J158="","",$J158),IFERROR(IF([1]财务取数接口!$C$157=0,"",[1]财务取数接口!$C$157),""))</f>
        <v/>
      </c>
      <c r="D158" s="89" t="str">
        <f>IF($T$4=0,IF($K158="","",$K158),IFERROR(IF([1]财务取数接口!$D$157=0,"",[1]财务取数接口!$D$157),""))</f>
        <v/>
      </c>
      <c r="E158" s="89" t="str">
        <f>IF($T$4=0,IF($L158="","",$L158),IFERROR(IF([1]财务取数接口!$E$157=0,"",[1]财务取数接口!$E$157),""))</f>
        <v/>
      </c>
      <c r="F158" s="76" t="str">
        <f>IF($T$4=0,IF($M158="","",$M158),IFERROR(IF([1]财务取数接口!$G$157=0,"",[1]财务取数接口!$G$157),""))</f>
        <v/>
      </c>
      <c r="G158" s="76" t="str">
        <f>IF($T$4=0,IF($N158="","",$N158),IFERROR(IF([1]财务取数接口!$H$157=0,"",[1]财务取数接口!$H$157),""))</f>
        <v/>
      </c>
      <c r="H158" s="75" t="str">
        <f>IF($T$4=0,IF($O158="","",$O158),IFERROR(IF([1]财务取数接口!$I$157=0,"",[1]财务取数接口!$I$157),""))</f>
        <v/>
      </c>
      <c r="I158" s="43"/>
      <c r="J158" s="106"/>
      <c r="K158" s="43"/>
      <c r="L158" s="43"/>
      <c r="M158" s="107"/>
      <c r="N158" s="107"/>
      <c r="O158" s="106"/>
      <c r="P158" s="139">
        <f t="shared" si="4"/>
        <v>0</v>
      </c>
      <c r="Q158" s="139">
        <f t="shared" si="5"/>
        <v>3</v>
      </c>
    </row>
    <row r="159" spans="1:17">
      <c r="A159" s="74">
        <v>158</v>
      </c>
      <c r="B159" s="89" t="str">
        <f>IF($T$4=0,IF($I159="","",$I159),IFERROR(IF([1]财务取数接口!$B$158=0,"",[1]财务取数接口!$B$158),""))</f>
        <v/>
      </c>
      <c r="C159" s="75" t="str">
        <f>IF($T$4=0,IF($J159="","",$J159),IFERROR(IF([1]财务取数接口!$C$158=0,"",[1]财务取数接口!$C$158),""))</f>
        <v/>
      </c>
      <c r="D159" s="89" t="str">
        <f>IF($T$4=0,IF($K159="","",$K159),IFERROR(IF([1]财务取数接口!$D$158=0,"",[1]财务取数接口!$D$158),""))</f>
        <v/>
      </c>
      <c r="E159" s="89" t="str">
        <f>IF($T$4=0,IF($L159="","",$L159),IFERROR(IF([1]财务取数接口!$E$158=0,"",[1]财务取数接口!$E$158),""))</f>
        <v/>
      </c>
      <c r="F159" s="76" t="str">
        <f>IF($T$4=0,IF($M159="","",$M159),IFERROR(IF([1]财务取数接口!$G$158=0,"",[1]财务取数接口!$G$158),""))</f>
        <v/>
      </c>
      <c r="G159" s="76" t="str">
        <f>IF($T$4=0,IF($N159="","",$N159),IFERROR(IF([1]财务取数接口!$H$158=0,"",[1]财务取数接口!$H$158),""))</f>
        <v/>
      </c>
      <c r="H159" s="75" t="str">
        <f>IF($T$4=0,IF($O159="","",$O159),IFERROR(IF([1]财务取数接口!$I$158=0,"",[1]财务取数接口!$I$158),""))</f>
        <v/>
      </c>
      <c r="I159" s="43"/>
      <c r="J159" s="106"/>
      <c r="K159" s="43"/>
      <c r="L159" s="43"/>
      <c r="M159" s="107"/>
      <c r="N159" s="107"/>
      <c r="O159" s="106"/>
      <c r="P159" s="139">
        <f t="shared" si="4"/>
        <v>0</v>
      </c>
      <c r="Q159" s="139">
        <f t="shared" si="5"/>
        <v>3</v>
      </c>
    </row>
    <row r="160" spans="1:17">
      <c r="A160" s="74">
        <v>159</v>
      </c>
      <c r="B160" s="89" t="str">
        <f>IF($T$4=0,IF($I160="","",$I160),IFERROR(IF([1]财务取数接口!$B$159=0,"",[1]财务取数接口!$B$159),""))</f>
        <v>往来单位</v>
      </c>
      <c r="C160" s="75" t="str">
        <f>IF($T$4=0,IF($J160="","",$J160),IFERROR(IF([1]财务取数接口!$C$159=0,"",[1]财务取数接口!$C$159),""))</f>
        <v>项目</v>
      </c>
      <c r="D160" s="89" t="str">
        <f>IF($T$4=0,IF($K160="","",$K160),IFERROR(IF([1]财务取数接口!$D$159=0,"",[1]财务取数接口!$D$159),""))</f>
        <v>应收发生额</v>
      </c>
      <c r="E160" s="89" t="str">
        <f>IF($T$4=0,IF($L160="","",$L160),IFERROR(IF([1]财务取数接口!$E$159=0,"",[1]财务取数接口!$E$159),""))</f>
        <v>应付发生额</v>
      </c>
      <c r="F160" s="76" t="str">
        <f>IF($T$4=0,IF($M160="","",$M160),IFERROR(IF([1]财务取数接口!$G$159=0,"",[1]财务取数接口!$G$159),""))</f>
        <v>应收合计</v>
      </c>
      <c r="G160" s="76" t="str">
        <f>IF($T$4=0,IF($N160="","",$N160),IFERROR(IF([1]财务取数接口!$H$159=0,"",[1]财务取数接口!$H$159),""))</f>
        <v>已收金额</v>
      </c>
      <c r="H160" s="75" t="str">
        <f>IF($T$4=0,IF($O160="","",$O160),IFERROR(IF([1]财务取数接口!$I$159=0,"",[1]财务取数接口!$I$159),""))</f>
        <v>备注</v>
      </c>
      <c r="I160" s="43"/>
      <c r="J160" s="106"/>
      <c r="K160" s="43"/>
      <c r="L160" s="43"/>
      <c r="M160" s="107"/>
      <c r="N160" s="107"/>
      <c r="O160" s="106"/>
      <c r="P160" s="139">
        <f t="shared" si="4"/>
        <v>0</v>
      </c>
      <c r="Q160" s="139">
        <f t="shared" si="5"/>
        <v>3</v>
      </c>
    </row>
    <row r="161" spans="1:17">
      <c r="A161" s="74">
        <v>160</v>
      </c>
      <c r="B161" s="89" t="str">
        <f>IF($T$4=0,IF($I161="","",$I161),IFERROR(IF([1]财务取数接口!$B$160=0,"",[1]财务取数接口!$B$160),""))</f>
        <v>聂新平</v>
      </c>
      <c r="C161" s="75" t="str">
        <f>IF($T$4=0,IF($J161="","",$J161),IFERROR(IF([1]财务取数接口!$C$160=0,"",[1]财务取数接口!$C$160),""))</f>
        <v>筐子销售款</v>
      </c>
      <c r="D161" s="89" t="str">
        <f>IF($T$4=0,IF($K161="","",$K161),IFERROR(IF([1]财务取数接口!$D$160=0,"",[1]财务取数接口!$D$160),""))</f>
        <v/>
      </c>
      <c r="E161" s="89" t="str">
        <f>IF($T$4=0,IF($L161="","",$L161),IFERROR(IF([1]财务取数接口!$E$160=0,"",[1]财务取数接口!$E$160),""))</f>
        <v/>
      </c>
      <c r="F161" s="76" t="str">
        <f>IF($T$4=0,IF($M161="","",$M161),IFERROR(IF([1]财务取数接口!$G$160=0,"",[1]财务取数接口!$G$160),""))</f>
        <v/>
      </c>
      <c r="G161" s="76" t="str">
        <f>IF($T$4=0,IF($N161="","",$N161),IFERROR(IF([1]财务取数接口!$H$160=0,"",[1]财务取数接口!$H$160),""))</f>
        <v/>
      </c>
      <c r="H161" s="75" t="str">
        <f>IF($T$4=0,IF($O161="","",$O161),IFERROR(IF([1]财务取数接口!$I$160=0,"",[1]财务取数接口!$I$160),""))</f>
        <v/>
      </c>
      <c r="I161" s="43"/>
      <c r="J161" s="106"/>
      <c r="K161" s="43"/>
      <c r="L161" s="43"/>
      <c r="M161" s="107"/>
      <c r="N161" s="107"/>
      <c r="O161" s="106"/>
      <c r="P161" s="139">
        <f t="shared" si="4"/>
        <v>0</v>
      </c>
      <c r="Q161" s="139">
        <f t="shared" si="5"/>
        <v>3</v>
      </c>
    </row>
    <row r="162" spans="1:17">
      <c r="A162" s="74">
        <v>161</v>
      </c>
      <c r="B162" s="89" t="str">
        <f>IF($T$4=0,IF($I162="","",$I162),IFERROR(IF([1]财务取数接口!$B$161=0,"",[1]财务取数接口!$B$161),""))</f>
        <v>聂新平</v>
      </c>
      <c r="C162" s="75" t="str">
        <f>IF($T$4=0,IF($J162="","",$J162),IFERROR(IF([1]财务取数接口!$C$161=0,"",[1]财务取数接口!$C$161),""))</f>
        <v>物料销售款</v>
      </c>
      <c r="D162" s="89" t="str">
        <f>IF($T$4=0,IF($K162="","",$K162),IFERROR(IF([1]财务取数接口!$D$161=0,"",[1]财务取数接口!$D$161),""))</f>
        <v/>
      </c>
      <c r="E162" s="89" t="str">
        <f>IF($T$4=0,IF($L162="","",$L162),IFERROR(IF([1]财务取数接口!$E$161=0,"",[1]财务取数接口!$E$161),""))</f>
        <v/>
      </c>
      <c r="F162" s="76" t="str">
        <f>IF($T$4=0,IF($M162="","",$M162),IFERROR(IF([1]财务取数接口!$G$161=0,"",[1]财务取数接口!$G$161),""))</f>
        <v/>
      </c>
      <c r="G162" s="76" t="str">
        <f>IF($T$4=0,IF($N162="","",$N162),IFERROR(IF([1]财务取数接口!$H$161=0,"",[1]财务取数接口!$H$161),""))</f>
        <v/>
      </c>
      <c r="H162" s="75" t="str">
        <f>IF($T$4=0,IF($O162="","",$O162),IFERROR(IF([1]财务取数接口!$I$161=0,"",[1]财务取数接口!$I$161),""))</f>
        <v/>
      </c>
      <c r="I162" s="43"/>
      <c r="J162" s="106"/>
      <c r="K162" s="43"/>
      <c r="L162" s="43"/>
      <c r="M162" s="107"/>
      <c r="N162" s="107"/>
      <c r="O162" s="106"/>
      <c r="P162" s="139">
        <f t="shared" si="4"/>
        <v>0</v>
      </c>
      <c r="Q162" s="139">
        <f t="shared" si="5"/>
        <v>3</v>
      </c>
    </row>
    <row r="163" spans="1:17">
      <c r="A163" s="74">
        <v>162</v>
      </c>
      <c r="B163" s="89" t="str">
        <f>IF($T$4=0,IF($I163="","",$I163),IFERROR(IF([1]财务取数接口!$B$162=0,"",[1]财务取数接口!$B$162),""))</f>
        <v>王照雪</v>
      </c>
      <c r="C163" s="75" t="str">
        <f>IF($T$4=0,IF($J163="","",$J163),IFERROR(IF([1]财务取数接口!$C$162=0,"",[1]财务取数接口!$C$162),""))</f>
        <v>筐子销售款</v>
      </c>
      <c r="D163" s="89" t="str">
        <f>IF($T$4=0,IF($K163="","",$K163),IFERROR(IF([1]财务取数接口!$D$162=0,"",[1]财务取数接口!$D$162),""))</f>
        <v/>
      </c>
      <c r="E163" s="89" t="str">
        <f>IF($T$4=0,IF($L163="","",$L163),IFERROR(IF([1]财务取数接口!$E$162=0,"",[1]财务取数接口!$E$162),""))</f>
        <v/>
      </c>
      <c r="F163" s="76" t="str">
        <f>IF($T$4=0,IF($M163="","",$M163),IFERROR(IF([1]财务取数接口!$G$162=0,"",[1]财务取数接口!$G$162),""))</f>
        <v/>
      </c>
      <c r="G163" s="76" t="str">
        <f>IF($T$4=0,IF($N163="","",$N163),IFERROR(IF([1]财务取数接口!$H$162=0,"",[1]财务取数接口!$H$162),""))</f>
        <v/>
      </c>
      <c r="H163" s="75" t="str">
        <f>IF($T$4=0,IF($O163="","",$O163),IFERROR(IF([1]财务取数接口!$I$162=0,"",[1]财务取数接口!$I$162),""))</f>
        <v/>
      </c>
      <c r="I163" s="43"/>
      <c r="J163" s="106"/>
      <c r="K163" s="43"/>
      <c r="L163" s="43"/>
      <c r="M163" s="107"/>
      <c r="N163" s="107"/>
      <c r="O163" s="106"/>
      <c r="P163" s="139">
        <f t="shared" si="4"/>
        <v>0</v>
      </c>
      <c r="Q163" s="139">
        <f t="shared" si="5"/>
        <v>3</v>
      </c>
    </row>
    <row r="164" spans="1:17">
      <c r="A164" s="74">
        <v>163</v>
      </c>
      <c r="B164" s="89" t="str">
        <f>IF($T$4=0,IF($I164="","",$I164),IFERROR(IF([1]财务取数接口!$B$163=0,"",[1]财务取数接口!$B$163),""))</f>
        <v>王照雪</v>
      </c>
      <c r="C164" s="75" t="str">
        <f>IF($T$4=0,IF($J164="","",$J164),IFERROR(IF([1]财务取数接口!$C$163=0,"",[1]财务取数接口!$C$163),""))</f>
        <v>物料销售款</v>
      </c>
      <c r="D164" s="89" t="str">
        <f>IF($T$4=0,IF($K164="","",$K164),IFERROR(IF([1]财务取数接口!$D$163=0,"",[1]财务取数接口!$D$163),""))</f>
        <v/>
      </c>
      <c r="E164" s="89" t="str">
        <f>IF($T$4=0,IF($L164="","",$L164),IFERROR(IF([1]财务取数接口!$E$163=0,"",[1]财务取数接口!$E$163),""))</f>
        <v/>
      </c>
      <c r="F164" s="76" t="str">
        <f>IF($T$4=0,IF($M164="","",$M164),IFERROR(IF([1]财务取数接口!$G$163=0,"",[1]财务取数接口!$G$163),""))</f>
        <v/>
      </c>
      <c r="G164" s="76" t="str">
        <f>IF($T$4=0,IF($N164="","",$N164),IFERROR(IF([1]财务取数接口!$H$163=0,"",[1]财务取数接口!$H$163),""))</f>
        <v/>
      </c>
      <c r="H164" s="75" t="str">
        <f>IF($T$4=0,IF($O164="","",$O164),IFERROR(IF([1]财务取数接口!$I$163=0,"",[1]财务取数接口!$I$163),""))</f>
        <v/>
      </c>
      <c r="I164" s="43"/>
      <c r="J164" s="106"/>
      <c r="K164" s="43"/>
      <c r="L164" s="43"/>
      <c r="M164" s="107"/>
      <c r="N164" s="107"/>
      <c r="O164" s="106"/>
      <c r="P164" s="139">
        <f t="shared" si="4"/>
        <v>0</v>
      </c>
      <c r="Q164" s="139">
        <f t="shared" si="5"/>
        <v>3</v>
      </c>
    </row>
    <row r="165" spans="1:17">
      <c r="A165" s="74">
        <v>164</v>
      </c>
      <c r="B165" s="89" t="str">
        <f>IF($T$4=0,IF($I165="","",$I165),IFERROR(IF([1]财务取数接口!$B$164=0,"",[1]财务取数接口!$B$164),""))</f>
        <v>伍元虎</v>
      </c>
      <c r="C165" s="75" t="str">
        <f>IF($T$4=0,IF($J165="","",$J165),IFERROR(IF([1]财务取数接口!$C$164=0,"",[1]财务取数接口!$C$164),""))</f>
        <v>筐子销售款</v>
      </c>
      <c r="D165" s="89" t="str">
        <f>IF($T$4=0,IF($K165="","",$K165),IFERROR(IF([1]财务取数接口!$D$164=0,"",[1]财务取数接口!$D$164),""))</f>
        <v/>
      </c>
      <c r="E165" s="89" t="str">
        <f>IF($T$4=0,IF($L165="","",$L165),IFERROR(IF([1]财务取数接口!$E$164=0,"",[1]财务取数接口!$E$164),""))</f>
        <v/>
      </c>
      <c r="F165" s="76" t="str">
        <f>IF($T$4=0,IF($M165="","",$M165),IFERROR(IF([1]财务取数接口!$G$164=0,"",[1]财务取数接口!$G$164),""))</f>
        <v/>
      </c>
      <c r="G165" s="76" t="str">
        <f>IF($T$4=0,IF($N165="","",$N165),IFERROR(IF([1]财务取数接口!$H$164=0,"",[1]财务取数接口!$H$164),""))</f>
        <v/>
      </c>
      <c r="H165" s="75" t="str">
        <f>IF($T$4=0,IF($O165="","",$O165),IFERROR(IF([1]财务取数接口!$I$164=0,"",[1]财务取数接口!$I$164),""))</f>
        <v/>
      </c>
      <c r="I165" s="43"/>
      <c r="J165" s="106"/>
      <c r="K165" s="43"/>
      <c r="L165" s="43"/>
      <c r="M165" s="107"/>
      <c r="N165" s="107"/>
      <c r="O165" s="106"/>
      <c r="P165" s="139">
        <f t="shared" si="4"/>
        <v>0</v>
      </c>
      <c r="Q165" s="139">
        <f t="shared" si="5"/>
        <v>3</v>
      </c>
    </row>
    <row r="166" spans="1:17">
      <c r="A166" s="74">
        <v>165</v>
      </c>
      <c r="B166" s="89" t="str">
        <f>IF($T$4=0,IF($I166="","",$I166),IFERROR(IF([1]财务取数接口!$B$165=0,"",[1]财务取数接口!$B$165),""))</f>
        <v>伍元虎</v>
      </c>
      <c r="C166" s="75" t="str">
        <f>IF($T$4=0,IF($J166="","",$J166),IFERROR(IF([1]财务取数接口!$C$165=0,"",[1]财务取数接口!$C$165),""))</f>
        <v>物料销售款</v>
      </c>
      <c r="D166" s="89" t="str">
        <f>IF($T$4=0,IF($K166="","",$K166),IFERROR(IF([1]财务取数接口!$D$165=0,"",[1]财务取数接口!$D$165),""))</f>
        <v/>
      </c>
      <c r="E166" s="89" t="str">
        <f>IF($T$4=0,IF($L166="","",$L166),IFERROR(IF([1]财务取数接口!$E$165=0,"",[1]财务取数接口!$E$165),""))</f>
        <v/>
      </c>
      <c r="F166" s="76" t="str">
        <f>IF($T$4=0,IF($M166="","",$M166),IFERROR(IF([1]财务取数接口!$G$165=0,"",[1]财务取数接口!$G$165),""))</f>
        <v/>
      </c>
      <c r="G166" s="76" t="str">
        <f>IF($T$4=0,IF($N166="","",$N166),IFERROR(IF([1]财务取数接口!$H$165=0,"",[1]财务取数接口!$H$165),""))</f>
        <v/>
      </c>
      <c r="H166" s="75" t="str">
        <f>IF($T$4=0,IF($O166="","",$O166),IFERROR(IF([1]财务取数接口!$I$165=0,"",[1]财务取数接口!$I$165),""))</f>
        <v/>
      </c>
      <c r="I166" s="43"/>
      <c r="J166" s="106"/>
      <c r="K166" s="43"/>
      <c r="L166" s="43"/>
      <c r="M166" s="107"/>
      <c r="N166" s="107"/>
      <c r="O166" s="106"/>
      <c r="P166" s="139">
        <f t="shared" si="4"/>
        <v>0</v>
      </c>
      <c r="Q166" s="139">
        <f t="shared" si="5"/>
        <v>3</v>
      </c>
    </row>
    <row r="167" spans="1:17">
      <c r="A167" s="74">
        <v>166</v>
      </c>
      <c r="B167" s="89" t="str">
        <f>IF($T$4=0,IF($I167="","",$I167),IFERROR(IF([1]财务取数接口!$B$166=0,"",[1]财务取数接口!$B$166),""))</f>
        <v>麦麦提</v>
      </c>
      <c r="C167" s="75" t="str">
        <f>IF($T$4=0,IF($J167="","",$J167),IFERROR(IF([1]财务取数接口!$C$166=0,"",[1]财务取数接口!$C$166),""))</f>
        <v>筐子销售款</v>
      </c>
      <c r="D167" s="89" t="str">
        <f>IF($T$4=0,IF($K167="","",$K167),IFERROR(IF([1]财务取数接口!$D$166=0,"",[1]财务取数接口!$D$166),""))</f>
        <v/>
      </c>
      <c r="E167" s="89" t="str">
        <f>IF($T$4=0,IF($L167="","",$L167),IFERROR(IF([1]财务取数接口!$E$166=0,"",[1]财务取数接口!$E$166),""))</f>
        <v/>
      </c>
      <c r="F167" s="76" t="str">
        <f>IF($T$4=0,IF($M167="","",$M167),IFERROR(IF([1]财务取数接口!$G$166=0,"",[1]财务取数接口!$G$166),""))</f>
        <v/>
      </c>
      <c r="G167" s="76" t="str">
        <f>IF($T$4=0,IF($N167="","",$N167),IFERROR(IF([1]财务取数接口!$H$166=0,"",[1]财务取数接口!$H$166),""))</f>
        <v/>
      </c>
      <c r="H167" s="75" t="str">
        <f>IF($T$4=0,IF($O167="","",$O167),IFERROR(IF([1]财务取数接口!$I$166=0,"",[1]财务取数接口!$I$166),""))</f>
        <v/>
      </c>
      <c r="I167" s="43"/>
      <c r="J167" s="106"/>
      <c r="K167" s="43"/>
      <c r="L167" s="43"/>
      <c r="M167" s="107"/>
      <c r="N167" s="107"/>
      <c r="O167" s="106"/>
      <c r="P167" s="139">
        <f t="shared" si="4"/>
        <v>0</v>
      </c>
      <c r="Q167" s="139">
        <f t="shared" si="5"/>
        <v>3</v>
      </c>
    </row>
    <row r="168" spans="1:17">
      <c r="A168" s="74">
        <v>167</v>
      </c>
      <c r="B168" s="89" t="str">
        <f>IF($T$4=0,IF($I168="","",$I168),IFERROR(IF([1]财务取数接口!$B$167=0,"",[1]财务取数接口!$B$167),""))</f>
        <v>麦麦提</v>
      </c>
      <c r="C168" s="75" t="str">
        <f>IF($T$4=0,IF($J168="","",$J168),IFERROR(IF([1]财务取数接口!$C$167=0,"",[1]财务取数接口!$C$167),""))</f>
        <v>物料销售款</v>
      </c>
      <c r="D168" s="89" t="str">
        <f>IF($T$4=0,IF($K168="","",$K168),IFERROR(IF([1]财务取数接口!$D$167=0,"",[1]财务取数接口!$D$167),""))</f>
        <v/>
      </c>
      <c r="E168" s="89" t="str">
        <f>IF($T$4=0,IF($L168="","",$L168),IFERROR(IF([1]财务取数接口!$E$167=0,"",[1]财务取数接口!$E$167),""))</f>
        <v/>
      </c>
      <c r="F168" s="76" t="str">
        <f>IF($T$4=0,IF($M168="","",$M168),IFERROR(IF([1]财务取数接口!$G$167=0,"",[1]财务取数接口!$G$167),""))</f>
        <v/>
      </c>
      <c r="G168" s="76" t="str">
        <f>IF($T$4=0,IF($N168="","",$N168),IFERROR(IF([1]财务取数接口!$H$167=0,"",[1]财务取数接口!$H$167),""))</f>
        <v/>
      </c>
      <c r="H168" s="75" t="str">
        <f>IF($T$4=0,IF($O168="","",$O168),IFERROR(IF([1]财务取数接口!$I$167=0,"",[1]财务取数接口!$I$167),""))</f>
        <v/>
      </c>
      <c r="I168" s="43"/>
      <c r="J168" s="106"/>
      <c r="K168" s="43"/>
      <c r="L168" s="43"/>
      <c r="M168" s="107"/>
      <c r="N168" s="107"/>
      <c r="O168" s="106"/>
      <c r="P168" s="139">
        <f t="shared" si="4"/>
        <v>0</v>
      </c>
      <c r="Q168" s="139">
        <f t="shared" si="5"/>
        <v>3</v>
      </c>
    </row>
    <row r="169" spans="1:17">
      <c r="A169" s="74">
        <v>168</v>
      </c>
      <c r="B169" s="89" t="str">
        <f>IF($T$4=0,IF($I169="","",$I169),IFERROR(IF([1]财务取数接口!$B$168=0,"",[1]财务取数接口!$B$168),""))</f>
        <v>热合曼</v>
      </c>
      <c r="C169" s="75" t="str">
        <f>IF($T$4=0,IF($J169="","",$J169),IFERROR(IF([1]财务取数接口!$C$168=0,"",[1]财务取数接口!$C$168),""))</f>
        <v>筐子销售款</v>
      </c>
      <c r="D169" s="89" t="str">
        <f>IF($T$4=0,IF($K169="","",$K169),IFERROR(IF([1]财务取数接口!$D$168=0,"",[1]财务取数接口!$D$168),""))</f>
        <v/>
      </c>
      <c r="E169" s="89" t="str">
        <f>IF($T$4=0,IF($L169="","",$L169),IFERROR(IF([1]财务取数接口!$E$168=0,"",[1]财务取数接口!$E$168),""))</f>
        <v/>
      </c>
      <c r="F169" s="76" t="str">
        <f>IF($T$4=0,IF($M169="","",$M169),IFERROR(IF([1]财务取数接口!$G$168=0,"",[1]财务取数接口!$G$168),""))</f>
        <v/>
      </c>
      <c r="G169" s="76" t="str">
        <f>IF($T$4=0,IF($N169="","",$N169),IFERROR(IF([1]财务取数接口!$H$168=0,"",[1]财务取数接口!$H$168),""))</f>
        <v/>
      </c>
      <c r="H169" s="75" t="str">
        <f>IF($T$4=0,IF($O169="","",$O169),IFERROR(IF([1]财务取数接口!$I$168=0,"",[1]财务取数接口!$I$168),""))</f>
        <v/>
      </c>
      <c r="I169" s="43"/>
      <c r="J169" s="106"/>
      <c r="K169" s="43"/>
      <c r="L169" s="43"/>
      <c r="M169" s="107"/>
      <c r="N169" s="107"/>
      <c r="O169" s="106"/>
      <c r="P169" s="139">
        <f t="shared" si="4"/>
        <v>0</v>
      </c>
      <c r="Q169" s="139">
        <f t="shared" si="5"/>
        <v>3</v>
      </c>
    </row>
    <row r="170" spans="1:17">
      <c r="A170" s="74">
        <v>169</v>
      </c>
      <c r="B170" s="89" t="str">
        <f>IF($T$4=0,IF($I170="","",$I170),IFERROR(IF([1]财务取数接口!$B$169=0,"",[1]财务取数接口!$B$169),""))</f>
        <v>热合曼</v>
      </c>
      <c r="C170" s="75" t="str">
        <f>IF($T$4=0,IF($J170="","",$J170),IFERROR(IF([1]财务取数接口!$C$169=0,"",[1]财务取数接口!$C$169),""))</f>
        <v>物料销售款</v>
      </c>
      <c r="D170" s="89" t="str">
        <f>IF($T$4=0,IF($K170="","",$K170),IFERROR(IF([1]财务取数接口!$D$169=0,"",[1]财务取数接口!$D$169),""))</f>
        <v/>
      </c>
      <c r="E170" s="89" t="str">
        <f>IF($T$4=0,IF($L170="","",$L170),IFERROR(IF([1]财务取数接口!$E$169=0,"",[1]财务取数接口!$E$169),""))</f>
        <v/>
      </c>
      <c r="F170" s="76" t="str">
        <f>IF($T$4=0,IF($M170="","",$M170),IFERROR(IF([1]财务取数接口!$G$169=0,"",[1]财务取数接口!$G$169),""))</f>
        <v/>
      </c>
      <c r="G170" s="76" t="str">
        <f>IF($T$4=0,IF($N170="","",$N170),IFERROR(IF([1]财务取数接口!$H$169=0,"",[1]财务取数接口!$H$169),""))</f>
        <v/>
      </c>
      <c r="H170" s="75" t="str">
        <f>IF($T$4=0,IF($O170="","",$O170),IFERROR(IF([1]财务取数接口!$I$169=0,"",[1]财务取数接口!$I$169),""))</f>
        <v/>
      </c>
      <c r="I170" s="43"/>
      <c r="J170" s="106"/>
      <c r="K170" s="43"/>
      <c r="L170" s="43"/>
      <c r="M170" s="107"/>
      <c r="N170" s="107"/>
      <c r="O170" s="106"/>
      <c r="P170" s="139">
        <f t="shared" si="4"/>
        <v>0</v>
      </c>
      <c r="Q170" s="139">
        <f t="shared" si="5"/>
        <v>3</v>
      </c>
    </row>
    <row r="171" spans="1:17">
      <c r="A171" s="74">
        <v>170</v>
      </c>
      <c r="B171" s="89" t="str">
        <f>IF($T$4=0,IF($I171="","",$I171),IFERROR(IF([1]财务取数接口!$B$170=0,"",[1]财务取数接口!$B$170),""))</f>
        <v>王灵云</v>
      </c>
      <c r="C171" s="75" t="str">
        <f>IF($T$4=0,IF($J171="","",$J171),IFERROR(IF([1]财务取数接口!$C$170=0,"",[1]财务取数接口!$C$170),""))</f>
        <v>筐子销售款</v>
      </c>
      <c r="D171" s="89" t="str">
        <f>IF($T$4=0,IF($K171="","",$K171),IFERROR(IF([1]财务取数接口!$D$170=0,"",[1]财务取数接口!$D$170),""))</f>
        <v/>
      </c>
      <c r="E171" s="89" t="str">
        <f>IF($T$4=0,IF($L171="","",$L171),IFERROR(IF([1]财务取数接口!$E$170=0,"",[1]财务取数接口!$E$170),""))</f>
        <v/>
      </c>
      <c r="F171" s="76" t="str">
        <f>IF($T$4=0,IF($M171="","",$M171),IFERROR(IF([1]财务取数接口!$G$170=0,"",[1]财务取数接口!$G$170),""))</f>
        <v/>
      </c>
      <c r="G171" s="76" t="str">
        <f>IF($T$4=0,IF($N171="","",$N171),IFERROR(IF([1]财务取数接口!$H$170=0,"",[1]财务取数接口!$H$170),""))</f>
        <v/>
      </c>
      <c r="H171" s="75" t="str">
        <f>IF($T$4=0,IF($O171="","",$O171),IFERROR(IF([1]财务取数接口!$I$170=0,"",[1]财务取数接口!$I$170),""))</f>
        <v/>
      </c>
      <c r="I171" s="43"/>
      <c r="J171" s="106"/>
      <c r="K171" s="43"/>
      <c r="L171" s="43"/>
      <c r="M171" s="107"/>
      <c r="N171" s="107"/>
      <c r="O171" s="106"/>
      <c r="P171" s="139">
        <f t="shared" si="4"/>
        <v>0</v>
      </c>
      <c r="Q171" s="139">
        <f t="shared" si="5"/>
        <v>3</v>
      </c>
    </row>
    <row r="172" spans="1:17">
      <c r="A172" s="74">
        <v>171</v>
      </c>
      <c r="B172" s="89" t="str">
        <f>IF($T$4=0,IF($I172="","",$I172),IFERROR(IF([1]财务取数接口!$B$171=0,"",[1]财务取数接口!$B$171),""))</f>
        <v>王灵云</v>
      </c>
      <c r="C172" s="75" t="str">
        <f>IF($T$4=0,IF($J172="","",$J172),IFERROR(IF([1]财务取数接口!$C$171=0,"",[1]财务取数接口!$C$171),""))</f>
        <v>物料销售款</v>
      </c>
      <c r="D172" s="89" t="str">
        <f>IF($T$4=0,IF($K172="","",$K172),IFERROR(IF([1]财务取数接口!$D$171=0,"",[1]财务取数接口!$D$171),""))</f>
        <v/>
      </c>
      <c r="E172" s="89" t="str">
        <f>IF($T$4=0,IF($L172="","",$L172),IFERROR(IF([1]财务取数接口!$E$171=0,"",[1]财务取数接口!$E$171),""))</f>
        <v/>
      </c>
      <c r="F172" s="76" t="str">
        <f>IF($T$4=0,IF($M172="","",$M172),IFERROR(IF([1]财务取数接口!$G$171=0,"",[1]财务取数接口!$G$171),""))</f>
        <v/>
      </c>
      <c r="G172" s="76" t="str">
        <f>IF($T$4=0,IF($N172="","",$N172),IFERROR(IF([1]财务取数接口!$H$171=0,"",[1]财务取数接口!$H$171),""))</f>
        <v/>
      </c>
      <c r="H172" s="75" t="str">
        <f>IF($T$4=0,IF($O172="","",$O172),IFERROR(IF([1]财务取数接口!$I$171=0,"",[1]财务取数接口!$I$171),""))</f>
        <v/>
      </c>
      <c r="I172" s="43"/>
      <c r="J172" s="106"/>
      <c r="K172" s="43"/>
      <c r="L172" s="43"/>
      <c r="M172" s="107"/>
      <c r="N172" s="107"/>
      <c r="O172" s="106"/>
      <c r="P172" s="139">
        <f t="shared" si="4"/>
        <v>0</v>
      </c>
      <c r="Q172" s="139">
        <f t="shared" si="5"/>
        <v>3</v>
      </c>
    </row>
    <row r="173" spans="1:17">
      <c r="A173" s="74">
        <v>172</v>
      </c>
      <c r="B173" s="89" t="str">
        <f>IF($T$4=0,IF($I173="","",$I173),IFERROR(IF([1]财务取数接口!$B$172=0,"",[1]财务取数接口!$B$172),""))</f>
        <v>马锦祥</v>
      </c>
      <c r="C173" s="75" t="str">
        <f>IF($T$4=0,IF($J173="","",$J173),IFERROR(IF([1]财务取数接口!$C$172=0,"",[1]财务取数接口!$C$172),""))</f>
        <v>筐子销售款</v>
      </c>
      <c r="D173" s="89" t="str">
        <f>IF($T$4=0,IF($K173="","",$K173),IFERROR(IF([1]财务取数接口!$D$172=0,"",[1]财务取数接口!$D$172),""))</f>
        <v/>
      </c>
      <c r="E173" s="89" t="str">
        <f>IF($T$4=0,IF($L173="","",$L173),IFERROR(IF([1]财务取数接口!$E$172=0,"",[1]财务取数接口!$E$172),""))</f>
        <v/>
      </c>
      <c r="F173" s="76" t="str">
        <f>IF($T$4=0,IF($M173="","",$M173),IFERROR(IF([1]财务取数接口!$G$172=0,"",[1]财务取数接口!$G$172),""))</f>
        <v/>
      </c>
      <c r="G173" s="76" t="str">
        <f>IF($T$4=0,IF($N173="","",$N173),IFERROR(IF([1]财务取数接口!$H$172=0,"",[1]财务取数接口!$H$172),""))</f>
        <v/>
      </c>
      <c r="H173" s="75" t="str">
        <f>IF($T$4=0,IF($O173="","",$O173),IFERROR(IF([1]财务取数接口!$I$172=0,"",[1]财务取数接口!$I$172),""))</f>
        <v/>
      </c>
      <c r="I173" s="43"/>
      <c r="J173" s="106"/>
      <c r="K173" s="43"/>
      <c r="L173" s="43"/>
      <c r="M173" s="107"/>
      <c r="N173" s="107"/>
      <c r="O173" s="106"/>
      <c r="P173" s="139">
        <f t="shared" si="4"/>
        <v>0</v>
      </c>
      <c r="Q173" s="139">
        <f t="shared" si="5"/>
        <v>3</v>
      </c>
    </row>
    <row r="174" spans="1:17">
      <c r="A174" s="74">
        <v>173</v>
      </c>
      <c r="B174" s="89" t="str">
        <f>IF($T$4=0,IF($I174="","",$I174),IFERROR(IF([1]财务取数接口!$B$173=0,"",[1]财务取数接口!$B$173),""))</f>
        <v>马锦祥</v>
      </c>
      <c r="C174" s="75" t="str">
        <f>IF($T$4=0,IF($J174="","",$J174),IFERROR(IF([1]财务取数接口!$C$173=0,"",[1]财务取数接口!$C$173),""))</f>
        <v>物料销售款</v>
      </c>
      <c r="D174" s="89" t="str">
        <f>IF($T$4=0,IF($K174="","",$K174),IFERROR(IF([1]财务取数接口!$D$173=0,"",[1]财务取数接口!$D$173),""))</f>
        <v/>
      </c>
      <c r="E174" s="89" t="str">
        <f>IF($T$4=0,IF($L174="","",$L174),IFERROR(IF([1]财务取数接口!$E$173=0,"",[1]财务取数接口!$E$173),""))</f>
        <v/>
      </c>
      <c r="F174" s="76" t="str">
        <f>IF($T$4=0,IF($M174="","",$M174),IFERROR(IF([1]财务取数接口!$G$173=0,"",[1]财务取数接口!$G$173),""))</f>
        <v/>
      </c>
      <c r="G174" s="76" t="str">
        <f>IF($T$4=0,IF($N174="","",$N174),IFERROR(IF([1]财务取数接口!$H$173=0,"",[1]财务取数接口!$H$173),""))</f>
        <v/>
      </c>
      <c r="H174" s="75" t="str">
        <f>IF($T$4=0,IF($O174="","",$O174),IFERROR(IF([1]财务取数接口!$I$173=0,"",[1]财务取数接口!$I$173),""))</f>
        <v/>
      </c>
      <c r="I174" s="43"/>
      <c r="J174" s="106"/>
      <c r="K174" s="43"/>
      <c r="L174" s="43"/>
      <c r="M174" s="107"/>
      <c r="N174" s="107"/>
      <c r="O174" s="106"/>
      <c r="P174" s="139">
        <f t="shared" si="4"/>
        <v>0</v>
      </c>
      <c r="Q174" s="139">
        <f t="shared" si="5"/>
        <v>3</v>
      </c>
    </row>
    <row r="175" spans="1:17">
      <c r="A175" s="74">
        <v>174</v>
      </c>
      <c r="B175" s="89" t="str">
        <f>IF($T$4=0,IF($I175="","",$I175),IFERROR(IF([1]财务取数接口!$B$174=0,"",[1]财务取数接口!$B$174),""))</f>
        <v>贾建国</v>
      </c>
      <c r="C175" s="75" t="str">
        <f>IF($T$4=0,IF($J175="","",$J175),IFERROR(IF([1]财务取数接口!$C$174=0,"",[1]财务取数接口!$C$174),""))</f>
        <v>筐子销售款</v>
      </c>
      <c r="D175" s="89" t="str">
        <f>IF($T$4=0,IF($K175="","",$K175),IFERROR(IF([1]财务取数接口!$D$174=0,"",[1]财务取数接口!$D$174),""))</f>
        <v/>
      </c>
      <c r="E175" s="89" t="str">
        <f>IF($T$4=0,IF($L175="","",$L175),IFERROR(IF([1]财务取数接口!$E$174=0,"",[1]财务取数接口!$E$174),""))</f>
        <v/>
      </c>
      <c r="F175" s="76" t="str">
        <f>IF($T$4=0,IF($M175="","",$M175),IFERROR(IF([1]财务取数接口!$G$174=0,"",[1]财务取数接口!$G$174),""))</f>
        <v/>
      </c>
      <c r="G175" s="76" t="str">
        <f>IF($T$4=0,IF($N175="","",$N175),IFERROR(IF([1]财务取数接口!$H$174=0,"",[1]财务取数接口!$H$174),""))</f>
        <v/>
      </c>
      <c r="H175" s="75" t="str">
        <f>IF($T$4=0,IF($O175="","",$O175),IFERROR(IF([1]财务取数接口!$I$174=0,"",[1]财务取数接口!$I$174),""))</f>
        <v/>
      </c>
      <c r="I175" s="43"/>
      <c r="J175" s="106"/>
      <c r="K175" s="43"/>
      <c r="L175" s="43"/>
      <c r="M175" s="107"/>
      <c r="N175" s="107"/>
      <c r="O175" s="106"/>
      <c r="P175" s="139">
        <f t="shared" si="4"/>
        <v>0</v>
      </c>
      <c r="Q175" s="139">
        <f t="shared" si="5"/>
        <v>3</v>
      </c>
    </row>
    <row r="176" spans="1:17">
      <c r="A176" s="74">
        <v>175</v>
      </c>
      <c r="B176" s="89" t="str">
        <f>IF($T$4=0,IF($I176="","",$I176),IFERROR(IF([1]财务取数接口!$B$175=0,"",[1]财务取数接口!$B$175),""))</f>
        <v>贾建国</v>
      </c>
      <c r="C176" s="75" t="str">
        <f>IF($T$4=0,IF($J176="","",$J176),IFERROR(IF([1]财务取数接口!$C$175=0,"",[1]财务取数接口!$C$175),""))</f>
        <v>物料销售款</v>
      </c>
      <c r="D176" s="89" t="str">
        <f>IF($T$4=0,IF($K176="","",$K176),IFERROR(IF([1]财务取数接口!$D$175=0,"",[1]财务取数接口!$D$175),""))</f>
        <v/>
      </c>
      <c r="E176" s="89" t="str">
        <f>IF($T$4=0,IF($L176="","",$L176),IFERROR(IF([1]财务取数接口!$E$175=0,"",[1]财务取数接口!$E$175),""))</f>
        <v/>
      </c>
      <c r="F176" s="76" t="str">
        <f>IF($T$4=0,IF($M176="","",$M176),IFERROR(IF([1]财务取数接口!$G$175=0,"",[1]财务取数接口!$G$175),""))</f>
        <v/>
      </c>
      <c r="G176" s="76" t="str">
        <f>IF($T$4=0,IF($N176="","",$N176),IFERROR(IF([1]财务取数接口!$H$175=0,"",[1]财务取数接口!$H$175),""))</f>
        <v/>
      </c>
      <c r="H176" s="75" t="str">
        <f>IF($T$4=0,IF($O176="","",$O176),IFERROR(IF([1]财务取数接口!$I$175=0,"",[1]财务取数接口!$I$175),""))</f>
        <v/>
      </c>
      <c r="I176" s="43"/>
      <c r="J176" s="106"/>
      <c r="K176" s="43"/>
      <c r="L176" s="43"/>
      <c r="M176" s="107"/>
      <c r="N176" s="107"/>
      <c r="O176" s="106"/>
      <c r="P176" s="139">
        <f t="shared" si="4"/>
        <v>0</v>
      </c>
      <c r="Q176" s="139">
        <f t="shared" si="5"/>
        <v>3</v>
      </c>
    </row>
    <row r="177" spans="1:17">
      <c r="A177" s="74">
        <v>176</v>
      </c>
      <c r="B177" s="89" t="str">
        <f>IF($T$4=0,IF($I177="","",$I177),IFERROR(IF([1]财务取数接口!$B$176=0,"",[1]财务取数接口!$B$176),""))</f>
        <v>荆建君</v>
      </c>
      <c r="C177" s="75" t="str">
        <f>IF($T$4=0,IF($J177="","",$J177),IFERROR(IF([1]财务取数接口!$C$176=0,"",[1]财务取数接口!$C$176),""))</f>
        <v>筐子销售款</v>
      </c>
      <c r="D177" s="89" t="str">
        <f>IF($T$4=0,IF($K177="","",$K177),IFERROR(IF([1]财务取数接口!$D$176=0,"",[1]财务取数接口!$D$176),""))</f>
        <v/>
      </c>
      <c r="E177" s="89" t="str">
        <f>IF($T$4=0,IF($L177="","",$L177),IFERROR(IF([1]财务取数接口!$E$176=0,"",[1]财务取数接口!$E$176),""))</f>
        <v/>
      </c>
      <c r="F177" s="76" t="str">
        <f>IF($T$4=0,IF($M177="","",$M177),IFERROR(IF([1]财务取数接口!$G$176=0,"",[1]财务取数接口!$G$176),""))</f>
        <v/>
      </c>
      <c r="G177" s="76" t="str">
        <f>IF($T$4=0,IF($N177="","",$N177),IFERROR(IF([1]财务取数接口!$H$176=0,"",[1]财务取数接口!$H$176),""))</f>
        <v/>
      </c>
      <c r="H177" s="75" t="str">
        <f>IF($T$4=0,IF($O177="","",$O177),IFERROR(IF([1]财务取数接口!$I$176=0,"",[1]财务取数接口!$I$176),""))</f>
        <v/>
      </c>
      <c r="I177" s="43"/>
      <c r="J177" s="106"/>
      <c r="K177" s="43"/>
      <c r="L177" s="43"/>
      <c r="M177" s="107"/>
      <c r="N177" s="107"/>
      <c r="O177" s="106"/>
      <c r="P177" s="139">
        <f t="shared" si="4"/>
        <v>0</v>
      </c>
      <c r="Q177" s="139">
        <f t="shared" si="5"/>
        <v>3</v>
      </c>
    </row>
    <row r="178" spans="1:17">
      <c r="A178" s="74">
        <v>177</v>
      </c>
      <c r="B178" s="89" t="str">
        <f>IF($T$4=0,IF($I178="","",$I178),IFERROR(IF([1]财务取数接口!$B$177=0,"",[1]财务取数接口!$B$177),""))</f>
        <v>荆建君</v>
      </c>
      <c r="C178" s="75" t="str">
        <f>IF($T$4=0,IF($J178="","",$J178),IFERROR(IF([1]财务取数接口!$C$177=0,"",[1]财务取数接口!$C$177),""))</f>
        <v>物料销售款</v>
      </c>
      <c r="D178" s="89" t="str">
        <f>IF($T$4=0,IF($K178="","",$K178),IFERROR(IF([1]财务取数接口!$D$177=0,"",[1]财务取数接口!$D$177),""))</f>
        <v/>
      </c>
      <c r="E178" s="89" t="str">
        <f>IF($T$4=0,IF($L178="","",$L178),IFERROR(IF([1]财务取数接口!$E$177=0,"",[1]财务取数接口!$E$177),""))</f>
        <v/>
      </c>
      <c r="F178" s="76" t="str">
        <f>IF($T$4=0,IF($M178="","",$M178),IFERROR(IF([1]财务取数接口!$G$177=0,"",[1]财务取数接口!$G$177),""))</f>
        <v/>
      </c>
      <c r="G178" s="76" t="str">
        <f>IF($T$4=0,IF($N178="","",$N178),IFERROR(IF([1]财务取数接口!$H$177=0,"",[1]财务取数接口!$H$177),""))</f>
        <v/>
      </c>
      <c r="H178" s="75" t="str">
        <f>IF($T$4=0,IF($O178="","",$O178),IFERROR(IF([1]财务取数接口!$I$177=0,"",[1]财务取数接口!$I$177),""))</f>
        <v/>
      </c>
      <c r="I178" s="43"/>
      <c r="J178" s="106"/>
      <c r="K178" s="43"/>
      <c r="L178" s="43"/>
      <c r="M178" s="107"/>
      <c r="N178" s="107"/>
      <c r="O178" s="106"/>
      <c r="P178" s="139">
        <f t="shared" si="4"/>
        <v>0</v>
      </c>
      <c r="Q178" s="139">
        <f t="shared" si="5"/>
        <v>3</v>
      </c>
    </row>
    <row r="179" spans="1:17">
      <c r="A179" s="74">
        <v>178</v>
      </c>
      <c r="B179" s="89" t="str">
        <f>IF($T$4=0,IF($I179="","",$I179),IFERROR(IF([1]财务取数接口!$B$178=0,"",[1]财务取数接口!$B$178),""))</f>
        <v>艾合买提</v>
      </c>
      <c r="C179" s="75" t="str">
        <f>IF($T$4=0,IF($J179="","",$J179),IFERROR(IF([1]财务取数接口!$C$178=0,"",[1]财务取数接口!$C$178),""))</f>
        <v>筐子销售款</v>
      </c>
      <c r="D179" s="89" t="str">
        <f>IF($T$4=0,IF($K179="","",$K179),IFERROR(IF([1]财务取数接口!$D$178=0,"",[1]财务取数接口!$D$178),""))</f>
        <v/>
      </c>
      <c r="E179" s="89" t="str">
        <f>IF($T$4=0,IF($L179="","",$L179),IFERROR(IF([1]财务取数接口!$E$178=0,"",[1]财务取数接口!$E$178),""))</f>
        <v/>
      </c>
      <c r="F179" s="76" t="str">
        <f>IF($T$4=0,IF($M179="","",$M179),IFERROR(IF([1]财务取数接口!$G$178=0,"",[1]财务取数接口!$G$178),""))</f>
        <v/>
      </c>
      <c r="G179" s="76" t="str">
        <f>IF($T$4=0,IF($N179="","",$N179),IFERROR(IF([1]财务取数接口!$H$178=0,"",[1]财务取数接口!$H$178),""))</f>
        <v/>
      </c>
      <c r="H179" s="75" t="str">
        <f>IF($T$4=0,IF($O179="","",$O179),IFERROR(IF([1]财务取数接口!$I$178=0,"",[1]财务取数接口!$I$178),""))</f>
        <v/>
      </c>
      <c r="I179" s="43"/>
      <c r="J179" s="106"/>
      <c r="K179" s="43"/>
      <c r="L179" s="43"/>
      <c r="M179" s="107"/>
      <c r="N179" s="107"/>
      <c r="O179" s="106"/>
      <c r="P179" s="139">
        <f t="shared" si="4"/>
        <v>0</v>
      </c>
      <c r="Q179" s="139">
        <f t="shared" si="5"/>
        <v>3</v>
      </c>
    </row>
    <row r="180" spans="1:17">
      <c r="A180" s="74">
        <v>179</v>
      </c>
      <c r="B180" s="89" t="str">
        <f>IF($T$4=0,IF($I180="","",$I180),IFERROR(IF([1]财务取数接口!$B$179=0,"",[1]财务取数接口!$B$179),""))</f>
        <v>艾合买提</v>
      </c>
      <c r="C180" s="75" t="str">
        <f>IF($T$4=0,IF($J180="","",$J180),IFERROR(IF([1]财务取数接口!$C$179=0,"",[1]财务取数接口!$C$179),""))</f>
        <v>物料销售款</v>
      </c>
      <c r="D180" s="89" t="str">
        <f>IF($T$4=0,IF($K180="","",$K180),IFERROR(IF([1]财务取数接口!$D$179=0,"",[1]财务取数接口!$D$179),""))</f>
        <v/>
      </c>
      <c r="E180" s="89" t="str">
        <f>IF($T$4=0,IF($L180="","",$L180),IFERROR(IF([1]财务取数接口!$E$179=0,"",[1]财务取数接口!$E$179),""))</f>
        <v/>
      </c>
      <c r="F180" s="76" t="str">
        <f>IF($T$4=0,IF($M180="","",$M180),IFERROR(IF([1]财务取数接口!$G$179=0,"",[1]财务取数接口!$G$179),""))</f>
        <v/>
      </c>
      <c r="G180" s="76" t="str">
        <f>IF($T$4=0,IF($N180="","",$N180),IFERROR(IF([1]财务取数接口!$H$179=0,"",[1]财务取数接口!$H$179),""))</f>
        <v/>
      </c>
      <c r="H180" s="75" t="str">
        <f>IF($T$4=0,IF($O180="","",$O180),IFERROR(IF([1]财务取数接口!$I$179=0,"",[1]财务取数接口!$I$179),""))</f>
        <v/>
      </c>
      <c r="I180" s="43"/>
      <c r="J180" s="106"/>
      <c r="K180" s="43"/>
      <c r="L180" s="43"/>
      <c r="M180" s="107"/>
      <c r="N180" s="107"/>
      <c r="O180" s="106"/>
      <c r="P180" s="139">
        <f t="shared" si="4"/>
        <v>0</v>
      </c>
      <c r="Q180" s="139">
        <f t="shared" si="5"/>
        <v>3</v>
      </c>
    </row>
    <row r="181" spans="1:17">
      <c r="A181" s="74">
        <v>180</v>
      </c>
      <c r="B181" s="89" t="str">
        <f>IF($T$4=0,IF($I181="","",$I181),IFERROR(IF([1]财务取数接口!$B$180=0,"",[1]财务取数接口!$B$180),""))</f>
        <v>王浩</v>
      </c>
      <c r="C181" s="75" t="str">
        <f>IF($T$4=0,IF($J181="","",$J181),IFERROR(IF([1]财务取数接口!$C$180=0,"",[1]财务取数接口!$C$180),""))</f>
        <v>筐子销售款</v>
      </c>
      <c r="D181" s="89" t="str">
        <f>IF($T$4=0,IF($K181="","",$K181),IFERROR(IF([1]财务取数接口!$D$180=0,"",[1]财务取数接口!$D$180),""))</f>
        <v/>
      </c>
      <c r="E181" s="89" t="str">
        <f>IF($T$4=0,IF($L181="","",$L181),IFERROR(IF([1]财务取数接口!$E$180=0,"",[1]财务取数接口!$E$180),""))</f>
        <v/>
      </c>
      <c r="F181" s="76" t="str">
        <f>IF($T$4=0,IF($M181="","",$M181),IFERROR(IF([1]财务取数接口!$G$180=0,"",[1]财务取数接口!$G$180),""))</f>
        <v/>
      </c>
      <c r="G181" s="76" t="str">
        <f>IF($T$4=0,IF($N181="","",$N181),IFERROR(IF([1]财务取数接口!$H$180=0,"",[1]财务取数接口!$H$180),""))</f>
        <v/>
      </c>
      <c r="H181" s="75" t="str">
        <f>IF($T$4=0,IF($O181="","",$O181),IFERROR(IF([1]财务取数接口!$I$180=0,"",[1]财务取数接口!$I$180),""))</f>
        <v/>
      </c>
      <c r="I181" s="43"/>
      <c r="J181" s="106"/>
      <c r="K181" s="43"/>
      <c r="L181" s="43"/>
      <c r="M181" s="107"/>
      <c r="N181" s="107"/>
      <c r="O181" s="106"/>
      <c r="P181" s="139">
        <f t="shared" si="4"/>
        <v>0</v>
      </c>
      <c r="Q181" s="139">
        <f t="shared" si="5"/>
        <v>3</v>
      </c>
    </row>
    <row r="182" spans="1:17">
      <c r="A182" s="74">
        <v>181</v>
      </c>
      <c r="B182" s="89" t="str">
        <f>IF($T$4=0,IF($I182="","",$I182),IFERROR(IF([1]财务取数接口!$B$181=0,"",[1]财务取数接口!$B$181),""))</f>
        <v>王浩</v>
      </c>
      <c r="C182" s="75" t="str">
        <f>IF($T$4=0,IF($J182="","",$J182),IFERROR(IF([1]财务取数接口!$C$181=0,"",[1]财务取数接口!$C$181),""))</f>
        <v>物料销售款</v>
      </c>
      <c r="D182" s="89" t="str">
        <f>IF($T$4=0,IF($K182="","",$K182),IFERROR(IF([1]财务取数接口!$D$181=0,"",[1]财务取数接口!$D$181),""))</f>
        <v/>
      </c>
      <c r="E182" s="89" t="str">
        <f>IF($T$4=0,IF($L182="","",$L182),IFERROR(IF([1]财务取数接口!$E$181=0,"",[1]财务取数接口!$E$181),""))</f>
        <v/>
      </c>
      <c r="F182" s="76" t="str">
        <f>IF($T$4=0,IF($M182="","",$M182),IFERROR(IF([1]财务取数接口!$G$181=0,"",[1]财务取数接口!$G$181),""))</f>
        <v/>
      </c>
      <c r="G182" s="76" t="str">
        <f>IF($T$4=0,IF($N182="","",$N182),IFERROR(IF([1]财务取数接口!$H$181=0,"",[1]财务取数接口!$H$181),""))</f>
        <v/>
      </c>
      <c r="H182" s="75" t="str">
        <f>IF($T$4=0,IF($O182="","",$O182),IFERROR(IF([1]财务取数接口!$I$181=0,"",[1]财务取数接口!$I$181),""))</f>
        <v/>
      </c>
      <c r="I182" s="43"/>
      <c r="J182" s="106"/>
      <c r="K182" s="43"/>
      <c r="L182" s="43"/>
      <c r="M182" s="107"/>
      <c r="N182" s="107"/>
      <c r="O182" s="106"/>
      <c r="P182" s="139">
        <f t="shared" si="4"/>
        <v>0</v>
      </c>
      <c r="Q182" s="139">
        <f t="shared" si="5"/>
        <v>3</v>
      </c>
    </row>
    <row r="183" spans="1:17">
      <c r="A183" s="74">
        <v>182</v>
      </c>
      <c r="B183" s="89" t="str">
        <f>IF($T$4=0,IF($I183="","",$I183),IFERROR(IF([1]财务取数接口!$B$182=0,"",[1]财务取数接口!$B$182),""))</f>
        <v>电商/主播</v>
      </c>
      <c r="C183" s="75" t="str">
        <f>IF($T$4=0,IF($J183="","",$J183),IFERROR(IF([1]财务取数接口!$C$182=0,"",[1]财务取数接口!$C$182),""))</f>
        <v>筐子销售款</v>
      </c>
      <c r="D183" s="89" t="str">
        <f>IF($T$4=0,IF($K183="","",$K183),IFERROR(IF([1]财务取数接口!$D$182=0,"",[1]财务取数接口!$D$182),""))</f>
        <v/>
      </c>
      <c r="E183" s="89" t="str">
        <f>IF($T$4=0,IF($L183="","",$L183),IFERROR(IF([1]财务取数接口!$E$182=0,"",[1]财务取数接口!$E$182),""))</f>
        <v/>
      </c>
      <c r="F183" s="76" t="str">
        <f>IF($T$4=0,IF($M183="","",$M183),IFERROR(IF([1]财务取数接口!$G$182=0,"",[1]财务取数接口!$G$182),""))</f>
        <v/>
      </c>
      <c r="G183" s="76" t="str">
        <f>IF($T$4=0,IF($N183="","",$N183),IFERROR(IF([1]财务取数接口!$H$182=0,"",[1]财务取数接口!$H$182),""))</f>
        <v/>
      </c>
      <c r="H183" s="75" t="str">
        <f>IF($T$4=0,IF($O183="","",$O183),IFERROR(IF([1]财务取数接口!$I$182=0,"",[1]财务取数接口!$I$182),""))</f>
        <v/>
      </c>
      <c r="I183" s="43"/>
      <c r="J183" s="106"/>
      <c r="K183" s="43"/>
      <c r="L183" s="43"/>
      <c r="M183" s="107"/>
      <c r="N183" s="107"/>
      <c r="O183" s="106"/>
      <c r="P183" s="139">
        <f t="shared" si="4"/>
        <v>0</v>
      </c>
      <c r="Q183" s="139">
        <f t="shared" si="5"/>
        <v>3</v>
      </c>
    </row>
    <row r="184" spans="1:17">
      <c r="A184" s="74">
        <v>183</v>
      </c>
      <c r="B184" s="89" t="str">
        <f>IF($T$4=0,IF($I184="","",$I184),IFERROR(IF([1]财务取数接口!$B$183=0,"",[1]财务取数接口!$B$183),""))</f>
        <v>电商/主播</v>
      </c>
      <c r="C184" s="75" t="str">
        <f>IF($T$4=0,IF($J184="","",$J184),IFERROR(IF([1]财务取数接口!$C$183=0,"",[1]财务取数接口!$C$183),""))</f>
        <v>物料销售款</v>
      </c>
      <c r="D184" s="89" t="str">
        <f>IF($T$4=0,IF($K184="","",$K184),IFERROR(IF([1]财务取数接口!$D$183=0,"",[1]财务取数接口!$D$183),""))</f>
        <v/>
      </c>
      <c r="E184" s="89" t="str">
        <f>IF($T$4=0,IF($L184="","",$L184),IFERROR(IF([1]财务取数接口!$E$183=0,"",[1]财务取数接口!$E$183),""))</f>
        <v/>
      </c>
      <c r="F184" s="76" t="str">
        <f>IF($T$4=0,IF($M184="","",$M184),IFERROR(IF([1]财务取数接口!$G$183=0,"",[1]财务取数接口!$G$183),""))</f>
        <v/>
      </c>
      <c r="G184" s="76" t="str">
        <f>IF($T$4=0,IF($N184="","",$N184),IFERROR(IF([1]财务取数接口!$H$183=0,"",[1]财务取数接口!$H$183),""))</f>
        <v/>
      </c>
      <c r="H184" s="75" t="str">
        <f>IF($T$4=0,IF($O184="","",$O184),IFERROR(IF([1]财务取数接口!$I$183=0,"",[1]财务取数接口!$I$183),""))</f>
        <v/>
      </c>
      <c r="I184" s="43"/>
      <c r="J184" s="106"/>
      <c r="K184" s="43"/>
      <c r="L184" s="43"/>
      <c r="M184" s="107"/>
      <c r="N184" s="107"/>
      <c r="O184" s="106"/>
      <c r="P184" s="139">
        <f t="shared" si="4"/>
        <v>0</v>
      </c>
      <c r="Q184" s="139">
        <f t="shared" si="5"/>
        <v>3</v>
      </c>
    </row>
    <row r="185" spans="1:17">
      <c r="A185" s="74">
        <v>184</v>
      </c>
      <c r="B185" s="89" t="str">
        <f>IF($T$4=0,IF($I185="","",$I185),IFERROR(IF([1]财务取数接口!$B$184=0,"",[1]财务取数接口!$B$184),""))</f>
        <v>吐尔逊</v>
      </c>
      <c r="C185" s="75" t="str">
        <f>IF($T$4=0,IF($J185="","",$J185),IFERROR(IF([1]财务取数接口!$C$184=0,"",[1]财务取数接口!$C$184),""))</f>
        <v>筐子销售款</v>
      </c>
      <c r="D185" s="89" t="str">
        <f>IF($T$4=0,IF($K185="","",$K185),IFERROR(IF([1]财务取数接口!$D$184=0,"",[1]财务取数接口!$D$184),""))</f>
        <v/>
      </c>
      <c r="E185" s="89" t="str">
        <f>IF($T$4=0,IF($L185="","",$L185),IFERROR(IF([1]财务取数接口!$E$184=0,"",[1]财务取数接口!$E$184),""))</f>
        <v/>
      </c>
      <c r="F185" s="76" t="str">
        <f>IF($T$4=0,IF($M185="","",$M185),IFERROR(IF([1]财务取数接口!$G$184=0,"",[1]财务取数接口!$G$184),""))</f>
        <v/>
      </c>
      <c r="G185" s="76" t="str">
        <f>IF($T$4=0,IF($N185="","",$N185),IFERROR(IF([1]财务取数接口!$H$184=0,"",[1]财务取数接口!$H$184),""))</f>
        <v/>
      </c>
      <c r="H185" s="75" t="str">
        <f>IF($T$4=0,IF($O185="","",$O185),IFERROR(IF([1]财务取数接口!$I$184=0,"",[1]财务取数接口!$I$184),""))</f>
        <v/>
      </c>
      <c r="I185" s="43"/>
      <c r="J185" s="106"/>
      <c r="K185" s="43"/>
      <c r="L185" s="43"/>
      <c r="M185" s="107"/>
      <c r="N185" s="107"/>
      <c r="O185" s="106"/>
      <c r="P185" s="139">
        <f t="shared" si="4"/>
        <v>0</v>
      </c>
      <c r="Q185" s="139">
        <f t="shared" si="5"/>
        <v>3</v>
      </c>
    </row>
    <row r="186" spans="1:17">
      <c r="A186" s="74">
        <v>185</v>
      </c>
      <c r="B186" s="89" t="str">
        <f>IF($T$4=0,IF($I186="","",$I186),IFERROR(IF([1]财务取数接口!$B$185=0,"",[1]财务取数接口!$B$185),""))</f>
        <v>吐尔逊</v>
      </c>
      <c r="C186" s="75" t="str">
        <f>IF($T$4=0,IF($J186="","",$J186),IFERROR(IF([1]财务取数接口!$C$185=0,"",[1]财务取数接口!$C$185),""))</f>
        <v>物料销售款</v>
      </c>
      <c r="D186" s="89" t="str">
        <f>IF($T$4=0,IF($K186="","",$K186),IFERROR(IF([1]财务取数接口!$D$185=0,"",[1]财务取数接口!$D$185),""))</f>
        <v/>
      </c>
      <c r="E186" s="89" t="str">
        <f>IF($T$4=0,IF($L186="","",$L186),IFERROR(IF([1]财务取数接口!$E$185=0,"",[1]财务取数接口!$E$185),""))</f>
        <v/>
      </c>
      <c r="F186" s="76" t="str">
        <f>IF($T$4=0,IF($M186="","",$M186),IFERROR(IF([1]财务取数接口!$G$185=0,"",[1]财务取数接口!$G$185),""))</f>
        <v/>
      </c>
      <c r="G186" s="76" t="str">
        <f>IF($T$4=0,IF($N186="","",$N186),IFERROR(IF([1]财务取数接口!$H$185=0,"",[1]财务取数接口!$H$185),""))</f>
        <v/>
      </c>
      <c r="H186" s="75" t="str">
        <f>IF($T$4=0,IF($O186="","",$O186),IFERROR(IF([1]财务取数接口!$I$185=0,"",[1]财务取数接口!$I$185),""))</f>
        <v/>
      </c>
      <c r="I186" s="43"/>
      <c r="J186" s="106"/>
      <c r="K186" s="43"/>
      <c r="L186" s="43"/>
      <c r="M186" s="107"/>
      <c r="N186" s="107"/>
      <c r="O186" s="106"/>
      <c r="P186" s="139">
        <f t="shared" si="4"/>
        <v>0</v>
      </c>
      <c r="Q186" s="139">
        <f t="shared" si="5"/>
        <v>3</v>
      </c>
    </row>
    <row r="187" spans="1:17">
      <c r="A187" s="74">
        <v>186</v>
      </c>
      <c r="B187" s="89" t="str">
        <f>IF($T$4=0,IF($I187="","",$I187),IFERROR(IF([1]财务取数接口!$B$186=0,"",[1]财务取数接口!$B$186),""))</f>
        <v>张艺</v>
      </c>
      <c r="C187" s="75" t="str">
        <f>IF($T$4=0,IF($J187="","",$J187),IFERROR(IF([1]财务取数接口!$C$186=0,"",[1]财务取数接口!$C$186),""))</f>
        <v>筐子销售款</v>
      </c>
      <c r="D187" s="89" t="str">
        <f>IF($T$4=0,IF($K187="","",$K187),IFERROR(IF([1]财务取数接口!$D$186=0,"",[1]财务取数接口!$D$186),""))</f>
        <v/>
      </c>
      <c r="E187" s="89" t="str">
        <f>IF($T$4=0,IF($L187="","",$L187),IFERROR(IF([1]财务取数接口!$E$186=0,"",[1]财务取数接口!$E$186),""))</f>
        <v/>
      </c>
      <c r="F187" s="76" t="str">
        <f>IF($T$4=0,IF($M187="","",$M187),IFERROR(IF([1]财务取数接口!$G$186=0,"",[1]财务取数接口!$G$186),""))</f>
        <v/>
      </c>
      <c r="G187" s="76" t="str">
        <f>IF($T$4=0,IF($N187="","",$N187),IFERROR(IF([1]财务取数接口!$H$186=0,"",[1]财务取数接口!$H$186),""))</f>
        <v/>
      </c>
      <c r="H187" s="75" t="str">
        <f>IF($T$4=0,IF($O187="","",$O187),IFERROR(IF([1]财务取数接口!$I$186=0,"",[1]财务取数接口!$I$186),""))</f>
        <v/>
      </c>
      <c r="I187" s="43"/>
      <c r="J187" s="106"/>
      <c r="K187" s="43"/>
      <c r="L187" s="43"/>
      <c r="M187" s="107"/>
      <c r="N187" s="107"/>
      <c r="O187" s="106"/>
      <c r="P187" s="139">
        <f t="shared" si="4"/>
        <v>0</v>
      </c>
      <c r="Q187" s="139">
        <f t="shared" si="5"/>
        <v>3</v>
      </c>
    </row>
    <row r="188" spans="1:17">
      <c r="A188" s="74">
        <v>187</v>
      </c>
      <c r="B188" s="89" t="str">
        <f>IF($T$4=0,IF($I188="","",$I188),IFERROR(IF([1]财务取数接口!$B$187=0,"",[1]财务取数接口!$B$187),""))</f>
        <v>张艺</v>
      </c>
      <c r="C188" s="75" t="str">
        <f>IF($T$4=0,IF($J188="","",$J188),IFERROR(IF([1]财务取数接口!$C$187=0,"",[1]财务取数接口!$C$187),""))</f>
        <v>物料销售款</v>
      </c>
      <c r="D188" s="89" t="str">
        <f>IF($T$4=0,IF($K188="","",$K188),IFERROR(IF([1]财务取数接口!$D$187=0,"",[1]财务取数接口!$D$187),""))</f>
        <v/>
      </c>
      <c r="E188" s="89" t="str">
        <f>IF($T$4=0,IF($L188="","",$L188),IFERROR(IF([1]财务取数接口!$E$187=0,"",[1]财务取数接口!$E$187),""))</f>
        <v/>
      </c>
      <c r="F188" s="76" t="str">
        <f>IF($T$4=0,IF($M188="","",$M188),IFERROR(IF([1]财务取数接口!$G$187=0,"",[1]财务取数接口!$G$187),""))</f>
        <v/>
      </c>
      <c r="G188" s="76" t="str">
        <f>IF($T$4=0,IF($N188="","",$N188),IFERROR(IF([1]财务取数接口!$H$187=0,"",[1]财务取数接口!$H$187),""))</f>
        <v/>
      </c>
      <c r="H188" s="75" t="str">
        <f>IF($T$4=0,IF($O188="","",$O188),IFERROR(IF([1]财务取数接口!$I$187=0,"",[1]财务取数接口!$I$187),""))</f>
        <v/>
      </c>
      <c r="I188" s="43"/>
      <c r="J188" s="106"/>
      <c r="K188" s="43"/>
      <c r="L188" s="43"/>
      <c r="M188" s="107"/>
      <c r="N188" s="107"/>
      <c r="O188" s="106"/>
      <c r="P188" s="139">
        <f t="shared" si="4"/>
        <v>0</v>
      </c>
      <c r="Q188" s="139">
        <f t="shared" si="5"/>
        <v>3</v>
      </c>
    </row>
    <row r="189" spans="1:17">
      <c r="A189" s="74">
        <v>188</v>
      </c>
      <c r="B189" s="89" t="str">
        <f>IF($T$4=0,IF($I189="","",$I189),IFERROR(IF([1]财务取数接口!$B$188=0,"",[1]财务取数接口!$B$188),""))</f>
        <v>郭勇义</v>
      </c>
      <c r="C189" s="75" t="str">
        <f>IF($T$4=0,IF($J189="","",$J189),IFERROR(IF([1]财务取数接口!$C$188=0,"",[1]财务取数接口!$C$188),""))</f>
        <v>筐子销售款</v>
      </c>
      <c r="D189" s="89" t="str">
        <f>IF($T$4=0,IF($K189="","",$K189),IFERROR(IF([1]财务取数接口!$D$188=0,"",[1]财务取数接口!$D$188),""))</f>
        <v/>
      </c>
      <c r="E189" s="89" t="str">
        <f>IF($T$4=0,IF($L189="","",$L189),IFERROR(IF([1]财务取数接口!$E$188=0,"",[1]财务取数接口!$E$188),""))</f>
        <v/>
      </c>
      <c r="F189" s="76" t="str">
        <f>IF($T$4=0,IF($M189="","",$M189),IFERROR(IF([1]财务取数接口!$G$188=0,"",[1]财务取数接口!$G$188),""))</f>
        <v/>
      </c>
      <c r="G189" s="76" t="str">
        <f>IF($T$4=0,IF($N189="","",$N189),IFERROR(IF([1]财务取数接口!$H$188=0,"",[1]财务取数接口!$H$188),""))</f>
        <v/>
      </c>
      <c r="H189" s="75" t="str">
        <f>IF($T$4=0,IF($O189="","",$O189),IFERROR(IF([1]财务取数接口!$I$188=0,"",[1]财务取数接口!$I$188),""))</f>
        <v/>
      </c>
      <c r="I189" s="43"/>
      <c r="J189" s="106"/>
      <c r="K189" s="43"/>
      <c r="L189" s="43"/>
      <c r="M189" s="107"/>
      <c r="N189" s="107"/>
      <c r="O189" s="106"/>
      <c r="P189" s="139">
        <f t="shared" si="4"/>
        <v>0</v>
      </c>
      <c r="Q189" s="139">
        <f t="shared" si="5"/>
        <v>3</v>
      </c>
    </row>
    <row r="190" spans="1:17">
      <c r="A190" s="74">
        <v>189</v>
      </c>
      <c r="B190" s="89" t="str">
        <f>IF($T$4=0,IF($I190="","",$I190),IFERROR(IF([1]财务取数接口!$B$189=0,"",[1]财务取数接口!$B$189),""))</f>
        <v>郭勇义</v>
      </c>
      <c r="C190" s="75" t="str">
        <f>IF($T$4=0,IF($J190="","",$J190),IFERROR(IF([1]财务取数接口!$C$189=0,"",[1]财务取数接口!$C$189),""))</f>
        <v>物料销售款</v>
      </c>
      <c r="D190" s="89" t="str">
        <f>IF($T$4=0,IF($K190="","",$K190),IFERROR(IF([1]财务取数接口!$D$189=0,"",[1]财务取数接口!$D$189),""))</f>
        <v/>
      </c>
      <c r="E190" s="89" t="str">
        <f>IF($T$4=0,IF($L190="","",$L190),IFERROR(IF([1]财务取数接口!$E$189=0,"",[1]财务取数接口!$E$189),""))</f>
        <v/>
      </c>
      <c r="F190" s="76" t="str">
        <f>IF($T$4=0,IF($M190="","",$M190),IFERROR(IF([1]财务取数接口!$G$189=0,"",[1]财务取数接口!$G$189),""))</f>
        <v/>
      </c>
      <c r="G190" s="76" t="str">
        <f>IF($T$4=0,IF($N190="","",$N190),IFERROR(IF([1]财务取数接口!$H$189=0,"",[1]财务取数接口!$H$189),""))</f>
        <v/>
      </c>
      <c r="H190" s="75" t="str">
        <f>IF($T$4=0,IF($O190="","",$O190),IFERROR(IF([1]财务取数接口!$I$189=0,"",[1]财务取数接口!$I$189),""))</f>
        <v/>
      </c>
      <c r="I190" s="43"/>
      <c r="J190" s="106"/>
      <c r="K190" s="43"/>
      <c r="L190" s="43"/>
      <c r="M190" s="107"/>
      <c r="N190" s="107"/>
      <c r="O190" s="106"/>
      <c r="P190" s="139">
        <f t="shared" si="4"/>
        <v>0</v>
      </c>
      <c r="Q190" s="139">
        <f t="shared" si="5"/>
        <v>3</v>
      </c>
    </row>
    <row r="191" spans="1:17">
      <c r="A191" s="74">
        <v>190</v>
      </c>
      <c r="B191" s="89" t="str">
        <f>IF($T$4=0,IF($I191="","",$I191),IFERROR(IF([1]财务取数接口!$B$190=0,"",[1]财务取数接口!$B$190),""))</f>
        <v>王庆文</v>
      </c>
      <c r="C191" s="75" t="str">
        <f>IF($T$4=0,IF($J191="","",$J191),IFERROR(IF([1]财务取数接口!$C$190=0,"",[1]财务取数接口!$C$190),""))</f>
        <v>筐子销售款</v>
      </c>
      <c r="D191" s="89" t="str">
        <f>IF($T$4=0,IF($K191="","",$K191),IFERROR(IF([1]财务取数接口!$D$190=0,"",[1]财务取数接口!$D$190),""))</f>
        <v/>
      </c>
      <c r="E191" s="89" t="str">
        <f>IF($T$4=0,IF($L191="","",$L191),IFERROR(IF([1]财务取数接口!$E$190=0,"",[1]财务取数接口!$E$190),""))</f>
        <v/>
      </c>
      <c r="F191" s="76" t="str">
        <f>IF($T$4=0,IF($M191="","",$M191),IFERROR(IF([1]财务取数接口!$G$190=0,"",[1]财务取数接口!$G$190),""))</f>
        <v/>
      </c>
      <c r="G191" s="76" t="str">
        <f>IF($T$4=0,IF($N191="","",$N191),IFERROR(IF([1]财务取数接口!$H$190=0,"",[1]财务取数接口!$H$190),""))</f>
        <v/>
      </c>
      <c r="H191" s="75" t="str">
        <f>IF($T$4=0,IF($O191="","",$O191),IFERROR(IF([1]财务取数接口!$I$190=0,"",[1]财务取数接口!$I$190),""))</f>
        <v/>
      </c>
      <c r="I191" s="43"/>
      <c r="J191" s="106"/>
      <c r="K191" s="43"/>
      <c r="L191" s="43"/>
      <c r="M191" s="107"/>
      <c r="N191" s="107"/>
      <c r="O191" s="106"/>
      <c r="P191" s="139">
        <f t="shared" si="4"/>
        <v>0</v>
      </c>
      <c r="Q191" s="139">
        <f t="shared" si="5"/>
        <v>3</v>
      </c>
    </row>
    <row r="192" spans="1:17">
      <c r="A192" s="74">
        <v>191</v>
      </c>
      <c r="B192" s="89" t="str">
        <f>IF($T$4=0,IF($I192="","",$I192),IFERROR(IF([1]财务取数接口!$B$191=0,"",[1]财务取数接口!$B$191),""))</f>
        <v>王庆文</v>
      </c>
      <c r="C192" s="75" t="str">
        <f>IF($T$4=0,IF($J192="","",$J192),IFERROR(IF([1]财务取数接口!$C$191=0,"",[1]财务取数接口!$C$191),""))</f>
        <v>物料销售款</v>
      </c>
      <c r="D192" s="89" t="str">
        <f>IF($T$4=0,IF($K192="","",$K192),IFERROR(IF([1]财务取数接口!$D$191=0,"",[1]财务取数接口!$D$191),""))</f>
        <v/>
      </c>
      <c r="E192" s="89" t="str">
        <f>IF($T$4=0,IF($L192="","",$L192),IFERROR(IF([1]财务取数接口!$E$191=0,"",[1]财务取数接口!$E$191),""))</f>
        <v/>
      </c>
      <c r="F192" s="76" t="str">
        <f>IF($T$4=0,IF($M192="","",$M192),IFERROR(IF([1]财务取数接口!$G$191=0,"",[1]财务取数接口!$G$191),""))</f>
        <v/>
      </c>
      <c r="G192" s="76" t="str">
        <f>IF($T$4=0,IF($N192="","",$N192),IFERROR(IF([1]财务取数接口!$H$191=0,"",[1]财务取数接口!$H$191),""))</f>
        <v/>
      </c>
      <c r="H192" s="75" t="str">
        <f>IF($T$4=0,IF($O192="","",$O192),IFERROR(IF([1]财务取数接口!$I$191=0,"",[1]财务取数接口!$I$191),""))</f>
        <v/>
      </c>
      <c r="I192" s="43"/>
      <c r="J192" s="106"/>
      <c r="K192" s="43"/>
      <c r="L192" s="43"/>
      <c r="M192" s="107"/>
      <c r="N192" s="107"/>
      <c r="O192" s="106"/>
      <c r="P192" s="139">
        <f t="shared" si="4"/>
        <v>0</v>
      </c>
      <c r="Q192" s="139">
        <f t="shared" si="5"/>
        <v>3</v>
      </c>
    </row>
    <row r="193" spans="1:17">
      <c r="A193" s="74">
        <v>192</v>
      </c>
      <c r="B193" s="89" t="str">
        <f>IF($T$4=0,IF($I193="","",$I193),IFERROR(IF([1]财务取数接口!$B$192=0,"",[1]财务取数接口!$B$192),""))</f>
        <v>果然鲜</v>
      </c>
      <c r="C193" s="75" t="str">
        <f>IF($T$4=0,IF($J193="","",$J193),IFERROR(IF([1]财务取数接口!$C$192=0,"",[1]财务取数接口!$C$192),""))</f>
        <v>筐子销售款</v>
      </c>
      <c r="D193" s="89" t="str">
        <f>IF($T$4=0,IF($K193="","",$K193),IFERROR(IF([1]财务取数接口!$D$192=0,"",[1]财务取数接口!$D$192),""))</f>
        <v/>
      </c>
      <c r="E193" s="89" t="str">
        <f>IF($T$4=0,IF($L193="","",$L193),IFERROR(IF([1]财务取数接口!$E$192=0,"",[1]财务取数接口!$E$192),""))</f>
        <v/>
      </c>
      <c r="F193" s="76" t="str">
        <f>IF($T$4=0,IF($M193="","",$M193),IFERROR(IF([1]财务取数接口!$G$192=0,"",[1]财务取数接口!$G$192),""))</f>
        <v/>
      </c>
      <c r="G193" s="76" t="str">
        <f>IF($T$4=0,IF($N193="","",$N193),IFERROR(IF([1]财务取数接口!$H$192=0,"",[1]财务取数接口!$H$192),""))</f>
        <v/>
      </c>
      <c r="H193" s="75" t="str">
        <f>IF($T$4=0,IF($O193="","",$O193),IFERROR(IF([1]财务取数接口!$I$192=0,"",[1]财务取数接口!$I$192),""))</f>
        <v/>
      </c>
      <c r="I193" s="43"/>
      <c r="J193" s="106"/>
      <c r="K193" s="43"/>
      <c r="L193" s="43"/>
      <c r="M193" s="107"/>
      <c r="N193" s="107"/>
      <c r="O193" s="106"/>
      <c r="P193" s="139">
        <f t="shared" si="4"/>
        <v>0</v>
      </c>
      <c r="Q193" s="139">
        <f t="shared" si="5"/>
        <v>3</v>
      </c>
    </row>
    <row r="194" spans="1:17">
      <c r="A194" s="74">
        <v>193</v>
      </c>
      <c r="B194" s="89" t="str">
        <f>IF($T$4=0,IF($I194="","",$I194),IFERROR(IF([1]财务取数接口!$B$193=0,"",[1]财务取数接口!$B$193),""))</f>
        <v>果然鲜</v>
      </c>
      <c r="C194" s="75" t="str">
        <f>IF($T$4=0,IF($J194="","",$J194),IFERROR(IF([1]财务取数接口!$C$193=0,"",[1]财务取数接口!$C$193),""))</f>
        <v>物料销售款</v>
      </c>
      <c r="D194" s="89" t="str">
        <f>IF($T$4=0,IF($K194="","",$K194),IFERROR(IF([1]财务取数接口!$D$193=0,"",[1]财务取数接口!$D$193),""))</f>
        <v/>
      </c>
      <c r="E194" s="89" t="str">
        <f>IF($T$4=0,IF($L194="","",$L194),IFERROR(IF([1]财务取数接口!$E$193=0,"",[1]财务取数接口!$E$193),""))</f>
        <v/>
      </c>
      <c r="F194" s="76" t="str">
        <f>IF($T$4=0,IF($M194="","",$M194),IFERROR(IF([1]财务取数接口!$G$193=0,"",[1]财务取数接口!$G$193),""))</f>
        <v/>
      </c>
      <c r="G194" s="76" t="str">
        <f>IF($T$4=0,IF($N194="","",$N194),IFERROR(IF([1]财务取数接口!$H$193=0,"",[1]财务取数接口!$H$193),""))</f>
        <v/>
      </c>
      <c r="H194" s="75" t="str">
        <f>IF($T$4=0,IF($O194="","",$O194),IFERROR(IF([1]财务取数接口!$I$193=0,"",[1]财务取数接口!$I$193),""))</f>
        <v/>
      </c>
      <c r="I194" s="43"/>
      <c r="J194" s="106"/>
      <c r="K194" s="43"/>
      <c r="L194" s="43"/>
      <c r="M194" s="107"/>
      <c r="N194" s="107"/>
      <c r="O194" s="106"/>
      <c r="P194" s="139">
        <f t="shared" si="4"/>
        <v>0</v>
      </c>
      <c r="Q194" s="139">
        <f t="shared" si="5"/>
        <v>3</v>
      </c>
    </row>
    <row r="195" spans="1:17">
      <c r="A195" s="74">
        <v>194</v>
      </c>
      <c r="B195" s="89" t="str">
        <f>IF($T$4=0,IF($I195="","",$I195),IFERROR(IF([1]财务取数接口!$B$194=0,"",[1]财务取数接口!$B$194),""))</f>
        <v>努尔敦</v>
      </c>
      <c r="C195" s="75" t="str">
        <f>IF($T$4=0,IF($J195="","",$J195),IFERROR(IF([1]财务取数接口!$C$194=0,"",[1]财务取数接口!$C$194),""))</f>
        <v>筐子销售款</v>
      </c>
      <c r="D195" s="89" t="str">
        <f>IF($T$4=0,IF($K195="","",$K195),IFERROR(IF([1]财务取数接口!$D$194=0,"",[1]财务取数接口!$D$194),""))</f>
        <v/>
      </c>
      <c r="E195" s="89" t="str">
        <f>IF($T$4=0,IF($L195="","",$L195),IFERROR(IF([1]财务取数接口!$E$194=0,"",[1]财务取数接口!$E$194),""))</f>
        <v/>
      </c>
      <c r="F195" s="76" t="str">
        <f>IF($T$4=0,IF($M195="","",$M195),IFERROR(IF([1]财务取数接口!$G$194=0,"",[1]财务取数接口!$G$194),""))</f>
        <v/>
      </c>
      <c r="G195" s="76" t="str">
        <f>IF($T$4=0,IF($N195="","",$N195),IFERROR(IF([1]财务取数接口!$H$194=0,"",[1]财务取数接口!$H$194),""))</f>
        <v/>
      </c>
      <c r="H195" s="75" t="str">
        <f>IF($T$4=0,IF($O195="","",$O195),IFERROR(IF([1]财务取数接口!$I$194=0,"",[1]财务取数接口!$I$194),""))</f>
        <v/>
      </c>
      <c r="I195" s="43"/>
      <c r="J195" s="106"/>
      <c r="K195" s="43"/>
      <c r="L195" s="43"/>
      <c r="M195" s="107"/>
      <c r="N195" s="107"/>
      <c r="O195" s="106"/>
      <c r="P195" s="139">
        <f t="shared" si="4"/>
        <v>0</v>
      </c>
      <c r="Q195" s="139">
        <f t="shared" si="5"/>
        <v>3</v>
      </c>
    </row>
    <row r="196" spans="1:17">
      <c r="A196" s="74">
        <v>195</v>
      </c>
      <c r="B196" s="89" t="str">
        <f>IF($T$4=0,IF($I196="","",$I196),IFERROR(IF([1]财务取数接口!$B$195=0,"",[1]财务取数接口!$B$195),""))</f>
        <v>努尔敦</v>
      </c>
      <c r="C196" s="75" t="str">
        <f>IF($T$4=0,IF($J196="","",$J196),IFERROR(IF([1]财务取数接口!$C$195=0,"",[1]财务取数接口!$C$195),""))</f>
        <v>物料销售款</v>
      </c>
      <c r="D196" s="89" t="str">
        <f>IF($T$4=0,IF($K196="","",$K196),IFERROR(IF([1]财务取数接口!$D$195=0,"",[1]财务取数接口!$D$195),""))</f>
        <v/>
      </c>
      <c r="E196" s="89" t="str">
        <f>IF($T$4=0,IF($L196="","",$L196),IFERROR(IF([1]财务取数接口!$E$195=0,"",[1]财务取数接口!$E$195),""))</f>
        <v/>
      </c>
      <c r="F196" s="76" t="str">
        <f>IF($T$4=0,IF($M196="","",$M196),IFERROR(IF([1]财务取数接口!$G$195=0,"",[1]财务取数接口!$G$195),""))</f>
        <v/>
      </c>
      <c r="G196" s="76" t="str">
        <f>IF($T$4=0,IF($N196="","",$N196),IFERROR(IF([1]财务取数接口!$H$195=0,"",[1]财务取数接口!$H$195),""))</f>
        <v/>
      </c>
      <c r="H196" s="75" t="str">
        <f>IF($T$4=0,IF($O196="","",$O196),IFERROR(IF([1]财务取数接口!$I$195=0,"",[1]财务取数接口!$I$195),""))</f>
        <v/>
      </c>
      <c r="I196" s="43"/>
      <c r="J196" s="106"/>
      <c r="K196" s="43"/>
      <c r="L196" s="43"/>
      <c r="M196" s="107"/>
      <c r="N196" s="107"/>
      <c r="O196" s="106"/>
      <c r="P196" s="139">
        <f t="shared" si="4"/>
        <v>0</v>
      </c>
      <c r="Q196" s="139">
        <f t="shared" si="5"/>
        <v>3</v>
      </c>
    </row>
    <row r="197" spans="1:17">
      <c r="A197" s="74">
        <v>196</v>
      </c>
      <c r="B197" s="89" t="str">
        <f>IF($T$4=0,IF($I197="","",$I197),IFERROR(IF([1]财务取数接口!$B$196=0,"",[1]财务取数接口!$B$196),""))</f>
        <v>吐尔洪</v>
      </c>
      <c r="C197" s="75" t="str">
        <f>IF($T$4=0,IF($J197="","",$J197),IFERROR(IF([1]财务取数接口!$C$196=0,"",[1]财务取数接口!$C$196),""))</f>
        <v>筐子销售款</v>
      </c>
      <c r="D197" s="89" t="str">
        <f>IF($T$4=0,IF($K197="","",$K197),IFERROR(IF([1]财务取数接口!$D$196=0,"",[1]财务取数接口!$D$196),""))</f>
        <v/>
      </c>
      <c r="E197" s="89" t="str">
        <f>IF($T$4=0,IF($L197="","",$L197),IFERROR(IF([1]财务取数接口!$E$196=0,"",[1]财务取数接口!$E$196),""))</f>
        <v/>
      </c>
      <c r="F197" s="76" t="str">
        <f>IF($T$4=0,IF($M197="","",$M197),IFERROR(IF([1]财务取数接口!$G$196=0,"",[1]财务取数接口!$G$196),""))</f>
        <v/>
      </c>
      <c r="G197" s="76" t="str">
        <f>IF($T$4=0,IF($N197="","",$N197),IFERROR(IF([1]财务取数接口!$H$196=0,"",[1]财务取数接口!$H$196),""))</f>
        <v/>
      </c>
      <c r="H197" s="75" t="str">
        <f>IF($T$4=0,IF($O197="","",$O197),IFERROR(IF([1]财务取数接口!$I$196=0,"",[1]财务取数接口!$I$196),""))</f>
        <v/>
      </c>
      <c r="I197" s="43"/>
      <c r="J197" s="106"/>
      <c r="K197" s="43"/>
      <c r="L197" s="43"/>
      <c r="M197" s="107"/>
      <c r="N197" s="107"/>
      <c r="O197" s="106"/>
      <c r="P197" s="139">
        <f t="shared" ref="P197:P260" si="6">IF(AND($C197&lt;&gt;"",$C197&lt;&gt;"项目",OR(N($D197)&lt;&gt;0,N($E197)&lt;&gt;0,N($F197)&lt;&gt;0)),1,0)</f>
        <v>0</v>
      </c>
      <c r="Q197" s="139">
        <f t="shared" ref="Q197:Q260" si="7">N(Q196)+$P197</f>
        <v>3</v>
      </c>
    </row>
    <row r="198" spans="1:17">
      <c r="A198" s="74">
        <v>197</v>
      </c>
      <c r="B198" s="89" t="str">
        <f>IF($T$4=0,IF($I198="","",$I198),IFERROR(IF([1]财务取数接口!$B$197=0,"",[1]财务取数接口!$B$197),""))</f>
        <v>吐尔洪</v>
      </c>
      <c r="C198" s="75" t="str">
        <f>IF($T$4=0,IF($J198="","",$J198),IFERROR(IF([1]财务取数接口!$C$197=0,"",[1]财务取数接口!$C$197),""))</f>
        <v>物料销售款</v>
      </c>
      <c r="D198" s="89" t="str">
        <f>IF($T$4=0,IF($K198="","",$K198),IFERROR(IF([1]财务取数接口!$D$197=0,"",[1]财务取数接口!$D$197),""))</f>
        <v/>
      </c>
      <c r="E198" s="89" t="str">
        <f>IF($T$4=0,IF($L198="","",$L198),IFERROR(IF([1]财务取数接口!$E$197=0,"",[1]财务取数接口!$E$197),""))</f>
        <v/>
      </c>
      <c r="F198" s="76" t="str">
        <f>IF($T$4=0,IF($M198="","",$M198),IFERROR(IF([1]财务取数接口!$G$197=0,"",[1]财务取数接口!$G$197),""))</f>
        <v/>
      </c>
      <c r="G198" s="76" t="str">
        <f>IF($T$4=0,IF($N198="","",$N198),IFERROR(IF([1]财务取数接口!$H$197=0,"",[1]财务取数接口!$H$197),""))</f>
        <v/>
      </c>
      <c r="H198" s="75" t="str">
        <f>IF($T$4=0,IF($O198="","",$O198),IFERROR(IF([1]财务取数接口!$I$197=0,"",[1]财务取数接口!$I$197),""))</f>
        <v/>
      </c>
      <c r="I198" s="43"/>
      <c r="J198" s="106"/>
      <c r="K198" s="43"/>
      <c r="L198" s="43"/>
      <c r="M198" s="107"/>
      <c r="N198" s="107"/>
      <c r="O198" s="106"/>
      <c r="P198" s="139">
        <f t="shared" si="6"/>
        <v>0</v>
      </c>
      <c r="Q198" s="139">
        <f t="shared" si="7"/>
        <v>3</v>
      </c>
    </row>
    <row r="199" spans="1:17">
      <c r="A199" s="74">
        <v>198</v>
      </c>
      <c r="B199" s="89" t="str">
        <f>IF($T$4=0,IF($I199="","",$I199),IFERROR(IF([1]财务取数接口!$B$198=0,"",[1]财务取数接口!$B$198),""))</f>
        <v>鑫旺塑业</v>
      </c>
      <c r="C199" s="75" t="str">
        <f>IF($T$4=0,IF($J199="","",$J199),IFERROR(IF([1]财务取数接口!$C$198=0,"",[1]财务取数接口!$C$198),""))</f>
        <v>筐子销售款</v>
      </c>
      <c r="D199" s="89" t="str">
        <f>IF($T$4=0,IF($K199="","",$K199),IFERROR(IF([1]财务取数接口!$D$198=0,"",[1]财务取数接口!$D$198),""))</f>
        <v/>
      </c>
      <c r="E199" s="89" t="str">
        <f>IF($T$4=0,IF($L199="","",$L199),IFERROR(IF([1]财务取数接口!$E$198=0,"",[1]财务取数接口!$E$198),""))</f>
        <v/>
      </c>
      <c r="F199" s="76" t="str">
        <f>IF($T$4=0,IF($M199="","",$M199),IFERROR(IF([1]财务取数接口!$G$198=0,"",[1]财务取数接口!$G$198),""))</f>
        <v/>
      </c>
      <c r="G199" s="76" t="str">
        <f>IF($T$4=0,IF($N199="","",$N199),IFERROR(IF([1]财务取数接口!$H$198=0,"",[1]财务取数接口!$H$198),""))</f>
        <v/>
      </c>
      <c r="H199" s="75" t="str">
        <f>IF($T$4=0,IF($O199="","",$O199),IFERROR(IF([1]财务取数接口!$I$198=0,"",[1]财务取数接口!$I$198),""))</f>
        <v/>
      </c>
      <c r="I199" s="43"/>
      <c r="J199" s="106"/>
      <c r="K199" s="43"/>
      <c r="L199" s="43"/>
      <c r="M199" s="107"/>
      <c r="N199" s="107"/>
      <c r="O199" s="106"/>
      <c r="P199" s="139">
        <f t="shared" si="6"/>
        <v>0</v>
      </c>
      <c r="Q199" s="139">
        <f t="shared" si="7"/>
        <v>3</v>
      </c>
    </row>
    <row r="200" spans="1:17">
      <c r="A200" s="74">
        <v>199</v>
      </c>
      <c r="B200" s="89" t="str">
        <f>IF($T$4=0,IF($I200="","",$I200),IFERROR(IF([1]财务取数接口!$B$199=0,"",[1]财务取数接口!$B$199),""))</f>
        <v>鑫旺塑业</v>
      </c>
      <c r="C200" s="75" t="str">
        <f>IF($T$4=0,IF($J200="","",$J200),IFERROR(IF([1]财务取数接口!$C$199=0,"",[1]财务取数接口!$C$199),""))</f>
        <v>物料销售款</v>
      </c>
      <c r="D200" s="89" t="str">
        <f>IF($T$4=0,IF($K200="","",$K200),IFERROR(IF([1]财务取数接口!$D$199=0,"",[1]财务取数接口!$D$199),""))</f>
        <v/>
      </c>
      <c r="E200" s="89" t="str">
        <f>IF($T$4=0,IF($L200="","",$L200),IFERROR(IF([1]财务取数接口!$E$199=0,"",[1]财务取数接口!$E$199),""))</f>
        <v/>
      </c>
      <c r="F200" s="76" t="str">
        <f>IF($T$4=0,IF($M200="","",$M200),IFERROR(IF([1]财务取数接口!$G$199=0,"",[1]财务取数接口!$G$199),""))</f>
        <v/>
      </c>
      <c r="G200" s="76" t="str">
        <f>IF($T$4=0,IF($N200="","",$N200),IFERROR(IF([1]财务取数接口!$H$199=0,"",[1]财务取数接口!$H$199),""))</f>
        <v/>
      </c>
      <c r="H200" s="75" t="str">
        <f>IF($T$4=0,IF($O200="","",$O200),IFERROR(IF([1]财务取数接口!$I$199=0,"",[1]财务取数接口!$I$199),""))</f>
        <v/>
      </c>
      <c r="I200" s="43"/>
      <c r="J200" s="106"/>
      <c r="K200" s="43"/>
      <c r="L200" s="43"/>
      <c r="M200" s="107"/>
      <c r="N200" s="107"/>
      <c r="O200" s="106"/>
      <c r="P200" s="139">
        <f t="shared" si="6"/>
        <v>0</v>
      </c>
      <c r="Q200" s="139">
        <f t="shared" si="7"/>
        <v>3</v>
      </c>
    </row>
    <row r="201" spans="1:17">
      <c r="A201" s="74">
        <v>200</v>
      </c>
      <c r="B201" s="89" t="str">
        <f>IF($T$4=0,IF($I201="","",$I201),IFERROR(IF([1]财务取数接口!$B$200=0,"",[1]财务取数接口!$B$200),""))</f>
        <v>华鑫塑业</v>
      </c>
      <c r="C201" s="75" t="str">
        <f>IF($T$4=0,IF($J201="","",$J201),IFERROR(IF([1]财务取数接口!$C$200=0,"",[1]财务取数接口!$C$200),""))</f>
        <v>筐子销售款</v>
      </c>
      <c r="D201" s="89" t="str">
        <f>IF($T$4=0,IF($K201="","",$K201),IFERROR(IF([1]财务取数接口!$D$200=0,"",[1]财务取数接口!$D$200),""))</f>
        <v/>
      </c>
      <c r="E201" s="89" t="str">
        <f>IF($T$4=0,IF($L201="","",$L201),IFERROR(IF([1]财务取数接口!$E$200=0,"",[1]财务取数接口!$E$200),""))</f>
        <v/>
      </c>
      <c r="F201" s="76" t="str">
        <f>IF($T$4=0,IF($M201="","",$M201),IFERROR(IF([1]财务取数接口!$G$200=0,"",[1]财务取数接口!$G$200),""))</f>
        <v/>
      </c>
      <c r="G201" s="76" t="str">
        <f>IF($T$4=0,IF($N201="","",$N201),IFERROR(IF([1]财务取数接口!$H$200=0,"",[1]财务取数接口!$H$200),""))</f>
        <v/>
      </c>
      <c r="H201" s="75" t="str">
        <f>IF($T$4=0,IF($O201="","",$O201),IFERROR(IF([1]财务取数接口!$I$200=0,"",[1]财务取数接口!$I$200),""))</f>
        <v/>
      </c>
      <c r="I201" s="43"/>
      <c r="J201" s="106"/>
      <c r="K201" s="43"/>
      <c r="L201" s="43"/>
      <c r="M201" s="107"/>
      <c r="N201" s="107"/>
      <c r="O201" s="106"/>
      <c r="P201" s="139">
        <f t="shared" si="6"/>
        <v>0</v>
      </c>
      <c r="Q201" s="139">
        <f t="shared" si="7"/>
        <v>3</v>
      </c>
    </row>
    <row r="202" spans="1:17">
      <c r="A202" s="74">
        <v>201</v>
      </c>
      <c r="B202" s="89" t="str">
        <f>IF($T$4=0,IF($I202="","",$I202),IFERROR(IF([1]财务取数接口!$B$201=0,"",[1]财务取数接口!$B$201),""))</f>
        <v>华鑫塑业</v>
      </c>
      <c r="C202" s="75" t="str">
        <f>IF($T$4=0,IF($J202="","",$J202),IFERROR(IF([1]财务取数接口!$C$201=0,"",[1]财务取数接口!$C$201),""))</f>
        <v>物料销售款</v>
      </c>
      <c r="D202" s="89" t="str">
        <f>IF($T$4=0,IF($K202="","",$K202),IFERROR(IF([1]财务取数接口!$D$201=0,"",[1]财务取数接口!$D$201),""))</f>
        <v/>
      </c>
      <c r="E202" s="89" t="str">
        <f>IF($T$4=0,IF($L202="","",$L202),IFERROR(IF([1]财务取数接口!$E$201=0,"",[1]财务取数接口!$E$201),""))</f>
        <v/>
      </c>
      <c r="F202" s="76" t="str">
        <f>IF($T$4=0,IF($M202="","",$M202),IFERROR(IF([1]财务取数接口!$G$201=0,"",[1]财务取数接口!$G$201),""))</f>
        <v/>
      </c>
      <c r="G202" s="76" t="str">
        <f>IF($T$4=0,IF($N202="","",$N202),IFERROR(IF([1]财务取数接口!$H$201=0,"",[1]财务取数接口!$H$201),""))</f>
        <v/>
      </c>
      <c r="H202" s="75" t="str">
        <f>IF($T$4=0,IF($O202="","",$O202),IFERROR(IF([1]财务取数接口!$I$201=0,"",[1]财务取数接口!$I$201),""))</f>
        <v/>
      </c>
      <c r="I202" s="43"/>
      <c r="J202" s="106"/>
      <c r="K202" s="43"/>
      <c r="L202" s="43"/>
      <c r="M202" s="107"/>
      <c r="N202" s="107"/>
      <c r="O202" s="106"/>
      <c r="P202" s="139">
        <f t="shared" si="6"/>
        <v>0</v>
      </c>
      <c r="Q202" s="139">
        <f t="shared" si="7"/>
        <v>3</v>
      </c>
    </row>
    <row r="203" spans="1:17">
      <c r="A203" s="74">
        <v>202</v>
      </c>
      <c r="B203" s="89" t="str">
        <f>IF($T$4=0,IF($I203="","",$I203),IFERROR(IF([1]财务取数接口!$B$202=0,"",[1]财务取数接口!$B$202),""))</f>
        <v>全修塑业</v>
      </c>
      <c r="C203" s="75" t="str">
        <f>IF($T$4=0,IF($J203="","",$J203),IFERROR(IF([1]财务取数接口!$C$202=0,"",[1]财务取数接口!$C$202),""))</f>
        <v>筐子销售款</v>
      </c>
      <c r="D203" s="89" t="str">
        <f>IF($T$4=0,IF($K203="","",$K203),IFERROR(IF([1]财务取数接口!$D$202=0,"",[1]财务取数接口!$D$202),""))</f>
        <v/>
      </c>
      <c r="E203" s="89">
        <f>IF($T$4=0,IF($L203="","",$L203),IFERROR(IF([1]财务取数接口!$E$202=0,"",[1]财务取数接口!$E$202),""))</f>
        <v>174720</v>
      </c>
      <c r="F203" s="76" t="str">
        <f>IF($T$4=0,IF($M203="","",$M203),IFERROR(IF([1]财务取数接口!$G$202=0,"",[1]财务取数接口!$G$202),""))</f>
        <v/>
      </c>
      <c r="G203" s="76" t="str">
        <f>IF($T$4=0,IF($N203="","",$N203),IFERROR(IF([1]财务取数接口!$H$202=0,"",[1]财务取数接口!$H$202),""))</f>
        <v/>
      </c>
      <c r="H203" s="75" t="str">
        <f>IF($T$4=0,IF($O203="","",$O203),IFERROR(IF([1]财务取数接口!$I$202=0,"",[1]财务取数接口!$I$202),""))</f>
        <v/>
      </c>
      <c r="I203" s="43"/>
      <c r="J203" s="106"/>
      <c r="K203" s="43"/>
      <c r="L203" s="43"/>
      <c r="M203" s="107"/>
      <c r="N203" s="107"/>
      <c r="O203" s="106"/>
      <c r="P203" s="139">
        <f t="shared" si="6"/>
        <v>1</v>
      </c>
      <c r="Q203" s="139">
        <f t="shared" si="7"/>
        <v>4</v>
      </c>
    </row>
    <row r="204" spans="1:17">
      <c r="A204" s="74">
        <v>203</v>
      </c>
      <c r="B204" s="89" t="str">
        <f>IF($T$4=0,IF($I204="","",$I204),IFERROR(IF([1]财务取数接口!$B$203=0,"",[1]财务取数接口!$B$203),""))</f>
        <v>全修塑业</v>
      </c>
      <c r="C204" s="75" t="str">
        <f>IF($T$4=0,IF($J204="","",$J204),IFERROR(IF([1]财务取数接口!$C$203=0,"",[1]财务取数接口!$C$203),""))</f>
        <v>物料销售款</v>
      </c>
      <c r="D204" s="89" t="str">
        <f>IF($T$4=0,IF($K204="","",$K204),IFERROR(IF([1]财务取数接口!$D$203=0,"",[1]财务取数接口!$D$203),""))</f>
        <v/>
      </c>
      <c r="E204" s="89" t="str">
        <f>IF($T$4=0,IF($L204="","",$L204),IFERROR(IF([1]财务取数接口!$E$203=0,"",[1]财务取数接口!$E$203),""))</f>
        <v/>
      </c>
      <c r="F204" s="76" t="str">
        <f>IF($T$4=0,IF($M204="","",$M204),IFERROR(IF([1]财务取数接口!$G$203=0,"",[1]财务取数接口!$G$203),""))</f>
        <v/>
      </c>
      <c r="G204" s="76" t="str">
        <f>IF($T$4=0,IF($N204="","",$N204),IFERROR(IF([1]财务取数接口!$H$203=0,"",[1]财务取数接口!$H$203),""))</f>
        <v/>
      </c>
      <c r="H204" s="75" t="str">
        <f>IF($T$4=0,IF($O204="","",$O204),IFERROR(IF([1]财务取数接口!$I$203=0,"",[1]财务取数接口!$I$203),""))</f>
        <v/>
      </c>
      <c r="I204" s="43"/>
      <c r="J204" s="106"/>
      <c r="K204" s="43"/>
      <c r="L204" s="43"/>
      <c r="M204" s="107"/>
      <c r="N204" s="107"/>
      <c r="O204" s="106"/>
      <c r="P204" s="139">
        <f t="shared" si="6"/>
        <v>0</v>
      </c>
      <c r="Q204" s="139">
        <f t="shared" si="7"/>
        <v>4</v>
      </c>
    </row>
    <row r="205" spans="1:17">
      <c r="A205" s="74">
        <v>204</v>
      </c>
      <c r="B205" s="89" t="str">
        <f>IF($T$4=0,IF($I205="","",$I205),IFERROR(IF([1]财务取数接口!$B$204=0,"",[1]财务取数接口!$B$204),""))</f>
        <v>新顺发泡网</v>
      </c>
      <c r="C205" s="75" t="str">
        <f>IF($T$4=0,IF($J205="","",$J205),IFERROR(IF([1]财务取数接口!$C$204=0,"",[1]财务取数接口!$C$204),""))</f>
        <v>筐子销售款</v>
      </c>
      <c r="D205" s="89" t="str">
        <f>IF($T$4=0,IF($K205="","",$K205),IFERROR(IF([1]财务取数接口!$D$204=0,"",[1]财务取数接口!$D$204),""))</f>
        <v/>
      </c>
      <c r="E205" s="89" t="str">
        <f>IF($T$4=0,IF($L205="","",$L205),IFERROR(IF([1]财务取数接口!$E$204=0,"",[1]财务取数接口!$E$204),""))</f>
        <v/>
      </c>
      <c r="F205" s="76" t="str">
        <f>IF($T$4=0,IF($M205="","",$M205),IFERROR(IF([1]财务取数接口!$G$204=0,"",[1]财务取数接口!$G$204),""))</f>
        <v/>
      </c>
      <c r="G205" s="76" t="str">
        <f>IF($T$4=0,IF($N205="","",$N205),IFERROR(IF([1]财务取数接口!$H$204=0,"",[1]财务取数接口!$H$204),""))</f>
        <v/>
      </c>
      <c r="H205" s="75" t="str">
        <f>IF($T$4=0,IF($O205="","",$O205),IFERROR(IF([1]财务取数接口!$I$204=0,"",[1]财务取数接口!$I$204),""))</f>
        <v/>
      </c>
      <c r="I205" s="43"/>
      <c r="J205" s="106"/>
      <c r="K205" s="43"/>
      <c r="L205" s="43"/>
      <c r="M205" s="107"/>
      <c r="N205" s="107"/>
      <c r="O205" s="106"/>
      <c r="P205" s="139">
        <f t="shared" si="6"/>
        <v>0</v>
      </c>
      <c r="Q205" s="139">
        <f t="shared" si="7"/>
        <v>4</v>
      </c>
    </row>
    <row r="206" spans="1:17">
      <c r="A206" s="74">
        <v>205</v>
      </c>
      <c r="B206" s="89" t="str">
        <f>IF($T$4=0,IF($I206="","",$I206),IFERROR(IF([1]财务取数接口!$B$205=0,"",[1]财务取数接口!$B$205),""))</f>
        <v>新顺发泡网</v>
      </c>
      <c r="C206" s="75" t="str">
        <f>IF($T$4=0,IF($J206="","",$J206),IFERROR(IF([1]财务取数接口!$C$205=0,"",[1]财务取数接口!$C$205),""))</f>
        <v>物料销售款</v>
      </c>
      <c r="D206" s="89" t="str">
        <f>IF($T$4=0,IF($K206="","",$K206),IFERROR(IF([1]财务取数接口!$D$205=0,"",[1]财务取数接口!$D$205),""))</f>
        <v/>
      </c>
      <c r="E206" s="89">
        <f>IF($T$4=0,IF($L206="","",$L206),IFERROR(IF([1]财务取数接口!$E$205=0,"",[1]财务取数接口!$E$205),""))</f>
        <v>40848</v>
      </c>
      <c r="F206" s="76" t="str">
        <f>IF($T$4=0,IF($M206="","",$M206),IFERROR(IF([1]财务取数接口!$G$205=0,"",[1]财务取数接口!$G$205),""))</f>
        <v/>
      </c>
      <c r="G206" s="76" t="str">
        <f>IF($T$4=0,IF($N206="","",$N206),IFERROR(IF([1]财务取数接口!$H$205=0,"",[1]财务取数接口!$H$205),""))</f>
        <v/>
      </c>
      <c r="H206" s="75" t="str">
        <f>IF($T$4=0,IF($O206="","",$O206),IFERROR(IF([1]财务取数接口!$I$205=0,"",[1]财务取数接口!$I$205),""))</f>
        <v/>
      </c>
      <c r="I206" s="43"/>
      <c r="J206" s="106"/>
      <c r="K206" s="43"/>
      <c r="L206" s="43"/>
      <c r="M206" s="107"/>
      <c r="N206" s="107"/>
      <c r="O206" s="106"/>
      <c r="P206" s="139">
        <f t="shared" si="6"/>
        <v>1</v>
      </c>
      <c r="Q206" s="139">
        <f t="shared" si="7"/>
        <v>5</v>
      </c>
    </row>
    <row r="207" spans="1:17">
      <c r="A207" s="74">
        <v>206</v>
      </c>
      <c r="B207" s="89" t="str">
        <f>IF($T$4=0,IF($I207="","",$I207),IFERROR(IF([1]财务取数接口!$B$206=0,"",[1]财务取数接口!$B$206),""))</f>
        <v>武宁气泡垫</v>
      </c>
      <c r="C207" s="75" t="str">
        <f>IF($T$4=0,IF($J207="","",$J207),IFERROR(IF([1]财务取数接口!$C$206=0,"",[1]财务取数接口!$C$206),""))</f>
        <v>筐子销售款</v>
      </c>
      <c r="D207" s="89" t="str">
        <f>IF($T$4=0,IF($K207="","",$K207),IFERROR(IF([1]财务取数接口!$D$206=0,"",[1]财务取数接口!$D$206),""))</f>
        <v/>
      </c>
      <c r="E207" s="89" t="str">
        <f>IF($T$4=0,IF($L207="","",$L207),IFERROR(IF([1]财务取数接口!$E$206=0,"",[1]财务取数接口!$E$206),""))</f>
        <v/>
      </c>
      <c r="F207" s="76" t="str">
        <f>IF($T$4=0,IF($M207="","",$M207),IFERROR(IF([1]财务取数接口!$G$206=0,"",[1]财务取数接口!$G$206),""))</f>
        <v/>
      </c>
      <c r="G207" s="76" t="str">
        <f>IF($T$4=0,IF($N207="","",$N207),IFERROR(IF([1]财务取数接口!$H$206=0,"",[1]财务取数接口!$H$206),""))</f>
        <v/>
      </c>
      <c r="H207" s="75" t="str">
        <f>IF($T$4=0,IF($O207="","",$O207),IFERROR(IF([1]财务取数接口!$I$206=0,"",[1]财务取数接口!$I$206),""))</f>
        <v/>
      </c>
      <c r="I207" s="43"/>
      <c r="J207" s="106"/>
      <c r="K207" s="43"/>
      <c r="L207" s="43"/>
      <c r="M207" s="107"/>
      <c r="N207" s="107"/>
      <c r="O207" s="106"/>
      <c r="P207" s="139">
        <f t="shared" si="6"/>
        <v>0</v>
      </c>
      <c r="Q207" s="139">
        <f t="shared" si="7"/>
        <v>5</v>
      </c>
    </row>
    <row r="208" spans="1:17">
      <c r="A208" s="74">
        <v>207</v>
      </c>
      <c r="B208" s="89" t="str">
        <f>IF($T$4=0,IF($I208="","",$I208),IFERROR(IF([1]财务取数接口!$B$207=0,"",[1]财务取数接口!$B$207),""))</f>
        <v>武宁气泡垫</v>
      </c>
      <c r="C208" s="75" t="str">
        <f>IF($T$4=0,IF($J208="","",$J208),IFERROR(IF([1]财务取数接口!$C$207=0,"",[1]财务取数接口!$C$207),""))</f>
        <v>物料销售款</v>
      </c>
      <c r="D208" s="89" t="str">
        <f>IF($T$4=0,IF($K208="","",$K208),IFERROR(IF([1]财务取数接口!$D$207=0,"",[1]财务取数接口!$D$207),""))</f>
        <v/>
      </c>
      <c r="E208" s="89" t="str">
        <f>IF($T$4=0,IF($L208="","",$L208),IFERROR(IF([1]财务取数接口!$E$207=0,"",[1]财务取数接口!$E$207),""))</f>
        <v/>
      </c>
      <c r="F208" s="76" t="str">
        <f>IF($T$4=0,IF($M208="","",$M208),IFERROR(IF([1]财务取数接口!$G$207=0,"",[1]财务取数接口!$G$207),""))</f>
        <v/>
      </c>
      <c r="G208" s="76" t="str">
        <f>IF($T$4=0,IF($N208="","",$N208),IFERROR(IF([1]财务取数接口!$H$207=0,"",[1]财务取数接口!$H$207),""))</f>
        <v/>
      </c>
      <c r="H208" s="75" t="str">
        <f>IF($T$4=0,IF($O208="","",$O208),IFERROR(IF([1]财务取数接口!$I$207=0,"",[1]财务取数接口!$I$207),""))</f>
        <v/>
      </c>
      <c r="I208" s="43"/>
      <c r="J208" s="106"/>
      <c r="K208" s="43"/>
      <c r="L208" s="43"/>
      <c r="M208" s="107"/>
      <c r="N208" s="107"/>
      <c r="O208" s="106"/>
      <c r="P208" s="139">
        <f t="shared" si="6"/>
        <v>0</v>
      </c>
      <c r="Q208" s="139">
        <f t="shared" si="7"/>
        <v>5</v>
      </c>
    </row>
    <row r="209" spans="1:17">
      <c r="A209" s="74">
        <v>208</v>
      </c>
      <c r="B209" s="89" t="str">
        <f>IF($T$4=0,IF($I209="","",$I209),IFERROR(IF([1]财务取数接口!$B$208=0,"",[1]财务取数接口!$B$208),""))</f>
        <v/>
      </c>
      <c r="C209" s="75" t="str">
        <f>IF($T$4=0,IF($J209="","",$J209),IFERROR(IF([1]财务取数接口!$C$208=0,"",[1]财务取数接口!$C$208),""))</f>
        <v/>
      </c>
      <c r="D209" s="89" t="str">
        <f>IF($T$4=0,IF($K209="","",$K209),IFERROR(IF([1]财务取数接口!$D$208=0,"",[1]财务取数接口!$D$208),""))</f>
        <v/>
      </c>
      <c r="E209" s="89" t="str">
        <f>IF($T$4=0,IF($L209="","",$L209),IFERROR(IF([1]财务取数接口!$E$208=0,"",[1]财务取数接口!$E$208),""))</f>
        <v/>
      </c>
      <c r="F209" s="76" t="str">
        <f>IF($T$4=0,IF($M209="","",$M209),IFERROR(IF([1]财务取数接口!$G$208=0,"",[1]财务取数接口!$G$208),""))</f>
        <v/>
      </c>
      <c r="G209" s="76" t="str">
        <f>IF($T$4=0,IF($N209="","",$N209),IFERROR(IF([1]财务取数接口!$H$208=0,"",[1]财务取数接口!$H$208),""))</f>
        <v/>
      </c>
      <c r="H209" s="75" t="str">
        <f>IF($T$4=0,IF($O209="","",$O209),IFERROR(IF([1]财务取数接口!$I$208=0,"",[1]财务取数接口!$I$208),""))</f>
        <v/>
      </c>
      <c r="I209" s="43"/>
      <c r="J209" s="106"/>
      <c r="K209" s="43"/>
      <c r="L209" s="43"/>
      <c r="M209" s="107"/>
      <c r="N209" s="107"/>
      <c r="O209" s="106"/>
      <c r="P209" s="139">
        <f t="shared" si="6"/>
        <v>0</v>
      </c>
      <c r="Q209" s="139">
        <f t="shared" si="7"/>
        <v>5</v>
      </c>
    </row>
    <row r="210" spans="1:17">
      <c r="A210" s="74">
        <v>209</v>
      </c>
      <c r="B210" s="89" t="str">
        <f>IF($T$4=0,IF($I210="","",$I210),IFERROR(IF([1]财务取数接口!$B$209=0,"",[1]财务取数接口!$B$209),""))</f>
        <v/>
      </c>
      <c r="C210" s="75" t="str">
        <f>IF($T$4=0,IF($J210="","",$J210),IFERROR(IF([1]财务取数接口!$C$209=0,"",[1]财务取数接口!$C$209),""))</f>
        <v/>
      </c>
      <c r="D210" s="89" t="str">
        <f>IF($T$4=0,IF($K210="","",$K210),IFERROR(IF([1]财务取数接口!$D$209=0,"",[1]财务取数接口!$D$209),""))</f>
        <v/>
      </c>
      <c r="E210" s="89" t="str">
        <f>IF($T$4=0,IF($L210="","",$L210),IFERROR(IF([1]财务取数接口!$E$209=0,"",[1]财务取数接口!$E$209),""))</f>
        <v/>
      </c>
      <c r="F210" s="76" t="str">
        <f>IF($T$4=0,IF($M210="","",$M210),IFERROR(IF([1]财务取数接口!$G$209=0,"",[1]财务取数接口!$G$209),""))</f>
        <v/>
      </c>
      <c r="G210" s="76" t="str">
        <f>IF($T$4=0,IF($N210="","",$N210),IFERROR(IF([1]财务取数接口!$H$209=0,"",[1]财务取数接口!$H$209),""))</f>
        <v/>
      </c>
      <c r="H210" s="75" t="str">
        <f>IF($T$4=0,IF($O210="","",$O210),IFERROR(IF([1]财务取数接口!$I$209=0,"",[1]财务取数接口!$I$209),""))</f>
        <v/>
      </c>
      <c r="I210" s="43"/>
      <c r="J210" s="106"/>
      <c r="K210" s="43"/>
      <c r="L210" s="43"/>
      <c r="M210" s="107"/>
      <c r="N210" s="107"/>
      <c r="O210" s="106"/>
      <c r="P210" s="139">
        <f t="shared" si="6"/>
        <v>0</v>
      </c>
      <c r="Q210" s="139">
        <f t="shared" si="7"/>
        <v>5</v>
      </c>
    </row>
    <row r="211" spans="1:17">
      <c r="A211" s="74">
        <v>210</v>
      </c>
      <c r="B211" s="89" t="str">
        <f>IF($T$4=0,IF($I211="","",$I211),IFERROR(IF([1]财务取数接口!$B$210=0,"",[1]财务取数接口!$B$210),""))</f>
        <v/>
      </c>
      <c r="C211" s="75" t="str">
        <f>IF($T$4=0,IF($J211="","",$J211),IFERROR(IF([1]财务取数接口!$C$210=0,"",[1]财务取数接口!$C$210),""))</f>
        <v/>
      </c>
      <c r="D211" s="89" t="str">
        <f>IF($T$4=0,IF($K211="","",$K211),IFERROR(IF([1]财务取数接口!$D$210=0,"",[1]财务取数接口!$D$210),""))</f>
        <v/>
      </c>
      <c r="E211" s="89" t="str">
        <f>IF($T$4=0,IF($L211="","",$L211),IFERROR(IF([1]财务取数接口!$E$210=0,"",[1]财务取数接口!$E$210),""))</f>
        <v/>
      </c>
      <c r="F211" s="76" t="str">
        <f>IF($T$4=0,IF($M211="","",$M211),IFERROR(IF([1]财务取数接口!$G$210=0,"",[1]财务取数接口!$G$210),""))</f>
        <v/>
      </c>
      <c r="G211" s="76" t="str">
        <f>IF($T$4=0,IF($N211="","",$N211),IFERROR(IF([1]财务取数接口!$H$210=0,"",[1]财务取数接口!$H$210),""))</f>
        <v/>
      </c>
      <c r="H211" s="75" t="str">
        <f>IF($T$4=0,IF($O211="","",$O211),IFERROR(IF([1]财务取数接口!$I$210=0,"",[1]财务取数接口!$I$210),""))</f>
        <v/>
      </c>
      <c r="I211" s="43"/>
      <c r="J211" s="106"/>
      <c r="K211" s="43"/>
      <c r="L211" s="43"/>
      <c r="M211" s="107"/>
      <c r="N211" s="107"/>
      <c r="O211" s="106"/>
      <c r="P211" s="139">
        <f t="shared" si="6"/>
        <v>0</v>
      </c>
      <c r="Q211" s="139">
        <f t="shared" si="7"/>
        <v>5</v>
      </c>
    </row>
    <row r="212" spans="1:17">
      <c r="A212" s="74">
        <v>211</v>
      </c>
      <c r="B212" s="89" t="str">
        <f>IF($T$4=0,IF($I212="","",$I212),IFERROR(IF([1]财务取数接口!$B$211=0,"",[1]财务取数接口!$B$211),""))</f>
        <v/>
      </c>
      <c r="C212" s="75" t="str">
        <f>IF($T$4=0,IF($J212="","",$J212),IFERROR(IF([1]财务取数接口!$C$211=0,"",[1]财务取数接口!$C$211),""))</f>
        <v/>
      </c>
      <c r="D212" s="89" t="str">
        <f>IF($T$4=0,IF($K212="","",$K212),IFERROR(IF([1]财务取数接口!$D$211=0,"",[1]财务取数接口!$D$211),""))</f>
        <v/>
      </c>
      <c r="E212" s="89" t="str">
        <f>IF($T$4=0,IF($L212="","",$L212),IFERROR(IF([1]财务取数接口!$E$211=0,"",[1]财务取数接口!$E$211),""))</f>
        <v/>
      </c>
      <c r="F212" s="76" t="str">
        <f>IF($T$4=0,IF($M212="","",$M212),IFERROR(IF([1]财务取数接口!$G$211=0,"",[1]财务取数接口!$G$211),""))</f>
        <v/>
      </c>
      <c r="G212" s="76" t="str">
        <f>IF($T$4=0,IF($N212="","",$N212),IFERROR(IF([1]财务取数接口!$H$211=0,"",[1]财务取数接口!$H$211),""))</f>
        <v/>
      </c>
      <c r="H212" s="75" t="str">
        <f>IF($T$4=0,IF($O212="","",$O212),IFERROR(IF([1]财务取数接口!$I$211=0,"",[1]财务取数接口!$I$211),""))</f>
        <v/>
      </c>
      <c r="I212" s="43"/>
      <c r="J212" s="106"/>
      <c r="K212" s="43"/>
      <c r="L212" s="43"/>
      <c r="M212" s="107"/>
      <c r="N212" s="107"/>
      <c r="O212" s="106"/>
      <c r="P212" s="139">
        <f t="shared" si="6"/>
        <v>0</v>
      </c>
      <c r="Q212" s="139">
        <f t="shared" si="7"/>
        <v>5</v>
      </c>
    </row>
    <row r="213" spans="1:17">
      <c r="A213" s="74">
        <v>212</v>
      </c>
      <c r="B213" s="89" t="str">
        <f>IF($T$4=0,IF($I213="","",$I213),IFERROR(IF([1]财务取数接口!$B$212=0,"",[1]财务取数接口!$B$212),""))</f>
        <v/>
      </c>
      <c r="C213" s="75" t="str">
        <f>IF($T$4=0,IF($J213="","",$J213),IFERROR(IF([1]财务取数接口!$C$212=0,"",[1]财务取数接口!$C$212),""))</f>
        <v/>
      </c>
      <c r="D213" s="89" t="str">
        <f>IF($T$4=0,IF($K213="","",$K213),IFERROR(IF([1]财务取数接口!$D$212=0,"",[1]财务取数接口!$D$212),""))</f>
        <v/>
      </c>
      <c r="E213" s="89" t="str">
        <f>IF($T$4=0,IF($L213="","",$L213),IFERROR(IF([1]财务取数接口!$E$212=0,"",[1]财务取数接口!$E$212),""))</f>
        <v/>
      </c>
      <c r="F213" s="76" t="str">
        <f>IF($T$4=0,IF($M213="","",$M213),IFERROR(IF([1]财务取数接口!$G$212=0,"",[1]财务取数接口!$G$212),""))</f>
        <v/>
      </c>
      <c r="G213" s="76" t="str">
        <f>IF($T$4=0,IF($N213="","",$N213),IFERROR(IF([1]财务取数接口!$H$212=0,"",[1]财务取数接口!$H$212),""))</f>
        <v/>
      </c>
      <c r="H213" s="75" t="str">
        <f>IF($T$4=0,IF($O213="","",$O213),IFERROR(IF([1]财务取数接口!$I$212=0,"",[1]财务取数接口!$I$212),""))</f>
        <v/>
      </c>
      <c r="I213" s="43"/>
      <c r="J213" s="106"/>
      <c r="K213" s="43"/>
      <c r="L213" s="43"/>
      <c r="M213" s="107"/>
      <c r="N213" s="107"/>
      <c r="O213" s="106"/>
      <c r="P213" s="139">
        <f t="shared" si="6"/>
        <v>0</v>
      </c>
      <c r="Q213" s="139">
        <f t="shared" si="7"/>
        <v>5</v>
      </c>
    </row>
    <row r="214" spans="1:17">
      <c r="A214" s="74">
        <v>213</v>
      </c>
      <c r="B214" s="89" t="str">
        <f>IF($T$4=0,IF($I214="","",$I214),IFERROR(IF([1]财务取数接口!$B$213=0,"",[1]财务取数接口!$B$213),""))</f>
        <v/>
      </c>
      <c r="C214" s="75" t="str">
        <f>IF($T$4=0,IF($J214="","",$J214),IFERROR(IF([1]财务取数接口!$C$213=0,"",[1]财务取数接口!$C$213),""))</f>
        <v/>
      </c>
      <c r="D214" s="89" t="str">
        <f>IF($T$4=0,IF($K214="","",$K214),IFERROR(IF([1]财务取数接口!$D$213=0,"",[1]财务取数接口!$D$213),""))</f>
        <v/>
      </c>
      <c r="E214" s="89" t="str">
        <f>IF($T$4=0,IF($L214="","",$L214),IFERROR(IF([1]财务取数接口!$E$213=0,"",[1]财务取数接口!$E$213),""))</f>
        <v/>
      </c>
      <c r="F214" s="76" t="str">
        <f>IF($T$4=0,IF($M214="","",$M214),IFERROR(IF([1]财务取数接口!$G$213=0,"",[1]财务取数接口!$G$213),""))</f>
        <v/>
      </c>
      <c r="G214" s="76" t="str">
        <f>IF($T$4=0,IF($N214="","",$N214),IFERROR(IF([1]财务取数接口!$H$213=0,"",[1]财务取数接口!$H$213),""))</f>
        <v/>
      </c>
      <c r="H214" s="75" t="str">
        <f>IF($T$4=0,IF($O214="","",$O214),IFERROR(IF([1]财务取数接口!$I$213=0,"",[1]财务取数接口!$I$213),""))</f>
        <v/>
      </c>
      <c r="I214" s="43"/>
      <c r="J214" s="106"/>
      <c r="K214" s="43"/>
      <c r="L214" s="43"/>
      <c r="M214" s="107"/>
      <c r="N214" s="107"/>
      <c r="O214" s="106"/>
      <c r="P214" s="139">
        <f t="shared" si="6"/>
        <v>0</v>
      </c>
      <c r="Q214" s="139">
        <f t="shared" si="7"/>
        <v>5</v>
      </c>
    </row>
    <row r="215" spans="1:17">
      <c r="A215" s="74">
        <v>214</v>
      </c>
      <c r="B215" s="89" t="str">
        <f>IF($T$4=0,IF($I215="","",$I215),IFERROR(IF([1]财务取数接口!$B$214=0,"",[1]财务取数接口!$B$214),""))</f>
        <v/>
      </c>
      <c r="C215" s="75" t="str">
        <f>IF($T$4=0,IF($J215="","",$J215),IFERROR(IF([1]财务取数接口!$C$214=0,"",[1]财务取数接口!$C$214),""))</f>
        <v/>
      </c>
      <c r="D215" s="89" t="str">
        <f>IF($T$4=0,IF($K215="","",$K215),IFERROR(IF([1]财务取数接口!$D$214=0,"",[1]财务取数接口!$D$214),""))</f>
        <v/>
      </c>
      <c r="E215" s="89" t="str">
        <f>IF($T$4=0,IF($L215="","",$L215),IFERROR(IF([1]财务取数接口!$E$214=0,"",[1]财务取数接口!$E$214),""))</f>
        <v/>
      </c>
      <c r="F215" s="76" t="str">
        <f>IF($T$4=0,IF($M215="","",$M215),IFERROR(IF([1]财务取数接口!$G$214=0,"",[1]财务取数接口!$G$214),""))</f>
        <v/>
      </c>
      <c r="G215" s="76" t="str">
        <f>IF($T$4=0,IF($N215="","",$N215),IFERROR(IF([1]财务取数接口!$H$214=0,"",[1]财务取数接口!$H$214),""))</f>
        <v/>
      </c>
      <c r="H215" s="75" t="str">
        <f>IF($T$4=0,IF($O215="","",$O215),IFERROR(IF([1]财务取数接口!$I$214=0,"",[1]财务取数接口!$I$214),""))</f>
        <v/>
      </c>
      <c r="I215" s="43"/>
      <c r="J215" s="106"/>
      <c r="K215" s="43"/>
      <c r="L215" s="43"/>
      <c r="M215" s="107"/>
      <c r="N215" s="107"/>
      <c r="O215" s="106"/>
      <c r="P215" s="139">
        <f t="shared" si="6"/>
        <v>0</v>
      </c>
      <c r="Q215" s="139">
        <f t="shared" si="7"/>
        <v>5</v>
      </c>
    </row>
    <row r="216" spans="1:17">
      <c r="A216" s="74">
        <v>215</v>
      </c>
      <c r="B216" s="89" t="str">
        <f>IF($T$4=0,IF($I216="","",$I216),IFERROR(IF([1]财务取数接口!$B$215=0,"",[1]财务取数接口!$B$215),""))</f>
        <v/>
      </c>
      <c r="C216" s="75" t="str">
        <f>IF($T$4=0,IF($J216="","",$J216),IFERROR(IF([1]财务取数接口!$C$215=0,"",[1]财务取数接口!$C$215),""))</f>
        <v/>
      </c>
      <c r="D216" s="89" t="str">
        <f>IF($T$4=0,IF($K216="","",$K216),IFERROR(IF([1]财务取数接口!$D$215=0,"",[1]财务取数接口!$D$215),""))</f>
        <v/>
      </c>
      <c r="E216" s="89" t="str">
        <f>IF($T$4=0,IF($L216="","",$L216),IFERROR(IF([1]财务取数接口!$E$215=0,"",[1]财务取数接口!$E$215),""))</f>
        <v/>
      </c>
      <c r="F216" s="76" t="str">
        <f>IF($T$4=0,IF($M216="","",$M216),IFERROR(IF([1]财务取数接口!$G$215=0,"",[1]财务取数接口!$G$215),""))</f>
        <v/>
      </c>
      <c r="G216" s="76" t="str">
        <f>IF($T$4=0,IF($N216="","",$N216),IFERROR(IF([1]财务取数接口!$H$215=0,"",[1]财务取数接口!$H$215),""))</f>
        <v/>
      </c>
      <c r="H216" s="75" t="str">
        <f>IF($T$4=0,IF($O216="","",$O216),IFERROR(IF([1]财务取数接口!$I$215=0,"",[1]财务取数接口!$I$215),""))</f>
        <v/>
      </c>
      <c r="I216" s="43"/>
      <c r="J216" s="106"/>
      <c r="K216" s="43"/>
      <c r="L216" s="43"/>
      <c r="M216" s="107"/>
      <c r="N216" s="107"/>
      <c r="O216" s="106"/>
      <c r="P216" s="139">
        <f t="shared" si="6"/>
        <v>0</v>
      </c>
      <c r="Q216" s="139">
        <f t="shared" si="7"/>
        <v>5</v>
      </c>
    </row>
    <row r="217" spans="1:17">
      <c r="A217" s="74">
        <v>216</v>
      </c>
      <c r="B217" s="89" t="str">
        <f>IF($T$4=0,IF($I217="","",$I217),IFERROR(IF([1]财务取数接口!$B$216=0,"",[1]财务取数接口!$B$216),""))</f>
        <v/>
      </c>
      <c r="C217" s="75" t="str">
        <f>IF($T$4=0,IF($J217="","",$J217),IFERROR(IF([1]财务取数接口!$C$216=0,"",[1]财务取数接口!$C$216),""))</f>
        <v/>
      </c>
      <c r="D217" s="89" t="str">
        <f>IF($T$4=0,IF($K217="","",$K217),IFERROR(IF([1]财务取数接口!$D$216=0,"",[1]财务取数接口!$D$216),""))</f>
        <v/>
      </c>
      <c r="E217" s="89" t="str">
        <f>IF($T$4=0,IF($L217="","",$L217),IFERROR(IF([1]财务取数接口!$E$216=0,"",[1]财务取数接口!$E$216),""))</f>
        <v/>
      </c>
      <c r="F217" s="76" t="str">
        <f>IF($T$4=0,IF($M217="","",$M217),IFERROR(IF([1]财务取数接口!$G$216=0,"",[1]财务取数接口!$G$216),""))</f>
        <v/>
      </c>
      <c r="G217" s="76" t="str">
        <f>IF($T$4=0,IF($N217="","",$N217),IFERROR(IF([1]财务取数接口!$H$216=0,"",[1]财务取数接口!$H$216),""))</f>
        <v/>
      </c>
      <c r="H217" s="75" t="str">
        <f>IF($T$4=0,IF($O217="","",$O217),IFERROR(IF([1]财务取数接口!$I$216=0,"",[1]财务取数接口!$I$216),""))</f>
        <v/>
      </c>
      <c r="I217" s="43"/>
      <c r="J217" s="106"/>
      <c r="K217" s="43"/>
      <c r="L217" s="43"/>
      <c r="M217" s="107"/>
      <c r="N217" s="107"/>
      <c r="O217" s="106"/>
      <c r="P217" s="139">
        <f t="shared" si="6"/>
        <v>0</v>
      </c>
      <c r="Q217" s="139">
        <f t="shared" si="7"/>
        <v>5</v>
      </c>
    </row>
    <row r="218" spans="1:17">
      <c r="A218" s="74">
        <v>217</v>
      </c>
      <c r="B218" s="89" t="str">
        <f>IF($T$4=0,IF($I218="","",$I218),IFERROR(IF([1]财务取数接口!$B$217=0,"",[1]财务取数接口!$B$217),""))</f>
        <v/>
      </c>
      <c r="C218" s="75" t="str">
        <f>IF($T$4=0,IF($J218="","",$J218),IFERROR(IF([1]财务取数接口!$C$217=0,"",[1]财务取数接口!$C$217),""))</f>
        <v/>
      </c>
      <c r="D218" s="89" t="str">
        <f>IF($T$4=0,IF($K218="","",$K218),IFERROR(IF([1]财务取数接口!$D$217=0,"",[1]财务取数接口!$D$217),""))</f>
        <v/>
      </c>
      <c r="E218" s="89" t="str">
        <f>IF($T$4=0,IF($L218="","",$L218),IFERROR(IF([1]财务取数接口!$E$217=0,"",[1]财务取数接口!$E$217),""))</f>
        <v/>
      </c>
      <c r="F218" s="76" t="str">
        <f>IF($T$4=0,IF($M218="","",$M218),IFERROR(IF([1]财务取数接口!$G$217=0,"",[1]财务取数接口!$G$217),""))</f>
        <v/>
      </c>
      <c r="G218" s="76" t="str">
        <f>IF($T$4=0,IF($N218="","",$N218),IFERROR(IF([1]财务取数接口!$H$217=0,"",[1]财务取数接口!$H$217),""))</f>
        <v/>
      </c>
      <c r="H218" s="75" t="str">
        <f>IF($T$4=0,IF($O218="","",$O218),IFERROR(IF([1]财务取数接口!$I$217=0,"",[1]财务取数接口!$I$217),""))</f>
        <v/>
      </c>
      <c r="I218" s="43"/>
      <c r="J218" s="106"/>
      <c r="K218" s="43"/>
      <c r="L218" s="43"/>
      <c r="M218" s="107"/>
      <c r="N218" s="107"/>
      <c r="O218" s="106"/>
      <c r="P218" s="139">
        <f t="shared" si="6"/>
        <v>0</v>
      </c>
      <c r="Q218" s="139">
        <f t="shared" si="7"/>
        <v>5</v>
      </c>
    </row>
    <row r="219" spans="1:17">
      <c r="A219" s="74">
        <v>218</v>
      </c>
      <c r="B219" s="89" t="str">
        <f>IF($T$4=0,IF($I219="","",$I219),IFERROR(IF([1]财务取数接口!$B$218=0,"",[1]财务取数接口!$B$218),""))</f>
        <v/>
      </c>
      <c r="C219" s="75" t="str">
        <f>IF($T$4=0,IF($J219="","",$J219),IFERROR(IF([1]财务取数接口!$C$218=0,"",[1]财务取数接口!$C$218),""))</f>
        <v/>
      </c>
      <c r="D219" s="89" t="str">
        <f>IF($T$4=0,IF($K219="","",$K219),IFERROR(IF([1]财务取数接口!$D$218=0,"",[1]财务取数接口!$D$218),""))</f>
        <v/>
      </c>
      <c r="E219" s="89" t="str">
        <f>IF($T$4=0,IF($L219="","",$L219),IFERROR(IF([1]财务取数接口!$E$218=0,"",[1]财务取数接口!$E$218),""))</f>
        <v/>
      </c>
      <c r="F219" s="76" t="str">
        <f>IF($T$4=0,IF($M219="","",$M219),IFERROR(IF([1]财务取数接口!$G$218=0,"",[1]财务取数接口!$G$218),""))</f>
        <v/>
      </c>
      <c r="G219" s="76" t="str">
        <f>IF($T$4=0,IF($N219="","",$N219),IFERROR(IF([1]财务取数接口!$H$218=0,"",[1]财务取数接口!$H$218),""))</f>
        <v/>
      </c>
      <c r="H219" s="75" t="str">
        <f>IF($T$4=0,IF($O219="","",$O219),IFERROR(IF([1]财务取数接口!$I$218=0,"",[1]财务取数接口!$I$218),""))</f>
        <v/>
      </c>
      <c r="I219" s="43"/>
      <c r="J219" s="106"/>
      <c r="K219" s="43"/>
      <c r="L219" s="43"/>
      <c r="M219" s="107"/>
      <c r="N219" s="107"/>
      <c r="O219" s="106"/>
      <c r="P219" s="139">
        <f t="shared" si="6"/>
        <v>0</v>
      </c>
      <c r="Q219" s="139">
        <f t="shared" si="7"/>
        <v>5</v>
      </c>
    </row>
    <row r="220" spans="1:17">
      <c r="A220" s="74">
        <v>219</v>
      </c>
      <c r="B220" s="89" t="str">
        <f>IF($T$4=0,IF($I220="","",$I220),IFERROR(IF([1]财务取数接口!$B$219=0,"",[1]财务取数接口!$B$219),""))</f>
        <v/>
      </c>
      <c r="C220" s="75" t="str">
        <f>IF($T$4=0,IF($J220="","",$J220),IFERROR(IF([1]财务取数接口!$C$219=0,"",[1]财务取数接口!$C$219),""))</f>
        <v/>
      </c>
      <c r="D220" s="89" t="str">
        <f>IF($T$4=0,IF($K220="","",$K220),IFERROR(IF([1]财务取数接口!$D$219=0,"",[1]财务取数接口!$D$219),""))</f>
        <v/>
      </c>
      <c r="E220" s="89" t="str">
        <f>IF($T$4=0,IF($L220="","",$L220),IFERROR(IF([1]财务取数接口!$E$219=0,"",[1]财务取数接口!$E$219),""))</f>
        <v/>
      </c>
      <c r="F220" s="76" t="str">
        <f>IF($T$4=0,IF($M220="","",$M220),IFERROR(IF([1]财务取数接口!$G$219=0,"",[1]财务取数接口!$G$219),""))</f>
        <v/>
      </c>
      <c r="G220" s="76" t="str">
        <f>IF($T$4=0,IF($N220="","",$N220),IFERROR(IF([1]财务取数接口!$H$219=0,"",[1]财务取数接口!$H$219),""))</f>
        <v/>
      </c>
      <c r="H220" s="75" t="str">
        <f>IF($T$4=0,IF($O220="","",$O220),IFERROR(IF([1]财务取数接口!$I$219=0,"",[1]财务取数接口!$I$219),""))</f>
        <v/>
      </c>
      <c r="I220" s="43"/>
      <c r="J220" s="106"/>
      <c r="K220" s="43"/>
      <c r="L220" s="43"/>
      <c r="M220" s="107"/>
      <c r="N220" s="107"/>
      <c r="O220" s="106"/>
      <c r="P220" s="139">
        <f t="shared" si="6"/>
        <v>0</v>
      </c>
      <c r="Q220" s="139">
        <f t="shared" si="7"/>
        <v>5</v>
      </c>
    </row>
    <row r="221" spans="1:17">
      <c r="A221" s="74">
        <v>220</v>
      </c>
      <c r="B221" s="89" t="str">
        <f>IF($T$4=0,IF($I221="","",$I221),IFERROR(IF([1]财务取数接口!$B$220=0,"",[1]财务取数接口!$B$220),""))</f>
        <v/>
      </c>
      <c r="C221" s="75" t="str">
        <f>IF($T$4=0,IF($J221="","",$J221),IFERROR(IF([1]财务取数接口!$C$220=0,"",[1]财务取数接口!$C$220),""))</f>
        <v/>
      </c>
      <c r="D221" s="89" t="str">
        <f>IF($T$4=0,IF($K221="","",$K221),IFERROR(IF([1]财务取数接口!$D$220=0,"",[1]财务取数接口!$D$220),""))</f>
        <v/>
      </c>
      <c r="E221" s="89" t="str">
        <f>IF($T$4=0,IF($L221="","",$L221),IFERROR(IF([1]财务取数接口!$E$220=0,"",[1]财务取数接口!$E$220),""))</f>
        <v/>
      </c>
      <c r="F221" s="76" t="str">
        <f>IF($T$4=0,IF($M221="","",$M221),IFERROR(IF([1]财务取数接口!$G$220=0,"",[1]财务取数接口!$G$220),""))</f>
        <v/>
      </c>
      <c r="G221" s="76" t="str">
        <f>IF($T$4=0,IF($N221="","",$N221),IFERROR(IF([1]财务取数接口!$H$220=0,"",[1]财务取数接口!$H$220),""))</f>
        <v/>
      </c>
      <c r="H221" s="75" t="str">
        <f>IF($T$4=0,IF($O221="","",$O221),IFERROR(IF([1]财务取数接口!$I$220=0,"",[1]财务取数接口!$I$220),""))</f>
        <v/>
      </c>
      <c r="I221" s="43"/>
      <c r="J221" s="106"/>
      <c r="K221" s="43"/>
      <c r="L221" s="43"/>
      <c r="M221" s="107"/>
      <c r="N221" s="107"/>
      <c r="O221" s="106"/>
      <c r="P221" s="139">
        <f t="shared" si="6"/>
        <v>0</v>
      </c>
      <c r="Q221" s="139">
        <f t="shared" si="7"/>
        <v>5</v>
      </c>
    </row>
    <row r="222" spans="1:17">
      <c r="A222" s="74">
        <v>221</v>
      </c>
      <c r="B222" s="89" t="str">
        <f>IF($T$4=0,IF($I222="","",$I222),IFERROR(IF([1]财务取数接口!$B$221=0,"",[1]财务取数接口!$B$221),""))</f>
        <v/>
      </c>
      <c r="C222" s="75" t="str">
        <f>IF($T$4=0,IF($J222="","",$J222),IFERROR(IF([1]财务取数接口!$C$221=0,"",[1]财务取数接口!$C$221),""))</f>
        <v/>
      </c>
      <c r="D222" s="89" t="str">
        <f>IF($T$4=0,IF($K222="","",$K222),IFERROR(IF([1]财务取数接口!$D$221=0,"",[1]财务取数接口!$D$221),""))</f>
        <v/>
      </c>
      <c r="E222" s="89" t="str">
        <f>IF($T$4=0,IF($L222="","",$L222),IFERROR(IF([1]财务取数接口!$E$221=0,"",[1]财务取数接口!$E$221),""))</f>
        <v/>
      </c>
      <c r="F222" s="76" t="str">
        <f>IF($T$4=0,IF($M222="","",$M222),IFERROR(IF([1]财务取数接口!$G$221=0,"",[1]财务取数接口!$G$221),""))</f>
        <v/>
      </c>
      <c r="G222" s="76" t="str">
        <f>IF($T$4=0,IF($N222="","",$N222),IFERROR(IF([1]财务取数接口!$H$221=0,"",[1]财务取数接口!$H$221),""))</f>
        <v/>
      </c>
      <c r="H222" s="75" t="str">
        <f>IF($T$4=0,IF($O222="","",$O222),IFERROR(IF([1]财务取数接口!$I$221=0,"",[1]财务取数接口!$I$221),""))</f>
        <v/>
      </c>
      <c r="I222" s="43"/>
      <c r="J222" s="106"/>
      <c r="K222" s="43"/>
      <c r="L222" s="43"/>
      <c r="M222" s="107"/>
      <c r="N222" s="107"/>
      <c r="O222" s="106"/>
      <c r="P222" s="139">
        <f t="shared" si="6"/>
        <v>0</v>
      </c>
      <c r="Q222" s="139">
        <f t="shared" si="7"/>
        <v>5</v>
      </c>
    </row>
    <row r="223" spans="1:17">
      <c r="A223" s="74">
        <v>222</v>
      </c>
      <c r="B223" s="89" t="str">
        <f>IF($T$4=0,IF($I223="","",$I223),IFERROR(IF([1]财务取数接口!$B$222=0,"",[1]财务取数接口!$B$222),""))</f>
        <v/>
      </c>
      <c r="C223" s="75" t="str">
        <f>IF($T$4=0,IF($J223="","",$J223),IFERROR(IF([1]财务取数接口!$C$222=0,"",[1]财务取数接口!$C$222),""))</f>
        <v/>
      </c>
      <c r="D223" s="89" t="str">
        <f>IF($T$4=0,IF($K223="","",$K223),IFERROR(IF([1]财务取数接口!$D$222=0,"",[1]财务取数接口!$D$222),""))</f>
        <v/>
      </c>
      <c r="E223" s="89" t="str">
        <f>IF($T$4=0,IF($L223="","",$L223),IFERROR(IF([1]财务取数接口!$E$222=0,"",[1]财务取数接口!$E$222),""))</f>
        <v/>
      </c>
      <c r="F223" s="76" t="str">
        <f>IF($T$4=0,IF($M223="","",$M223),IFERROR(IF([1]财务取数接口!$G$222=0,"",[1]财务取数接口!$G$222),""))</f>
        <v/>
      </c>
      <c r="G223" s="76" t="str">
        <f>IF($T$4=0,IF($N223="","",$N223),IFERROR(IF([1]财务取数接口!$H$222=0,"",[1]财务取数接口!$H$222),""))</f>
        <v/>
      </c>
      <c r="H223" s="75" t="str">
        <f>IF($T$4=0,IF($O223="","",$O223),IFERROR(IF([1]财务取数接口!$I$222=0,"",[1]财务取数接口!$I$222),""))</f>
        <v/>
      </c>
      <c r="I223" s="43"/>
      <c r="J223" s="106"/>
      <c r="K223" s="43"/>
      <c r="L223" s="43"/>
      <c r="M223" s="107"/>
      <c r="N223" s="107"/>
      <c r="O223" s="106"/>
      <c r="P223" s="139">
        <f t="shared" si="6"/>
        <v>0</v>
      </c>
      <c r="Q223" s="139">
        <f t="shared" si="7"/>
        <v>5</v>
      </c>
    </row>
    <row r="224" spans="1:17">
      <c r="A224" s="74">
        <v>223</v>
      </c>
      <c r="B224" s="89" t="str">
        <f>IF($T$4=0,IF($I224="","",$I224),IFERROR(IF([1]财务取数接口!$B$223=0,"",[1]财务取数接口!$B$223),""))</f>
        <v/>
      </c>
      <c r="C224" s="75" t="str">
        <f>IF($T$4=0,IF($J224="","",$J224),IFERROR(IF([1]财务取数接口!$C$223=0,"",[1]财务取数接口!$C$223),""))</f>
        <v/>
      </c>
      <c r="D224" s="89" t="str">
        <f>IF($T$4=0,IF($K224="","",$K224),IFERROR(IF([1]财务取数接口!$D$223=0,"",[1]财务取数接口!$D$223),""))</f>
        <v/>
      </c>
      <c r="E224" s="89" t="str">
        <f>IF($T$4=0,IF($L224="","",$L224),IFERROR(IF([1]财务取数接口!$E$223=0,"",[1]财务取数接口!$E$223),""))</f>
        <v/>
      </c>
      <c r="F224" s="76" t="str">
        <f>IF($T$4=0,IF($M224="","",$M224),IFERROR(IF([1]财务取数接口!$G$223=0,"",[1]财务取数接口!$G$223),""))</f>
        <v/>
      </c>
      <c r="G224" s="76" t="str">
        <f>IF($T$4=0,IF($N224="","",$N224),IFERROR(IF([1]财务取数接口!$H$223=0,"",[1]财务取数接口!$H$223),""))</f>
        <v/>
      </c>
      <c r="H224" s="75" t="str">
        <f>IF($T$4=0,IF($O224="","",$O224),IFERROR(IF([1]财务取数接口!$I$223=0,"",[1]财务取数接口!$I$223),""))</f>
        <v/>
      </c>
      <c r="I224" s="43"/>
      <c r="J224" s="106"/>
      <c r="K224" s="43"/>
      <c r="L224" s="43"/>
      <c r="M224" s="107"/>
      <c r="N224" s="107"/>
      <c r="O224" s="106"/>
      <c r="P224" s="139">
        <f t="shared" si="6"/>
        <v>0</v>
      </c>
      <c r="Q224" s="139">
        <f t="shared" si="7"/>
        <v>5</v>
      </c>
    </row>
    <row r="225" spans="1:17">
      <c r="A225" s="74">
        <v>224</v>
      </c>
      <c r="B225" s="89" t="str">
        <f>IF($T$4=0,IF($I225="","",$I225),IFERROR(IF([1]财务取数接口!$B$224=0,"",[1]财务取数接口!$B$224),""))</f>
        <v/>
      </c>
      <c r="C225" s="75" t="str">
        <f>IF($T$4=0,IF($J225="","",$J225),IFERROR(IF([1]财务取数接口!$C$224=0,"",[1]财务取数接口!$C$224),""))</f>
        <v/>
      </c>
      <c r="D225" s="89" t="str">
        <f>IF($T$4=0,IF($K225="","",$K225),IFERROR(IF([1]财务取数接口!$D$224=0,"",[1]财务取数接口!$D$224),""))</f>
        <v/>
      </c>
      <c r="E225" s="89" t="str">
        <f>IF($T$4=0,IF($L225="","",$L225),IFERROR(IF([1]财务取数接口!$E$224=0,"",[1]财务取数接口!$E$224),""))</f>
        <v/>
      </c>
      <c r="F225" s="76" t="str">
        <f>IF($T$4=0,IF($M225="","",$M225),IFERROR(IF([1]财务取数接口!$G$224=0,"",[1]财务取数接口!$G$224),""))</f>
        <v/>
      </c>
      <c r="G225" s="76" t="str">
        <f>IF($T$4=0,IF($N225="","",$N225),IFERROR(IF([1]财务取数接口!$H$224=0,"",[1]财务取数接口!$H$224),""))</f>
        <v/>
      </c>
      <c r="H225" s="75" t="str">
        <f>IF($T$4=0,IF($O225="","",$O225),IFERROR(IF([1]财务取数接口!$I$224=0,"",[1]财务取数接口!$I$224),""))</f>
        <v/>
      </c>
      <c r="I225" s="43"/>
      <c r="J225" s="106"/>
      <c r="K225" s="43"/>
      <c r="L225" s="43"/>
      <c r="M225" s="107"/>
      <c r="N225" s="107"/>
      <c r="O225" s="106"/>
      <c r="P225" s="139">
        <f t="shared" si="6"/>
        <v>0</v>
      </c>
      <c r="Q225" s="139">
        <f t="shared" si="7"/>
        <v>5</v>
      </c>
    </row>
    <row r="226" spans="1:17">
      <c r="A226" s="74">
        <v>225</v>
      </c>
      <c r="B226" s="89" t="str">
        <f>IF($T$4=0,IF($I226="","",$I226),IFERROR(IF([1]财务取数接口!$B$225=0,"",[1]财务取数接口!$B$225),""))</f>
        <v/>
      </c>
      <c r="C226" s="75" t="str">
        <f>IF($T$4=0,IF($J226="","",$J226),IFERROR(IF([1]财务取数接口!$C$225=0,"",[1]财务取数接口!$C$225),""))</f>
        <v/>
      </c>
      <c r="D226" s="89" t="str">
        <f>IF($T$4=0,IF($K226="","",$K226),IFERROR(IF([1]财务取数接口!$D$225=0,"",[1]财务取数接口!$D$225),""))</f>
        <v/>
      </c>
      <c r="E226" s="89" t="str">
        <f>IF($T$4=0,IF($L226="","",$L226),IFERROR(IF([1]财务取数接口!$E$225=0,"",[1]财务取数接口!$E$225),""))</f>
        <v/>
      </c>
      <c r="F226" s="76" t="str">
        <f>IF($T$4=0,IF($M226="","",$M226),IFERROR(IF([1]财务取数接口!$G$225=0,"",[1]财务取数接口!$G$225),""))</f>
        <v/>
      </c>
      <c r="G226" s="76" t="str">
        <f>IF($T$4=0,IF($N226="","",$N226),IFERROR(IF([1]财务取数接口!$H$225=0,"",[1]财务取数接口!$H$225),""))</f>
        <v/>
      </c>
      <c r="H226" s="75" t="str">
        <f>IF($T$4=0,IF($O226="","",$O226),IFERROR(IF([1]财务取数接口!$I$225=0,"",[1]财务取数接口!$I$225),""))</f>
        <v/>
      </c>
      <c r="I226" s="43"/>
      <c r="J226" s="106"/>
      <c r="K226" s="43"/>
      <c r="L226" s="43"/>
      <c r="M226" s="107"/>
      <c r="N226" s="107"/>
      <c r="O226" s="106"/>
      <c r="P226" s="139">
        <f t="shared" si="6"/>
        <v>0</v>
      </c>
      <c r="Q226" s="139">
        <f t="shared" si="7"/>
        <v>5</v>
      </c>
    </row>
    <row r="227" spans="1:17">
      <c r="A227" s="74">
        <v>226</v>
      </c>
      <c r="B227" s="89" t="str">
        <f>IF($T$4=0,IF($I227="","",$I227),IFERROR(IF([1]财务取数接口!$B$226=0,"",[1]财务取数接口!$B$226),""))</f>
        <v/>
      </c>
      <c r="C227" s="75" t="str">
        <f>IF($T$4=0,IF($J227="","",$J227),IFERROR(IF([1]财务取数接口!$C$226=0,"",[1]财务取数接口!$C$226),""))</f>
        <v/>
      </c>
      <c r="D227" s="89" t="str">
        <f>IF($T$4=0,IF($K227="","",$K227),IFERROR(IF([1]财务取数接口!$D$226=0,"",[1]财务取数接口!$D$226),""))</f>
        <v/>
      </c>
      <c r="E227" s="89" t="str">
        <f>IF($T$4=0,IF($L227="","",$L227),IFERROR(IF([1]财务取数接口!$E$226=0,"",[1]财务取数接口!$E$226),""))</f>
        <v/>
      </c>
      <c r="F227" s="76" t="str">
        <f>IF($T$4=0,IF($M227="","",$M227),IFERROR(IF([1]财务取数接口!$G$226=0,"",[1]财务取数接口!$G$226),""))</f>
        <v/>
      </c>
      <c r="G227" s="76" t="str">
        <f>IF($T$4=0,IF($N227="","",$N227),IFERROR(IF([1]财务取数接口!$H$226=0,"",[1]财务取数接口!$H$226),""))</f>
        <v/>
      </c>
      <c r="H227" s="75" t="str">
        <f>IF($T$4=0,IF($O227="","",$O227),IFERROR(IF([1]财务取数接口!$I$226=0,"",[1]财务取数接口!$I$226),""))</f>
        <v/>
      </c>
      <c r="I227" s="43"/>
      <c r="J227" s="106"/>
      <c r="K227" s="43"/>
      <c r="L227" s="43"/>
      <c r="M227" s="107"/>
      <c r="N227" s="107"/>
      <c r="O227" s="106"/>
      <c r="P227" s="139">
        <f t="shared" si="6"/>
        <v>0</v>
      </c>
      <c r="Q227" s="139">
        <f t="shared" si="7"/>
        <v>5</v>
      </c>
    </row>
    <row r="228" spans="1:17">
      <c r="A228" s="74">
        <v>227</v>
      </c>
      <c r="B228" s="89" t="str">
        <f>IF($T$4=0,IF($I228="","",$I228),IFERROR(IF([1]财务取数接口!$B$227=0,"",[1]财务取数接口!$B$227),""))</f>
        <v/>
      </c>
      <c r="C228" s="75" t="str">
        <f>IF($T$4=0,IF($J228="","",$J228),IFERROR(IF([1]财务取数接口!$C$227=0,"",[1]财务取数接口!$C$227),""))</f>
        <v/>
      </c>
      <c r="D228" s="89" t="str">
        <f>IF($T$4=0,IF($K228="","",$K228),IFERROR(IF([1]财务取数接口!$D$227=0,"",[1]财务取数接口!$D$227),""))</f>
        <v/>
      </c>
      <c r="E228" s="89" t="str">
        <f>IF($T$4=0,IF($L228="","",$L228),IFERROR(IF([1]财务取数接口!$E$227=0,"",[1]财务取数接口!$E$227),""))</f>
        <v/>
      </c>
      <c r="F228" s="76" t="str">
        <f>IF($T$4=0,IF($M228="","",$M228),IFERROR(IF([1]财务取数接口!$G$227=0,"",[1]财务取数接口!$G$227),""))</f>
        <v/>
      </c>
      <c r="G228" s="76" t="str">
        <f>IF($T$4=0,IF($N228="","",$N228),IFERROR(IF([1]财务取数接口!$H$227=0,"",[1]财务取数接口!$H$227),""))</f>
        <v/>
      </c>
      <c r="H228" s="75" t="str">
        <f>IF($T$4=0,IF($O228="","",$O228),IFERROR(IF([1]财务取数接口!$I$227=0,"",[1]财务取数接口!$I$227),""))</f>
        <v/>
      </c>
      <c r="I228" s="43"/>
      <c r="J228" s="106"/>
      <c r="K228" s="43"/>
      <c r="L228" s="43"/>
      <c r="M228" s="107"/>
      <c r="N228" s="107"/>
      <c r="O228" s="106"/>
      <c r="P228" s="139">
        <f t="shared" si="6"/>
        <v>0</v>
      </c>
      <c r="Q228" s="139">
        <f t="shared" si="7"/>
        <v>5</v>
      </c>
    </row>
    <row r="229" spans="1:17">
      <c r="A229" s="74">
        <v>228</v>
      </c>
      <c r="B229" s="89" t="str">
        <f>IF($T$4=0,IF($I229="","",$I229),IFERROR(IF([1]财务取数接口!$B$228=0,"",[1]财务取数接口!$B$228),""))</f>
        <v/>
      </c>
      <c r="C229" s="75" t="str">
        <f>IF($T$4=0,IF($J229="","",$J229),IFERROR(IF([1]财务取数接口!$C$228=0,"",[1]财务取数接口!$C$228),""))</f>
        <v/>
      </c>
      <c r="D229" s="89" t="str">
        <f>IF($T$4=0,IF($K229="","",$K229),IFERROR(IF([1]财务取数接口!$D$228=0,"",[1]财务取数接口!$D$228),""))</f>
        <v/>
      </c>
      <c r="E229" s="89" t="str">
        <f>IF($T$4=0,IF($L229="","",$L229),IFERROR(IF([1]财务取数接口!$E$228=0,"",[1]财务取数接口!$E$228),""))</f>
        <v/>
      </c>
      <c r="F229" s="76" t="str">
        <f>IF($T$4=0,IF($M229="","",$M229),IFERROR(IF([1]财务取数接口!$G$228=0,"",[1]财务取数接口!$G$228),""))</f>
        <v/>
      </c>
      <c r="G229" s="76" t="str">
        <f>IF($T$4=0,IF($N229="","",$N229),IFERROR(IF([1]财务取数接口!$H$228=0,"",[1]财务取数接口!$H$228),""))</f>
        <v/>
      </c>
      <c r="H229" s="75" t="str">
        <f>IF($T$4=0,IF($O229="","",$O229),IFERROR(IF([1]财务取数接口!$I$228=0,"",[1]财务取数接口!$I$228),""))</f>
        <v/>
      </c>
      <c r="I229" s="43"/>
      <c r="J229" s="106"/>
      <c r="K229" s="43"/>
      <c r="L229" s="43"/>
      <c r="M229" s="107"/>
      <c r="N229" s="107"/>
      <c r="O229" s="106"/>
      <c r="P229" s="139">
        <f t="shared" si="6"/>
        <v>0</v>
      </c>
      <c r="Q229" s="139">
        <f t="shared" si="7"/>
        <v>5</v>
      </c>
    </row>
    <row r="230" spans="1:17">
      <c r="A230" s="74">
        <v>229</v>
      </c>
      <c r="B230" s="89" t="str">
        <f>IF($T$4=0,IF($I230="","",$I230),IFERROR(IF([1]财务取数接口!$B$229=0,"",[1]财务取数接口!$B$229),""))</f>
        <v/>
      </c>
      <c r="C230" s="75" t="str">
        <f>IF($T$4=0,IF($J230="","",$J230),IFERROR(IF([1]财务取数接口!$C$229=0,"",[1]财务取数接口!$C$229),""))</f>
        <v/>
      </c>
      <c r="D230" s="89" t="str">
        <f>IF($T$4=0,IF($K230="","",$K230),IFERROR(IF([1]财务取数接口!$D$229=0,"",[1]财务取数接口!$D$229),""))</f>
        <v/>
      </c>
      <c r="E230" s="89" t="str">
        <f>IF($T$4=0,IF($L230="","",$L230),IFERROR(IF([1]财务取数接口!$E$229=0,"",[1]财务取数接口!$E$229),""))</f>
        <v/>
      </c>
      <c r="F230" s="76" t="str">
        <f>IF($T$4=0,IF($M230="","",$M230),IFERROR(IF([1]财务取数接口!$G$229=0,"",[1]财务取数接口!$G$229),""))</f>
        <v/>
      </c>
      <c r="G230" s="76" t="str">
        <f>IF($T$4=0,IF($N230="","",$N230),IFERROR(IF([1]财务取数接口!$H$229=0,"",[1]财务取数接口!$H$229),""))</f>
        <v/>
      </c>
      <c r="H230" s="75" t="str">
        <f>IF($T$4=0,IF($O230="","",$O230),IFERROR(IF([1]财务取数接口!$I$229=0,"",[1]财务取数接口!$I$229),""))</f>
        <v/>
      </c>
      <c r="I230" s="43"/>
      <c r="J230" s="106"/>
      <c r="K230" s="43"/>
      <c r="L230" s="43"/>
      <c r="M230" s="107"/>
      <c r="N230" s="107"/>
      <c r="O230" s="106"/>
      <c r="P230" s="139">
        <f t="shared" si="6"/>
        <v>0</v>
      </c>
      <c r="Q230" s="139">
        <f t="shared" si="7"/>
        <v>5</v>
      </c>
    </row>
    <row r="231" spans="1:17">
      <c r="A231" s="74">
        <v>230</v>
      </c>
      <c r="B231" s="89" t="str">
        <f>IF($T$4=0,IF($I231="","",$I231),IFERROR(IF([1]财务取数接口!$B$230=0,"",[1]财务取数接口!$B$230),""))</f>
        <v/>
      </c>
      <c r="C231" s="75" t="str">
        <f>IF($T$4=0,IF($J231="","",$J231),IFERROR(IF([1]财务取数接口!$C$230=0,"",[1]财务取数接口!$C$230),""))</f>
        <v/>
      </c>
      <c r="D231" s="89" t="str">
        <f>IF($T$4=0,IF($K231="","",$K231),IFERROR(IF([1]财务取数接口!$D$230=0,"",[1]财务取数接口!$D$230),""))</f>
        <v/>
      </c>
      <c r="E231" s="89" t="str">
        <f>IF($T$4=0,IF($L231="","",$L231),IFERROR(IF([1]财务取数接口!$E$230=0,"",[1]财务取数接口!$E$230),""))</f>
        <v/>
      </c>
      <c r="F231" s="76" t="str">
        <f>IF($T$4=0,IF($M231="","",$M231),IFERROR(IF([1]财务取数接口!$G$230=0,"",[1]财务取数接口!$G$230),""))</f>
        <v/>
      </c>
      <c r="G231" s="76" t="str">
        <f>IF($T$4=0,IF($N231="","",$N231),IFERROR(IF([1]财务取数接口!$H$230=0,"",[1]财务取数接口!$H$230),""))</f>
        <v/>
      </c>
      <c r="H231" s="75" t="str">
        <f>IF($T$4=0,IF($O231="","",$O231),IFERROR(IF([1]财务取数接口!$I$230=0,"",[1]财务取数接口!$I$230),""))</f>
        <v/>
      </c>
      <c r="I231" s="43"/>
      <c r="J231" s="106"/>
      <c r="K231" s="43"/>
      <c r="L231" s="43"/>
      <c r="M231" s="107"/>
      <c r="N231" s="107"/>
      <c r="O231" s="106"/>
      <c r="P231" s="139">
        <f t="shared" si="6"/>
        <v>0</v>
      </c>
      <c r="Q231" s="139">
        <f t="shared" si="7"/>
        <v>5</v>
      </c>
    </row>
    <row r="232" spans="1:17">
      <c r="A232" s="74">
        <v>231</v>
      </c>
      <c r="B232" s="89" t="str">
        <f>IF($T$4=0,IF($I232="","",$I232),IFERROR(IF([1]财务取数接口!$B$231=0,"",[1]财务取数接口!$B$231),""))</f>
        <v/>
      </c>
      <c r="C232" s="75" t="str">
        <f>IF($T$4=0,IF($J232="","",$J232),IFERROR(IF([1]财务取数接口!$C$231=0,"",[1]财务取数接口!$C$231),""))</f>
        <v/>
      </c>
      <c r="D232" s="89" t="str">
        <f>IF($T$4=0,IF($K232="","",$K232),IFERROR(IF([1]财务取数接口!$D$231=0,"",[1]财务取数接口!$D$231),""))</f>
        <v/>
      </c>
      <c r="E232" s="89" t="str">
        <f>IF($T$4=0,IF($L232="","",$L232),IFERROR(IF([1]财务取数接口!$E$231=0,"",[1]财务取数接口!$E$231),""))</f>
        <v/>
      </c>
      <c r="F232" s="76" t="str">
        <f>IF($T$4=0,IF($M232="","",$M232),IFERROR(IF([1]财务取数接口!$G$231=0,"",[1]财务取数接口!$G$231),""))</f>
        <v/>
      </c>
      <c r="G232" s="76" t="str">
        <f>IF($T$4=0,IF($N232="","",$N232),IFERROR(IF([1]财务取数接口!$H$231=0,"",[1]财务取数接口!$H$231),""))</f>
        <v/>
      </c>
      <c r="H232" s="75" t="str">
        <f>IF($T$4=0,IF($O232="","",$O232),IFERROR(IF([1]财务取数接口!$I$231=0,"",[1]财务取数接口!$I$231),""))</f>
        <v/>
      </c>
      <c r="I232" s="43"/>
      <c r="J232" s="106"/>
      <c r="K232" s="43"/>
      <c r="L232" s="43"/>
      <c r="M232" s="107"/>
      <c r="N232" s="107"/>
      <c r="O232" s="106"/>
      <c r="P232" s="139">
        <f t="shared" si="6"/>
        <v>0</v>
      </c>
      <c r="Q232" s="139">
        <f t="shared" si="7"/>
        <v>5</v>
      </c>
    </row>
    <row r="233" spans="1:17">
      <c r="A233" s="74">
        <v>232</v>
      </c>
      <c r="B233" s="89" t="str">
        <f>IF($T$4=0,IF($I233="","",$I233),IFERROR(IF([1]财务取数接口!$B$232=0,"",[1]财务取数接口!$B$232),""))</f>
        <v/>
      </c>
      <c r="C233" s="75" t="str">
        <f>IF($T$4=0,IF($J233="","",$J233),IFERROR(IF([1]财务取数接口!$C$232=0,"",[1]财务取数接口!$C$232),""))</f>
        <v/>
      </c>
      <c r="D233" s="89" t="str">
        <f>IF($T$4=0,IF($K233="","",$K233),IFERROR(IF([1]财务取数接口!$D$232=0,"",[1]财务取数接口!$D$232),""))</f>
        <v/>
      </c>
      <c r="E233" s="89" t="str">
        <f>IF($T$4=0,IF($L233="","",$L233),IFERROR(IF([1]财务取数接口!$E$232=0,"",[1]财务取数接口!$E$232),""))</f>
        <v/>
      </c>
      <c r="F233" s="76" t="str">
        <f>IF($T$4=0,IF($M233="","",$M233),IFERROR(IF([1]财务取数接口!$G$232=0,"",[1]财务取数接口!$G$232),""))</f>
        <v/>
      </c>
      <c r="G233" s="76" t="str">
        <f>IF($T$4=0,IF($N233="","",$N233),IFERROR(IF([1]财务取数接口!$H$232=0,"",[1]财务取数接口!$H$232),""))</f>
        <v/>
      </c>
      <c r="H233" s="75" t="str">
        <f>IF($T$4=0,IF($O233="","",$O233),IFERROR(IF([1]财务取数接口!$I$232=0,"",[1]财务取数接口!$I$232),""))</f>
        <v/>
      </c>
      <c r="I233" s="43"/>
      <c r="J233" s="106"/>
      <c r="K233" s="43"/>
      <c r="L233" s="43"/>
      <c r="M233" s="107"/>
      <c r="N233" s="107"/>
      <c r="O233" s="106"/>
      <c r="P233" s="139">
        <f t="shared" si="6"/>
        <v>0</v>
      </c>
      <c r="Q233" s="139">
        <f t="shared" si="7"/>
        <v>5</v>
      </c>
    </row>
    <row r="234" spans="1:17">
      <c r="A234" s="74">
        <v>233</v>
      </c>
      <c r="B234" s="89" t="str">
        <f>IF($T$4=0,IF($I234="","",$I234),IFERROR(IF([1]财务取数接口!$B$233=0,"",[1]财务取数接口!$B$233),""))</f>
        <v/>
      </c>
      <c r="C234" s="75" t="str">
        <f>IF($T$4=0,IF($J234="","",$J234),IFERROR(IF([1]财务取数接口!$C$233=0,"",[1]财务取数接口!$C$233),""))</f>
        <v/>
      </c>
      <c r="D234" s="89" t="str">
        <f>IF($T$4=0,IF($K234="","",$K234),IFERROR(IF([1]财务取数接口!$D$233=0,"",[1]财务取数接口!$D$233),""))</f>
        <v/>
      </c>
      <c r="E234" s="89" t="str">
        <f>IF($T$4=0,IF($L234="","",$L234),IFERROR(IF([1]财务取数接口!$E$233=0,"",[1]财务取数接口!$E$233),""))</f>
        <v/>
      </c>
      <c r="F234" s="76" t="str">
        <f>IF($T$4=0,IF($M234="","",$M234),IFERROR(IF([1]财务取数接口!$G$233=0,"",[1]财务取数接口!$G$233),""))</f>
        <v/>
      </c>
      <c r="G234" s="76" t="str">
        <f>IF($T$4=0,IF($N234="","",$N234),IFERROR(IF([1]财务取数接口!$H$233=0,"",[1]财务取数接口!$H$233),""))</f>
        <v/>
      </c>
      <c r="H234" s="75" t="str">
        <f>IF($T$4=0,IF($O234="","",$O234),IFERROR(IF([1]财务取数接口!$I$233=0,"",[1]财务取数接口!$I$233),""))</f>
        <v/>
      </c>
      <c r="I234" s="43"/>
      <c r="J234" s="106"/>
      <c r="K234" s="43"/>
      <c r="L234" s="43"/>
      <c r="M234" s="107"/>
      <c r="N234" s="107"/>
      <c r="O234" s="106"/>
      <c r="P234" s="139">
        <f t="shared" si="6"/>
        <v>0</v>
      </c>
      <c r="Q234" s="139">
        <f t="shared" si="7"/>
        <v>5</v>
      </c>
    </row>
    <row r="235" spans="1:17">
      <c r="A235" s="74">
        <v>234</v>
      </c>
      <c r="B235" s="89" t="str">
        <f>IF($T$4=0,IF($I235="","",$I235),IFERROR(IF([1]财务取数接口!$B$234=0,"",[1]财务取数接口!$B$234),""))</f>
        <v/>
      </c>
      <c r="C235" s="75" t="str">
        <f>IF($T$4=0,IF($J235="","",$J235),IFERROR(IF([1]财务取数接口!$C$234=0,"",[1]财务取数接口!$C$234),""))</f>
        <v/>
      </c>
      <c r="D235" s="89" t="str">
        <f>IF($T$4=0,IF($K235="","",$K235),IFERROR(IF([1]财务取数接口!$D$234=0,"",[1]财务取数接口!$D$234),""))</f>
        <v/>
      </c>
      <c r="E235" s="89" t="str">
        <f>IF($T$4=0,IF($L235="","",$L235),IFERROR(IF([1]财务取数接口!$E$234=0,"",[1]财务取数接口!$E$234),""))</f>
        <v/>
      </c>
      <c r="F235" s="76" t="str">
        <f>IF($T$4=0,IF($M235="","",$M235),IFERROR(IF([1]财务取数接口!$G$234=0,"",[1]财务取数接口!$G$234),""))</f>
        <v/>
      </c>
      <c r="G235" s="76" t="str">
        <f>IF($T$4=0,IF($N235="","",$N235),IFERROR(IF([1]财务取数接口!$H$234=0,"",[1]财务取数接口!$H$234),""))</f>
        <v/>
      </c>
      <c r="H235" s="75" t="str">
        <f>IF($T$4=0,IF($O235="","",$O235),IFERROR(IF([1]财务取数接口!$I$234=0,"",[1]财务取数接口!$I$234),""))</f>
        <v/>
      </c>
      <c r="I235" s="43"/>
      <c r="J235" s="106"/>
      <c r="K235" s="43"/>
      <c r="L235" s="43"/>
      <c r="M235" s="107"/>
      <c r="N235" s="107"/>
      <c r="O235" s="106"/>
      <c r="P235" s="139">
        <f t="shared" si="6"/>
        <v>0</v>
      </c>
      <c r="Q235" s="139">
        <f t="shared" si="7"/>
        <v>5</v>
      </c>
    </row>
    <row r="236" spans="1:17">
      <c r="A236" s="74">
        <v>235</v>
      </c>
      <c r="B236" s="89" t="str">
        <f>IF($T$4=0,IF($I236="","",$I236),IFERROR(IF([1]财务取数接口!$B$235=0,"",[1]财务取数接口!$B$235),""))</f>
        <v/>
      </c>
      <c r="C236" s="75" t="str">
        <f>IF($T$4=0,IF($J236="","",$J236),IFERROR(IF([1]财务取数接口!$C$235=0,"",[1]财务取数接口!$C$235),""))</f>
        <v/>
      </c>
      <c r="D236" s="89" t="str">
        <f>IF($T$4=0,IF($K236="","",$K236),IFERROR(IF([1]财务取数接口!$D$235=0,"",[1]财务取数接口!$D$235),""))</f>
        <v/>
      </c>
      <c r="E236" s="89" t="str">
        <f>IF($T$4=0,IF($L236="","",$L236),IFERROR(IF([1]财务取数接口!$E$235=0,"",[1]财务取数接口!$E$235),""))</f>
        <v/>
      </c>
      <c r="F236" s="76" t="str">
        <f>IF($T$4=0,IF($M236="","",$M236),IFERROR(IF([1]财务取数接口!$G$235=0,"",[1]财务取数接口!$G$235),""))</f>
        <v/>
      </c>
      <c r="G236" s="76" t="str">
        <f>IF($T$4=0,IF($N236="","",$N236),IFERROR(IF([1]财务取数接口!$H$235=0,"",[1]财务取数接口!$H$235),""))</f>
        <v/>
      </c>
      <c r="H236" s="75" t="str">
        <f>IF($T$4=0,IF($O236="","",$O236),IFERROR(IF([1]财务取数接口!$I$235=0,"",[1]财务取数接口!$I$235),""))</f>
        <v/>
      </c>
      <c r="I236" s="43"/>
      <c r="J236" s="106"/>
      <c r="K236" s="43"/>
      <c r="L236" s="43"/>
      <c r="M236" s="107"/>
      <c r="N236" s="107"/>
      <c r="O236" s="106"/>
      <c r="P236" s="139">
        <f t="shared" si="6"/>
        <v>0</v>
      </c>
      <c r="Q236" s="139">
        <f t="shared" si="7"/>
        <v>5</v>
      </c>
    </row>
    <row r="237" spans="1:17">
      <c r="A237" s="74">
        <v>236</v>
      </c>
      <c r="B237" s="89" t="str">
        <f>IF($T$4=0,IF($I237="","",$I237),IFERROR(IF([1]财务取数接口!$B$236=0,"",[1]财务取数接口!$B$236),""))</f>
        <v/>
      </c>
      <c r="C237" s="75" t="str">
        <f>IF($T$4=0,IF($J237="","",$J237),IFERROR(IF([1]财务取数接口!$C$236=0,"",[1]财务取数接口!$C$236),""))</f>
        <v/>
      </c>
      <c r="D237" s="89" t="str">
        <f>IF($T$4=0,IF($K237="","",$K237),IFERROR(IF([1]财务取数接口!$D$236=0,"",[1]财务取数接口!$D$236),""))</f>
        <v/>
      </c>
      <c r="E237" s="89" t="str">
        <f>IF($T$4=0,IF($L237="","",$L237),IFERROR(IF([1]财务取数接口!$E$236=0,"",[1]财务取数接口!$E$236),""))</f>
        <v/>
      </c>
      <c r="F237" s="76" t="str">
        <f>IF($T$4=0,IF($M237="","",$M237),IFERROR(IF([1]财务取数接口!$G$236=0,"",[1]财务取数接口!$G$236),""))</f>
        <v/>
      </c>
      <c r="G237" s="76" t="str">
        <f>IF($T$4=0,IF($N237="","",$N237),IFERROR(IF([1]财务取数接口!$H$236=0,"",[1]财务取数接口!$H$236),""))</f>
        <v/>
      </c>
      <c r="H237" s="75" t="str">
        <f>IF($T$4=0,IF($O237="","",$O237),IFERROR(IF([1]财务取数接口!$I$236=0,"",[1]财务取数接口!$I$236),""))</f>
        <v/>
      </c>
      <c r="I237" s="43"/>
      <c r="J237" s="106"/>
      <c r="K237" s="43"/>
      <c r="L237" s="43"/>
      <c r="M237" s="107"/>
      <c r="N237" s="107"/>
      <c r="O237" s="106"/>
      <c r="P237" s="139">
        <f t="shared" si="6"/>
        <v>0</v>
      </c>
      <c r="Q237" s="139">
        <f t="shared" si="7"/>
        <v>5</v>
      </c>
    </row>
    <row r="238" spans="1:17">
      <c r="A238" s="74">
        <v>237</v>
      </c>
      <c r="B238" s="89" t="str">
        <f>IF($T$4=0,IF($I238="","",$I238),IFERROR(IF([1]财务取数接口!$B$237=0,"",[1]财务取数接口!$B$237),""))</f>
        <v/>
      </c>
      <c r="C238" s="75" t="str">
        <f>IF($T$4=0,IF($J238="","",$J238),IFERROR(IF([1]财务取数接口!$C$237=0,"",[1]财务取数接口!$C$237),""))</f>
        <v/>
      </c>
      <c r="D238" s="89" t="str">
        <f>IF($T$4=0,IF($K238="","",$K238),IFERROR(IF([1]财务取数接口!$D$237=0,"",[1]财务取数接口!$D$237),""))</f>
        <v/>
      </c>
      <c r="E238" s="89" t="str">
        <f>IF($T$4=0,IF($L238="","",$L238),IFERROR(IF([1]财务取数接口!$E$237=0,"",[1]财务取数接口!$E$237),""))</f>
        <v/>
      </c>
      <c r="F238" s="76" t="str">
        <f>IF($T$4=0,IF($M238="","",$M238),IFERROR(IF([1]财务取数接口!$G$237=0,"",[1]财务取数接口!$G$237),""))</f>
        <v/>
      </c>
      <c r="G238" s="76" t="str">
        <f>IF($T$4=0,IF($N238="","",$N238),IFERROR(IF([1]财务取数接口!$H$237=0,"",[1]财务取数接口!$H$237),""))</f>
        <v/>
      </c>
      <c r="H238" s="75" t="str">
        <f>IF($T$4=0,IF($O238="","",$O238),IFERROR(IF([1]财务取数接口!$I$237=0,"",[1]财务取数接口!$I$237),""))</f>
        <v/>
      </c>
      <c r="I238" s="43"/>
      <c r="J238" s="106"/>
      <c r="K238" s="43"/>
      <c r="L238" s="43"/>
      <c r="M238" s="107"/>
      <c r="N238" s="107"/>
      <c r="O238" s="106"/>
      <c r="P238" s="139">
        <f t="shared" si="6"/>
        <v>0</v>
      </c>
      <c r="Q238" s="139">
        <f t="shared" si="7"/>
        <v>5</v>
      </c>
    </row>
    <row r="239" spans="1:17">
      <c r="A239" s="74">
        <v>238</v>
      </c>
      <c r="B239" s="89" t="str">
        <f>IF($T$4=0,IF($I239="","",$I239),IFERROR(IF([1]财务取数接口!$B$238=0,"",[1]财务取数接口!$B$238),""))</f>
        <v/>
      </c>
      <c r="C239" s="75" t="str">
        <f>IF($T$4=0,IF($J239="","",$J239),IFERROR(IF([1]财务取数接口!$C$238=0,"",[1]财务取数接口!$C$238),""))</f>
        <v/>
      </c>
      <c r="D239" s="89" t="str">
        <f>IF($T$4=0,IF($K239="","",$K239),IFERROR(IF([1]财务取数接口!$D$238=0,"",[1]财务取数接口!$D$238),""))</f>
        <v/>
      </c>
      <c r="E239" s="89" t="str">
        <f>IF($T$4=0,IF($L239="","",$L239),IFERROR(IF([1]财务取数接口!$E$238=0,"",[1]财务取数接口!$E$238),""))</f>
        <v/>
      </c>
      <c r="F239" s="76" t="str">
        <f>IF($T$4=0,IF($M239="","",$M239),IFERROR(IF([1]财务取数接口!$G$238=0,"",[1]财务取数接口!$G$238),""))</f>
        <v/>
      </c>
      <c r="G239" s="76" t="str">
        <f>IF($T$4=0,IF($N239="","",$N239),IFERROR(IF([1]财务取数接口!$H$238=0,"",[1]财务取数接口!$H$238),""))</f>
        <v/>
      </c>
      <c r="H239" s="75" t="str">
        <f>IF($T$4=0,IF($O239="","",$O239),IFERROR(IF([1]财务取数接口!$I$238=0,"",[1]财务取数接口!$I$238),""))</f>
        <v/>
      </c>
      <c r="I239" s="43"/>
      <c r="J239" s="106"/>
      <c r="K239" s="43"/>
      <c r="L239" s="43"/>
      <c r="M239" s="107"/>
      <c r="N239" s="107"/>
      <c r="O239" s="106"/>
      <c r="P239" s="139">
        <f t="shared" si="6"/>
        <v>0</v>
      </c>
      <c r="Q239" s="139">
        <f t="shared" si="7"/>
        <v>5</v>
      </c>
    </row>
    <row r="240" spans="1:17">
      <c r="A240" s="74">
        <v>239</v>
      </c>
      <c r="B240" s="89" t="str">
        <f>IF($T$4=0,IF($I240="","",$I240),IFERROR(IF([1]财务取数接口!$B$239=0,"",[1]财务取数接口!$B$239),""))</f>
        <v/>
      </c>
      <c r="C240" s="75" t="str">
        <f>IF($T$4=0,IF($J240="","",$J240),IFERROR(IF([1]财务取数接口!$C$239=0,"",[1]财务取数接口!$C$239),""))</f>
        <v/>
      </c>
      <c r="D240" s="89" t="str">
        <f>IF($T$4=0,IF($K240="","",$K240),IFERROR(IF([1]财务取数接口!$D$239=0,"",[1]财务取数接口!$D$239),""))</f>
        <v/>
      </c>
      <c r="E240" s="89" t="str">
        <f>IF($T$4=0,IF($L240="","",$L240),IFERROR(IF([1]财务取数接口!$E$239=0,"",[1]财务取数接口!$E$239),""))</f>
        <v/>
      </c>
      <c r="F240" s="76" t="str">
        <f>IF($T$4=0,IF($M240="","",$M240),IFERROR(IF([1]财务取数接口!$G$239=0,"",[1]财务取数接口!$G$239),""))</f>
        <v/>
      </c>
      <c r="G240" s="76" t="str">
        <f>IF($T$4=0,IF($N240="","",$N240),IFERROR(IF([1]财务取数接口!$H$239=0,"",[1]财务取数接口!$H$239),""))</f>
        <v/>
      </c>
      <c r="H240" s="75" t="str">
        <f>IF($T$4=0,IF($O240="","",$O240),IFERROR(IF([1]财务取数接口!$I$239=0,"",[1]财务取数接口!$I$239),""))</f>
        <v/>
      </c>
      <c r="I240" s="43"/>
      <c r="J240" s="106"/>
      <c r="K240" s="43"/>
      <c r="L240" s="43"/>
      <c r="M240" s="107"/>
      <c r="N240" s="107"/>
      <c r="O240" s="106"/>
      <c r="P240" s="139">
        <f t="shared" si="6"/>
        <v>0</v>
      </c>
      <c r="Q240" s="139">
        <f t="shared" si="7"/>
        <v>5</v>
      </c>
    </row>
    <row r="241" spans="1:17">
      <c r="A241" s="74">
        <v>240</v>
      </c>
      <c r="B241" s="89" t="str">
        <f>IF($T$4=0,IF($I241="","",$I241),IFERROR(IF([1]财务取数接口!$B$240=0,"",[1]财务取数接口!$B$240),""))</f>
        <v/>
      </c>
      <c r="C241" s="75" t="str">
        <f>IF($T$4=0,IF($J241="","",$J241),IFERROR(IF([1]财务取数接口!$C$240=0,"",[1]财务取数接口!$C$240),""))</f>
        <v/>
      </c>
      <c r="D241" s="89" t="str">
        <f>IF($T$4=0,IF($K241="","",$K241),IFERROR(IF([1]财务取数接口!$D$240=0,"",[1]财务取数接口!$D$240),""))</f>
        <v/>
      </c>
      <c r="E241" s="89" t="str">
        <f>IF($T$4=0,IF($L241="","",$L241),IFERROR(IF([1]财务取数接口!$E$240=0,"",[1]财务取数接口!$E$240),""))</f>
        <v/>
      </c>
      <c r="F241" s="76" t="str">
        <f>IF($T$4=0,IF($M241="","",$M241),IFERROR(IF([1]财务取数接口!$G$240=0,"",[1]财务取数接口!$G$240),""))</f>
        <v/>
      </c>
      <c r="G241" s="76" t="str">
        <f>IF($T$4=0,IF($N241="","",$N241),IFERROR(IF([1]财务取数接口!$H$240=0,"",[1]财务取数接口!$H$240),""))</f>
        <v/>
      </c>
      <c r="H241" s="75" t="str">
        <f>IF($T$4=0,IF($O241="","",$O241),IFERROR(IF([1]财务取数接口!$I$240=0,"",[1]财务取数接口!$I$240),""))</f>
        <v/>
      </c>
      <c r="I241" s="43"/>
      <c r="J241" s="106"/>
      <c r="K241" s="43"/>
      <c r="L241" s="43"/>
      <c r="M241" s="107"/>
      <c r="N241" s="107"/>
      <c r="O241" s="106"/>
      <c r="P241" s="139">
        <f t="shared" si="6"/>
        <v>0</v>
      </c>
      <c r="Q241" s="139">
        <f t="shared" si="7"/>
        <v>5</v>
      </c>
    </row>
    <row r="242" spans="1:17">
      <c r="A242" s="74">
        <v>241</v>
      </c>
      <c r="B242" s="89" t="str">
        <f>IF($T$4=0,IF($I242="","",$I242),IFERROR(IF([1]财务取数接口!$B$241=0,"",[1]财务取数接口!$B$241),""))</f>
        <v/>
      </c>
      <c r="C242" s="75" t="str">
        <f>IF($T$4=0,IF($J242="","",$J242),IFERROR(IF([1]财务取数接口!$C$241=0,"",[1]财务取数接口!$C$241),""))</f>
        <v/>
      </c>
      <c r="D242" s="89" t="str">
        <f>IF($T$4=0,IF($K242="","",$K242),IFERROR(IF([1]财务取数接口!$D$241=0,"",[1]财务取数接口!$D$241),""))</f>
        <v/>
      </c>
      <c r="E242" s="89" t="str">
        <f>IF($T$4=0,IF($L242="","",$L242),IFERROR(IF([1]财务取数接口!$E$241=0,"",[1]财务取数接口!$E$241),""))</f>
        <v/>
      </c>
      <c r="F242" s="76" t="str">
        <f>IF($T$4=0,IF($M242="","",$M242),IFERROR(IF([1]财务取数接口!$G$241=0,"",[1]财务取数接口!$G$241),""))</f>
        <v/>
      </c>
      <c r="G242" s="76" t="str">
        <f>IF($T$4=0,IF($N242="","",$N242),IFERROR(IF([1]财务取数接口!$H$241=0,"",[1]财务取数接口!$H$241),""))</f>
        <v/>
      </c>
      <c r="H242" s="75" t="str">
        <f>IF($T$4=0,IF($O242="","",$O242),IFERROR(IF([1]财务取数接口!$I$241=0,"",[1]财务取数接口!$I$241),""))</f>
        <v/>
      </c>
      <c r="I242" s="43"/>
      <c r="J242" s="106"/>
      <c r="K242" s="43"/>
      <c r="L242" s="43"/>
      <c r="M242" s="107"/>
      <c r="N242" s="107"/>
      <c r="O242" s="106"/>
      <c r="P242" s="139">
        <f t="shared" si="6"/>
        <v>0</v>
      </c>
      <c r="Q242" s="139">
        <f t="shared" si="7"/>
        <v>5</v>
      </c>
    </row>
    <row r="243" spans="1:17">
      <c r="A243" s="74">
        <v>242</v>
      </c>
      <c r="B243" s="89" t="str">
        <f>IF($T$4=0,IF($I243="","",$I243),IFERROR(IF([1]财务取数接口!$B$242=0,"",[1]财务取数接口!$B$242),""))</f>
        <v/>
      </c>
      <c r="C243" s="75" t="str">
        <f>IF($T$4=0,IF($J243="","",$J243),IFERROR(IF([1]财务取数接口!$C$242=0,"",[1]财务取数接口!$C$242),""))</f>
        <v/>
      </c>
      <c r="D243" s="89" t="str">
        <f>IF($T$4=0,IF($K243="","",$K243),IFERROR(IF([1]财务取数接口!$D$242=0,"",[1]财务取数接口!$D$242),""))</f>
        <v/>
      </c>
      <c r="E243" s="89" t="str">
        <f>IF($T$4=0,IF($L243="","",$L243),IFERROR(IF([1]财务取数接口!$E$242=0,"",[1]财务取数接口!$E$242),""))</f>
        <v/>
      </c>
      <c r="F243" s="76" t="str">
        <f>IF($T$4=0,IF($M243="","",$M243),IFERROR(IF([1]财务取数接口!$G$242=0,"",[1]财务取数接口!$G$242),""))</f>
        <v/>
      </c>
      <c r="G243" s="76" t="str">
        <f>IF($T$4=0,IF($N243="","",$N243),IFERROR(IF([1]财务取数接口!$H$242=0,"",[1]财务取数接口!$H$242),""))</f>
        <v/>
      </c>
      <c r="H243" s="75" t="str">
        <f>IF($T$4=0,IF($O243="","",$O243),IFERROR(IF([1]财务取数接口!$I$242=0,"",[1]财务取数接口!$I$242),""))</f>
        <v/>
      </c>
      <c r="I243" s="43"/>
      <c r="J243" s="106"/>
      <c r="K243" s="43"/>
      <c r="L243" s="43"/>
      <c r="M243" s="107"/>
      <c r="N243" s="107"/>
      <c r="O243" s="106"/>
      <c r="P243" s="139">
        <f t="shared" si="6"/>
        <v>0</v>
      </c>
      <c r="Q243" s="139">
        <f t="shared" si="7"/>
        <v>5</v>
      </c>
    </row>
    <row r="244" spans="1:17">
      <c r="A244" s="74">
        <v>243</v>
      </c>
      <c r="B244" s="89" t="str">
        <f>IF($T$4=0,IF($I244="","",$I244),IFERROR(IF([1]财务取数接口!$B$243=0,"",[1]财务取数接口!$B$243),""))</f>
        <v/>
      </c>
      <c r="C244" s="75" t="str">
        <f>IF($T$4=0,IF($J244="","",$J244),IFERROR(IF([1]财务取数接口!$C$243=0,"",[1]财务取数接口!$C$243),""))</f>
        <v/>
      </c>
      <c r="D244" s="89" t="str">
        <f>IF($T$4=0,IF($K244="","",$K244),IFERROR(IF([1]财务取数接口!$D$243=0,"",[1]财务取数接口!$D$243),""))</f>
        <v/>
      </c>
      <c r="E244" s="89" t="str">
        <f>IF($T$4=0,IF($L244="","",$L244),IFERROR(IF([1]财务取数接口!$E$243=0,"",[1]财务取数接口!$E$243),""))</f>
        <v/>
      </c>
      <c r="F244" s="76" t="str">
        <f>IF($T$4=0,IF($M244="","",$M244),IFERROR(IF([1]财务取数接口!$G$243=0,"",[1]财务取数接口!$G$243),""))</f>
        <v/>
      </c>
      <c r="G244" s="76" t="str">
        <f>IF($T$4=0,IF($N244="","",$N244),IFERROR(IF([1]财务取数接口!$H$243=0,"",[1]财务取数接口!$H$243),""))</f>
        <v/>
      </c>
      <c r="H244" s="75" t="str">
        <f>IF($T$4=0,IF($O244="","",$O244),IFERROR(IF([1]财务取数接口!$I$243=0,"",[1]财务取数接口!$I$243),""))</f>
        <v/>
      </c>
      <c r="I244" s="43"/>
      <c r="J244" s="106"/>
      <c r="K244" s="43"/>
      <c r="L244" s="43"/>
      <c r="M244" s="107"/>
      <c r="N244" s="107"/>
      <c r="O244" s="106"/>
      <c r="P244" s="139">
        <f t="shared" si="6"/>
        <v>0</v>
      </c>
      <c r="Q244" s="139">
        <f t="shared" si="7"/>
        <v>5</v>
      </c>
    </row>
    <row r="245" spans="1:17">
      <c r="A245" s="74">
        <v>244</v>
      </c>
      <c r="B245" s="89" t="str">
        <f>IF($T$4=0,IF($I245="","",$I245),IFERROR(IF([1]财务取数接口!$B$244=0,"",[1]财务取数接口!$B$244),""))</f>
        <v/>
      </c>
      <c r="C245" s="75" t="str">
        <f>IF($T$4=0,IF($J245="","",$J245),IFERROR(IF([1]财务取数接口!$C$244=0,"",[1]财务取数接口!$C$244),""))</f>
        <v/>
      </c>
      <c r="D245" s="89" t="str">
        <f>IF($T$4=0,IF($K245="","",$K245),IFERROR(IF([1]财务取数接口!$D$244=0,"",[1]财务取数接口!$D$244),""))</f>
        <v/>
      </c>
      <c r="E245" s="89" t="str">
        <f>IF($T$4=0,IF($L245="","",$L245),IFERROR(IF([1]财务取数接口!$E$244=0,"",[1]财务取数接口!$E$244),""))</f>
        <v/>
      </c>
      <c r="F245" s="76" t="str">
        <f>IF($T$4=0,IF($M245="","",$M245),IFERROR(IF([1]财务取数接口!$G$244=0,"",[1]财务取数接口!$G$244),""))</f>
        <v/>
      </c>
      <c r="G245" s="76" t="str">
        <f>IF($T$4=0,IF($N245="","",$N245),IFERROR(IF([1]财务取数接口!$H$244=0,"",[1]财务取数接口!$H$244),""))</f>
        <v/>
      </c>
      <c r="H245" s="75" t="str">
        <f>IF($T$4=0,IF($O245="","",$O245),IFERROR(IF([1]财务取数接口!$I$244=0,"",[1]财务取数接口!$I$244),""))</f>
        <v/>
      </c>
      <c r="I245" s="43"/>
      <c r="J245" s="106"/>
      <c r="K245" s="43"/>
      <c r="L245" s="43"/>
      <c r="M245" s="107"/>
      <c r="N245" s="107"/>
      <c r="O245" s="106"/>
      <c r="P245" s="139">
        <f t="shared" si="6"/>
        <v>0</v>
      </c>
      <c r="Q245" s="139">
        <f t="shared" si="7"/>
        <v>5</v>
      </c>
    </row>
    <row r="246" spans="1:17">
      <c r="A246" s="74">
        <v>245</v>
      </c>
      <c r="B246" s="89" t="str">
        <f>IF($T$4=0,IF($I246="","",$I246),IFERROR(IF([1]财务取数接口!$B$245=0,"",[1]财务取数接口!$B$245),""))</f>
        <v/>
      </c>
      <c r="C246" s="75" t="str">
        <f>IF($T$4=0,IF($J246="","",$J246),IFERROR(IF([1]财务取数接口!$C$245=0,"",[1]财务取数接口!$C$245),""))</f>
        <v/>
      </c>
      <c r="D246" s="89" t="str">
        <f>IF($T$4=0,IF($K246="","",$K246),IFERROR(IF([1]财务取数接口!$D$245=0,"",[1]财务取数接口!$D$245),""))</f>
        <v/>
      </c>
      <c r="E246" s="89" t="str">
        <f>IF($T$4=0,IF($L246="","",$L246),IFERROR(IF([1]财务取数接口!$E$245=0,"",[1]财务取数接口!$E$245),""))</f>
        <v/>
      </c>
      <c r="F246" s="76" t="str">
        <f>IF($T$4=0,IF($M246="","",$M246),IFERROR(IF([1]财务取数接口!$G$245=0,"",[1]财务取数接口!$G$245),""))</f>
        <v/>
      </c>
      <c r="G246" s="76" t="str">
        <f>IF($T$4=0,IF($N246="","",$N246),IFERROR(IF([1]财务取数接口!$H$245=0,"",[1]财务取数接口!$H$245),""))</f>
        <v/>
      </c>
      <c r="H246" s="75" t="str">
        <f>IF($T$4=0,IF($O246="","",$O246),IFERROR(IF([1]财务取数接口!$I$245=0,"",[1]财务取数接口!$I$245),""))</f>
        <v/>
      </c>
      <c r="I246" s="43"/>
      <c r="J246" s="106"/>
      <c r="K246" s="43"/>
      <c r="L246" s="43"/>
      <c r="M246" s="107"/>
      <c r="N246" s="107"/>
      <c r="O246" s="106"/>
      <c r="P246" s="139">
        <f t="shared" si="6"/>
        <v>0</v>
      </c>
      <c r="Q246" s="139">
        <f t="shared" si="7"/>
        <v>5</v>
      </c>
    </row>
    <row r="247" spans="1:17">
      <c r="A247" s="74">
        <v>246</v>
      </c>
      <c r="B247" s="89" t="str">
        <f>IF($T$4=0,IF($I247="","",$I247),IFERROR(IF([1]财务取数接口!$B$246=0,"",[1]财务取数接口!$B$246),""))</f>
        <v/>
      </c>
      <c r="C247" s="75" t="str">
        <f>IF($T$4=0,IF($J247="","",$J247),IFERROR(IF([1]财务取数接口!$C$246=0,"",[1]财务取数接口!$C$246),""))</f>
        <v/>
      </c>
      <c r="D247" s="89" t="str">
        <f>IF($T$4=0,IF($K247="","",$K247),IFERROR(IF([1]财务取数接口!$D$246=0,"",[1]财务取数接口!$D$246),""))</f>
        <v/>
      </c>
      <c r="E247" s="89" t="str">
        <f>IF($T$4=0,IF($L247="","",$L247),IFERROR(IF([1]财务取数接口!$E$246=0,"",[1]财务取数接口!$E$246),""))</f>
        <v/>
      </c>
      <c r="F247" s="76" t="str">
        <f>IF($T$4=0,IF($M247="","",$M247),IFERROR(IF([1]财务取数接口!$G$246=0,"",[1]财务取数接口!$G$246),""))</f>
        <v/>
      </c>
      <c r="G247" s="76" t="str">
        <f>IF($T$4=0,IF($N247="","",$N247),IFERROR(IF([1]财务取数接口!$H$246=0,"",[1]财务取数接口!$H$246),""))</f>
        <v/>
      </c>
      <c r="H247" s="75" t="str">
        <f>IF($T$4=0,IF($O247="","",$O247),IFERROR(IF([1]财务取数接口!$I$246=0,"",[1]财务取数接口!$I$246),""))</f>
        <v/>
      </c>
      <c r="I247" s="43"/>
      <c r="J247" s="106"/>
      <c r="K247" s="43"/>
      <c r="L247" s="43"/>
      <c r="M247" s="107"/>
      <c r="N247" s="107"/>
      <c r="O247" s="106"/>
      <c r="P247" s="139">
        <f t="shared" si="6"/>
        <v>0</v>
      </c>
      <c r="Q247" s="139">
        <f t="shared" si="7"/>
        <v>5</v>
      </c>
    </row>
    <row r="248" spans="1:17">
      <c r="A248" s="74">
        <v>247</v>
      </c>
      <c r="B248" s="89" t="str">
        <f>IF($T$4=0,IF($I248="","",$I248),IFERROR(IF([1]财务取数接口!$B$247=0,"",[1]财务取数接口!$B$247),""))</f>
        <v/>
      </c>
      <c r="C248" s="75" t="str">
        <f>IF($T$4=0,IF($J248="","",$J248),IFERROR(IF([1]财务取数接口!$C$247=0,"",[1]财务取数接口!$C$247),""))</f>
        <v/>
      </c>
      <c r="D248" s="89" t="str">
        <f>IF($T$4=0,IF($K248="","",$K248),IFERROR(IF([1]财务取数接口!$D$247=0,"",[1]财务取数接口!$D$247),""))</f>
        <v/>
      </c>
      <c r="E248" s="89" t="str">
        <f>IF($T$4=0,IF($L248="","",$L248),IFERROR(IF([1]财务取数接口!$E$247=0,"",[1]财务取数接口!$E$247),""))</f>
        <v/>
      </c>
      <c r="F248" s="76" t="str">
        <f>IF($T$4=0,IF($M248="","",$M248),IFERROR(IF([1]财务取数接口!$G$247=0,"",[1]财务取数接口!$G$247),""))</f>
        <v/>
      </c>
      <c r="G248" s="76" t="str">
        <f>IF($T$4=0,IF($N248="","",$N248),IFERROR(IF([1]财务取数接口!$H$247=0,"",[1]财务取数接口!$H$247),""))</f>
        <v/>
      </c>
      <c r="H248" s="75" t="str">
        <f>IF($T$4=0,IF($O248="","",$O248),IFERROR(IF([1]财务取数接口!$I$247=0,"",[1]财务取数接口!$I$247),""))</f>
        <v/>
      </c>
      <c r="I248" s="43"/>
      <c r="J248" s="106"/>
      <c r="K248" s="43"/>
      <c r="L248" s="43"/>
      <c r="M248" s="107"/>
      <c r="N248" s="107"/>
      <c r="O248" s="106"/>
      <c r="P248" s="139">
        <f t="shared" si="6"/>
        <v>0</v>
      </c>
      <c r="Q248" s="139">
        <f t="shared" si="7"/>
        <v>5</v>
      </c>
    </row>
    <row r="249" spans="1:17">
      <c r="A249" s="74">
        <v>248</v>
      </c>
      <c r="B249" s="89" t="str">
        <f>IF($T$4=0,IF($I249="","",$I249),IFERROR(IF([1]财务取数接口!$B$248=0,"",[1]财务取数接口!$B$248),""))</f>
        <v/>
      </c>
      <c r="C249" s="75" t="str">
        <f>IF($T$4=0,IF($J249="","",$J249),IFERROR(IF([1]财务取数接口!$C$248=0,"",[1]财务取数接口!$C$248),""))</f>
        <v/>
      </c>
      <c r="D249" s="89" t="str">
        <f>IF($T$4=0,IF($K249="","",$K249),IFERROR(IF([1]财务取数接口!$D$248=0,"",[1]财务取数接口!$D$248),""))</f>
        <v/>
      </c>
      <c r="E249" s="89" t="str">
        <f>IF($T$4=0,IF($L249="","",$L249),IFERROR(IF([1]财务取数接口!$E$248=0,"",[1]财务取数接口!$E$248),""))</f>
        <v/>
      </c>
      <c r="F249" s="76" t="str">
        <f>IF($T$4=0,IF($M249="","",$M249),IFERROR(IF([1]财务取数接口!$G$248=0,"",[1]财务取数接口!$G$248),""))</f>
        <v/>
      </c>
      <c r="G249" s="76" t="str">
        <f>IF($T$4=0,IF($N249="","",$N249),IFERROR(IF([1]财务取数接口!$H$248=0,"",[1]财务取数接口!$H$248),""))</f>
        <v/>
      </c>
      <c r="H249" s="75" t="str">
        <f>IF($T$4=0,IF($O249="","",$O249),IFERROR(IF([1]财务取数接口!$I$248=0,"",[1]财务取数接口!$I$248),""))</f>
        <v/>
      </c>
      <c r="I249" s="43"/>
      <c r="J249" s="106"/>
      <c r="K249" s="43"/>
      <c r="L249" s="43"/>
      <c r="M249" s="107"/>
      <c r="N249" s="107"/>
      <c r="O249" s="106"/>
      <c r="P249" s="139">
        <f t="shared" si="6"/>
        <v>0</v>
      </c>
      <c r="Q249" s="139">
        <f t="shared" si="7"/>
        <v>5</v>
      </c>
    </row>
    <row r="250" spans="1:17">
      <c r="A250" s="74">
        <v>249</v>
      </c>
      <c r="B250" s="89" t="str">
        <f>IF($T$4=0,IF($I250="","",$I250),IFERROR(IF([1]财务取数接口!$B$249=0,"",[1]财务取数接口!$B$249),""))</f>
        <v/>
      </c>
      <c r="C250" s="75" t="str">
        <f>IF($T$4=0,IF($J250="","",$J250),IFERROR(IF([1]财务取数接口!$C$249=0,"",[1]财务取数接口!$C$249),""))</f>
        <v/>
      </c>
      <c r="D250" s="89" t="str">
        <f>IF($T$4=0,IF($K250="","",$K250),IFERROR(IF([1]财务取数接口!$D$249=0,"",[1]财务取数接口!$D$249),""))</f>
        <v/>
      </c>
      <c r="E250" s="89" t="str">
        <f>IF($T$4=0,IF($L250="","",$L250),IFERROR(IF([1]财务取数接口!$E$249=0,"",[1]财务取数接口!$E$249),""))</f>
        <v/>
      </c>
      <c r="F250" s="76" t="str">
        <f>IF($T$4=0,IF($M250="","",$M250),IFERROR(IF([1]财务取数接口!$G$249=0,"",[1]财务取数接口!$G$249),""))</f>
        <v/>
      </c>
      <c r="G250" s="76" t="str">
        <f>IF($T$4=0,IF($N250="","",$N250),IFERROR(IF([1]财务取数接口!$H$249=0,"",[1]财务取数接口!$H$249),""))</f>
        <v/>
      </c>
      <c r="H250" s="75" t="str">
        <f>IF($T$4=0,IF($O250="","",$O250),IFERROR(IF([1]财务取数接口!$I$249=0,"",[1]财务取数接口!$I$249),""))</f>
        <v/>
      </c>
      <c r="I250" s="43"/>
      <c r="J250" s="106"/>
      <c r="K250" s="43"/>
      <c r="L250" s="43"/>
      <c r="M250" s="107"/>
      <c r="N250" s="107"/>
      <c r="O250" s="106"/>
      <c r="P250" s="139">
        <f t="shared" si="6"/>
        <v>0</v>
      </c>
      <c r="Q250" s="139">
        <f t="shared" si="7"/>
        <v>5</v>
      </c>
    </row>
    <row r="251" spans="1:17">
      <c r="A251" s="74">
        <v>250</v>
      </c>
      <c r="B251" s="89" t="str">
        <f>IF($T$4=0,IF($I251="","",$I251),IFERROR(IF([1]财务取数接口!$B$250=0,"",[1]财务取数接口!$B$250),""))</f>
        <v/>
      </c>
      <c r="C251" s="75" t="str">
        <f>IF($T$4=0,IF($J251="","",$J251),IFERROR(IF([1]财务取数接口!$C$250=0,"",[1]财务取数接口!$C$250),""))</f>
        <v/>
      </c>
      <c r="D251" s="89" t="str">
        <f>IF($T$4=0,IF($K251="","",$K251),IFERROR(IF([1]财务取数接口!$D$250=0,"",[1]财务取数接口!$D$250),""))</f>
        <v/>
      </c>
      <c r="E251" s="89" t="str">
        <f>IF($T$4=0,IF($L251="","",$L251),IFERROR(IF([1]财务取数接口!$E$250=0,"",[1]财务取数接口!$E$250),""))</f>
        <v/>
      </c>
      <c r="F251" s="76" t="str">
        <f>IF($T$4=0,IF($M251="","",$M251),IFERROR(IF([1]财务取数接口!$G$250=0,"",[1]财务取数接口!$G$250),""))</f>
        <v/>
      </c>
      <c r="G251" s="76" t="str">
        <f>IF($T$4=0,IF($N251="","",$N251),IFERROR(IF([1]财务取数接口!$H$250=0,"",[1]财务取数接口!$H$250),""))</f>
        <v/>
      </c>
      <c r="H251" s="75" t="str">
        <f>IF($T$4=0,IF($O251="","",$O251),IFERROR(IF([1]财务取数接口!$I$250=0,"",[1]财务取数接口!$I$250),""))</f>
        <v/>
      </c>
      <c r="I251" s="43"/>
      <c r="J251" s="106"/>
      <c r="K251" s="43"/>
      <c r="L251" s="43"/>
      <c r="M251" s="107"/>
      <c r="N251" s="107"/>
      <c r="O251" s="106"/>
      <c r="P251" s="139">
        <f t="shared" si="6"/>
        <v>0</v>
      </c>
      <c r="Q251" s="139">
        <f t="shared" si="7"/>
        <v>5</v>
      </c>
    </row>
    <row r="252" spans="1:17">
      <c r="A252" s="74">
        <v>251</v>
      </c>
      <c r="B252" s="89" t="str">
        <f>IF($T$4=0,IF($I252="","",$I252),IFERROR(IF([1]财务取数接口!$B$251=0,"",[1]财务取数接口!$B$251),""))</f>
        <v/>
      </c>
      <c r="C252" s="75" t="str">
        <f>IF($T$4=0,IF($J252="","",$J252),IFERROR(IF([1]财务取数接口!$C$251=0,"",[1]财务取数接口!$C$251),""))</f>
        <v/>
      </c>
      <c r="D252" s="89" t="str">
        <f>IF($T$4=0,IF($K252="","",$K252),IFERROR(IF([1]财务取数接口!$D$251=0,"",[1]财务取数接口!$D$251),""))</f>
        <v/>
      </c>
      <c r="E252" s="89" t="str">
        <f>IF($T$4=0,IF($L252="","",$L252),IFERROR(IF([1]财务取数接口!$E$251=0,"",[1]财务取数接口!$E$251),""))</f>
        <v/>
      </c>
      <c r="F252" s="76" t="str">
        <f>IF($T$4=0,IF($M252="","",$M252),IFERROR(IF([1]财务取数接口!$G$251=0,"",[1]财务取数接口!$G$251),""))</f>
        <v/>
      </c>
      <c r="G252" s="76" t="str">
        <f>IF($T$4=0,IF($N252="","",$N252),IFERROR(IF([1]财务取数接口!$H$251=0,"",[1]财务取数接口!$H$251),""))</f>
        <v/>
      </c>
      <c r="H252" s="75" t="str">
        <f>IF($T$4=0,IF($O252="","",$O252),IFERROR(IF([1]财务取数接口!$I$251=0,"",[1]财务取数接口!$I$251),""))</f>
        <v/>
      </c>
      <c r="I252" s="43"/>
      <c r="J252" s="106"/>
      <c r="K252" s="43"/>
      <c r="L252" s="43"/>
      <c r="M252" s="107"/>
      <c r="N252" s="107"/>
      <c r="O252" s="106"/>
      <c r="P252" s="139">
        <f t="shared" si="6"/>
        <v>0</v>
      </c>
      <c r="Q252" s="139">
        <f t="shared" si="7"/>
        <v>5</v>
      </c>
    </row>
    <row r="253" spans="1:17">
      <c r="A253" s="74">
        <v>252</v>
      </c>
      <c r="B253" s="89" t="str">
        <f>IF($T$4=0,IF($I253="","",$I253),IFERROR(IF([1]财务取数接口!$B$252=0,"",[1]财务取数接口!$B$252),""))</f>
        <v/>
      </c>
      <c r="C253" s="75" t="str">
        <f>IF($T$4=0,IF($J253="","",$J253),IFERROR(IF([1]财务取数接口!$C$252=0,"",[1]财务取数接口!$C$252),""))</f>
        <v/>
      </c>
      <c r="D253" s="89" t="str">
        <f>IF($T$4=0,IF($K253="","",$K253),IFERROR(IF([1]财务取数接口!$D$252=0,"",[1]财务取数接口!$D$252),""))</f>
        <v/>
      </c>
      <c r="E253" s="89" t="str">
        <f>IF($T$4=0,IF($L253="","",$L253),IFERROR(IF([1]财务取数接口!$E$252=0,"",[1]财务取数接口!$E$252),""))</f>
        <v/>
      </c>
      <c r="F253" s="76" t="str">
        <f>IF($T$4=0,IF($M253="","",$M253),IFERROR(IF([1]财务取数接口!$G$252=0,"",[1]财务取数接口!$G$252),""))</f>
        <v/>
      </c>
      <c r="G253" s="76" t="str">
        <f>IF($T$4=0,IF($N253="","",$N253),IFERROR(IF([1]财务取数接口!$H$252=0,"",[1]财务取数接口!$H$252),""))</f>
        <v/>
      </c>
      <c r="H253" s="75" t="str">
        <f>IF($T$4=0,IF($O253="","",$O253),IFERROR(IF([1]财务取数接口!$I$252=0,"",[1]财务取数接口!$I$252),""))</f>
        <v/>
      </c>
      <c r="I253" s="43"/>
      <c r="J253" s="106"/>
      <c r="K253" s="43"/>
      <c r="L253" s="43"/>
      <c r="M253" s="107"/>
      <c r="N253" s="107"/>
      <c r="O253" s="106"/>
      <c r="P253" s="139">
        <f t="shared" si="6"/>
        <v>0</v>
      </c>
      <c r="Q253" s="139">
        <f t="shared" si="7"/>
        <v>5</v>
      </c>
    </row>
    <row r="254" spans="1:17">
      <c r="A254" s="74">
        <v>253</v>
      </c>
      <c r="B254" s="89" t="str">
        <f>IF($T$4=0,IF($I254="","",$I254),IFERROR(IF([1]财务取数接口!$B$253=0,"",[1]财务取数接口!$B$253),""))</f>
        <v/>
      </c>
      <c r="C254" s="75" t="str">
        <f>IF($T$4=0,IF($J254="","",$J254),IFERROR(IF([1]财务取数接口!$C$253=0,"",[1]财务取数接口!$C$253),""))</f>
        <v/>
      </c>
      <c r="D254" s="89" t="str">
        <f>IF($T$4=0,IF($K254="","",$K254),IFERROR(IF([1]财务取数接口!$D$253=0,"",[1]财务取数接口!$D$253),""))</f>
        <v/>
      </c>
      <c r="E254" s="89" t="str">
        <f>IF($T$4=0,IF($L254="","",$L254),IFERROR(IF([1]财务取数接口!$E$253=0,"",[1]财务取数接口!$E$253),""))</f>
        <v/>
      </c>
      <c r="F254" s="76" t="str">
        <f>IF($T$4=0,IF($M254="","",$M254),IFERROR(IF([1]财务取数接口!$G$253=0,"",[1]财务取数接口!$G$253),""))</f>
        <v/>
      </c>
      <c r="G254" s="76" t="str">
        <f>IF($T$4=0,IF($N254="","",$N254),IFERROR(IF([1]财务取数接口!$H$253=0,"",[1]财务取数接口!$H$253),""))</f>
        <v/>
      </c>
      <c r="H254" s="75" t="str">
        <f>IF($T$4=0,IF($O254="","",$O254),IFERROR(IF([1]财务取数接口!$I$253=0,"",[1]财务取数接口!$I$253),""))</f>
        <v/>
      </c>
      <c r="I254" s="43"/>
      <c r="J254" s="106"/>
      <c r="K254" s="43"/>
      <c r="L254" s="43"/>
      <c r="M254" s="107"/>
      <c r="N254" s="107"/>
      <c r="O254" s="106"/>
      <c r="P254" s="139">
        <f t="shared" si="6"/>
        <v>0</v>
      </c>
      <c r="Q254" s="139">
        <f t="shared" si="7"/>
        <v>5</v>
      </c>
    </row>
    <row r="255" spans="1:17">
      <c r="A255" s="74">
        <v>254</v>
      </c>
      <c r="B255" s="89" t="str">
        <f>IF($T$4=0,IF($I255="","",$I255),IFERROR(IF([1]财务取数接口!$B$254=0,"",[1]财务取数接口!$B$254),""))</f>
        <v/>
      </c>
      <c r="C255" s="75" t="str">
        <f>IF($T$4=0,IF($J255="","",$J255),IFERROR(IF([1]财务取数接口!$C$254=0,"",[1]财务取数接口!$C$254),""))</f>
        <v/>
      </c>
      <c r="D255" s="89" t="str">
        <f>IF($T$4=0,IF($K255="","",$K255),IFERROR(IF([1]财务取数接口!$D$254=0,"",[1]财务取数接口!$D$254),""))</f>
        <v/>
      </c>
      <c r="E255" s="89" t="str">
        <f>IF($T$4=0,IF($L255="","",$L255),IFERROR(IF([1]财务取数接口!$E$254=0,"",[1]财务取数接口!$E$254),""))</f>
        <v/>
      </c>
      <c r="F255" s="76" t="str">
        <f>IF($T$4=0,IF($M255="","",$M255),IFERROR(IF([1]财务取数接口!$G$254=0,"",[1]财务取数接口!$G$254),""))</f>
        <v/>
      </c>
      <c r="G255" s="76" t="str">
        <f>IF($T$4=0,IF($N255="","",$N255),IFERROR(IF([1]财务取数接口!$H$254=0,"",[1]财务取数接口!$H$254),""))</f>
        <v/>
      </c>
      <c r="H255" s="75" t="str">
        <f>IF($T$4=0,IF($O255="","",$O255),IFERROR(IF([1]财务取数接口!$I$254=0,"",[1]财务取数接口!$I$254),""))</f>
        <v/>
      </c>
      <c r="I255" s="43"/>
      <c r="J255" s="106"/>
      <c r="K255" s="43"/>
      <c r="L255" s="43"/>
      <c r="M255" s="107"/>
      <c r="N255" s="107"/>
      <c r="O255" s="106"/>
      <c r="P255" s="139">
        <f t="shared" si="6"/>
        <v>0</v>
      </c>
      <c r="Q255" s="139">
        <f t="shared" si="7"/>
        <v>5</v>
      </c>
    </row>
    <row r="256" spans="1:17">
      <c r="A256" s="74">
        <v>255</v>
      </c>
      <c r="B256" s="89" t="str">
        <f>IF($T$4=0,IF($I256="","",$I256),IFERROR(IF([1]财务取数接口!$B$255=0,"",[1]财务取数接口!$B$255),""))</f>
        <v/>
      </c>
      <c r="C256" s="75" t="str">
        <f>IF($T$4=0,IF($J256="","",$J256),IFERROR(IF([1]财务取数接口!$C$255=0,"",[1]财务取数接口!$C$255),""))</f>
        <v/>
      </c>
      <c r="D256" s="89" t="str">
        <f>IF($T$4=0,IF($K256="","",$K256),IFERROR(IF([1]财务取数接口!$D$255=0,"",[1]财务取数接口!$D$255),""))</f>
        <v/>
      </c>
      <c r="E256" s="89" t="str">
        <f>IF($T$4=0,IF($L256="","",$L256),IFERROR(IF([1]财务取数接口!$E$255=0,"",[1]财务取数接口!$E$255),""))</f>
        <v/>
      </c>
      <c r="F256" s="76" t="str">
        <f>IF($T$4=0,IF($M256="","",$M256),IFERROR(IF([1]财务取数接口!$G$255=0,"",[1]财务取数接口!$G$255),""))</f>
        <v/>
      </c>
      <c r="G256" s="76" t="str">
        <f>IF($T$4=0,IF($N256="","",$N256),IFERROR(IF([1]财务取数接口!$H$255=0,"",[1]财务取数接口!$H$255),""))</f>
        <v/>
      </c>
      <c r="H256" s="75" t="str">
        <f>IF($T$4=0,IF($O256="","",$O256),IFERROR(IF([1]财务取数接口!$I$255=0,"",[1]财务取数接口!$I$255),""))</f>
        <v/>
      </c>
      <c r="I256" s="43"/>
      <c r="J256" s="106"/>
      <c r="K256" s="43"/>
      <c r="L256" s="43"/>
      <c r="M256" s="107"/>
      <c r="N256" s="107"/>
      <c r="O256" s="106"/>
      <c r="P256" s="139">
        <f t="shared" si="6"/>
        <v>0</v>
      </c>
      <c r="Q256" s="139">
        <f t="shared" si="7"/>
        <v>5</v>
      </c>
    </row>
    <row r="257" spans="1:17">
      <c r="A257" s="74">
        <v>256</v>
      </c>
      <c r="B257" s="89" t="str">
        <f>IF($T$4=0,IF($I257="","",$I257),IFERROR(IF([1]财务取数接口!$B$256=0,"",[1]财务取数接口!$B$256),""))</f>
        <v/>
      </c>
      <c r="C257" s="75" t="str">
        <f>IF($T$4=0,IF($J257="","",$J257),IFERROR(IF([1]财务取数接口!$C$256=0,"",[1]财务取数接口!$C$256),""))</f>
        <v/>
      </c>
      <c r="D257" s="89" t="str">
        <f>IF($T$4=0,IF($K257="","",$K257),IFERROR(IF([1]财务取数接口!$D$256=0,"",[1]财务取数接口!$D$256),""))</f>
        <v/>
      </c>
      <c r="E257" s="89" t="str">
        <f>IF($T$4=0,IF($L257="","",$L257),IFERROR(IF([1]财务取数接口!$E$256=0,"",[1]财务取数接口!$E$256),""))</f>
        <v/>
      </c>
      <c r="F257" s="76" t="str">
        <f>IF($T$4=0,IF($M257="","",$M257),IFERROR(IF([1]财务取数接口!$G$256=0,"",[1]财务取数接口!$G$256),""))</f>
        <v/>
      </c>
      <c r="G257" s="76" t="str">
        <f>IF($T$4=0,IF($N257="","",$N257),IFERROR(IF([1]财务取数接口!$H$256=0,"",[1]财务取数接口!$H$256),""))</f>
        <v/>
      </c>
      <c r="H257" s="75" t="str">
        <f>IF($T$4=0,IF($O257="","",$O257),IFERROR(IF([1]财务取数接口!$I$256=0,"",[1]财务取数接口!$I$256),""))</f>
        <v/>
      </c>
      <c r="I257" s="43"/>
      <c r="J257" s="106"/>
      <c r="K257" s="43"/>
      <c r="L257" s="43"/>
      <c r="M257" s="107"/>
      <c r="N257" s="107"/>
      <c r="O257" s="106"/>
      <c r="P257" s="139">
        <f t="shared" si="6"/>
        <v>0</v>
      </c>
      <c r="Q257" s="139">
        <f t="shared" si="7"/>
        <v>5</v>
      </c>
    </row>
    <row r="258" spans="1:17">
      <c r="A258" s="74">
        <v>257</v>
      </c>
      <c r="B258" s="89" t="str">
        <f>IF($T$4=0,IF($I258="","",$I258),IFERROR(IF([1]财务取数接口!$B$257=0,"",[1]财务取数接口!$B$257),""))</f>
        <v/>
      </c>
      <c r="C258" s="75" t="str">
        <f>IF($T$4=0,IF($J258="","",$J258),IFERROR(IF([1]财务取数接口!$C$257=0,"",[1]财务取数接口!$C$257),""))</f>
        <v/>
      </c>
      <c r="D258" s="89" t="str">
        <f>IF($T$4=0,IF($K258="","",$K258),IFERROR(IF([1]财务取数接口!$D$257=0,"",[1]财务取数接口!$D$257),""))</f>
        <v/>
      </c>
      <c r="E258" s="89" t="str">
        <f>IF($T$4=0,IF($L258="","",$L258),IFERROR(IF([1]财务取数接口!$E$257=0,"",[1]财务取数接口!$E$257),""))</f>
        <v/>
      </c>
      <c r="F258" s="76" t="str">
        <f>IF($T$4=0,IF($M258="","",$M258),IFERROR(IF([1]财务取数接口!$G$257=0,"",[1]财务取数接口!$G$257),""))</f>
        <v/>
      </c>
      <c r="G258" s="76" t="str">
        <f>IF($T$4=0,IF($N258="","",$N258),IFERROR(IF([1]财务取数接口!$H$257=0,"",[1]财务取数接口!$H$257),""))</f>
        <v/>
      </c>
      <c r="H258" s="75" t="str">
        <f>IF($T$4=0,IF($O258="","",$O258),IFERROR(IF([1]财务取数接口!$I$257=0,"",[1]财务取数接口!$I$257),""))</f>
        <v/>
      </c>
      <c r="I258" s="43"/>
      <c r="J258" s="106"/>
      <c r="K258" s="43"/>
      <c r="L258" s="43"/>
      <c r="M258" s="107"/>
      <c r="N258" s="107"/>
      <c r="O258" s="106"/>
      <c r="P258" s="139">
        <f t="shared" si="6"/>
        <v>0</v>
      </c>
      <c r="Q258" s="139">
        <f t="shared" si="7"/>
        <v>5</v>
      </c>
    </row>
    <row r="259" spans="1:17">
      <c r="A259" s="74">
        <v>258</v>
      </c>
      <c r="B259" s="89" t="str">
        <f>IF($T$4=0,IF($I259="","",$I259),IFERROR(IF([1]财务取数接口!$B$258=0,"",[1]财务取数接口!$B$258),""))</f>
        <v/>
      </c>
      <c r="C259" s="75" t="str">
        <f>IF($T$4=0,IF($J259="","",$J259),IFERROR(IF([1]财务取数接口!$C$258=0,"",[1]财务取数接口!$C$258),""))</f>
        <v/>
      </c>
      <c r="D259" s="89" t="str">
        <f>IF($T$4=0,IF($K259="","",$K259),IFERROR(IF([1]财务取数接口!$D$258=0,"",[1]财务取数接口!$D$258),""))</f>
        <v/>
      </c>
      <c r="E259" s="89" t="str">
        <f>IF($T$4=0,IF($L259="","",$L259),IFERROR(IF([1]财务取数接口!$E$258=0,"",[1]财务取数接口!$E$258),""))</f>
        <v/>
      </c>
      <c r="F259" s="76" t="str">
        <f>IF($T$4=0,IF($M259="","",$M259),IFERROR(IF([1]财务取数接口!$G$258=0,"",[1]财务取数接口!$G$258),""))</f>
        <v/>
      </c>
      <c r="G259" s="76" t="str">
        <f>IF($T$4=0,IF($N259="","",$N259),IFERROR(IF([1]财务取数接口!$H$258=0,"",[1]财务取数接口!$H$258),""))</f>
        <v/>
      </c>
      <c r="H259" s="75" t="str">
        <f>IF($T$4=0,IF($O259="","",$O259),IFERROR(IF([1]财务取数接口!$I$258=0,"",[1]财务取数接口!$I$258),""))</f>
        <v/>
      </c>
      <c r="I259" s="43"/>
      <c r="J259" s="106"/>
      <c r="K259" s="43"/>
      <c r="L259" s="43"/>
      <c r="M259" s="107"/>
      <c r="N259" s="107"/>
      <c r="O259" s="106"/>
      <c r="P259" s="139">
        <f t="shared" si="6"/>
        <v>0</v>
      </c>
      <c r="Q259" s="139">
        <f t="shared" si="7"/>
        <v>5</v>
      </c>
    </row>
    <row r="260" spans="1:17">
      <c r="A260" s="74">
        <v>259</v>
      </c>
      <c r="B260" s="89" t="str">
        <f>IF($T$4=0,IF($I260="","",$I260),IFERROR(IF([1]财务取数接口!$B$259=0,"",[1]财务取数接口!$B$259),""))</f>
        <v/>
      </c>
      <c r="C260" s="75" t="str">
        <f>IF($T$4=0,IF($J260="","",$J260),IFERROR(IF([1]财务取数接口!$C$259=0,"",[1]财务取数接口!$C$259),""))</f>
        <v/>
      </c>
      <c r="D260" s="89" t="str">
        <f>IF($T$4=0,IF($K260="","",$K260),IFERROR(IF([1]财务取数接口!$D$259=0,"",[1]财务取数接口!$D$259),""))</f>
        <v/>
      </c>
      <c r="E260" s="89" t="str">
        <f>IF($T$4=0,IF($L260="","",$L260),IFERROR(IF([1]财务取数接口!$E$259=0,"",[1]财务取数接口!$E$259),""))</f>
        <v/>
      </c>
      <c r="F260" s="76" t="str">
        <f>IF($T$4=0,IF($M260="","",$M260),IFERROR(IF([1]财务取数接口!$G$259=0,"",[1]财务取数接口!$G$259),""))</f>
        <v/>
      </c>
      <c r="G260" s="76" t="str">
        <f>IF($T$4=0,IF($N260="","",$N260),IFERROR(IF([1]财务取数接口!$H$259=0,"",[1]财务取数接口!$H$259),""))</f>
        <v/>
      </c>
      <c r="H260" s="75" t="str">
        <f>IF($T$4=0,IF($O260="","",$O260),IFERROR(IF([1]财务取数接口!$I$259=0,"",[1]财务取数接口!$I$259),""))</f>
        <v/>
      </c>
      <c r="I260" s="43"/>
      <c r="J260" s="106"/>
      <c r="K260" s="43"/>
      <c r="L260" s="43"/>
      <c r="M260" s="107"/>
      <c r="N260" s="107"/>
      <c r="O260" s="106"/>
      <c r="P260" s="139">
        <f t="shared" si="6"/>
        <v>0</v>
      </c>
      <c r="Q260" s="139">
        <f t="shared" si="7"/>
        <v>5</v>
      </c>
    </row>
    <row r="261" spans="1:17">
      <c r="A261" s="74">
        <v>260</v>
      </c>
      <c r="B261" s="89" t="str">
        <f>IF($T$4=0,IF($I261="","",$I261),IFERROR(IF([1]财务取数接口!$B$260=0,"",[1]财务取数接口!$B$260),""))</f>
        <v/>
      </c>
      <c r="C261" s="75" t="str">
        <f>IF($T$4=0,IF($J261="","",$J261),IFERROR(IF([1]财务取数接口!$C$260=0,"",[1]财务取数接口!$C$260),""))</f>
        <v/>
      </c>
      <c r="D261" s="89" t="str">
        <f>IF($T$4=0,IF($K261="","",$K261),IFERROR(IF([1]财务取数接口!$D$260=0,"",[1]财务取数接口!$D$260),""))</f>
        <v/>
      </c>
      <c r="E261" s="89" t="str">
        <f>IF($T$4=0,IF($L261="","",$L261),IFERROR(IF([1]财务取数接口!$E$260=0,"",[1]财务取数接口!$E$260),""))</f>
        <v/>
      </c>
      <c r="F261" s="76" t="str">
        <f>IF($T$4=0,IF($M261="","",$M261),IFERROR(IF([1]财务取数接口!$G$260=0,"",[1]财务取数接口!$G$260),""))</f>
        <v/>
      </c>
      <c r="G261" s="76" t="str">
        <f>IF($T$4=0,IF($N261="","",$N261),IFERROR(IF([1]财务取数接口!$H$260=0,"",[1]财务取数接口!$H$260),""))</f>
        <v/>
      </c>
      <c r="H261" s="75" t="str">
        <f>IF($T$4=0,IF($O261="","",$O261),IFERROR(IF([1]财务取数接口!$I$260=0,"",[1]财务取数接口!$I$260),""))</f>
        <v/>
      </c>
      <c r="I261" s="43"/>
      <c r="J261" s="106"/>
      <c r="K261" s="43"/>
      <c r="L261" s="43"/>
      <c r="M261" s="107"/>
      <c r="N261" s="107"/>
      <c r="O261" s="106"/>
      <c r="P261" s="139">
        <f t="shared" ref="P261:P324" si="8">IF(AND($C261&lt;&gt;"",$C261&lt;&gt;"项目",OR(N($D261)&lt;&gt;0,N($E261)&lt;&gt;0,N($F261)&lt;&gt;0)),1,0)</f>
        <v>0</v>
      </c>
      <c r="Q261" s="139">
        <f t="shared" ref="Q261:Q324" si="9">N(Q260)+$P261</f>
        <v>5</v>
      </c>
    </row>
    <row r="262" spans="1:17">
      <c r="A262" s="74">
        <v>261</v>
      </c>
      <c r="B262" s="89" t="str">
        <f>IF($T$4=0,IF($I262="","",$I262),IFERROR(IF([1]财务取数接口!$B$261=0,"",[1]财务取数接口!$B$261),""))</f>
        <v/>
      </c>
      <c r="C262" s="75" t="str">
        <f>IF($T$4=0,IF($J262="","",$J262),IFERROR(IF([1]财务取数接口!$C$261=0,"",[1]财务取数接口!$C$261),""))</f>
        <v/>
      </c>
      <c r="D262" s="89" t="str">
        <f>IF($T$4=0,IF($K262="","",$K262),IFERROR(IF([1]财务取数接口!$D$261=0,"",[1]财务取数接口!$D$261),""))</f>
        <v/>
      </c>
      <c r="E262" s="89" t="str">
        <f>IF($T$4=0,IF($L262="","",$L262),IFERROR(IF([1]财务取数接口!$E$261=0,"",[1]财务取数接口!$E$261),""))</f>
        <v/>
      </c>
      <c r="F262" s="76" t="str">
        <f>IF($T$4=0,IF($M262="","",$M262),IFERROR(IF([1]财务取数接口!$G$261=0,"",[1]财务取数接口!$G$261),""))</f>
        <v/>
      </c>
      <c r="G262" s="76" t="str">
        <f>IF($T$4=0,IF($N262="","",$N262),IFERROR(IF([1]财务取数接口!$H$261=0,"",[1]财务取数接口!$H$261),""))</f>
        <v/>
      </c>
      <c r="H262" s="75" t="str">
        <f>IF($T$4=0,IF($O262="","",$O262),IFERROR(IF([1]财务取数接口!$I$261=0,"",[1]财务取数接口!$I$261),""))</f>
        <v/>
      </c>
      <c r="I262" s="43"/>
      <c r="J262" s="106"/>
      <c r="K262" s="43"/>
      <c r="L262" s="43"/>
      <c r="M262" s="107"/>
      <c r="N262" s="107"/>
      <c r="O262" s="106"/>
      <c r="P262" s="139">
        <f t="shared" si="8"/>
        <v>0</v>
      </c>
      <c r="Q262" s="139">
        <f t="shared" si="9"/>
        <v>5</v>
      </c>
    </row>
    <row r="263" spans="1:17">
      <c r="A263" s="74">
        <v>262</v>
      </c>
      <c r="B263" s="89" t="str">
        <f>IF($T$4=0,IF($I263="","",$I263),IFERROR(IF([1]财务取数接口!$B$262=0,"",[1]财务取数接口!$B$262),""))</f>
        <v/>
      </c>
      <c r="C263" s="75" t="str">
        <f>IF($T$4=0,IF($J263="","",$J263),IFERROR(IF([1]财务取数接口!$C$262=0,"",[1]财务取数接口!$C$262),""))</f>
        <v/>
      </c>
      <c r="D263" s="89" t="str">
        <f>IF($T$4=0,IF($K263="","",$K263),IFERROR(IF([1]财务取数接口!$D$262=0,"",[1]财务取数接口!$D$262),""))</f>
        <v/>
      </c>
      <c r="E263" s="89" t="str">
        <f>IF($T$4=0,IF($L263="","",$L263),IFERROR(IF([1]财务取数接口!$E$262=0,"",[1]财务取数接口!$E$262),""))</f>
        <v/>
      </c>
      <c r="F263" s="76" t="str">
        <f>IF($T$4=0,IF($M263="","",$M263),IFERROR(IF([1]财务取数接口!$G$262=0,"",[1]财务取数接口!$G$262),""))</f>
        <v/>
      </c>
      <c r="G263" s="76" t="str">
        <f>IF($T$4=0,IF($N263="","",$N263),IFERROR(IF([1]财务取数接口!$H$262=0,"",[1]财务取数接口!$H$262),""))</f>
        <v/>
      </c>
      <c r="H263" s="75" t="str">
        <f>IF($T$4=0,IF($O263="","",$O263),IFERROR(IF([1]财务取数接口!$I$262=0,"",[1]财务取数接口!$I$262),""))</f>
        <v/>
      </c>
      <c r="I263" s="43"/>
      <c r="J263" s="106"/>
      <c r="K263" s="43"/>
      <c r="L263" s="43"/>
      <c r="M263" s="107"/>
      <c r="N263" s="107"/>
      <c r="O263" s="106"/>
      <c r="P263" s="139">
        <f t="shared" si="8"/>
        <v>0</v>
      </c>
      <c r="Q263" s="139">
        <f t="shared" si="9"/>
        <v>5</v>
      </c>
    </row>
    <row r="264" spans="1:17">
      <c r="A264" s="74">
        <v>263</v>
      </c>
      <c r="B264" s="89" t="str">
        <f>IF($T$4=0,IF($I264="","",$I264),IFERROR(IF([1]财务取数接口!$B$263=0,"",[1]财务取数接口!$B$263),""))</f>
        <v/>
      </c>
      <c r="C264" s="75" t="str">
        <f>IF($T$4=0,IF($J264="","",$J264),IFERROR(IF([1]财务取数接口!$C$263=0,"",[1]财务取数接口!$C$263),""))</f>
        <v/>
      </c>
      <c r="D264" s="89" t="str">
        <f>IF($T$4=0,IF($K264="","",$K264),IFERROR(IF([1]财务取数接口!$D$263=0,"",[1]财务取数接口!$D$263),""))</f>
        <v/>
      </c>
      <c r="E264" s="89" t="str">
        <f>IF($T$4=0,IF($L264="","",$L264),IFERROR(IF([1]财务取数接口!$E$263=0,"",[1]财务取数接口!$E$263),""))</f>
        <v/>
      </c>
      <c r="F264" s="76" t="str">
        <f>IF($T$4=0,IF($M264="","",$M264),IFERROR(IF([1]财务取数接口!$G$263=0,"",[1]财务取数接口!$G$263),""))</f>
        <v/>
      </c>
      <c r="G264" s="76" t="str">
        <f>IF($T$4=0,IF($N264="","",$N264),IFERROR(IF([1]财务取数接口!$H$263=0,"",[1]财务取数接口!$H$263),""))</f>
        <v/>
      </c>
      <c r="H264" s="75" t="str">
        <f>IF($T$4=0,IF($O264="","",$O264),IFERROR(IF([1]财务取数接口!$I$263=0,"",[1]财务取数接口!$I$263),""))</f>
        <v/>
      </c>
      <c r="I264" s="43"/>
      <c r="J264" s="106"/>
      <c r="K264" s="43"/>
      <c r="L264" s="43"/>
      <c r="M264" s="107"/>
      <c r="N264" s="107"/>
      <c r="O264" s="106"/>
      <c r="P264" s="139">
        <f t="shared" si="8"/>
        <v>0</v>
      </c>
      <c r="Q264" s="139">
        <f t="shared" si="9"/>
        <v>5</v>
      </c>
    </row>
    <row r="265" spans="1:17">
      <c r="A265" s="74">
        <v>264</v>
      </c>
      <c r="B265" s="89" t="str">
        <f>IF($T$4=0,IF($I265="","",$I265),IFERROR(IF([1]财务取数接口!$B$264=0,"",[1]财务取数接口!$B$264),""))</f>
        <v/>
      </c>
      <c r="C265" s="75" t="str">
        <f>IF($T$4=0,IF($J265="","",$J265),IFERROR(IF([1]财务取数接口!$C$264=0,"",[1]财务取数接口!$C$264),""))</f>
        <v/>
      </c>
      <c r="D265" s="89" t="str">
        <f>IF($T$4=0,IF($K265="","",$K265),IFERROR(IF([1]财务取数接口!$D$264=0,"",[1]财务取数接口!$D$264),""))</f>
        <v/>
      </c>
      <c r="E265" s="89" t="str">
        <f>IF($T$4=0,IF($L265="","",$L265),IFERROR(IF([1]财务取数接口!$E$264=0,"",[1]财务取数接口!$E$264),""))</f>
        <v/>
      </c>
      <c r="F265" s="76" t="str">
        <f>IF($T$4=0,IF($M265="","",$M265),IFERROR(IF([1]财务取数接口!$G$264=0,"",[1]财务取数接口!$G$264),""))</f>
        <v/>
      </c>
      <c r="G265" s="76" t="str">
        <f>IF($T$4=0,IF($N265="","",$N265),IFERROR(IF([1]财务取数接口!$H$264=0,"",[1]财务取数接口!$H$264),""))</f>
        <v/>
      </c>
      <c r="H265" s="75" t="str">
        <f>IF($T$4=0,IF($O265="","",$O265),IFERROR(IF([1]财务取数接口!$I$264=0,"",[1]财务取数接口!$I$264),""))</f>
        <v/>
      </c>
      <c r="I265" s="43"/>
      <c r="J265" s="106"/>
      <c r="K265" s="43"/>
      <c r="L265" s="43"/>
      <c r="M265" s="107"/>
      <c r="N265" s="107"/>
      <c r="O265" s="106"/>
      <c r="P265" s="139">
        <f t="shared" si="8"/>
        <v>0</v>
      </c>
      <c r="Q265" s="139">
        <f t="shared" si="9"/>
        <v>5</v>
      </c>
    </row>
    <row r="266" spans="1:17">
      <c r="A266" s="74">
        <v>265</v>
      </c>
      <c r="B266" s="89" t="str">
        <f>IF($T$4=0,IF($I266="","",$I266),IFERROR(IF([1]财务取数接口!$B$265=0,"",[1]财务取数接口!$B$265),""))</f>
        <v/>
      </c>
      <c r="C266" s="75" t="str">
        <f>IF($T$4=0,IF($J266="","",$J266),IFERROR(IF([1]财务取数接口!$C$265=0,"",[1]财务取数接口!$C$265),""))</f>
        <v/>
      </c>
      <c r="D266" s="89" t="str">
        <f>IF($T$4=0,IF($K266="","",$K266),IFERROR(IF([1]财务取数接口!$D$265=0,"",[1]财务取数接口!$D$265),""))</f>
        <v/>
      </c>
      <c r="E266" s="89" t="str">
        <f>IF($T$4=0,IF($L266="","",$L266),IFERROR(IF([1]财务取数接口!$E$265=0,"",[1]财务取数接口!$E$265),""))</f>
        <v/>
      </c>
      <c r="F266" s="76" t="str">
        <f>IF($T$4=0,IF($M266="","",$M266),IFERROR(IF([1]财务取数接口!$G$265=0,"",[1]财务取数接口!$G$265),""))</f>
        <v/>
      </c>
      <c r="G266" s="76" t="str">
        <f>IF($T$4=0,IF($N266="","",$N266),IFERROR(IF([1]财务取数接口!$H$265=0,"",[1]财务取数接口!$H$265),""))</f>
        <v/>
      </c>
      <c r="H266" s="75" t="str">
        <f>IF($T$4=0,IF($O266="","",$O266),IFERROR(IF([1]财务取数接口!$I$265=0,"",[1]财务取数接口!$I$265),""))</f>
        <v/>
      </c>
      <c r="I266" s="43"/>
      <c r="J266" s="106"/>
      <c r="K266" s="43"/>
      <c r="L266" s="43"/>
      <c r="M266" s="107"/>
      <c r="N266" s="107"/>
      <c r="O266" s="106"/>
      <c r="P266" s="139">
        <f t="shared" si="8"/>
        <v>0</v>
      </c>
      <c r="Q266" s="139">
        <f t="shared" si="9"/>
        <v>5</v>
      </c>
    </row>
    <row r="267" spans="1:17">
      <c r="A267" s="74">
        <v>266</v>
      </c>
      <c r="B267" s="89" t="str">
        <f>IF($T$4=0,IF($I267="","",$I267),IFERROR(IF([1]财务取数接口!$B$266=0,"",[1]财务取数接口!$B$266),""))</f>
        <v/>
      </c>
      <c r="C267" s="75" t="str">
        <f>IF($T$4=0,IF($J267="","",$J267),IFERROR(IF([1]财务取数接口!$C$266=0,"",[1]财务取数接口!$C$266),""))</f>
        <v/>
      </c>
      <c r="D267" s="89" t="str">
        <f>IF($T$4=0,IF($K267="","",$K267),IFERROR(IF([1]财务取数接口!$D$266=0,"",[1]财务取数接口!$D$266),""))</f>
        <v/>
      </c>
      <c r="E267" s="89" t="str">
        <f>IF($T$4=0,IF($L267="","",$L267),IFERROR(IF([1]财务取数接口!$E$266=0,"",[1]财务取数接口!$E$266),""))</f>
        <v/>
      </c>
      <c r="F267" s="76" t="str">
        <f>IF($T$4=0,IF($M267="","",$M267),IFERROR(IF([1]财务取数接口!$G$266=0,"",[1]财务取数接口!$G$266),""))</f>
        <v/>
      </c>
      <c r="G267" s="76" t="str">
        <f>IF($T$4=0,IF($N267="","",$N267),IFERROR(IF([1]财务取数接口!$H$266=0,"",[1]财务取数接口!$H$266),""))</f>
        <v/>
      </c>
      <c r="H267" s="75" t="str">
        <f>IF($T$4=0,IF($O267="","",$O267),IFERROR(IF([1]财务取数接口!$I$266=0,"",[1]财务取数接口!$I$266),""))</f>
        <v/>
      </c>
      <c r="I267" s="43"/>
      <c r="J267" s="106"/>
      <c r="K267" s="43"/>
      <c r="L267" s="43"/>
      <c r="M267" s="107"/>
      <c r="N267" s="107"/>
      <c r="O267" s="106"/>
      <c r="P267" s="139">
        <f t="shared" si="8"/>
        <v>0</v>
      </c>
      <c r="Q267" s="139">
        <f t="shared" si="9"/>
        <v>5</v>
      </c>
    </row>
    <row r="268" spans="1:17">
      <c r="A268" s="74">
        <v>267</v>
      </c>
      <c r="B268" s="89" t="str">
        <f>IF($T$4=0,IF($I268="","",$I268),IFERROR(IF([1]财务取数接口!$B$267=0,"",[1]财务取数接口!$B$267),""))</f>
        <v/>
      </c>
      <c r="C268" s="75" t="str">
        <f>IF($T$4=0,IF($J268="","",$J268),IFERROR(IF([1]财务取数接口!$C$267=0,"",[1]财务取数接口!$C$267),""))</f>
        <v/>
      </c>
      <c r="D268" s="89" t="str">
        <f>IF($T$4=0,IF($K268="","",$K268),IFERROR(IF([1]财务取数接口!$D$267=0,"",[1]财务取数接口!$D$267),""))</f>
        <v/>
      </c>
      <c r="E268" s="89" t="str">
        <f>IF($T$4=0,IF($L268="","",$L268),IFERROR(IF([1]财务取数接口!$E$267=0,"",[1]财务取数接口!$E$267),""))</f>
        <v/>
      </c>
      <c r="F268" s="76" t="str">
        <f>IF($T$4=0,IF($M268="","",$M268),IFERROR(IF([1]财务取数接口!$G$267=0,"",[1]财务取数接口!$G$267),""))</f>
        <v/>
      </c>
      <c r="G268" s="76" t="str">
        <f>IF($T$4=0,IF($N268="","",$N268),IFERROR(IF([1]财务取数接口!$H$267=0,"",[1]财务取数接口!$H$267),""))</f>
        <v/>
      </c>
      <c r="H268" s="75" t="str">
        <f>IF($T$4=0,IF($O268="","",$O268),IFERROR(IF([1]财务取数接口!$I$267=0,"",[1]财务取数接口!$I$267),""))</f>
        <v/>
      </c>
      <c r="I268" s="43"/>
      <c r="J268" s="106"/>
      <c r="K268" s="43"/>
      <c r="L268" s="43"/>
      <c r="M268" s="107"/>
      <c r="N268" s="107"/>
      <c r="O268" s="106"/>
      <c r="P268" s="139">
        <f t="shared" si="8"/>
        <v>0</v>
      </c>
      <c r="Q268" s="139">
        <f t="shared" si="9"/>
        <v>5</v>
      </c>
    </row>
    <row r="269" spans="1:17">
      <c r="A269" s="74">
        <v>268</v>
      </c>
      <c r="B269" s="89" t="str">
        <f>IF($T$4=0,IF($I269="","",$I269),IFERROR(IF([1]财务取数接口!$B$268=0,"",[1]财务取数接口!$B$268),""))</f>
        <v/>
      </c>
      <c r="C269" s="75" t="str">
        <f>IF($T$4=0,IF($J269="","",$J269),IFERROR(IF([1]财务取数接口!$C$268=0,"",[1]财务取数接口!$C$268),""))</f>
        <v/>
      </c>
      <c r="D269" s="89" t="str">
        <f>IF($T$4=0,IF($K269="","",$K269),IFERROR(IF([1]财务取数接口!$D$268=0,"",[1]财务取数接口!$D$268),""))</f>
        <v/>
      </c>
      <c r="E269" s="89" t="str">
        <f>IF($T$4=0,IF($L269="","",$L269),IFERROR(IF([1]财务取数接口!$E$268=0,"",[1]财务取数接口!$E$268),""))</f>
        <v/>
      </c>
      <c r="F269" s="76" t="str">
        <f>IF($T$4=0,IF($M269="","",$M269),IFERROR(IF([1]财务取数接口!$G$268=0,"",[1]财务取数接口!$G$268),""))</f>
        <v/>
      </c>
      <c r="G269" s="76" t="str">
        <f>IF($T$4=0,IF($N269="","",$N269),IFERROR(IF([1]财务取数接口!$H$268=0,"",[1]财务取数接口!$H$268),""))</f>
        <v/>
      </c>
      <c r="H269" s="75" t="str">
        <f>IF($T$4=0,IF($O269="","",$O269),IFERROR(IF([1]财务取数接口!$I$268=0,"",[1]财务取数接口!$I$268),""))</f>
        <v/>
      </c>
      <c r="I269" s="43"/>
      <c r="J269" s="106"/>
      <c r="K269" s="43"/>
      <c r="L269" s="43"/>
      <c r="M269" s="107"/>
      <c r="N269" s="107"/>
      <c r="O269" s="106"/>
      <c r="P269" s="139">
        <f t="shared" si="8"/>
        <v>0</v>
      </c>
      <c r="Q269" s="139">
        <f t="shared" si="9"/>
        <v>5</v>
      </c>
    </row>
    <row r="270" spans="1:17">
      <c r="A270" s="74">
        <v>269</v>
      </c>
      <c r="B270" s="89" t="str">
        <f>IF($T$4=0,IF($I270="","",$I270),IFERROR(IF([1]财务取数接口!$B$269=0,"",[1]财务取数接口!$B$269),""))</f>
        <v/>
      </c>
      <c r="C270" s="75" t="str">
        <f>IF($T$4=0,IF($J270="","",$J270),IFERROR(IF([1]财务取数接口!$C$269=0,"",[1]财务取数接口!$C$269),""))</f>
        <v/>
      </c>
      <c r="D270" s="89" t="str">
        <f>IF($T$4=0,IF($K270="","",$K270),IFERROR(IF([1]财务取数接口!$D$269=0,"",[1]财务取数接口!$D$269),""))</f>
        <v/>
      </c>
      <c r="E270" s="89" t="str">
        <f>IF($T$4=0,IF($L270="","",$L270),IFERROR(IF([1]财务取数接口!$E$269=0,"",[1]财务取数接口!$E$269),""))</f>
        <v/>
      </c>
      <c r="F270" s="76" t="str">
        <f>IF($T$4=0,IF($M270="","",$M270),IFERROR(IF([1]财务取数接口!$G$269=0,"",[1]财务取数接口!$G$269),""))</f>
        <v/>
      </c>
      <c r="G270" s="76" t="str">
        <f>IF($T$4=0,IF($N270="","",$N270),IFERROR(IF([1]财务取数接口!$H$269=0,"",[1]财务取数接口!$H$269),""))</f>
        <v/>
      </c>
      <c r="H270" s="75" t="str">
        <f>IF($T$4=0,IF($O270="","",$O270),IFERROR(IF([1]财务取数接口!$I$269=0,"",[1]财务取数接口!$I$269),""))</f>
        <v/>
      </c>
      <c r="I270" s="43"/>
      <c r="J270" s="106"/>
      <c r="K270" s="43"/>
      <c r="L270" s="43"/>
      <c r="M270" s="107"/>
      <c r="N270" s="107"/>
      <c r="O270" s="106"/>
      <c r="P270" s="139">
        <f t="shared" si="8"/>
        <v>0</v>
      </c>
      <c r="Q270" s="139">
        <f t="shared" si="9"/>
        <v>5</v>
      </c>
    </row>
    <row r="271" spans="1:17">
      <c r="A271" s="74">
        <v>270</v>
      </c>
      <c r="B271" s="89" t="str">
        <f>IF($T$4=0,IF($I271="","",$I271),IFERROR(IF([1]财务取数接口!$B$270=0,"",[1]财务取数接口!$B$270),""))</f>
        <v/>
      </c>
      <c r="C271" s="75" t="str">
        <f>IF($T$4=0,IF($J271="","",$J271),IFERROR(IF([1]财务取数接口!$C$270=0,"",[1]财务取数接口!$C$270),""))</f>
        <v/>
      </c>
      <c r="D271" s="89" t="str">
        <f>IF($T$4=0,IF($K271="","",$K271),IFERROR(IF([1]财务取数接口!$D$270=0,"",[1]财务取数接口!$D$270),""))</f>
        <v/>
      </c>
      <c r="E271" s="89" t="str">
        <f>IF($T$4=0,IF($L271="","",$L271),IFERROR(IF([1]财务取数接口!$E$270=0,"",[1]财务取数接口!$E$270),""))</f>
        <v/>
      </c>
      <c r="F271" s="76" t="str">
        <f>IF($T$4=0,IF($M271="","",$M271),IFERROR(IF([1]财务取数接口!$G$270=0,"",[1]财务取数接口!$G$270),""))</f>
        <v/>
      </c>
      <c r="G271" s="76" t="str">
        <f>IF($T$4=0,IF($N271="","",$N271),IFERROR(IF([1]财务取数接口!$H$270=0,"",[1]财务取数接口!$H$270),""))</f>
        <v/>
      </c>
      <c r="H271" s="75" t="str">
        <f>IF($T$4=0,IF($O271="","",$O271),IFERROR(IF([1]财务取数接口!$I$270=0,"",[1]财务取数接口!$I$270),""))</f>
        <v/>
      </c>
      <c r="I271" s="43"/>
      <c r="J271" s="106"/>
      <c r="K271" s="43"/>
      <c r="L271" s="43"/>
      <c r="M271" s="107"/>
      <c r="N271" s="107"/>
      <c r="O271" s="106"/>
      <c r="P271" s="139">
        <f t="shared" si="8"/>
        <v>0</v>
      </c>
      <c r="Q271" s="139">
        <f t="shared" si="9"/>
        <v>5</v>
      </c>
    </row>
    <row r="272" spans="1:17">
      <c r="A272" s="74">
        <v>271</v>
      </c>
      <c r="B272" s="89" t="str">
        <f>IF($T$4=0,IF($I272="","",$I272),IFERROR(IF([1]财务取数接口!$B$271=0,"",[1]财务取数接口!$B$271),""))</f>
        <v/>
      </c>
      <c r="C272" s="75" t="str">
        <f>IF($T$4=0,IF($J272="","",$J272),IFERROR(IF([1]财务取数接口!$C$271=0,"",[1]财务取数接口!$C$271),""))</f>
        <v/>
      </c>
      <c r="D272" s="89" t="str">
        <f>IF($T$4=0,IF($K272="","",$K272),IFERROR(IF([1]财务取数接口!$D$271=0,"",[1]财务取数接口!$D$271),""))</f>
        <v/>
      </c>
      <c r="E272" s="89" t="str">
        <f>IF($T$4=0,IF($L272="","",$L272),IFERROR(IF([1]财务取数接口!$E$271=0,"",[1]财务取数接口!$E$271),""))</f>
        <v/>
      </c>
      <c r="F272" s="76" t="str">
        <f>IF($T$4=0,IF($M272="","",$M272),IFERROR(IF([1]财务取数接口!$G$271=0,"",[1]财务取数接口!$G$271),""))</f>
        <v/>
      </c>
      <c r="G272" s="76" t="str">
        <f>IF($T$4=0,IF($N272="","",$N272),IFERROR(IF([1]财务取数接口!$H$271=0,"",[1]财务取数接口!$H$271),""))</f>
        <v/>
      </c>
      <c r="H272" s="75" t="str">
        <f>IF($T$4=0,IF($O272="","",$O272),IFERROR(IF([1]财务取数接口!$I$271=0,"",[1]财务取数接口!$I$271),""))</f>
        <v/>
      </c>
      <c r="I272" s="43"/>
      <c r="J272" s="106"/>
      <c r="K272" s="43"/>
      <c r="L272" s="43"/>
      <c r="M272" s="107"/>
      <c r="N272" s="107"/>
      <c r="O272" s="106"/>
      <c r="P272" s="139">
        <f t="shared" si="8"/>
        <v>0</v>
      </c>
      <c r="Q272" s="139">
        <f t="shared" si="9"/>
        <v>5</v>
      </c>
    </row>
    <row r="273" spans="1:17">
      <c r="A273" s="74">
        <v>272</v>
      </c>
      <c r="B273" s="89" t="str">
        <f>IF($T$4=0,IF($I273="","",$I273),IFERROR(IF([1]财务取数接口!$B$272=0,"",[1]财务取数接口!$B$272),""))</f>
        <v/>
      </c>
      <c r="C273" s="75" t="str">
        <f>IF($T$4=0,IF($J273="","",$J273),IFERROR(IF([1]财务取数接口!$C$272=0,"",[1]财务取数接口!$C$272),""))</f>
        <v/>
      </c>
      <c r="D273" s="89" t="str">
        <f>IF($T$4=0,IF($K273="","",$K273),IFERROR(IF([1]财务取数接口!$D$272=0,"",[1]财务取数接口!$D$272),""))</f>
        <v/>
      </c>
      <c r="E273" s="89" t="str">
        <f>IF($T$4=0,IF($L273="","",$L273),IFERROR(IF([1]财务取数接口!$E$272=0,"",[1]财务取数接口!$E$272),""))</f>
        <v/>
      </c>
      <c r="F273" s="76" t="str">
        <f>IF($T$4=0,IF($M273="","",$M273),IFERROR(IF([1]财务取数接口!$G$272=0,"",[1]财务取数接口!$G$272),""))</f>
        <v/>
      </c>
      <c r="G273" s="76" t="str">
        <f>IF($T$4=0,IF($N273="","",$N273),IFERROR(IF([1]财务取数接口!$H$272=0,"",[1]财务取数接口!$H$272),""))</f>
        <v/>
      </c>
      <c r="H273" s="75" t="str">
        <f>IF($T$4=0,IF($O273="","",$O273),IFERROR(IF([1]财务取数接口!$I$272=0,"",[1]财务取数接口!$I$272),""))</f>
        <v/>
      </c>
      <c r="I273" s="43"/>
      <c r="J273" s="106"/>
      <c r="K273" s="43"/>
      <c r="L273" s="43"/>
      <c r="M273" s="107"/>
      <c r="N273" s="107"/>
      <c r="O273" s="106"/>
      <c r="P273" s="139">
        <f t="shared" si="8"/>
        <v>0</v>
      </c>
      <c r="Q273" s="139">
        <f t="shared" si="9"/>
        <v>5</v>
      </c>
    </row>
    <row r="274" spans="1:17">
      <c r="A274" s="74">
        <v>273</v>
      </c>
      <c r="B274" s="89" t="str">
        <f>IF($T$4=0,IF($I274="","",$I274),IFERROR(IF([1]财务取数接口!$B$273=0,"",[1]财务取数接口!$B$273),""))</f>
        <v/>
      </c>
      <c r="C274" s="75" t="str">
        <f>IF($T$4=0,IF($J274="","",$J274),IFERROR(IF([1]财务取数接口!$C$273=0,"",[1]财务取数接口!$C$273),""))</f>
        <v/>
      </c>
      <c r="D274" s="89" t="str">
        <f>IF($T$4=0,IF($K274="","",$K274),IFERROR(IF([1]财务取数接口!$D$273=0,"",[1]财务取数接口!$D$273),""))</f>
        <v/>
      </c>
      <c r="E274" s="89" t="str">
        <f>IF($T$4=0,IF($L274="","",$L274),IFERROR(IF([1]财务取数接口!$E$273=0,"",[1]财务取数接口!$E$273),""))</f>
        <v/>
      </c>
      <c r="F274" s="76" t="str">
        <f>IF($T$4=0,IF($M274="","",$M274),IFERROR(IF([1]财务取数接口!$G$273=0,"",[1]财务取数接口!$G$273),""))</f>
        <v/>
      </c>
      <c r="G274" s="76" t="str">
        <f>IF($T$4=0,IF($N274="","",$N274),IFERROR(IF([1]财务取数接口!$H$273=0,"",[1]财务取数接口!$H$273),""))</f>
        <v/>
      </c>
      <c r="H274" s="75" t="str">
        <f>IF($T$4=0,IF($O274="","",$O274),IFERROR(IF([1]财务取数接口!$I$273=0,"",[1]财务取数接口!$I$273),""))</f>
        <v/>
      </c>
      <c r="I274" s="43"/>
      <c r="J274" s="106"/>
      <c r="K274" s="43"/>
      <c r="L274" s="43"/>
      <c r="M274" s="107"/>
      <c r="N274" s="107"/>
      <c r="O274" s="106"/>
      <c r="P274" s="139">
        <f t="shared" si="8"/>
        <v>0</v>
      </c>
      <c r="Q274" s="139">
        <f t="shared" si="9"/>
        <v>5</v>
      </c>
    </row>
    <row r="275" spans="1:17">
      <c r="A275" s="74">
        <v>274</v>
      </c>
      <c r="B275" s="89" t="str">
        <f>IF($T$4=0,IF($I275="","",$I275),IFERROR(IF([1]财务取数接口!$B$274=0,"",[1]财务取数接口!$B$274),""))</f>
        <v/>
      </c>
      <c r="C275" s="75" t="str">
        <f>IF($T$4=0,IF($J275="","",$J275),IFERROR(IF([1]财务取数接口!$C$274=0,"",[1]财务取数接口!$C$274),""))</f>
        <v/>
      </c>
      <c r="D275" s="89" t="str">
        <f>IF($T$4=0,IF($K275="","",$K275),IFERROR(IF([1]财务取数接口!$D$274=0,"",[1]财务取数接口!$D$274),""))</f>
        <v/>
      </c>
      <c r="E275" s="89" t="str">
        <f>IF($T$4=0,IF($L275="","",$L275),IFERROR(IF([1]财务取数接口!$E$274=0,"",[1]财务取数接口!$E$274),""))</f>
        <v/>
      </c>
      <c r="F275" s="76" t="str">
        <f>IF($T$4=0,IF($M275="","",$M275),IFERROR(IF([1]财务取数接口!$G$274=0,"",[1]财务取数接口!$G$274),""))</f>
        <v/>
      </c>
      <c r="G275" s="76" t="str">
        <f>IF($T$4=0,IF($N275="","",$N275),IFERROR(IF([1]财务取数接口!$H$274=0,"",[1]财务取数接口!$H$274),""))</f>
        <v/>
      </c>
      <c r="H275" s="75" t="str">
        <f>IF($T$4=0,IF($O275="","",$O275),IFERROR(IF([1]财务取数接口!$I$274=0,"",[1]财务取数接口!$I$274),""))</f>
        <v/>
      </c>
      <c r="I275" s="43"/>
      <c r="J275" s="106"/>
      <c r="K275" s="43"/>
      <c r="L275" s="43"/>
      <c r="M275" s="107"/>
      <c r="N275" s="107"/>
      <c r="O275" s="106"/>
      <c r="P275" s="139">
        <f t="shared" si="8"/>
        <v>0</v>
      </c>
      <c r="Q275" s="139">
        <f t="shared" si="9"/>
        <v>5</v>
      </c>
    </row>
    <row r="276" spans="1:17">
      <c r="A276" s="74">
        <v>275</v>
      </c>
      <c r="B276" s="89" t="str">
        <f>IF($T$4=0,IF($I276="","",$I276),IFERROR(IF([1]财务取数接口!$B$275=0,"",[1]财务取数接口!$B$275),""))</f>
        <v/>
      </c>
      <c r="C276" s="75" t="str">
        <f>IF($T$4=0,IF($J276="","",$J276),IFERROR(IF([1]财务取数接口!$C$275=0,"",[1]财务取数接口!$C$275),""))</f>
        <v/>
      </c>
      <c r="D276" s="89" t="str">
        <f>IF($T$4=0,IF($K276="","",$K276),IFERROR(IF([1]财务取数接口!$D$275=0,"",[1]财务取数接口!$D$275),""))</f>
        <v/>
      </c>
      <c r="E276" s="89" t="str">
        <f>IF($T$4=0,IF($L276="","",$L276),IFERROR(IF([1]财务取数接口!$E$275=0,"",[1]财务取数接口!$E$275),""))</f>
        <v/>
      </c>
      <c r="F276" s="76" t="str">
        <f>IF($T$4=0,IF($M276="","",$M276),IFERROR(IF([1]财务取数接口!$G$275=0,"",[1]财务取数接口!$G$275),""))</f>
        <v/>
      </c>
      <c r="G276" s="76" t="str">
        <f>IF($T$4=0,IF($N276="","",$N276),IFERROR(IF([1]财务取数接口!$H$275=0,"",[1]财务取数接口!$H$275),""))</f>
        <v/>
      </c>
      <c r="H276" s="75" t="str">
        <f>IF($T$4=0,IF($O276="","",$O276),IFERROR(IF([1]财务取数接口!$I$275=0,"",[1]财务取数接口!$I$275),""))</f>
        <v/>
      </c>
      <c r="I276" s="43"/>
      <c r="J276" s="106"/>
      <c r="K276" s="43"/>
      <c r="L276" s="43"/>
      <c r="M276" s="107"/>
      <c r="N276" s="107"/>
      <c r="O276" s="106"/>
      <c r="P276" s="139">
        <f t="shared" si="8"/>
        <v>0</v>
      </c>
      <c r="Q276" s="139">
        <f t="shared" si="9"/>
        <v>5</v>
      </c>
    </row>
    <row r="277" spans="1:17">
      <c r="A277" s="74">
        <v>276</v>
      </c>
      <c r="B277" s="89" t="str">
        <f>IF($T$4=0,IF($I277="","",$I277),IFERROR(IF([1]财务取数接口!$B$276=0,"",[1]财务取数接口!$B$276),""))</f>
        <v/>
      </c>
      <c r="C277" s="75" t="str">
        <f>IF($T$4=0,IF($J277="","",$J277),IFERROR(IF([1]财务取数接口!$C$276=0,"",[1]财务取数接口!$C$276),""))</f>
        <v/>
      </c>
      <c r="D277" s="89" t="str">
        <f>IF($T$4=0,IF($K277="","",$K277),IFERROR(IF([1]财务取数接口!$D$276=0,"",[1]财务取数接口!$D$276),""))</f>
        <v/>
      </c>
      <c r="E277" s="89" t="str">
        <f>IF($T$4=0,IF($L277="","",$L277),IFERROR(IF([1]财务取数接口!$E$276=0,"",[1]财务取数接口!$E$276),""))</f>
        <v/>
      </c>
      <c r="F277" s="76" t="str">
        <f>IF($T$4=0,IF($M277="","",$M277),IFERROR(IF([1]财务取数接口!$G$276=0,"",[1]财务取数接口!$G$276),""))</f>
        <v/>
      </c>
      <c r="G277" s="76" t="str">
        <f>IF($T$4=0,IF($N277="","",$N277),IFERROR(IF([1]财务取数接口!$H$276=0,"",[1]财务取数接口!$H$276),""))</f>
        <v/>
      </c>
      <c r="H277" s="75" t="str">
        <f>IF($T$4=0,IF($O277="","",$O277),IFERROR(IF([1]财务取数接口!$I$276=0,"",[1]财务取数接口!$I$276),""))</f>
        <v/>
      </c>
      <c r="I277" s="43"/>
      <c r="J277" s="106"/>
      <c r="K277" s="43"/>
      <c r="L277" s="43"/>
      <c r="M277" s="107"/>
      <c r="N277" s="107"/>
      <c r="O277" s="106"/>
      <c r="P277" s="139">
        <f t="shared" si="8"/>
        <v>0</v>
      </c>
      <c r="Q277" s="139">
        <f t="shared" si="9"/>
        <v>5</v>
      </c>
    </row>
    <row r="278" spans="1:17">
      <c r="A278" s="74">
        <v>277</v>
      </c>
      <c r="B278" s="89" t="str">
        <f>IF($T$4=0,IF($I278="","",$I278),IFERROR(IF([1]财务取数接口!$B$277=0,"",[1]财务取数接口!$B$277),""))</f>
        <v/>
      </c>
      <c r="C278" s="75" t="str">
        <f>IF($T$4=0,IF($J278="","",$J278),IFERROR(IF([1]财务取数接口!$C$277=0,"",[1]财务取数接口!$C$277),""))</f>
        <v/>
      </c>
      <c r="D278" s="89" t="str">
        <f>IF($T$4=0,IF($K278="","",$K278),IFERROR(IF([1]财务取数接口!$D$277=0,"",[1]财务取数接口!$D$277),""))</f>
        <v/>
      </c>
      <c r="E278" s="89" t="str">
        <f>IF($T$4=0,IF($L278="","",$L278),IFERROR(IF([1]财务取数接口!$E$277=0,"",[1]财务取数接口!$E$277),""))</f>
        <v/>
      </c>
      <c r="F278" s="76" t="str">
        <f>IF($T$4=0,IF($M278="","",$M278),IFERROR(IF([1]财务取数接口!$G$277=0,"",[1]财务取数接口!$G$277),""))</f>
        <v/>
      </c>
      <c r="G278" s="76" t="str">
        <f>IF($T$4=0,IF($N278="","",$N278),IFERROR(IF([1]财务取数接口!$H$277=0,"",[1]财务取数接口!$H$277),""))</f>
        <v/>
      </c>
      <c r="H278" s="75" t="str">
        <f>IF($T$4=0,IF($O278="","",$O278),IFERROR(IF([1]财务取数接口!$I$277=0,"",[1]财务取数接口!$I$277),""))</f>
        <v/>
      </c>
      <c r="I278" s="43"/>
      <c r="J278" s="106"/>
      <c r="K278" s="43"/>
      <c r="L278" s="43"/>
      <c r="M278" s="107"/>
      <c r="N278" s="107"/>
      <c r="O278" s="106"/>
      <c r="P278" s="139">
        <f t="shared" si="8"/>
        <v>0</v>
      </c>
      <c r="Q278" s="139">
        <f t="shared" si="9"/>
        <v>5</v>
      </c>
    </row>
    <row r="279" spans="1:17">
      <c r="A279" s="74">
        <v>278</v>
      </c>
      <c r="B279" s="89" t="str">
        <f>IF($T$4=0,IF($I279="","",$I279),IFERROR(IF([1]财务取数接口!$B$278=0,"",[1]财务取数接口!$B$278),""))</f>
        <v/>
      </c>
      <c r="C279" s="75" t="str">
        <f>IF($T$4=0,IF($J279="","",$J279),IFERROR(IF([1]财务取数接口!$C$278=0,"",[1]财务取数接口!$C$278),""))</f>
        <v/>
      </c>
      <c r="D279" s="89" t="str">
        <f>IF($T$4=0,IF($K279="","",$K279),IFERROR(IF([1]财务取数接口!$D$278=0,"",[1]财务取数接口!$D$278),""))</f>
        <v/>
      </c>
      <c r="E279" s="89" t="str">
        <f>IF($T$4=0,IF($L279="","",$L279),IFERROR(IF([1]财务取数接口!$E$278=0,"",[1]财务取数接口!$E$278),""))</f>
        <v/>
      </c>
      <c r="F279" s="76" t="str">
        <f>IF($T$4=0,IF($M279="","",$M279),IFERROR(IF([1]财务取数接口!$G$278=0,"",[1]财务取数接口!$G$278),""))</f>
        <v/>
      </c>
      <c r="G279" s="76" t="str">
        <f>IF($T$4=0,IF($N279="","",$N279),IFERROR(IF([1]财务取数接口!$H$278=0,"",[1]财务取数接口!$H$278),""))</f>
        <v/>
      </c>
      <c r="H279" s="75" t="str">
        <f>IF($T$4=0,IF($O279="","",$O279),IFERROR(IF([1]财务取数接口!$I$278=0,"",[1]财务取数接口!$I$278),""))</f>
        <v/>
      </c>
      <c r="I279" s="43"/>
      <c r="J279" s="106"/>
      <c r="K279" s="43"/>
      <c r="L279" s="43"/>
      <c r="M279" s="107"/>
      <c r="N279" s="107"/>
      <c r="O279" s="106"/>
      <c r="P279" s="139">
        <f t="shared" si="8"/>
        <v>0</v>
      </c>
      <c r="Q279" s="139">
        <f t="shared" si="9"/>
        <v>5</v>
      </c>
    </row>
    <row r="280" spans="1:17">
      <c r="A280" s="74">
        <v>279</v>
      </c>
      <c r="B280" s="89" t="str">
        <f>IF($T$4=0,IF($I280="","",$I280),IFERROR(IF([1]财务取数接口!$B$279=0,"",[1]财务取数接口!$B$279),""))</f>
        <v/>
      </c>
      <c r="C280" s="75" t="str">
        <f>IF($T$4=0,IF($J280="","",$J280),IFERROR(IF([1]财务取数接口!$C$279=0,"",[1]财务取数接口!$C$279),""))</f>
        <v/>
      </c>
      <c r="D280" s="89" t="str">
        <f>IF($T$4=0,IF($K280="","",$K280),IFERROR(IF([1]财务取数接口!$D$279=0,"",[1]财务取数接口!$D$279),""))</f>
        <v/>
      </c>
      <c r="E280" s="89" t="str">
        <f>IF($T$4=0,IF($L280="","",$L280),IFERROR(IF([1]财务取数接口!$E$279=0,"",[1]财务取数接口!$E$279),""))</f>
        <v/>
      </c>
      <c r="F280" s="76" t="str">
        <f>IF($T$4=0,IF($M280="","",$M280),IFERROR(IF([1]财务取数接口!$G$279=0,"",[1]财务取数接口!$G$279),""))</f>
        <v/>
      </c>
      <c r="G280" s="76" t="str">
        <f>IF($T$4=0,IF($N280="","",$N280),IFERROR(IF([1]财务取数接口!$H$279=0,"",[1]财务取数接口!$H$279),""))</f>
        <v/>
      </c>
      <c r="H280" s="75" t="str">
        <f>IF($T$4=0,IF($O280="","",$O280),IFERROR(IF([1]财务取数接口!$I$279=0,"",[1]财务取数接口!$I$279),""))</f>
        <v/>
      </c>
      <c r="I280" s="43"/>
      <c r="J280" s="106"/>
      <c r="K280" s="43"/>
      <c r="L280" s="43"/>
      <c r="M280" s="107"/>
      <c r="N280" s="107"/>
      <c r="O280" s="106"/>
      <c r="P280" s="139">
        <f t="shared" si="8"/>
        <v>0</v>
      </c>
      <c r="Q280" s="139">
        <f t="shared" si="9"/>
        <v>5</v>
      </c>
    </row>
    <row r="281" spans="1:17">
      <c r="A281" s="74">
        <v>280</v>
      </c>
      <c r="B281" s="89" t="str">
        <f>IF($T$4=0,IF($I281="","",$I281),IFERROR(IF([1]财务取数接口!$B$280=0,"",[1]财务取数接口!$B$280),""))</f>
        <v/>
      </c>
      <c r="C281" s="75" t="str">
        <f>IF($T$4=0,IF($J281="","",$J281),IFERROR(IF([1]财务取数接口!$C$280=0,"",[1]财务取数接口!$C$280),""))</f>
        <v/>
      </c>
      <c r="D281" s="89" t="str">
        <f>IF($T$4=0,IF($K281="","",$K281),IFERROR(IF([1]财务取数接口!$D$280=0,"",[1]财务取数接口!$D$280),""))</f>
        <v/>
      </c>
      <c r="E281" s="89" t="str">
        <f>IF($T$4=0,IF($L281="","",$L281),IFERROR(IF([1]财务取数接口!$E$280=0,"",[1]财务取数接口!$E$280),""))</f>
        <v/>
      </c>
      <c r="F281" s="76" t="str">
        <f>IF($T$4=0,IF($M281="","",$M281),IFERROR(IF([1]财务取数接口!$G$280=0,"",[1]财务取数接口!$G$280),""))</f>
        <v/>
      </c>
      <c r="G281" s="76" t="str">
        <f>IF($T$4=0,IF($N281="","",$N281),IFERROR(IF([1]财务取数接口!$H$280=0,"",[1]财务取数接口!$H$280),""))</f>
        <v/>
      </c>
      <c r="H281" s="75" t="str">
        <f>IF($T$4=0,IF($O281="","",$O281),IFERROR(IF([1]财务取数接口!$I$280=0,"",[1]财务取数接口!$I$280),""))</f>
        <v/>
      </c>
      <c r="I281" s="43"/>
      <c r="J281" s="106"/>
      <c r="K281" s="43"/>
      <c r="L281" s="43"/>
      <c r="M281" s="107"/>
      <c r="N281" s="107"/>
      <c r="O281" s="106"/>
      <c r="P281" s="139">
        <f t="shared" si="8"/>
        <v>0</v>
      </c>
      <c r="Q281" s="139">
        <f t="shared" si="9"/>
        <v>5</v>
      </c>
    </row>
    <row r="282" spans="1:17">
      <c r="A282" s="74">
        <v>281</v>
      </c>
      <c r="B282" s="89" t="str">
        <f>IF($T$4=0,IF($I282="","",$I282),IFERROR(IF([1]财务取数接口!$B$281=0,"",[1]财务取数接口!$B$281),""))</f>
        <v/>
      </c>
      <c r="C282" s="75" t="str">
        <f>IF($T$4=0,IF($J282="","",$J282),IFERROR(IF([1]财务取数接口!$C$281=0,"",[1]财务取数接口!$C$281),""))</f>
        <v/>
      </c>
      <c r="D282" s="89" t="str">
        <f>IF($T$4=0,IF($K282="","",$K282),IFERROR(IF([1]财务取数接口!$D$281=0,"",[1]财务取数接口!$D$281),""))</f>
        <v/>
      </c>
      <c r="E282" s="89" t="str">
        <f>IF($T$4=0,IF($L282="","",$L282),IFERROR(IF([1]财务取数接口!$E$281=0,"",[1]财务取数接口!$E$281),""))</f>
        <v/>
      </c>
      <c r="F282" s="76" t="str">
        <f>IF($T$4=0,IF($M282="","",$M282),IFERROR(IF([1]财务取数接口!$G$281=0,"",[1]财务取数接口!$G$281),""))</f>
        <v/>
      </c>
      <c r="G282" s="76" t="str">
        <f>IF($T$4=0,IF($N282="","",$N282),IFERROR(IF([1]财务取数接口!$H$281=0,"",[1]财务取数接口!$H$281),""))</f>
        <v/>
      </c>
      <c r="H282" s="75" t="str">
        <f>IF($T$4=0,IF($O282="","",$O282),IFERROR(IF([1]财务取数接口!$I$281=0,"",[1]财务取数接口!$I$281),""))</f>
        <v/>
      </c>
      <c r="I282" s="43"/>
      <c r="J282" s="106"/>
      <c r="K282" s="43"/>
      <c r="L282" s="43"/>
      <c r="M282" s="107"/>
      <c r="N282" s="107"/>
      <c r="O282" s="106"/>
      <c r="P282" s="139">
        <f t="shared" si="8"/>
        <v>0</v>
      </c>
      <c r="Q282" s="139">
        <f t="shared" si="9"/>
        <v>5</v>
      </c>
    </row>
    <row r="283" spans="1:17">
      <c r="A283" s="74">
        <v>282</v>
      </c>
      <c r="B283" s="89" t="str">
        <f>IF($T$4=0,IF($I283="","",$I283),IFERROR(IF([1]财务取数接口!$B$282=0,"",[1]财务取数接口!$B$282),""))</f>
        <v/>
      </c>
      <c r="C283" s="75" t="str">
        <f>IF($T$4=0,IF($J283="","",$J283),IFERROR(IF([1]财务取数接口!$C$282=0,"",[1]财务取数接口!$C$282),""))</f>
        <v/>
      </c>
      <c r="D283" s="89" t="str">
        <f>IF($T$4=0,IF($K283="","",$K283),IFERROR(IF([1]财务取数接口!$D$282=0,"",[1]财务取数接口!$D$282),""))</f>
        <v/>
      </c>
      <c r="E283" s="89" t="str">
        <f>IF($T$4=0,IF($L283="","",$L283),IFERROR(IF([1]财务取数接口!$E$282=0,"",[1]财务取数接口!$E$282),""))</f>
        <v/>
      </c>
      <c r="F283" s="76" t="str">
        <f>IF($T$4=0,IF($M283="","",$M283),IFERROR(IF([1]财务取数接口!$G$282=0,"",[1]财务取数接口!$G$282),""))</f>
        <v/>
      </c>
      <c r="G283" s="76" t="str">
        <f>IF($T$4=0,IF($N283="","",$N283),IFERROR(IF([1]财务取数接口!$H$282=0,"",[1]财务取数接口!$H$282),""))</f>
        <v/>
      </c>
      <c r="H283" s="75" t="str">
        <f>IF($T$4=0,IF($O283="","",$O283),IFERROR(IF([1]财务取数接口!$I$282=0,"",[1]财务取数接口!$I$282),""))</f>
        <v/>
      </c>
      <c r="I283" s="43"/>
      <c r="J283" s="106"/>
      <c r="K283" s="43"/>
      <c r="L283" s="43"/>
      <c r="M283" s="107"/>
      <c r="N283" s="107"/>
      <c r="O283" s="106"/>
      <c r="P283" s="139">
        <f t="shared" si="8"/>
        <v>0</v>
      </c>
      <c r="Q283" s="139">
        <f t="shared" si="9"/>
        <v>5</v>
      </c>
    </row>
    <row r="284" spans="1:17">
      <c r="A284" s="74">
        <v>283</v>
      </c>
      <c r="B284" s="89" t="str">
        <f>IF($T$4=0,IF($I284="","",$I284),IFERROR(IF([1]财务取数接口!$B$283=0,"",[1]财务取数接口!$B$283),""))</f>
        <v/>
      </c>
      <c r="C284" s="75" t="str">
        <f>IF($T$4=0,IF($J284="","",$J284),IFERROR(IF([1]财务取数接口!$C$283=0,"",[1]财务取数接口!$C$283),""))</f>
        <v/>
      </c>
      <c r="D284" s="89" t="str">
        <f>IF($T$4=0,IF($K284="","",$K284),IFERROR(IF([1]财务取数接口!$D$283=0,"",[1]财务取数接口!$D$283),""))</f>
        <v/>
      </c>
      <c r="E284" s="89" t="str">
        <f>IF($T$4=0,IF($L284="","",$L284),IFERROR(IF([1]财务取数接口!$E$283=0,"",[1]财务取数接口!$E$283),""))</f>
        <v/>
      </c>
      <c r="F284" s="76" t="str">
        <f>IF($T$4=0,IF($M284="","",$M284),IFERROR(IF([1]财务取数接口!$G$283=0,"",[1]财务取数接口!$G$283),""))</f>
        <v/>
      </c>
      <c r="G284" s="76" t="str">
        <f>IF($T$4=0,IF($N284="","",$N284),IFERROR(IF([1]财务取数接口!$H$283=0,"",[1]财务取数接口!$H$283),""))</f>
        <v/>
      </c>
      <c r="H284" s="75" t="str">
        <f>IF($T$4=0,IF($O284="","",$O284),IFERROR(IF([1]财务取数接口!$I$283=0,"",[1]财务取数接口!$I$283),""))</f>
        <v/>
      </c>
      <c r="I284" s="43"/>
      <c r="J284" s="106"/>
      <c r="K284" s="43"/>
      <c r="L284" s="43"/>
      <c r="M284" s="107"/>
      <c r="N284" s="107"/>
      <c r="O284" s="106"/>
      <c r="P284" s="139">
        <f t="shared" si="8"/>
        <v>0</v>
      </c>
      <c r="Q284" s="139">
        <f t="shared" si="9"/>
        <v>5</v>
      </c>
    </row>
    <row r="285" spans="1:17">
      <c r="A285" s="74">
        <v>284</v>
      </c>
      <c r="B285" s="89" t="str">
        <f>IF($T$4=0,IF($I285="","",$I285),IFERROR(IF([1]财务取数接口!$B$284=0,"",[1]财务取数接口!$B$284),""))</f>
        <v/>
      </c>
      <c r="C285" s="75" t="str">
        <f>IF($T$4=0,IF($J285="","",$J285),IFERROR(IF([1]财务取数接口!$C$284=0,"",[1]财务取数接口!$C$284),""))</f>
        <v/>
      </c>
      <c r="D285" s="89" t="str">
        <f>IF($T$4=0,IF($K285="","",$K285),IFERROR(IF([1]财务取数接口!$D$284=0,"",[1]财务取数接口!$D$284),""))</f>
        <v/>
      </c>
      <c r="E285" s="89" t="str">
        <f>IF($T$4=0,IF($L285="","",$L285),IFERROR(IF([1]财务取数接口!$E$284=0,"",[1]财务取数接口!$E$284),""))</f>
        <v/>
      </c>
      <c r="F285" s="76" t="str">
        <f>IF($T$4=0,IF($M285="","",$M285),IFERROR(IF([1]财务取数接口!$G$284=0,"",[1]财务取数接口!$G$284),""))</f>
        <v/>
      </c>
      <c r="G285" s="76" t="str">
        <f>IF($T$4=0,IF($N285="","",$N285),IFERROR(IF([1]财务取数接口!$H$284=0,"",[1]财务取数接口!$H$284),""))</f>
        <v/>
      </c>
      <c r="H285" s="75" t="str">
        <f>IF($T$4=0,IF($O285="","",$O285),IFERROR(IF([1]财务取数接口!$I$284=0,"",[1]财务取数接口!$I$284),""))</f>
        <v/>
      </c>
      <c r="I285" s="43"/>
      <c r="J285" s="106"/>
      <c r="K285" s="43"/>
      <c r="L285" s="43"/>
      <c r="M285" s="107"/>
      <c r="N285" s="107"/>
      <c r="O285" s="106"/>
      <c r="P285" s="139">
        <f t="shared" si="8"/>
        <v>0</v>
      </c>
      <c r="Q285" s="139">
        <f t="shared" si="9"/>
        <v>5</v>
      </c>
    </row>
    <row r="286" spans="1:17">
      <c r="A286" s="74">
        <v>285</v>
      </c>
      <c r="B286" s="89" t="str">
        <f>IF($T$4=0,IF($I286="","",$I286),IFERROR(IF([1]财务取数接口!$B$285=0,"",[1]财务取数接口!$B$285),""))</f>
        <v/>
      </c>
      <c r="C286" s="75" t="str">
        <f>IF($T$4=0,IF($J286="","",$J286),IFERROR(IF([1]财务取数接口!$C$285=0,"",[1]财务取数接口!$C$285),""))</f>
        <v/>
      </c>
      <c r="D286" s="89" t="str">
        <f>IF($T$4=0,IF($K286="","",$K286),IFERROR(IF([1]财务取数接口!$D$285=0,"",[1]财务取数接口!$D$285),""))</f>
        <v/>
      </c>
      <c r="E286" s="89" t="str">
        <f>IF($T$4=0,IF($L286="","",$L286),IFERROR(IF([1]财务取数接口!$E$285=0,"",[1]财务取数接口!$E$285),""))</f>
        <v/>
      </c>
      <c r="F286" s="76" t="str">
        <f>IF($T$4=0,IF($M286="","",$M286),IFERROR(IF([1]财务取数接口!$G$285=0,"",[1]财务取数接口!$G$285),""))</f>
        <v/>
      </c>
      <c r="G286" s="76" t="str">
        <f>IF($T$4=0,IF($N286="","",$N286),IFERROR(IF([1]财务取数接口!$H$285=0,"",[1]财务取数接口!$H$285),""))</f>
        <v/>
      </c>
      <c r="H286" s="75" t="str">
        <f>IF($T$4=0,IF($O286="","",$O286),IFERROR(IF([1]财务取数接口!$I$285=0,"",[1]财务取数接口!$I$285),""))</f>
        <v/>
      </c>
      <c r="I286" s="43"/>
      <c r="J286" s="106"/>
      <c r="K286" s="43"/>
      <c r="L286" s="43"/>
      <c r="M286" s="107"/>
      <c r="N286" s="107"/>
      <c r="O286" s="106"/>
      <c r="P286" s="139">
        <f t="shared" si="8"/>
        <v>0</v>
      </c>
      <c r="Q286" s="139">
        <f t="shared" si="9"/>
        <v>5</v>
      </c>
    </row>
    <row r="287" spans="1:17">
      <c r="A287" s="74">
        <v>286</v>
      </c>
      <c r="B287" s="89" t="str">
        <f>IF($T$4=0,IF($I287="","",$I287),IFERROR(IF([1]财务取数接口!$B$286=0,"",[1]财务取数接口!$B$286),""))</f>
        <v/>
      </c>
      <c r="C287" s="75" t="str">
        <f>IF($T$4=0,IF($J287="","",$J287),IFERROR(IF([1]财务取数接口!$C$286=0,"",[1]财务取数接口!$C$286),""))</f>
        <v/>
      </c>
      <c r="D287" s="89" t="str">
        <f>IF($T$4=0,IF($K287="","",$K287),IFERROR(IF([1]财务取数接口!$D$286=0,"",[1]财务取数接口!$D$286),""))</f>
        <v/>
      </c>
      <c r="E287" s="89" t="str">
        <f>IF($T$4=0,IF($L287="","",$L287),IFERROR(IF([1]财务取数接口!$E$286=0,"",[1]财务取数接口!$E$286),""))</f>
        <v/>
      </c>
      <c r="F287" s="76" t="str">
        <f>IF($T$4=0,IF($M287="","",$M287),IFERROR(IF([1]财务取数接口!$G$286=0,"",[1]财务取数接口!$G$286),""))</f>
        <v/>
      </c>
      <c r="G287" s="76" t="str">
        <f>IF($T$4=0,IF($N287="","",$N287),IFERROR(IF([1]财务取数接口!$H$286=0,"",[1]财务取数接口!$H$286),""))</f>
        <v/>
      </c>
      <c r="H287" s="75" t="str">
        <f>IF($T$4=0,IF($O287="","",$O287),IFERROR(IF([1]财务取数接口!$I$286=0,"",[1]财务取数接口!$I$286),""))</f>
        <v/>
      </c>
      <c r="I287" s="43"/>
      <c r="J287" s="106"/>
      <c r="K287" s="43"/>
      <c r="L287" s="43"/>
      <c r="M287" s="107"/>
      <c r="N287" s="107"/>
      <c r="O287" s="106"/>
      <c r="P287" s="139">
        <f t="shared" si="8"/>
        <v>0</v>
      </c>
      <c r="Q287" s="139">
        <f t="shared" si="9"/>
        <v>5</v>
      </c>
    </row>
    <row r="288" spans="1:17">
      <c r="A288" s="74">
        <v>287</v>
      </c>
      <c r="B288" s="89" t="str">
        <f>IF($T$4=0,IF($I288="","",$I288),IFERROR(IF([1]财务取数接口!$B$287=0,"",[1]财务取数接口!$B$287),""))</f>
        <v/>
      </c>
      <c r="C288" s="75" t="str">
        <f>IF($T$4=0,IF($J288="","",$J288),IFERROR(IF([1]财务取数接口!$C$287=0,"",[1]财务取数接口!$C$287),""))</f>
        <v/>
      </c>
      <c r="D288" s="89" t="str">
        <f>IF($T$4=0,IF($K288="","",$K288),IFERROR(IF([1]财务取数接口!$D$287=0,"",[1]财务取数接口!$D$287),""))</f>
        <v/>
      </c>
      <c r="E288" s="89" t="str">
        <f>IF($T$4=0,IF($L288="","",$L288),IFERROR(IF([1]财务取数接口!$E$287=0,"",[1]财务取数接口!$E$287),""))</f>
        <v/>
      </c>
      <c r="F288" s="76" t="str">
        <f>IF($T$4=0,IF($M288="","",$M288),IFERROR(IF([1]财务取数接口!$G$287=0,"",[1]财务取数接口!$G$287),""))</f>
        <v/>
      </c>
      <c r="G288" s="76" t="str">
        <f>IF($T$4=0,IF($N288="","",$N288),IFERROR(IF([1]财务取数接口!$H$287=0,"",[1]财务取数接口!$H$287),""))</f>
        <v/>
      </c>
      <c r="H288" s="75" t="str">
        <f>IF($T$4=0,IF($O288="","",$O288),IFERROR(IF([1]财务取数接口!$I$287=0,"",[1]财务取数接口!$I$287),""))</f>
        <v/>
      </c>
      <c r="I288" s="43"/>
      <c r="J288" s="106"/>
      <c r="K288" s="43"/>
      <c r="L288" s="43"/>
      <c r="M288" s="107"/>
      <c r="N288" s="107"/>
      <c r="O288" s="106"/>
      <c r="P288" s="139">
        <f t="shared" si="8"/>
        <v>0</v>
      </c>
      <c r="Q288" s="139">
        <f t="shared" si="9"/>
        <v>5</v>
      </c>
    </row>
    <row r="289" spans="1:17">
      <c r="A289" s="74">
        <v>288</v>
      </c>
      <c r="B289" s="89" t="str">
        <f>IF($T$4=0,IF($I289="","",$I289),IFERROR(IF([1]财务取数接口!$B$288=0,"",[1]财务取数接口!$B$288),""))</f>
        <v/>
      </c>
      <c r="C289" s="75" t="str">
        <f>IF($T$4=0,IF($J289="","",$J289),IFERROR(IF([1]财务取数接口!$C$288=0,"",[1]财务取数接口!$C$288),""))</f>
        <v/>
      </c>
      <c r="D289" s="89" t="str">
        <f>IF($T$4=0,IF($K289="","",$K289),IFERROR(IF([1]财务取数接口!$D$288=0,"",[1]财务取数接口!$D$288),""))</f>
        <v/>
      </c>
      <c r="E289" s="89" t="str">
        <f>IF($T$4=0,IF($L289="","",$L289),IFERROR(IF([1]财务取数接口!$E$288=0,"",[1]财务取数接口!$E$288),""))</f>
        <v/>
      </c>
      <c r="F289" s="76" t="str">
        <f>IF($T$4=0,IF($M289="","",$M289),IFERROR(IF([1]财务取数接口!$G$288=0,"",[1]财务取数接口!$G$288),""))</f>
        <v/>
      </c>
      <c r="G289" s="76" t="str">
        <f>IF($T$4=0,IF($N289="","",$N289),IFERROR(IF([1]财务取数接口!$H$288=0,"",[1]财务取数接口!$H$288),""))</f>
        <v/>
      </c>
      <c r="H289" s="75" t="str">
        <f>IF($T$4=0,IF($O289="","",$O289),IFERROR(IF([1]财务取数接口!$I$288=0,"",[1]财务取数接口!$I$288),""))</f>
        <v/>
      </c>
      <c r="I289" s="43"/>
      <c r="J289" s="106"/>
      <c r="K289" s="43"/>
      <c r="L289" s="43"/>
      <c r="M289" s="107"/>
      <c r="N289" s="107"/>
      <c r="O289" s="106"/>
      <c r="P289" s="139">
        <f t="shared" si="8"/>
        <v>0</v>
      </c>
      <c r="Q289" s="139">
        <f t="shared" si="9"/>
        <v>5</v>
      </c>
    </row>
    <row r="290" spans="1:17">
      <c r="A290" s="74">
        <v>289</v>
      </c>
      <c r="B290" s="89" t="str">
        <f>IF($T$4=0,IF($I290="","",$I290),IFERROR(IF([1]财务取数接口!$B$289=0,"",[1]财务取数接口!$B$289),""))</f>
        <v/>
      </c>
      <c r="C290" s="75" t="str">
        <f>IF($T$4=0,IF($J290="","",$J290),IFERROR(IF([1]财务取数接口!$C$289=0,"",[1]财务取数接口!$C$289),""))</f>
        <v/>
      </c>
      <c r="D290" s="89" t="str">
        <f>IF($T$4=0,IF($K290="","",$K290),IFERROR(IF([1]财务取数接口!$D$289=0,"",[1]财务取数接口!$D$289),""))</f>
        <v/>
      </c>
      <c r="E290" s="89" t="str">
        <f>IF($T$4=0,IF($L290="","",$L290),IFERROR(IF([1]财务取数接口!$E$289=0,"",[1]财务取数接口!$E$289),""))</f>
        <v/>
      </c>
      <c r="F290" s="76" t="str">
        <f>IF($T$4=0,IF($M290="","",$M290),IFERROR(IF([1]财务取数接口!$G$289=0,"",[1]财务取数接口!$G$289),""))</f>
        <v/>
      </c>
      <c r="G290" s="76" t="str">
        <f>IF($T$4=0,IF($N290="","",$N290),IFERROR(IF([1]财务取数接口!$H$289=0,"",[1]财务取数接口!$H$289),""))</f>
        <v/>
      </c>
      <c r="H290" s="75" t="str">
        <f>IF($T$4=0,IF($O290="","",$O290),IFERROR(IF([1]财务取数接口!$I$289=0,"",[1]财务取数接口!$I$289),""))</f>
        <v/>
      </c>
      <c r="I290" s="43"/>
      <c r="J290" s="106"/>
      <c r="K290" s="43"/>
      <c r="L290" s="43"/>
      <c r="M290" s="107"/>
      <c r="N290" s="107"/>
      <c r="O290" s="106"/>
      <c r="P290" s="139">
        <f t="shared" si="8"/>
        <v>0</v>
      </c>
      <c r="Q290" s="139">
        <f t="shared" si="9"/>
        <v>5</v>
      </c>
    </row>
    <row r="291" spans="1:17">
      <c r="A291" s="74">
        <v>290</v>
      </c>
      <c r="B291" s="89" t="str">
        <f>IF($T$4=0,IF($I291="","",$I291),IFERROR(IF([1]财务取数接口!$B$290=0,"",[1]财务取数接口!$B$290),""))</f>
        <v/>
      </c>
      <c r="C291" s="75" t="str">
        <f>IF($T$4=0,IF($J291="","",$J291),IFERROR(IF([1]财务取数接口!$C$290=0,"",[1]财务取数接口!$C$290),""))</f>
        <v/>
      </c>
      <c r="D291" s="89" t="str">
        <f>IF($T$4=0,IF($K291="","",$K291),IFERROR(IF([1]财务取数接口!$D$290=0,"",[1]财务取数接口!$D$290),""))</f>
        <v/>
      </c>
      <c r="E291" s="89" t="str">
        <f>IF($T$4=0,IF($L291="","",$L291),IFERROR(IF([1]财务取数接口!$E$290=0,"",[1]财务取数接口!$E$290),""))</f>
        <v/>
      </c>
      <c r="F291" s="76" t="str">
        <f>IF($T$4=0,IF($M291="","",$M291),IFERROR(IF([1]财务取数接口!$G$290=0,"",[1]财务取数接口!$G$290),""))</f>
        <v/>
      </c>
      <c r="G291" s="76" t="str">
        <f>IF($T$4=0,IF($N291="","",$N291),IFERROR(IF([1]财务取数接口!$H$290=0,"",[1]财务取数接口!$H$290),""))</f>
        <v/>
      </c>
      <c r="H291" s="75" t="str">
        <f>IF($T$4=0,IF($O291="","",$O291),IFERROR(IF([1]财务取数接口!$I$290=0,"",[1]财务取数接口!$I$290),""))</f>
        <v/>
      </c>
      <c r="I291" s="43"/>
      <c r="J291" s="106"/>
      <c r="K291" s="43"/>
      <c r="L291" s="43"/>
      <c r="M291" s="107"/>
      <c r="N291" s="107"/>
      <c r="O291" s="106"/>
      <c r="P291" s="139">
        <f t="shared" si="8"/>
        <v>0</v>
      </c>
      <c r="Q291" s="139">
        <f t="shared" si="9"/>
        <v>5</v>
      </c>
    </row>
    <row r="292" spans="1:17">
      <c r="A292" s="74">
        <v>291</v>
      </c>
      <c r="B292" s="89" t="str">
        <f>IF($T$4=0,IF($I292="","",$I292),IFERROR(IF([1]财务取数接口!$B$291=0,"",[1]财务取数接口!$B$291),""))</f>
        <v/>
      </c>
      <c r="C292" s="75" t="str">
        <f>IF($T$4=0,IF($J292="","",$J292),IFERROR(IF([1]财务取数接口!$C$291=0,"",[1]财务取数接口!$C$291),""))</f>
        <v/>
      </c>
      <c r="D292" s="89" t="str">
        <f>IF($T$4=0,IF($K292="","",$K292),IFERROR(IF([1]财务取数接口!$D$291=0,"",[1]财务取数接口!$D$291),""))</f>
        <v/>
      </c>
      <c r="E292" s="89" t="str">
        <f>IF($T$4=0,IF($L292="","",$L292),IFERROR(IF([1]财务取数接口!$E$291=0,"",[1]财务取数接口!$E$291),""))</f>
        <v/>
      </c>
      <c r="F292" s="76" t="str">
        <f>IF($T$4=0,IF($M292="","",$M292),IFERROR(IF([1]财务取数接口!$G$291=0,"",[1]财务取数接口!$G$291),""))</f>
        <v/>
      </c>
      <c r="G292" s="76" t="str">
        <f>IF($T$4=0,IF($N292="","",$N292),IFERROR(IF([1]财务取数接口!$H$291=0,"",[1]财务取数接口!$H$291),""))</f>
        <v/>
      </c>
      <c r="H292" s="75" t="str">
        <f>IF($T$4=0,IF($O292="","",$O292),IFERROR(IF([1]财务取数接口!$I$291=0,"",[1]财务取数接口!$I$291),""))</f>
        <v/>
      </c>
      <c r="I292" s="43"/>
      <c r="J292" s="106"/>
      <c r="K292" s="43"/>
      <c r="L292" s="43"/>
      <c r="M292" s="107"/>
      <c r="N292" s="107"/>
      <c r="O292" s="106"/>
      <c r="P292" s="139">
        <f t="shared" si="8"/>
        <v>0</v>
      </c>
      <c r="Q292" s="139">
        <f t="shared" si="9"/>
        <v>5</v>
      </c>
    </row>
    <row r="293" spans="1:17">
      <c r="A293" s="74">
        <v>292</v>
      </c>
      <c r="B293" s="89" t="str">
        <f>IF($T$4=0,IF($I293="","",$I293),IFERROR(IF([1]财务取数接口!$B$292=0,"",[1]财务取数接口!$B$292),""))</f>
        <v/>
      </c>
      <c r="C293" s="75" t="str">
        <f>IF($T$4=0,IF($J293="","",$J293),IFERROR(IF([1]财务取数接口!$C$292=0,"",[1]财务取数接口!$C$292),""))</f>
        <v/>
      </c>
      <c r="D293" s="89" t="str">
        <f>IF($T$4=0,IF($K293="","",$K293),IFERROR(IF([1]财务取数接口!$D$292=0,"",[1]财务取数接口!$D$292),""))</f>
        <v/>
      </c>
      <c r="E293" s="89" t="str">
        <f>IF($T$4=0,IF($L293="","",$L293),IFERROR(IF([1]财务取数接口!$E$292=0,"",[1]财务取数接口!$E$292),""))</f>
        <v/>
      </c>
      <c r="F293" s="76" t="str">
        <f>IF($T$4=0,IF($M293="","",$M293),IFERROR(IF([1]财务取数接口!$G$292=0,"",[1]财务取数接口!$G$292),""))</f>
        <v/>
      </c>
      <c r="G293" s="76" t="str">
        <f>IF($T$4=0,IF($N293="","",$N293),IFERROR(IF([1]财务取数接口!$H$292=0,"",[1]财务取数接口!$H$292),""))</f>
        <v/>
      </c>
      <c r="H293" s="75" t="str">
        <f>IF($T$4=0,IF($O293="","",$O293),IFERROR(IF([1]财务取数接口!$I$292=0,"",[1]财务取数接口!$I$292),""))</f>
        <v/>
      </c>
      <c r="I293" s="43"/>
      <c r="J293" s="106"/>
      <c r="K293" s="43"/>
      <c r="L293" s="43"/>
      <c r="M293" s="107"/>
      <c r="N293" s="107"/>
      <c r="O293" s="106"/>
      <c r="P293" s="139">
        <f t="shared" si="8"/>
        <v>0</v>
      </c>
      <c r="Q293" s="139">
        <f t="shared" si="9"/>
        <v>5</v>
      </c>
    </row>
    <row r="294" spans="1:17">
      <c r="A294" s="74">
        <v>293</v>
      </c>
      <c r="B294" s="89" t="str">
        <f>IF($T$4=0,IF($I294="","",$I294),IFERROR(IF([1]财务取数接口!$B$293=0,"",[1]财务取数接口!$B$293),""))</f>
        <v/>
      </c>
      <c r="C294" s="75" t="str">
        <f>IF($T$4=0,IF($J294="","",$J294),IFERROR(IF([1]财务取数接口!$C$293=0,"",[1]财务取数接口!$C$293),""))</f>
        <v/>
      </c>
      <c r="D294" s="89" t="str">
        <f>IF($T$4=0,IF($K294="","",$K294),IFERROR(IF([1]财务取数接口!$D$293=0,"",[1]财务取数接口!$D$293),""))</f>
        <v/>
      </c>
      <c r="E294" s="89" t="str">
        <f>IF($T$4=0,IF($L294="","",$L294),IFERROR(IF([1]财务取数接口!$E$293=0,"",[1]财务取数接口!$E$293),""))</f>
        <v/>
      </c>
      <c r="F294" s="76" t="str">
        <f>IF($T$4=0,IF($M294="","",$M294),IFERROR(IF([1]财务取数接口!$G$293=0,"",[1]财务取数接口!$G$293),""))</f>
        <v/>
      </c>
      <c r="G294" s="76" t="str">
        <f>IF($T$4=0,IF($N294="","",$N294),IFERROR(IF([1]财务取数接口!$H$293=0,"",[1]财务取数接口!$H$293),""))</f>
        <v/>
      </c>
      <c r="H294" s="75" t="str">
        <f>IF($T$4=0,IF($O294="","",$O294),IFERROR(IF([1]财务取数接口!$I$293=0,"",[1]财务取数接口!$I$293),""))</f>
        <v/>
      </c>
      <c r="I294" s="43"/>
      <c r="J294" s="106"/>
      <c r="K294" s="43"/>
      <c r="L294" s="43"/>
      <c r="M294" s="107"/>
      <c r="N294" s="107"/>
      <c r="O294" s="106"/>
      <c r="P294" s="139">
        <f t="shared" si="8"/>
        <v>0</v>
      </c>
      <c r="Q294" s="139">
        <f t="shared" si="9"/>
        <v>5</v>
      </c>
    </row>
    <row r="295" spans="1:17">
      <c r="A295" s="74">
        <v>294</v>
      </c>
      <c r="B295" s="89" t="str">
        <f>IF($T$4=0,IF($I295="","",$I295),IFERROR(IF([1]财务取数接口!$B$294=0,"",[1]财务取数接口!$B$294),""))</f>
        <v/>
      </c>
      <c r="C295" s="75" t="str">
        <f>IF($T$4=0,IF($J295="","",$J295),IFERROR(IF([1]财务取数接口!$C$294=0,"",[1]财务取数接口!$C$294),""))</f>
        <v/>
      </c>
      <c r="D295" s="89" t="str">
        <f>IF($T$4=0,IF($K295="","",$K295),IFERROR(IF([1]财务取数接口!$D$294=0,"",[1]财务取数接口!$D$294),""))</f>
        <v/>
      </c>
      <c r="E295" s="89" t="str">
        <f>IF($T$4=0,IF($L295="","",$L295),IFERROR(IF([1]财务取数接口!$E$294=0,"",[1]财务取数接口!$E$294),""))</f>
        <v/>
      </c>
      <c r="F295" s="76" t="str">
        <f>IF($T$4=0,IF($M295="","",$M295),IFERROR(IF([1]财务取数接口!$G$294=0,"",[1]财务取数接口!$G$294),""))</f>
        <v/>
      </c>
      <c r="G295" s="76" t="str">
        <f>IF($T$4=0,IF($N295="","",$N295),IFERROR(IF([1]财务取数接口!$H$294=0,"",[1]财务取数接口!$H$294),""))</f>
        <v/>
      </c>
      <c r="H295" s="75" t="str">
        <f>IF($T$4=0,IF($O295="","",$O295),IFERROR(IF([1]财务取数接口!$I$294=0,"",[1]财务取数接口!$I$294),""))</f>
        <v/>
      </c>
      <c r="I295" s="43"/>
      <c r="J295" s="106"/>
      <c r="K295" s="43"/>
      <c r="L295" s="43"/>
      <c r="M295" s="107"/>
      <c r="N295" s="107"/>
      <c r="O295" s="106"/>
      <c r="P295" s="139">
        <f t="shared" si="8"/>
        <v>0</v>
      </c>
      <c r="Q295" s="139">
        <f t="shared" si="9"/>
        <v>5</v>
      </c>
    </row>
    <row r="296" spans="1:17">
      <c r="A296" s="74">
        <v>295</v>
      </c>
      <c r="B296" s="89" t="str">
        <f>IF($T$4=0,IF($I296="","",$I296),IFERROR(IF([1]财务取数接口!$B$295=0,"",[1]财务取数接口!$B$295),""))</f>
        <v/>
      </c>
      <c r="C296" s="75" t="str">
        <f>IF($T$4=0,IF($J296="","",$J296),IFERROR(IF([1]财务取数接口!$C$295=0,"",[1]财务取数接口!$C$295),""))</f>
        <v/>
      </c>
      <c r="D296" s="89" t="str">
        <f>IF($T$4=0,IF($K296="","",$K296),IFERROR(IF([1]财务取数接口!$D$295=0,"",[1]财务取数接口!$D$295),""))</f>
        <v/>
      </c>
      <c r="E296" s="89" t="str">
        <f>IF($T$4=0,IF($L296="","",$L296),IFERROR(IF([1]财务取数接口!$E$295=0,"",[1]财务取数接口!$E$295),""))</f>
        <v/>
      </c>
      <c r="F296" s="76" t="str">
        <f>IF($T$4=0,IF($M296="","",$M296),IFERROR(IF([1]财务取数接口!$G$295=0,"",[1]财务取数接口!$G$295),""))</f>
        <v/>
      </c>
      <c r="G296" s="76" t="str">
        <f>IF($T$4=0,IF($N296="","",$N296),IFERROR(IF([1]财务取数接口!$H$295=0,"",[1]财务取数接口!$H$295),""))</f>
        <v/>
      </c>
      <c r="H296" s="75" t="str">
        <f>IF($T$4=0,IF($O296="","",$O296),IFERROR(IF([1]财务取数接口!$I$295=0,"",[1]财务取数接口!$I$295),""))</f>
        <v/>
      </c>
      <c r="I296" s="43"/>
      <c r="J296" s="106"/>
      <c r="K296" s="43"/>
      <c r="L296" s="43"/>
      <c r="M296" s="107"/>
      <c r="N296" s="107"/>
      <c r="O296" s="106"/>
      <c r="P296" s="139">
        <f t="shared" si="8"/>
        <v>0</v>
      </c>
      <c r="Q296" s="139">
        <f t="shared" si="9"/>
        <v>5</v>
      </c>
    </row>
    <row r="297" spans="1:17">
      <c r="A297" s="74">
        <v>296</v>
      </c>
      <c r="B297" s="89" t="str">
        <f>IF($T$4=0,IF($I297="","",$I297),IFERROR(IF([1]财务取数接口!$B$296=0,"",[1]财务取数接口!$B$296),""))</f>
        <v/>
      </c>
      <c r="C297" s="75" t="str">
        <f>IF($T$4=0,IF($J297="","",$J297),IFERROR(IF([1]财务取数接口!$C$296=0,"",[1]财务取数接口!$C$296),""))</f>
        <v/>
      </c>
      <c r="D297" s="89" t="str">
        <f>IF($T$4=0,IF($K297="","",$K297),IFERROR(IF([1]财务取数接口!$D$296=0,"",[1]财务取数接口!$D$296),""))</f>
        <v/>
      </c>
      <c r="E297" s="89" t="str">
        <f>IF($T$4=0,IF($L297="","",$L297),IFERROR(IF([1]财务取数接口!$E$296=0,"",[1]财务取数接口!$E$296),""))</f>
        <v/>
      </c>
      <c r="F297" s="76" t="str">
        <f>IF($T$4=0,IF($M297="","",$M297),IFERROR(IF([1]财务取数接口!$G$296=0,"",[1]财务取数接口!$G$296),""))</f>
        <v/>
      </c>
      <c r="G297" s="76" t="str">
        <f>IF($T$4=0,IF($N297="","",$N297),IFERROR(IF([1]财务取数接口!$H$296=0,"",[1]财务取数接口!$H$296),""))</f>
        <v/>
      </c>
      <c r="H297" s="75" t="str">
        <f>IF($T$4=0,IF($O297="","",$O297),IFERROR(IF([1]财务取数接口!$I$296=0,"",[1]财务取数接口!$I$296),""))</f>
        <v/>
      </c>
      <c r="I297" s="43"/>
      <c r="J297" s="106"/>
      <c r="K297" s="43"/>
      <c r="L297" s="43"/>
      <c r="M297" s="107"/>
      <c r="N297" s="107"/>
      <c r="O297" s="106"/>
      <c r="P297" s="139">
        <f t="shared" si="8"/>
        <v>0</v>
      </c>
      <c r="Q297" s="139">
        <f t="shared" si="9"/>
        <v>5</v>
      </c>
    </row>
    <row r="298" spans="1:17">
      <c r="A298" s="74">
        <v>297</v>
      </c>
      <c r="B298" s="89" t="str">
        <f>IF($T$4=0,IF($I298="","",$I298),IFERROR(IF([1]财务取数接口!$B$297=0,"",[1]财务取数接口!$B$297),""))</f>
        <v/>
      </c>
      <c r="C298" s="75" t="str">
        <f>IF($T$4=0,IF($J298="","",$J298),IFERROR(IF([1]财务取数接口!$C$297=0,"",[1]财务取数接口!$C$297),""))</f>
        <v/>
      </c>
      <c r="D298" s="89" t="str">
        <f>IF($T$4=0,IF($K298="","",$K298),IFERROR(IF([1]财务取数接口!$D$297=0,"",[1]财务取数接口!$D$297),""))</f>
        <v/>
      </c>
      <c r="E298" s="89" t="str">
        <f>IF($T$4=0,IF($L298="","",$L298),IFERROR(IF([1]财务取数接口!$E$297=0,"",[1]财务取数接口!$E$297),""))</f>
        <v/>
      </c>
      <c r="F298" s="76" t="str">
        <f>IF($T$4=0,IF($M298="","",$M298),IFERROR(IF([1]财务取数接口!$G$297=0,"",[1]财务取数接口!$G$297),""))</f>
        <v/>
      </c>
      <c r="G298" s="76" t="str">
        <f>IF($T$4=0,IF($N298="","",$N298),IFERROR(IF([1]财务取数接口!$H$297=0,"",[1]财务取数接口!$H$297),""))</f>
        <v/>
      </c>
      <c r="H298" s="75" t="str">
        <f>IF($T$4=0,IF($O298="","",$O298),IFERROR(IF([1]财务取数接口!$I$297=0,"",[1]财务取数接口!$I$297),""))</f>
        <v/>
      </c>
      <c r="I298" s="43"/>
      <c r="J298" s="106"/>
      <c r="K298" s="43"/>
      <c r="L298" s="43"/>
      <c r="M298" s="107"/>
      <c r="N298" s="107"/>
      <c r="O298" s="106"/>
      <c r="P298" s="139">
        <f t="shared" si="8"/>
        <v>0</v>
      </c>
      <c r="Q298" s="139">
        <f t="shared" si="9"/>
        <v>5</v>
      </c>
    </row>
    <row r="299" spans="1:17">
      <c r="A299" s="74">
        <v>298</v>
      </c>
      <c r="B299" s="89" t="str">
        <f>IF($T$4=0,IF($I299="","",$I299),IFERROR(IF([1]财务取数接口!$B$298=0,"",[1]财务取数接口!$B$298),""))</f>
        <v/>
      </c>
      <c r="C299" s="75" t="str">
        <f>IF($T$4=0,IF($J299="","",$J299),IFERROR(IF([1]财务取数接口!$C$298=0,"",[1]财务取数接口!$C$298),""))</f>
        <v/>
      </c>
      <c r="D299" s="89" t="str">
        <f>IF($T$4=0,IF($K299="","",$K299),IFERROR(IF([1]财务取数接口!$D$298=0,"",[1]财务取数接口!$D$298),""))</f>
        <v/>
      </c>
      <c r="E299" s="89" t="str">
        <f>IF($T$4=0,IF($L299="","",$L299),IFERROR(IF([1]财务取数接口!$E$298=0,"",[1]财务取数接口!$E$298),""))</f>
        <v/>
      </c>
      <c r="F299" s="76" t="str">
        <f>IF($T$4=0,IF($M299="","",$M299),IFERROR(IF([1]财务取数接口!$G$298=0,"",[1]财务取数接口!$G$298),""))</f>
        <v/>
      </c>
      <c r="G299" s="76" t="str">
        <f>IF($T$4=0,IF($N299="","",$N299),IFERROR(IF([1]财务取数接口!$H$298=0,"",[1]财务取数接口!$H$298),""))</f>
        <v/>
      </c>
      <c r="H299" s="75" t="str">
        <f>IF($T$4=0,IF($O299="","",$O299),IFERROR(IF([1]财务取数接口!$I$298=0,"",[1]财务取数接口!$I$298),""))</f>
        <v/>
      </c>
      <c r="I299" s="43"/>
      <c r="J299" s="106"/>
      <c r="K299" s="43"/>
      <c r="L299" s="43"/>
      <c r="M299" s="107"/>
      <c r="N299" s="107"/>
      <c r="O299" s="106"/>
      <c r="P299" s="139">
        <f t="shared" si="8"/>
        <v>0</v>
      </c>
      <c r="Q299" s="139">
        <f t="shared" si="9"/>
        <v>5</v>
      </c>
    </row>
    <row r="300" spans="1:17">
      <c r="A300" s="74">
        <v>299</v>
      </c>
      <c r="B300" s="89" t="str">
        <f>IF($T$4=0,IF($I300="","",$I300),IFERROR(IF([1]财务取数接口!$B$299=0,"",[1]财务取数接口!$B$299),""))</f>
        <v/>
      </c>
      <c r="C300" s="75" t="str">
        <f>IF($T$4=0,IF($J300="","",$J300),IFERROR(IF([1]财务取数接口!$C$299=0,"",[1]财务取数接口!$C$299),""))</f>
        <v/>
      </c>
      <c r="D300" s="89" t="str">
        <f>IF($T$4=0,IF($K300="","",$K300),IFERROR(IF([1]财务取数接口!$D$299=0,"",[1]财务取数接口!$D$299),""))</f>
        <v/>
      </c>
      <c r="E300" s="89" t="str">
        <f>IF($T$4=0,IF($L300="","",$L300),IFERROR(IF([1]财务取数接口!$E$299=0,"",[1]财务取数接口!$E$299),""))</f>
        <v/>
      </c>
      <c r="F300" s="76" t="str">
        <f>IF($T$4=0,IF($M300="","",$M300),IFERROR(IF([1]财务取数接口!$G$299=0,"",[1]财务取数接口!$G$299),""))</f>
        <v/>
      </c>
      <c r="G300" s="76" t="str">
        <f>IF($T$4=0,IF($N300="","",$N300),IFERROR(IF([1]财务取数接口!$H$299=0,"",[1]财务取数接口!$H$299),""))</f>
        <v/>
      </c>
      <c r="H300" s="75" t="str">
        <f>IF($T$4=0,IF($O300="","",$O300),IFERROR(IF([1]财务取数接口!$I$299=0,"",[1]财务取数接口!$I$299),""))</f>
        <v/>
      </c>
      <c r="I300" s="43"/>
      <c r="J300" s="106"/>
      <c r="K300" s="43"/>
      <c r="L300" s="43"/>
      <c r="M300" s="107"/>
      <c r="N300" s="107"/>
      <c r="O300" s="106"/>
      <c r="P300" s="139">
        <f t="shared" si="8"/>
        <v>0</v>
      </c>
      <c r="Q300" s="139">
        <f t="shared" si="9"/>
        <v>5</v>
      </c>
    </row>
    <row r="301" spans="1:17">
      <c r="A301" s="74">
        <v>300</v>
      </c>
      <c r="B301" s="89" t="str">
        <f>IF($T$4=0,IF($I301="","",$I301),IFERROR(IF([1]财务取数接口!$B$300=0,"",[1]财务取数接口!$B$300),""))</f>
        <v/>
      </c>
      <c r="C301" s="75" t="str">
        <f>IF($T$4=0,IF($J301="","",$J301),IFERROR(IF([1]财务取数接口!$C$300=0,"",[1]财务取数接口!$C$300),""))</f>
        <v/>
      </c>
      <c r="D301" s="89" t="str">
        <f>IF($T$4=0,IF($K301="","",$K301),IFERROR(IF([1]财务取数接口!$D$300=0,"",[1]财务取数接口!$D$300),""))</f>
        <v/>
      </c>
      <c r="E301" s="89" t="str">
        <f>IF($T$4=0,IF($L301="","",$L301),IFERROR(IF([1]财务取数接口!$E$300=0,"",[1]财务取数接口!$E$300),""))</f>
        <v/>
      </c>
      <c r="F301" s="76" t="str">
        <f>IF($T$4=0,IF($M301="","",$M301),IFERROR(IF([1]财务取数接口!$G$300=0,"",[1]财务取数接口!$G$300),""))</f>
        <v/>
      </c>
      <c r="G301" s="76" t="str">
        <f>IF($T$4=0,IF($N301="","",$N301),IFERROR(IF([1]财务取数接口!$H$300=0,"",[1]财务取数接口!$H$300),""))</f>
        <v/>
      </c>
      <c r="H301" s="75" t="str">
        <f>IF($T$4=0,IF($O301="","",$O301),IFERROR(IF([1]财务取数接口!$I$300=0,"",[1]财务取数接口!$I$300),""))</f>
        <v/>
      </c>
      <c r="I301" s="43"/>
      <c r="J301" s="106"/>
      <c r="K301" s="43"/>
      <c r="L301" s="43"/>
      <c r="M301" s="107"/>
      <c r="N301" s="107"/>
      <c r="O301" s="106"/>
      <c r="P301" s="139">
        <f t="shared" si="8"/>
        <v>0</v>
      </c>
      <c r="Q301" s="139">
        <f t="shared" si="9"/>
        <v>5</v>
      </c>
    </row>
    <row r="302" spans="1:17">
      <c r="A302" s="74">
        <v>301</v>
      </c>
      <c r="B302" s="89" t="str">
        <f>IF($T$4=0,IF($I302="","",$I302),IFERROR(IF([1]财务取数接口!$B$301=0,"",[1]财务取数接口!$B$301),""))</f>
        <v/>
      </c>
      <c r="C302" s="75" t="str">
        <f>IF($T$4=0,IF($J302="","",$J302),IFERROR(IF([1]财务取数接口!$C$301=0,"",[1]财务取数接口!$C$301),""))</f>
        <v/>
      </c>
      <c r="D302" s="89" t="str">
        <f>IF($T$4=0,IF($K302="","",$K302),IFERROR(IF([1]财务取数接口!$D$301=0,"",[1]财务取数接口!$D$301),""))</f>
        <v/>
      </c>
      <c r="E302" s="89" t="str">
        <f>IF($T$4=0,IF($L302="","",$L302),IFERROR(IF([1]财务取数接口!$E$301=0,"",[1]财务取数接口!$E$301),""))</f>
        <v/>
      </c>
      <c r="F302" s="76" t="str">
        <f>IF($T$4=0,IF($M302="","",$M302),IFERROR(IF([1]财务取数接口!$G$301=0,"",[1]财务取数接口!$G$301),""))</f>
        <v/>
      </c>
      <c r="G302" s="76" t="str">
        <f>IF($T$4=0,IF($N302="","",$N302),IFERROR(IF([1]财务取数接口!$H$301=0,"",[1]财务取数接口!$H$301),""))</f>
        <v/>
      </c>
      <c r="H302" s="75" t="str">
        <f>IF($T$4=0,IF($O302="","",$O302),IFERROR(IF([1]财务取数接口!$I$301=0,"",[1]财务取数接口!$I$301),""))</f>
        <v/>
      </c>
      <c r="I302" s="43"/>
      <c r="J302" s="106"/>
      <c r="K302" s="43"/>
      <c r="L302" s="43"/>
      <c r="M302" s="107"/>
      <c r="N302" s="107"/>
      <c r="O302" s="106"/>
      <c r="P302" s="139">
        <f t="shared" si="8"/>
        <v>0</v>
      </c>
      <c r="Q302" s="139">
        <f t="shared" si="9"/>
        <v>5</v>
      </c>
    </row>
    <row r="303" spans="1:17">
      <c r="A303" s="74">
        <v>302</v>
      </c>
      <c r="B303" s="89" t="str">
        <f>IF($T$4=0,IF($I303="","",$I303),IFERROR(IF([1]财务取数接口!$B$302=0,"",[1]财务取数接口!$B$302),""))</f>
        <v/>
      </c>
      <c r="C303" s="75" t="str">
        <f>IF($T$4=0,IF($J303="","",$J303),IFERROR(IF([1]财务取数接口!$C$302=0,"",[1]财务取数接口!$C$302),""))</f>
        <v/>
      </c>
      <c r="D303" s="89" t="str">
        <f>IF($T$4=0,IF($K303="","",$K303),IFERROR(IF([1]财务取数接口!$D$302=0,"",[1]财务取数接口!$D$302),""))</f>
        <v/>
      </c>
      <c r="E303" s="89" t="str">
        <f>IF($T$4=0,IF($L303="","",$L303),IFERROR(IF([1]财务取数接口!$E$302=0,"",[1]财务取数接口!$E$302),""))</f>
        <v/>
      </c>
      <c r="F303" s="76" t="str">
        <f>IF($T$4=0,IF($M303="","",$M303),IFERROR(IF([1]财务取数接口!$G$302=0,"",[1]财务取数接口!$G$302),""))</f>
        <v/>
      </c>
      <c r="G303" s="76" t="str">
        <f>IF($T$4=0,IF($N303="","",$N303),IFERROR(IF([1]财务取数接口!$H$302=0,"",[1]财务取数接口!$H$302),""))</f>
        <v/>
      </c>
      <c r="H303" s="75" t="str">
        <f>IF($T$4=0,IF($O303="","",$O303),IFERROR(IF([1]财务取数接口!$I$302=0,"",[1]财务取数接口!$I$302),""))</f>
        <v/>
      </c>
      <c r="I303" s="43"/>
      <c r="J303" s="106"/>
      <c r="K303" s="43"/>
      <c r="L303" s="43"/>
      <c r="M303" s="107"/>
      <c r="N303" s="107"/>
      <c r="O303" s="106"/>
      <c r="P303" s="139">
        <f t="shared" si="8"/>
        <v>0</v>
      </c>
      <c r="Q303" s="139">
        <f t="shared" si="9"/>
        <v>5</v>
      </c>
    </row>
    <row r="304" spans="1:17">
      <c r="A304" s="74">
        <v>303</v>
      </c>
      <c r="B304" s="89" t="str">
        <f>IF($T$4=0,IF($I304="","",$I304),IFERROR(IF([1]财务取数接口!$B$303=0,"",[1]财务取数接口!$B$303),""))</f>
        <v/>
      </c>
      <c r="C304" s="75" t="str">
        <f>IF($T$4=0,IF($J304="","",$J304),IFERROR(IF([1]财务取数接口!$C$303=0,"",[1]财务取数接口!$C$303),""))</f>
        <v/>
      </c>
      <c r="D304" s="89" t="str">
        <f>IF($T$4=0,IF($K304="","",$K304),IFERROR(IF([1]财务取数接口!$D$303=0,"",[1]财务取数接口!$D$303),""))</f>
        <v/>
      </c>
      <c r="E304" s="89" t="str">
        <f>IF($T$4=0,IF($L304="","",$L304),IFERROR(IF([1]财务取数接口!$E$303=0,"",[1]财务取数接口!$E$303),""))</f>
        <v/>
      </c>
      <c r="F304" s="76" t="str">
        <f>IF($T$4=0,IF($M304="","",$M304),IFERROR(IF([1]财务取数接口!$G$303=0,"",[1]财务取数接口!$G$303),""))</f>
        <v/>
      </c>
      <c r="G304" s="76" t="str">
        <f>IF($T$4=0,IF($N304="","",$N304),IFERROR(IF([1]财务取数接口!$H$303=0,"",[1]财务取数接口!$H$303),""))</f>
        <v/>
      </c>
      <c r="H304" s="75" t="str">
        <f>IF($T$4=0,IF($O304="","",$O304),IFERROR(IF([1]财务取数接口!$I$303=0,"",[1]财务取数接口!$I$303),""))</f>
        <v/>
      </c>
      <c r="I304" s="43"/>
      <c r="J304" s="106"/>
      <c r="K304" s="43"/>
      <c r="L304" s="43"/>
      <c r="M304" s="107"/>
      <c r="N304" s="107"/>
      <c r="O304" s="106"/>
      <c r="P304" s="139">
        <f t="shared" si="8"/>
        <v>0</v>
      </c>
      <c r="Q304" s="139">
        <f t="shared" si="9"/>
        <v>5</v>
      </c>
    </row>
    <row r="305" spans="1:17">
      <c r="A305" s="74">
        <v>304</v>
      </c>
      <c r="B305" s="89" t="str">
        <f>IF($T$4=0,IF($I305="","",$I305),IFERROR(IF([1]财务取数接口!$B$304=0,"",[1]财务取数接口!$B$304),""))</f>
        <v/>
      </c>
      <c r="C305" s="75" t="str">
        <f>IF($T$4=0,IF($J305="","",$J305),IFERROR(IF([1]财务取数接口!$C$304=0,"",[1]财务取数接口!$C$304),""))</f>
        <v/>
      </c>
      <c r="D305" s="89" t="str">
        <f>IF($T$4=0,IF($K305="","",$K305),IFERROR(IF([1]财务取数接口!$D$304=0,"",[1]财务取数接口!$D$304),""))</f>
        <v/>
      </c>
      <c r="E305" s="89" t="str">
        <f>IF($T$4=0,IF($L305="","",$L305),IFERROR(IF([1]财务取数接口!$E$304=0,"",[1]财务取数接口!$E$304),""))</f>
        <v/>
      </c>
      <c r="F305" s="76" t="str">
        <f>IF($T$4=0,IF($M305="","",$M305),IFERROR(IF([1]财务取数接口!$G$304=0,"",[1]财务取数接口!$G$304),""))</f>
        <v/>
      </c>
      <c r="G305" s="76" t="str">
        <f>IF($T$4=0,IF($N305="","",$N305),IFERROR(IF([1]财务取数接口!$H$304=0,"",[1]财务取数接口!$H$304),""))</f>
        <v/>
      </c>
      <c r="H305" s="75" t="str">
        <f>IF($T$4=0,IF($O305="","",$O305),IFERROR(IF([1]财务取数接口!$I$304=0,"",[1]财务取数接口!$I$304),""))</f>
        <v/>
      </c>
      <c r="I305" s="43"/>
      <c r="J305" s="106"/>
      <c r="K305" s="43"/>
      <c r="L305" s="43"/>
      <c r="M305" s="107"/>
      <c r="N305" s="107"/>
      <c r="O305" s="106"/>
      <c r="P305" s="139">
        <f t="shared" si="8"/>
        <v>0</v>
      </c>
      <c r="Q305" s="139">
        <f t="shared" si="9"/>
        <v>5</v>
      </c>
    </row>
    <row r="306" spans="1:17">
      <c r="A306" s="74">
        <v>305</v>
      </c>
      <c r="B306" s="89" t="str">
        <f>IF($T$4=0,IF($I306="","",$I306),IFERROR(IF([1]财务取数接口!$B$305=0,"",[1]财务取数接口!$B$305),""))</f>
        <v/>
      </c>
      <c r="C306" s="75" t="str">
        <f>IF($T$4=0,IF($J306="","",$J306),IFERROR(IF([1]财务取数接口!$C$305=0,"",[1]财务取数接口!$C$305),""))</f>
        <v/>
      </c>
      <c r="D306" s="89" t="str">
        <f>IF($T$4=0,IF($K306="","",$K306),IFERROR(IF([1]财务取数接口!$D$305=0,"",[1]财务取数接口!$D$305),""))</f>
        <v/>
      </c>
      <c r="E306" s="89" t="str">
        <f>IF($T$4=0,IF($L306="","",$L306),IFERROR(IF([1]财务取数接口!$E$305=0,"",[1]财务取数接口!$E$305),""))</f>
        <v/>
      </c>
      <c r="F306" s="76" t="str">
        <f>IF($T$4=0,IF($M306="","",$M306),IFERROR(IF([1]财务取数接口!$G$305=0,"",[1]财务取数接口!$G$305),""))</f>
        <v/>
      </c>
      <c r="G306" s="76" t="str">
        <f>IF($T$4=0,IF($N306="","",$N306),IFERROR(IF([1]财务取数接口!$H$305=0,"",[1]财务取数接口!$H$305),""))</f>
        <v/>
      </c>
      <c r="H306" s="75" t="str">
        <f>IF($T$4=0,IF($O306="","",$O306),IFERROR(IF([1]财务取数接口!$I$305=0,"",[1]财务取数接口!$I$305),""))</f>
        <v/>
      </c>
      <c r="I306" s="43"/>
      <c r="J306" s="106"/>
      <c r="K306" s="43"/>
      <c r="L306" s="43"/>
      <c r="M306" s="107"/>
      <c r="N306" s="107"/>
      <c r="O306" s="106"/>
      <c r="P306" s="139">
        <f t="shared" si="8"/>
        <v>0</v>
      </c>
      <c r="Q306" s="139">
        <f t="shared" si="9"/>
        <v>5</v>
      </c>
    </row>
    <row r="307" spans="1:17">
      <c r="A307" s="74">
        <v>306</v>
      </c>
      <c r="B307" s="89" t="str">
        <f>IF($T$4=0,IF($I307="","",$I307),IFERROR(IF([1]财务取数接口!$B$306=0,"",[1]财务取数接口!$B$306),""))</f>
        <v/>
      </c>
      <c r="C307" s="75" t="str">
        <f>IF($T$4=0,IF($J307="","",$J307),IFERROR(IF([1]财务取数接口!$C$306=0,"",[1]财务取数接口!$C$306),""))</f>
        <v/>
      </c>
      <c r="D307" s="89" t="str">
        <f>IF($T$4=0,IF($K307="","",$K307),IFERROR(IF([1]财务取数接口!$D$306=0,"",[1]财务取数接口!$D$306),""))</f>
        <v/>
      </c>
      <c r="E307" s="89" t="str">
        <f>IF($T$4=0,IF($L307="","",$L307),IFERROR(IF([1]财务取数接口!$E$306=0,"",[1]财务取数接口!$E$306),""))</f>
        <v/>
      </c>
      <c r="F307" s="76" t="str">
        <f>IF($T$4=0,IF($M307="","",$M307),IFERROR(IF([1]财务取数接口!$G$306=0,"",[1]财务取数接口!$G$306),""))</f>
        <v/>
      </c>
      <c r="G307" s="76" t="str">
        <f>IF($T$4=0,IF($N307="","",$N307),IFERROR(IF([1]财务取数接口!$H$306=0,"",[1]财务取数接口!$H$306),""))</f>
        <v/>
      </c>
      <c r="H307" s="75" t="str">
        <f>IF($T$4=0,IF($O307="","",$O307),IFERROR(IF([1]财务取数接口!$I$306=0,"",[1]财务取数接口!$I$306),""))</f>
        <v/>
      </c>
      <c r="I307" s="43"/>
      <c r="J307" s="106"/>
      <c r="K307" s="43"/>
      <c r="L307" s="43"/>
      <c r="M307" s="107"/>
      <c r="N307" s="107"/>
      <c r="O307" s="106"/>
      <c r="P307" s="139">
        <f t="shared" si="8"/>
        <v>0</v>
      </c>
      <c r="Q307" s="139">
        <f t="shared" si="9"/>
        <v>5</v>
      </c>
    </row>
    <row r="308" spans="1:17">
      <c r="A308" s="74">
        <v>307</v>
      </c>
      <c r="B308" s="89" t="str">
        <f>IF($T$4=0,IF($I308="","",$I308),IFERROR(IF([1]财务取数接口!$B$307=0,"",[1]财务取数接口!$B$307),""))</f>
        <v/>
      </c>
      <c r="C308" s="75" t="str">
        <f>IF($T$4=0,IF($J308="","",$J308),IFERROR(IF([1]财务取数接口!$C$307=0,"",[1]财务取数接口!$C$307),""))</f>
        <v/>
      </c>
      <c r="D308" s="89" t="str">
        <f>IF($T$4=0,IF($K308="","",$K308),IFERROR(IF([1]财务取数接口!$D$307=0,"",[1]财务取数接口!$D$307),""))</f>
        <v/>
      </c>
      <c r="E308" s="89" t="str">
        <f>IF($T$4=0,IF($L308="","",$L308),IFERROR(IF([1]财务取数接口!$E$307=0,"",[1]财务取数接口!$E$307),""))</f>
        <v/>
      </c>
      <c r="F308" s="76" t="str">
        <f>IF($T$4=0,IF($M308="","",$M308),IFERROR(IF([1]财务取数接口!$G$307=0,"",[1]财务取数接口!$G$307),""))</f>
        <v/>
      </c>
      <c r="G308" s="76" t="str">
        <f>IF($T$4=0,IF($N308="","",$N308),IFERROR(IF([1]财务取数接口!$H$307=0,"",[1]财务取数接口!$H$307),""))</f>
        <v/>
      </c>
      <c r="H308" s="75" t="str">
        <f>IF($T$4=0,IF($O308="","",$O308),IFERROR(IF([1]财务取数接口!$I$307=0,"",[1]财务取数接口!$I$307),""))</f>
        <v/>
      </c>
      <c r="I308" s="43"/>
      <c r="J308" s="106"/>
      <c r="K308" s="43"/>
      <c r="L308" s="43"/>
      <c r="M308" s="107"/>
      <c r="N308" s="107"/>
      <c r="O308" s="106"/>
      <c r="P308" s="139">
        <f t="shared" si="8"/>
        <v>0</v>
      </c>
      <c r="Q308" s="139">
        <f t="shared" si="9"/>
        <v>5</v>
      </c>
    </row>
    <row r="309" spans="1:17">
      <c r="A309" s="74">
        <v>308</v>
      </c>
      <c r="B309" s="89" t="str">
        <f>IF($T$4=0,IF($I309="","",$I309),IFERROR(IF([1]财务取数接口!$B$308=0,"",[1]财务取数接口!$B$308),""))</f>
        <v/>
      </c>
      <c r="C309" s="75" t="str">
        <f>IF($T$4=0,IF($J309="","",$J309),IFERROR(IF([1]财务取数接口!$C$308=0,"",[1]财务取数接口!$C$308),""))</f>
        <v/>
      </c>
      <c r="D309" s="89" t="str">
        <f>IF($T$4=0,IF($K309="","",$K309),IFERROR(IF([1]财务取数接口!$D$308=0,"",[1]财务取数接口!$D$308),""))</f>
        <v/>
      </c>
      <c r="E309" s="89" t="str">
        <f>IF($T$4=0,IF($L309="","",$L309),IFERROR(IF([1]财务取数接口!$E$308=0,"",[1]财务取数接口!$E$308),""))</f>
        <v/>
      </c>
      <c r="F309" s="76" t="str">
        <f>IF($T$4=0,IF($M309="","",$M309),IFERROR(IF([1]财务取数接口!$G$308=0,"",[1]财务取数接口!$G$308),""))</f>
        <v/>
      </c>
      <c r="G309" s="76" t="str">
        <f>IF($T$4=0,IF($N309="","",$N309),IFERROR(IF([1]财务取数接口!$H$308=0,"",[1]财务取数接口!$H$308),""))</f>
        <v/>
      </c>
      <c r="H309" s="75" t="str">
        <f>IF($T$4=0,IF($O309="","",$O309),IFERROR(IF([1]财务取数接口!$I$308=0,"",[1]财务取数接口!$I$308),""))</f>
        <v/>
      </c>
      <c r="I309" s="43"/>
      <c r="J309" s="106"/>
      <c r="K309" s="43"/>
      <c r="L309" s="43"/>
      <c r="M309" s="107"/>
      <c r="N309" s="107"/>
      <c r="O309" s="106"/>
      <c r="P309" s="139">
        <f t="shared" si="8"/>
        <v>0</v>
      </c>
      <c r="Q309" s="139">
        <f t="shared" si="9"/>
        <v>5</v>
      </c>
    </row>
    <row r="310" spans="1:17">
      <c r="A310" s="74">
        <v>309</v>
      </c>
      <c r="B310" s="89" t="str">
        <f>IF($T$4=0,IF($I310="","",$I310),IFERROR(IF([1]财务取数接口!$B$309=0,"",[1]财务取数接口!$B$309),""))</f>
        <v/>
      </c>
      <c r="C310" s="75" t="str">
        <f>IF($T$4=0,IF($J310="","",$J310),IFERROR(IF([1]财务取数接口!$C$309=0,"",[1]财务取数接口!$C$309),""))</f>
        <v/>
      </c>
      <c r="D310" s="89" t="str">
        <f>IF($T$4=0,IF($K310="","",$K310),IFERROR(IF([1]财务取数接口!$D$309=0,"",[1]财务取数接口!$D$309),""))</f>
        <v/>
      </c>
      <c r="E310" s="89" t="str">
        <f>IF($T$4=0,IF($L310="","",$L310),IFERROR(IF([1]财务取数接口!$E$309=0,"",[1]财务取数接口!$E$309),""))</f>
        <v/>
      </c>
      <c r="F310" s="76" t="str">
        <f>IF($T$4=0,IF($M310="","",$M310),IFERROR(IF([1]财务取数接口!$G$309=0,"",[1]财务取数接口!$G$309),""))</f>
        <v/>
      </c>
      <c r="G310" s="76" t="str">
        <f>IF($T$4=0,IF($N310="","",$N310),IFERROR(IF([1]财务取数接口!$H$309=0,"",[1]财务取数接口!$H$309),""))</f>
        <v/>
      </c>
      <c r="H310" s="75" t="str">
        <f>IF($T$4=0,IF($O310="","",$O310),IFERROR(IF([1]财务取数接口!$I$309=0,"",[1]财务取数接口!$I$309),""))</f>
        <v/>
      </c>
      <c r="I310" s="43"/>
      <c r="J310" s="106"/>
      <c r="K310" s="43"/>
      <c r="L310" s="43"/>
      <c r="M310" s="107"/>
      <c r="N310" s="107"/>
      <c r="O310" s="106"/>
      <c r="P310" s="139">
        <f t="shared" si="8"/>
        <v>0</v>
      </c>
      <c r="Q310" s="139">
        <f t="shared" si="9"/>
        <v>5</v>
      </c>
    </row>
    <row r="311" spans="1:17">
      <c r="A311" s="74">
        <v>310</v>
      </c>
      <c r="B311" s="89" t="str">
        <f>IF($T$4=0,IF($I311="","",$I311),IFERROR(IF([1]财务取数接口!$B$310=0,"",[1]财务取数接口!$B$310),""))</f>
        <v/>
      </c>
      <c r="C311" s="75" t="str">
        <f>IF($T$4=0,IF($J311="","",$J311),IFERROR(IF([1]财务取数接口!$C$310=0,"",[1]财务取数接口!$C$310),""))</f>
        <v/>
      </c>
      <c r="D311" s="89" t="str">
        <f>IF($T$4=0,IF($K311="","",$K311),IFERROR(IF([1]财务取数接口!$D$310=0,"",[1]财务取数接口!$D$310),""))</f>
        <v/>
      </c>
      <c r="E311" s="89" t="str">
        <f>IF($T$4=0,IF($L311="","",$L311),IFERROR(IF([1]财务取数接口!$E$310=0,"",[1]财务取数接口!$E$310),""))</f>
        <v/>
      </c>
      <c r="F311" s="76" t="str">
        <f>IF($T$4=0,IF($M311="","",$M311),IFERROR(IF([1]财务取数接口!$G$310=0,"",[1]财务取数接口!$G$310),""))</f>
        <v/>
      </c>
      <c r="G311" s="76" t="str">
        <f>IF($T$4=0,IF($N311="","",$N311),IFERROR(IF([1]财务取数接口!$H$310=0,"",[1]财务取数接口!$H$310),""))</f>
        <v/>
      </c>
      <c r="H311" s="75" t="str">
        <f>IF($T$4=0,IF($O311="","",$O311),IFERROR(IF([1]财务取数接口!$I$310=0,"",[1]财务取数接口!$I$310),""))</f>
        <v/>
      </c>
      <c r="I311" s="43"/>
      <c r="J311" s="106"/>
      <c r="K311" s="43"/>
      <c r="L311" s="43"/>
      <c r="M311" s="107"/>
      <c r="N311" s="107"/>
      <c r="O311" s="106"/>
      <c r="P311" s="139">
        <f t="shared" si="8"/>
        <v>0</v>
      </c>
      <c r="Q311" s="139">
        <f t="shared" si="9"/>
        <v>5</v>
      </c>
    </row>
    <row r="312" spans="1:17">
      <c r="A312" s="74">
        <v>311</v>
      </c>
      <c r="B312" s="89" t="str">
        <f>IF($T$4=0,IF($I312="","",$I312),IFERROR(IF([1]财务取数接口!$B$311=0,"",[1]财务取数接口!$B$311),""))</f>
        <v/>
      </c>
      <c r="C312" s="75" t="str">
        <f>IF($T$4=0,IF($J312="","",$J312),IFERROR(IF([1]财务取数接口!$C$311=0,"",[1]财务取数接口!$C$311),""))</f>
        <v/>
      </c>
      <c r="D312" s="89" t="str">
        <f>IF($T$4=0,IF($K312="","",$K312),IFERROR(IF([1]财务取数接口!$D$311=0,"",[1]财务取数接口!$D$311),""))</f>
        <v/>
      </c>
      <c r="E312" s="89" t="str">
        <f>IF($T$4=0,IF($L312="","",$L312),IFERROR(IF([1]财务取数接口!$E$311=0,"",[1]财务取数接口!$E$311),""))</f>
        <v/>
      </c>
      <c r="F312" s="76" t="str">
        <f>IF($T$4=0,IF($M312="","",$M312),IFERROR(IF([1]财务取数接口!$G$311=0,"",[1]财务取数接口!$G$311),""))</f>
        <v/>
      </c>
      <c r="G312" s="76" t="str">
        <f>IF($T$4=0,IF($N312="","",$N312),IFERROR(IF([1]财务取数接口!$H$311=0,"",[1]财务取数接口!$H$311),""))</f>
        <v/>
      </c>
      <c r="H312" s="75" t="str">
        <f>IF($T$4=0,IF($O312="","",$O312),IFERROR(IF([1]财务取数接口!$I$311=0,"",[1]财务取数接口!$I$311),""))</f>
        <v/>
      </c>
      <c r="I312" s="43"/>
      <c r="J312" s="106"/>
      <c r="K312" s="43"/>
      <c r="L312" s="43"/>
      <c r="M312" s="107"/>
      <c r="N312" s="107"/>
      <c r="O312" s="106"/>
      <c r="P312" s="139">
        <f t="shared" si="8"/>
        <v>0</v>
      </c>
      <c r="Q312" s="139">
        <f t="shared" si="9"/>
        <v>5</v>
      </c>
    </row>
    <row r="313" spans="1:17">
      <c r="A313" s="74">
        <v>312</v>
      </c>
      <c r="B313" s="89" t="str">
        <f>IF($T$4=0,IF($I313="","",$I313),IFERROR(IF([1]财务取数接口!$B$312=0,"",[1]财务取数接口!$B$312),""))</f>
        <v/>
      </c>
      <c r="C313" s="75" t="str">
        <f>IF($T$4=0,IF($J313="","",$J313),IFERROR(IF([1]财务取数接口!$C$312=0,"",[1]财务取数接口!$C$312),""))</f>
        <v/>
      </c>
      <c r="D313" s="89" t="str">
        <f>IF($T$4=0,IF($K313="","",$K313),IFERROR(IF([1]财务取数接口!$D$312=0,"",[1]财务取数接口!$D$312),""))</f>
        <v/>
      </c>
      <c r="E313" s="89" t="str">
        <f>IF($T$4=0,IF($L313="","",$L313),IFERROR(IF([1]财务取数接口!$E$312=0,"",[1]财务取数接口!$E$312),""))</f>
        <v/>
      </c>
      <c r="F313" s="76" t="str">
        <f>IF($T$4=0,IF($M313="","",$M313),IFERROR(IF([1]财务取数接口!$G$312=0,"",[1]财务取数接口!$G$312),""))</f>
        <v/>
      </c>
      <c r="G313" s="76" t="str">
        <f>IF($T$4=0,IF($N313="","",$N313),IFERROR(IF([1]财务取数接口!$H$312=0,"",[1]财务取数接口!$H$312),""))</f>
        <v/>
      </c>
      <c r="H313" s="75" t="str">
        <f>IF($T$4=0,IF($O313="","",$O313),IFERROR(IF([1]财务取数接口!$I$312=0,"",[1]财务取数接口!$I$312),""))</f>
        <v/>
      </c>
      <c r="I313" s="43"/>
      <c r="J313" s="106"/>
      <c r="K313" s="43"/>
      <c r="L313" s="43"/>
      <c r="M313" s="107"/>
      <c r="N313" s="107"/>
      <c r="O313" s="106"/>
      <c r="P313" s="139">
        <f t="shared" si="8"/>
        <v>0</v>
      </c>
      <c r="Q313" s="139">
        <f t="shared" si="9"/>
        <v>5</v>
      </c>
    </row>
    <row r="314" spans="1:17">
      <c r="A314" s="74">
        <v>313</v>
      </c>
      <c r="B314" s="89" t="str">
        <f>IF($T$4=0,IF($I314="","",$I314),IFERROR(IF([1]财务取数接口!$B$313=0,"",[1]财务取数接口!$B$313),""))</f>
        <v/>
      </c>
      <c r="C314" s="75" t="str">
        <f>IF($T$4=0,IF($J314="","",$J314),IFERROR(IF([1]财务取数接口!$C$313=0,"",[1]财务取数接口!$C$313),""))</f>
        <v/>
      </c>
      <c r="D314" s="89" t="str">
        <f>IF($T$4=0,IF($K314="","",$K314),IFERROR(IF([1]财务取数接口!$D$313=0,"",[1]财务取数接口!$D$313),""))</f>
        <v/>
      </c>
      <c r="E314" s="89" t="str">
        <f>IF($T$4=0,IF($L314="","",$L314),IFERROR(IF([1]财务取数接口!$E$313=0,"",[1]财务取数接口!$E$313),""))</f>
        <v/>
      </c>
      <c r="F314" s="76" t="str">
        <f>IF($T$4=0,IF($M314="","",$M314),IFERROR(IF([1]财务取数接口!$G$313=0,"",[1]财务取数接口!$G$313),""))</f>
        <v/>
      </c>
      <c r="G314" s="76" t="str">
        <f>IF($T$4=0,IF($N314="","",$N314),IFERROR(IF([1]财务取数接口!$H$313=0,"",[1]财务取数接口!$H$313),""))</f>
        <v/>
      </c>
      <c r="H314" s="75" t="str">
        <f>IF($T$4=0,IF($O314="","",$O314),IFERROR(IF([1]财务取数接口!$I$313=0,"",[1]财务取数接口!$I$313),""))</f>
        <v/>
      </c>
      <c r="I314" s="43"/>
      <c r="J314" s="106"/>
      <c r="K314" s="43"/>
      <c r="L314" s="43"/>
      <c r="M314" s="107"/>
      <c r="N314" s="107"/>
      <c r="O314" s="106"/>
      <c r="P314" s="139">
        <f t="shared" si="8"/>
        <v>0</v>
      </c>
      <c r="Q314" s="139">
        <f t="shared" si="9"/>
        <v>5</v>
      </c>
    </row>
    <row r="315" spans="1:17">
      <c r="A315" s="74">
        <v>314</v>
      </c>
      <c r="B315" s="89" t="str">
        <f>IF($T$4=0,IF($I315="","",$I315),IFERROR(IF([1]财务取数接口!$B$314=0,"",[1]财务取数接口!$B$314),""))</f>
        <v/>
      </c>
      <c r="C315" s="75" t="str">
        <f>IF($T$4=0,IF($J315="","",$J315),IFERROR(IF([1]财务取数接口!$C$314=0,"",[1]财务取数接口!$C$314),""))</f>
        <v/>
      </c>
      <c r="D315" s="89" t="str">
        <f>IF($T$4=0,IF($K315="","",$K315),IFERROR(IF([1]财务取数接口!$D$314=0,"",[1]财务取数接口!$D$314),""))</f>
        <v/>
      </c>
      <c r="E315" s="89" t="str">
        <f>IF($T$4=0,IF($L315="","",$L315),IFERROR(IF([1]财务取数接口!$E$314=0,"",[1]财务取数接口!$E$314),""))</f>
        <v/>
      </c>
      <c r="F315" s="76" t="str">
        <f>IF($T$4=0,IF($M315="","",$M315),IFERROR(IF([1]财务取数接口!$G$314=0,"",[1]财务取数接口!$G$314),""))</f>
        <v/>
      </c>
      <c r="G315" s="76" t="str">
        <f>IF($T$4=0,IF($N315="","",$N315),IFERROR(IF([1]财务取数接口!$H$314=0,"",[1]财务取数接口!$H$314),""))</f>
        <v/>
      </c>
      <c r="H315" s="75" t="str">
        <f>IF($T$4=0,IF($O315="","",$O315),IFERROR(IF([1]财务取数接口!$I$314=0,"",[1]财务取数接口!$I$314),""))</f>
        <v/>
      </c>
      <c r="I315" s="43"/>
      <c r="J315" s="106"/>
      <c r="K315" s="43"/>
      <c r="L315" s="43"/>
      <c r="M315" s="107"/>
      <c r="N315" s="107"/>
      <c r="O315" s="106"/>
      <c r="P315" s="139">
        <f t="shared" si="8"/>
        <v>0</v>
      </c>
      <c r="Q315" s="139">
        <f t="shared" si="9"/>
        <v>5</v>
      </c>
    </row>
    <row r="316" spans="1:17">
      <c r="A316" s="74">
        <v>315</v>
      </c>
      <c r="B316" s="89" t="str">
        <f>IF($T$4=0,IF($I316="","",$I316),IFERROR(IF([1]财务取数接口!$B$315=0,"",[1]财务取数接口!$B$315),""))</f>
        <v/>
      </c>
      <c r="C316" s="75" t="str">
        <f>IF($T$4=0,IF($J316="","",$J316),IFERROR(IF([1]财务取数接口!$C$315=0,"",[1]财务取数接口!$C$315),""))</f>
        <v/>
      </c>
      <c r="D316" s="89" t="str">
        <f>IF($T$4=0,IF($K316="","",$K316),IFERROR(IF([1]财务取数接口!$D$315=0,"",[1]财务取数接口!$D$315),""))</f>
        <v/>
      </c>
      <c r="E316" s="89" t="str">
        <f>IF($T$4=0,IF($L316="","",$L316),IFERROR(IF([1]财务取数接口!$E$315=0,"",[1]财务取数接口!$E$315),""))</f>
        <v/>
      </c>
      <c r="F316" s="76" t="str">
        <f>IF($T$4=0,IF($M316="","",$M316),IFERROR(IF([1]财务取数接口!$G$315=0,"",[1]财务取数接口!$G$315),""))</f>
        <v/>
      </c>
      <c r="G316" s="76" t="str">
        <f>IF($T$4=0,IF($N316="","",$N316),IFERROR(IF([1]财务取数接口!$H$315=0,"",[1]财务取数接口!$H$315),""))</f>
        <v/>
      </c>
      <c r="H316" s="75" t="str">
        <f>IF($T$4=0,IF($O316="","",$O316),IFERROR(IF([1]财务取数接口!$I$315=0,"",[1]财务取数接口!$I$315),""))</f>
        <v/>
      </c>
      <c r="I316" s="43"/>
      <c r="J316" s="106"/>
      <c r="K316" s="43"/>
      <c r="L316" s="43"/>
      <c r="M316" s="107"/>
      <c r="N316" s="107"/>
      <c r="O316" s="106"/>
      <c r="P316" s="139">
        <f t="shared" si="8"/>
        <v>0</v>
      </c>
      <c r="Q316" s="139">
        <f t="shared" si="9"/>
        <v>5</v>
      </c>
    </row>
    <row r="317" spans="1:17">
      <c r="A317" s="74">
        <v>316</v>
      </c>
      <c r="B317" s="89" t="str">
        <f>IF($T$4=0,IF($I317="","",$I317),IFERROR(IF([1]财务取数接口!$B$316=0,"",[1]财务取数接口!$B$316),""))</f>
        <v/>
      </c>
      <c r="C317" s="75" t="str">
        <f>IF($T$4=0,IF($J317="","",$J317),IFERROR(IF([1]财务取数接口!$C$316=0,"",[1]财务取数接口!$C$316),""))</f>
        <v/>
      </c>
      <c r="D317" s="89" t="str">
        <f>IF($T$4=0,IF($K317="","",$K317),IFERROR(IF([1]财务取数接口!$D$316=0,"",[1]财务取数接口!$D$316),""))</f>
        <v/>
      </c>
      <c r="E317" s="89" t="str">
        <f>IF($T$4=0,IF($L317="","",$L317),IFERROR(IF([1]财务取数接口!$E$316=0,"",[1]财务取数接口!$E$316),""))</f>
        <v/>
      </c>
      <c r="F317" s="76" t="str">
        <f>IF($T$4=0,IF($M317="","",$M317),IFERROR(IF([1]财务取数接口!$G$316=0,"",[1]财务取数接口!$G$316),""))</f>
        <v/>
      </c>
      <c r="G317" s="76" t="str">
        <f>IF($T$4=0,IF($N317="","",$N317),IFERROR(IF([1]财务取数接口!$H$316=0,"",[1]财务取数接口!$H$316),""))</f>
        <v/>
      </c>
      <c r="H317" s="75" t="str">
        <f>IF($T$4=0,IF($O317="","",$O317),IFERROR(IF([1]财务取数接口!$I$316=0,"",[1]财务取数接口!$I$316),""))</f>
        <v/>
      </c>
      <c r="I317" s="43"/>
      <c r="J317" s="106"/>
      <c r="K317" s="43"/>
      <c r="L317" s="43"/>
      <c r="M317" s="107"/>
      <c r="N317" s="107"/>
      <c r="O317" s="106"/>
      <c r="P317" s="139">
        <f t="shared" si="8"/>
        <v>0</v>
      </c>
      <c r="Q317" s="139">
        <f t="shared" si="9"/>
        <v>5</v>
      </c>
    </row>
    <row r="318" spans="1:17">
      <c r="A318" s="74">
        <v>317</v>
      </c>
      <c r="B318" s="89" t="str">
        <f>IF($T$4=0,IF($I318="","",$I318),IFERROR(IF([1]财务取数接口!$B$317=0,"",[1]财务取数接口!$B$317),""))</f>
        <v/>
      </c>
      <c r="C318" s="75" t="str">
        <f>IF($T$4=0,IF($J318="","",$J318),IFERROR(IF([1]财务取数接口!$C$317=0,"",[1]财务取数接口!$C$317),""))</f>
        <v/>
      </c>
      <c r="D318" s="89" t="str">
        <f>IF($T$4=0,IF($K318="","",$K318),IFERROR(IF([1]财务取数接口!$D$317=0,"",[1]财务取数接口!$D$317),""))</f>
        <v/>
      </c>
      <c r="E318" s="89" t="str">
        <f>IF($T$4=0,IF($L318="","",$L318),IFERROR(IF([1]财务取数接口!$E$317=0,"",[1]财务取数接口!$E$317),""))</f>
        <v/>
      </c>
      <c r="F318" s="76" t="str">
        <f>IF($T$4=0,IF($M318="","",$M318),IFERROR(IF([1]财务取数接口!$G$317=0,"",[1]财务取数接口!$G$317),""))</f>
        <v/>
      </c>
      <c r="G318" s="76" t="str">
        <f>IF($T$4=0,IF($N318="","",$N318),IFERROR(IF([1]财务取数接口!$H$317=0,"",[1]财务取数接口!$H$317),""))</f>
        <v/>
      </c>
      <c r="H318" s="75" t="str">
        <f>IF($T$4=0,IF($O318="","",$O318),IFERROR(IF([1]财务取数接口!$I$317=0,"",[1]财务取数接口!$I$317),""))</f>
        <v/>
      </c>
      <c r="I318" s="43"/>
      <c r="J318" s="106"/>
      <c r="K318" s="43"/>
      <c r="L318" s="43"/>
      <c r="M318" s="107"/>
      <c r="N318" s="107"/>
      <c r="O318" s="106"/>
      <c r="P318" s="139">
        <f t="shared" si="8"/>
        <v>0</v>
      </c>
      <c r="Q318" s="139">
        <f t="shared" si="9"/>
        <v>5</v>
      </c>
    </row>
    <row r="319" spans="1:17">
      <c r="A319" s="74">
        <v>318</v>
      </c>
      <c r="B319" s="89" t="str">
        <f>IF($T$4=0,IF($I319="","",$I319),IFERROR(IF([1]财务取数接口!$B$318=0,"",[1]财务取数接口!$B$318),""))</f>
        <v/>
      </c>
      <c r="C319" s="75" t="str">
        <f>IF($T$4=0,IF($J319="","",$J319),IFERROR(IF([1]财务取数接口!$C$318=0,"",[1]财务取数接口!$C$318),""))</f>
        <v/>
      </c>
      <c r="D319" s="89" t="str">
        <f>IF($T$4=0,IF($K319="","",$K319),IFERROR(IF([1]财务取数接口!$D$318=0,"",[1]财务取数接口!$D$318),""))</f>
        <v/>
      </c>
      <c r="E319" s="89" t="str">
        <f>IF($T$4=0,IF($L319="","",$L319),IFERROR(IF([1]财务取数接口!$E$318=0,"",[1]财务取数接口!$E$318),""))</f>
        <v/>
      </c>
      <c r="F319" s="76" t="str">
        <f>IF($T$4=0,IF($M319="","",$M319),IFERROR(IF([1]财务取数接口!$G$318=0,"",[1]财务取数接口!$G$318),""))</f>
        <v/>
      </c>
      <c r="G319" s="76" t="str">
        <f>IF($T$4=0,IF($N319="","",$N319),IFERROR(IF([1]财务取数接口!$H$318=0,"",[1]财务取数接口!$H$318),""))</f>
        <v/>
      </c>
      <c r="H319" s="75" t="str">
        <f>IF($T$4=0,IF($O319="","",$O319),IFERROR(IF([1]财务取数接口!$I$318=0,"",[1]财务取数接口!$I$318),""))</f>
        <v/>
      </c>
      <c r="I319" s="43"/>
      <c r="J319" s="106"/>
      <c r="K319" s="43"/>
      <c r="L319" s="43"/>
      <c r="M319" s="107"/>
      <c r="N319" s="107"/>
      <c r="O319" s="106"/>
      <c r="P319" s="139">
        <f t="shared" si="8"/>
        <v>0</v>
      </c>
      <c r="Q319" s="139">
        <f t="shared" si="9"/>
        <v>5</v>
      </c>
    </row>
    <row r="320" spans="1:17">
      <c r="A320" s="74">
        <v>319</v>
      </c>
      <c r="B320" s="89" t="str">
        <f>IF($T$4=0,IF($I320="","",$I320),IFERROR(IF([1]财务取数接口!$B$319=0,"",[1]财务取数接口!$B$319),""))</f>
        <v/>
      </c>
      <c r="C320" s="75" t="str">
        <f>IF($T$4=0,IF($J320="","",$J320),IFERROR(IF([1]财务取数接口!$C$319=0,"",[1]财务取数接口!$C$319),""))</f>
        <v/>
      </c>
      <c r="D320" s="89" t="str">
        <f>IF($T$4=0,IF($K320="","",$K320),IFERROR(IF([1]财务取数接口!$D$319=0,"",[1]财务取数接口!$D$319),""))</f>
        <v/>
      </c>
      <c r="E320" s="89" t="str">
        <f>IF($T$4=0,IF($L320="","",$L320),IFERROR(IF([1]财务取数接口!$E$319=0,"",[1]财务取数接口!$E$319),""))</f>
        <v/>
      </c>
      <c r="F320" s="76" t="str">
        <f>IF($T$4=0,IF($M320="","",$M320),IFERROR(IF([1]财务取数接口!$G$319=0,"",[1]财务取数接口!$G$319),""))</f>
        <v/>
      </c>
      <c r="G320" s="76" t="str">
        <f>IF($T$4=0,IF($N320="","",$N320),IFERROR(IF([1]财务取数接口!$H$319=0,"",[1]财务取数接口!$H$319),""))</f>
        <v/>
      </c>
      <c r="H320" s="75" t="str">
        <f>IF($T$4=0,IF($O320="","",$O320),IFERROR(IF([1]财务取数接口!$I$319=0,"",[1]财务取数接口!$I$319),""))</f>
        <v/>
      </c>
      <c r="I320" s="43"/>
      <c r="J320" s="106"/>
      <c r="K320" s="43"/>
      <c r="L320" s="43"/>
      <c r="M320" s="107"/>
      <c r="N320" s="107"/>
      <c r="O320" s="106"/>
      <c r="P320" s="139">
        <f t="shared" si="8"/>
        <v>0</v>
      </c>
      <c r="Q320" s="139">
        <f t="shared" si="9"/>
        <v>5</v>
      </c>
    </row>
    <row r="321" spans="1:17">
      <c r="A321" s="74">
        <v>320</v>
      </c>
      <c r="B321" s="89" t="str">
        <f>IF($T$4=0,IF($I321="","",$I321),IFERROR(IF([1]财务取数接口!$B$320=0,"",[1]财务取数接口!$B$320),""))</f>
        <v/>
      </c>
      <c r="C321" s="75" t="str">
        <f>IF($T$4=0,IF($J321="","",$J321),IFERROR(IF([1]财务取数接口!$C$320=0,"",[1]财务取数接口!$C$320),""))</f>
        <v/>
      </c>
      <c r="D321" s="89" t="str">
        <f>IF($T$4=0,IF($K321="","",$K321),IFERROR(IF([1]财务取数接口!$D$320=0,"",[1]财务取数接口!$D$320),""))</f>
        <v/>
      </c>
      <c r="E321" s="89" t="str">
        <f>IF($T$4=0,IF($L321="","",$L321),IFERROR(IF([1]财务取数接口!$E$320=0,"",[1]财务取数接口!$E$320),""))</f>
        <v/>
      </c>
      <c r="F321" s="76" t="str">
        <f>IF($T$4=0,IF($M321="","",$M321),IFERROR(IF([1]财务取数接口!$G$320=0,"",[1]财务取数接口!$G$320),""))</f>
        <v/>
      </c>
      <c r="G321" s="76" t="str">
        <f>IF($T$4=0,IF($N321="","",$N321),IFERROR(IF([1]财务取数接口!$H$320=0,"",[1]财务取数接口!$H$320),""))</f>
        <v/>
      </c>
      <c r="H321" s="75" t="str">
        <f>IF($T$4=0,IF($O321="","",$O321),IFERROR(IF([1]财务取数接口!$I$320=0,"",[1]财务取数接口!$I$320),""))</f>
        <v/>
      </c>
      <c r="I321" s="43"/>
      <c r="J321" s="106"/>
      <c r="K321" s="43"/>
      <c r="L321" s="43"/>
      <c r="M321" s="107"/>
      <c r="N321" s="107"/>
      <c r="O321" s="106"/>
      <c r="P321" s="139">
        <f t="shared" si="8"/>
        <v>0</v>
      </c>
      <c r="Q321" s="139">
        <f t="shared" si="9"/>
        <v>5</v>
      </c>
    </row>
    <row r="322" spans="1:17">
      <c r="A322" s="74">
        <v>321</v>
      </c>
      <c r="B322" s="89" t="str">
        <f>IF($T$4=0,IF($I322="","",$I322),IFERROR(IF([1]财务取数接口!$B$321=0,"",[1]财务取数接口!$B$321),""))</f>
        <v/>
      </c>
      <c r="C322" s="75" t="str">
        <f>IF($T$4=0,IF($J322="","",$J322),IFERROR(IF([1]财务取数接口!$C$321=0,"",[1]财务取数接口!$C$321),""))</f>
        <v/>
      </c>
      <c r="D322" s="89" t="str">
        <f>IF($T$4=0,IF($K322="","",$K322),IFERROR(IF([1]财务取数接口!$D$321=0,"",[1]财务取数接口!$D$321),""))</f>
        <v/>
      </c>
      <c r="E322" s="89" t="str">
        <f>IF($T$4=0,IF($L322="","",$L322),IFERROR(IF([1]财务取数接口!$E$321=0,"",[1]财务取数接口!$E$321),""))</f>
        <v/>
      </c>
      <c r="F322" s="76" t="str">
        <f>IF($T$4=0,IF($M322="","",$M322),IFERROR(IF([1]财务取数接口!$G$321=0,"",[1]财务取数接口!$G$321),""))</f>
        <v/>
      </c>
      <c r="G322" s="76" t="str">
        <f>IF($T$4=0,IF($N322="","",$N322),IFERROR(IF([1]财务取数接口!$H$321=0,"",[1]财务取数接口!$H$321),""))</f>
        <v/>
      </c>
      <c r="H322" s="75" t="str">
        <f>IF($T$4=0,IF($O322="","",$O322),IFERROR(IF([1]财务取数接口!$I$321=0,"",[1]财务取数接口!$I$321),""))</f>
        <v/>
      </c>
      <c r="I322" s="43"/>
      <c r="J322" s="106"/>
      <c r="K322" s="43"/>
      <c r="L322" s="43"/>
      <c r="M322" s="107"/>
      <c r="N322" s="107"/>
      <c r="O322" s="106"/>
      <c r="P322" s="139">
        <f t="shared" si="8"/>
        <v>0</v>
      </c>
      <c r="Q322" s="139">
        <f t="shared" si="9"/>
        <v>5</v>
      </c>
    </row>
    <row r="323" spans="1:17">
      <c r="A323" s="74">
        <v>322</v>
      </c>
      <c r="B323" s="89" t="str">
        <f>IF($T$4=0,IF($I323="","",$I323),IFERROR(IF([1]财务取数接口!$B$322=0,"",[1]财务取数接口!$B$322),""))</f>
        <v/>
      </c>
      <c r="C323" s="75" t="str">
        <f>IF($T$4=0,IF($J323="","",$J323),IFERROR(IF([1]财务取数接口!$C$322=0,"",[1]财务取数接口!$C$322),""))</f>
        <v/>
      </c>
      <c r="D323" s="89" t="str">
        <f>IF($T$4=0,IF($K323="","",$K323),IFERROR(IF([1]财务取数接口!$D$322=0,"",[1]财务取数接口!$D$322),""))</f>
        <v/>
      </c>
      <c r="E323" s="89" t="str">
        <f>IF($T$4=0,IF($L323="","",$L323),IFERROR(IF([1]财务取数接口!$E$322=0,"",[1]财务取数接口!$E$322),""))</f>
        <v/>
      </c>
      <c r="F323" s="76" t="str">
        <f>IF($T$4=0,IF($M323="","",$M323),IFERROR(IF([1]财务取数接口!$G$322=0,"",[1]财务取数接口!$G$322),""))</f>
        <v/>
      </c>
      <c r="G323" s="76" t="str">
        <f>IF($T$4=0,IF($N323="","",$N323),IFERROR(IF([1]财务取数接口!$H$322=0,"",[1]财务取数接口!$H$322),""))</f>
        <v/>
      </c>
      <c r="H323" s="75" t="str">
        <f>IF($T$4=0,IF($O323="","",$O323),IFERROR(IF([1]财务取数接口!$I$322=0,"",[1]财务取数接口!$I$322),""))</f>
        <v/>
      </c>
      <c r="I323" s="43"/>
      <c r="J323" s="106"/>
      <c r="K323" s="43"/>
      <c r="L323" s="43"/>
      <c r="M323" s="107"/>
      <c r="N323" s="107"/>
      <c r="O323" s="106"/>
      <c r="P323" s="139">
        <f t="shared" si="8"/>
        <v>0</v>
      </c>
      <c r="Q323" s="139">
        <f t="shared" si="9"/>
        <v>5</v>
      </c>
    </row>
    <row r="324" spans="1:17">
      <c r="A324" s="74">
        <v>323</v>
      </c>
      <c r="B324" s="89" t="str">
        <f>IF($T$4=0,IF($I324="","",$I324),IFERROR(IF([1]财务取数接口!$B$323=0,"",[1]财务取数接口!$B$323),""))</f>
        <v/>
      </c>
      <c r="C324" s="75" t="str">
        <f>IF($T$4=0,IF($J324="","",$J324),IFERROR(IF([1]财务取数接口!$C$323=0,"",[1]财务取数接口!$C$323),""))</f>
        <v/>
      </c>
      <c r="D324" s="89" t="str">
        <f>IF($T$4=0,IF($K324="","",$K324),IFERROR(IF([1]财务取数接口!$D$323=0,"",[1]财务取数接口!$D$323),""))</f>
        <v/>
      </c>
      <c r="E324" s="89" t="str">
        <f>IF($T$4=0,IF($L324="","",$L324),IFERROR(IF([1]财务取数接口!$E$323=0,"",[1]财务取数接口!$E$323),""))</f>
        <v/>
      </c>
      <c r="F324" s="76" t="str">
        <f>IF($T$4=0,IF($M324="","",$M324),IFERROR(IF([1]财务取数接口!$G$323=0,"",[1]财务取数接口!$G$323),""))</f>
        <v/>
      </c>
      <c r="G324" s="76" t="str">
        <f>IF($T$4=0,IF($N324="","",$N324),IFERROR(IF([1]财务取数接口!$H$323=0,"",[1]财务取数接口!$H$323),""))</f>
        <v/>
      </c>
      <c r="H324" s="75" t="str">
        <f>IF($T$4=0,IF($O324="","",$O324),IFERROR(IF([1]财务取数接口!$I$323=0,"",[1]财务取数接口!$I$323),""))</f>
        <v/>
      </c>
      <c r="I324" s="43"/>
      <c r="J324" s="106"/>
      <c r="K324" s="43"/>
      <c r="L324" s="43"/>
      <c r="M324" s="107"/>
      <c r="N324" s="107"/>
      <c r="O324" s="106"/>
      <c r="P324" s="139">
        <f t="shared" si="8"/>
        <v>0</v>
      </c>
      <c r="Q324" s="139">
        <f t="shared" si="9"/>
        <v>5</v>
      </c>
    </row>
    <row r="325" spans="1:17">
      <c r="A325" s="74">
        <v>324</v>
      </c>
      <c r="B325" s="89" t="str">
        <f>IF($T$4=0,IF($I325="","",$I325),IFERROR(IF([1]财务取数接口!$B$324=0,"",[1]财务取数接口!$B$324),""))</f>
        <v/>
      </c>
      <c r="C325" s="75" t="str">
        <f>IF($T$4=0,IF($J325="","",$J325),IFERROR(IF([1]财务取数接口!$C$324=0,"",[1]财务取数接口!$C$324),""))</f>
        <v/>
      </c>
      <c r="D325" s="89" t="str">
        <f>IF($T$4=0,IF($K325="","",$K325),IFERROR(IF([1]财务取数接口!$D$324=0,"",[1]财务取数接口!$D$324),""))</f>
        <v/>
      </c>
      <c r="E325" s="89" t="str">
        <f>IF($T$4=0,IF($L325="","",$L325),IFERROR(IF([1]财务取数接口!$E$324=0,"",[1]财务取数接口!$E$324),""))</f>
        <v/>
      </c>
      <c r="F325" s="76" t="str">
        <f>IF($T$4=0,IF($M325="","",$M325),IFERROR(IF([1]财务取数接口!$G$324=0,"",[1]财务取数接口!$G$324),""))</f>
        <v/>
      </c>
      <c r="G325" s="76" t="str">
        <f>IF($T$4=0,IF($N325="","",$N325),IFERROR(IF([1]财务取数接口!$H$324=0,"",[1]财务取数接口!$H$324),""))</f>
        <v/>
      </c>
      <c r="H325" s="75" t="str">
        <f>IF($T$4=0,IF($O325="","",$O325),IFERROR(IF([1]财务取数接口!$I$324=0,"",[1]财务取数接口!$I$324),""))</f>
        <v/>
      </c>
      <c r="I325" s="43"/>
      <c r="J325" s="106"/>
      <c r="K325" s="43"/>
      <c r="L325" s="43"/>
      <c r="M325" s="107"/>
      <c r="N325" s="107"/>
      <c r="O325" s="106"/>
      <c r="P325" s="139">
        <f t="shared" ref="P325:P388" si="10">IF(AND($C325&lt;&gt;"",$C325&lt;&gt;"项目",OR(N($D325)&lt;&gt;0,N($E325)&lt;&gt;0,N($F325)&lt;&gt;0)),1,0)</f>
        <v>0</v>
      </c>
      <c r="Q325" s="139">
        <f t="shared" ref="Q325:Q388" si="11">N(Q324)+$P325</f>
        <v>5</v>
      </c>
    </row>
    <row r="326" spans="1:17">
      <c r="A326" s="74">
        <v>325</v>
      </c>
      <c r="B326" s="89" t="str">
        <f>IF($T$4=0,IF($I326="","",$I326),IFERROR(IF([1]财务取数接口!$B$325=0,"",[1]财务取数接口!$B$325),""))</f>
        <v/>
      </c>
      <c r="C326" s="75" t="str">
        <f>IF($T$4=0,IF($J326="","",$J326),IFERROR(IF([1]财务取数接口!$C$325=0,"",[1]财务取数接口!$C$325),""))</f>
        <v/>
      </c>
      <c r="D326" s="89" t="str">
        <f>IF($T$4=0,IF($K326="","",$K326),IFERROR(IF([1]财务取数接口!$D$325=0,"",[1]财务取数接口!$D$325),""))</f>
        <v/>
      </c>
      <c r="E326" s="89" t="str">
        <f>IF($T$4=0,IF($L326="","",$L326),IFERROR(IF([1]财务取数接口!$E$325=0,"",[1]财务取数接口!$E$325),""))</f>
        <v/>
      </c>
      <c r="F326" s="76" t="str">
        <f>IF($T$4=0,IF($M326="","",$M326),IFERROR(IF([1]财务取数接口!$G$325=0,"",[1]财务取数接口!$G$325),""))</f>
        <v/>
      </c>
      <c r="G326" s="76" t="str">
        <f>IF($T$4=0,IF($N326="","",$N326),IFERROR(IF([1]财务取数接口!$H$325=0,"",[1]财务取数接口!$H$325),""))</f>
        <v/>
      </c>
      <c r="H326" s="75" t="str">
        <f>IF($T$4=0,IF($O326="","",$O326),IFERROR(IF([1]财务取数接口!$I$325=0,"",[1]财务取数接口!$I$325),""))</f>
        <v/>
      </c>
      <c r="I326" s="43"/>
      <c r="J326" s="106"/>
      <c r="K326" s="43"/>
      <c r="L326" s="43"/>
      <c r="M326" s="107"/>
      <c r="N326" s="107"/>
      <c r="O326" s="106"/>
      <c r="P326" s="139">
        <f t="shared" si="10"/>
        <v>0</v>
      </c>
      <c r="Q326" s="139">
        <f t="shared" si="11"/>
        <v>5</v>
      </c>
    </row>
    <row r="327" spans="1:17">
      <c r="A327" s="74">
        <v>326</v>
      </c>
      <c r="B327" s="89" t="str">
        <f>IF($T$4=0,IF($I327="","",$I327),IFERROR(IF([1]财务取数接口!$B$326=0,"",[1]财务取数接口!$B$326),""))</f>
        <v/>
      </c>
      <c r="C327" s="75" t="str">
        <f>IF($T$4=0,IF($J327="","",$J327),IFERROR(IF([1]财务取数接口!$C$326=0,"",[1]财务取数接口!$C$326),""))</f>
        <v/>
      </c>
      <c r="D327" s="89" t="str">
        <f>IF($T$4=0,IF($K327="","",$K327),IFERROR(IF([1]财务取数接口!$D$326=0,"",[1]财务取数接口!$D$326),""))</f>
        <v/>
      </c>
      <c r="E327" s="89" t="str">
        <f>IF($T$4=0,IF($L327="","",$L327),IFERROR(IF([1]财务取数接口!$E$326=0,"",[1]财务取数接口!$E$326),""))</f>
        <v/>
      </c>
      <c r="F327" s="76" t="str">
        <f>IF($T$4=0,IF($M327="","",$M327),IFERROR(IF([1]财务取数接口!$G$326=0,"",[1]财务取数接口!$G$326),""))</f>
        <v/>
      </c>
      <c r="G327" s="76" t="str">
        <f>IF($T$4=0,IF($N327="","",$N327),IFERROR(IF([1]财务取数接口!$H$326=0,"",[1]财务取数接口!$H$326),""))</f>
        <v/>
      </c>
      <c r="H327" s="75" t="str">
        <f>IF($T$4=0,IF($O327="","",$O327),IFERROR(IF([1]财务取数接口!$I$326=0,"",[1]财务取数接口!$I$326),""))</f>
        <v/>
      </c>
      <c r="I327" s="43"/>
      <c r="J327" s="106"/>
      <c r="K327" s="43"/>
      <c r="L327" s="43"/>
      <c r="M327" s="107"/>
      <c r="N327" s="107"/>
      <c r="O327" s="106"/>
      <c r="P327" s="139">
        <f t="shared" si="10"/>
        <v>0</v>
      </c>
      <c r="Q327" s="139">
        <f t="shared" si="11"/>
        <v>5</v>
      </c>
    </row>
    <row r="328" spans="1:17">
      <c r="A328" s="74">
        <v>327</v>
      </c>
      <c r="B328" s="89" t="str">
        <f>IF($T$4=0,IF($I328="","",$I328),IFERROR(IF([1]财务取数接口!$B$327=0,"",[1]财务取数接口!$B$327),""))</f>
        <v/>
      </c>
      <c r="C328" s="75" t="str">
        <f>IF($T$4=0,IF($J328="","",$J328),IFERROR(IF([1]财务取数接口!$C$327=0,"",[1]财务取数接口!$C$327),""))</f>
        <v/>
      </c>
      <c r="D328" s="89" t="str">
        <f>IF($T$4=0,IF($K328="","",$K328),IFERROR(IF([1]财务取数接口!$D$327=0,"",[1]财务取数接口!$D$327),""))</f>
        <v/>
      </c>
      <c r="E328" s="89" t="str">
        <f>IF($T$4=0,IF($L328="","",$L328),IFERROR(IF([1]财务取数接口!$E$327=0,"",[1]财务取数接口!$E$327),""))</f>
        <v/>
      </c>
      <c r="F328" s="76" t="str">
        <f>IF($T$4=0,IF($M328="","",$M328),IFERROR(IF([1]财务取数接口!$G$327=0,"",[1]财务取数接口!$G$327),""))</f>
        <v/>
      </c>
      <c r="G328" s="76" t="str">
        <f>IF($T$4=0,IF($N328="","",$N328),IFERROR(IF([1]财务取数接口!$H$327=0,"",[1]财务取数接口!$H$327),""))</f>
        <v/>
      </c>
      <c r="H328" s="75" t="str">
        <f>IF($T$4=0,IF($O328="","",$O328),IFERROR(IF([1]财务取数接口!$I$327=0,"",[1]财务取数接口!$I$327),""))</f>
        <v/>
      </c>
      <c r="I328" s="43"/>
      <c r="J328" s="106"/>
      <c r="K328" s="43"/>
      <c r="L328" s="43"/>
      <c r="M328" s="107"/>
      <c r="N328" s="107"/>
      <c r="O328" s="106"/>
      <c r="P328" s="139">
        <f t="shared" si="10"/>
        <v>0</v>
      </c>
      <c r="Q328" s="139">
        <f t="shared" si="11"/>
        <v>5</v>
      </c>
    </row>
    <row r="329" spans="1:17">
      <c r="A329" s="74">
        <v>328</v>
      </c>
      <c r="B329" s="89" t="str">
        <f>IF($T$4=0,IF($I329="","",$I329),IFERROR(IF([1]财务取数接口!$B$328=0,"",[1]财务取数接口!$B$328),""))</f>
        <v/>
      </c>
      <c r="C329" s="75" t="str">
        <f>IF($T$4=0,IF($J329="","",$J329),IFERROR(IF([1]财务取数接口!$C$328=0,"",[1]财务取数接口!$C$328),""))</f>
        <v/>
      </c>
      <c r="D329" s="89" t="str">
        <f>IF($T$4=0,IF($K329="","",$K329),IFERROR(IF([1]财务取数接口!$D$328=0,"",[1]财务取数接口!$D$328),""))</f>
        <v/>
      </c>
      <c r="E329" s="89" t="str">
        <f>IF($T$4=0,IF($L329="","",$L329),IFERROR(IF([1]财务取数接口!$E$328=0,"",[1]财务取数接口!$E$328),""))</f>
        <v/>
      </c>
      <c r="F329" s="76" t="str">
        <f>IF($T$4=0,IF($M329="","",$M329),IFERROR(IF([1]财务取数接口!$G$328=0,"",[1]财务取数接口!$G$328),""))</f>
        <v/>
      </c>
      <c r="G329" s="76" t="str">
        <f>IF($T$4=0,IF($N329="","",$N329),IFERROR(IF([1]财务取数接口!$H$328=0,"",[1]财务取数接口!$H$328),""))</f>
        <v/>
      </c>
      <c r="H329" s="75" t="str">
        <f>IF($T$4=0,IF($O329="","",$O329),IFERROR(IF([1]财务取数接口!$I$328=0,"",[1]财务取数接口!$I$328),""))</f>
        <v/>
      </c>
      <c r="I329" s="43"/>
      <c r="J329" s="106"/>
      <c r="K329" s="43"/>
      <c r="L329" s="43"/>
      <c r="M329" s="107"/>
      <c r="N329" s="107"/>
      <c r="O329" s="106"/>
      <c r="P329" s="139">
        <f t="shared" si="10"/>
        <v>0</v>
      </c>
      <c r="Q329" s="139">
        <f t="shared" si="11"/>
        <v>5</v>
      </c>
    </row>
    <row r="330" spans="1:17">
      <c r="A330" s="74">
        <v>329</v>
      </c>
      <c r="B330" s="89" t="str">
        <f>IF($T$4=0,IF($I330="","",$I330),IFERROR(IF([1]财务取数接口!$B$329=0,"",[1]财务取数接口!$B$329),""))</f>
        <v/>
      </c>
      <c r="C330" s="75" t="str">
        <f>IF($T$4=0,IF($J330="","",$J330),IFERROR(IF([1]财务取数接口!$C$329=0,"",[1]财务取数接口!$C$329),""))</f>
        <v/>
      </c>
      <c r="D330" s="89" t="str">
        <f>IF($T$4=0,IF($K330="","",$K330),IFERROR(IF([1]财务取数接口!$D$329=0,"",[1]财务取数接口!$D$329),""))</f>
        <v/>
      </c>
      <c r="E330" s="89" t="str">
        <f>IF($T$4=0,IF($L330="","",$L330),IFERROR(IF([1]财务取数接口!$E$329=0,"",[1]财务取数接口!$E$329),""))</f>
        <v/>
      </c>
      <c r="F330" s="76" t="str">
        <f>IF($T$4=0,IF($M330="","",$M330),IFERROR(IF([1]财务取数接口!$G$329=0,"",[1]财务取数接口!$G$329),""))</f>
        <v/>
      </c>
      <c r="G330" s="76" t="str">
        <f>IF($T$4=0,IF($N330="","",$N330),IFERROR(IF([1]财务取数接口!$H$329=0,"",[1]财务取数接口!$H$329),""))</f>
        <v/>
      </c>
      <c r="H330" s="75" t="str">
        <f>IF($T$4=0,IF($O330="","",$O330),IFERROR(IF([1]财务取数接口!$I$329=0,"",[1]财务取数接口!$I$329),""))</f>
        <v/>
      </c>
      <c r="I330" s="43"/>
      <c r="J330" s="106"/>
      <c r="K330" s="43"/>
      <c r="L330" s="43"/>
      <c r="M330" s="107"/>
      <c r="N330" s="107"/>
      <c r="O330" s="106"/>
      <c r="P330" s="139">
        <f t="shared" si="10"/>
        <v>0</v>
      </c>
      <c r="Q330" s="139">
        <f t="shared" si="11"/>
        <v>5</v>
      </c>
    </row>
    <row r="331" spans="1:17">
      <c r="A331" s="74">
        <v>330</v>
      </c>
      <c r="B331" s="89" t="str">
        <f>IF($T$4=0,IF($I331="","",$I331),IFERROR(IF([1]财务取数接口!$B$330=0,"",[1]财务取数接口!$B$330),""))</f>
        <v/>
      </c>
      <c r="C331" s="75" t="str">
        <f>IF($T$4=0,IF($J331="","",$J331),IFERROR(IF([1]财务取数接口!$C$330=0,"",[1]财务取数接口!$C$330),""))</f>
        <v/>
      </c>
      <c r="D331" s="89" t="str">
        <f>IF($T$4=0,IF($K331="","",$K331),IFERROR(IF([1]财务取数接口!$D$330=0,"",[1]财务取数接口!$D$330),""))</f>
        <v/>
      </c>
      <c r="E331" s="89" t="str">
        <f>IF($T$4=0,IF($L331="","",$L331),IFERROR(IF([1]财务取数接口!$E$330=0,"",[1]财务取数接口!$E$330),""))</f>
        <v/>
      </c>
      <c r="F331" s="76" t="str">
        <f>IF($T$4=0,IF($M331="","",$M331),IFERROR(IF([1]财务取数接口!$G$330=0,"",[1]财务取数接口!$G$330),""))</f>
        <v/>
      </c>
      <c r="G331" s="76" t="str">
        <f>IF($T$4=0,IF($N331="","",$N331),IFERROR(IF([1]财务取数接口!$H$330=0,"",[1]财务取数接口!$H$330),""))</f>
        <v/>
      </c>
      <c r="H331" s="75" t="str">
        <f>IF($T$4=0,IF($O331="","",$O331),IFERROR(IF([1]财务取数接口!$I$330=0,"",[1]财务取数接口!$I$330),""))</f>
        <v/>
      </c>
      <c r="I331" s="43"/>
      <c r="J331" s="106"/>
      <c r="K331" s="43"/>
      <c r="L331" s="43"/>
      <c r="M331" s="107"/>
      <c r="N331" s="107"/>
      <c r="O331" s="106"/>
      <c r="P331" s="139">
        <f t="shared" si="10"/>
        <v>0</v>
      </c>
      <c r="Q331" s="139">
        <f t="shared" si="11"/>
        <v>5</v>
      </c>
    </row>
    <row r="332" spans="1:17">
      <c r="A332" s="74">
        <v>331</v>
      </c>
      <c r="B332" s="89" t="str">
        <f>IF($T$4=0,IF($I332="","",$I332),IFERROR(IF([1]财务取数接口!$B$331=0,"",[1]财务取数接口!$B$331),""))</f>
        <v/>
      </c>
      <c r="C332" s="75" t="str">
        <f>IF($T$4=0,IF($J332="","",$J332),IFERROR(IF([1]财务取数接口!$C$331=0,"",[1]财务取数接口!$C$331),""))</f>
        <v/>
      </c>
      <c r="D332" s="89" t="str">
        <f>IF($T$4=0,IF($K332="","",$K332),IFERROR(IF([1]财务取数接口!$D$331=0,"",[1]财务取数接口!$D$331),""))</f>
        <v/>
      </c>
      <c r="E332" s="89" t="str">
        <f>IF($T$4=0,IF($L332="","",$L332),IFERROR(IF([1]财务取数接口!$E$331=0,"",[1]财务取数接口!$E$331),""))</f>
        <v/>
      </c>
      <c r="F332" s="76" t="str">
        <f>IF($T$4=0,IF($M332="","",$M332),IFERROR(IF([1]财务取数接口!$G$331=0,"",[1]财务取数接口!$G$331),""))</f>
        <v/>
      </c>
      <c r="G332" s="76" t="str">
        <f>IF($T$4=0,IF($N332="","",$N332),IFERROR(IF([1]财务取数接口!$H$331=0,"",[1]财务取数接口!$H$331),""))</f>
        <v/>
      </c>
      <c r="H332" s="75" t="str">
        <f>IF($T$4=0,IF($O332="","",$O332),IFERROR(IF([1]财务取数接口!$I$331=0,"",[1]财务取数接口!$I$331),""))</f>
        <v/>
      </c>
      <c r="I332" s="43"/>
      <c r="J332" s="106"/>
      <c r="K332" s="43"/>
      <c r="L332" s="43"/>
      <c r="M332" s="107"/>
      <c r="N332" s="107"/>
      <c r="O332" s="106"/>
      <c r="P332" s="139">
        <f t="shared" si="10"/>
        <v>0</v>
      </c>
      <c r="Q332" s="139">
        <f t="shared" si="11"/>
        <v>5</v>
      </c>
    </row>
    <row r="333" spans="1:17">
      <c r="A333" s="74">
        <v>332</v>
      </c>
      <c r="B333" s="89" t="str">
        <f>IF($T$4=0,IF($I333="","",$I333),IFERROR(IF([1]财务取数接口!$B$332=0,"",[1]财务取数接口!$B$332),""))</f>
        <v/>
      </c>
      <c r="C333" s="75" t="str">
        <f>IF($T$4=0,IF($J333="","",$J333),IFERROR(IF([1]财务取数接口!$C$332=0,"",[1]财务取数接口!$C$332),""))</f>
        <v/>
      </c>
      <c r="D333" s="89" t="str">
        <f>IF($T$4=0,IF($K333="","",$K333),IFERROR(IF([1]财务取数接口!$D$332=0,"",[1]财务取数接口!$D$332),""))</f>
        <v/>
      </c>
      <c r="E333" s="89" t="str">
        <f>IF($T$4=0,IF($L333="","",$L333),IFERROR(IF([1]财务取数接口!$E$332=0,"",[1]财务取数接口!$E$332),""))</f>
        <v/>
      </c>
      <c r="F333" s="76" t="str">
        <f>IF($T$4=0,IF($M333="","",$M333),IFERROR(IF([1]财务取数接口!$G$332=0,"",[1]财务取数接口!$G$332),""))</f>
        <v/>
      </c>
      <c r="G333" s="76" t="str">
        <f>IF($T$4=0,IF($N333="","",$N333),IFERROR(IF([1]财务取数接口!$H$332=0,"",[1]财务取数接口!$H$332),""))</f>
        <v/>
      </c>
      <c r="H333" s="75" t="str">
        <f>IF($T$4=0,IF($O333="","",$O333),IFERROR(IF([1]财务取数接口!$I$332=0,"",[1]财务取数接口!$I$332),""))</f>
        <v/>
      </c>
      <c r="I333" s="43"/>
      <c r="J333" s="106"/>
      <c r="K333" s="43"/>
      <c r="L333" s="43"/>
      <c r="M333" s="107"/>
      <c r="N333" s="107"/>
      <c r="O333" s="106"/>
      <c r="P333" s="139">
        <f t="shared" si="10"/>
        <v>0</v>
      </c>
      <c r="Q333" s="139">
        <f t="shared" si="11"/>
        <v>5</v>
      </c>
    </row>
    <row r="334" spans="1:17">
      <c r="A334" s="74">
        <v>333</v>
      </c>
      <c r="B334" s="89" t="str">
        <f>IF($T$4=0,IF($I334="","",$I334),IFERROR(IF([1]财务取数接口!$B$333=0,"",[1]财务取数接口!$B$333),""))</f>
        <v/>
      </c>
      <c r="C334" s="75" t="str">
        <f>IF($T$4=0,IF($J334="","",$J334),IFERROR(IF([1]财务取数接口!$C$333=0,"",[1]财务取数接口!$C$333),""))</f>
        <v/>
      </c>
      <c r="D334" s="89" t="str">
        <f>IF($T$4=0,IF($K334="","",$K334),IFERROR(IF([1]财务取数接口!$D$333=0,"",[1]财务取数接口!$D$333),""))</f>
        <v/>
      </c>
      <c r="E334" s="89" t="str">
        <f>IF($T$4=0,IF($L334="","",$L334),IFERROR(IF([1]财务取数接口!$E$333=0,"",[1]财务取数接口!$E$333),""))</f>
        <v/>
      </c>
      <c r="F334" s="76" t="str">
        <f>IF($T$4=0,IF($M334="","",$M334),IFERROR(IF([1]财务取数接口!$G$333=0,"",[1]财务取数接口!$G$333),""))</f>
        <v/>
      </c>
      <c r="G334" s="76" t="str">
        <f>IF($T$4=0,IF($N334="","",$N334),IFERROR(IF([1]财务取数接口!$H$333=0,"",[1]财务取数接口!$H$333),""))</f>
        <v/>
      </c>
      <c r="H334" s="75" t="str">
        <f>IF($T$4=0,IF($O334="","",$O334),IFERROR(IF([1]财务取数接口!$I$333=0,"",[1]财务取数接口!$I$333),""))</f>
        <v/>
      </c>
      <c r="I334" s="43"/>
      <c r="J334" s="106"/>
      <c r="K334" s="43"/>
      <c r="L334" s="43"/>
      <c r="M334" s="107"/>
      <c r="N334" s="107"/>
      <c r="O334" s="106"/>
      <c r="P334" s="139">
        <f t="shared" si="10"/>
        <v>0</v>
      </c>
      <c r="Q334" s="139">
        <f t="shared" si="11"/>
        <v>5</v>
      </c>
    </row>
    <row r="335" spans="1:17">
      <c r="A335" s="74">
        <v>334</v>
      </c>
      <c r="B335" s="89" t="str">
        <f>IF($T$4=0,IF($I335="","",$I335),IFERROR(IF([1]财务取数接口!$B$334=0,"",[1]财务取数接口!$B$334),""))</f>
        <v/>
      </c>
      <c r="C335" s="75" t="str">
        <f>IF($T$4=0,IF($J335="","",$J335),IFERROR(IF([1]财务取数接口!$C$334=0,"",[1]财务取数接口!$C$334),""))</f>
        <v/>
      </c>
      <c r="D335" s="89" t="str">
        <f>IF($T$4=0,IF($K335="","",$K335),IFERROR(IF([1]财务取数接口!$D$334=0,"",[1]财务取数接口!$D$334),""))</f>
        <v/>
      </c>
      <c r="E335" s="89" t="str">
        <f>IF($T$4=0,IF($L335="","",$L335),IFERROR(IF([1]财务取数接口!$E$334=0,"",[1]财务取数接口!$E$334),""))</f>
        <v/>
      </c>
      <c r="F335" s="76" t="str">
        <f>IF($T$4=0,IF($M335="","",$M335),IFERROR(IF([1]财务取数接口!$G$334=0,"",[1]财务取数接口!$G$334),""))</f>
        <v/>
      </c>
      <c r="G335" s="76" t="str">
        <f>IF($T$4=0,IF($N335="","",$N335),IFERROR(IF([1]财务取数接口!$H$334=0,"",[1]财务取数接口!$H$334),""))</f>
        <v/>
      </c>
      <c r="H335" s="75" t="str">
        <f>IF($T$4=0,IF($O335="","",$O335),IFERROR(IF([1]财务取数接口!$I$334=0,"",[1]财务取数接口!$I$334),""))</f>
        <v/>
      </c>
      <c r="I335" s="43"/>
      <c r="J335" s="106"/>
      <c r="K335" s="43"/>
      <c r="L335" s="43"/>
      <c r="M335" s="107"/>
      <c r="N335" s="107"/>
      <c r="O335" s="106"/>
      <c r="P335" s="139">
        <f t="shared" si="10"/>
        <v>0</v>
      </c>
      <c r="Q335" s="139">
        <f t="shared" si="11"/>
        <v>5</v>
      </c>
    </row>
    <row r="336" spans="1:17">
      <c r="A336" s="74">
        <v>335</v>
      </c>
      <c r="B336" s="89" t="str">
        <f>IF($T$4=0,IF($I336="","",$I336),IFERROR(IF([1]财务取数接口!$B$335=0,"",[1]财务取数接口!$B$335),""))</f>
        <v/>
      </c>
      <c r="C336" s="75" t="str">
        <f>IF($T$4=0,IF($J336="","",$J336),IFERROR(IF([1]财务取数接口!$C$335=0,"",[1]财务取数接口!$C$335),""))</f>
        <v/>
      </c>
      <c r="D336" s="89" t="str">
        <f>IF($T$4=0,IF($K336="","",$K336),IFERROR(IF([1]财务取数接口!$D$335=0,"",[1]财务取数接口!$D$335),""))</f>
        <v/>
      </c>
      <c r="E336" s="89" t="str">
        <f>IF($T$4=0,IF($L336="","",$L336),IFERROR(IF([1]财务取数接口!$E$335=0,"",[1]财务取数接口!$E$335),""))</f>
        <v/>
      </c>
      <c r="F336" s="76" t="str">
        <f>IF($T$4=0,IF($M336="","",$M336),IFERROR(IF([1]财务取数接口!$G$335=0,"",[1]财务取数接口!$G$335),""))</f>
        <v/>
      </c>
      <c r="G336" s="76" t="str">
        <f>IF($T$4=0,IF($N336="","",$N336),IFERROR(IF([1]财务取数接口!$H$335=0,"",[1]财务取数接口!$H$335),""))</f>
        <v/>
      </c>
      <c r="H336" s="75" t="str">
        <f>IF($T$4=0,IF($O336="","",$O336),IFERROR(IF([1]财务取数接口!$I$335=0,"",[1]财务取数接口!$I$335),""))</f>
        <v/>
      </c>
      <c r="I336" s="43"/>
      <c r="J336" s="106"/>
      <c r="K336" s="43"/>
      <c r="L336" s="43"/>
      <c r="M336" s="107"/>
      <c r="N336" s="107"/>
      <c r="O336" s="106"/>
      <c r="P336" s="139">
        <f t="shared" si="10"/>
        <v>0</v>
      </c>
      <c r="Q336" s="139">
        <f t="shared" si="11"/>
        <v>5</v>
      </c>
    </row>
    <row r="337" spans="1:17">
      <c r="A337" s="74">
        <v>336</v>
      </c>
      <c r="B337" s="89" t="str">
        <f>IF($T$4=0,IF($I337="","",$I337),IFERROR(IF([1]财务取数接口!$B$336=0,"",[1]财务取数接口!$B$336),""))</f>
        <v/>
      </c>
      <c r="C337" s="75" t="str">
        <f>IF($T$4=0,IF($J337="","",$J337),IFERROR(IF([1]财务取数接口!$C$336=0,"",[1]财务取数接口!$C$336),""))</f>
        <v/>
      </c>
      <c r="D337" s="89" t="str">
        <f>IF($T$4=0,IF($K337="","",$K337),IFERROR(IF([1]财务取数接口!$D$336=0,"",[1]财务取数接口!$D$336),""))</f>
        <v/>
      </c>
      <c r="E337" s="89" t="str">
        <f>IF($T$4=0,IF($L337="","",$L337),IFERROR(IF([1]财务取数接口!$E$336=0,"",[1]财务取数接口!$E$336),""))</f>
        <v/>
      </c>
      <c r="F337" s="76" t="str">
        <f>IF($T$4=0,IF($M337="","",$M337),IFERROR(IF([1]财务取数接口!$G$336=0,"",[1]财务取数接口!$G$336),""))</f>
        <v/>
      </c>
      <c r="G337" s="76" t="str">
        <f>IF($T$4=0,IF($N337="","",$N337),IFERROR(IF([1]财务取数接口!$H$336=0,"",[1]财务取数接口!$H$336),""))</f>
        <v/>
      </c>
      <c r="H337" s="75" t="str">
        <f>IF($T$4=0,IF($O337="","",$O337),IFERROR(IF([1]财务取数接口!$I$336=0,"",[1]财务取数接口!$I$336),""))</f>
        <v/>
      </c>
      <c r="I337" s="43"/>
      <c r="J337" s="106"/>
      <c r="K337" s="43"/>
      <c r="L337" s="43"/>
      <c r="M337" s="107"/>
      <c r="N337" s="107"/>
      <c r="O337" s="106"/>
      <c r="P337" s="139">
        <f t="shared" si="10"/>
        <v>0</v>
      </c>
      <c r="Q337" s="139">
        <f t="shared" si="11"/>
        <v>5</v>
      </c>
    </row>
    <row r="338" spans="1:17">
      <c r="A338" s="74">
        <v>337</v>
      </c>
      <c r="B338" s="89" t="str">
        <f>IF($T$4=0,IF($I338="","",$I338),IFERROR(IF([1]财务取数接口!$B$337=0,"",[1]财务取数接口!$B$337),""))</f>
        <v/>
      </c>
      <c r="C338" s="75" t="str">
        <f>IF($T$4=0,IF($J338="","",$J338),IFERROR(IF([1]财务取数接口!$C$337=0,"",[1]财务取数接口!$C$337),""))</f>
        <v/>
      </c>
      <c r="D338" s="89" t="str">
        <f>IF($T$4=0,IF($K338="","",$K338),IFERROR(IF([1]财务取数接口!$D$337=0,"",[1]财务取数接口!$D$337),""))</f>
        <v/>
      </c>
      <c r="E338" s="89" t="str">
        <f>IF($T$4=0,IF($L338="","",$L338),IFERROR(IF([1]财务取数接口!$E$337=0,"",[1]财务取数接口!$E$337),""))</f>
        <v/>
      </c>
      <c r="F338" s="76" t="str">
        <f>IF($T$4=0,IF($M338="","",$M338),IFERROR(IF([1]财务取数接口!$G$337=0,"",[1]财务取数接口!$G$337),""))</f>
        <v/>
      </c>
      <c r="G338" s="76" t="str">
        <f>IF($T$4=0,IF($N338="","",$N338),IFERROR(IF([1]财务取数接口!$H$337=0,"",[1]财务取数接口!$H$337),""))</f>
        <v/>
      </c>
      <c r="H338" s="75" t="str">
        <f>IF($T$4=0,IF($O338="","",$O338),IFERROR(IF([1]财务取数接口!$I$337=0,"",[1]财务取数接口!$I$337),""))</f>
        <v/>
      </c>
      <c r="I338" s="43"/>
      <c r="J338" s="106"/>
      <c r="K338" s="43"/>
      <c r="L338" s="43"/>
      <c r="M338" s="107"/>
      <c r="N338" s="107"/>
      <c r="O338" s="106"/>
      <c r="P338" s="139">
        <f t="shared" si="10"/>
        <v>0</v>
      </c>
      <c r="Q338" s="139">
        <f t="shared" si="11"/>
        <v>5</v>
      </c>
    </row>
    <row r="339" spans="1:17">
      <c r="A339" s="74">
        <v>338</v>
      </c>
      <c r="B339" s="89" t="str">
        <f>IF($T$4=0,IF($I339="","",$I339),IFERROR(IF([1]财务取数接口!$B$338=0,"",[1]财务取数接口!$B$338),""))</f>
        <v/>
      </c>
      <c r="C339" s="75" t="str">
        <f>IF($T$4=0,IF($J339="","",$J339),IFERROR(IF([1]财务取数接口!$C$338=0,"",[1]财务取数接口!$C$338),""))</f>
        <v/>
      </c>
      <c r="D339" s="89" t="str">
        <f>IF($T$4=0,IF($K339="","",$K339),IFERROR(IF([1]财务取数接口!$D$338=0,"",[1]财务取数接口!$D$338),""))</f>
        <v/>
      </c>
      <c r="E339" s="89" t="str">
        <f>IF($T$4=0,IF($L339="","",$L339),IFERROR(IF([1]财务取数接口!$E$338=0,"",[1]财务取数接口!$E$338),""))</f>
        <v/>
      </c>
      <c r="F339" s="76" t="str">
        <f>IF($T$4=0,IF($M339="","",$M339),IFERROR(IF([1]财务取数接口!$G$338=0,"",[1]财务取数接口!$G$338),""))</f>
        <v/>
      </c>
      <c r="G339" s="76" t="str">
        <f>IF($T$4=0,IF($N339="","",$N339),IFERROR(IF([1]财务取数接口!$H$338=0,"",[1]财务取数接口!$H$338),""))</f>
        <v/>
      </c>
      <c r="H339" s="75" t="str">
        <f>IF($T$4=0,IF($O339="","",$O339),IFERROR(IF([1]财务取数接口!$I$338=0,"",[1]财务取数接口!$I$338),""))</f>
        <v/>
      </c>
      <c r="I339" s="43"/>
      <c r="J339" s="106"/>
      <c r="K339" s="43"/>
      <c r="L339" s="43"/>
      <c r="M339" s="107"/>
      <c r="N339" s="107"/>
      <c r="O339" s="106"/>
      <c r="P339" s="139">
        <f t="shared" si="10"/>
        <v>0</v>
      </c>
      <c r="Q339" s="139">
        <f t="shared" si="11"/>
        <v>5</v>
      </c>
    </row>
    <row r="340" spans="1:17">
      <c r="A340" s="74">
        <v>339</v>
      </c>
      <c r="B340" s="89" t="str">
        <f>IF($T$4=0,IF($I340="","",$I340),IFERROR(IF([1]财务取数接口!$B$339=0,"",[1]财务取数接口!$B$339),""))</f>
        <v/>
      </c>
      <c r="C340" s="75" t="str">
        <f>IF($T$4=0,IF($J340="","",$J340),IFERROR(IF([1]财务取数接口!$C$339=0,"",[1]财务取数接口!$C$339),""))</f>
        <v/>
      </c>
      <c r="D340" s="89" t="str">
        <f>IF($T$4=0,IF($K340="","",$K340),IFERROR(IF([1]财务取数接口!$D$339=0,"",[1]财务取数接口!$D$339),""))</f>
        <v/>
      </c>
      <c r="E340" s="89" t="str">
        <f>IF($T$4=0,IF($L340="","",$L340),IFERROR(IF([1]财务取数接口!$E$339=0,"",[1]财务取数接口!$E$339),""))</f>
        <v/>
      </c>
      <c r="F340" s="76" t="str">
        <f>IF($T$4=0,IF($M340="","",$M340),IFERROR(IF([1]财务取数接口!$G$339=0,"",[1]财务取数接口!$G$339),""))</f>
        <v/>
      </c>
      <c r="G340" s="76" t="str">
        <f>IF($T$4=0,IF($N340="","",$N340),IFERROR(IF([1]财务取数接口!$H$339=0,"",[1]财务取数接口!$H$339),""))</f>
        <v/>
      </c>
      <c r="H340" s="75" t="str">
        <f>IF($T$4=0,IF($O340="","",$O340),IFERROR(IF([1]财务取数接口!$I$339=0,"",[1]财务取数接口!$I$339),""))</f>
        <v/>
      </c>
      <c r="I340" s="43"/>
      <c r="J340" s="106"/>
      <c r="K340" s="43"/>
      <c r="L340" s="43"/>
      <c r="M340" s="107"/>
      <c r="N340" s="107"/>
      <c r="O340" s="106"/>
      <c r="P340" s="139">
        <f t="shared" si="10"/>
        <v>0</v>
      </c>
      <c r="Q340" s="139">
        <f t="shared" si="11"/>
        <v>5</v>
      </c>
    </row>
    <row r="341" spans="1:17">
      <c r="A341" s="74">
        <v>340</v>
      </c>
      <c r="B341" s="89" t="str">
        <f>IF($T$4=0,IF($I341="","",$I341),IFERROR(IF([1]财务取数接口!$B$340=0,"",[1]财务取数接口!$B$340),""))</f>
        <v/>
      </c>
      <c r="C341" s="75" t="str">
        <f>IF($T$4=0,IF($J341="","",$J341),IFERROR(IF([1]财务取数接口!$C$340=0,"",[1]财务取数接口!$C$340),""))</f>
        <v/>
      </c>
      <c r="D341" s="89" t="str">
        <f>IF($T$4=0,IF($K341="","",$K341),IFERROR(IF([1]财务取数接口!$D$340=0,"",[1]财务取数接口!$D$340),""))</f>
        <v/>
      </c>
      <c r="E341" s="89" t="str">
        <f>IF($T$4=0,IF($L341="","",$L341),IFERROR(IF([1]财务取数接口!$E$340=0,"",[1]财务取数接口!$E$340),""))</f>
        <v/>
      </c>
      <c r="F341" s="76" t="str">
        <f>IF($T$4=0,IF($M341="","",$M341),IFERROR(IF([1]财务取数接口!$G$340=0,"",[1]财务取数接口!$G$340),""))</f>
        <v/>
      </c>
      <c r="G341" s="76" t="str">
        <f>IF($T$4=0,IF($N341="","",$N341),IFERROR(IF([1]财务取数接口!$H$340=0,"",[1]财务取数接口!$H$340),""))</f>
        <v/>
      </c>
      <c r="H341" s="75" t="str">
        <f>IF($T$4=0,IF($O341="","",$O341),IFERROR(IF([1]财务取数接口!$I$340=0,"",[1]财务取数接口!$I$340),""))</f>
        <v/>
      </c>
      <c r="I341" s="43"/>
      <c r="J341" s="106"/>
      <c r="K341" s="43"/>
      <c r="L341" s="43"/>
      <c r="M341" s="107"/>
      <c r="N341" s="107"/>
      <c r="O341" s="106"/>
      <c r="P341" s="139">
        <f t="shared" si="10"/>
        <v>0</v>
      </c>
      <c r="Q341" s="139">
        <f t="shared" si="11"/>
        <v>5</v>
      </c>
    </row>
    <row r="342" spans="1:17">
      <c r="A342" s="74">
        <v>341</v>
      </c>
      <c r="B342" s="89" t="str">
        <f>IF($T$4=0,IF($I342="","",$I342),IFERROR(IF([1]财务取数接口!$B$341=0,"",[1]财务取数接口!$B$341),""))</f>
        <v/>
      </c>
      <c r="C342" s="75" t="str">
        <f>IF($T$4=0,IF($J342="","",$J342),IFERROR(IF([1]财务取数接口!$C$341=0,"",[1]财务取数接口!$C$341),""))</f>
        <v/>
      </c>
      <c r="D342" s="89" t="str">
        <f>IF($T$4=0,IF($K342="","",$K342),IFERROR(IF([1]财务取数接口!$D$341=0,"",[1]财务取数接口!$D$341),""))</f>
        <v/>
      </c>
      <c r="E342" s="89" t="str">
        <f>IF($T$4=0,IF($L342="","",$L342),IFERROR(IF([1]财务取数接口!$E$341=0,"",[1]财务取数接口!$E$341),""))</f>
        <v/>
      </c>
      <c r="F342" s="76" t="str">
        <f>IF($T$4=0,IF($M342="","",$M342),IFERROR(IF([1]财务取数接口!$G$341=0,"",[1]财务取数接口!$G$341),""))</f>
        <v/>
      </c>
      <c r="G342" s="76" t="str">
        <f>IF($T$4=0,IF($N342="","",$N342),IFERROR(IF([1]财务取数接口!$H$341=0,"",[1]财务取数接口!$H$341),""))</f>
        <v/>
      </c>
      <c r="H342" s="75" t="str">
        <f>IF($T$4=0,IF($O342="","",$O342),IFERROR(IF([1]财务取数接口!$I$341=0,"",[1]财务取数接口!$I$341),""))</f>
        <v/>
      </c>
      <c r="I342" s="43"/>
      <c r="J342" s="106"/>
      <c r="K342" s="43"/>
      <c r="L342" s="43"/>
      <c r="M342" s="107"/>
      <c r="N342" s="107"/>
      <c r="O342" s="106"/>
      <c r="P342" s="139">
        <f t="shared" si="10"/>
        <v>0</v>
      </c>
      <c r="Q342" s="139">
        <f t="shared" si="11"/>
        <v>5</v>
      </c>
    </row>
    <row r="343" spans="1:17">
      <c r="A343" s="74">
        <v>342</v>
      </c>
      <c r="B343" s="89" t="str">
        <f>IF($T$4=0,IF($I343="","",$I343),IFERROR(IF([1]财务取数接口!$B$342=0,"",[1]财务取数接口!$B$342),""))</f>
        <v/>
      </c>
      <c r="C343" s="75" t="str">
        <f>IF($T$4=0,IF($J343="","",$J343),IFERROR(IF([1]财务取数接口!$C$342=0,"",[1]财务取数接口!$C$342),""))</f>
        <v/>
      </c>
      <c r="D343" s="89" t="str">
        <f>IF($T$4=0,IF($K343="","",$K343),IFERROR(IF([1]财务取数接口!$D$342=0,"",[1]财务取数接口!$D$342),""))</f>
        <v/>
      </c>
      <c r="E343" s="89" t="str">
        <f>IF($T$4=0,IF($L343="","",$L343),IFERROR(IF([1]财务取数接口!$E$342=0,"",[1]财务取数接口!$E$342),""))</f>
        <v/>
      </c>
      <c r="F343" s="76" t="str">
        <f>IF($T$4=0,IF($M343="","",$M343),IFERROR(IF([1]财务取数接口!$G$342=0,"",[1]财务取数接口!$G$342),""))</f>
        <v/>
      </c>
      <c r="G343" s="76" t="str">
        <f>IF($T$4=0,IF($N343="","",$N343),IFERROR(IF([1]财务取数接口!$H$342=0,"",[1]财务取数接口!$H$342),""))</f>
        <v/>
      </c>
      <c r="H343" s="75" t="str">
        <f>IF($T$4=0,IF($O343="","",$O343),IFERROR(IF([1]财务取数接口!$I$342=0,"",[1]财务取数接口!$I$342),""))</f>
        <v/>
      </c>
      <c r="I343" s="43"/>
      <c r="J343" s="106"/>
      <c r="K343" s="43"/>
      <c r="L343" s="43"/>
      <c r="M343" s="107"/>
      <c r="N343" s="107"/>
      <c r="O343" s="106"/>
      <c r="P343" s="139">
        <f t="shared" si="10"/>
        <v>0</v>
      </c>
      <c r="Q343" s="139">
        <f t="shared" si="11"/>
        <v>5</v>
      </c>
    </row>
    <row r="344" spans="1:17">
      <c r="A344" s="74">
        <v>343</v>
      </c>
      <c r="B344" s="89" t="str">
        <f>IF($T$4=0,IF($I344="","",$I344),IFERROR(IF([1]财务取数接口!$B$343=0,"",[1]财务取数接口!$B$343),""))</f>
        <v/>
      </c>
      <c r="C344" s="75" t="str">
        <f>IF($T$4=0,IF($J344="","",$J344),IFERROR(IF([1]财务取数接口!$C$343=0,"",[1]财务取数接口!$C$343),""))</f>
        <v/>
      </c>
      <c r="D344" s="89" t="str">
        <f>IF($T$4=0,IF($K344="","",$K344),IFERROR(IF([1]财务取数接口!$D$343=0,"",[1]财务取数接口!$D$343),""))</f>
        <v/>
      </c>
      <c r="E344" s="89" t="str">
        <f>IF($T$4=0,IF($L344="","",$L344),IFERROR(IF([1]财务取数接口!$E$343=0,"",[1]财务取数接口!$E$343),""))</f>
        <v/>
      </c>
      <c r="F344" s="76" t="str">
        <f>IF($T$4=0,IF($M344="","",$M344),IFERROR(IF([1]财务取数接口!$G$343=0,"",[1]财务取数接口!$G$343),""))</f>
        <v/>
      </c>
      <c r="G344" s="76" t="str">
        <f>IF($T$4=0,IF($N344="","",$N344),IFERROR(IF([1]财务取数接口!$H$343=0,"",[1]财务取数接口!$H$343),""))</f>
        <v/>
      </c>
      <c r="H344" s="75" t="str">
        <f>IF($T$4=0,IF($O344="","",$O344),IFERROR(IF([1]财务取数接口!$I$343=0,"",[1]财务取数接口!$I$343),""))</f>
        <v/>
      </c>
      <c r="I344" s="43"/>
      <c r="J344" s="106"/>
      <c r="K344" s="43"/>
      <c r="L344" s="43"/>
      <c r="M344" s="107"/>
      <c r="N344" s="107"/>
      <c r="O344" s="106"/>
      <c r="P344" s="139">
        <f t="shared" si="10"/>
        <v>0</v>
      </c>
      <c r="Q344" s="139">
        <f t="shared" si="11"/>
        <v>5</v>
      </c>
    </row>
    <row r="345" spans="1:17">
      <c r="A345" s="74">
        <v>344</v>
      </c>
      <c r="B345" s="89" t="str">
        <f>IF($T$4=0,IF($I345="","",$I345),IFERROR(IF([1]财务取数接口!$B$344=0,"",[1]财务取数接口!$B$344),""))</f>
        <v/>
      </c>
      <c r="C345" s="75" t="str">
        <f>IF($T$4=0,IF($J345="","",$J345),IFERROR(IF([1]财务取数接口!$C$344=0,"",[1]财务取数接口!$C$344),""))</f>
        <v/>
      </c>
      <c r="D345" s="89" t="str">
        <f>IF($T$4=0,IF($K345="","",$K345),IFERROR(IF([1]财务取数接口!$D$344=0,"",[1]财务取数接口!$D$344),""))</f>
        <v/>
      </c>
      <c r="E345" s="89" t="str">
        <f>IF($T$4=0,IF($L345="","",$L345),IFERROR(IF([1]财务取数接口!$E$344=0,"",[1]财务取数接口!$E$344),""))</f>
        <v/>
      </c>
      <c r="F345" s="76" t="str">
        <f>IF($T$4=0,IF($M345="","",$M345),IFERROR(IF([1]财务取数接口!$G$344=0,"",[1]财务取数接口!$G$344),""))</f>
        <v/>
      </c>
      <c r="G345" s="76" t="str">
        <f>IF($T$4=0,IF($N345="","",$N345),IFERROR(IF([1]财务取数接口!$H$344=0,"",[1]财务取数接口!$H$344),""))</f>
        <v/>
      </c>
      <c r="H345" s="75" t="str">
        <f>IF($T$4=0,IF($O345="","",$O345),IFERROR(IF([1]财务取数接口!$I$344=0,"",[1]财务取数接口!$I$344),""))</f>
        <v/>
      </c>
      <c r="I345" s="43"/>
      <c r="J345" s="106"/>
      <c r="K345" s="43"/>
      <c r="L345" s="43"/>
      <c r="M345" s="107"/>
      <c r="N345" s="107"/>
      <c r="O345" s="106"/>
      <c r="P345" s="139">
        <f t="shared" si="10"/>
        <v>0</v>
      </c>
      <c r="Q345" s="139">
        <f t="shared" si="11"/>
        <v>5</v>
      </c>
    </row>
    <row r="346" spans="1:17">
      <c r="A346" s="74">
        <v>345</v>
      </c>
      <c r="B346" s="89" t="str">
        <f>IF($T$4=0,IF($I346="","",$I346),IFERROR(IF([1]财务取数接口!$B$345=0,"",[1]财务取数接口!$B$345),""))</f>
        <v/>
      </c>
      <c r="C346" s="75" t="str">
        <f>IF($T$4=0,IF($J346="","",$J346),IFERROR(IF([1]财务取数接口!$C$345=0,"",[1]财务取数接口!$C$345),""))</f>
        <v/>
      </c>
      <c r="D346" s="89" t="str">
        <f>IF($T$4=0,IF($K346="","",$K346),IFERROR(IF([1]财务取数接口!$D$345=0,"",[1]财务取数接口!$D$345),""))</f>
        <v/>
      </c>
      <c r="E346" s="89" t="str">
        <f>IF($T$4=0,IF($L346="","",$L346),IFERROR(IF([1]财务取数接口!$E$345=0,"",[1]财务取数接口!$E$345),""))</f>
        <v/>
      </c>
      <c r="F346" s="76" t="str">
        <f>IF($T$4=0,IF($M346="","",$M346),IFERROR(IF([1]财务取数接口!$G$345=0,"",[1]财务取数接口!$G$345),""))</f>
        <v/>
      </c>
      <c r="G346" s="76" t="str">
        <f>IF($T$4=0,IF($N346="","",$N346),IFERROR(IF([1]财务取数接口!$H$345=0,"",[1]财务取数接口!$H$345),""))</f>
        <v/>
      </c>
      <c r="H346" s="75" t="str">
        <f>IF($T$4=0,IF($O346="","",$O346),IFERROR(IF([1]财务取数接口!$I$345=0,"",[1]财务取数接口!$I$345),""))</f>
        <v/>
      </c>
      <c r="I346" s="43"/>
      <c r="J346" s="106"/>
      <c r="K346" s="43"/>
      <c r="L346" s="43"/>
      <c r="M346" s="107"/>
      <c r="N346" s="107"/>
      <c r="O346" s="106"/>
      <c r="P346" s="139">
        <f t="shared" si="10"/>
        <v>0</v>
      </c>
      <c r="Q346" s="139">
        <f t="shared" si="11"/>
        <v>5</v>
      </c>
    </row>
    <row r="347" spans="1:17">
      <c r="A347" s="74">
        <v>346</v>
      </c>
      <c r="B347" s="89" t="str">
        <f>IF($T$4=0,IF($I347="","",$I347),IFERROR(IF([1]财务取数接口!$B$346=0,"",[1]财务取数接口!$B$346),""))</f>
        <v/>
      </c>
      <c r="C347" s="75" t="str">
        <f>IF($T$4=0,IF($J347="","",$J347),IFERROR(IF([1]财务取数接口!$C$346=0,"",[1]财务取数接口!$C$346),""))</f>
        <v/>
      </c>
      <c r="D347" s="89" t="str">
        <f>IF($T$4=0,IF($K347="","",$K347),IFERROR(IF([1]财务取数接口!$D$346=0,"",[1]财务取数接口!$D$346),""))</f>
        <v/>
      </c>
      <c r="E347" s="89" t="str">
        <f>IF($T$4=0,IF($L347="","",$L347),IFERROR(IF([1]财务取数接口!$E$346=0,"",[1]财务取数接口!$E$346),""))</f>
        <v/>
      </c>
      <c r="F347" s="76" t="str">
        <f>IF($T$4=0,IF($M347="","",$M347),IFERROR(IF([1]财务取数接口!$G$346=0,"",[1]财务取数接口!$G$346),""))</f>
        <v/>
      </c>
      <c r="G347" s="76" t="str">
        <f>IF($T$4=0,IF($N347="","",$N347),IFERROR(IF([1]财务取数接口!$H$346=0,"",[1]财务取数接口!$H$346),""))</f>
        <v/>
      </c>
      <c r="H347" s="75" t="str">
        <f>IF($T$4=0,IF($O347="","",$O347),IFERROR(IF([1]财务取数接口!$I$346=0,"",[1]财务取数接口!$I$346),""))</f>
        <v/>
      </c>
      <c r="I347" s="43"/>
      <c r="J347" s="106"/>
      <c r="K347" s="43"/>
      <c r="L347" s="43"/>
      <c r="M347" s="107"/>
      <c r="N347" s="107"/>
      <c r="O347" s="106"/>
      <c r="P347" s="139">
        <f t="shared" si="10"/>
        <v>0</v>
      </c>
      <c r="Q347" s="139">
        <f t="shared" si="11"/>
        <v>5</v>
      </c>
    </row>
    <row r="348" spans="1:17">
      <c r="A348" s="74">
        <v>347</v>
      </c>
      <c r="B348" s="89" t="str">
        <f>IF($T$4=0,IF($I348="","",$I348),IFERROR(IF([1]财务取数接口!$B$347=0,"",[1]财务取数接口!$B$347),""))</f>
        <v/>
      </c>
      <c r="C348" s="75" t="str">
        <f>IF($T$4=0,IF($J348="","",$J348),IFERROR(IF([1]财务取数接口!$C$347=0,"",[1]财务取数接口!$C$347),""))</f>
        <v/>
      </c>
      <c r="D348" s="89" t="str">
        <f>IF($T$4=0,IF($K348="","",$K348),IFERROR(IF([1]财务取数接口!$D$347=0,"",[1]财务取数接口!$D$347),""))</f>
        <v/>
      </c>
      <c r="E348" s="89" t="str">
        <f>IF($T$4=0,IF($L348="","",$L348),IFERROR(IF([1]财务取数接口!$E$347=0,"",[1]财务取数接口!$E$347),""))</f>
        <v/>
      </c>
      <c r="F348" s="76" t="str">
        <f>IF($T$4=0,IF($M348="","",$M348),IFERROR(IF([1]财务取数接口!$G$347=0,"",[1]财务取数接口!$G$347),""))</f>
        <v/>
      </c>
      <c r="G348" s="76" t="str">
        <f>IF($T$4=0,IF($N348="","",$N348),IFERROR(IF([1]财务取数接口!$H$347=0,"",[1]财务取数接口!$H$347),""))</f>
        <v/>
      </c>
      <c r="H348" s="75" t="str">
        <f>IF($T$4=0,IF($O348="","",$O348),IFERROR(IF([1]财务取数接口!$I$347=0,"",[1]财务取数接口!$I$347),""))</f>
        <v/>
      </c>
      <c r="I348" s="43"/>
      <c r="J348" s="106"/>
      <c r="K348" s="43"/>
      <c r="L348" s="43"/>
      <c r="M348" s="107"/>
      <c r="N348" s="107"/>
      <c r="O348" s="106"/>
      <c r="P348" s="139">
        <f t="shared" si="10"/>
        <v>0</v>
      </c>
      <c r="Q348" s="139">
        <f t="shared" si="11"/>
        <v>5</v>
      </c>
    </row>
    <row r="349" spans="1:17">
      <c r="A349" s="74">
        <v>348</v>
      </c>
      <c r="B349" s="89" t="str">
        <f>IF($T$4=0,IF($I349="","",$I349),IFERROR(IF([1]财务取数接口!$B$348=0,"",[1]财务取数接口!$B$348),""))</f>
        <v/>
      </c>
      <c r="C349" s="75" t="str">
        <f>IF($T$4=0,IF($J349="","",$J349),IFERROR(IF([1]财务取数接口!$C$348=0,"",[1]财务取数接口!$C$348),""))</f>
        <v/>
      </c>
      <c r="D349" s="89" t="str">
        <f>IF($T$4=0,IF($K349="","",$K349),IFERROR(IF([1]财务取数接口!$D$348=0,"",[1]财务取数接口!$D$348),""))</f>
        <v/>
      </c>
      <c r="E349" s="89" t="str">
        <f>IF($T$4=0,IF($L349="","",$L349),IFERROR(IF([1]财务取数接口!$E$348=0,"",[1]财务取数接口!$E$348),""))</f>
        <v/>
      </c>
      <c r="F349" s="76" t="str">
        <f>IF($T$4=0,IF($M349="","",$M349),IFERROR(IF([1]财务取数接口!$G$348=0,"",[1]财务取数接口!$G$348),""))</f>
        <v/>
      </c>
      <c r="G349" s="76" t="str">
        <f>IF($T$4=0,IF($N349="","",$N349),IFERROR(IF([1]财务取数接口!$H$348=0,"",[1]财务取数接口!$H$348),""))</f>
        <v/>
      </c>
      <c r="H349" s="75" t="str">
        <f>IF($T$4=0,IF($O349="","",$O349),IFERROR(IF([1]财务取数接口!$I$348=0,"",[1]财务取数接口!$I$348),""))</f>
        <v/>
      </c>
      <c r="I349" s="43"/>
      <c r="J349" s="106"/>
      <c r="K349" s="43"/>
      <c r="L349" s="43"/>
      <c r="M349" s="107"/>
      <c r="N349" s="107"/>
      <c r="O349" s="106"/>
      <c r="P349" s="139">
        <f t="shared" si="10"/>
        <v>0</v>
      </c>
      <c r="Q349" s="139">
        <f t="shared" si="11"/>
        <v>5</v>
      </c>
    </row>
    <row r="350" spans="1:17">
      <c r="A350" s="74">
        <v>349</v>
      </c>
      <c r="B350" s="89" t="str">
        <f>IF($T$4=0,IF($I350="","",$I350),IFERROR(IF([1]财务取数接口!$B$349=0,"",[1]财务取数接口!$B$349),""))</f>
        <v/>
      </c>
      <c r="C350" s="75" t="str">
        <f>IF($T$4=0,IF($J350="","",$J350),IFERROR(IF([1]财务取数接口!$C$349=0,"",[1]财务取数接口!$C$349),""))</f>
        <v/>
      </c>
      <c r="D350" s="89" t="str">
        <f>IF($T$4=0,IF($K350="","",$K350),IFERROR(IF([1]财务取数接口!$D$349=0,"",[1]财务取数接口!$D$349),""))</f>
        <v/>
      </c>
      <c r="E350" s="89" t="str">
        <f>IF($T$4=0,IF($L350="","",$L350),IFERROR(IF([1]财务取数接口!$E$349=0,"",[1]财务取数接口!$E$349),""))</f>
        <v/>
      </c>
      <c r="F350" s="76" t="str">
        <f>IF($T$4=0,IF($M350="","",$M350),IFERROR(IF([1]财务取数接口!$G$349=0,"",[1]财务取数接口!$G$349),""))</f>
        <v/>
      </c>
      <c r="G350" s="76" t="str">
        <f>IF($T$4=0,IF($N350="","",$N350),IFERROR(IF([1]财务取数接口!$H$349=0,"",[1]财务取数接口!$H$349),""))</f>
        <v/>
      </c>
      <c r="H350" s="75" t="str">
        <f>IF($T$4=0,IF($O350="","",$O350),IFERROR(IF([1]财务取数接口!$I$349=0,"",[1]财务取数接口!$I$349),""))</f>
        <v/>
      </c>
      <c r="I350" s="43"/>
      <c r="J350" s="106"/>
      <c r="K350" s="43"/>
      <c r="L350" s="43"/>
      <c r="M350" s="107"/>
      <c r="N350" s="107"/>
      <c r="O350" s="106"/>
      <c r="P350" s="139">
        <f t="shared" si="10"/>
        <v>0</v>
      </c>
      <c r="Q350" s="139">
        <f t="shared" si="11"/>
        <v>5</v>
      </c>
    </row>
    <row r="351" spans="1:17">
      <c r="A351" s="74">
        <v>350</v>
      </c>
      <c r="B351" s="89" t="str">
        <f>IF($T$4=0,IF($I351="","",$I351),IFERROR(IF([1]财务取数接口!$B$350=0,"",[1]财务取数接口!$B$350),""))</f>
        <v/>
      </c>
      <c r="C351" s="75" t="str">
        <f>IF($T$4=0,IF($J351="","",$J351),IFERROR(IF([1]财务取数接口!$C$350=0,"",[1]财务取数接口!$C$350),""))</f>
        <v/>
      </c>
      <c r="D351" s="89" t="str">
        <f>IF($T$4=0,IF($K351="","",$K351),IFERROR(IF([1]财务取数接口!$D$350=0,"",[1]财务取数接口!$D$350),""))</f>
        <v/>
      </c>
      <c r="E351" s="89" t="str">
        <f>IF($T$4=0,IF($L351="","",$L351),IFERROR(IF([1]财务取数接口!$E$350=0,"",[1]财务取数接口!$E$350),""))</f>
        <v/>
      </c>
      <c r="F351" s="76" t="str">
        <f>IF($T$4=0,IF($M351="","",$M351),IFERROR(IF([1]财务取数接口!$G$350=0,"",[1]财务取数接口!$G$350),""))</f>
        <v/>
      </c>
      <c r="G351" s="76" t="str">
        <f>IF($T$4=0,IF($N351="","",$N351),IFERROR(IF([1]财务取数接口!$H$350=0,"",[1]财务取数接口!$H$350),""))</f>
        <v/>
      </c>
      <c r="H351" s="75" t="str">
        <f>IF($T$4=0,IF($O351="","",$O351),IFERROR(IF([1]财务取数接口!$I$350=0,"",[1]财务取数接口!$I$350),""))</f>
        <v/>
      </c>
      <c r="I351" s="43"/>
      <c r="J351" s="106"/>
      <c r="K351" s="43"/>
      <c r="L351" s="43"/>
      <c r="M351" s="107"/>
      <c r="N351" s="107"/>
      <c r="O351" s="106"/>
      <c r="P351" s="139">
        <f t="shared" si="10"/>
        <v>0</v>
      </c>
      <c r="Q351" s="139">
        <f t="shared" si="11"/>
        <v>5</v>
      </c>
    </row>
    <row r="352" spans="1:17">
      <c r="A352" s="74">
        <v>351</v>
      </c>
      <c r="B352" s="89" t="str">
        <f>IF($T$4=0,IF($I352="","",$I352),IFERROR(IF([1]财务取数接口!$B$351=0,"",[1]财务取数接口!$B$351),""))</f>
        <v/>
      </c>
      <c r="C352" s="75" t="str">
        <f>IF($T$4=0,IF($J352="","",$J352),IFERROR(IF([1]财务取数接口!$C$351=0,"",[1]财务取数接口!$C$351),""))</f>
        <v/>
      </c>
      <c r="D352" s="89" t="str">
        <f>IF($T$4=0,IF($K352="","",$K352),IFERROR(IF([1]财务取数接口!$D$351=0,"",[1]财务取数接口!$D$351),""))</f>
        <v/>
      </c>
      <c r="E352" s="89" t="str">
        <f>IF($T$4=0,IF($L352="","",$L352),IFERROR(IF([1]财务取数接口!$E$351=0,"",[1]财务取数接口!$E$351),""))</f>
        <v/>
      </c>
      <c r="F352" s="76" t="str">
        <f>IF($T$4=0,IF($M352="","",$M352),IFERROR(IF([1]财务取数接口!$G$351=0,"",[1]财务取数接口!$G$351),""))</f>
        <v/>
      </c>
      <c r="G352" s="76" t="str">
        <f>IF($T$4=0,IF($N352="","",$N352),IFERROR(IF([1]财务取数接口!$H$351=0,"",[1]财务取数接口!$H$351),""))</f>
        <v/>
      </c>
      <c r="H352" s="75" t="str">
        <f>IF($T$4=0,IF($O352="","",$O352),IFERROR(IF([1]财务取数接口!$I$351=0,"",[1]财务取数接口!$I$351),""))</f>
        <v/>
      </c>
      <c r="I352" s="43"/>
      <c r="J352" s="106"/>
      <c r="K352" s="43"/>
      <c r="L352" s="43"/>
      <c r="M352" s="107"/>
      <c r="N352" s="107"/>
      <c r="O352" s="106"/>
      <c r="P352" s="139">
        <f t="shared" si="10"/>
        <v>0</v>
      </c>
      <c r="Q352" s="139">
        <f t="shared" si="11"/>
        <v>5</v>
      </c>
    </row>
    <row r="353" spans="1:17">
      <c r="A353" s="74">
        <v>352</v>
      </c>
      <c r="B353" s="89" t="str">
        <f>IF($T$4=0,IF($I353="","",$I353),IFERROR(IF([1]财务取数接口!$B$352=0,"",[1]财务取数接口!$B$352),""))</f>
        <v/>
      </c>
      <c r="C353" s="75" t="str">
        <f>IF($T$4=0,IF($J353="","",$J353),IFERROR(IF([1]财务取数接口!$C$352=0,"",[1]财务取数接口!$C$352),""))</f>
        <v/>
      </c>
      <c r="D353" s="89" t="str">
        <f>IF($T$4=0,IF($K353="","",$K353),IFERROR(IF([1]财务取数接口!$D$352=0,"",[1]财务取数接口!$D$352),""))</f>
        <v/>
      </c>
      <c r="E353" s="89" t="str">
        <f>IF($T$4=0,IF($L353="","",$L353),IFERROR(IF([1]财务取数接口!$E$352=0,"",[1]财务取数接口!$E$352),""))</f>
        <v/>
      </c>
      <c r="F353" s="76" t="str">
        <f>IF($T$4=0,IF($M353="","",$M353),IFERROR(IF([1]财务取数接口!$G$352=0,"",[1]财务取数接口!$G$352),""))</f>
        <v/>
      </c>
      <c r="G353" s="76" t="str">
        <f>IF($T$4=0,IF($N353="","",$N353),IFERROR(IF([1]财务取数接口!$H$352=0,"",[1]财务取数接口!$H$352),""))</f>
        <v/>
      </c>
      <c r="H353" s="75" t="str">
        <f>IF($T$4=0,IF($O353="","",$O353),IFERROR(IF([1]财务取数接口!$I$352=0,"",[1]财务取数接口!$I$352),""))</f>
        <v/>
      </c>
      <c r="I353" s="43"/>
      <c r="J353" s="106"/>
      <c r="K353" s="43"/>
      <c r="L353" s="43"/>
      <c r="M353" s="107"/>
      <c r="N353" s="107"/>
      <c r="O353" s="106"/>
      <c r="P353" s="139">
        <f t="shared" si="10"/>
        <v>0</v>
      </c>
      <c r="Q353" s="139">
        <f t="shared" si="11"/>
        <v>5</v>
      </c>
    </row>
    <row r="354" spans="1:17">
      <c r="A354" s="74">
        <v>353</v>
      </c>
      <c r="B354" s="89" t="str">
        <f>IF($T$4=0,IF($I354="","",$I354),IFERROR(IF([1]财务取数接口!$B$353=0,"",[1]财务取数接口!$B$353),""))</f>
        <v/>
      </c>
      <c r="C354" s="75" t="str">
        <f>IF($T$4=0,IF($J354="","",$J354),IFERROR(IF([1]财务取数接口!$C$353=0,"",[1]财务取数接口!$C$353),""))</f>
        <v/>
      </c>
      <c r="D354" s="89" t="str">
        <f>IF($T$4=0,IF($K354="","",$K354),IFERROR(IF([1]财务取数接口!$D$353=0,"",[1]财务取数接口!$D$353),""))</f>
        <v/>
      </c>
      <c r="E354" s="89" t="str">
        <f>IF($T$4=0,IF($L354="","",$L354),IFERROR(IF([1]财务取数接口!$E$353=0,"",[1]财务取数接口!$E$353),""))</f>
        <v/>
      </c>
      <c r="F354" s="76" t="str">
        <f>IF($T$4=0,IF($M354="","",$M354),IFERROR(IF([1]财务取数接口!$G$353=0,"",[1]财务取数接口!$G$353),""))</f>
        <v/>
      </c>
      <c r="G354" s="76" t="str">
        <f>IF($T$4=0,IF($N354="","",$N354),IFERROR(IF([1]财务取数接口!$H$353=0,"",[1]财务取数接口!$H$353),""))</f>
        <v/>
      </c>
      <c r="H354" s="75" t="str">
        <f>IF($T$4=0,IF($O354="","",$O354),IFERROR(IF([1]财务取数接口!$I$353=0,"",[1]财务取数接口!$I$353),""))</f>
        <v/>
      </c>
      <c r="I354" s="43"/>
      <c r="J354" s="106"/>
      <c r="K354" s="43"/>
      <c r="L354" s="43"/>
      <c r="M354" s="107"/>
      <c r="N354" s="107"/>
      <c r="O354" s="106"/>
      <c r="P354" s="139">
        <f t="shared" si="10"/>
        <v>0</v>
      </c>
      <c r="Q354" s="139">
        <f t="shared" si="11"/>
        <v>5</v>
      </c>
    </row>
    <row r="355" spans="1:17">
      <c r="A355" s="74">
        <v>354</v>
      </c>
      <c r="B355" s="89" t="str">
        <f>IF($T$4=0,IF($I355="","",$I355),IFERROR(IF([1]财务取数接口!$B$354=0,"",[1]财务取数接口!$B$354),""))</f>
        <v/>
      </c>
      <c r="C355" s="75" t="str">
        <f>IF($T$4=0,IF($J355="","",$J355),IFERROR(IF([1]财务取数接口!$C$354=0,"",[1]财务取数接口!$C$354),""))</f>
        <v/>
      </c>
      <c r="D355" s="89" t="str">
        <f>IF($T$4=0,IF($K355="","",$K355),IFERROR(IF([1]财务取数接口!$D$354=0,"",[1]财务取数接口!$D$354),""))</f>
        <v/>
      </c>
      <c r="E355" s="89" t="str">
        <f>IF($T$4=0,IF($L355="","",$L355),IFERROR(IF([1]财务取数接口!$E$354=0,"",[1]财务取数接口!$E$354),""))</f>
        <v/>
      </c>
      <c r="F355" s="76" t="str">
        <f>IF($T$4=0,IF($M355="","",$M355),IFERROR(IF([1]财务取数接口!$G$354=0,"",[1]财务取数接口!$G$354),""))</f>
        <v/>
      </c>
      <c r="G355" s="76" t="str">
        <f>IF($T$4=0,IF($N355="","",$N355),IFERROR(IF([1]财务取数接口!$H$354=0,"",[1]财务取数接口!$H$354),""))</f>
        <v/>
      </c>
      <c r="H355" s="75" t="str">
        <f>IF($T$4=0,IF($O355="","",$O355),IFERROR(IF([1]财务取数接口!$I$354=0,"",[1]财务取数接口!$I$354),""))</f>
        <v/>
      </c>
      <c r="I355" s="43"/>
      <c r="J355" s="106"/>
      <c r="K355" s="43"/>
      <c r="L355" s="43"/>
      <c r="M355" s="107"/>
      <c r="N355" s="107"/>
      <c r="O355" s="106"/>
      <c r="P355" s="139">
        <f t="shared" si="10"/>
        <v>0</v>
      </c>
      <c r="Q355" s="139">
        <f t="shared" si="11"/>
        <v>5</v>
      </c>
    </row>
    <row r="356" spans="1:17">
      <c r="A356" s="74">
        <v>355</v>
      </c>
      <c r="B356" s="89" t="str">
        <f>IF($T$4=0,IF($I356="","",$I356),IFERROR(IF([1]财务取数接口!$B$355=0,"",[1]财务取数接口!$B$355),""))</f>
        <v/>
      </c>
      <c r="C356" s="75" t="str">
        <f>IF($T$4=0,IF($J356="","",$J356),IFERROR(IF([1]财务取数接口!$C$355=0,"",[1]财务取数接口!$C$355),""))</f>
        <v/>
      </c>
      <c r="D356" s="89" t="str">
        <f>IF($T$4=0,IF($K356="","",$K356),IFERROR(IF([1]财务取数接口!$D$355=0,"",[1]财务取数接口!$D$355),""))</f>
        <v/>
      </c>
      <c r="E356" s="89" t="str">
        <f>IF($T$4=0,IF($L356="","",$L356),IFERROR(IF([1]财务取数接口!$E$355=0,"",[1]财务取数接口!$E$355),""))</f>
        <v/>
      </c>
      <c r="F356" s="76" t="str">
        <f>IF($T$4=0,IF($M356="","",$M356),IFERROR(IF([1]财务取数接口!$G$355=0,"",[1]财务取数接口!$G$355),""))</f>
        <v/>
      </c>
      <c r="G356" s="76" t="str">
        <f>IF($T$4=0,IF($N356="","",$N356),IFERROR(IF([1]财务取数接口!$H$355=0,"",[1]财务取数接口!$H$355),""))</f>
        <v/>
      </c>
      <c r="H356" s="75" t="str">
        <f>IF($T$4=0,IF($O356="","",$O356),IFERROR(IF([1]财务取数接口!$I$355=0,"",[1]财务取数接口!$I$355),""))</f>
        <v/>
      </c>
      <c r="I356" s="43"/>
      <c r="J356" s="106"/>
      <c r="K356" s="43"/>
      <c r="L356" s="43"/>
      <c r="M356" s="107"/>
      <c r="N356" s="107"/>
      <c r="O356" s="106"/>
      <c r="P356" s="139">
        <f t="shared" si="10"/>
        <v>0</v>
      </c>
      <c r="Q356" s="139">
        <f t="shared" si="11"/>
        <v>5</v>
      </c>
    </row>
    <row r="357" spans="1:17">
      <c r="A357" s="74">
        <v>356</v>
      </c>
      <c r="B357" s="89" t="str">
        <f>IF($T$4=0,IF($I357="","",$I357),IFERROR(IF([1]财务取数接口!$B$356=0,"",[1]财务取数接口!$B$356),""))</f>
        <v/>
      </c>
      <c r="C357" s="75" t="str">
        <f>IF($T$4=0,IF($J357="","",$J357),IFERROR(IF([1]财务取数接口!$C$356=0,"",[1]财务取数接口!$C$356),""))</f>
        <v/>
      </c>
      <c r="D357" s="89" t="str">
        <f>IF($T$4=0,IF($K357="","",$K357),IFERROR(IF([1]财务取数接口!$D$356=0,"",[1]财务取数接口!$D$356),""))</f>
        <v/>
      </c>
      <c r="E357" s="89" t="str">
        <f>IF($T$4=0,IF($L357="","",$L357),IFERROR(IF([1]财务取数接口!$E$356=0,"",[1]财务取数接口!$E$356),""))</f>
        <v/>
      </c>
      <c r="F357" s="76" t="str">
        <f>IF($T$4=0,IF($M357="","",$M357),IFERROR(IF([1]财务取数接口!$G$356=0,"",[1]财务取数接口!$G$356),""))</f>
        <v/>
      </c>
      <c r="G357" s="76" t="str">
        <f>IF($T$4=0,IF($N357="","",$N357),IFERROR(IF([1]财务取数接口!$H$356=0,"",[1]财务取数接口!$H$356),""))</f>
        <v/>
      </c>
      <c r="H357" s="75" t="str">
        <f>IF($T$4=0,IF($O357="","",$O357),IFERROR(IF([1]财务取数接口!$I$356=0,"",[1]财务取数接口!$I$356),""))</f>
        <v/>
      </c>
      <c r="I357" s="43"/>
      <c r="J357" s="106"/>
      <c r="K357" s="43"/>
      <c r="L357" s="43"/>
      <c r="M357" s="107"/>
      <c r="N357" s="107"/>
      <c r="O357" s="106"/>
      <c r="P357" s="139">
        <f t="shared" si="10"/>
        <v>0</v>
      </c>
      <c r="Q357" s="139">
        <f t="shared" si="11"/>
        <v>5</v>
      </c>
    </row>
    <row r="358" spans="1:17">
      <c r="A358" s="74">
        <v>357</v>
      </c>
      <c r="B358" s="89" t="str">
        <f>IF($T$4=0,IF($I358="","",$I358),IFERROR(IF([1]财务取数接口!$B$357=0,"",[1]财务取数接口!$B$357),""))</f>
        <v/>
      </c>
      <c r="C358" s="75" t="str">
        <f>IF($T$4=0,IF($J358="","",$J358),IFERROR(IF([1]财务取数接口!$C$357=0,"",[1]财务取数接口!$C$357),""))</f>
        <v/>
      </c>
      <c r="D358" s="89" t="str">
        <f>IF($T$4=0,IF($K358="","",$K358),IFERROR(IF([1]财务取数接口!$D$357=0,"",[1]财务取数接口!$D$357),""))</f>
        <v/>
      </c>
      <c r="E358" s="89" t="str">
        <f>IF($T$4=0,IF($L358="","",$L358),IFERROR(IF([1]财务取数接口!$E$357=0,"",[1]财务取数接口!$E$357),""))</f>
        <v/>
      </c>
      <c r="F358" s="76" t="str">
        <f>IF($T$4=0,IF($M358="","",$M358),IFERROR(IF([1]财务取数接口!$G$357=0,"",[1]财务取数接口!$G$357),""))</f>
        <v/>
      </c>
      <c r="G358" s="76" t="str">
        <f>IF($T$4=0,IF($N358="","",$N358),IFERROR(IF([1]财务取数接口!$H$357=0,"",[1]财务取数接口!$H$357),""))</f>
        <v/>
      </c>
      <c r="H358" s="75" t="str">
        <f>IF($T$4=0,IF($O358="","",$O358),IFERROR(IF([1]财务取数接口!$I$357=0,"",[1]财务取数接口!$I$357),""))</f>
        <v/>
      </c>
      <c r="I358" s="43"/>
      <c r="J358" s="106"/>
      <c r="K358" s="43"/>
      <c r="L358" s="43"/>
      <c r="M358" s="107"/>
      <c r="N358" s="107"/>
      <c r="O358" s="106"/>
      <c r="P358" s="139">
        <f t="shared" si="10"/>
        <v>0</v>
      </c>
      <c r="Q358" s="139">
        <f t="shared" si="11"/>
        <v>5</v>
      </c>
    </row>
    <row r="359" spans="1:17">
      <c r="A359" s="74">
        <v>358</v>
      </c>
      <c r="B359" s="89" t="str">
        <f>IF($T$4=0,IF($I359="","",$I359),IFERROR(IF([1]财务取数接口!$B$358=0,"",[1]财务取数接口!$B$358),""))</f>
        <v/>
      </c>
      <c r="C359" s="75" t="str">
        <f>IF($T$4=0,IF($J359="","",$J359),IFERROR(IF([1]财务取数接口!$C$358=0,"",[1]财务取数接口!$C$358),""))</f>
        <v/>
      </c>
      <c r="D359" s="89" t="str">
        <f>IF($T$4=0,IF($K359="","",$K359),IFERROR(IF([1]财务取数接口!$D$358=0,"",[1]财务取数接口!$D$358),""))</f>
        <v/>
      </c>
      <c r="E359" s="89" t="str">
        <f>IF($T$4=0,IF($L359="","",$L359),IFERROR(IF([1]财务取数接口!$E$358=0,"",[1]财务取数接口!$E$358),""))</f>
        <v/>
      </c>
      <c r="F359" s="76" t="str">
        <f>IF($T$4=0,IF($M359="","",$M359),IFERROR(IF([1]财务取数接口!$G$358=0,"",[1]财务取数接口!$G$358),""))</f>
        <v/>
      </c>
      <c r="G359" s="76" t="str">
        <f>IF($T$4=0,IF($N359="","",$N359),IFERROR(IF([1]财务取数接口!$H$358=0,"",[1]财务取数接口!$H$358),""))</f>
        <v/>
      </c>
      <c r="H359" s="75" t="str">
        <f>IF($T$4=0,IF($O359="","",$O359),IFERROR(IF([1]财务取数接口!$I$358=0,"",[1]财务取数接口!$I$358),""))</f>
        <v/>
      </c>
      <c r="I359" s="43"/>
      <c r="J359" s="106"/>
      <c r="K359" s="43"/>
      <c r="L359" s="43"/>
      <c r="M359" s="107"/>
      <c r="N359" s="107"/>
      <c r="O359" s="106"/>
      <c r="P359" s="139">
        <f t="shared" si="10"/>
        <v>0</v>
      </c>
      <c r="Q359" s="139">
        <f t="shared" si="11"/>
        <v>5</v>
      </c>
    </row>
    <row r="360" spans="1:17">
      <c r="A360" s="74">
        <v>359</v>
      </c>
      <c r="B360" s="89" t="str">
        <f>IF($T$4=0,IF($I360="","",$I360),IFERROR(IF([1]财务取数接口!$B$359=0,"",[1]财务取数接口!$B$359),""))</f>
        <v/>
      </c>
      <c r="C360" s="75" t="str">
        <f>IF($T$4=0,IF($J360="","",$J360),IFERROR(IF([1]财务取数接口!$C$359=0,"",[1]财务取数接口!$C$359),""))</f>
        <v/>
      </c>
      <c r="D360" s="89" t="str">
        <f>IF($T$4=0,IF($K360="","",$K360),IFERROR(IF([1]财务取数接口!$D$359=0,"",[1]财务取数接口!$D$359),""))</f>
        <v/>
      </c>
      <c r="E360" s="89" t="str">
        <f>IF($T$4=0,IF($L360="","",$L360),IFERROR(IF([1]财务取数接口!$E$359=0,"",[1]财务取数接口!$E$359),""))</f>
        <v/>
      </c>
      <c r="F360" s="76" t="str">
        <f>IF($T$4=0,IF($M360="","",$M360),IFERROR(IF([1]财务取数接口!$G$359=0,"",[1]财务取数接口!$G$359),""))</f>
        <v/>
      </c>
      <c r="G360" s="76" t="str">
        <f>IF($T$4=0,IF($N360="","",$N360),IFERROR(IF([1]财务取数接口!$H$359=0,"",[1]财务取数接口!$H$359),""))</f>
        <v/>
      </c>
      <c r="H360" s="75" t="str">
        <f>IF($T$4=0,IF($O360="","",$O360),IFERROR(IF([1]财务取数接口!$I$359=0,"",[1]财务取数接口!$I$359),""))</f>
        <v/>
      </c>
      <c r="I360" s="43"/>
      <c r="J360" s="106"/>
      <c r="K360" s="43"/>
      <c r="L360" s="43"/>
      <c r="M360" s="107"/>
      <c r="N360" s="107"/>
      <c r="O360" s="106"/>
      <c r="P360" s="139">
        <f t="shared" si="10"/>
        <v>0</v>
      </c>
      <c r="Q360" s="139">
        <f t="shared" si="11"/>
        <v>5</v>
      </c>
    </row>
    <row r="361" spans="1:17">
      <c r="A361" s="74">
        <v>360</v>
      </c>
      <c r="B361" s="89" t="str">
        <f>IF($T$4=0,IF($I361="","",$I361),IFERROR(IF([1]财务取数接口!$B$360=0,"",[1]财务取数接口!$B$360),""))</f>
        <v/>
      </c>
      <c r="C361" s="75" t="str">
        <f>IF($T$4=0,IF($J361="","",$J361),IFERROR(IF([1]财务取数接口!$C$360=0,"",[1]财务取数接口!$C$360),""))</f>
        <v/>
      </c>
      <c r="D361" s="89" t="str">
        <f>IF($T$4=0,IF($K361="","",$K361),IFERROR(IF([1]财务取数接口!$D$360=0,"",[1]财务取数接口!$D$360),""))</f>
        <v/>
      </c>
      <c r="E361" s="89" t="str">
        <f>IF($T$4=0,IF($L361="","",$L361),IFERROR(IF([1]财务取数接口!$E$360=0,"",[1]财务取数接口!$E$360),""))</f>
        <v/>
      </c>
      <c r="F361" s="76" t="str">
        <f>IF($T$4=0,IF($M361="","",$M361),IFERROR(IF([1]财务取数接口!$G$360=0,"",[1]财务取数接口!$G$360),""))</f>
        <v/>
      </c>
      <c r="G361" s="76" t="str">
        <f>IF($T$4=0,IF($N361="","",$N361),IFERROR(IF([1]财务取数接口!$H$360=0,"",[1]财务取数接口!$H$360),""))</f>
        <v/>
      </c>
      <c r="H361" s="75" t="str">
        <f>IF($T$4=0,IF($O361="","",$O361),IFERROR(IF([1]财务取数接口!$I$360=0,"",[1]财务取数接口!$I$360),""))</f>
        <v/>
      </c>
      <c r="I361" s="43"/>
      <c r="J361" s="106"/>
      <c r="K361" s="43"/>
      <c r="L361" s="43"/>
      <c r="M361" s="107"/>
      <c r="N361" s="107"/>
      <c r="O361" s="106"/>
      <c r="P361" s="139">
        <f t="shared" si="10"/>
        <v>0</v>
      </c>
      <c r="Q361" s="139">
        <f t="shared" si="11"/>
        <v>5</v>
      </c>
    </row>
    <row r="362" spans="1:17">
      <c r="A362" s="74">
        <v>361</v>
      </c>
      <c r="B362" s="89" t="str">
        <f>IF($T$4=0,IF($I362="","",$I362),IFERROR(IF([1]财务取数接口!$B$361=0,"",[1]财务取数接口!$B$361),""))</f>
        <v/>
      </c>
      <c r="C362" s="75" t="str">
        <f>IF($T$4=0,IF($J362="","",$J362),IFERROR(IF([1]财务取数接口!$C$361=0,"",[1]财务取数接口!$C$361),""))</f>
        <v/>
      </c>
      <c r="D362" s="89" t="str">
        <f>IF($T$4=0,IF($K362="","",$K362),IFERROR(IF([1]财务取数接口!$D$361=0,"",[1]财务取数接口!$D$361),""))</f>
        <v/>
      </c>
      <c r="E362" s="89" t="str">
        <f>IF($T$4=0,IF($L362="","",$L362),IFERROR(IF([1]财务取数接口!$E$361=0,"",[1]财务取数接口!$E$361),""))</f>
        <v/>
      </c>
      <c r="F362" s="76" t="str">
        <f>IF($T$4=0,IF($M362="","",$M362),IFERROR(IF([1]财务取数接口!$G$361=0,"",[1]财务取数接口!$G$361),""))</f>
        <v/>
      </c>
      <c r="G362" s="76" t="str">
        <f>IF($T$4=0,IF($N362="","",$N362),IFERROR(IF([1]财务取数接口!$H$361=0,"",[1]财务取数接口!$H$361),""))</f>
        <v/>
      </c>
      <c r="H362" s="75" t="str">
        <f>IF($T$4=0,IF($O362="","",$O362),IFERROR(IF([1]财务取数接口!$I$361=0,"",[1]财务取数接口!$I$361),""))</f>
        <v/>
      </c>
      <c r="I362" s="43"/>
      <c r="J362" s="106"/>
      <c r="K362" s="43"/>
      <c r="L362" s="43"/>
      <c r="M362" s="107"/>
      <c r="N362" s="107"/>
      <c r="O362" s="106"/>
      <c r="P362" s="139">
        <f t="shared" si="10"/>
        <v>0</v>
      </c>
      <c r="Q362" s="139">
        <f t="shared" si="11"/>
        <v>5</v>
      </c>
    </row>
    <row r="363" spans="1:17">
      <c r="A363" s="74">
        <v>362</v>
      </c>
      <c r="B363" s="89" t="str">
        <f>IF($T$4=0,IF($I363="","",$I363),IFERROR(IF([1]财务取数接口!$B$362=0,"",[1]财务取数接口!$B$362),""))</f>
        <v/>
      </c>
      <c r="C363" s="75" t="str">
        <f>IF($T$4=0,IF($J363="","",$J363),IFERROR(IF([1]财务取数接口!$C$362=0,"",[1]财务取数接口!$C$362),""))</f>
        <v/>
      </c>
      <c r="D363" s="89" t="str">
        <f>IF($T$4=0,IF($K363="","",$K363),IFERROR(IF([1]财务取数接口!$D$362=0,"",[1]财务取数接口!$D$362),""))</f>
        <v/>
      </c>
      <c r="E363" s="89" t="str">
        <f>IF($T$4=0,IF($L363="","",$L363),IFERROR(IF([1]财务取数接口!$E$362=0,"",[1]财务取数接口!$E$362),""))</f>
        <v/>
      </c>
      <c r="F363" s="76" t="str">
        <f>IF($T$4=0,IF($M363="","",$M363),IFERROR(IF([1]财务取数接口!$G$362=0,"",[1]财务取数接口!$G$362),""))</f>
        <v/>
      </c>
      <c r="G363" s="76" t="str">
        <f>IF($T$4=0,IF($N363="","",$N363),IFERROR(IF([1]财务取数接口!$H$362=0,"",[1]财务取数接口!$H$362),""))</f>
        <v/>
      </c>
      <c r="H363" s="75" t="str">
        <f>IF($T$4=0,IF($O363="","",$O363),IFERROR(IF([1]财务取数接口!$I$362=0,"",[1]财务取数接口!$I$362),""))</f>
        <v/>
      </c>
      <c r="I363" s="43"/>
      <c r="J363" s="106"/>
      <c r="K363" s="43"/>
      <c r="L363" s="43"/>
      <c r="M363" s="107"/>
      <c r="N363" s="107"/>
      <c r="O363" s="106"/>
      <c r="P363" s="139">
        <f t="shared" si="10"/>
        <v>0</v>
      </c>
      <c r="Q363" s="139">
        <f t="shared" si="11"/>
        <v>5</v>
      </c>
    </row>
    <row r="364" spans="1:17">
      <c r="A364" s="74">
        <v>363</v>
      </c>
      <c r="B364" s="89" t="str">
        <f>IF($T$4=0,IF($I364="","",$I364),IFERROR(IF([1]财务取数接口!$B$363=0,"",[1]财务取数接口!$B$363),""))</f>
        <v/>
      </c>
      <c r="C364" s="75" t="str">
        <f>IF($T$4=0,IF($J364="","",$J364),IFERROR(IF([1]财务取数接口!$C$363=0,"",[1]财务取数接口!$C$363),""))</f>
        <v/>
      </c>
      <c r="D364" s="89" t="str">
        <f>IF($T$4=0,IF($K364="","",$K364),IFERROR(IF([1]财务取数接口!$D$363=0,"",[1]财务取数接口!$D$363),""))</f>
        <v/>
      </c>
      <c r="E364" s="89" t="str">
        <f>IF($T$4=0,IF($L364="","",$L364),IFERROR(IF([1]财务取数接口!$E$363=0,"",[1]财务取数接口!$E$363),""))</f>
        <v/>
      </c>
      <c r="F364" s="76" t="str">
        <f>IF($T$4=0,IF($M364="","",$M364),IFERROR(IF([1]财务取数接口!$G$363=0,"",[1]财务取数接口!$G$363),""))</f>
        <v/>
      </c>
      <c r="G364" s="76" t="str">
        <f>IF($T$4=0,IF($N364="","",$N364),IFERROR(IF([1]财务取数接口!$H$363=0,"",[1]财务取数接口!$H$363),""))</f>
        <v/>
      </c>
      <c r="H364" s="75" t="str">
        <f>IF($T$4=0,IF($O364="","",$O364),IFERROR(IF([1]财务取数接口!$I$363=0,"",[1]财务取数接口!$I$363),""))</f>
        <v/>
      </c>
      <c r="I364" s="43"/>
      <c r="J364" s="106"/>
      <c r="K364" s="43"/>
      <c r="L364" s="43"/>
      <c r="M364" s="107"/>
      <c r="N364" s="107"/>
      <c r="O364" s="106"/>
      <c r="P364" s="139">
        <f t="shared" si="10"/>
        <v>0</v>
      </c>
      <c r="Q364" s="139">
        <f t="shared" si="11"/>
        <v>5</v>
      </c>
    </row>
    <row r="365" spans="1:17">
      <c r="A365" s="74">
        <v>364</v>
      </c>
      <c r="B365" s="89" t="str">
        <f>IF($T$4=0,IF($I365="","",$I365),IFERROR(IF([1]财务取数接口!$B$364=0,"",[1]财务取数接口!$B$364),""))</f>
        <v/>
      </c>
      <c r="C365" s="75" t="str">
        <f>IF($T$4=0,IF($J365="","",$J365),IFERROR(IF([1]财务取数接口!$C$364=0,"",[1]财务取数接口!$C$364),""))</f>
        <v/>
      </c>
      <c r="D365" s="89" t="str">
        <f>IF($T$4=0,IF($K365="","",$K365),IFERROR(IF([1]财务取数接口!$D$364=0,"",[1]财务取数接口!$D$364),""))</f>
        <v/>
      </c>
      <c r="E365" s="89" t="str">
        <f>IF($T$4=0,IF($L365="","",$L365),IFERROR(IF([1]财务取数接口!$E$364=0,"",[1]财务取数接口!$E$364),""))</f>
        <v/>
      </c>
      <c r="F365" s="76" t="str">
        <f>IF($T$4=0,IF($M365="","",$M365),IFERROR(IF([1]财务取数接口!$G$364=0,"",[1]财务取数接口!$G$364),""))</f>
        <v/>
      </c>
      <c r="G365" s="76" t="str">
        <f>IF($T$4=0,IF($N365="","",$N365),IFERROR(IF([1]财务取数接口!$H$364=0,"",[1]财务取数接口!$H$364),""))</f>
        <v/>
      </c>
      <c r="H365" s="75" t="str">
        <f>IF($T$4=0,IF($O365="","",$O365),IFERROR(IF([1]财务取数接口!$I$364=0,"",[1]财务取数接口!$I$364),""))</f>
        <v/>
      </c>
      <c r="I365" s="43"/>
      <c r="J365" s="106"/>
      <c r="K365" s="43"/>
      <c r="L365" s="43"/>
      <c r="M365" s="107"/>
      <c r="N365" s="107"/>
      <c r="O365" s="106"/>
      <c r="P365" s="139">
        <f t="shared" si="10"/>
        <v>0</v>
      </c>
      <c r="Q365" s="139">
        <f t="shared" si="11"/>
        <v>5</v>
      </c>
    </row>
    <row r="366" spans="1:17">
      <c r="A366" s="74">
        <v>365</v>
      </c>
      <c r="B366" s="89" t="str">
        <f>IF($T$4=0,IF($I366="","",$I366),IFERROR(IF([1]财务取数接口!$B$365=0,"",[1]财务取数接口!$B$365),""))</f>
        <v/>
      </c>
      <c r="C366" s="75" t="str">
        <f>IF($T$4=0,IF($J366="","",$J366),IFERROR(IF([1]财务取数接口!$C$365=0,"",[1]财务取数接口!$C$365),""))</f>
        <v/>
      </c>
      <c r="D366" s="89" t="str">
        <f>IF($T$4=0,IF($K366="","",$K366),IFERROR(IF([1]财务取数接口!$D$365=0,"",[1]财务取数接口!$D$365),""))</f>
        <v/>
      </c>
      <c r="E366" s="89" t="str">
        <f>IF($T$4=0,IF($L366="","",$L366),IFERROR(IF([1]财务取数接口!$E$365=0,"",[1]财务取数接口!$E$365),""))</f>
        <v/>
      </c>
      <c r="F366" s="76" t="str">
        <f>IF($T$4=0,IF($M366="","",$M366),IFERROR(IF([1]财务取数接口!$G$365=0,"",[1]财务取数接口!$G$365),""))</f>
        <v/>
      </c>
      <c r="G366" s="76" t="str">
        <f>IF($T$4=0,IF($N366="","",$N366),IFERROR(IF([1]财务取数接口!$H$365=0,"",[1]财务取数接口!$H$365),""))</f>
        <v/>
      </c>
      <c r="H366" s="75" t="str">
        <f>IF($T$4=0,IF($O366="","",$O366),IFERROR(IF([1]财务取数接口!$I$365=0,"",[1]财务取数接口!$I$365),""))</f>
        <v/>
      </c>
      <c r="I366" s="43"/>
      <c r="J366" s="106"/>
      <c r="K366" s="43"/>
      <c r="L366" s="43"/>
      <c r="M366" s="107"/>
      <c r="N366" s="107"/>
      <c r="O366" s="106"/>
      <c r="P366" s="139">
        <f t="shared" si="10"/>
        <v>0</v>
      </c>
      <c r="Q366" s="139">
        <f t="shared" si="11"/>
        <v>5</v>
      </c>
    </row>
    <row r="367" spans="1:17">
      <c r="A367" s="74">
        <v>366</v>
      </c>
      <c r="B367" s="89" t="str">
        <f>IF($T$4=0,IF($I367="","",$I367),IFERROR(IF([1]财务取数接口!$B$366=0,"",[1]财务取数接口!$B$366),""))</f>
        <v/>
      </c>
      <c r="C367" s="75" t="str">
        <f>IF($T$4=0,IF($J367="","",$J367),IFERROR(IF([1]财务取数接口!$C$366=0,"",[1]财务取数接口!$C$366),""))</f>
        <v/>
      </c>
      <c r="D367" s="89" t="str">
        <f>IF($T$4=0,IF($K367="","",$K367),IFERROR(IF([1]财务取数接口!$D$366=0,"",[1]财务取数接口!$D$366),""))</f>
        <v/>
      </c>
      <c r="E367" s="89" t="str">
        <f>IF($T$4=0,IF($L367="","",$L367),IFERROR(IF([1]财务取数接口!$E$366=0,"",[1]财务取数接口!$E$366),""))</f>
        <v/>
      </c>
      <c r="F367" s="76" t="str">
        <f>IF($T$4=0,IF($M367="","",$M367),IFERROR(IF([1]财务取数接口!$G$366=0,"",[1]财务取数接口!$G$366),""))</f>
        <v/>
      </c>
      <c r="G367" s="76" t="str">
        <f>IF($T$4=0,IF($N367="","",$N367),IFERROR(IF([1]财务取数接口!$H$366=0,"",[1]财务取数接口!$H$366),""))</f>
        <v/>
      </c>
      <c r="H367" s="75" t="str">
        <f>IF($T$4=0,IF($O367="","",$O367),IFERROR(IF([1]财务取数接口!$I$366=0,"",[1]财务取数接口!$I$366),""))</f>
        <v/>
      </c>
      <c r="I367" s="43"/>
      <c r="J367" s="106"/>
      <c r="K367" s="43"/>
      <c r="L367" s="43"/>
      <c r="M367" s="107"/>
      <c r="N367" s="107"/>
      <c r="O367" s="106"/>
      <c r="P367" s="139">
        <f t="shared" si="10"/>
        <v>0</v>
      </c>
      <c r="Q367" s="139">
        <f t="shared" si="11"/>
        <v>5</v>
      </c>
    </row>
    <row r="368" spans="1:17">
      <c r="A368" s="74">
        <v>367</v>
      </c>
      <c r="B368" s="89" t="str">
        <f>IF($T$4=0,IF($I368="","",$I368),IFERROR(IF([1]财务取数接口!$B$367=0,"",[1]财务取数接口!$B$367),""))</f>
        <v/>
      </c>
      <c r="C368" s="75" t="str">
        <f>IF($T$4=0,IF($J368="","",$J368),IFERROR(IF([1]财务取数接口!$C$367=0,"",[1]财务取数接口!$C$367),""))</f>
        <v/>
      </c>
      <c r="D368" s="89" t="str">
        <f>IF($T$4=0,IF($K368="","",$K368),IFERROR(IF([1]财务取数接口!$D$367=0,"",[1]财务取数接口!$D$367),""))</f>
        <v/>
      </c>
      <c r="E368" s="89" t="str">
        <f>IF($T$4=0,IF($L368="","",$L368),IFERROR(IF([1]财务取数接口!$E$367=0,"",[1]财务取数接口!$E$367),""))</f>
        <v/>
      </c>
      <c r="F368" s="76" t="str">
        <f>IF($T$4=0,IF($M368="","",$M368),IFERROR(IF([1]财务取数接口!$G$367=0,"",[1]财务取数接口!$G$367),""))</f>
        <v/>
      </c>
      <c r="G368" s="76" t="str">
        <f>IF($T$4=0,IF($N368="","",$N368),IFERROR(IF([1]财务取数接口!$H$367=0,"",[1]财务取数接口!$H$367),""))</f>
        <v/>
      </c>
      <c r="H368" s="75" t="str">
        <f>IF($T$4=0,IF($O368="","",$O368),IFERROR(IF([1]财务取数接口!$I$367=0,"",[1]财务取数接口!$I$367),""))</f>
        <v/>
      </c>
      <c r="I368" s="43"/>
      <c r="J368" s="106"/>
      <c r="K368" s="43"/>
      <c r="L368" s="43"/>
      <c r="M368" s="107"/>
      <c r="N368" s="107"/>
      <c r="O368" s="106"/>
      <c r="P368" s="139">
        <f t="shared" si="10"/>
        <v>0</v>
      </c>
      <c r="Q368" s="139">
        <f t="shared" si="11"/>
        <v>5</v>
      </c>
    </row>
    <row r="369" spans="1:17">
      <c r="A369" s="74">
        <v>368</v>
      </c>
      <c r="B369" s="89" t="str">
        <f>IF($T$4=0,IF($I369="","",$I369),IFERROR(IF([1]财务取数接口!$B$368=0,"",[1]财务取数接口!$B$368),""))</f>
        <v/>
      </c>
      <c r="C369" s="75" t="str">
        <f>IF($T$4=0,IF($J369="","",$J369),IFERROR(IF([1]财务取数接口!$C$368=0,"",[1]财务取数接口!$C$368),""))</f>
        <v/>
      </c>
      <c r="D369" s="89" t="str">
        <f>IF($T$4=0,IF($K369="","",$K369),IFERROR(IF([1]财务取数接口!$D$368=0,"",[1]财务取数接口!$D$368),""))</f>
        <v/>
      </c>
      <c r="E369" s="89" t="str">
        <f>IF($T$4=0,IF($L369="","",$L369),IFERROR(IF([1]财务取数接口!$E$368=0,"",[1]财务取数接口!$E$368),""))</f>
        <v/>
      </c>
      <c r="F369" s="76" t="str">
        <f>IF($T$4=0,IF($M369="","",$M369),IFERROR(IF([1]财务取数接口!$G$368=0,"",[1]财务取数接口!$G$368),""))</f>
        <v/>
      </c>
      <c r="G369" s="76" t="str">
        <f>IF($T$4=0,IF($N369="","",$N369),IFERROR(IF([1]财务取数接口!$H$368=0,"",[1]财务取数接口!$H$368),""))</f>
        <v/>
      </c>
      <c r="H369" s="75" t="str">
        <f>IF($T$4=0,IF($O369="","",$O369),IFERROR(IF([1]财务取数接口!$I$368=0,"",[1]财务取数接口!$I$368),""))</f>
        <v/>
      </c>
      <c r="I369" s="43"/>
      <c r="J369" s="106"/>
      <c r="K369" s="43"/>
      <c r="L369" s="43"/>
      <c r="M369" s="107"/>
      <c r="N369" s="107"/>
      <c r="O369" s="106"/>
      <c r="P369" s="139">
        <f t="shared" si="10"/>
        <v>0</v>
      </c>
      <c r="Q369" s="139">
        <f t="shared" si="11"/>
        <v>5</v>
      </c>
    </row>
    <row r="370" spans="1:17">
      <c r="A370" s="74">
        <v>369</v>
      </c>
      <c r="B370" s="89" t="str">
        <f>IF($T$4=0,IF($I370="","",$I370),IFERROR(IF([1]财务取数接口!$B$369=0,"",[1]财务取数接口!$B$369),""))</f>
        <v/>
      </c>
      <c r="C370" s="75" t="str">
        <f>IF($T$4=0,IF($J370="","",$J370),IFERROR(IF([1]财务取数接口!$C$369=0,"",[1]财务取数接口!$C$369),""))</f>
        <v/>
      </c>
      <c r="D370" s="89" t="str">
        <f>IF($T$4=0,IF($K370="","",$K370),IFERROR(IF([1]财务取数接口!$D$369=0,"",[1]财务取数接口!$D$369),""))</f>
        <v/>
      </c>
      <c r="E370" s="89" t="str">
        <f>IF($T$4=0,IF($L370="","",$L370),IFERROR(IF([1]财务取数接口!$E$369=0,"",[1]财务取数接口!$E$369),""))</f>
        <v/>
      </c>
      <c r="F370" s="76" t="str">
        <f>IF($T$4=0,IF($M370="","",$M370),IFERROR(IF([1]财务取数接口!$G$369=0,"",[1]财务取数接口!$G$369),""))</f>
        <v/>
      </c>
      <c r="G370" s="76" t="str">
        <f>IF($T$4=0,IF($N370="","",$N370),IFERROR(IF([1]财务取数接口!$H$369=0,"",[1]财务取数接口!$H$369),""))</f>
        <v/>
      </c>
      <c r="H370" s="75" t="str">
        <f>IF($T$4=0,IF($O370="","",$O370),IFERROR(IF([1]财务取数接口!$I$369=0,"",[1]财务取数接口!$I$369),""))</f>
        <v/>
      </c>
      <c r="I370" s="43"/>
      <c r="J370" s="106"/>
      <c r="K370" s="43"/>
      <c r="L370" s="43"/>
      <c r="M370" s="107"/>
      <c r="N370" s="107"/>
      <c r="O370" s="106"/>
      <c r="P370" s="139">
        <f t="shared" si="10"/>
        <v>0</v>
      </c>
      <c r="Q370" s="139">
        <f t="shared" si="11"/>
        <v>5</v>
      </c>
    </row>
    <row r="371" spans="1:17">
      <c r="A371" s="74">
        <v>370</v>
      </c>
      <c r="B371" s="89" t="str">
        <f>IF($T$4=0,IF($I371="","",$I371),IFERROR(IF([1]财务取数接口!$B$370=0,"",[1]财务取数接口!$B$370),""))</f>
        <v/>
      </c>
      <c r="C371" s="75" t="str">
        <f>IF($T$4=0,IF($J371="","",$J371),IFERROR(IF([1]财务取数接口!$C$370=0,"",[1]财务取数接口!$C$370),""))</f>
        <v/>
      </c>
      <c r="D371" s="89" t="str">
        <f>IF($T$4=0,IF($K371="","",$K371),IFERROR(IF([1]财务取数接口!$D$370=0,"",[1]财务取数接口!$D$370),""))</f>
        <v/>
      </c>
      <c r="E371" s="89" t="str">
        <f>IF($T$4=0,IF($L371="","",$L371),IFERROR(IF([1]财务取数接口!$E$370=0,"",[1]财务取数接口!$E$370),""))</f>
        <v/>
      </c>
      <c r="F371" s="76" t="str">
        <f>IF($T$4=0,IF($M371="","",$M371),IFERROR(IF([1]财务取数接口!$G$370=0,"",[1]财务取数接口!$G$370),""))</f>
        <v/>
      </c>
      <c r="G371" s="76" t="str">
        <f>IF($T$4=0,IF($N371="","",$N371),IFERROR(IF([1]财务取数接口!$H$370=0,"",[1]财务取数接口!$H$370),""))</f>
        <v/>
      </c>
      <c r="H371" s="75" t="str">
        <f>IF($T$4=0,IF($O371="","",$O371),IFERROR(IF([1]财务取数接口!$I$370=0,"",[1]财务取数接口!$I$370),""))</f>
        <v/>
      </c>
      <c r="I371" s="43"/>
      <c r="J371" s="106"/>
      <c r="K371" s="43"/>
      <c r="L371" s="43"/>
      <c r="M371" s="107"/>
      <c r="N371" s="107"/>
      <c r="O371" s="106"/>
      <c r="P371" s="139">
        <f t="shared" si="10"/>
        <v>0</v>
      </c>
      <c r="Q371" s="139">
        <f t="shared" si="11"/>
        <v>5</v>
      </c>
    </row>
    <row r="372" spans="1:17">
      <c r="A372" s="74">
        <v>371</v>
      </c>
      <c r="B372" s="89" t="str">
        <f>IF($T$4=0,IF($I372="","",$I372),IFERROR(IF([1]财务取数接口!$B$371=0,"",[1]财务取数接口!$B$371),""))</f>
        <v/>
      </c>
      <c r="C372" s="75" t="str">
        <f>IF($T$4=0,IF($J372="","",$J372),IFERROR(IF([1]财务取数接口!$C$371=0,"",[1]财务取数接口!$C$371),""))</f>
        <v/>
      </c>
      <c r="D372" s="89" t="str">
        <f>IF($T$4=0,IF($K372="","",$K372),IFERROR(IF([1]财务取数接口!$D$371=0,"",[1]财务取数接口!$D$371),""))</f>
        <v/>
      </c>
      <c r="E372" s="89" t="str">
        <f>IF($T$4=0,IF($L372="","",$L372),IFERROR(IF([1]财务取数接口!$E$371=0,"",[1]财务取数接口!$E$371),""))</f>
        <v/>
      </c>
      <c r="F372" s="76" t="str">
        <f>IF($T$4=0,IF($M372="","",$M372),IFERROR(IF([1]财务取数接口!$G$371=0,"",[1]财务取数接口!$G$371),""))</f>
        <v/>
      </c>
      <c r="G372" s="76" t="str">
        <f>IF($T$4=0,IF($N372="","",$N372),IFERROR(IF([1]财务取数接口!$H$371=0,"",[1]财务取数接口!$H$371),""))</f>
        <v/>
      </c>
      <c r="H372" s="75" t="str">
        <f>IF($T$4=0,IF($O372="","",$O372),IFERROR(IF([1]财务取数接口!$I$371=0,"",[1]财务取数接口!$I$371),""))</f>
        <v/>
      </c>
      <c r="I372" s="43"/>
      <c r="J372" s="106"/>
      <c r="K372" s="43"/>
      <c r="L372" s="43"/>
      <c r="M372" s="107"/>
      <c r="N372" s="107"/>
      <c r="O372" s="106"/>
      <c r="P372" s="139">
        <f t="shared" si="10"/>
        <v>0</v>
      </c>
      <c r="Q372" s="139">
        <f t="shared" si="11"/>
        <v>5</v>
      </c>
    </row>
    <row r="373" spans="1:17">
      <c r="A373" s="74">
        <v>372</v>
      </c>
      <c r="B373" s="89" t="str">
        <f>IF($T$4=0,IF($I373="","",$I373),IFERROR(IF([1]财务取数接口!$B$372=0,"",[1]财务取数接口!$B$372),""))</f>
        <v/>
      </c>
      <c r="C373" s="75" t="str">
        <f>IF($T$4=0,IF($J373="","",$J373),IFERROR(IF([1]财务取数接口!$C$372=0,"",[1]财务取数接口!$C$372),""))</f>
        <v/>
      </c>
      <c r="D373" s="89" t="str">
        <f>IF($T$4=0,IF($K373="","",$K373),IFERROR(IF([1]财务取数接口!$D$372=0,"",[1]财务取数接口!$D$372),""))</f>
        <v/>
      </c>
      <c r="E373" s="89" t="str">
        <f>IF($T$4=0,IF($L373="","",$L373),IFERROR(IF([1]财务取数接口!$E$372=0,"",[1]财务取数接口!$E$372),""))</f>
        <v/>
      </c>
      <c r="F373" s="76" t="str">
        <f>IF($T$4=0,IF($M373="","",$M373),IFERROR(IF([1]财务取数接口!$G$372=0,"",[1]财务取数接口!$G$372),""))</f>
        <v/>
      </c>
      <c r="G373" s="76" t="str">
        <f>IF($T$4=0,IF($N373="","",$N373),IFERROR(IF([1]财务取数接口!$H$372=0,"",[1]财务取数接口!$H$372),""))</f>
        <v/>
      </c>
      <c r="H373" s="75" t="str">
        <f>IF($T$4=0,IF($O373="","",$O373),IFERROR(IF([1]财务取数接口!$I$372=0,"",[1]财务取数接口!$I$372),""))</f>
        <v/>
      </c>
      <c r="I373" s="43"/>
      <c r="J373" s="106"/>
      <c r="K373" s="43"/>
      <c r="L373" s="43"/>
      <c r="M373" s="107"/>
      <c r="N373" s="107"/>
      <c r="O373" s="106"/>
      <c r="P373" s="139">
        <f t="shared" si="10"/>
        <v>0</v>
      </c>
      <c r="Q373" s="139">
        <f t="shared" si="11"/>
        <v>5</v>
      </c>
    </row>
    <row r="374" spans="1:17">
      <c r="A374" s="74">
        <v>373</v>
      </c>
      <c r="B374" s="89" t="str">
        <f>IF($T$4=0,IF($I374="","",$I374),IFERROR(IF([1]财务取数接口!$B$373=0,"",[1]财务取数接口!$B$373),""))</f>
        <v/>
      </c>
      <c r="C374" s="75" t="str">
        <f>IF($T$4=0,IF($J374="","",$J374),IFERROR(IF([1]财务取数接口!$C$373=0,"",[1]财务取数接口!$C$373),""))</f>
        <v/>
      </c>
      <c r="D374" s="89" t="str">
        <f>IF($T$4=0,IF($K374="","",$K374),IFERROR(IF([1]财务取数接口!$D$373=0,"",[1]财务取数接口!$D$373),""))</f>
        <v/>
      </c>
      <c r="E374" s="89" t="str">
        <f>IF($T$4=0,IF($L374="","",$L374),IFERROR(IF([1]财务取数接口!$E$373=0,"",[1]财务取数接口!$E$373),""))</f>
        <v/>
      </c>
      <c r="F374" s="76" t="str">
        <f>IF($T$4=0,IF($M374="","",$M374),IFERROR(IF([1]财务取数接口!$G$373=0,"",[1]财务取数接口!$G$373),""))</f>
        <v/>
      </c>
      <c r="G374" s="76" t="str">
        <f>IF($T$4=0,IF($N374="","",$N374),IFERROR(IF([1]财务取数接口!$H$373=0,"",[1]财务取数接口!$H$373),""))</f>
        <v/>
      </c>
      <c r="H374" s="75" t="str">
        <f>IF($T$4=0,IF($O374="","",$O374),IFERROR(IF([1]财务取数接口!$I$373=0,"",[1]财务取数接口!$I$373),""))</f>
        <v/>
      </c>
      <c r="I374" s="43"/>
      <c r="J374" s="106"/>
      <c r="K374" s="43"/>
      <c r="L374" s="43"/>
      <c r="M374" s="107"/>
      <c r="N374" s="107"/>
      <c r="O374" s="106"/>
      <c r="P374" s="139">
        <f t="shared" si="10"/>
        <v>0</v>
      </c>
      <c r="Q374" s="139">
        <f t="shared" si="11"/>
        <v>5</v>
      </c>
    </row>
    <row r="375" spans="1:17">
      <c r="A375" s="74">
        <v>374</v>
      </c>
      <c r="B375" s="89" t="str">
        <f>IF($T$4=0,IF($I375="","",$I375),IFERROR(IF([1]财务取数接口!$B$374=0,"",[1]财务取数接口!$B$374),""))</f>
        <v/>
      </c>
      <c r="C375" s="75" t="str">
        <f>IF($T$4=0,IF($J375="","",$J375),IFERROR(IF([1]财务取数接口!$C$374=0,"",[1]财务取数接口!$C$374),""))</f>
        <v/>
      </c>
      <c r="D375" s="89" t="str">
        <f>IF($T$4=0,IF($K375="","",$K375),IFERROR(IF([1]财务取数接口!$D$374=0,"",[1]财务取数接口!$D$374),""))</f>
        <v/>
      </c>
      <c r="E375" s="89" t="str">
        <f>IF($T$4=0,IF($L375="","",$L375),IFERROR(IF([1]财务取数接口!$E$374=0,"",[1]财务取数接口!$E$374),""))</f>
        <v/>
      </c>
      <c r="F375" s="76" t="str">
        <f>IF($T$4=0,IF($M375="","",$M375),IFERROR(IF([1]财务取数接口!$G$374=0,"",[1]财务取数接口!$G$374),""))</f>
        <v/>
      </c>
      <c r="G375" s="76" t="str">
        <f>IF($T$4=0,IF($N375="","",$N375),IFERROR(IF([1]财务取数接口!$H$374=0,"",[1]财务取数接口!$H$374),""))</f>
        <v/>
      </c>
      <c r="H375" s="75" t="str">
        <f>IF($T$4=0,IF($O375="","",$O375),IFERROR(IF([1]财务取数接口!$I$374=0,"",[1]财务取数接口!$I$374),""))</f>
        <v/>
      </c>
      <c r="I375" s="43"/>
      <c r="J375" s="106"/>
      <c r="K375" s="43"/>
      <c r="L375" s="43"/>
      <c r="M375" s="107"/>
      <c r="N375" s="107"/>
      <c r="O375" s="106"/>
      <c r="P375" s="139">
        <f t="shared" si="10"/>
        <v>0</v>
      </c>
      <c r="Q375" s="139">
        <f t="shared" si="11"/>
        <v>5</v>
      </c>
    </row>
    <row r="376" spans="1:17">
      <c r="A376" s="74">
        <v>375</v>
      </c>
      <c r="B376" s="89" t="str">
        <f>IF($T$4=0,IF($I376="","",$I376),IFERROR(IF([1]财务取数接口!$B$375=0,"",[1]财务取数接口!$B$375),""))</f>
        <v/>
      </c>
      <c r="C376" s="75" t="str">
        <f>IF($T$4=0,IF($J376="","",$J376),IFERROR(IF([1]财务取数接口!$C$375=0,"",[1]财务取数接口!$C$375),""))</f>
        <v/>
      </c>
      <c r="D376" s="89" t="str">
        <f>IF($T$4=0,IF($K376="","",$K376),IFERROR(IF([1]财务取数接口!$D$375=0,"",[1]财务取数接口!$D$375),""))</f>
        <v/>
      </c>
      <c r="E376" s="89" t="str">
        <f>IF($T$4=0,IF($L376="","",$L376),IFERROR(IF([1]财务取数接口!$E$375=0,"",[1]财务取数接口!$E$375),""))</f>
        <v/>
      </c>
      <c r="F376" s="76" t="str">
        <f>IF($T$4=0,IF($M376="","",$M376),IFERROR(IF([1]财务取数接口!$G$375=0,"",[1]财务取数接口!$G$375),""))</f>
        <v/>
      </c>
      <c r="G376" s="76" t="str">
        <f>IF($T$4=0,IF($N376="","",$N376),IFERROR(IF([1]财务取数接口!$H$375=0,"",[1]财务取数接口!$H$375),""))</f>
        <v/>
      </c>
      <c r="H376" s="75" t="str">
        <f>IF($T$4=0,IF($O376="","",$O376),IFERROR(IF([1]财务取数接口!$I$375=0,"",[1]财务取数接口!$I$375),""))</f>
        <v/>
      </c>
      <c r="I376" s="43"/>
      <c r="J376" s="106"/>
      <c r="K376" s="43"/>
      <c r="L376" s="43"/>
      <c r="M376" s="107"/>
      <c r="N376" s="107"/>
      <c r="O376" s="106"/>
      <c r="P376" s="139">
        <f t="shared" si="10"/>
        <v>0</v>
      </c>
      <c r="Q376" s="139">
        <f t="shared" si="11"/>
        <v>5</v>
      </c>
    </row>
    <row r="377" spans="1:17">
      <c r="A377" s="74">
        <v>376</v>
      </c>
      <c r="B377" s="89" t="str">
        <f>IF($T$4=0,IF($I377="","",$I377),IFERROR(IF([1]财务取数接口!$B$376=0,"",[1]财务取数接口!$B$376),""))</f>
        <v/>
      </c>
      <c r="C377" s="75" t="str">
        <f>IF($T$4=0,IF($J377="","",$J377),IFERROR(IF([1]财务取数接口!$C$376=0,"",[1]财务取数接口!$C$376),""))</f>
        <v/>
      </c>
      <c r="D377" s="89" t="str">
        <f>IF($T$4=0,IF($K377="","",$K377),IFERROR(IF([1]财务取数接口!$D$376=0,"",[1]财务取数接口!$D$376),""))</f>
        <v/>
      </c>
      <c r="E377" s="89" t="str">
        <f>IF($T$4=0,IF($L377="","",$L377),IFERROR(IF([1]财务取数接口!$E$376=0,"",[1]财务取数接口!$E$376),""))</f>
        <v/>
      </c>
      <c r="F377" s="76" t="str">
        <f>IF($T$4=0,IF($M377="","",$M377),IFERROR(IF([1]财务取数接口!$G$376=0,"",[1]财务取数接口!$G$376),""))</f>
        <v/>
      </c>
      <c r="G377" s="76" t="str">
        <f>IF($T$4=0,IF($N377="","",$N377),IFERROR(IF([1]财务取数接口!$H$376=0,"",[1]财务取数接口!$H$376),""))</f>
        <v/>
      </c>
      <c r="H377" s="75" t="str">
        <f>IF($T$4=0,IF($O377="","",$O377),IFERROR(IF([1]财务取数接口!$I$376=0,"",[1]财务取数接口!$I$376),""))</f>
        <v/>
      </c>
      <c r="I377" s="43"/>
      <c r="J377" s="106"/>
      <c r="K377" s="43"/>
      <c r="L377" s="43"/>
      <c r="M377" s="107"/>
      <c r="N377" s="107"/>
      <c r="O377" s="106"/>
      <c r="P377" s="139">
        <f t="shared" si="10"/>
        <v>0</v>
      </c>
      <c r="Q377" s="139">
        <f t="shared" si="11"/>
        <v>5</v>
      </c>
    </row>
    <row r="378" spans="1:17">
      <c r="A378" s="74">
        <v>377</v>
      </c>
      <c r="B378" s="89" t="str">
        <f>IF($T$4=0,IF($I378="","",$I378),IFERROR(IF([1]财务取数接口!$B$377=0,"",[1]财务取数接口!$B$377),""))</f>
        <v/>
      </c>
      <c r="C378" s="75" t="str">
        <f>IF($T$4=0,IF($J378="","",$J378),IFERROR(IF([1]财务取数接口!$C$377=0,"",[1]财务取数接口!$C$377),""))</f>
        <v/>
      </c>
      <c r="D378" s="89" t="str">
        <f>IF($T$4=0,IF($K378="","",$K378),IFERROR(IF([1]财务取数接口!$D$377=0,"",[1]财务取数接口!$D$377),""))</f>
        <v/>
      </c>
      <c r="E378" s="89" t="str">
        <f>IF($T$4=0,IF($L378="","",$L378),IFERROR(IF([1]财务取数接口!$E$377=0,"",[1]财务取数接口!$E$377),""))</f>
        <v/>
      </c>
      <c r="F378" s="76" t="str">
        <f>IF($T$4=0,IF($M378="","",$M378),IFERROR(IF([1]财务取数接口!$G$377=0,"",[1]财务取数接口!$G$377),""))</f>
        <v/>
      </c>
      <c r="G378" s="76" t="str">
        <f>IF($T$4=0,IF($N378="","",$N378),IFERROR(IF([1]财务取数接口!$H$377=0,"",[1]财务取数接口!$H$377),""))</f>
        <v/>
      </c>
      <c r="H378" s="75" t="str">
        <f>IF($T$4=0,IF($O378="","",$O378),IFERROR(IF([1]财务取数接口!$I$377=0,"",[1]财务取数接口!$I$377),""))</f>
        <v/>
      </c>
      <c r="I378" s="43"/>
      <c r="J378" s="106"/>
      <c r="K378" s="43"/>
      <c r="L378" s="43"/>
      <c r="M378" s="107"/>
      <c r="N378" s="107"/>
      <c r="O378" s="106"/>
      <c r="P378" s="139">
        <f t="shared" si="10"/>
        <v>0</v>
      </c>
      <c r="Q378" s="139">
        <f t="shared" si="11"/>
        <v>5</v>
      </c>
    </row>
    <row r="379" spans="1:17">
      <c r="A379" s="74">
        <v>378</v>
      </c>
      <c r="B379" s="89" t="str">
        <f>IF($T$4=0,IF($I379="","",$I379),IFERROR(IF([1]财务取数接口!$B$378=0,"",[1]财务取数接口!$B$378),""))</f>
        <v/>
      </c>
      <c r="C379" s="75" t="str">
        <f>IF($T$4=0,IF($J379="","",$J379),IFERROR(IF([1]财务取数接口!$C$378=0,"",[1]财务取数接口!$C$378),""))</f>
        <v/>
      </c>
      <c r="D379" s="89" t="str">
        <f>IF($T$4=0,IF($K379="","",$K379),IFERROR(IF([1]财务取数接口!$D$378=0,"",[1]财务取数接口!$D$378),""))</f>
        <v/>
      </c>
      <c r="E379" s="89" t="str">
        <f>IF($T$4=0,IF($L379="","",$L379),IFERROR(IF([1]财务取数接口!$E$378=0,"",[1]财务取数接口!$E$378),""))</f>
        <v/>
      </c>
      <c r="F379" s="76" t="str">
        <f>IF($T$4=0,IF($M379="","",$M379),IFERROR(IF([1]财务取数接口!$G$378=0,"",[1]财务取数接口!$G$378),""))</f>
        <v/>
      </c>
      <c r="G379" s="76" t="str">
        <f>IF($T$4=0,IF($N379="","",$N379),IFERROR(IF([1]财务取数接口!$H$378=0,"",[1]财务取数接口!$H$378),""))</f>
        <v/>
      </c>
      <c r="H379" s="75" t="str">
        <f>IF($T$4=0,IF($O379="","",$O379),IFERROR(IF([1]财务取数接口!$I$378=0,"",[1]财务取数接口!$I$378),""))</f>
        <v/>
      </c>
      <c r="I379" s="43"/>
      <c r="J379" s="106"/>
      <c r="K379" s="43"/>
      <c r="L379" s="43"/>
      <c r="M379" s="107"/>
      <c r="N379" s="107"/>
      <c r="O379" s="106"/>
      <c r="P379" s="139">
        <f t="shared" si="10"/>
        <v>0</v>
      </c>
      <c r="Q379" s="139">
        <f t="shared" si="11"/>
        <v>5</v>
      </c>
    </row>
    <row r="380" spans="1:17">
      <c r="A380" s="74">
        <v>379</v>
      </c>
      <c r="B380" s="89" t="str">
        <f>IF($T$4=0,IF($I380="","",$I380),IFERROR(IF([1]财务取数接口!$B$379=0,"",[1]财务取数接口!$B$379),""))</f>
        <v/>
      </c>
      <c r="C380" s="75" t="str">
        <f>IF($T$4=0,IF($J380="","",$J380),IFERROR(IF([1]财务取数接口!$C$379=0,"",[1]财务取数接口!$C$379),""))</f>
        <v/>
      </c>
      <c r="D380" s="89" t="str">
        <f>IF($T$4=0,IF($K380="","",$K380),IFERROR(IF([1]财务取数接口!$D$379=0,"",[1]财务取数接口!$D$379),""))</f>
        <v/>
      </c>
      <c r="E380" s="89" t="str">
        <f>IF($T$4=0,IF($L380="","",$L380),IFERROR(IF([1]财务取数接口!$E$379=0,"",[1]财务取数接口!$E$379),""))</f>
        <v/>
      </c>
      <c r="F380" s="76" t="str">
        <f>IF($T$4=0,IF($M380="","",$M380),IFERROR(IF([1]财务取数接口!$G$379=0,"",[1]财务取数接口!$G$379),""))</f>
        <v/>
      </c>
      <c r="G380" s="76" t="str">
        <f>IF($T$4=0,IF($N380="","",$N380),IFERROR(IF([1]财务取数接口!$H$379=0,"",[1]财务取数接口!$H$379),""))</f>
        <v/>
      </c>
      <c r="H380" s="75" t="str">
        <f>IF($T$4=0,IF($O380="","",$O380),IFERROR(IF([1]财务取数接口!$I$379=0,"",[1]财务取数接口!$I$379),""))</f>
        <v/>
      </c>
      <c r="I380" s="43"/>
      <c r="J380" s="106"/>
      <c r="K380" s="43"/>
      <c r="L380" s="43"/>
      <c r="M380" s="107"/>
      <c r="N380" s="107"/>
      <c r="O380" s="106"/>
      <c r="P380" s="139">
        <f t="shared" si="10"/>
        <v>0</v>
      </c>
      <c r="Q380" s="139">
        <f t="shared" si="11"/>
        <v>5</v>
      </c>
    </row>
    <row r="381" spans="1:17">
      <c r="A381" s="74">
        <v>380</v>
      </c>
      <c r="B381" s="89" t="str">
        <f>IF($T$4=0,IF($I381="","",$I381),IFERROR(IF([1]财务取数接口!$B$380=0,"",[1]财务取数接口!$B$380),""))</f>
        <v/>
      </c>
      <c r="C381" s="75" t="str">
        <f>IF($T$4=0,IF($J381="","",$J381),IFERROR(IF([1]财务取数接口!$C$380=0,"",[1]财务取数接口!$C$380),""))</f>
        <v/>
      </c>
      <c r="D381" s="89" t="str">
        <f>IF($T$4=0,IF($K381="","",$K381),IFERROR(IF([1]财务取数接口!$D$380=0,"",[1]财务取数接口!$D$380),""))</f>
        <v/>
      </c>
      <c r="E381" s="89" t="str">
        <f>IF($T$4=0,IF($L381="","",$L381),IFERROR(IF([1]财务取数接口!$E$380=0,"",[1]财务取数接口!$E$380),""))</f>
        <v/>
      </c>
      <c r="F381" s="76" t="str">
        <f>IF($T$4=0,IF($M381="","",$M381),IFERROR(IF([1]财务取数接口!$G$380=0,"",[1]财务取数接口!$G$380),""))</f>
        <v/>
      </c>
      <c r="G381" s="76" t="str">
        <f>IF($T$4=0,IF($N381="","",$N381),IFERROR(IF([1]财务取数接口!$H$380=0,"",[1]财务取数接口!$H$380),""))</f>
        <v/>
      </c>
      <c r="H381" s="75" t="str">
        <f>IF($T$4=0,IF($O381="","",$O381),IFERROR(IF([1]财务取数接口!$I$380=0,"",[1]财务取数接口!$I$380),""))</f>
        <v/>
      </c>
      <c r="I381" s="43"/>
      <c r="J381" s="106"/>
      <c r="K381" s="43"/>
      <c r="L381" s="43"/>
      <c r="M381" s="107"/>
      <c r="N381" s="107"/>
      <c r="O381" s="106"/>
      <c r="P381" s="139">
        <f t="shared" si="10"/>
        <v>0</v>
      </c>
      <c r="Q381" s="139">
        <f t="shared" si="11"/>
        <v>5</v>
      </c>
    </row>
    <row r="382" spans="1:17">
      <c r="A382" s="74">
        <v>381</v>
      </c>
      <c r="B382" s="89" t="str">
        <f>IF($T$4=0,IF($I382="","",$I382),IFERROR(IF([1]财务取数接口!$B$381=0,"",[1]财务取数接口!$B$381),""))</f>
        <v/>
      </c>
      <c r="C382" s="75" t="str">
        <f>IF($T$4=0,IF($J382="","",$J382),IFERROR(IF([1]财务取数接口!$C$381=0,"",[1]财务取数接口!$C$381),""))</f>
        <v/>
      </c>
      <c r="D382" s="89" t="str">
        <f>IF($T$4=0,IF($K382="","",$K382),IFERROR(IF([1]财务取数接口!$D$381=0,"",[1]财务取数接口!$D$381),""))</f>
        <v/>
      </c>
      <c r="E382" s="89" t="str">
        <f>IF($T$4=0,IF($L382="","",$L382),IFERROR(IF([1]财务取数接口!$E$381=0,"",[1]财务取数接口!$E$381),""))</f>
        <v/>
      </c>
      <c r="F382" s="76" t="str">
        <f>IF($T$4=0,IF($M382="","",$M382),IFERROR(IF([1]财务取数接口!$G$381=0,"",[1]财务取数接口!$G$381),""))</f>
        <v/>
      </c>
      <c r="G382" s="76" t="str">
        <f>IF($T$4=0,IF($N382="","",$N382),IFERROR(IF([1]财务取数接口!$H$381=0,"",[1]财务取数接口!$H$381),""))</f>
        <v/>
      </c>
      <c r="H382" s="75" t="str">
        <f>IF($T$4=0,IF($O382="","",$O382),IFERROR(IF([1]财务取数接口!$I$381=0,"",[1]财务取数接口!$I$381),""))</f>
        <v/>
      </c>
      <c r="I382" s="43"/>
      <c r="J382" s="106"/>
      <c r="K382" s="43"/>
      <c r="L382" s="43"/>
      <c r="M382" s="107"/>
      <c r="N382" s="107"/>
      <c r="O382" s="106"/>
      <c r="P382" s="139">
        <f t="shared" si="10"/>
        <v>0</v>
      </c>
      <c r="Q382" s="139">
        <f t="shared" si="11"/>
        <v>5</v>
      </c>
    </row>
    <row r="383" spans="1:17">
      <c r="A383" s="74">
        <v>382</v>
      </c>
      <c r="B383" s="89" t="str">
        <f>IF($T$4=0,IF($I383="","",$I383),IFERROR(IF([1]财务取数接口!$B$382=0,"",[1]财务取数接口!$B$382),""))</f>
        <v/>
      </c>
      <c r="C383" s="75" t="str">
        <f>IF($T$4=0,IF($J383="","",$J383),IFERROR(IF([1]财务取数接口!$C$382=0,"",[1]财务取数接口!$C$382),""))</f>
        <v/>
      </c>
      <c r="D383" s="89" t="str">
        <f>IF($T$4=0,IF($K383="","",$K383),IFERROR(IF([1]财务取数接口!$D$382=0,"",[1]财务取数接口!$D$382),""))</f>
        <v/>
      </c>
      <c r="E383" s="89" t="str">
        <f>IF($T$4=0,IF($L383="","",$L383),IFERROR(IF([1]财务取数接口!$E$382=0,"",[1]财务取数接口!$E$382),""))</f>
        <v/>
      </c>
      <c r="F383" s="76" t="str">
        <f>IF($T$4=0,IF($M383="","",$M383),IFERROR(IF([1]财务取数接口!$G$382=0,"",[1]财务取数接口!$G$382),""))</f>
        <v/>
      </c>
      <c r="G383" s="76" t="str">
        <f>IF($T$4=0,IF($N383="","",$N383),IFERROR(IF([1]财务取数接口!$H$382=0,"",[1]财务取数接口!$H$382),""))</f>
        <v/>
      </c>
      <c r="H383" s="75" t="str">
        <f>IF($T$4=0,IF($O383="","",$O383),IFERROR(IF([1]财务取数接口!$I$382=0,"",[1]财务取数接口!$I$382),""))</f>
        <v/>
      </c>
      <c r="I383" s="43"/>
      <c r="J383" s="106"/>
      <c r="K383" s="43"/>
      <c r="L383" s="43"/>
      <c r="M383" s="107"/>
      <c r="N383" s="107"/>
      <c r="O383" s="106"/>
      <c r="P383" s="139">
        <f t="shared" si="10"/>
        <v>0</v>
      </c>
      <c r="Q383" s="139">
        <f t="shared" si="11"/>
        <v>5</v>
      </c>
    </row>
    <row r="384" spans="1:17">
      <c r="A384" s="74">
        <v>383</v>
      </c>
      <c r="B384" s="89" t="str">
        <f>IF($T$4=0,IF($I384="","",$I384),IFERROR(IF([1]财务取数接口!$B$383=0,"",[1]财务取数接口!$B$383),""))</f>
        <v/>
      </c>
      <c r="C384" s="75" t="str">
        <f>IF($T$4=0,IF($J384="","",$J384),IFERROR(IF([1]财务取数接口!$C$383=0,"",[1]财务取数接口!$C$383),""))</f>
        <v/>
      </c>
      <c r="D384" s="89" t="str">
        <f>IF($T$4=0,IF($K384="","",$K384),IFERROR(IF([1]财务取数接口!$D$383=0,"",[1]财务取数接口!$D$383),""))</f>
        <v/>
      </c>
      <c r="E384" s="89" t="str">
        <f>IF($T$4=0,IF($L384="","",$L384),IFERROR(IF([1]财务取数接口!$E$383=0,"",[1]财务取数接口!$E$383),""))</f>
        <v/>
      </c>
      <c r="F384" s="76" t="str">
        <f>IF($T$4=0,IF($M384="","",$M384),IFERROR(IF([1]财务取数接口!$G$383=0,"",[1]财务取数接口!$G$383),""))</f>
        <v/>
      </c>
      <c r="G384" s="76" t="str">
        <f>IF($T$4=0,IF($N384="","",$N384),IFERROR(IF([1]财务取数接口!$H$383=0,"",[1]财务取数接口!$H$383),""))</f>
        <v/>
      </c>
      <c r="H384" s="75" t="str">
        <f>IF($T$4=0,IF($O384="","",$O384),IFERROR(IF([1]财务取数接口!$I$383=0,"",[1]财务取数接口!$I$383),""))</f>
        <v/>
      </c>
      <c r="I384" s="43"/>
      <c r="J384" s="106"/>
      <c r="K384" s="43"/>
      <c r="L384" s="43"/>
      <c r="M384" s="107"/>
      <c r="N384" s="107"/>
      <c r="O384" s="106"/>
      <c r="P384" s="139">
        <f t="shared" si="10"/>
        <v>0</v>
      </c>
      <c r="Q384" s="139">
        <f t="shared" si="11"/>
        <v>5</v>
      </c>
    </row>
    <row r="385" spans="1:17">
      <c r="A385" s="74">
        <v>384</v>
      </c>
      <c r="B385" s="89" t="str">
        <f>IF($T$4=0,IF($I385="","",$I385),IFERROR(IF([1]财务取数接口!$B$384=0,"",[1]财务取数接口!$B$384),""))</f>
        <v/>
      </c>
      <c r="C385" s="75" t="str">
        <f>IF($T$4=0,IF($J385="","",$J385),IFERROR(IF([1]财务取数接口!$C$384=0,"",[1]财务取数接口!$C$384),""))</f>
        <v/>
      </c>
      <c r="D385" s="89" t="str">
        <f>IF($T$4=0,IF($K385="","",$K385),IFERROR(IF([1]财务取数接口!$D$384=0,"",[1]财务取数接口!$D$384),""))</f>
        <v/>
      </c>
      <c r="E385" s="89" t="str">
        <f>IF($T$4=0,IF($L385="","",$L385),IFERROR(IF([1]财务取数接口!$E$384=0,"",[1]财务取数接口!$E$384),""))</f>
        <v/>
      </c>
      <c r="F385" s="76" t="str">
        <f>IF($T$4=0,IF($M385="","",$M385),IFERROR(IF([1]财务取数接口!$G$384=0,"",[1]财务取数接口!$G$384),""))</f>
        <v/>
      </c>
      <c r="G385" s="76" t="str">
        <f>IF($T$4=0,IF($N385="","",$N385),IFERROR(IF([1]财务取数接口!$H$384=0,"",[1]财务取数接口!$H$384),""))</f>
        <v/>
      </c>
      <c r="H385" s="75" t="str">
        <f>IF($T$4=0,IF($O385="","",$O385),IFERROR(IF([1]财务取数接口!$I$384=0,"",[1]财务取数接口!$I$384),""))</f>
        <v/>
      </c>
      <c r="I385" s="43"/>
      <c r="J385" s="106"/>
      <c r="K385" s="43"/>
      <c r="L385" s="43"/>
      <c r="M385" s="107"/>
      <c r="N385" s="107"/>
      <c r="O385" s="106"/>
      <c r="P385" s="139">
        <f t="shared" si="10"/>
        <v>0</v>
      </c>
      <c r="Q385" s="139">
        <f t="shared" si="11"/>
        <v>5</v>
      </c>
    </row>
    <row r="386" spans="1:17">
      <c r="A386" s="74">
        <v>385</v>
      </c>
      <c r="B386" s="89" t="str">
        <f>IF($T$4=0,IF($I386="","",$I386),IFERROR(IF([1]财务取数接口!$B$385=0,"",[1]财务取数接口!$B$385),""))</f>
        <v/>
      </c>
      <c r="C386" s="75" t="str">
        <f>IF($T$4=0,IF($J386="","",$J386),IFERROR(IF([1]财务取数接口!$C$385=0,"",[1]财务取数接口!$C$385),""))</f>
        <v/>
      </c>
      <c r="D386" s="89" t="str">
        <f>IF($T$4=0,IF($K386="","",$K386),IFERROR(IF([1]财务取数接口!$D$385=0,"",[1]财务取数接口!$D$385),""))</f>
        <v/>
      </c>
      <c r="E386" s="89" t="str">
        <f>IF($T$4=0,IF($L386="","",$L386),IFERROR(IF([1]财务取数接口!$E$385=0,"",[1]财务取数接口!$E$385),""))</f>
        <v/>
      </c>
      <c r="F386" s="76" t="str">
        <f>IF($T$4=0,IF($M386="","",$M386),IFERROR(IF([1]财务取数接口!$G$385=0,"",[1]财务取数接口!$G$385),""))</f>
        <v/>
      </c>
      <c r="G386" s="76" t="str">
        <f>IF($T$4=0,IF($N386="","",$N386),IFERROR(IF([1]财务取数接口!$H$385=0,"",[1]财务取数接口!$H$385),""))</f>
        <v/>
      </c>
      <c r="H386" s="75" t="str">
        <f>IF($T$4=0,IF($O386="","",$O386),IFERROR(IF([1]财务取数接口!$I$385=0,"",[1]财务取数接口!$I$385),""))</f>
        <v/>
      </c>
      <c r="I386" s="43"/>
      <c r="J386" s="106"/>
      <c r="K386" s="43"/>
      <c r="L386" s="43"/>
      <c r="M386" s="107"/>
      <c r="N386" s="107"/>
      <c r="O386" s="106"/>
      <c r="P386" s="139">
        <f t="shared" si="10"/>
        <v>0</v>
      </c>
      <c r="Q386" s="139">
        <f t="shared" si="11"/>
        <v>5</v>
      </c>
    </row>
    <row r="387" spans="1:17">
      <c r="A387" s="74">
        <v>386</v>
      </c>
      <c r="B387" s="89" t="str">
        <f>IF($T$4=0,IF($I387="","",$I387),IFERROR(IF([1]财务取数接口!$B$386=0,"",[1]财务取数接口!$B$386),""))</f>
        <v/>
      </c>
      <c r="C387" s="75" t="str">
        <f>IF($T$4=0,IF($J387="","",$J387),IFERROR(IF([1]财务取数接口!$C$386=0,"",[1]财务取数接口!$C$386),""))</f>
        <v/>
      </c>
      <c r="D387" s="89" t="str">
        <f>IF($T$4=0,IF($K387="","",$K387),IFERROR(IF([1]财务取数接口!$D$386=0,"",[1]财务取数接口!$D$386),""))</f>
        <v/>
      </c>
      <c r="E387" s="89" t="str">
        <f>IF($T$4=0,IF($L387="","",$L387),IFERROR(IF([1]财务取数接口!$E$386=0,"",[1]财务取数接口!$E$386),""))</f>
        <v/>
      </c>
      <c r="F387" s="76" t="str">
        <f>IF($T$4=0,IF($M387="","",$M387),IFERROR(IF([1]财务取数接口!$G$386=0,"",[1]财务取数接口!$G$386),""))</f>
        <v/>
      </c>
      <c r="G387" s="76" t="str">
        <f>IF($T$4=0,IF($N387="","",$N387),IFERROR(IF([1]财务取数接口!$H$386=0,"",[1]财务取数接口!$H$386),""))</f>
        <v/>
      </c>
      <c r="H387" s="75" t="str">
        <f>IF($T$4=0,IF($O387="","",$O387),IFERROR(IF([1]财务取数接口!$I$386=0,"",[1]财务取数接口!$I$386),""))</f>
        <v/>
      </c>
      <c r="I387" s="43"/>
      <c r="J387" s="106"/>
      <c r="K387" s="43"/>
      <c r="L387" s="43"/>
      <c r="M387" s="107"/>
      <c r="N387" s="107"/>
      <c r="O387" s="106"/>
      <c r="P387" s="139">
        <f t="shared" si="10"/>
        <v>0</v>
      </c>
      <c r="Q387" s="139">
        <f t="shared" si="11"/>
        <v>5</v>
      </c>
    </row>
    <row r="388" spans="1:17">
      <c r="A388" s="74">
        <v>387</v>
      </c>
      <c r="B388" s="89" t="str">
        <f>IF($T$4=0,IF($I388="","",$I388),IFERROR(IF([1]财务取数接口!$B$387=0,"",[1]财务取数接口!$B$387),""))</f>
        <v/>
      </c>
      <c r="C388" s="75" t="str">
        <f>IF($T$4=0,IF($J388="","",$J388),IFERROR(IF([1]财务取数接口!$C$387=0,"",[1]财务取数接口!$C$387),""))</f>
        <v/>
      </c>
      <c r="D388" s="89" t="str">
        <f>IF($T$4=0,IF($K388="","",$K388),IFERROR(IF([1]财务取数接口!$D$387=0,"",[1]财务取数接口!$D$387),""))</f>
        <v/>
      </c>
      <c r="E388" s="89" t="str">
        <f>IF($T$4=0,IF($L388="","",$L388),IFERROR(IF([1]财务取数接口!$E$387=0,"",[1]财务取数接口!$E$387),""))</f>
        <v/>
      </c>
      <c r="F388" s="76" t="str">
        <f>IF($T$4=0,IF($M388="","",$M388),IFERROR(IF([1]财务取数接口!$G$387=0,"",[1]财务取数接口!$G$387),""))</f>
        <v/>
      </c>
      <c r="G388" s="76" t="str">
        <f>IF($T$4=0,IF($N388="","",$N388),IFERROR(IF([1]财务取数接口!$H$387=0,"",[1]财务取数接口!$H$387),""))</f>
        <v/>
      </c>
      <c r="H388" s="75" t="str">
        <f>IF($T$4=0,IF($O388="","",$O388),IFERROR(IF([1]财务取数接口!$I$387=0,"",[1]财务取数接口!$I$387),""))</f>
        <v/>
      </c>
      <c r="I388" s="43"/>
      <c r="J388" s="106"/>
      <c r="K388" s="43"/>
      <c r="L388" s="43"/>
      <c r="M388" s="107"/>
      <c r="N388" s="107"/>
      <c r="O388" s="106"/>
      <c r="P388" s="139">
        <f t="shared" si="10"/>
        <v>0</v>
      </c>
      <c r="Q388" s="139">
        <f t="shared" si="11"/>
        <v>5</v>
      </c>
    </row>
    <row r="389" spans="1:17">
      <c r="A389" s="74">
        <v>388</v>
      </c>
      <c r="B389" s="89" t="str">
        <f>IF($T$4=0,IF($I389="","",$I389),IFERROR(IF([1]财务取数接口!$B$388=0,"",[1]财务取数接口!$B$388),""))</f>
        <v/>
      </c>
      <c r="C389" s="75" t="str">
        <f>IF($T$4=0,IF($J389="","",$J389),IFERROR(IF([1]财务取数接口!$C$388=0,"",[1]财务取数接口!$C$388),""))</f>
        <v/>
      </c>
      <c r="D389" s="89" t="str">
        <f>IF($T$4=0,IF($K389="","",$K389),IFERROR(IF([1]财务取数接口!$D$388=0,"",[1]财务取数接口!$D$388),""))</f>
        <v/>
      </c>
      <c r="E389" s="89" t="str">
        <f>IF($T$4=0,IF($L389="","",$L389),IFERROR(IF([1]财务取数接口!$E$388=0,"",[1]财务取数接口!$E$388),""))</f>
        <v/>
      </c>
      <c r="F389" s="76" t="str">
        <f>IF($T$4=0,IF($M389="","",$M389),IFERROR(IF([1]财务取数接口!$G$388=0,"",[1]财务取数接口!$G$388),""))</f>
        <v/>
      </c>
      <c r="G389" s="76" t="str">
        <f>IF($T$4=0,IF($N389="","",$N389),IFERROR(IF([1]财务取数接口!$H$388=0,"",[1]财务取数接口!$H$388),""))</f>
        <v/>
      </c>
      <c r="H389" s="75" t="str">
        <f>IF($T$4=0,IF($O389="","",$O389),IFERROR(IF([1]财务取数接口!$I$388=0,"",[1]财务取数接口!$I$388),""))</f>
        <v/>
      </c>
      <c r="I389" s="43"/>
      <c r="J389" s="106"/>
      <c r="K389" s="43"/>
      <c r="L389" s="43"/>
      <c r="M389" s="107"/>
      <c r="N389" s="107"/>
      <c r="O389" s="106"/>
      <c r="P389" s="139">
        <f t="shared" ref="P389:P452" si="12">IF(AND($C389&lt;&gt;"",$C389&lt;&gt;"项目",OR(N($D389)&lt;&gt;0,N($E389)&lt;&gt;0,N($F389)&lt;&gt;0)),1,0)</f>
        <v>0</v>
      </c>
      <c r="Q389" s="139">
        <f t="shared" ref="Q389:Q452" si="13">N(Q388)+$P389</f>
        <v>5</v>
      </c>
    </row>
    <row r="390" spans="1:17">
      <c r="A390" s="74">
        <v>389</v>
      </c>
      <c r="B390" s="89" t="str">
        <f>IF($T$4=0,IF($I390="","",$I390),IFERROR(IF([1]财务取数接口!$B$389=0,"",[1]财务取数接口!$B$389),""))</f>
        <v/>
      </c>
      <c r="C390" s="75" t="str">
        <f>IF($T$4=0,IF($J390="","",$J390),IFERROR(IF([1]财务取数接口!$C$389=0,"",[1]财务取数接口!$C$389),""))</f>
        <v/>
      </c>
      <c r="D390" s="89" t="str">
        <f>IF($T$4=0,IF($K390="","",$K390),IFERROR(IF([1]财务取数接口!$D$389=0,"",[1]财务取数接口!$D$389),""))</f>
        <v/>
      </c>
      <c r="E390" s="89" t="str">
        <f>IF($T$4=0,IF($L390="","",$L390),IFERROR(IF([1]财务取数接口!$E$389=0,"",[1]财务取数接口!$E$389),""))</f>
        <v/>
      </c>
      <c r="F390" s="76" t="str">
        <f>IF($T$4=0,IF($M390="","",$M390),IFERROR(IF([1]财务取数接口!$G$389=0,"",[1]财务取数接口!$G$389),""))</f>
        <v/>
      </c>
      <c r="G390" s="76" t="str">
        <f>IF($T$4=0,IF($N390="","",$N390),IFERROR(IF([1]财务取数接口!$H$389=0,"",[1]财务取数接口!$H$389),""))</f>
        <v/>
      </c>
      <c r="H390" s="75" t="str">
        <f>IF($T$4=0,IF($O390="","",$O390),IFERROR(IF([1]财务取数接口!$I$389=0,"",[1]财务取数接口!$I$389),""))</f>
        <v/>
      </c>
      <c r="I390" s="43"/>
      <c r="J390" s="106"/>
      <c r="K390" s="43"/>
      <c r="L390" s="43"/>
      <c r="M390" s="107"/>
      <c r="N390" s="107"/>
      <c r="O390" s="106"/>
      <c r="P390" s="139">
        <f t="shared" si="12"/>
        <v>0</v>
      </c>
      <c r="Q390" s="139">
        <f t="shared" si="13"/>
        <v>5</v>
      </c>
    </row>
    <row r="391" spans="1:17">
      <c r="A391" s="74">
        <v>390</v>
      </c>
      <c r="B391" s="89" t="str">
        <f>IF($T$4=0,IF($I391="","",$I391),IFERROR(IF([1]财务取数接口!$B$390=0,"",[1]财务取数接口!$B$390),""))</f>
        <v/>
      </c>
      <c r="C391" s="75" t="str">
        <f>IF($T$4=0,IF($J391="","",$J391),IFERROR(IF([1]财务取数接口!$C$390=0,"",[1]财务取数接口!$C$390),""))</f>
        <v/>
      </c>
      <c r="D391" s="89" t="str">
        <f>IF($T$4=0,IF($K391="","",$K391),IFERROR(IF([1]财务取数接口!$D$390=0,"",[1]财务取数接口!$D$390),""))</f>
        <v/>
      </c>
      <c r="E391" s="89" t="str">
        <f>IF($T$4=0,IF($L391="","",$L391),IFERROR(IF([1]财务取数接口!$E$390=0,"",[1]财务取数接口!$E$390),""))</f>
        <v/>
      </c>
      <c r="F391" s="76" t="str">
        <f>IF($T$4=0,IF($M391="","",$M391),IFERROR(IF([1]财务取数接口!$G$390=0,"",[1]财务取数接口!$G$390),""))</f>
        <v/>
      </c>
      <c r="G391" s="76" t="str">
        <f>IF($T$4=0,IF($N391="","",$N391),IFERROR(IF([1]财务取数接口!$H$390=0,"",[1]财务取数接口!$H$390),""))</f>
        <v/>
      </c>
      <c r="H391" s="75" t="str">
        <f>IF($T$4=0,IF($O391="","",$O391),IFERROR(IF([1]财务取数接口!$I$390=0,"",[1]财务取数接口!$I$390),""))</f>
        <v/>
      </c>
      <c r="I391" s="43"/>
      <c r="J391" s="106"/>
      <c r="K391" s="43"/>
      <c r="L391" s="43"/>
      <c r="M391" s="107"/>
      <c r="N391" s="107"/>
      <c r="O391" s="106"/>
      <c r="P391" s="139">
        <f t="shared" si="12"/>
        <v>0</v>
      </c>
      <c r="Q391" s="139">
        <f t="shared" si="13"/>
        <v>5</v>
      </c>
    </row>
    <row r="392" spans="1:17">
      <c r="A392" s="74">
        <v>391</v>
      </c>
      <c r="B392" s="89" t="str">
        <f>IF($T$4=0,IF($I392="","",$I392),IFERROR(IF([1]财务取数接口!$B$391=0,"",[1]财务取数接口!$B$391),""))</f>
        <v/>
      </c>
      <c r="C392" s="75" t="str">
        <f>IF($T$4=0,IF($J392="","",$J392),IFERROR(IF([1]财务取数接口!$C$391=0,"",[1]财务取数接口!$C$391),""))</f>
        <v/>
      </c>
      <c r="D392" s="89" t="str">
        <f>IF($T$4=0,IF($K392="","",$K392),IFERROR(IF([1]财务取数接口!$D$391=0,"",[1]财务取数接口!$D$391),""))</f>
        <v/>
      </c>
      <c r="E392" s="89" t="str">
        <f>IF($T$4=0,IF($L392="","",$L392),IFERROR(IF([1]财务取数接口!$E$391=0,"",[1]财务取数接口!$E$391),""))</f>
        <v/>
      </c>
      <c r="F392" s="76" t="str">
        <f>IF($T$4=0,IF($M392="","",$M392),IFERROR(IF([1]财务取数接口!$G$391=0,"",[1]财务取数接口!$G$391),""))</f>
        <v/>
      </c>
      <c r="G392" s="76" t="str">
        <f>IF($T$4=0,IF($N392="","",$N392),IFERROR(IF([1]财务取数接口!$H$391=0,"",[1]财务取数接口!$H$391),""))</f>
        <v/>
      </c>
      <c r="H392" s="75" t="str">
        <f>IF($T$4=0,IF($O392="","",$O392),IFERROR(IF([1]财务取数接口!$I$391=0,"",[1]财务取数接口!$I$391),""))</f>
        <v/>
      </c>
      <c r="I392" s="43"/>
      <c r="J392" s="106"/>
      <c r="K392" s="43"/>
      <c r="L392" s="43"/>
      <c r="M392" s="107"/>
      <c r="N392" s="107"/>
      <c r="O392" s="106"/>
      <c r="P392" s="139">
        <f t="shared" si="12"/>
        <v>0</v>
      </c>
      <c r="Q392" s="139">
        <f t="shared" si="13"/>
        <v>5</v>
      </c>
    </row>
    <row r="393" spans="1:17">
      <c r="A393" s="74">
        <v>392</v>
      </c>
      <c r="B393" s="89" t="str">
        <f>IF($T$4=0,IF($I393="","",$I393),IFERROR(IF([1]财务取数接口!$B$392=0,"",[1]财务取数接口!$B$392),""))</f>
        <v/>
      </c>
      <c r="C393" s="75" t="str">
        <f>IF($T$4=0,IF($J393="","",$J393),IFERROR(IF([1]财务取数接口!$C$392=0,"",[1]财务取数接口!$C$392),""))</f>
        <v/>
      </c>
      <c r="D393" s="89" t="str">
        <f>IF($T$4=0,IF($K393="","",$K393),IFERROR(IF([1]财务取数接口!$D$392=0,"",[1]财务取数接口!$D$392),""))</f>
        <v/>
      </c>
      <c r="E393" s="89" t="str">
        <f>IF($T$4=0,IF($L393="","",$L393),IFERROR(IF([1]财务取数接口!$E$392=0,"",[1]财务取数接口!$E$392),""))</f>
        <v/>
      </c>
      <c r="F393" s="76" t="str">
        <f>IF($T$4=0,IF($M393="","",$M393),IFERROR(IF([1]财务取数接口!$G$392=0,"",[1]财务取数接口!$G$392),""))</f>
        <v/>
      </c>
      <c r="G393" s="76" t="str">
        <f>IF($T$4=0,IF($N393="","",$N393),IFERROR(IF([1]财务取数接口!$H$392=0,"",[1]财务取数接口!$H$392),""))</f>
        <v/>
      </c>
      <c r="H393" s="75" t="str">
        <f>IF($T$4=0,IF($O393="","",$O393),IFERROR(IF([1]财务取数接口!$I$392=0,"",[1]财务取数接口!$I$392),""))</f>
        <v/>
      </c>
      <c r="I393" s="43"/>
      <c r="J393" s="106"/>
      <c r="K393" s="43"/>
      <c r="L393" s="43"/>
      <c r="M393" s="107"/>
      <c r="N393" s="107"/>
      <c r="O393" s="106"/>
      <c r="P393" s="139">
        <f t="shared" si="12"/>
        <v>0</v>
      </c>
      <c r="Q393" s="139">
        <f t="shared" si="13"/>
        <v>5</v>
      </c>
    </row>
    <row r="394" spans="1:17">
      <c r="A394" s="74">
        <v>393</v>
      </c>
      <c r="B394" s="89" t="str">
        <f>IF($T$4=0,IF($I394="","",$I394),IFERROR(IF([1]财务取数接口!$B$393=0,"",[1]财务取数接口!$B$393),""))</f>
        <v/>
      </c>
      <c r="C394" s="75" t="str">
        <f>IF($T$4=0,IF($J394="","",$J394),IFERROR(IF([1]财务取数接口!$C$393=0,"",[1]财务取数接口!$C$393),""))</f>
        <v/>
      </c>
      <c r="D394" s="89" t="str">
        <f>IF($T$4=0,IF($K394="","",$K394),IFERROR(IF([1]财务取数接口!$D$393=0,"",[1]财务取数接口!$D$393),""))</f>
        <v/>
      </c>
      <c r="E394" s="89" t="str">
        <f>IF($T$4=0,IF($L394="","",$L394),IFERROR(IF([1]财务取数接口!$E$393=0,"",[1]财务取数接口!$E$393),""))</f>
        <v/>
      </c>
      <c r="F394" s="76" t="str">
        <f>IF($T$4=0,IF($M394="","",$M394),IFERROR(IF([1]财务取数接口!$G$393=0,"",[1]财务取数接口!$G$393),""))</f>
        <v/>
      </c>
      <c r="G394" s="76" t="str">
        <f>IF($T$4=0,IF($N394="","",$N394),IFERROR(IF([1]财务取数接口!$H$393=0,"",[1]财务取数接口!$H$393),""))</f>
        <v/>
      </c>
      <c r="H394" s="75" t="str">
        <f>IF($T$4=0,IF($O394="","",$O394),IFERROR(IF([1]财务取数接口!$I$393=0,"",[1]财务取数接口!$I$393),""))</f>
        <v/>
      </c>
      <c r="I394" s="43"/>
      <c r="J394" s="106"/>
      <c r="K394" s="43"/>
      <c r="L394" s="43"/>
      <c r="M394" s="107"/>
      <c r="N394" s="107"/>
      <c r="O394" s="106"/>
      <c r="P394" s="139">
        <f t="shared" si="12"/>
        <v>0</v>
      </c>
      <c r="Q394" s="139">
        <f t="shared" si="13"/>
        <v>5</v>
      </c>
    </row>
    <row r="395" spans="1:17">
      <c r="A395" s="74">
        <v>394</v>
      </c>
      <c r="B395" s="89" t="str">
        <f>IF($T$4=0,IF($I395="","",$I395),IFERROR(IF([1]财务取数接口!$B$394=0,"",[1]财务取数接口!$B$394),""))</f>
        <v/>
      </c>
      <c r="C395" s="75" t="str">
        <f>IF($T$4=0,IF($J395="","",$J395),IFERROR(IF([1]财务取数接口!$C$394=0,"",[1]财务取数接口!$C$394),""))</f>
        <v/>
      </c>
      <c r="D395" s="89" t="str">
        <f>IF($T$4=0,IF($K395="","",$K395),IFERROR(IF([1]财务取数接口!$D$394=0,"",[1]财务取数接口!$D$394),""))</f>
        <v/>
      </c>
      <c r="E395" s="89" t="str">
        <f>IF($T$4=0,IF($L395="","",$L395),IFERROR(IF([1]财务取数接口!$E$394=0,"",[1]财务取数接口!$E$394),""))</f>
        <v/>
      </c>
      <c r="F395" s="76" t="str">
        <f>IF($T$4=0,IF($M395="","",$M395),IFERROR(IF([1]财务取数接口!$G$394=0,"",[1]财务取数接口!$G$394),""))</f>
        <v/>
      </c>
      <c r="G395" s="76" t="str">
        <f>IF($T$4=0,IF($N395="","",$N395),IFERROR(IF([1]财务取数接口!$H$394=0,"",[1]财务取数接口!$H$394),""))</f>
        <v/>
      </c>
      <c r="H395" s="75" t="str">
        <f>IF($T$4=0,IF($O395="","",$O395),IFERROR(IF([1]财务取数接口!$I$394=0,"",[1]财务取数接口!$I$394),""))</f>
        <v/>
      </c>
      <c r="I395" s="43"/>
      <c r="J395" s="106"/>
      <c r="K395" s="43"/>
      <c r="L395" s="43"/>
      <c r="M395" s="107"/>
      <c r="N395" s="107"/>
      <c r="O395" s="106"/>
      <c r="P395" s="139">
        <f t="shared" si="12"/>
        <v>0</v>
      </c>
      <c r="Q395" s="139">
        <f t="shared" si="13"/>
        <v>5</v>
      </c>
    </row>
    <row r="396" spans="1:17">
      <c r="A396" s="74">
        <v>395</v>
      </c>
      <c r="B396" s="89" t="str">
        <f>IF($T$4=0,IF($I396="","",$I396),IFERROR(IF([1]财务取数接口!$B$395=0,"",[1]财务取数接口!$B$395),""))</f>
        <v/>
      </c>
      <c r="C396" s="75" t="str">
        <f>IF($T$4=0,IF($J396="","",$J396),IFERROR(IF([1]财务取数接口!$C$395=0,"",[1]财务取数接口!$C$395),""))</f>
        <v/>
      </c>
      <c r="D396" s="89" t="str">
        <f>IF($T$4=0,IF($K396="","",$K396),IFERROR(IF([1]财务取数接口!$D$395=0,"",[1]财务取数接口!$D$395),""))</f>
        <v/>
      </c>
      <c r="E396" s="89" t="str">
        <f>IF($T$4=0,IF($L396="","",$L396),IFERROR(IF([1]财务取数接口!$E$395=0,"",[1]财务取数接口!$E$395),""))</f>
        <v/>
      </c>
      <c r="F396" s="76" t="str">
        <f>IF($T$4=0,IF($M396="","",$M396),IFERROR(IF([1]财务取数接口!$G$395=0,"",[1]财务取数接口!$G$395),""))</f>
        <v/>
      </c>
      <c r="G396" s="76" t="str">
        <f>IF($T$4=0,IF($N396="","",$N396),IFERROR(IF([1]财务取数接口!$H$395=0,"",[1]财务取数接口!$H$395),""))</f>
        <v/>
      </c>
      <c r="H396" s="75" t="str">
        <f>IF($T$4=0,IF($O396="","",$O396),IFERROR(IF([1]财务取数接口!$I$395=0,"",[1]财务取数接口!$I$395),""))</f>
        <v/>
      </c>
      <c r="I396" s="43"/>
      <c r="J396" s="106"/>
      <c r="K396" s="43"/>
      <c r="L396" s="43"/>
      <c r="M396" s="107"/>
      <c r="N396" s="107"/>
      <c r="O396" s="106"/>
      <c r="P396" s="139">
        <f t="shared" si="12"/>
        <v>0</v>
      </c>
      <c r="Q396" s="139">
        <f t="shared" si="13"/>
        <v>5</v>
      </c>
    </row>
    <row r="397" spans="1:17">
      <c r="A397" s="74">
        <v>396</v>
      </c>
      <c r="B397" s="89" t="str">
        <f>IF($T$4=0,IF($I397="","",$I397),IFERROR(IF([1]财务取数接口!$B$396=0,"",[1]财务取数接口!$B$396),""))</f>
        <v/>
      </c>
      <c r="C397" s="75" t="str">
        <f>IF($T$4=0,IF($J397="","",$J397),IFERROR(IF([1]财务取数接口!$C$396=0,"",[1]财务取数接口!$C$396),""))</f>
        <v/>
      </c>
      <c r="D397" s="89" t="str">
        <f>IF($T$4=0,IF($K397="","",$K397),IFERROR(IF([1]财务取数接口!$D$396=0,"",[1]财务取数接口!$D$396),""))</f>
        <v/>
      </c>
      <c r="E397" s="89" t="str">
        <f>IF($T$4=0,IF($L397="","",$L397),IFERROR(IF([1]财务取数接口!$E$396=0,"",[1]财务取数接口!$E$396),""))</f>
        <v/>
      </c>
      <c r="F397" s="76" t="str">
        <f>IF($T$4=0,IF($M397="","",$M397),IFERROR(IF([1]财务取数接口!$G$396=0,"",[1]财务取数接口!$G$396),""))</f>
        <v/>
      </c>
      <c r="G397" s="76" t="str">
        <f>IF($T$4=0,IF($N397="","",$N397),IFERROR(IF([1]财务取数接口!$H$396=0,"",[1]财务取数接口!$H$396),""))</f>
        <v/>
      </c>
      <c r="H397" s="75" t="str">
        <f>IF($T$4=0,IF($O397="","",$O397),IFERROR(IF([1]财务取数接口!$I$396=0,"",[1]财务取数接口!$I$396),""))</f>
        <v/>
      </c>
      <c r="I397" s="43"/>
      <c r="J397" s="106"/>
      <c r="K397" s="43"/>
      <c r="L397" s="43"/>
      <c r="M397" s="107"/>
      <c r="N397" s="107"/>
      <c r="O397" s="106"/>
      <c r="P397" s="139">
        <f t="shared" si="12"/>
        <v>0</v>
      </c>
      <c r="Q397" s="139">
        <f t="shared" si="13"/>
        <v>5</v>
      </c>
    </row>
    <row r="398" spans="1:17">
      <c r="A398" s="74">
        <v>397</v>
      </c>
      <c r="B398" s="89" t="str">
        <f>IF($T$4=0,IF($I398="","",$I398),IFERROR(IF([1]财务取数接口!$B$397=0,"",[1]财务取数接口!$B$397),""))</f>
        <v/>
      </c>
      <c r="C398" s="75" t="str">
        <f>IF($T$4=0,IF($J398="","",$J398),IFERROR(IF([1]财务取数接口!$C$397=0,"",[1]财务取数接口!$C$397),""))</f>
        <v/>
      </c>
      <c r="D398" s="89" t="str">
        <f>IF($T$4=0,IF($K398="","",$K398),IFERROR(IF([1]财务取数接口!$D$397=0,"",[1]财务取数接口!$D$397),""))</f>
        <v/>
      </c>
      <c r="E398" s="89" t="str">
        <f>IF($T$4=0,IF($L398="","",$L398),IFERROR(IF([1]财务取数接口!$E$397=0,"",[1]财务取数接口!$E$397),""))</f>
        <v/>
      </c>
      <c r="F398" s="76" t="str">
        <f>IF($T$4=0,IF($M398="","",$M398),IFERROR(IF([1]财务取数接口!$G$397=0,"",[1]财务取数接口!$G$397),""))</f>
        <v/>
      </c>
      <c r="G398" s="76" t="str">
        <f>IF($T$4=0,IF($N398="","",$N398),IFERROR(IF([1]财务取数接口!$H$397=0,"",[1]财务取数接口!$H$397),""))</f>
        <v/>
      </c>
      <c r="H398" s="75" t="str">
        <f>IF($T$4=0,IF($O398="","",$O398),IFERROR(IF([1]财务取数接口!$I$397=0,"",[1]财务取数接口!$I$397),""))</f>
        <v/>
      </c>
      <c r="I398" s="43"/>
      <c r="J398" s="106"/>
      <c r="K398" s="43"/>
      <c r="L398" s="43"/>
      <c r="M398" s="107"/>
      <c r="N398" s="107"/>
      <c r="O398" s="106"/>
      <c r="P398" s="139">
        <f t="shared" si="12"/>
        <v>0</v>
      </c>
      <c r="Q398" s="139">
        <f t="shared" si="13"/>
        <v>5</v>
      </c>
    </row>
    <row r="399" spans="1:17">
      <c r="A399" s="74">
        <v>398</v>
      </c>
      <c r="B399" s="89" t="str">
        <f>IF($T$4=0,IF($I399="","",$I399),IFERROR(IF([1]财务取数接口!$B$398=0,"",[1]财务取数接口!$B$398),""))</f>
        <v/>
      </c>
      <c r="C399" s="75" t="str">
        <f>IF($T$4=0,IF($J399="","",$J399),IFERROR(IF([1]财务取数接口!$C$398=0,"",[1]财务取数接口!$C$398),""))</f>
        <v/>
      </c>
      <c r="D399" s="89" t="str">
        <f>IF($T$4=0,IF($K399="","",$K399),IFERROR(IF([1]财务取数接口!$D$398=0,"",[1]财务取数接口!$D$398),""))</f>
        <v/>
      </c>
      <c r="E399" s="89" t="str">
        <f>IF($T$4=0,IF($L399="","",$L399),IFERROR(IF([1]财务取数接口!$E$398=0,"",[1]财务取数接口!$E$398),""))</f>
        <v/>
      </c>
      <c r="F399" s="76" t="str">
        <f>IF($T$4=0,IF($M399="","",$M399),IFERROR(IF([1]财务取数接口!$G$398=0,"",[1]财务取数接口!$G$398),""))</f>
        <v/>
      </c>
      <c r="G399" s="76" t="str">
        <f>IF($T$4=0,IF($N399="","",$N399),IFERROR(IF([1]财务取数接口!$H$398=0,"",[1]财务取数接口!$H$398),""))</f>
        <v/>
      </c>
      <c r="H399" s="75" t="str">
        <f>IF($T$4=0,IF($O399="","",$O399),IFERROR(IF([1]财务取数接口!$I$398=0,"",[1]财务取数接口!$I$398),""))</f>
        <v/>
      </c>
      <c r="I399" s="43"/>
      <c r="J399" s="106"/>
      <c r="K399" s="43"/>
      <c r="L399" s="43"/>
      <c r="M399" s="107"/>
      <c r="N399" s="107"/>
      <c r="O399" s="106"/>
      <c r="P399" s="139">
        <f t="shared" si="12"/>
        <v>0</v>
      </c>
      <c r="Q399" s="139">
        <f t="shared" si="13"/>
        <v>5</v>
      </c>
    </row>
    <row r="400" spans="1:17">
      <c r="A400" s="74">
        <v>399</v>
      </c>
      <c r="B400" s="89" t="str">
        <f>IF($T$4=0,IF($I400="","",$I400),IFERROR(IF([1]财务取数接口!$B$399=0,"",[1]财务取数接口!$B$399),""))</f>
        <v/>
      </c>
      <c r="C400" s="75" t="str">
        <f>IF($T$4=0,IF($J400="","",$J400),IFERROR(IF([1]财务取数接口!$C$399=0,"",[1]财务取数接口!$C$399),""))</f>
        <v/>
      </c>
      <c r="D400" s="89" t="str">
        <f>IF($T$4=0,IF($K400="","",$K400),IFERROR(IF([1]财务取数接口!$D$399=0,"",[1]财务取数接口!$D$399),""))</f>
        <v/>
      </c>
      <c r="E400" s="89" t="str">
        <f>IF($T$4=0,IF($L400="","",$L400),IFERROR(IF([1]财务取数接口!$E$399=0,"",[1]财务取数接口!$E$399),""))</f>
        <v/>
      </c>
      <c r="F400" s="76" t="str">
        <f>IF($T$4=0,IF($M400="","",$M400),IFERROR(IF([1]财务取数接口!$G$399=0,"",[1]财务取数接口!$G$399),""))</f>
        <v/>
      </c>
      <c r="G400" s="76" t="str">
        <f>IF($T$4=0,IF($N400="","",$N400),IFERROR(IF([1]财务取数接口!$H$399=0,"",[1]财务取数接口!$H$399),""))</f>
        <v/>
      </c>
      <c r="H400" s="75" t="str">
        <f>IF($T$4=0,IF($O400="","",$O400),IFERROR(IF([1]财务取数接口!$I$399=0,"",[1]财务取数接口!$I$399),""))</f>
        <v/>
      </c>
      <c r="I400" s="43"/>
      <c r="J400" s="106"/>
      <c r="K400" s="43"/>
      <c r="L400" s="43"/>
      <c r="M400" s="107"/>
      <c r="N400" s="107"/>
      <c r="O400" s="106"/>
      <c r="P400" s="139">
        <f t="shared" si="12"/>
        <v>0</v>
      </c>
      <c r="Q400" s="139">
        <f t="shared" si="13"/>
        <v>5</v>
      </c>
    </row>
    <row r="401" spans="1:17">
      <c r="A401" s="74">
        <v>400</v>
      </c>
      <c r="B401" s="89" t="str">
        <f>IF($T$4=0,IF($I401="","",$I401),IFERROR(IF([1]财务取数接口!$B$400=0,"",[1]财务取数接口!$B$400),""))</f>
        <v/>
      </c>
      <c r="C401" s="75" t="str">
        <f>IF($T$4=0,IF($J401="","",$J401),IFERROR(IF([1]财务取数接口!$C$400=0,"",[1]财务取数接口!$C$400),""))</f>
        <v/>
      </c>
      <c r="D401" s="89" t="str">
        <f>IF($T$4=0,IF($K401="","",$K401),IFERROR(IF([1]财务取数接口!$D$400=0,"",[1]财务取数接口!$D$400),""))</f>
        <v/>
      </c>
      <c r="E401" s="89" t="str">
        <f>IF($T$4=0,IF($L401="","",$L401),IFERROR(IF([1]财务取数接口!$E$400=0,"",[1]财务取数接口!$E$400),""))</f>
        <v/>
      </c>
      <c r="F401" s="76" t="str">
        <f>IF($T$4=0,IF($M401="","",$M401),IFERROR(IF([1]财务取数接口!$G$400=0,"",[1]财务取数接口!$G$400),""))</f>
        <v/>
      </c>
      <c r="G401" s="76" t="str">
        <f>IF($T$4=0,IF($N401="","",$N401),IFERROR(IF([1]财务取数接口!$H$400=0,"",[1]财务取数接口!$H$400),""))</f>
        <v/>
      </c>
      <c r="H401" s="75" t="str">
        <f>IF($T$4=0,IF($O401="","",$O401),IFERROR(IF([1]财务取数接口!$I$400=0,"",[1]财务取数接口!$I$400),""))</f>
        <v/>
      </c>
      <c r="I401" s="43"/>
      <c r="J401" s="106"/>
      <c r="K401" s="43"/>
      <c r="L401" s="43"/>
      <c r="M401" s="107"/>
      <c r="N401" s="107"/>
      <c r="O401" s="106"/>
      <c r="P401" s="139">
        <f t="shared" si="12"/>
        <v>0</v>
      </c>
      <c r="Q401" s="139">
        <f t="shared" si="13"/>
        <v>5</v>
      </c>
    </row>
    <row r="402" spans="1:17">
      <c r="A402" s="74">
        <v>401</v>
      </c>
      <c r="B402" s="89" t="str">
        <f>IF($T$4=0,IF($I402="","",$I402),IFERROR(IF([1]财务取数接口!$B$401=0,"",[1]财务取数接口!$B$401),""))</f>
        <v/>
      </c>
      <c r="C402" s="75" t="str">
        <f>IF($T$4=0,IF($J402="","",$J402),IFERROR(IF([1]财务取数接口!$C$401=0,"",[1]财务取数接口!$C$401),""))</f>
        <v/>
      </c>
      <c r="D402" s="89" t="str">
        <f>IF($T$4=0,IF($K402="","",$K402),IFERROR(IF([1]财务取数接口!$D$401=0,"",[1]财务取数接口!$D$401),""))</f>
        <v/>
      </c>
      <c r="E402" s="89" t="str">
        <f>IF($T$4=0,IF($L402="","",$L402),IFERROR(IF([1]财务取数接口!$E$401=0,"",[1]财务取数接口!$E$401),""))</f>
        <v/>
      </c>
      <c r="F402" s="76" t="str">
        <f>IF($T$4=0,IF($M402="","",$M402),IFERROR(IF([1]财务取数接口!$G$401=0,"",[1]财务取数接口!$G$401),""))</f>
        <v/>
      </c>
      <c r="G402" s="76" t="str">
        <f>IF($T$4=0,IF($N402="","",$N402),IFERROR(IF([1]财务取数接口!$H$401=0,"",[1]财务取数接口!$H$401),""))</f>
        <v/>
      </c>
      <c r="H402" s="75" t="str">
        <f>IF($T$4=0,IF($O402="","",$O402),IFERROR(IF([1]财务取数接口!$I$401=0,"",[1]财务取数接口!$I$401),""))</f>
        <v/>
      </c>
      <c r="I402" s="43"/>
      <c r="J402" s="106"/>
      <c r="K402" s="43"/>
      <c r="L402" s="43"/>
      <c r="M402" s="107"/>
      <c r="N402" s="107"/>
      <c r="O402" s="106"/>
      <c r="P402" s="139">
        <f t="shared" si="12"/>
        <v>0</v>
      </c>
      <c r="Q402" s="139">
        <f t="shared" si="13"/>
        <v>5</v>
      </c>
    </row>
    <row r="403" spans="1:17">
      <c r="A403" s="74">
        <v>402</v>
      </c>
      <c r="B403" s="89" t="str">
        <f>IF($T$4=0,IF($I403="","",$I403),IFERROR(IF([1]财务取数接口!$B$402=0,"",[1]财务取数接口!$B$402),""))</f>
        <v/>
      </c>
      <c r="C403" s="75" t="str">
        <f>IF($T$4=0,IF($J403="","",$J403),IFERROR(IF([1]财务取数接口!$C$402=0,"",[1]财务取数接口!$C$402),""))</f>
        <v/>
      </c>
      <c r="D403" s="89" t="str">
        <f>IF($T$4=0,IF($K403="","",$K403),IFERROR(IF([1]财务取数接口!$D$402=0,"",[1]财务取数接口!$D$402),""))</f>
        <v/>
      </c>
      <c r="E403" s="89" t="str">
        <f>IF($T$4=0,IF($L403="","",$L403),IFERROR(IF([1]财务取数接口!$E$402=0,"",[1]财务取数接口!$E$402),""))</f>
        <v/>
      </c>
      <c r="F403" s="76" t="str">
        <f>IF($T$4=0,IF($M403="","",$M403),IFERROR(IF([1]财务取数接口!$G$402=0,"",[1]财务取数接口!$G$402),""))</f>
        <v/>
      </c>
      <c r="G403" s="76" t="str">
        <f>IF($T$4=0,IF($N403="","",$N403),IFERROR(IF([1]财务取数接口!$H$402=0,"",[1]财务取数接口!$H$402),""))</f>
        <v/>
      </c>
      <c r="H403" s="75" t="str">
        <f>IF($T$4=0,IF($O403="","",$O403),IFERROR(IF([1]财务取数接口!$I$402=0,"",[1]财务取数接口!$I$402),""))</f>
        <v/>
      </c>
      <c r="I403" s="43"/>
      <c r="J403" s="106"/>
      <c r="K403" s="43"/>
      <c r="L403" s="43"/>
      <c r="M403" s="107"/>
      <c r="N403" s="107"/>
      <c r="O403" s="106"/>
      <c r="P403" s="139">
        <f t="shared" si="12"/>
        <v>0</v>
      </c>
      <c r="Q403" s="139">
        <f t="shared" si="13"/>
        <v>5</v>
      </c>
    </row>
    <row r="404" spans="1:17">
      <c r="A404" s="74">
        <v>403</v>
      </c>
      <c r="B404" s="89" t="str">
        <f>IF($T$4=0,IF($I404="","",$I404),IFERROR(IF([1]财务取数接口!$B$403=0,"",[1]财务取数接口!$B$403),""))</f>
        <v/>
      </c>
      <c r="C404" s="75" t="str">
        <f>IF($T$4=0,IF($J404="","",$J404),IFERROR(IF([1]财务取数接口!$C$403=0,"",[1]财务取数接口!$C$403),""))</f>
        <v/>
      </c>
      <c r="D404" s="89" t="str">
        <f>IF($T$4=0,IF($K404="","",$K404),IFERROR(IF([1]财务取数接口!$D$403=0,"",[1]财务取数接口!$D$403),""))</f>
        <v/>
      </c>
      <c r="E404" s="89" t="str">
        <f>IF($T$4=0,IF($L404="","",$L404),IFERROR(IF([1]财务取数接口!$E$403=0,"",[1]财务取数接口!$E$403),""))</f>
        <v/>
      </c>
      <c r="F404" s="76" t="str">
        <f>IF($T$4=0,IF($M404="","",$M404),IFERROR(IF([1]财务取数接口!$G$403=0,"",[1]财务取数接口!$G$403),""))</f>
        <v/>
      </c>
      <c r="G404" s="76" t="str">
        <f>IF($T$4=0,IF($N404="","",$N404),IFERROR(IF([1]财务取数接口!$H$403=0,"",[1]财务取数接口!$H$403),""))</f>
        <v/>
      </c>
      <c r="H404" s="75" t="str">
        <f>IF($T$4=0,IF($O404="","",$O404),IFERROR(IF([1]财务取数接口!$I$403=0,"",[1]财务取数接口!$I$403),""))</f>
        <v/>
      </c>
      <c r="I404" s="43"/>
      <c r="J404" s="106"/>
      <c r="K404" s="43"/>
      <c r="L404" s="43"/>
      <c r="M404" s="107"/>
      <c r="N404" s="107"/>
      <c r="O404" s="106"/>
      <c r="P404" s="139">
        <f t="shared" si="12"/>
        <v>0</v>
      </c>
      <c r="Q404" s="139">
        <f t="shared" si="13"/>
        <v>5</v>
      </c>
    </row>
    <row r="405" spans="1:17">
      <c r="A405" s="74">
        <v>404</v>
      </c>
      <c r="B405" s="89" t="str">
        <f>IF($T$4=0,IF($I405="","",$I405),IFERROR(IF([1]财务取数接口!$B$404=0,"",[1]财务取数接口!$B$404),""))</f>
        <v/>
      </c>
      <c r="C405" s="75" t="str">
        <f>IF($T$4=0,IF($J405="","",$J405),IFERROR(IF([1]财务取数接口!$C$404=0,"",[1]财务取数接口!$C$404),""))</f>
        <v/>
      </c>
      <c r="D405" s="89" t="str">
        <f>IF($T$4=0,IF($K405="","",$K405),IFERROR(IF([1]财务取数接口!$D$404=0,"",[1]财务取数接口!$D$404),""))</f>
        <v/>
      </c>
      <c r="E405" s="89" t="str">
        <f>IF($T$4=0,IF($L405="","",$L405),IFERROR(IF([1]财务取数接口!$E$404=0,"",[1]财务取数接口!$E$404),""))</f>
        <v/>
      </c>
      <c r="F405" s="76" t="str">
        <f>IF($T$4=0,IF($M405="","",$M405),IFERROR(IF([1]财务取数接口!$G$404=0,"",[1]财务取数接口!$G$404),""))</f>
        <v/>
      </c>
      <c r="G405" s="76" t="str">
        <f>IF($T$4=0,IF($N405="","",$N405),IFERROR(IF([1]财务取数接口!$H$404=0,"",[1]财务取数接口!$H$404),""))</f>
        <v/>
      </c>
      <c r="H405" s="75" t="str">
        <f>IF($T$4=0,IF($O405="","",$O405),IFERROR(IF([1]财务取数接口!$I$404=0,"",[1]财务取数接口!$I$404),""))</f>
        <v/>
      </c>
      <c r="I405" s="43"/>
      <c r="J405" s="106"/>
      <c r="K405" s="43"/>
      <c r="L405" s="43"/>
      <c r="M405" s="107"/>
      <c r="N405" s="107"/>
      <c r="O405" s="106"/>
      <c r="P405" s="139">
        <f t="shared" si="12"/>
        <v>0</v>
      </c>
      <c r="Q405" s="139">
        <f t="shared" si="13"/>
        <v>5</v>
      </c>
    </row>
    <row r="406" spans="1:17">
      <c r="A406" s="74">
        <v>405</v>
      </c>
      <c r="B406" s="89" t="str">
        <f>IF($T$4=0,IF($I406="","",$I406),IFERROR(IF([1]财务取数接口!$B$405=0,"",[1]财务取数接口!$B$405),""))</f>
        <v/>
      </c>
      <c r="C406" s="75" t="str">
        <f>IF($T$4=0,IF($J406="","",$J406),IFERROR(IF([1]财务取数接口!$C$405=0,"",[1]财务取数接口!$C$405),""))</f>
        <v/>
      </c>
      <c r="D406" s="89" t="str">
        <f>IF($T$4=0,IF($K406="","",$K406),IFERROR(IF([1]财务取数接口!$D$405=0,"",[1]财务取数接口!$D$405),""))</f>
        <v/>
      </c>
      <c r="E406" s="89" t="str">
        <f>IF($T$4=0,IF($L406="","",$L406),IFERROR(IF([1]财务取数接口!$E$405=0,"",[1]财务取数接口!$E$405),""))</f>
        <v/>
      </c>
      <c r="F406" s="76" t="str">
        <f>IF($T$4=0,IF($M406="","",$M406),IFERROR(IF([1]财务取数接口!$G$405=0,"",[1]财务取数接口!$G$405),""))</f>
        <v/>
      </c>
      <c r="G406" s="76" t="str">
        <f>IF($T$4=0,IF($N406="","",$N406),IFERROR(IF([1]财务取数接口!$H$405=0,"",[1]财务取数接口!$H$405),""))</f>
        <v/>
      </c>
      <c r="H406" s="75" t="str">
        <f>IF($T$4=0,IF($O406="","",$O406),IFERROR(IF([1]财务取数接口!$I$405=0,"",[1]财务取数接口!$I$405),""))</f>
        <v/>
      </c>
      <c r="I406" s="43"/>
      <c r="J406" s="106"/>
      <c r="K406" s="43"/>
      <c r="L406" s="43"/>
      <c r="M406" s="107"/>
      <c r="N406" s="107"/>
      <c r="O406" s="106"/>
      <c r="P406" s="139">
        <f t="shared" si="12"/>
        <v>0</v>
      </c>
      <c r="Q406" s="139">
        <f t="shared" si="13"/>
        <v>5</v>
      </c>
    </row>
    <row r="407" spans="1:17">
      <c r="A407" s="74">
        <v>406</v>
      </c>
      <c r="B407" s="89" t="str">
        <f>IF($T$4=0,IF($I407="","",$I407),IFERROR(IF([1]财务取数接口!$B$406=0,"",[1]财务取数接口!$B$406),""))</f>
        <v/>
      </c>
      <c r="C407" s="75" t="str">
        <f>IF($T$4=0,IF($J407="","",$J407),IFERROR(IF([1]财务取数接口!$C$406=0,"",[1]财务取数接口!$C$406),""))</f>
        <v/>
      </c>
      <c r="D407" s="89" t="str">
        <f>IF($T$4=0,IF($K407="","",$K407),IFERROR(IF([1]财务取数接口!$D$406=0,"",[1]财务取数接口!$D$406),""))</f>
        <v/>
      </c>
      <c r="E407" s="89" t="str">
        <f>IF($T$4=0,IF($L407="","",$L407),IFERROR(IF([1]财务取数接口!$E$406=0,"",[1]财务取数接口!$E$406),""))</f>
        <v/>
      </c>
      <c r="F407" s="76" t="str">
        <f>IF($T$4=0,IF($M407="","",$M407),IFERROR(IF([1]财务取数接口!$G$406=0,"",[1]财务取数接口!$G$406),""))</f>
        <v/>
      </c>
      <c r="G407" s="76" t="str">
        <f>IF($T$4=0,IF($N407="","",$N407),IFERROR(IF([1]财务取数接口!$H$406=0,"",[1]财务取数接口!$H$406),""))</f>
        <v/>
      </c>
      <c r="H407" s="75" t="str">
        <f>IF($T$4=0,IF($O407="","",$O407),IFERROR(IF([1]财务取数接口!$I$406=0,"",[1]财务取数接口!$I$406),""))</f>
        <v/>
      </c>
      <c r="I407" s="43"/>
      <c r="J407" s="106"/>
      <c r="K407" s="43"/>
      <c r="L407" s="43"/>
      <c r="M407" s="107"/>
      <c r="N407" s="107"/>
      <c r="O407" s="106"/>
      <c r="P407" s="139">
        <f t="shared" si="12"/>
        <v>0</v>
      </c>
      <c r="Q407" s="139">
        <f t="shared" si="13"/>
        <v>5</v>
      </c>
    </row>
    <row r="408" spans="1:17">
      <c r="A408" s="74">
        <v>407</v>
      </c>
      <c r="B408" s="89" t="str">
        <f>IF($T$4=0,IF($I408="","",$I408),IFERROR(IF([1]财务取数接口!$B$407=0,"",[1]财务取数接口!$B$407),""))</f>
        <v/>
      </c>
      <c r="C408" s="75" t="str">
        <f>IF($T$4=0,IF($J408="","",$J408),IFERROR(IF([1]财务取数接口!$C$407=0,"",[1]财务取数接口!$C$407),""))</f>
        <v/>
      </c>
      <c r="D408" s="89" t="str">
        <f>IF($T$4=0,IF($K408="","",$K408),IFERROR(IF([1]财务取数接口!$D$407=0,"",[1]财务取数接口!$D$407),""))</f>
        <v/>
      </c>
      <c r="E408" s="89" t="str">
        <f>IF($T$4=0,IF($L408="","",$L408),IFERROR(IF([1]财务取数接口!$E$407=0,"",[1]财务取数接口!$E$407),""))</f>
        <v/>
      </c>
      <c r="F408" s="76" t="str">
        <f>IF($T$4=0,IF($M408="","",$M408),IFERROR(IF([1]财务取数接口!$G$407=0,"",[1]财务取数接口!$G$407),""))</f>
        <v/>
      </c>
      <c r="G408" s="76" t="str">
        <f>IF($T$4=0,IF($N408="","",$N408),IFERROR(IF([1]财务取数接口!$H$407=0,"",[1]财务取数接口!$H$407),""))</f>
        <v/>
      </c>
      <c r="H408" s="75" t="str">
        <f>IF($T$4=0,IF($O408="","",$O408),IFERROR(IF([1]财务取数接口!$I$407=0,"",[1]财务取数接口!$I$407),""))</f>
        <v/>
      </c>
      <c r="I408" s="43"/>
      <c r="J408" s="106"/>
      <c r="K408" s="43"/>
      <c r="L408" s="43"/>
      <c r="M408" s="107"/>
      <c r="N408" s="107"/>
      <c r="O408" s="106"/>
      <c r="P408" s="139">
        <f t="shared" si="12"/>
        <v>0</v>
      </c>
      <c r="Q408" s="139">
        <f t="shared" si="13"/>
        <v>5</v>
      </c>
    </row>
    <row r="409" spans="1:17">
      <c r="A409" s="74">
        <v>408</v>
      </c>
      <c r="B409" s="89" t="str">
        <f>IF($T$4=0,IF($I409="","",$I409),IFERROR(IF([1]财务取数接口!$B$408=0,"",[1]财务取数接口!$B$408),""))</f>
        <v/>
      </c>
      <c r="C409" s="75" t="str">
        <f>IF($T$4=0,IF($J409="","",$J409),IFERROR(IF([1]财务取数接口!$C$408=0,"",[1]财务取数接口!$C$408),""))</f>
        <v/>
      </c>
      <c r="D409" s="89" t="str">
        <f>IF($T$4=0,IF($K409="","",$K409),IFERROR(IF([1]财务取数接口!$D$408=0,"",[1]财务取数接口!$D$408),""))</f>
        <v/>
      </c>
      <c r="E409" s="89" t="str">
        <f>IF($T$4=0,IF($L409="","",$L409),IFERROR(IF([1]财务取数接口!$E$408=0,"",[1]财务取数接口!$E$408),""))</f>
        <v/>
      </c>
      <c r="F409" s="76" t="str">
        <f>IF($T$4=0,IF($M409="","",$M409),IFERROR(IF([1]财务取数接口!$G$408=0,"",[1]财务取数接口!$G$408),""))</f>
        <v/>
      </c>
      <c r="G409" s="76" t="str">
        <f>IF($T$4=0,IF($N409="","",$N409),IFERROR(IF([1]财务取数接口!$H$408=0,"",[1]财务取数接口!$H$408),""))</f>
        <v/>
      </c>
      <c r="H409" s="75" t="str">
        <f>IF($T$4=0,IF($O409="","",$O409),IFERROR(IF([1]财务取数接口!$I$408=0,"",[1]财务取数接口!$I$408),""))</f>
        <v/>
      </c>
      <c r="I409" s="43"/>
      <c r="J409" s="106"/>
      <c r="K409" s="43"/>
      <c r="L409" s="43"/>
      <c r="M409" s="107"/>
      <c r="N409" s="107"/>
      <c r="O409" s="106"/>
      <c r="P409" s="139">
        <f t="shared" si="12"/>
        <v>0</v>
      </c>
      <c r="Q409" s="139">
        <f t="shared" si="13"/>
        <v>5</v>
      </c>
    </row>
    <row r="410" spans="1:17">
      <c r="A410" s="74">
        <v>409</v>
      </c>
      <c r="B410" s="89" t="str">
        <f>IF($T$4=0,IF($I410="","",$I410),IFERROR(IF([1]财务取数接口!$B$409=0,"",[1]财务取数接口!$B$409),""))</f>
        <v/>
      </c>
      <c r="C410" s="75" t="str">
        <f>IF($T$4=0,IF($J410="","",$J410),IFERROR(IF([1]财务取数接口!$C$409=0,"",[1]财务取数接口!$C$409),""))</f>
        <v/>
      </c>
      <c r="D410" s="89" t="str">
        <f>IF($T$4=0,IF($K410="","",$K410),IFERROR(IF([1]财务取数接口!$D$409=0,"",[1]财务取数接口!$D$409),""))</f>
        <v/>
      </c>
      <c r="E410" s="89" t="str">
        <f>IF($T$4=0,IF($L410="","",$L410),IFERROR(IF([1]财务取数接口!$E$409=0,"",[1]财务取数接口!$E$409),""))</f>
        <v/>
      </c>
      <c r="F410" s="76" t="str">
        <f>IF($T$4=0,IF($M410="","",$M410),IFERROR(IF([1]财务取数接口!$G$409=0,"",[1]财务取数接口!$G$409),""))</f>
        <v/>
      </c>
      <c r="G410" s="76" t="str">
        <f>IF($T$4=0,IF($N410="","",$N410),IFERROR(IF([1]财务取数接口!$H$409=0,"",[1]财务取数接口!$H$409),""))</f>
        <v/>
      </c>
      <c r="H410" s="75" t="str">
        <f>IF($T$4=0,IF($O410="","",$O410),IFERROR(IF([1]财务取数接口!$I$409=0,"",[1]财务取数接口!$I$409),""))</f>
        <v/>
      </c>
      <c r="I410" s="43"/>
      <c r="J410" s="106"/>
      <c r="K410" s="43"/>
      <c r="L410" s="43"/>
      <c r="M410" s="107"/>
      <c r="N410" s="107"/>
      <c r="O410" s="106"/>
      <c r="P410" s="139">
        <f t="shared" si="12"/>
        <v>0</v>
      </c>
      <c r="Q410" s="139">
        <f t="shared" si="13"/>
        <v>5</v>
      </c>
    </row>
    <row r="411" spans="1:17">
      <c r="A411" s="74">
        <v>410</v>
      </c>
      <c r="B411" s="89" t="str">
        <f>IF($T$4=0,IF($I411="","",$I411),IFERROR(IF([1]财务取数接口!$B$410=0,"",[1]财务取数接口!$B$410),""))</f>
        <v/>
      </c>
      <c r="C411" s="75" t="str">
        <f>IF($T$4=0,IF($J411="","",$J411),IFERROR(IF([1]财务取数接口!$C$410=0,"",[1]财务取数接口!$C$410),""))</f>
        <v/>
      </c>
      <c r="D411" s="89" t="str">
        <f>IF($T$4=0,IF($K411="","",$K411),IFERROR(IF([1]财务取数接口!$D$410=0,"",[1]财务取数接口!$D$410),""))</f>
        <v/>
      </c>
      <c r="E411" s="89" t="str">
        <f>IF($T$4=0,IF($L411="","",$L411),IFERROR(IF([1]财务取数接口!$E$410=0,"",[1]财务取数接口!$E$410),""))</f>
        <v/>
      </c>
      <c r="F411" s="76" t="str">
        <f>IF($T$4=0,IF($M411="","",$M411),IFERROR(IF([1]财务取数接口!$G$410=0,"",[1]财务取数接口!$G$410),""))</f>
        <v/>
      </c>
      <c r="G411" s="76" t="str">
        <f>IF($T$4=0,IF($N411="","",$N411),IFERROR(IF([1]财务取数接口!$H$410=0,"",[1]财务取数接口!$H$410),""))</f>
        <v/>
      </c>
      <c r="H411" s="75" t="str">
        <f>IF($T$4=0,IF($O411="","",$O411),IFERROR(IF([1]财务取数接口!$I$410=0,"",[1]财务取数接口!$I$410),""))</f>
        <v/>
      </c>
      <c r="I411" s="43"/>
      <c r="J411" s="106"/>
      <c r="K411" s="43"/>
      <c r="L411" s="43"/>
      <c r="M411" s="107"/>
      <c r="N411" s="107"/>
      <c r="O411" s="106"/>
      <c r="P411" s="139">
        <f t="shared" si="12"/>
        <v>0</v>
      </c>
      <c r="Q411" s="139">
        <f t="shared" si="13"/>
        <v>5</v>
      </c>
    </row>
    <row r="412" spans="1:17">
      <c r="A412" s="74">
        <v>411</v>
      </c>
      <c r="B412" s="89" t="str">
        <f>IF($T$4=0,IF($I412="","",$I412),IFERROR(IF([1]财务取数接口!$B$411=0,"",[1]财务取数接口!$B$411),""))</f>
        <v/>
      </c>
      <c r="C412" s="75" t="str">
        <f>IF($T$4=0,IF($J412="","",$J412),IFERROR(IF([1]财务取数接口!$C$411=0,"",[1]财务取数接口!$C$411),""))</f>
        <v/>
      </c>
      <c r="D412" s="89" t="str">
        <f>IF($T$4=0,IF($K412="","",$K412),IFERROR(IF([1]财务取数接口!$D$411=0,"",[1]财务取数接口!$D$411),""))</f>
        <v/>
      </c>
      <c r="E412" s="89" t="str">
        <f>IF($T$4=0,IF($L412="","",$L412),IFERROR(IF([1]财务取数接口!$E$411=0,"",[1]财务取数接口!$E$411),""))</f>
        <v/>
      </c>
      <c r="F412" s="76" t="str">
        <f>IF($T$4=0,IF($M412="","",$M412),IFERROR(IF([1]财务取数接口!$G$411=0,"",[1]财务取数接口!$G$411),""))</f>
        <v/>
      </c>
      <c r="G412" s="76" t="str">
        <f>IF($T$4=0,IF($N412="","",$N412),IFERROR(IF([1]财务取数接口!$H$411=0,"",[1]财务取数接口!$H$411),""))</f>
        <v/>
      </c>
      <c r="H412" s="75" t="str">
        <f>IF($T$4=0,IF($O412="","",$O412),IFERROR(IF([1]财务取数接口!$I$411=0,"",[1]财务取数接口!$I$411),""))</f>
        <v/>
      </c>
      <c r="I412" s="43"/>
      <c r="J412" s="106"/>
      <c r="K412" s="43"/>
      <c r="L412" s="43"/>
      <c r="M412" s="107"/>
      <c r="N412" s="107"/>
      <c r="O412" s="106"/>
      <c r="P412" s="139">
        <f t="shared" si="12"/>
        <v>0</v>
      </c>
      <c r="Q412" s="139">
        <f t="shared" si="13"/>
        <v>5</v>
      </c>
    </row>
    <row r="413" spans="1:17">
      <c r="A413" s="74">
        <v>412</v>
      </c>
      <c r="B413" s="89" t="str">
        <f>IF($T$4=0,IF($I413="","",$I413),IFERROR(IF([1]财务取数接口!$B$412=0,"",[1]财务取数接口!$B$412),""))</f>
        <v/>
      </c>
      <c r="C413" s="75" t="str">
        <f>IF($T$4=0,IF($J413="","",$J413),IFERROR(IF([1]财务取数接口!$C$412=0,"",[1]财务取数接口!$C$412),""))</f>
        <v/>
      </c>
      <c r="D413" s="89" t="str">
        <f>IF($T$4=0,IF($K413="","",$K413),IFERROR(IF([1]财务取数接口!$D$412=0,"",[1]财务取数接口!$D$412),""))</f>
        <v/>
      </c>
      <c r="E413" s="89" t="str">
        <f>IF($T$4=0,IF($L413="","",$L413),IFERROR(IF([1]财务取数接口!$E$412=0,"",[1]财务取数接口!$E$412),""))</f>
        <v/>
      </c>
      <c r="F413" s="76" t="str">
        <f>IF($T$4=0,IF($M413="","",$M413),IFERROR(IF([1]财务取数接口!$G$412=0,"",[1]财务取数接口!$G$412),""))</f>
        <v/>
      </c>
      <c r="G413" s="76" t="str">
        <f>IF($T$4=0,IF($N413="","",$N413),IFERROR(IF([1]财务取数接口!$H$412=0,"",[1]财务取数接口!$H$412),""))</f>
        <v/>
      </c>
      <c r="H413" s="75" t="str">
        <f>IF($T$4=0,IF($O413="","",$O413),IFERROR(IF([1]财务取数接口!$I$412=0,"",[1]财务取数接口!$I$412),""))</f>
        <v/>
      </c>
      <c r="I413" s="43"/>
      <c r="J413" s="106"/>
      <c r="K413" s="43"/>
      <c r="L413" s="43"/>
      <c r="M413" s="107"/>
      <c r="N413" s="107"/>
      <c r="O413" s="106"/>
      <c r="P413" s="139">
        <f t="shared" si="12"/>
        <v>0</v>
      </c>
      <c r="Q413" s="139">
        <f t="shared" si="13"/>
        <v>5</v>
      </c>
    </row>
    <row r="414" spans="1:17">
      <c r="A414" s="74">
        <v>413</v>
      </c>
      <c r="B414" s="89" t="str">
        <f>IF($T$4=0,IF($I414="","",$I414),IFERROR(IF([1]财务取数接口!$B$413=0,"",[1]财务取数接口!$B$413),""))</f>
        <v/>
      </c>
      <c r="C414" s="75" t="str">
        <f>IF($T$4=0,IF($J414="","",$J414),IFERROR(IF([1]财务取数接口!$C$413=0,"",[1]财务取数接口!$C$413),""))</f>
        <v/>
      </c>
      <c r="D414" s="89" t="str">
        <f>IF($T$4=0,IF($K414="","",$K414),IFERROR(IF([1]财务取数接口!$D$413=0,"",[1]财务取数接口!$D$413),""))</f>
        <v/>
      </c>
      <c r="E414" s="89" t="str">
        <f>IF($T$4=0,IF($L414="","",$L414),IFERROR(IF([1]财务取数接口!$E$413=0,"",[1]财务取数接口!$E$413),""))</f>
        <v/>
      </c>
      <c r="F414" s="76" t="str">
        <f>IF($T$4=0,IF($M414="","",$M414),IFERROR(IF([1]财务取数接口!$G$413=0,"",[1]财务取数接口!$G$413),""))</f>
        <v/>
      </c>
      <c r="G414" s="76" t="str">
        <f>IF($T$4=0,IF($N414="","",$N414),IFERROR(IF([1]财务取数接口!$H$413=0,"",[1]财务取数接口!$H$413),""))</f>
        <v/>
      </c>
      <c r="H414" s="75" t="str">
        <f>IF($T$4=0,IF($O414="","",$O414),IFERROR(IF([1]财务取数接口!$I$413=0,"",[1]财务取数接口!$I$413),""))</f>
        <v/>
      </c>
      <c r="I414" s="43"/>
      <c r="J414" s="106"/>
      <c r="K414" s="43"/>
      <c r="L414" s="43"/>
      <c r="M414" s="107"/>
      <c r="N414" s="107"/>
      <c r="O414" s="106"/>
      <c r="P414" s="139">
        <f t="shared" si="12"/>
        <v>0</v>
      </c>
      <c r="Q414" s="139">
        <f t="shared" si="13"/>
        <v>5</v>
      </c>
    </row>
    <row r="415" spans="1:17">
      <c r="A415" s="74">
        <v>414</v>
      </c>
      <c r="B415" s="89" t="str">
        <f>IF($T$4=0,IF($I415="","",$I415),IFERROR(IF([1]财务取数接口!$B$414=0,"",[1]财务取数接口!$B$414),""))</f>
        <v/>
      </c>
      <c r="C415" s="75" t="str">
        <f>IF($T$4=0,IF($J415="","",$J415),IFERROR(IF([1]财务取数接口!$C$414=0,"",[1]财务取数接口!$C$414),""))</f>
        <v/>
      </c>
      <c r="D415" s="89" t="str">
        <f>IF($T$4=0,IF($K415="","",$K415),IFERROR(IF([1]财务取数接口!$D$414=0,"",[1]财务取数接口!$D$414),""))</f>
        <v/>
      </c>
      <c r="E415" s="89" t="str">
        <f>IF($T$4=0,IF($L415="","",$L415),IFERROR(IF([1]财务取数接口!$E$414=0,"",[1]财务取数接口!$E$414),""))</f>
        <v/>
      </c>
      <c r="F415" s="76" t="str">
        <f>IF($T$4=0,IF($M415="","",$M415),IFERROR(IF([1]财务取数接口!$G$414=0,"",[1]财务取数接口!$G$414),""))</f>
        <v/>
      </c>
      <c r="G415" s="76" t="str">
        <f>IF($T$4=0,IF($N415="","",$N415),IFERROR(IF([1]财务取数接口!$H$414=0,"",[1]财务取数接口!$H$414),""))</f>
        <v/>
      </c>
      <c r="H415" s="75" t="str">
        <f>IF($T$4=0,IF($O415="","",$O415),IFERROR(IF([1]财务取数接口!$I$414=0,"",[1]财务取数接口!$I$414),""))</f>
        <v/>
      </c>
      <c r="I415" s="43"/>
      <c r="J415" s="106"/>
      <c r="K415" s="43"/>
      <c r="L415" s="43"/>
      <c r="M415" s="107"/>
      <c r="N415" s="107"/>
      <c r="O415" s="106"/>
      <c r="P415" s="139">
        <f t="shared" si="12"/>
        <v>0</v>
      </c>
      <c r="Q415" s="139">
        <f t="shared" si="13"/>
        <v>5</v>
      </c>
    </row>
    <row r="416" spans="1:17">
      <c r="A416" s="74">
        <v>415</v>
      </c>
      <c r="B416" s="89" t="str">
        <f>IF($T$4=0,IF($I416="","",$I416),IFERROR(IF([1]财务取数接口!$B$415=0,"",[1]财务取数接口!$B$415),""))</f>
        <v/>
      </c>
      <c r="C416" s="75" t="str">
        <f>IF($T$4=0,IF($J416="","",$J416),IFERROR(IF([1]财务取数接口!$C$415=0,"",[1]财务取数接口!$C$415),""))</f>
        <v/>
      </c>
      <c r="D416" s="89" t="str">
        <f>IF($T$4=0,IF($K416="","",$K416),IFERROR(IF([1]财务取数接口!$D$415=0,"",[1]财务取数接口!$D$415),""))</f>
        <v/>
      </c>
      <c r="E416" s="89" t="str">
        <f>IF($T$4=0,IF($L416="","",$L416),IFERROR(IF([1]财务取数接口!$E$415=0,"",[1]财务取数接口!$E$415),""))</f>
        <v/>
      </c>
      <c r="F416" s="76" t="str">
        <f>IF($T$4=0,IF($M416="","",$M416),IFERROR(IF([1]财务取数接口!$G$415=0,"",[1]财务取数接口!$G$415),""))</f>
        <v/>
      </c>
      <c r="G416" s="76" t="str">
        <f>IF($T$4=0,IF($N416="","",$N416),IFERROR(IF([1]财务取数接口!$H$415=0,"",[1]财务取数接口!$H$415),""))</f>
        <v/>
      </c>
      <c r="H416" s="75" t="str">
        <f>IF($T$4=0,IF($O416="","",$O416),IFERROR(IF([1]财务取数接口!$I$415=0,"",[1]财务取数接口!$I$415),""))</f>
        <v/>
      </c>
      <c r="I416" s="43"/>
      <c r="J416" s="106"/>
      <c r="K416" s="43"/>
      <c r="L416" s="43"/>
      <c r="M416" s="107"/>
      <c r="N416" s="107"/>
      <c r="O416" s="106"/>
      <c r="P416" s="139">
        <f t="shared" si="12"/>
        <v>0</v>
      </c>
      <c r="Q416" s="139">
        <f t="shared" si="13"/>
        <v>5</v>
      </c>
    </row>
    <row r="417" spans="1:17">
      <c r="A417" s="74">
        <v>416</v>
      </c>
      <c r="B417" s="89" t="str">
        <f>IF($T$4=0,IF($I417="","",$I417),IFERROR(IF([1]财务取数接口!$B$416=0,"",[1]财务取数接口!$B$416),""))</f>
        <v/>
      </c>
      <c r="C417" s="75" t="str">
        <f>IF($T$4=0,IF($J417="","",$J417),IFERROR(IF([1]财务取数接口!$C$416=0,"",[1]财务取数接口!$C$416),""))</f>
        <v/>
      </c>
      <c r="D417" s="89" t="str">
        <f>IF($T$4=0,IF($K417="","",$K417),IFERROR(IF([1]财务取数接口!$D$416=0,"",[1]财务取数接口!$D$416),""))</f>
        <v/>
      </c>
      <c r="E417" s="89" t="str">
        <f>IF($T$4=0,IF($L417="","",$L417),IFERROR(IF([1]财务取数接口!$E$416=0,"",[1]财务取数接口!$E$416),""))</f>
        <v/>
      </c>
      <c r="F417" s="76" t="str">
        <f>IF($T$4=0,IF($M417="","",$M417),IFERROR(IF([1]财务取数接口!$G$416=0,"",[1]财务取数接口!$G$416),""))</f>
        <v/>
      </c>
      <c r="G417" s="76" t="str">
        <f>IF($T$4=0,IF($N417="","",$N417),IFERROR(IF([1]财务取数接口!$H$416=0,"",[1]财务取数接口!$H$416),""))</f>
        <v/>
      </c>
      <c r="H417" s="75" t="str">
        <f>IF($T$4=0,IF($O417="","",$O417),IFERROR(IF([1]财务取数接口!$I$416=0,"",[1]财务取数接口!$I$416),""))</f>
        <v/>
      </c>
      <c r="I417" s="43"/>
      <c r="J417" s="106"/>
      <c r="K417" s="43"/>
      <c r="L417" s="43"/>
      <c r="M417" s="107"/>
      <c r="N417" s="107"/>
      <c r="O417" s="106"/>
      <c r="P417" s="139">
        <f t="shared" si="12"/>
        <v>0</v>
      </c>
      <c r="Q417" s="139">
        <f t="shared" si="13"/>
        <v>5</v>
      </c>
    </row>
    <row r="418" spans="1:17">
      <c r="A418" s="74">
        <v>417</v>
      </c>
      <c r="B418" s="89" t="str">
        <f>IF($T$4=0,IF($I418="","",$I418),IFERROR(IF([1]财务取数接口!$B$417=0,"",[1]财务取数接口!$B$417),""))</f>
        <v/>
      </c>
      <c r="C418" s="75" t="str">
        <f>IF($T$4=0,IF($J418="","",$J418),IFERROR(IF([1]财务取数接口!$C$417=0,"",[1]财务取数接口!$C$417),""))</f>
        <v/>
      </c>
      <c r="D418" s="89" t="str">
        <f>IF($T$4=0,IF($K418="","",$K418),IFERROR(IF([1]财务取数接口!$D$417=0,"",[1]财务取数接口!$D$417),""))</f>
        <v/>
      </c>
      <c r="E418" s="89" t="str">
        <f>IF($T$4=0,IF($L418="","",$L418),IFERROR(IF([1]财务取数接口!$E$417=0,"",[1]财务取数接口!$E$417),""))</f>
        <v/>
      </c>
      <c r="F418" s="76" t="str">
        <f>IF($T$4=0,IF($M418="","",$M418),IFERROR(IF([1]财务取数接口!$G$417=0,"",[1]财务取数接口!$G$417),""))</f>
        <v/>
      </c>
      <c r="G418" s="76" t="str">
        <f>IF($T$4=0,IF($N418="","",$N418),IFERROR(IF([1]财务取数接口!$H$417=0,"",[1]财务取数接口!$H$417),""))</f>
        <v/>
      </c>
      <c r="H418" s="75" t="str">
        <f>IF($T$4=0,IF($O418="","",$O418),IFERROR(IF([1]财务取数接口!$I$417=0,"",[1]财务取数接口!$I$417),""))</f>
        <v/>
      </c>
      <c r="I418" s="43"/>
      <c r="J418" s="106"/>
      <c r="K418" s="43"/>
      <c r="L418" s="43"/>
      <c r="M418" s="107"/>
      <c r="N418" s="107"/>
      <c r="O418" s="106"/>
      <c r="P418" s="139">
        <f t="shared" si="12"/>
        <v>0</v>
      </c>
      <c r="Q418" s="139">
        <f t="shared" si="13"/>
        <v>5</v>
      </c>
    </row>
    <row r="419" spans="1:17">
      <c r="A419" s="74">
        <v>418</v>
      </c>
      <c r="B419" s="89" t="str">
        <f>IF($T$4=0,IF($I419="","",$I419),IFERROR(IF([1]财务取数接口!$B$418=0,"",[1]财务取数接口!$B$418),""))</f>
        <v/>
      </c>
      <c r="C419" s="75" t="str">
        <f>IF($T$4=0,IF($J419="","",$J419),IFERROR(IF([1]财务取数接口!$C$418=0,"",[1]财务取数接口!$C$418),""))</f>
        <v/>
      </c>
      <c r="D419" s="89" t="str">
        <f>IF($T$4=0,IF($K419="","",$K419),IFERROR(IF([1]财务取数接口!$D$418=0,"",[1]财务取数接口!$D$418),""))</f>
        <v/>
      </c>
      <c r="E419" s="89" t="str">
        <f>IF($T$4=0,IF($L419="","",$L419),IFERROR(IF([1]财务取数接口!$E$418=0,"",[1]财务取数接口!$E$418),""))</f>
        <v/>
      </c>
      <c r="F419" s="76" t="str">
        <f>IF($T$4=0,IF($M419="","",$M419),IFERROR(IF([1]财务取数接口!$G$418=0,"",[1]财务取数接口!$G$418),""))</f>
        <v/>
      </c>
      <c r="G419" s="76" t="str">
        <f>IF($T$4=0,IF($N419="","",$N419),IFERROR(IF([1]财务取数接口!$H$418=0,"",[1]财务取数接口!$H$418),""))</f>
        <v/>
      </c>
      <c r="H419" s="75" t="str">
        <f>IF($T$4=0,IF($O419="","",$O419),IFERROR(IF([1]财务取数接口!$I$418=0,"",[1]财务取数接口!$I$418),""))</f>
        <v/>
      </c>
      <c r="I419" s="43"/>
      <c r="J419" s="106"/>
      <c r="K419" s="43"/>
      <c r="L419" s="43"/>
      <c r="M419" s="107"/>
      <c r="N419" s="107"/>
      <c r="O419" s="106"/>
      <c r="P419" s="139">
        <f t="shared" si="12"/>
        <v>0</v>
      </c>
      <c r="Q419" s="139">
        <f t="shared" si="13"/>
        <v>5</v>
      </c>
    </row>
    <row r="420" spans="1:17">
      <c r="A420" s="74">
        <v>419</v>
      </c>
      <c r="B420" s="89" t="str">
        <f>IF($T$4=0,IF($I420="","",$I420),IFERROR(IF([1]财务取数接口!$B$419=0,"",[1]财务取数接口!$B$419),""))</f>
        <v/>
      </c>
      <c r="C420" s="75" t="str">
        <f>IF($T$4=0,IF($J420="","",$J420),IFERROR(IF([1]财务取数接口!$C$419=0,"",[1]财务取数接口!$C$419),""))</f>
        <v/>
      </c>
      <c r="D420" s="89" t="str">
        <f>IF($T$4=0,IF($K420="","",$K420),IFERROR(IF([1]财务取数接口!$D$419=0,"",[1]财务取数接口!$D$419),""))</f>
        <v/>
      </c>
      <c r="E420" s="89" t="str">
        <f>IF($T$4=0,IF($L420="","",$L420),IFERROR(IF([1]财务取数接口!$E$419=0,"",[1]财务取数接口!$E$419),""))</f>
        <v/>
      </c>
      <c r="F420" s="76" t="str">
        <f>IF($T$4=0,IF($M420="","",$M420),IFERROR(IF([1]财务取数接口!$G$419=0,"",[1]财务取数接口!$G$419),""))</f>
        <v/>
      </c>
      <c r="G420" s="76" t="str">
        <f>IF($T$4=0,IF($N420="","",$N420),IFERROR(IF([1]财务取数接口!$H$419=0,"",[1]财务取数接口!$H$419),""))</f>
        <v/>
      </c>
      <c r="H420" s="75" t="str">
        <f>IF($T$4=0,IF($O420="","",$O420),IFERROR(IF([1]财务取数接口!$I$419=0,"",[1]财务取数接口!$I$419),""))</f>
        <v/>
      </c>
      <c r="I420" s="43"/>
      <c r="J420" s="106"/>
      <c r="K420" s="43"/>
      <c r="L420" s="43"/>
      <c r="M420" s="107"/>
      <c r="N420" s="107"/>
      <c r="O420" s="106"/>
      <c r="P420" s="139">
        <f t="shared" si="12"/>
        <v>0</v>
      </c>
      <c r="Q420" s="139">
        <f t="shared" si="13"/>
        <v>5</v>
      </c>
    </row>
    <row r="421" spans="1:17">
      <c r="A421" s="74">
        <v>420</v>
      </c>
      <c r="B421" s="89" t="str">
        <f>IF($T$4=0,IF($I421="","",$I421),IFERROR(IF([1]财务取数接口!$B$420=0,"",[1]财务取数接口!$B$420),""))</f>
        <v/>
      </c>
      <c r="C421" s="75" t="str">
        <f>IF($T$4=0,IF($J421="","",$J421),IFERROR(IF([1]财务取数接口!$C$420=0,"",[1]财务取数接口!$C$420),""))</f>
        <v/>
      </c>
      <c r="D421" s="89" t="str">
        <f>IF($T$4=0,IF($K421="","",$K421),IFERROR(IF([1]财务取数接口!$D$420=0,"",[1]财务取数接口!$D$420),""))</f>
        <v/>
      </c>
      <c r="E421" s="89" t="str">
        <f>IF($T$4=0,IF($L421="","",$L421),IFERROR(IF([1]财务取数接口!$E$420=0,"",[1]财务取数接口!$E$420),""))</f>
        <v/>
      </c>
      <c r="F421" s="76" t="str">
        <f>IF($T$4=0,IF($M421="","",$M421),IFERROR(IF([1]财务取数接口!$G$420=0,"",[1]财务取数接口!$G$420),""))</f>
        <v/>
      </c>
      <c r="G421" s="76" t="str">
        <f>IF($T$4=0,IF($N421="","",$N421),IFERROR(IF([1]财务取数接口!$H$420=0,"",[1]财务取数接口!$H$420),""))</f>
        <v/>
      </c>
      <c r="H421" s="75" t="str">
        <f>IF($T$4=0,IF($O421="","",$O421),IFERROR(IF([1]财务取数接口!$I$420=0,"",[1]财务取数接口!$I$420),""))</f>
        <v/>
      </c>
      <c r="I421" s="43"/>
      <c r="J421" s="106"/>
      <c r="K421" s="43"/>
      <c r="L421" s="43"/>
      <c r="M421" s="107"/>
      <c r="N421" s="107"/>
      <c r="O421" s="106"/>
      <c r="P421" s="139">
        <f t="shared" si="12"/>
        <v>0</v>
      </c>
      <c r="Q421" s="139">
        <f t="shared" si="13"/>
        <v>5</v>
      </c>
    </row>
    <row r="422" spans="1:17">
      <c r="A422" s="74">
        <v>421</v>
      </c>
      <c r="B422" s="89" t="str">
        <f>IF($T$4=0,IF($I422="","",$I422),IFERROR(IF([1]财务取数接口!$B$421=0,"",[1]财务取数接口!$B$421),""))</f>
        <v/>
      </c>
      <c r="C422" s="75" t="str">
        <f>IF($T$4=0,IF($J422="","",$J422),IFERROR(IF([1]财务取数接口!$C$421=0,"",[1]财务取数接口!$C$421),""))</f>
        <v/>
      </c>
      <c r="D422" s="89" t="str">
        <f>IF($T$4=0,IF($K422="","",$K422),IFERROR(IF([1]财务取数接口!$D$421=0,"",[1]财务取数接口!$D$421),""))</f>
        <v/>
      </c>
      <c r="E422" s="89" t="str">
        <f>IF($T$4=0,IF($L422="","",$L422),IFERROR(IF([1]财务取数接口!$E$421=0,"",[1]财务取数接口!$E$421),""))</f>
        <v/>
      </c>
      <c r="F422" s="76" t="str">
        <f>IF($T$4=0,IF($M422="","",$M422),IFERROR(IF([1]财务取数接口!$G$421=0,"",[1]财务取数接口!$G$421),""))</f>
        <v/>
      </c>
      <c r="G422" s="76" t="str">
        <f>IF($T$4=0,IF($N422="","",$N422),IFERROR(IF([1]财务取数接口!$H$421=0,"",[1]财务取数接口!$H$421),""))</f>
        <v/>
      </c>
      <c r="H422" s="75" t="str">
        <f>IF($T$4=0,IF($O422="","",$O422),IFERROR(IF([1]财务取数接口!$I$421=0,"",[1]财务取数接口!$I$421),""))</f>
        <v/>
      </c>
      <c r="I422" s="43"/>
      <c r="J422" s="106"/>
      <c r="K422" s="43"/>
      <c r="L422" s="43"/>
      <c r="M422" s="107"/>
      <c r="N422" s="107"/>
      <c r="O422" s="106"/>
      <c r="P422" s="139">
        <f t="shared" si="12"/>
        <v>0</v>
      </c>
      <c r="Q422" s="139">
        <f t="shared" si="13"/>
        <v>5</v>
      </c>
    </row>
    <row r="423" spans="1:17">
      <c r="A423" s="74">
        <v>422</v>
      </c>
      <c r="B423" s="89" t="str">
        <f>IF($T$4=0,IF($I423="","",$I423),IFERROR(IF([1]财务取数接口!$B$422=0,"",[1]财务取数接口!$B$422),""))</f>
        <v/>
      </c>
      <c r="C423" s="75" t="str">
        <f>IF($T$4=0,IF($J423="","",$J423),IFERROR(IF([1]财务取数接口!$C$422=0,"",[1]财务取数接口!$C$422),""))</f>
        <v/>
      </c>
      <c r="D423" s="89" t="str">
        <f>IF($T$4=0,IF($K423="","",$K423),IFERROR(IF([1]财务取数接口!$D$422=0,"",[1]财务取数接口!$D$422),""))</f>
        <v/>
      </c>
      <c r="E423" s="89" t="str">
        <f>IF($T$4=0,IF($L423="","",$L423),IFERROR(IF([1]财务取数接口!$E$422=0,"",[1]财务取数接口!$E$422),""))</f>
        <v/>
      </c>
      <c r="F423" s="76" t="str">
        <f>IF($T$4=0,IF($M423="","",$M423),IFERROR(IF([1]财务取数接口!$G$422=0,"",[1]财务取数接口!$G$422),""))</f>
        <v/>
      </c>
      <c r="G423" s="76" t="str">
        <f>IF($T$4=0,IF($N423="","",$N423),IFERROR(IF([1]财务取数接口!$H$422=0,"",[1]财务取数接口!$H$422),""))</f>
        <v/>
      </c>
      <c r="H423" s="75" t="str">
        <f>IF($T$4=0,IF($O423="","",$O423),IFERROR(IF([1]财务取数接口!$I$422=0,"",[1]财务取数接口!$I$422),""))</f>
        <v/>
      </c>
      <c r="I423" s="43"/>
      <c r="J423" s="106"/>
      <c r="K423" s="43"/>
      <c r="L423" s="43"/>
      <c r="M423" s="107"/>
      <c r="N423" s="107"/>
      <c r="O423" s="106"/>
      <c r="P423" s="139">
        <f t="shared" si="12"/>
        <v>0</v>
      </c>
      <c r="Q423" s="139">
        <f t="shared" si="13"/>
        <v>5</v>
      </c>
    </row>
    <row r="424" spans="1:17">
      <c r="A424" s="74">
        <v>423</v>
      </c>
      <c r="B424" s="89" t="str">
        <f>IF($T$4=0,IF($I424="","",$I424),IFERROR(IF([1]财务取数接口!$B$423=0,"",[1]财务取数接口!$B$423),""))</f>
        <v/>
      </c>
      <c r="C424" s="75" t="str">
        <f>IF($T$4=0,IF($J424="","",$J424),IFERROR(IF([1]财务取数接口!$C$423=0,"",[1]财务取数接口!$C$423),""))</f>
        <v/>
      </c>
      <c r="D424" s="89" t="str">
        <f>IF($T$4=0,IF($K424="","",$K424),IFERROR(IF([1]财务取数接口!$D$423=0,"",[1]财务取数接口!$D$423),""))</f>
        <v/>
      </c>
      <c r="E424" s="89" t="str">
        <f>IF($T$4=0,IF($L424="","",$L424),IFERROR(IF([1]财务取数接口!$E$423=0,"",[1]财务取数接口!$E$423),""))</f>
        <v/>
      </c>
      <c r="F424" s="76" t="str">
        <f>IF($T$4=0,IF($M424="","",$M424),IFERROR(IF([1]财务取数接口!$G$423=0,"",[1]财务取数接口!$G$423),""))</f>
        <v/>
      </c>
      <c r="G424" s="76" t="str">
        <f>IF($T$4=0,IF($N424="","",$N424),IFERROR(IF([1]财务取数接口!$H$423=0,"",[1]财务取数接口!$H$423),""))</f>
        <v/>
      </c>
      <c r="H424" s="75" t="str">
        <f>IF($T$4=0,IF($O424="","",$O424),IFERROR(IF([1]财务取数接口!$I$423=0,"",[1]财务取数接口!$I$423),""))</f>
        <v/>
      </c>
      <c r="I424" s="43"/>
      <c r="J424" s="106"/>
      <c r="K424" s="43"/>
      <c r="L424" s="43"/>
      <c r="M424" s="107"/>
      <c r="N424" s="107"/>
      <c r="O424" s="106"/>
      <c r="P424" s="139">
        <f t="shared" si="12"/>
        <v>0</v>
      </c>
      <c r="Q424" s="139">
        <f t="shared" si="13"/>
        <v>5</v>
      </c>
    </row>
    <row r="425" spans="1:17">
      <c r="A425" s="74">
        <v>424</v>
      </c>
      <c r="B425" s="89" t="str">
        <f>IF($T$4=0,IF($I425="","",$I425),IFERROR(IF([1]财务取数接口!$B$424=0,"",[1]财务取数接口!$B$424),""))</f>
        <v/>
      </c>
      <c r="C425" s="75" t="str">
        <f>IF($T$4=0,IF($J425="","",$J425),IFERROR(IF([1]财务取数接口!$C$424=0,"",[1]财务取数接口!$C$424),""))</f>
        <v/>
      </c>
      <c r="D425" s="89" t="str">
        <f>IF($T$4=0,IF($K425="","",$K425),IFERROR(IF([1]财务取数接口!$D$424=0,"",[1]财务取数接口!$D$424),""))</f>
        <v/>
      </c>
      <c r="E425" s="89" t="str">
        <f>IF($T$4=0,IF($L425="","",$L425),IFERROR(IF([1]财务取数接口!$E$424=0,"",[1]财务取数接口!$E$424),""))</f>
        <v/>
      </c>
      <c r="F425" s="76" t="str">
        <f>IF($T$4=0,IF($M425="","",$M425),IFERROR(IF([1]财务取数接口!$G$424=0,"",[1]财务取数接口!$G$424),""))</f>
        <v/>
      </c>
      <c r="G425" s="76" t="str">
        <f>IF($T$4=0,IF($N425="","",$N425),IFERROR(IF([1]财务取数接口!$H$424=0,"",[1]财务取数接口!$H$424),""))</f>
        <v/>
      </c>
      <c r="H425" s="75" t="str">
        <f>IF($T$4=0,IF($O425="","",$O425),IFERROR(IF([1]财务取数接口!$I$424=0,"",[1]财务取数接口!$I$424),""))</f>
        <v/>
      </c>
      <c r="I425" s="43"/>
      <c r="J425" s="106"/>
      <c r="K425" s="43"/>
      <c r="L425" s="43"/>
      <c r="M425" s="107"/>
      <c r="N425" s="107"/>
      <c r="O425" s="106"/>
      <c r="P425" s="139">
        <f t="shared" si="12"/>
        <v>0</v>
      </c>
      <c r="Q425" s="139">
        <f t="shared" si="13"/>
        <v>5</v>
      </c>
    </row>
    <row r="426" spans="1:17">
      <c r="A426" s="74">
        <v>425</v>
      </c>
      <c r="B426" s="89" t="str">
        <f>IF($T$4=0,IF($I426="","",$I426),IFERROR(IF([1]财务取数接口!$B$425=0,"",[1]财务取数接口!$B$425),""))</f>
        <v/>
      </c>
      <c r="C426" s="75" t="str">
        <f>IF($T$4=0,IF($J426="","",$J426),IFERROR(IF([1]财务取数接口!$C$425=0,"",[1]财务取数接口!$C$425),""))</f>
        <v/>
      </c>
      <c r="D426" s="89" t="str">
        <f>IF($T$4=0,IF($K426="","",$K426),IFERROR(IF([1]财务取数接口!$D$425=0,"",[1]财务取数接口!$D$425),""))</f>
        <v/>
      </c>
      <c r="E426" s="89" t="str">
        <f>IF($T$4=0,IF($L426="","",$L426),IFERROR(IF([1]财务取数接口!$E$425=0,"",[1]财务取数接口!$E$425),""))</f>
        <v/>
      </c>
      <c r="F426" s="76" t="str">
        <f>IF($T$4=0,IF($M426="","",$M426),IFERROR(IF([1]财务取数接口!$G$425=0,"",[1]财务取数接口!$G$425),""))</f>
        <v/>
      </c>
      <c r="G426" s="76" t="str">
        <f>IF($T$4=0,IF($N426="","",$N426),IFERROR(IF([1]财务取数接口!$H$425=0,"",[1]财务取数接口!$H$425),""))</f>
        <v/>
      </c>
      <c r="H426" s="75" t="str">
        <f>IF($T$4=0,IF($O426="","",$O426),IFERROR(IF([1]财务取数接口!$I$425=0,"",[1]财务取数接口!$I$425),""))</f>
        <v/>
      </c>
      <c r="I426" s="43"/>
      <c r="J426" s="106"/>
      <c r="K426" s="43"/>
      <c r="L426" s="43"/>
      <c r="M426" s="107"/>
      <c r="N426" s="107"/>
      <c r="O426" s="106"/>
      <c r="P426" s="139">
        <f t="shared" si="12"/>
        <v>0</v>
      </c>
      <c r="Q426" s="139">
        <f t="shared" si="13"/>
        <v>5</v>
      </c>
    </row>
    <row r="427" spans="1:17">
      <c r="A427" s="74">
        <v>426</v>
      </c>
      <c r="B427" s="89" t="str">
        <f>IF($T$4=0,IF($I427="","",$I427),IFERROR(IF([1]财务取数接口!$B$426=0,"",[1]财务取数接口!$B$426),""))</f>
        <v/>
      </c>
      <c r="C427" s="75" t="str">
        <f>IF($T$4=0,IF($J427="","",$J427),IFERROR(IF([1]财务取数接口!$C$426=0,"",[1]财务取数接口!$C$426),""))</f>
        <v/>
      </c>
      <c r="D427" s="89" t="str">
        <f>IF($T$4=0,IF($K427="","",$K427),IFERROR(IF([1]财务取数接口!$D$426=0,"",[1]财务取数接口!$D$426),""))</f>
        <v/>
      </c>
      <c r="E427" s="89" t="str">
        <f>IF($T$4=0,IF($L427="","",$L427),IFERROR(IF([1]财务取数接口!$E$426=0,"",[1]财务取数接口!$E$426),""))</f>
        <v/>
      </c>
      <c r="F427" s="76" t="str">
        <f>IF($T$4=0,IF($M427="","",$M427),IFERROR(IF([1]财务取数接口!$G$426=0,"",[1]财务取数接口!$G$426),""))</f>
        <v/>
      </c>
      <c r="G427" s="76" t="str">
        <f>IF($T$4=0,IF($N427="","",$N427),IFERROR(IF([1]财务取数接口!$H$426=0,"",[1]财务取数接口!$H$426),""))</f>
        <v/>
      </c>
      <c r="H427" s="75" t="str">
        <f>IF($T$4=0,IF($O427="","",$O427),IFERROR(IF([1]财务取数接口!$I$426=0,"",[1]财务取数接口!$I$426),""))</f>
        <v/>
      </c>
      <c r="I427" s="43"/>
      <c r="J427" s="106"/>
      <c r="K427" s="43"/>
      <c r="L427" s="43"/>
      <c r="M427" s="107"/>
      <c r="N427" s="107"/>
      <c r="O427" s="106"/>
      <c r="P427" s="139">
        <f t="shared" si="12"/>
        <v>0</v>
      </c>
      <c r="Q427" s="139">
        <f t="shared" si="13"/>
        <v>5</v>
      </c>
    </row>
    <row r="428" spans="1:17">
      <c r="A428" s="74">
        <v>427</v>
      </c>
      <c r="B428" s="89" t="str">
        <f>IF($T$4=0,IF($I428="","",$I428),IFERROR(IF([1]财务取数接口!$B$427=0,"",[1]财务取数接口!$B$427),""))</f>
        <v/>
      </c>
      <c r="C428" s="75" t="str">
        <f>IF($T$4=0,IF($J428="","",$J428),IFERROR(IF([1]财务取数接口!$C$427=0,"",[1]财务取数接口!$C$427),""))</f>
        <v/>
      </c>
      <c r="D428" s="89" t="str">
        <f>IF($T$4=0,IF($K428="","",$K428),IFERROR(IF([1]财务取数接口!$D$427=0,"",[1]财务取数接口!$D$427),""))</f>
        <v/>
      </c>
      <c r="E428" s="89" t="str">
        <f>IF($T$4=0,IF($L428="","",$L428),IFERROR(IF([1]财务取数接口!$E$427=0,"",[1]财务取数接口!$E$427),""))</f>
        <v/>
      </c>
      <c r="F428" s="76" t="str">
        <f>IF($T$4=0,IF($M428="","",$M428),IFERROR(IF([1]财务取数接口!$G$427=0,"",[1]财务取数接口!$G$427),""))</f>
        <v/>
      </c>
      <c r="G428" s="76" t="str">
        <f>IF($T$4=0,IF($N428="","",$N428),IFERROR(IF([1]财务取数接口!$H$427=0,"",[1]财务取数接口!$H$427),""))</f>
        <v/>
      </c>
      <c r="H428" s="75" t="str">
        <f>IF($T$4=0,IF($O428="","",$O428),IFERROR(IF([1]财务取数接口!$I$427=0,"",[1]财务取数接口!$I$427),""))</f>
        <v/>
      </c>
      <c r="I428" s="43"/>
      <c r="J428" s="106"/>
      <c r="K428" s="43"/>
      <c r="L428" s="43"/>
      <c r="M428" s="107"/>
      <c r="N428" s="107"/>
      <c r="O428" s="106"/>
      <c r="P428" s="139">
        <f t="shared" si="12"/>
        <v>0</v>
      </c>
      <c r="Q428" s="139">
        <f t="shared" si="13"/>
        <v>5</v>
      </c>
    </row>
    <row r="429" spans="1:17">
      <c r="A429" s="74">
        <v>428</v>
      </c>
      <c r="B429" s="89" t="str">
        <f>IF($T$4=0,IF($I429="","",$I429),IFERROR(IF([1]财务取数接口!$B$428=0,"",[1]财务取数接口!$B$428),""))</f>
        <v/>
      </c>
      <c r="C429" s="75" t="str">
        <f>IF($T$4=0,IF($J429="","",$J429),IFERROR(IF([1]财务取数接口!$C$428=0,"",[1]财务取数接口!$C$428),""))</f>
        <v/>
      </c>
      <c r="D429" s="89" t="str">
        <f>IF($T$4=0,IF($K429="","",$K429),IFERROR(IF([1]财务取数接口!$D$428=0,"",[1]财务取数接口!$D$428),""))</f>
        <v/>
      </c>
      <c r="E429" s="89" t="str">
        <f>IF($T$4=0,IF($L429="","",$L429),IFERROR(IF([1]财务取数接口!$E$428=0,"",[1]财务取数接口!$E$428),""))</f>
        <v/>
      </c>
      <c r="F429" s="76" t="str">
        <f>IF($T$4=0,IF($M429="","",$M429),IFERROR(IF([1]财务取数接口!$G$428=0,"",[1]财务取数接口!$G$428),""))</f>
        <v/>
      </c>
      <c r="G429" s="76" t="str">
        <f>IF($T$4=0,IF($N429="","",$N429),IFERROR(IF([1]财务取数接口!$H$428=0,"",[1]财务取数接口!$H$428),""))</f>
        <v/>
      </c>
      <c r="H429" s="75" t="str">
        <f>IF($T$4=0,IF($O429="","",$O429),IFERROR(IF([1]财务取数接口!$I$428=0,"",[1]财务取数接口!$I$428),""))</f>
        <v/>
      </c>
      <c r="I429" s="43"/>
      <c r="J429" s="106"/>
      <c r="K429" s="43"/>
      <c r="L429" s="43"/>
      <c r="M429" s="107"/>
      <c r="N429" s="107"/>
      <c r="O429" s="106"/>
      <c r="P429" s="139">
        <f t="shared" si="12"/>
        <v>0</v>
      </c>
      <c r="Q429" s="139">
        <f t="shared" si="13"/>
        <v>5</v>
      </c>
    </row>
    <row r="430" spans="1:17">
      <c r="A430" s="74">
        <v>429</v>
      </c>
      <c r="B430" s="89" t="str">
        <f>IF($T$4=0,IF($I430="","",$I430),IFERROR(IF([1]财务取数接口!$B$429=0,"",[1]财务取数接口!$B$429),""))</f>
        <v/>
      </c>
      <c r="C430" s="75" t="str">
        <f>IF($T$4=0,IF($J430="","",$J430),IFERROR(IF([1]财务取数接口!$C$429=0,"",[1]财务取数接口!$C$429),""))</f>
        <v/>
      </c>
      <c r="D430" s="89" t="str">
        <f>IF($T$4=0,IF($K430="","",$K430),IFERROR(IF([1]财务取数接口!$D$429=0,"",[1]财务取数接口!$D$429),""))</f>
        <v/>
      </c>
      <c r="E430" s="89" t="str">
        <f>IF($T$4=0,IF($L430="","",$L430),IFERROR(IF([1]财务取数接口!$E$429=0,"",[1]财务取数接口!$E$429),""))</f>
        <v/>
      </c>
      <c r="F430" s="76" t="str">
        <f>IF($T$4=0,IF($M430="","",$M430),IFERROR(IF([1]财务取数接口!$G$429=0,"",[1]财务取数接口!$G$429),""))</f>
        <v/>
      </c>
      <c r="G430" s="76" t="str">
        <f>IF($T$4=0,IF($N430="","",$N430),IFERROR(IF([1]财务取数接口!$H$429=0,"",[1]财务取数接口!$H$429),""))</f>
        <v/>
      </c>
      <c r="H430" s="75" t="str">
        <f>IF($T$4=0,IF($O430="","",$O430),IFERROR(IF([1]财务取数接口!$I$429=0,"",[1]财务取数接口!$I$429),""))</f>
        <v/>
      </c>
      <c r="I430" s="43"/>
      <c r="J430" s="106"/>
      <c r="K430" s="43"/>
      <c r="L430" s="43"/>
      <c r="M430" s="107"/>
      <c r="N430" s="107"/>
      <c r="O430" s="106"/>
      <c r="P430" s="139">
        <f t="shared" si="12"/>
        <v>0</v>
      </c>
      <c r="Q430" s="139">
        <f t="shared" si="13"/>
        <v>5</v>
      </c>
    </row>
    <row r="431" spans="1:17">
      <c r="A431" s="74">
        <v>430</v>
      </c>
      <c r="B431" s="89" t="str">
        <f>IF($T$4=0,IF($I431="","",$I431),IFERROR(IF([1]财务取数接口!$B$430=0,"",[1]财务取数接口!$B$430),""))</f>
        <v/>
      </c>
      <c r="C431" s="75" t="str">
        <f>IF($T$4=0,IF($J431="","",$J431),IFERROR(IF([1]财务取数接口!$C$430=0,"",[1]财务取数接口!$C$430),""))</f>
        <v/>
      </c>
      <c r="D431" s="89" t="str">
        <f>IF($T$4=0,IF($K431="","",$K431),IFERROR(IF([1]财务取数接口!$D$430=0,"",[1]财务取数接口!$D$430),""))</f>
        <v/>
      </c>
      <c r="E431" s="89" t="str">
        <f>IF($T$4=0,IF($L431="","",$L431),IFERROR(IF([1]财务取数接口!$E$430=0,"",[1]财务取数接口!$E$430),""))</f>
        <v/>
      </c>
      <c r="F431" s="76" t="str">
        <f>IF($T$4=0,IF($M431="","",$M431),IFERROR(IF([1]财务取数接口!$G$430=0,"",[1]财务取数接口!$G$430),""))</f>
        <v/>
      </c>
      <c r="G431" s="76" t="str">
        <f>IF($T$4=0,IF($N431="","",$N431),IFERROR(IF([1]财务取数接口!$H$430=0,"",[1]财务取数接口!$H$430),""))</f>
        <v/>
      </c>
      <c r="H431" s="75" t="str">
        <f>IF($T$4=0,IF($O431="","",$O431),IFERROR(IF([1]财务取数接口!$I$430=0,"",[1]财务取数接口!$I$430),""))</f>
        <v/>
      </c>
      <c r="I431" s="43"/>
      <c r="J431" s="106"/>
      <c r="K431" s="43"/>
      <c r="L431" s="43"/>
      <c r="M431" s="107"/>
      <c r="N431" s="107"/>
      <c r="O431" s="106"/>
      <c r="P431" s="139">
        <f t="shared" si="12"/>
        <v>0</v>
      </c>
      <c r="Q431" s="139">
        <f t="shared" si="13"/>
        <v>5</v>
      </c>
    </row>
    <row r="432" spans="1:17">
      <c r="A432" s="74">
        <v>431</v>
      </c>
      <c r="B432" s="89" t="str">
        <f>IF($T$4=0,IF($I432="","",$I432),IFERROR(IF([1]财务取数接口!$B$431=0,"",[1]财务取数接口!$B$431),""))</f>
        <v/>
      </c>
      <c r="C432" s="75" t="str">
        <f>IF($T$4=0,IF($J432="","",$J432),IFERROR(IF([1]财务取数接口!$C$431=0,"",[1]财务取数接口!$C$431),""))</f>
        <v/>
      </c>
      <c r="D432" s="89" t="str">
        <f>IF($T$4=0,IF($K432="","",$K432),IFERROR(IF([1]财务取数接口!$D$431=0,"",[1]财务取数接口!$D$431),""))</f>
        <v/>
      </c>
      <c r="E432" s="89" t="str">
        <f>IF($T$4=0,IF($L432="","",$L432),IFERROR(IF([1]财务取数接口!$E$431=0,"",[1]财务取数接口!$E$431),""))</f>
        <v/>
      </c>
      <c r="F432" s="76" t="str">
        <f>IF($T$4=0,IF($M432="","",$M432),IFERROR(IF([1]财务取数接口!$G$431=0,"",[1]财务取数接口!$G$431),""))</f>
        <v/>
      </c>
      <c r="G432" s="76" t="str">
        <f>IF($T$4=0,IF($N432="","",$N432),IFERROR(IF([1]财务取数接口!$H$431=0,"",[1]财务取数接口!$H$431),""))</f>
        <v/>
      </c>
      <c r="H432" s="75" t="str">
        <f>IF($T$4=0,IF($O432="","",$O432),IFERROR(IF([1]财务取数接口!$I$431=0,"",[1]财务取数接口!$I$431),""))</f>
        <v/>
      </c>
      <c r="I432" s="43"/>
      <c r="J432" s="106"/>
      <c r="K432" s="43"/>
      <c r="L432" s="43"/>
      <c r="M432" s="107"/>
      <c r="N432" s="107"/>
      <c r="O432" s="106"/>
      <c r="P432" s="139">
        <f t="shared" si="12"/>
        <v>0</v>
      </c>
      <c r="Q432" s="139">
        <f t="shared" si="13"/>
        <v>5</v>
      </c>
    </row>
    <row r="433" spans="1:17">
      <c r="A433" s="74">
        <v>432</v>
      </c>
      <c r="B433" s="89" t="str">
        <f>IF($T$4=0,IF($I433="","",$I433),IFERROR(IF([1]财务取数接口!$B$432=0,"",[1]财务取数接口!$B$432),""))</f>
        <v/>
      </c>
      <c r="C433" s="75" t="str">
        <f>IF($T$4=0,IF($J433="","",$J433),IFERROR(IF([1]财务取数接口!$C$432=0,"",[1]财务取数接口!$C$432),""))</f>
        <v/>
      </c>
      <c r="D433" s="89" t="str">
        <f>IF($T$4=0,IF($K433="","",$K433),IFERROR(IF([1]财务取数接口!$D$432=0,"",[1]财务取数接口!$D$432),""))</f>
        <v/>
      </c>
      <c r="E433" s="89" t="str">
        <f>IF($T$4=0,IF($L433="","",$L433),IFERROR(IF([1]财务取数接口!$E$432=0,"",[1]财务取数接口!$E$432),""))</f>
        <v/>
      </c>
      <c r="F433" s="76" t="str">
        <f>IF($T$4=0,IF($M433="","",$M433),IFERROR(IF([1]财务取数接口!$G$432=0,"",[1]财务取数接口!$G$432),""))</f>
        <v/>
      </c>
      <c r="G433" s="76" t="str">
        <f>IF($T$4=0,IF($N433="","",$N433),IFERROR(IF([1]财务取数接口!$H$432=0,"",[1]财务取数接口!$H$432),""))</f>
        <v/>
      </c>
      <c r="H433" s="75" t="str">
        <f>IF($T$4=0,IF($O433="","",$O433),IFERROR(IF([1]财务取数接口!$I$432=0,"",[1]财务取数接口!$I$432),""))</f>
        <v/>
      </c>
      <c r="I433" s="43"/>
      <c r="J433" s="106"/>
      <c r="K433" s="43"/>
      <c r="L433" s="43"/>
      <c r="M433" s="107"/>
      <c r="N433" s="107"/>
      <c r="O433" s="106"/>
      <c r="P433" s="139">
        <f t="shared" si="12"/>
        <v>0</v>
      </c>
      <c r="Q433" s="139">
        <f t="shared" si="13"/>
        <v>5</v>
      </c>
    </row>
    <row r="434" spans="1:17">
      <c r="A434" s="74">
        <v>433</v>
      </c>
      <c r="B434" s="89" t="str">
        <f>IF($T$4=0,IF($I434="","",$I434),IFERROR(IF([1]财务取数接口!$B$433=0,"",[1]财务取数接口!$B$433),""))</f>
        <v/>
      </c>
      <c r="C434" s="75" t="str">
        <f>IF($T$4=0,IF($J434="","",$J434),IFERROR(IF([1]财务取数接口!$C$433=0,"",[1]财务取数接口!$C$433),""))</f>
        <v/>
      </c>
      <c r="D434" s="89" t="str">
        <f>IF($T$4=0,IF($K434="","",$K434),IFERROR(IF([1]财务取数接口!$D$433=0,"",[1]财务取数接口!$D$433),""))</f>
        <v/>
      </c>
      <c r="E434" s="89" t="str">
        <f>IF($T$4=0,IF($L434="","",$L434),IFERROR(IF([1]财务取数接口!$E$433=0,"",[1]财务取数接口!$E$433),""))</f>
        <v/>
      </c>
      <c r="F434" s="76" t="str">
        <f>IF($T$4=0,IF($M434="","",$M434),IFERROR(IF([1]财务取数接口!$G$433=0,"",[1]财务取数接口!$G$433),""))</f>
        <v/>
      </c>
      <c r="G434" s="76" t="str">
        <f>IF($T$4=0,IF($N434="","",$N434),IFERROR(IF([1]财务取数接口!$H$433=0,"",[1]财务取数接口!$H$433),""))</f>
        <v/>
      </c>
      <c r="H434" s="75" t="str">
        <f>IF($T$4=0,IF($O434="","",$O434),IFERROR(IF([1]财务取数接口!$I$433=0,"",[1]财务取数接口!$I$433),""))</f>
        <v/>
      </c>
      <c r="I434" s="43"/>
      <c r="J434" s="106"/>
      <c r="K434" s="43"/>
      <c r="L434" s="43"/>
      <c r="M434" s="107"/>
      <c r="N434" s="107"/>
      <c r="O434" s="106"/>
      <c r="P434" s="139">
        <f t="shared" si="12"/>
        <v>0</v>
      </c>
      <c r="Q434" s="139">
        <f t="shared" si="13"/>
        <v>5</v>
      </c>
    </row>
    <row r="435" spans="1:17">
      <c r="A435" s="74">
        <v>434</v>
      </c>
      <c r="B435" s="89" t="str">
        <f>IF($T$4=0,IF($I435="","",$I435),IFERROR(IF([1]财务取数接口!$B$434=0,"",[1]财务取数接口!$B$434),""))</f>
        <v/>
      </c>
      <c r="C435" s="75" t="str">
        <f>IF($T$4=0,IF($J435="","",$J435),IFERROR(IF([1]财务取数接口!$C$434=0,"",[1]财务取数接口!$C$434),""))</f>
        <v/>
      </c>
      <c r="D435" s="89" t="str">
        <f>IF($T$4=0,IF($K435="","",$K435),IFERROR(IF([1]财务取数接口!$D$434=0,"",[1]财务取数接口!$D$434),""))</f>
        <v/>
      </c>
      <c r="E435" s="89" t="str">
        <f>IF($T$4=0,IF($L435="","",$L435),IFERROR(IF([1]财务取数接口!$E$434=0,"",[1]财务取数接口!$E$434),""))</f>
        <v/>
      </c>
      <c r="F435" s="76" t="str">
        <f>IF($T$4=0,IF($M435="","",$M435),IFERROR(IF([1]财务取数接口!$G$434=0,"",[1]财务取数接口!$G$434),""))</f>
        <v/>
      </c>
      <c r="G435" s="76" t="str">
        <f>IF($T$4=0,IF($N435="","",$N435),IFERROR(IF([1]财务取数接口!$H$434=0,"",[1]财务取数接口!$H$434),""))</f>
        <v/>
      </c>
      <c r="H435" s="75" t="str">
        <f>IF($T$4=0,IF($O435="","",$O435),IFERROR(IF([1]财务取数接口!$I$434=0,"",[1]财务取数接口!$I$434),""))</f>
        <v/>
      </c>
      <c r="I435" s="43"/>
      <c r="J435" s="106"/>
      <c r="K435" s="43"/>
      <c r="L435" s="43"/>
      <c r="M435" s="107"/>
      <c r="N435" s="107"/>
      <c r="O435" s="106"/>
      <c r="P435" s="139">
        <f t="shared" si="12"/>
        <v>0</v>
      </c>
      <c r="Q435" s="139">
        <f t="shared" si="13"/>
        <v>5</v>
      </c>
    </row>
    <row r="436" spans="1:17">
      <c r="A436" s="74">
        <v>435</v>
      </c>
      <c r="B436" s="89" t="str">
        <f>IF($T$4=0,IF($I436="","",$I436),IFERROR(IF([1]财务取数接口!$B$435=0,"",[1]财务取数接口!$B$435),""))</f>
        <v/>
      </c>
      <c r="C436" s="75" t="str">
        <f>IF($T$4=0,IF($J436="","",$J436),IFERROR(IF([1]财务取数接口!$C$435=0,"",[1]财务取数接口!$C$435),""))</f>
        <v/>
      </c>
      <c r="D436" s="89" t="str">
        <f>IF($T$4=0,IF($K436="","",$K436),IFERROR(IF([1]财务取数接口!$D$435=0,"",[1]财务取数接口!$D$435),""))</f>
        <v/>
      </c>
      <c r="E436" s="89" t="str">
        <f>IF($T$4=0,IF($L436="","",$L436),IFERROR(IF([1]财务取数接口!$E$435=0,"",[1]财务取数接口!$E$435),""))</f>
        <v/>
      </c>
      <c r="F436" s="76" t="str">
        <f>IF($T$4=0,IF($M436="","",$M436),IFERROR(IF([1]财务取数接口!$G$435=0,"",[1]财务取数接口!$G$435),""))</f>
        <v/>
      </c>
      <c r="G436" s="76" t="str">
        <f>IF($T$4=0,IF($N436="","",$N436),IFERROR(IF([1]财务取数接口!$H$435=0,"",[1]财务取数接口!$H$435),""))</f>
        <v/>
      </c>
      <c r="H436" s="75" t="str">
        <f>IF($T$4=0,IF($O436="","",$O436),IFERROR(IF([1]财务取数接口!$I$435=0,"",[1]财务取数接口!$I$435),""))</f>
        <v/>
      </c>
      <c r="I436" s="43"/>
      <c r="J436" s="106"/>
      <c r="K436" s="43"/>
      <c r="L436" s="43"/>
      <c r="M436" s="107"/>
      <c r="N436" s="107"/>
      <c r="O436" s="106"/>
      <c r="P436" s="139">
        <f t="shared" si="12"/>
        <v>0</v>
      </c>
      <c r="Q436" s="139">
        <f t="shared" si="13"/>
        <v>5</v>
      </c>
    </row>
    <row r="437" spans="1:17">
      <c r="A437" s="74">
        <v>436</v>
      </c>
      <c r="B437" s="89" t="str">
        <f>IF($T$4=0,IF($I437="","",$I437),IFERROR(IF([1]财务取数接口!$B$436=0,"",[1]财务取数接口!$B$436),""))</f>
        <v/>
      </c>
      <c r="C437" s="75" t="str">
        <f>IF($T$4=0,IF($J437="","",$J437),IFERROR(IF([1]财务取数接口!$C$436=0,"",[1]财务取数接口!$C$436),""))</f>
        <v/>
      </c>
      <c r="D437" s="89" t="str">
        <f>IF($T$4=0,IF($K437="","",$K437),IFERROR(IF([1]财务取数接口!$D$436=0,"",[1]财务取数接口!$D$436),""))</f>
        <v/>
      </c>
      <c r="E437" s="89" t="str">
        <f>IF($T$4=0,IF($L437="","",$L437),IFERROR(IF([1]财务取数接口!$E$436=0,"",[1]财务取数接口!$E$436),""))</f>
        <v/>
      </c>
      <c r="F437" s="76" t="str">
        <f>IF($T$4=0,IF($M437="","",$M437),IFERROR(IF([1]财务取数接口!$G$436=0,"",[1]财务取数接口!$G$436),""))</f>
        <v/>
      </c>
      <c r="G437" s="76" t="str">
        <f>IF($T$4=0,IF($N437="","",$N437),IFERROR(IF([1]财务取数接口!$H$436=0,"",[1]财务取数接口!$H$436),""))</f>
        <v/>
      </c>
      <c r="H437" s="75" t="str">
        <f>IF($T$4=0,IF($O437="","",$O437),IFERROR(IF([1]财务取数接口!$I$436=0,"",[1]财务取数接口!$I$436),""))</f>
        <v/>
      </c>
      <c r="I437" s="43"/>
      <c r="J437" s="106"/>
      <c r="K437" s="43"/>
      <c r="L437" s="43"/>
      <c r="M437" s="107"/>
      <c r="N437" s="107"/>
      <c r="O437" s="106"/>
      <c r="P437" s="139">
        <f t="shared" si="12"/>
        <v>0</v>
      </c>
      <c r="Q437" s="139">
        <f t="shared" si="13"/>
        <v>5</v>
      </c>
    </row>
    <row r="438" spans="1:17">
      <c r="A438" s="74">
        <v>437</v>
      </c>
      <c r="B438" s="89" t="str">
        <f>IF($T$4=0,IF($I438="","",$I438),IFERROR(IF([1]财务取数接口!$B$437=0,"",[1]财务取数接口!$B$437),""))</f>
        <v/>
      </c>
      <c r="C438" s="75" t="str">
        <f>IF($T$4=0,IF($J438="","",$J438),IFERROR(IF([1]财务取数接口!$C$437=0,"",[1]财务取数接口!$C$437),""))</f>
        <v/>
      </c>
      <c r="D438" s="89" t="str">
        <f>IF($T$4=0,IF($K438="","",$K438),IFERROR(IF([1]财务取数接口!$D$437=0,"",[1]财务取数接口!$D$437),""))</f>
        <v/>
      </c>
      <c r="E438" s="89" t="str">
        <f>IF($T$4=0,IF($L438="","",$L438),IFERROR(IF([1]财务取数接口!$E$437=0,"",[1]财务取数接口!$E$437),""))</f>
        <v/>
      </c>
      <c r="F438" s="76" t="str">
        <f>IF($T$4=0,IF($M438="","",$M438),IFERROR(IF([1]财务取数接口!$G$437=0,"",[1]财务取数接口!$G$437),""))</f>
        <v/>
      </c>
      <c r="G438" s="76" t="str">
        <f>IF($T$4=0,IF($N438="","",$N438),IFERROR(IF([1]财务取数接口!$H$437=0,"",[1]财务取数接口!$H$437),""))</f>
        <v/>
      </c>
      <c r="H438" s="75" t="str">
        <f>IF($T$4=0,IF($O438="","",$O438),IFERROR(IF([1]财务取数接口!$I$437=0,"",[1]财务取数接口!$I$437),""))</f>
        <v/>
      </c>
      <c r="I438" s="43"/>
      <c r="J438" s="106"/>
      <c r="K438" s="43"/>
      <c r="L438" s="43"/>
      <c r="M438" s="107"/>
      <c r="N438" s="107"/>
      <c r="O438" s="106"/>
      <c r="P438" s="139">
        <f t="shared" si="12"/>
        <v>0</v>
      </c>
      <c r="Q438" s="139">
        <f t="shared" si="13"/>
        <v>5</v>
      </c>
    </row>
    <row r="439" spans="1:17">
      <c r="A439" s="74">
        <v>438</v>
      </c>
      <c r="B439" s="89" t="str">
        <f>IF($T$4=0,IF($I439="","",$I439),IFERROR(IF([1]财务取数接口!$B$438=0,"",[1]财务取数接口!$B$438),""))</f>
        <v/>
      </c>
      <c r="C439" s="75" t="str">
        <f>IF($T$4=0,IF($J439="","",$J439),IFERROR(IF([1]财务取数接口!$C$438=0,"",[1]财务取数接口!$C$438),""))</f>
        <v/>
      </c>
      <c r="D439" s="89" t="str">
        <f>IF($T$4=0,IF($K439="","",$K439),IFERROR(IF([1]财务取数接口!$D$438=0,"",[1]财务取数接口!$D$438),""))</f>
        <v/>
      </c>
      <c r="E439" s="89" t="str">
        <f>IF($T$4=0,IF($L439="","",$L439),IFERROR(IF([1]财务取数接口!$E$438=0,"",[1]财务取数接口!$E$438),""))</f>
        <v/>
      </c>
      <c r="F439" s="76" t="str">
        <f>IF($T$4=0,IF($M439="","",$M439),IFERROR(IF([1]财务取数接口!$G$438=0,"",[1]财务取数接口!$G$438),""))</f>
        <v/>
      </c>
      <c r="G439" s="76" t="str">
        <f>IF($T$4=0,IF($N439="","",$N439),IFERROR(IF([1]财务取数接口!$H$438=0,"",[1]财务取数接口!$H$438),""))</f>
        <v/>
      </c>
      <c r="H439" s="75" t="str">
        <f>IF($T$4=0,IF($O439="","",$O439),IFERROR(IF([1]财务取数接口!$I$438=0,"",[1]财务取数接口!$I$438),""))</f>
        <v/>
      </c>
      <c r="I439" s="43"/>
      <c r="J439" s="106"/>
      <c r="K439" s="43"/>
      <c r="L439" s="43"/>
      <c r="M439" s="107"/>
      <c r="N439" s="107"/>
      <c r="O439" s="106"/>
      <c r="P439" s="139">
        <f t="shared" si="12"/>
        <v>0</v>
      </c>
      <c r="Q439" s="139">
        <f t="shared" si="13"/>
        <v>5</v>
      </c>
    </row>
    <row r="440" spans="1:17">
      <c r="A440" s="74">
        <v>439</v>
      </c>
      <c r="B440" s="89" t="str">
        <f>IF($T$4=0,IF($I440="","",$I440),IFERROR(IF([1]财务取数接口!$B$439=0,"",[1]财务取数接口!$B$439),""))</f>
        <v/>
      </c>
      <c r="C440" s="75" t="str">
        <f>IF($T$4=0,IF($J440="","",$J440),IFERROR(IF([1]财务取数接口!$C$439=0,"",[1]财务取数接口!$C$439),""))</f>
        <v/>
      </c>
      <c r="D440" s="89" t="str">
        <f>IF($T$4=0,IF($K440="","",$K440),IFERROR(IF([1]财务取数接口!$D$439=0,"",[1]财务取数接口!$D$439),""))</f>
        <v/>
      </c>
      <c r="E440" s="89" t="str">
        <f>IF($T$4=0,IF($L440="","",$L440),IFERROR(IF([1]财务取数接口!$E$439=0,"",[1]财务取数接口!$E$439),""))</f>
        <v/>
      </c>
      <c r="F440" s="76" t="str">
        <f>IF($T$4=0,IF($M440="","",$M440),IFERROR(IF([1]财务取数接口!$G$439=0,"",[1]财务取数接口!$G$439),""))</f>
        <v/>
      </c>
      <c r="G440" s="76" t="str">
        <f>IF($T$4=0,IF($N440="","",$N440),IFERROR(IF([1]财务取数接口!$H$439=0,"",[1]财务取数接口!$H$439),""))</f>
        <v/>
      </c>
      <c r="H440" s="75" t="str">
        <f>IF($T$4=0,IF($O440="","",$O440),IFERROR(IF([1]财务取数接口!$I$439=0,"",[1]财务取数接口!$I$439),""))</f>
        <v/>
      </c>
      <c r="I440" s="43"/>
      <c r="J440" s="106"/>
      <c r="K440" s="43"/>
      <c r="L440" s="43"/>
      <c r="M440" s="107"/>
      <c r="N440" s="107"/>
      <c r="O440" s="106"/>
      <c r="P440" s="139">
        <f t="shared" si="12"/>
        <v>0</v>
      </c>
      <c r="Q440" s="139">
        <f t="shared" si="13"/>
        <v>5</v>
      </c>
    </row>
    <row r="441" spans="1:17">
      <c r="A441" s="74">
        <v>440</v>
      </c>
      <c r="B441" s="89" t="str">
        <f>IF($T$4=0,IF($I441="","",$I441),IFERROR(IF([1]财务取数接口!$B$440=0,"",[1]财务取数接口!$B$440),""))</f>
        <v/>
      </c>
      <c r="C441" s="75" t="str">
        <f>IF($T$4=0,IF($J441="","",$J441),IFERROR(IF([1]财务取数接口!$C$440=0,"",[1]财务取数接口!$C$440),""))</f>
        <v/>
      </c>
      <c r="D441" s="89" t="str">
        <f>IF($T$4=0,IF($K441="","",$K441),IFERROR(IF([1]财务取数接口!$D$440=0,"",[1]财务取数接口!$D$440),""))</f>
        <v/>
      </c>
      <c r="E441" s="89" t="str">
        <f>IF($T$4=0,IF($L441="","",$L441),IFERROR(IF([1]财务取数接口!$E$440=0,"",[1]财务取数接口!$E$440),""))</f>
        <v/>
      </c>
      <c r="F441" s="76" t="str">
        <f>IF($T$4=0,IF($M441="","",$M441),IFERROR(IF([1]财务取数接口!$G$440=0,"",[1]财务取数接口!$G$440),""))</f>
        <v/>
      </c>
      <c r="G441" s="76" t="str">
        <f>IF($T$4=0,IF($N441="","",$N441),IFERROR(IF([1]财务取数接口!$H$440=0,"",[1]财务取数接口!$H$440),""))</f>
        <v/>
      </c>
      <c r="H441" s="75" t="str">
        <f>IF($T$4=0,IF($O441="","",$O441),IFERROR(IF([1]财务取数接口!$I$440=0,"",[1]财务取数接口!$I$440),""))</f>
        <v/>
      </c>
      <c r="I441" s="43"/>
      <c r="J441" s="106"/>
      <c r="K441" s="43"/>
      <c r="L441" s="43"/>
      <c r="M441" s="107"/>
      <c r="N441" s="107"/>
      <c r="O441" s="106"/>
      <c r="P441" s="139">
        <f t="shared" si="12"/>
        <v>0</v>
      </c>
      <c r="Q441" s="139">
        <f t="shared" si="13"/>
        <v>5</v>
      </c>
    </row>
    <row r="442" spans="1:17">
      <c r="A442" s="74">
        <v>441</v>
      </c>
      <c r="B442" s="89" t="str">
        <f>IF($T$4=0,IF($I442="","",$I442),IFERROR(IF([1]财务取数接口!$B$441=0,"",[1]财务取数接口!$B$441),""))</f>
        <v/>
      </c>
      <c r="C442" s="75" t="str">
        <f>IF($T$4=0,IF($J442="","",$J442),IFERROR(IF([1]财务取数接口!$C$441=0,"",[1]财务取数接口!$C$441),""))</f>
        <v/>
      </c>
      <c r="D442" s="89" t="str">
        <f>IF($T$4=0,IF($K442="","",$K442),IFERROR(IF([1]财务取数接口!$D$441=0,"",[1]财务取数接口!$D$441),""))</f>
        <v/>
      </c>
      <c r="E442" s="89" t="str">
        <f>IF($T$4=0,IF($L442="","",$L442),IFERROR(IF([1]财务取数接口!$E$441=0,"",[1]财务取数接口!$E$441),""))</f>
        <v/>
      </c>
      <c r="F442" s="76" t="str">
        <f>IF($T$4=0,IF($M442="","",$M442),IFERROR(IF([1]财务取数接口!$G$441=0,"",[1]财务取数接口!$G$441),""))</f>
        <v/>
      </c>
      <c r="G442" s="76" t="str">
        <f>IF($T$4=0,IF($N442="","",$N442),IFERROR(IF([1]财务取数接口!$H$441=0,"",[1]财务取数接口!$H$441),""))</f>
        <v/>
      </c>
      <c r="H442" s="75" t="str">
        <f>IF($T$4=0,IF($O442="","",$O442),IFERROR(IF([1]财务取数接口!$I$441=0,"",[1]财务取数接口!$I$441),""))</f>
        <v/>
      </c>
      <c r="I442" s="43"/>
      <c r="J442" s="106"/>
      <c r="K442" s="43"/>
      <c r="L442" s="43"/>
      <c r="M442" s="107"/>
      <c r="N442" s="107"/>
      <c r="O442" s="106"/>
      <c r="P442" s="139">
        <f t="shared" si="12"/>
        <v>0</v>
      </c>
      <c r="Q442" s="139">
        <f t="shared" si="13"/>
        <v>5</v>
      </c>
    </row>
    <row r="443" spans="1:17">
      <c r="A443" s="74">
        <v>442</v>
      </c>
      <c r="B443" s="89" t="str">
        <f>IF($T$4=0,IF($I443="","",$I443),IFERROR(IF([1]财务取数接口!$B$442=0,"",[1]财务取数接口!$B$442),""))</f>
        <v/>
      </c>
      <c r="C443" s="75" t="str">
        <f>IF($T$4=0,IF($J443="","",$J443),IFERROR(IF([1]财务取数接口!$C$442=0,"",[1]财务取数接口!$C$442),""))</f>
        <v/>
      </c>
      <c r="D443" s="89" t="str">
        <f>IF($T$4=0,IF($K443="","",$K443),IFERROR(IF([1]财务取数接口!$D$442=0,"",[1]财务取数接口!$D$442),""))</f>
        <v/>
      </c>
      <c r="E443" s="89" t="str">
        <f>IF($T$4=0,IF($L443="","",$L443),IFERROR(IF([1]财务取数接口!$E$442=0,"",[1]财务取数接口!$E$442),""))</f>
        <v/>
      </c>
      <c r="F443" s="76" t="str">
        <f>IF($T$4=0,IF($M443="","",$M443),IFERROR(IF([1]财务取数接口!$G$442=0,"",[1]财务取数接口!$G$442),""))</f>
        <v/>
      </c>
      <c r="G443" s="76" t="str">
        <f>IF($T$4=0,IF($N443="","",$N443),IFERROR(IF([1]财务取数接口!$H$442=0,"",[1]财务取数接口!$H$442),""))</f>
        <v/>
      </c>
      <c r="H443" s="75" t="str">
        <f>IF($T$4=0,IF($O443="","",$O443),IFERROR(IF([1]财务取数接口!$I$442=0,"",[1]财务取数接口!$I$442),""))</f>
        <v/>
      </c>
      <c r="I443" s="43"/>
      <c r="J443" s="106"/>
      <c r="K443" s="43"/>
      <c r="L443" s="43"/>
      <c r="M443" s="107"/>
      <c r="N443" s="107"/>
      <c r="O443" s="106"/>
      <c r="P443" s="139">
        <f t="shared" si="12"/>
        <v>0</v>
      </c>
      <c r="Q443" s="139">
        <f t="shared" si="13"/>
        <v>5</v>
      </c>
    </row>
    <row r="444" spans="1:17">
      <c r="A444" s="74">
        <v>443</v>
      </c>
      <c r="B444" s="89" t="str">
        <f>IF($T$4=0,IF($I444="","",$I444),IFERROR(IF([1]财务取数接口!$B$443=0,"",[1]财务取数接口!$B$443),""))</f>
        <v/>
      </c>
      <c r="C444" s="75" t="str">
        <f>IF($T$4=0,IF($J444="","",$J444),IFERROR(IF([1]财务取数接口!$C$443=0,"",[1]财务取数接口!$C$443),""))</f>
        <v/>
      </c>
      <c r="D444" s="89" t="str">
        <f>IF($T$4=0,IF($K444="","",$K444),IFERROR(IF([1]财务取数接口!$D$443=0,"",[1]财务取数接口!$D$443),""))</f>
        <v/>
      </c>
      <c r="E444" s="89" t="str">
        <f>IF($T$4=0,IF($L444="","",$L444),IFERROR(IF([1]财务取数接口!$E$443=0,"",[1]财务取数接口!$E$443),""))</f>
        <v/>
      </c>
      <c r="F444" s="76" t="str">
        <f>IF($T$4=0,IF($M444="","",$M444),IFERROR(IF([1]财务取数接口!$G$443=0,"",[1]财务取数接口!$G$443),""))</f>
        <v/>
      </c>
      <c r="G444" s="76" t="str">
        <f>IF($T$4=0,IF($N444="","",$N444),IFERROR(IF([1]财务取数接口!$H$443=0,"",[1]财务取数接口!$H$443),""))</f>
        <v/>
      </c>
      <c r="H444" s="75" t="str">
        <f>IF($T$4=0,IF($O444="","",$O444),IFERROR(IF([1]财务取数接口!$I$443=0,"",[1]财务取数接口!$I$443),""))</f>
        <v/>
      </c>
      <c r="I444" s="43"/>
      <c r="J444" s="106"/>
      <c r="K444" s="43"/>
      <c r="L444" s="43"/>
      <c r="M444" s="107"/>
      <c r="N444" s="107"/>
      <c r="O444" s="106"/>
      <c r="P444" s="139">
        <f t="shared" si="12"/>
        <v>0</v>
      </c>
      <c r="Q444" s="139">
        <f t="shared" si="13"/>
        <v>5</v>
      </c>
    </row>
    <row r="445" spans="1:17">
      <c r="A445" s="74">
        <v>444</v>
      </c>
      <c r="B445" s="89" t="str">
        <f>IF($T$4=0,IF($I445="","",$I445),IFERROR(IF([1]财务取数接口!$B$444=0,"",[1]财务取数接口!$B$444),""))</f>
        <v/>
      </c>
      <c r="C445" s="75" t="str">
        <f>IF($T$4=0,IF($J445="","",$J445),IFERROR(IF([1]财务取数接口!$C$444=0,"",[1]财务取数接口!$C$444),""))</f>
        <v/>
      </c>
      <c r="D445" s="89" t="str">
        <f>IF($T$4=0,IF($K445="","",$K445),IFERROR(IF([1]财务取数接口!$D$444=0,"",[1]财务取数接口!$D$444),""))</f>
        <v/>
      </c>
      <c r="E445" s="89" t="str">
        <f>IF($T$4=0,IF($L445="","",$L445),IFERROR(IF([1]财务取数接口!$E$444=0,"",[1]财务取数接口!$E$444),""))</f>
        <v/>
      </c>
      <c r="F445" s="76" t="str">
        <f>IF($T$4=0,IF($M445="","",$M445),IFERROR(IF([1]财务取数接口!$G$444=0,"",[1]财务取数接口!$G$444),""))</f>
        <v/>
      </c>
      <c r="G445" s="76" t="str">
        <f>IF($T$4=0,IF($N445="","",$N445),IFERROR(IF([1]财务取数接口!$H$444=0,"",[1]财务取数接口!$H$444),""))</f>
        <v/>
      </c>
      <c r="H445" s="75" t="str">
        <f>IF($T$4=0,IF($O445="","",$O445),IFERROR(IF([1]财务取数接口!$I$444=0,"",[1]财务取数接口!$I$444),""))</f>
        <v/>
      </c>
      <c r="I445" s="43"/>
      <c r="J445" s="106"/>
      <c r="K445" s="43"/>
      <c r="L445" s="43"/>
      <c r="M445" s="107"/>
      <c r="N445" s="107"/>
      <c r="O445" s="106"/>
      <c r="P445" s="139">
        <f t="shared" si="12"/>
        <v>0</v>
      </c>
      <c r="Q445" s="139">
        <f t="shared" si="13"/>
        <v>5</v>
      </c>
    </row>
    <row r="446" spans="1:17">
      <c r="A446" s="74">
        <v>445</v>
      </c>
      <c r="B446" s="89" t="str">
        <f>IF($T$4=0,IF($I446="","",$I446),IFERROR(IF([1]财务取数接口!$B$445=0,"",[1]财务取数接口!$B$445),""))</f>
        <v/>
      </c>
      <c r="C446" s="75" t="str">
        <f>IF($T$4=0,IF($J446="","",$J446),IFERROR(IF([1]财务取数接口!$C$445=0,"",[1]财务取数接口!$C$445),""))</f>
        <v/>
      </c>
      <c r="D446" s="89" t="str">
        <f>IF($T$4=0,IF($K446="","",$K446),IFERROR(IF([1]财务取数接口!$D$445=0,"",[1]财务取数接口!$D$445),""))</f>
        <v/>
      </c>
      <c r="E446" s="89" t="str">
        <f>IF($T$4=0,IF($L446="","",$L446),IFERROR(IF([1]财务取数接口!$E$445=0,"",[1]财务取数接口!$E$445),""))</f>
        <v/>
      </c>
      <c r="F446" s="76" t="str">
        <f>IF($T$4=0,IF($M446="","",$M446),IFERROR(IF([1]财务取数接口!$G$445=0,"",[1]财务取数接口!$G$445),""))</f>
        <v/>
      </c>
      <c r="G446" s="76" t="str">
        <f>IF($T$4=0,IF($N446="","",$N446),IFERROR(IF([1]财务取数接口!$H$445=0,"",[1]财务取数接口!$H$445),""))</f>
        <v/>
      </c>
      <c r="H446" s="75" t="str">
        <f>IF($T$4=0,IF($O446="","",$O446),IFERROR(IF([1]财务取数接口!$I$445=0,"",[1]财务取数接口!$I$445),""))</f>
        <v/>
      </c>
      <c r="I446" s="43"/>
      <c r="J446" s="106"/>
      <c r="K446" s="43"/>
      <c r="L446" s="43"/>
      <c r="M446" s="107"/>
      <c r="N446" s="107"/>
      <c r="O446" s="106"/>
      <c r="P446" s="139">
        <f t="shared" si="12"/>
        <v>0</v>
      </c>
      <c r="Q446" s="139">
        <f t="shared" si="13"/>
        <v>5</v>
      </c>
    </row>
    <row r="447" spans="1:17">
      <c r="A447" s="74">
        <v>446</v>
      </c>
      <c r="B447" s="89" t="str">
        <f>IF($T$4=0,IF($I447="","",$I447),IFERROR(IF([1]财务取数接口!$B$446=0,"",[1]财务取数接口!$B$446),""))</f>
        <v/>
      </c>
      <c r="C447" s="75" t="str">
        <f>IF($T$4=0,IF($J447="","",$J447),IFERROR(IF([1]财务取数接口!$C$446=0,"",[1]财务取数接口!$C$446),""))</f>
        <v/>
      </c>
      <c r="D447" s="89" t="str">
        <f>IF($T$4=0,IF($K447="","",$K447),IFERROR(IF([1]财务取数接口!$D$446=0,"",[1]财务取数接口!$D$446),""))</f>
        <v/>
      </c>
      <c r="E447" s="89" t="str">
        <f>IF($T$4=0,IF($L447="","",$L447),IFERROR(IF([1]财务取数接口!$E$446=0,"",[1]财务取数接口!$E$446),""))</f>
        <v/>
      </c>
      <c r="F447" s="76" t="str">
        <f>IF($T$4=0,IF($M447="","",$M447),IFERROR(IF([1]财务取数接口!$G$446=0,"",[1]财务取数接口!$G$446),""))</f>
        <v/>
      </c>
      <c r="G447" s="76" t="str">
        <f>IF($T$4=0,IF($N447="","",$N447),IFERROR(IF([1]财务取数接口!$H$446=0,"",[1]财务取数接口!$H$446),""))</f>
        <v/>
      </c>
      <c r="H447" s="75" t="str">
        <f>IF($T$4=0,IF($O447="","",$O447),IFERROR(IF([1]财务取数接口!$I$446=0,"",[1]财务取数接口!$I$446),""))</f>
        <v/>
      </c>
      <c r="I447" s="43"/>
      <c r="J447" s="106"/>
      <c r="K447" s="43"/>
      <c r="L447" s="43"/>
      <c r="M447" s="107"/>
      <c r="N447" s="107"/>
      <c r="O447" s="106"/>
      <c r="P447" s="139">
        <f t="shared" si="12"/>
        <v>0</v>
      </c>
      <c r="Q447" s="139">
        <f t="shared" si="13"/>
        <v>5</v>
      </c>
    </row>
    <row r="448" spans="1:17">
      <c r="A448" s="74">
        <v>447</v>
      </c>
      <c r="B448" s="89" t="str">
        <f>IF($T$4=0,IF($I448="","",$I448),IFERROR(IF([1]财务取数接口!$B$447=0,"",[1]财务取数接口!$B$447),""))</f>
        <v/>
      </c>
      <c r="C448" s="75" t="str">
        <f>IF($T$4=0,IF($J448="","",$J448),IFERROR(IF([1]财务取数接口!$C$447=0,"",[1]财务取数接口!$C$447),""))</f>
        <v/>
      </c>
      <c r="D448" s="89" t="str">
        <f>IF($T$4=0,IF($K448="","",$K448),IFERROR(IF([1]财务取数接口!$D$447=0,"",[1]财务取数接口!$D$447),""))</f>
        <v/>
      </c>
      <c r="E448" s="89" t="str">
        <f>IF($T$4=0,IF($L448="","",$L448),IFERROR(IF([1]财务取数接口!$E$447=0,"",[1]财务取数接口!$E$447),""))</f>
        <v/>
      </c>
      <c r="F448" s="76" t="str">
        <f>IF($T$4=0,IF($M448="","",$M448),IFERROR(IF([1]财务取数接口!$G$447=0,"",[1]财务取数接口!$G$447),""))</f>
        <v/>
      </c>
      <c r="G448" s="76" t="str">
        <f>IF($T$4=0,IF($N448="","",$N448),IFERROR(IF([1]财务取数接口!$H$447=0,"",[1]财务取数接口!$H$447),""))</f>
        <v/>
      </c>
      <c r="H448" s="75" t="str">
        <f>IF($T$4=0,IF($O448="","",$O448),IFERROR(IF([1]财务取数接口!$I$447=0,"",[1]财务取数接口!$I$447),""))</f>
        <v/>
      </c>
      <c r="I448" s="43"/>
      <c r="J448" s="106"/>
      <c r="K448" s="43"/>
      <c r="L448" s="43"/>
      <c r="M448" s="107"/>
      <c r="N448" s="107"/>
      <c r="O448" s="106"/>
      <c r="P448" s="139">
        <f t="shared" si="12"/>
        <v>0</v>
      </c>
      <c r="Q448" s="139">
        <f t="shared" si="13"/>
        <v>5</v>
      </c>
    </row>
    <row r="449" spans="1:17">
      <c r="A449" s="74">
        <v>448</v>
      </c>
      <c r="B449" s="89" t="str">
        <f>IF($T$4=0,IF($I449="","",$I449),IFERROR(IF([1]财务取数接口!$B$448=0,"",[1]财务取数接口!$B$448),""))</f>
        <v/>
      </c>
      <c r="C449" s="75" t="str">
        <f>IF($T$4=0,IF($J449="","",$J449),IFERROR(IF([1]财务取数接口!$C$448=0,"",[1]财务取数接口!$C$448),""))</f>
        <v/>
      </c>
      <c r="D449" s="89" t="str">
        <f>IF($T$4=0,IF($K449="","",$K449),IFERROR(IF([1]财务取数接口!$D$448=0,"",[1]财务取数接口!$D$448),""))</f>
        <v/>
      </c>
      <c r="E449" s="89" t="str">
        <f>IF($T$4=0,IF($L449="","",$L449),IFERROR(IF([1]财务取数接口!$E$448=0,"",[1]财务取数接口!$E$448),""))</f>
        <v/>
      </c>
      <c r="F449" s="76" t="str">
        <f>IF($T$4=0,IF($M449="","",$M449),IFERROR(IF([1]财务取数接口!$G$448=0,"",[1]财务取数接口!$G$448),""))</f>
        <v/>
      </c>
      <c r="G449" s="76" t="str">
        <f>IF($T$4=0,IF($N449="","",$N449),IFERROR(IF([1]财务取数接口!$H$448=0,"",[1]财务取数接口!$H$448),""))</f>
        <v/>
      </c>
      <c r="H449" s="75" t="str">
        <f>IF($T$4=0,IF($O449="","",$O449),IFERROR(IF([1]财务取数接口!$I$448=0,"",[1]财务取数接口!$I$448),""))</f>
        <v/>
      </c>
      <c r="I449" s="43"/>
      <c r="J449" s="106"/>
      <c r="K449" s="43"/>
      <c r="L449" s="43"/>
      <c r="M449" s="107"/>
      <c r="N449" s="107"/>
      <c r="O449" s="106"/>
      <c r="P449" s="139">
        <f t="shared" si="12"/>
        <v>0</v>
      </c>
      <c r="Q449" s="139">
        <f t="shared" si="13"/>
        <v>5</v>
      </c>
    </row>
    <row r="450" spans="1:17">
      <c r="A450" s="74">
        <v>449</v>
      </c>
      <c r="B450" s="89" t="str">
        <f>IF($T$4=0,IF($I450="","",$I450),IFERROR(IF([1]财务取数接口!$B$449=0,"",[1]财务取数接口!$B$449),""))</f>
        <v/>
      </c>
      <c r="C450" s="75" t="str">
        <f>IF($T$4=0,IF($J450="","",$J450),IFERROR(IF([1]财务取数接口!$C$449=0,"",[1]财务取数接口!$C$449),""))</f>
        <v/>
      </c>
      <c r="D450" s="89" t="str">
        <f>IF($T$4=0,IF($K450="","",$K450),IFERROR(IF([1]财务取数接口!$D$449=0,"",[1]财务取数接口!$D$449),""))</f>
        <v/>
      </c>
      <c r="E450" s="89" t="str">
        <f>IF($T$4=0,IF($L450="","",$L450),IFERROR(IF([1]财务取数接口!$E$449=0,"",[1]财务取数接口!$E$449),""))</f>
        <v/>
      </c>
      <c r="F450" s="76" t="str">
        <f>IF($T$4=0,IF($M450="","",$M450),IFERROR(IF([1]财务取数接口!$G$449=0,"",[1]财务取数接口!$G$449),""))</f>
        <v/>
      </c>
      <c r="G450" s="76" t="str">
        <f>IF($T$4=0,IF($N450="","",$N450),IFERROR(IF([1]财务取数接口!$H$449=0,"",[1]财务取数接口!$H$449),""))</f>
        <v/>
      </c>
      <c r="H450" s="75" t="str">
        <f>IF($T$4=0,IF($O450="","",$O450),IFERROR(IF([1]财务取数接口!$I$449=0,"",[1]财务取数接口!$I$449),""))</f>
        <v/>
      </c>
      <c r="I450" s="43"/>
      <c r="J450" s="106"/>
      <c r="K450" s="43"/>
      <c r="L450" s="43"/>
      <c r="M450" s="107"/>
      <c r="N450" s="107"/>
      <c r="O450" s="106"/>
      <c r="P450" s="139">
        <f t="shared" si="12"/>
        <v>0</v>
      </c>
      <c r="Q450" s="139">
        <f t="shared" si="13"/>
        <v>5</v>
      </c>
    </row>
    <row r="451" spans="1:17">
      <c r="A451" s="74">
        <v>450</v>
      </c>
      <c r="B451" s="89" t="str">
        <f>IF($T$4=0,IF($I451="","",$I451),IFERROR(IF([1]财务取数接口!$B$450=0,"",[1]财务取数接口!$B$450),""))</f>
        <v/>
      </c>
      <c r="C451" s="75" t="str">
        <f>IF($T$4=0,IF($J451="","",$J451),IFERROR(IF([1]财务取数接口!$C$450=0,"",[1]财务取数接口!$C$450),""))</f>
        <v/>
      </c>
      <c r="D451" s="89" t="str">
        <f>IF($T$4=0,IF($K451="","",$K451),IFERROR(IF([1]财务取数接口!$D$450=0,"",[1]财务取数接口!$D$450),""))</f>
        <v/>
      </c>
      <c r="E451" s="89" t="str">
        <f>IF($T$4=0,IF($L451="","",$L451),IFERROR(IF([1]财务取数接口!$E$450=0,"",[1]财务取数接口!$E$450),""))</f>
        <v/>
      </c>
      <c r="F451" s="76" t="str">
        <f>IF($T$4=0,IF($M451="","",$M451),IFERROR(IF([1]财务取数接口!$G$450=0,"",[1]财务取数接口!$G$450),""))</f>
        <v/>
      </c>
      <c r="G451" s="76" t="str">
        <f>IF($T$4=0,IF($N451="","",$N451),IFERROR(IF([1]财务取数接口!$H$450=0,"",[1]财务取数接口!$H$450),""))</f>
        <v/>
      </c>
      <c r="H451" s="75" t="str">
        <f>IF($T$4=0,IF($O451="","",$O451),IFERROR(IF([1]财务取数接口!$I$450=0,"",[1]财务取数接口!$I$450),""))</f>
        <v/>
      </c>
      <c r="I451" s="43"/>
      <c r="J451" s="106"/>
      <c r="K451" s="43"/>
      <c r="L451" s="43"/>
      <c r="M451" s="107"/>
      <c r="N451" s="107"/>
      <c r="O451" s="106"/>
      <c r="P451" s="139">
        <f t="shared" si="12"/>
        <v>0</v>
      </c>
      <c r="Q451" s="139">
        <f t="shared" si="13"/>
        <v>5</v>
      </c>
    </row>
    <row r="452" spans="1:17">
      <c r="A452" s="74">
        <v>451</v>
      </c>
      <c r="B452" s="89" t="str">
        <f>IF($T$4=0,IF($I452="","",$I452),IFERROR(IF([1]财务取数接口!$B$451=0,"",[1]财务取数接口!$B$451),""))</f>
        <v/>
      </c>
      <c r="C452" s="75" t="str">
        <f>IF($T$4=0,IF($J452="","",$J452),IFERROR(IF([1]财务取数接口!$C$451=0,"",[1]财务取数接口!$C$451),""))</f>
        <v/>
      </c>
      <c r="D452" s="89" t="str">
        <f>IF($T$4=0,IF($K452="","",$K452),IFERROR(IF([1]财务取数接口!$D$451=0,"",[1]财务取数接口!$D$451),""))</f>
        <v/>
      </c>
      <c r="E452" s="89" t="str">
        <f>IF($T$4=0,IF($L452="","",$L452),IFERROR(IF([1]财务取数接口!$E$451=0,"",[1]财务取数接口!$E$451),""))</f>
        <v/>
      </c>
      <c r="F452" s="76" t="str">
        <f>IF($T$4=0,IF($M452="","",$M452),IFERROR(IF([1]财务取数接口!$G$451=0,"",[1]财务取数接口!$G$451),""))</f>
        <v/>
      </c>
      <c r="G452" s="76" t="str">
        <f>IF($T$4=0,IF($N452="","",$N452),IFERROR(IF([1]财务取数接口!$H$451=0,"",[1]财务取数接口!$H$451),""))</f>
        <v/>
      </c>
      <c r="H452" s="75" t="str">
        <f>IF($T$4=0,IF($O452="","",$O452),IFERROR(IF([1]财务取数接口!$I$451=0,"",[1]财务取数接口!$I$451),""))</f>
        <v/>
      </c>
      <c r="I452" s="43"/>
      <c r="J452" s="106"/>
      <c r="K452" s="43"/>
      <c r="L452" s="43"/>
      <c r="M452" s="107"/>
      <c r="N452" s="107"/>
      <c r="O452" s="106"/>
      <c r="P452" s="139">
        <f t="shared" si="12"/>
        <v>0</v>
      </c>
      <c r="Q452" s="139">
        <f t="shared" si="13"/>
        <v>5</v>
      </c>
    </row>
    <row r="453" spans="1:17">
      <c r="A453" s="74">
        <v>452</v>
      </c>
      <c r="B453" s="89" t="str">
        <f>IF($T$4=0,IF($I453="","",$I453),IFERROR(IF([1]财务取数接口!$B$452=0,"",[1]财务取数接口!$B$452),""))</f>
        <v/>
      </c>
      <c r="C453" s="75" t="str">
        <f>IF($T$4=0,IF($J453="","",$J453),IFERROR(IF([1]财务取数接口!$C$452=0,"",[1]财务取数接口!$C$452),""))</f>
        <v/>
      </c>
      <c r="D453" s="89" t="str">
        <f>IF($T$4=0,IF($K453="","",$K453),IFERROR(IF([1]财务取数接口!$D$452=0,"",[1]财务取数接口!$D$452),""))</f>
        <v/>
      </c>
      <c r="E453" s="89" t="str">
        <f>IF($T$4=0,IF($L453="","",$L453),IFERROR(IF([1]财务取数接口!$E$452=0,"",[1]财务取数接口!$E$452),""))</f>
        <v/>
      </c>
      <c r="F453" s="76" t="str">
        <f>IF($T$4=0,IF($M453="","",$M453),IFERROR(IF([1]财务取数接口!$G$452=0,"",[1]财务取数接口!$G$452),""))</f>
        <v/>
      </c>
      <c r="G453" s="76" t="str">
        <f>IF($T$4=0,IF($N453="","",$N453),IFERROR(IF([1]财务取数接口!$H$452=0,"",[1]财务取数接口!$H$452),""))</f>
        <v/>
      </c>
      <c r="H453" s="75" t="str">
        <f>IF($T$4=0,IF($O453="","",$O453),IFERROR(IF([1]财务取数接口!$I$452=0,"",[1]财务取数接口!$I$452),""))</f>
        <v/>
      </c>
      <c r="I453" s="43"/>
      <c r="J453" s="106"/>
      <c r="K453" s="43"/>
      <c r="L453" s="43"/>
      <c r="M453" s="107"/>
      <c r="N453" s="107"/>
      <c r="O453" s="106"/>
      <c r="P453" s="139">
        <f t="shared" ref="P453:P460" si="14">IF(AND($C453&lt;&gt;"",$C453&lt;&gt;"项目",OR(N($D453)&lt;&gt;0,N($E453)&lt;&gt;0,N($F453)&lt;&gt;0)),1,0)</f>
        <v>0</v>
      </c>
      <c r="Q453" s="139">
        <f t="shared" ref="Q453:Q460" si="15">N(Q452)+$P453</f>
        <v>5</v>
      </c>
    </row>
    <row r="454" spans="1:17">
      <c r="A454" s="74">
        <v>453</v>
      </c>
      <c r="B454" s="89" t="str">
        <f>IF($T$4=0,IF($I454="","",$I454),IFERROR(IF([1]财务取数接口!$B$453=0,"",[1]财务取数接口!$B$453),""))</f>
        <v/>
      </c>
      <c r="C454" s="75" t="str">
        <f>IF($T$4=0,IF($J454="","",$J454),IFERROR(IF([1]财务取数接口!$C$453=0,"",[1]财务取数接口!$C$453),""))</f>
        <v/>
      </c>
      <c r="D454" s="89" t="str">
        <f>IF($T$4=0,IF($K454="","",$K454),IFERROR(IF([1]财务取数接口!$D$453=0,"",[1]财务取数接口!$D$453),""))</f>
        <v/>
      </c>
      <c r="E454" s="89" t="str">
        <f>IF($T$4=0,IF($L454="","",$L454),IFERROR(IF([1]财务取数接口!$E$453=0,"",[1]财务取数接口!$E$453),""))</f>
        <v/>
      </c>
      <c r="F454" s="76" t="str">
        <f>IF($T$4=0,IF($M454="","",$M454),IFERROR(IF([1]财务取数接口!$G$453=0,"",[1]财务取数接口!$G$453),""))</f>
        <v/>
      </c>
      <c r="G454" s="76" t="str">
        <f>IF($T$4=0,IF($N454="","",$N454),IFERROR(IF([1]财务取数接口!$H$453=0,"",[1]财务取数接口!$H$453),""))</f>
        <v/>
      </c>
      <c r="H454" s="75" t="str">
        <f>IF($T$4=0,IF($O454="","",$O454),IFERROR(IF([1]财务取数接口!$I$453=0,"",[1]财务取数接口!$I$453),""))</f>
        <v/>
      </c>
      <c r="I454" s="43"/>
      <c r="J454" s="106"/>
      <c r="K454" s="43"/>
      <c r="L454" s="43"/>
      <c r="M454" s="107"/>
      <c r="N454" s="107"/>
      <c r="O454" s="106"/>
      <c r="P454" s="139">
        <f t="shared" si="14"/>
        <v>0</v>
      </c>
      <c r="Q454" s="139">
        <f t="shared" si="15"/>
        <v>5</v>
      </c>
    </row>
    <row r="455" spans="1:17">
      <c r="A455" s="74">
        <v>454</v>
      </c>
      <c r="B455" s="89" t="str">
        <f>IF($T$4=0,IF($I455="","",$I455),IFERROR(IF([1]财务取数接口!$B$454=0,"",[1]财务取数接口!$B$454),""))</f>
        <v/>
      </c>
      <c r="C455" s="75" t="str">
        <f>IF($T$4=0,IF($J455="","",$J455),IFERROR(IF([1]财务取数接口!$C$454=0,"",[1]财务取数接口!$C$454),""))</f>
        <v/>
      </c>
      <c r="D455" s="89" t="str">
        <f>IF($T$4=0,IF($K455="","",$K455),IFERROR(IF([1]财务取数接口!$D$454=0,"",[1]财务取数接口!$D$454),""))</f>
        <v/>
      </c>
      <c r="E455" s="89" t="str">
        <f>IF($T$4=0,IF($L455="","",$L455),IFERROR(IF([1]财务取数接口!$E$454=0,"",[1]财务取数接口!$E$454),""))</f>
        <v/>
      </c>
      <c r="F455" s="76" t="str">
        <f>IF($T$4=0,IF($M455="","",$M455),IFERROR(IF([1]财务取数接口!$G$454=0,"",[1]财务取数接口!$G$454),""))</f>
        <v/>
      </c>
      <c r="G455" s="76" t="str">
        <f>IF($T$4=0,IF($N455="","",$N455),IFERROR(IF([1]财务取数接口!$H$454=0,"",[1]财务取数接口!$H$454),""))</f>
        <v/>
      </c>
      <c r="H455" s="75" t="str">
        <f>IF($T$4=0,IF($O455="","",$O455),IFERROR(IF([1]财务取数接口!$I$454=0,"",[1]财务取数接口!$I$454),""))</f>
        <v/>
      </c>
      <c r="I455" s="43"/>
      <c r="J455" s="106"/>
      <c r="K455" s="43"/>
      <c r="L455" s="43"/>
      <c r="M455" s="107"/>
      <c r="N455" s="107"/>
      <c r="O455" s="106"/>
      <c r="P455" s="139">
        <f t="shared" si="14"/>
        <v>0</v>
      </c>
      <c r="Q455" s="139">
        <f t="shared" si="15"/>
        <v>5</v>
      </c>
    </row>
    <row r="456" spans="1:17">
      <c r="A456" s="74">
        <v>455</v>
      </c>
      <c r="B456" s="89" t="str">
        <f>IF($T$4=0,IF($I456="","",$I456),IFERROR(IF([1]财务取数接口!$B$455=0,"",[1]财务取数接口!$B$455),""))</f>
        <v/>
      </c>
      <c r="C456" s="75" t="str">
        <f>IF($T$4=0,IF($J456="","",$J456),IFERROR(IF([1]财务取数接口!$C$455=0,"",[1]财务取数接口!$C$455),""))</f>
        <v/>
      </c>
      <c r="D456" s="89" t="str">
        <f>IF($T$4=0,IF($K456="","",$K456),IFERROR(IF([1]财务取数接口!$D$455=0,"",[1]财务取数接口!$D$455),""))</f>
        <v/>
      </c>
      <c r="E456" s="89" t="str">
        <f>IF($T$4=0,IF($L456="","",$L456),IFERROR(IF([1]财务取数接口!$E$455=0,"",[1]财务取数接口!$E$455),""))</f>
        <v/>
      </c>
      <c r="F456" s="76" t="str">
        <f>IF($T$4=0,IF($M456="","",$M456),IFERROR(IF([1]财务取数接口!$G$455=0,"",[1]财务取数接口!$G$455),""))</f>
        <v/>
      </c>
      <c r="G456" s="76" t="str">
        <f>IF($T$4=0,IF($N456="","",$N456),IFERROR(IF([1]财务取数接口!$H$455=0,"",[1]财务取数接口!$H$455),""))</f>
        <v/>
      </c>
      <c r="H456" s="75" t="str">
        <f>IF($T$4=0,IF($O456="","",$O456),IFERROR(IF([1]财务取数接口!$I$455=0,"",[1]财务取数接口!$I$455),""))</f>
        <v/>
      </c>
      <c r="I456" s="43"/>
      <c r="J456" s="106"/>
      <c r="K456" s="43"/>
      <c r="L456" s="43"/>
      <c r="M456" s="107"/>
      <c r="N456" s="107"/>
      <c r="O456" s="106"/>
      <c r="P456" s="139">
        <f t="shared" si="14"/>
        <v>0</v>
      </c>
      <c r="Q456" s="139">
        <f t="shared" si="15"/>
        <v>5</v>
      </c>
    </row>
    <row r="457" spans="1:17">
      <c r="A457" s="74">
        <v>456</v>
      </c>
      <c r="B457" s="89" t="str">
        <f>IF($T$4=0,IF($I457="","",$I457),IFERROR(IF([1]财务取数接口!$B$456=0,"",[1]财务取数接口!$B$456),""))</f>
        <v/>
      </c>
      <c r="C457" s="75" t="str">
        <f>IF($T$4=0,IF($J457="","",$J457),IFERROR(IF([1]财务取数接口!$C$456=0,"",[1]财务取数接口!$C$456),""))</f>
        <v/>
      </c>
      <c r="D457" s="89" t="str">
        <f>IF($T$4=0,IF($K457="","",$K457),IFERROR(IF([1]财务取数接口!$D$456=0,"",[1]财务取数接口!$D$456),""))</f>
        <v/>
      </c>
      <c r="E457" s="89" t="str">
        <f>IF($T$4=0,IF($L457="","",$L457),IFERROR(IF([1]财务取数接口!$E$456=0,"",[1]财务取数接口!$E$456),""))</f>
        <v/>
      </c>
      <c r="F457" s="76" t="str">
        <f>IF($T$4=0,IF($M457="","",$M457),IFERROR(IF([1]财务取数接口!$G$456=0,"",[1]财务取数接口!$G$456),""))</f>
        <v/>
      </c>
      <c r="G457" s="76" t="str">
        <f>IF($T$4=0,IF($N457="","",$N457),IFERROR(IF([1]财务取数接口!$H$456=0,"",[1]财务取数接口!$H$456),""))</f>
        <v/>
      </c>
      <c r="H457" s="75" t="str">
        <f>IF($T$4=0,IF($O457="","",$O457),IFERROR(IF([1]财务取数接口!$I$456=0,"",[1]财务取数接口!$I$456),""))</f>
        <v/>
      </c>
      <c r="I457" s="43"/>
      <c r="J457" s="106"/>
      <c r="K457" s="43"/>
      <c r="L457" s="43"/>
      <c r="M457" s="107"/>
      <c r="N457" s="107"/>
      <c r="O457" s="106"/>
      <c r="P457" s="139">
        <f t="shared" si="14"/>
        <v>0</v>
      </c>
      <c r="Q457" s="139">
        <f t="shared" si="15"/>
        <v>5</v>
      </c>
    </row>
    <row r="458" spans="1:17">
      <c r="A458" s="74">
        <v>457</v>
      </c>
      <c r="B458" s="89" t="str">
        <f>IF($T$4=0,IF($I458="","",$I458),IFERROR(IF([1]财务取数接口!$B$457=0,"",[1]财务取数接口!$B$457),""))</f>
        <v/>
      </c>
      <c r="C458" s="75" t="str">
        <f>IF($T$4=0,IF($J458="","",$J458),IFERROR(IF([1]财务取数接口!$C$457=0,"",[1]财务取数接口!$C$457),""))</f>
        <v/>
      </c>
      <c r="D458" s="89" t="str">
        <f>IF($T$4=0,IF($K458="","",$K458),IFERROR(IF([1]财务取数接口!$D$457=0,"",[1]财务取数接口!$D$457),""))</f>
        <v/>
      </c>
      <c r="E458" s="89" t="str">
        <f>IF($T$4=0,IF($L458="","",$L458),IFERROR(IF([1]财务取数接口!$E$457=0,"",[1]财务取数接口!$E$457),""))</f>
        <v/>
      </c>
      <c r="F458" s="76" t="str">
        <f>IF($T$4=0,IF($M458="","",$M458),IFERROR(IF([1]财务取数接口!$G$457=0,"",[1]财务取数接口!$G$457),""))</f>
        <v/>
      </c>
      <c r="G458" s="76" t="str">
        <f>IF($T$4=0,IF($N458="","",$N458),IFERROR(IF([1]财务取数接口!$H$457=0,"",[1]财务取数接口!$H$457),""))</f>
        <v/>
      </c>
      <c r="H458" s="75" t="str">
        <f>IF($T$4=0,IF($O458="","",$O458),IFERROR(IF([1]财务取数接口!$I$457=0,"",[1]财务取数接口!$I$457),""))</f>
        <v/>
      </c>
      <c r="I458" s="43"/>
      <c r="J458" s="106"/>
      <c r="K458" s="43"/>
      <c r="L458" s="43"/>
      <c r="M458" s="107"/>
      <c r="N458" s="107"/>
      <c r="O458" s="106"/>
      <c r="P458" s="139">
        <f t="shared" si="14"/>
        <v>0</v>
      </c>
      <c r="Q458" s="139">
        <f t="shared" si="15"/>
        <v>5</v>
      </c>
    </row>
    <row r="459" spans="1:17">
      <c r="A459" s="74">
        <v>458</v>
      </c>
      <c r="B459" s="89" t="str">
        <f>IF($T$4=0,IF($I459="","",$I459),IFERROR(IF([1]财务取数接口!$B$458=0,"",[1]财务取数接口!$B$458),""))</f>
        <v/>
      </c>
      <c r="C459" s="75" t="str">
        <f>IF($T$4=0,IF($J459="","",$J459),IFERROR(IF([1]财务取数接口!$C$458=0,"",[1]财务取数接口!$C$458),""))</f>
        <v/>
      </c>
      <c r="D459" s="89" t="str">
        <f>IF($T$4=0,IF($K459="","",$K459),IFERROR(IF([1]财务取数接口!$D$458=0,"",[1]财务取数接口!$D$458),""))</f>
        <v/>
      </c>
      <c r="E459" s="89" t="str">
        <f>IF($T$4=0,IF($L459="","",$L459),IFERROR(IF([1]财务取数接口!$E$458=0,"",[1]财务取数接口!$E$458),""))</f>
        <v/>
      </c>
      <c r="F459" s="76" t="str">
        <f>IF($T$4=0,IF($M459="","",$M459),IFERROR(IF([1]财务取数接口!$G$458=0,"",[1]财务取数接口!$G$458),""))</f>
        <v/>
      </c>
      <c r="G459" s="76" t="str">
        <f>IF($T$4=0,IF($N459="","",$N459),IFERROR(IF([1]财务取数接口!$H$458=0,"",[1]财务取数接口!$H$458),""))</f>
        <v/>
      </c>
      <c r="H459" s="75" t="str">
        <f>IF($T$4=0,IF($O459="","",$O459),IFERROR(IF([1]财务取数接口!$I$458=0,"",[1]财务取数接口!$I$458),""))</f>
        <v/>
      </c>
      <c r="I459" s="43"/>
      <c r="J459" s="106"/>
      <c r="K459" s="43"/>
      <c r="L459" s="43"/>
      <c r="M459" s="107"/>
      <c r="N459" s="107"/>
      <c r="O459" s="106"/>
      <c r="P459" s="139">
        <f t="shared" si="14"/>
        <v>0</v>
      </c>
      <c r="Q459" s="139">
        <f t="shared" si="15"/>
        <v>5</v>
      </c>
    </row>
    <row r="460" spans="1:17">
      <c r="A460" s="74">
        <v>459</v>
      </c>
      <c r="B460" s="89" t="str">
        <f>IF($T$4=0,IF($I460="","",$I460),IFERROR(IF([1]财务取数接口!$B$459=0,"",[1]财务取数接口!$B$459),""))</f>
        <v/>
      </c>
      <c r="C460" s="75" t="str">
        <f>IF($T$4=0,IF($J460="","",$J460),IFERROR(IF([1]财务取数接口!$C$459=0,"",[1]财务取数接口!$C$459),""))</f>
        <v/>
      </c>
      <c r="D460" s="89" t="str">
        <f>IF($T$4=0,IF($K460="","",$K460),IFERROR(IF([1]财务取数接口!$D$459=0,"",[1]财务取数接口!$D$459),""))</f>
        <v/>
      </c>
      <c r="E460" s="89" t="str">
        <f>IF($T$4=0,IF($L460="","",$L460),IFERROR(IF([1]财务取数接口!$E$459=0,"",[1]财务取数接口!$E$459),""))</f>
        <v/>
      </c>
      <c r="F460" s="76" t="str">
        <f>IF($T$4=0,IF($M460="","",$M460),IFERROR(IF([1]财务取数接口!$G$459=0,"",[1]财务取数接口!$G$459),""))</f>
        <v/>
      </c>
      <c r="G460" s="76" t="str">
        <f>IF($T$4=0,IF($N460="","",$N460),IFERROR(IF([1]财务取数接口!$H$459=0,"",[1]财务取数接口!$H$459),""))</f>
        <v/>
      </c>
      <c r="H460" s="75" t="str">
        <f>IF($T$4=0,IF($O460="","",$O460),IFERROR(IF([1]财务取数接口!$I$459=0,"",[1]财务取数接口!$I$459),""))</f>
        <v/>
      </c>
      <c r="I460" s="43"/>
      <c r="J460" s="106"/>
      <c r="K460" s="43"/>
      <c r="L460" s="43"/>
      <c r="M460" s="107"/>
      <c r="N460" s="107"/>
      <c r="O460" s="106"/>
      <c r="P460" s="139">
        <f t="shared" si="14"/>
        <v>0</v>
      </c>
      <c r="Q460" s="139">
        <f t="shared" si="15"/>
        <v>5</v>
      </c>
    </row>
  </sheetData>
  <mergeCells count="6">
    <mergeCell ref="A1:Q1"/>
    <mergeCell ref="A2:Q2"/>
    <mergeCell ref="A3:H3"/>
    <mergeCell ref="I3:O3"/>
    <mergeCell ref="P3:Q3"/>
    <mergeCell ref="S6:T9"/>
  </mergeCells>
  <conditionalFormatting sqref="A2">
    <cfRule type="expression" dxfId="0" priority="1">
      <formula>$T$4=0</formula>
    </cfRule>
  </conditionalFormatting>
  <conditionalFormatting sqref="S6">
    <cfRule type="expression" dxfId="0" priority="2">
      <formula>$T$4=0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FAADC"/>
  </sheetPr>
  <dimension ref="A1:V30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F11" sqref="F11"/>
    </sheetView>
  </sheetViews>
  <sheetFormatPr defaultColWidth="9" defaultRowHeight="13.5"/>
  <cols>
    <col min="1" max="1" width="6" customWidth="1"/>
    <col min="2" max="2" width="14" customWidth="1"/>
    <col min="3" max="3" width="10" customWidth="1"/>
    <col min="4" max="5" width="15" customWidth="1"/>
    <col min="6" max="6" width="12" customWidth="1"/>
    <col min="7" max="7" width="10" customWidth="1"/>
    <col min="8" max="9" width="14" customWidth="1"/>
    <col min="10" max="17" width="12" customWidth="1"/>
    <col min="18" max="19" width="5" customWidth="1"/>
    <col min="20" max="20" width="2" customWidth="1"/>
    <col min="21" max="21" width="13" customWidth="1"/>
    <col min="22" max="22" width="46" customWidth="1"/>
  </cols>
  <sheetData>
    <row r="1" ht="30" customHeight="1" spans="1:22">
      <c r="A1" s="71" t="s">
        <v>185</v>
      </c>
      <c r="U1" s="127" t="s">
        <v>159</v>
      </c>
      <c r="V1" s="83">
        <f>MAX($S$5:$S$304)</f>
        <v>17</v>
      </c>
    </row>
    <row r="2" spans="1:22">
      <c r="A2" s="128" t="str">
        <f>IF($V$4=1,"✔ 链接正常，已自动取到 "&amp;$V$1&amp;" 行　｜　本表 1:1 对应《01 水果进销存台账》的【入库吨位汇总】第 4～303 行；筐数已按货权属性拆成「周转打冷」与「仓储加工」两列","★★ 链接没接上！当前取数来源："&amp;$V$5&amp;"　→ 见 V6 修复说明")</f>
        <v>✔ 链接正常，已自动取到 17 行　｜　本表 1:1 对应《01 水果进销存台账》的【入库吨位汇总】第 4～303 行；筐数已按货权属性拆成「周转打冷」与「仓储加工」两列</v>
      </c>
      <c r="U2" s="127" t="s">
        <v>160</v>
      </c>
      <c r="V2" s="83" t="str">
        <f>IFERROR(IF([2]入库吨位汇总!$B$4=0,"未更新",[2]入库吨位汇总!$B$4),"断开")</f>
        <v>聂新平</v>
      </c>
    </row>
    <row r="3" ht="20" customHeight="1" spans="1:22">
      <c r="A3" s="121" t="s">
        <v>186</v>
      </c>
      <c r="J3" s="129" t="s">
        <v>162</v>
      </c>
      <c r="R3" s="130" t="s">
        <v>163</v>
      </c>
      <c r="U3" s="127" t="s">
        <v>164</v>
      </c>
      <c r="V3" s="83">
        <f>COUNTIF($J$5:$J$304,"?*")</f>
        <v>0</v>
      </c>
    </row>
    <row r="4" ht="30" customHeight="1" spans="1:22">
      <c r="A4" s="73" t="s">
        <v>165</v>
      </c>
      <c r="B4" s="73" t="s">
        <v>187</v>
      </c>
      <c r="C4" s="73" t="s">
        <v>188</v>
      </c>
      <c r="D4" s="73" t="s">
        <v>189</v>
      </c>
      <c r="E4" s="73" t="s">
        <v>190</v>
      </c>
      <c r="F4" s="73" t="s">
        <v>191</v>
      </c>
      <c r="G4" s="73" t="s">
        <v>192</v>
      </c>
      <c r="H4" s="73" t="s">
        <v>193</v>
      </c>
      <c r="I4" s="73" t="s">
        <v>194</v>
      </c>
      <c r="J4" s="73" t="s">
        <v>195</v>
      </c>
      <c r="K4" s="73" t="s">
        <v>196</v>
      </c>
      <c r="L4" s="73" t="s">
        <v>197</v>
      </c>
      <c r="M4" s="73" t="s">
        <v>198</v>
      </c>
      <c r="N4" s="73" t="s">
        <v>199</v>
      </c>
      <c r="O4" s="73" t="s">
        <v>200</v>
      </c>
      <c r="P4" s="73" t="s">
        <v>201</v>
      </c>
      <c r="Q4" s="73" t="s">
        <v>202</v>
      </c>
      <c r="R4" s="73" t="s">
        <v>180</v>
      </c>
      <c r="S4" s="73" t="s">
        <v>181</v>
      </c>
      <c r="U4" s="127" t="s">
        <v>182</v>
      </c>
      <c r="V4" s="83">
        <f>IF(OR($V$2="断开",$V$2="未更新"),0,1)</f>
        <v>1</v>
      </c>
    </row>
    <row r="5" spans="1:22">
      <c r="A5" s="74">
        <v>4</v>
      </c>
      <c r="B5" s="75" t="str">
        <f>IF($V$4=0,IF($J5="","",$J5),IFERROR(IF([2]入库吨位汇总!$B$4=0,"",[2]入库吨位汇总!$B$4),""))</f>
        <v>聂新平</v>
      </c>
      <c r="C5" s="75" t="str">
        <f>IF($V$4=0,IF($K5="","",$K5),IFERROR(IF([2]入库吨位汇总!$C$4=0,"",[2]入库吨位汇总!$C$4),""))</f>
        <v>苹果</v>
      </c>
      <c r="D5" s="42">
        <f>IF($V$4=0,IF($L5="","",$L5),IFERROR(IF([2]入库吨位汇总!$D$4=0,"",[2]入库吨位汇总!$D$4),""))</f>
        <v>1729</v>
      </c>
      <c r="E5" s="42" t="str">
        <f>IF($V$4=0,IF($M5="","",$M5),IFERROR(IF([2]入库吨位汇总!$E$4=0,"",[2]入库吨位汇总!$E$4),""))</f>
        <v/>
      </c>
      <c r="F5" s="76">
        <f>IF($V$4=0,IF($N5="","",$N5),IFERROR(IF([2]入库吨位汇总!$K$4=0,"",[2]入库吨位汇总!$K$4),""))</f>
        <v>37692.2</v>
      </c>
      <c r="G5" s="122">
        <f>IF($V$4=0,IF($O5="","",$O5),IFERROR(IF([2]入库吨位汇总!$L$4=0,"",[2]入库吨位汇总!$L$4),""))</f>
        <v>37.692</v>
      </c>
      <c r="H5" s="76">
        <f>IF($V$4=0,IF($P5="","",$P5),IFERROR(IF([2]入库吨位汇总!$H$4=0,"",[2]入库吨位汇总!$H$4),""))</f>
        <v>37692.2</v>
      </c>
      <c r="I5" s="76" t="str">
        <f>IF($V$4=0,IF($Q5="","",$Q5),IFERROR(IF([2]入库吨位汇总!$I$4=0,"",[2]入库吨位汇总!$I$4),""))</f>
        <v/>
      </c>
      <c r="J5" s="116"/>
      <c r="K5" s="116"/>
      <c r="L5" s="131"/>
      <c r="M5" s="131"/>
      <c r="N5" s="132"/>
      <c r="O5" s="132"/>
      <c r="P5" s="132"/>
      <c r="Q5" s="132"/>
      <c r="R5" s="133">
        <f t="shared" ref="R5:R68" si="0">IF(AND($B5&lt;&gt;"",$C5&lt;&gt;""),1,0)</f>
        <v>1</v>
      </c>
      <c r="S5" s="133">
        <f t="shared" ref="S5:S68" si="1">N(S4)+$R5</f>
        <v>1</v>
      </c>
      <c r="U5" s="127" t="s">
        <v>183</v>
      </c>
      <c r="V5" s="83" t="str">
        <f>IF($V$4=1,"自动（跨文件链接）",IF($V$3&gt;0,"应急备份","无数据"))</f>
        <v>自动（跨文件链接）</v>
      </c>
    </row>
    <row r="6" ht="22.5" customHeight="1" spans="1:22">
      <c r="A6" s="74">
        <v>5</v>
      </c>
      <c r="B6" s="75" t="str">
        <f>IF($V$4=0,IF($J6="","",$J6),IFERROR(IF([2]入库吨位汇总!$B$5=0,"",[2]入库吨位汇总!$B$5),""))</f>
        <v>王照雪</v>
      </c>
      <c r="C6" s="75" t="str">
        <f>IF($V$4=0,IF($K6="","",$K6),IFERROR(IF([2]入库吨位汇总!$C$5=0,"",[2]入库吨位汇总!$C$5),""))</f>
        <v>苹果</v>
      </c>
      <c r="D6" s="42">
        <f>IF($V$4=0,IF($L6="","",$L6),IFERROR(IF([2]入库吨位汇总!$D$5=0,"",[2]入库吨位汇总!$D$5),""))</f>
        <v>1670</v>
      </c>
      <c r="E6" s="42" t="str">
        <f>IF($V$4=0,IF($M6="","",$M6),IFERROR(IF([2]入库吨位汇总!$E$5=0,"",[2]入库吨位汇总!$E$5),""))</f>
        <v/>
      </c>
      <c r="F6" s="76">
        <f>IF($V$4=0,IF($N6="","",$N6),IFERROR(IF([2]入库吨位汇总!$K$5=0,"",[2]入库吨位汇总!$K$5),""))</f>
        <v>29222</v>
      </c>
      <c r="G6" s="122">
        <f>IF($V$4=0,IF($O6="","",$O6),IFERROR(IF([2]入库吨位汇总!$L$5=0,"",[2]入库吨位汇总!$L$5),""))</f>
        <v>29.222</v>
      </c>
      <c r="H6" s="76">
        <f>IF($V$4=0,IF($P6="","",$P6),IFERROR(IF([2]入库吨位汇总!$H$5=0,"",[2]入库吨位汇总!$H$5),""))</f>
        <v>29222</v>
      </c>
      <c r="I6" s="76" t="str">
        <f>IF($V$4=0,IF($Q6="","",$Q6),IFERROR(IF([2]入库吨位汇总!$I$5=0,"",[2]入库吨位汇总!$I$5),""))</f>
        <v/>
      </c>
      <c r="J6" s="116"/>
      <c r="K6" s="116"/>
      <c r="L6" s="131"/>
      <c r="M6" s="131"/>
      <c r="N6" s="132"/>
      <c r="O6" s="132"/>
      <c r="P6" s="132"/>
      <c r="Q6" s="132"/>
      <c r="R6" s="133">
        <f t="shared" si="0"/>
        <v>1</v>
      </c>
      <c r="S6" s="133">
        <f t="shared" si="1"/>
        <v>2</v>
      </c>
      <c r="U6" s="127" t="s">
        <v>203</v>
      </c>
      <c r="V6" s="134" t="str">
        <f>IF($V$2="断开","✘ 链接已断开。修复：菜单【数据】→【编辑链接】→【更改源】，重新指向《01_水果进销存台账模板.xlsx》",IF($V$2="未更新","★ 链接还没更新。修复：菜单【数据】→【编辑链接】→【立即更新值】","✔ 链接正常。建议每月底把 B5:I304 复制→选择性粘贴【数值】到 J5 作为兜底"))</f>
        <v>✔ 链接正常。建议每月底把 B5:I304 复制→选择性粘贴【数值】到 J5 作为兜底</v>
      </c>
    </row>
    <row r="7" spans="1:22">
      <c r="A7" s="74">
        <v>6</v>
      </c>
      <c r="B7" s="75" t="str">
        <f>IF($V$4=0,IF($J7="","",$J7),IFERROR(IF([2]入库吨位汇总!$B$6=0,"",[2]入库吨位汇总!$B$6),""))</f>
        <v>伍元虎</v>
      </c>
      <c r="C7" s="75" t="str">
        <f>IF($V$4=0,IF($K7="","",$K7),IFERROR(IF([2]入库吨位汇总!$C$6=0,"",[2]入库吨位汇总!$C$6),""))</f>
        <v>苹果</v>
      </c>
      <c r="D7" s="42">
        <f>IF($V$4=0,IF($L7="","",$L7),IFERROR(IF([2]入库吨位汇总!$D$6=0,"",[2]入库吨位汇总!$D$6),""))</f>
        <v>87</v>
      </c>
      <c r="E7" s="42" t="str">
        <f>IF($V$4=0,IF($M7="","",$M7),IFERROR(IF([2]入库吨位汇总!$E$6=0,"",[2]入库吨位汇总!$E$6),""))</f>
        <v/>
      </c>
      <c r="F7" s="76">
        <f>IF($V$4=0,IF($N7="","",$N7),IFERROR(IF([2]入库吨位汇总!$K$6=0,"",[2]入库吨位汇总!$K$6),""))</f>
        <v>1957.5</v>
      </c>
      <c r="G7" s="122">
        <f>IF($V$4=0,IF($O7="","",$O7),IFERROR(IF([2]入库吨位汇总!$L$6=0,"",[2]入库吨位汇总!$L$6),""))</f>
        <v>1.958</v>
      </c>
      <c r="H7" s="76">
        <f>IF($V$4=0,IF($P7="","",$P7),IFERROR(IF([2]入库吨位汇总!$H$6=0,"",[2]入库吨位汇总!$H$6),""))</f>
        <v>1957.5</v>
      </c>
      <c r="I7" s="76" t="str">
        <f>IF($V$4=0,IF($Q7="","",$Q7),IFERROR(IF([2]入库吨位汇总!$I$6=0,"",[2]入库吨位汇总!$I$6),""))</f>
        <v/>
      </c>
      <c r="J7" s="116"/>
      <c r="K7" s="116"/>
      <c r="L7" s="131"/>
      <c r="M7" s="131"/>
      <c r="N7" s="132"/>
      <c r="O7" s="132"/>
      <c r="P7" s="132"/>
      <c r="Q7" s="132"/>
      <c r="R7" s="133">
        <f t="shared" si="0"/>
        <v>1</v>
      </c>
      <c r="S7" s="133">
        <f t="shared" si="1"/>
        <v>3</v>
      </c>
    </row>
    <row r="8" spans="1:22">
      <c r="A8" s="74">
        <v>7</v>
      </c>
      <c r="B8" s="75" t="str">
        <f>IF($V$4=0,IF($J8="","",$J8),IFERROR(IF([2]入库吨位汇总!$B$7=0,"",[2]入库吨位汇总!$B$7),""))</f>
        <v>王照雪</v>
      </c>
      <c r="C8" s="75" t="str">
        <f>IF($V$4=0,IF($K8="","",$K8),IFERROR(IF([2]入库吨位汇总!$C$7=0,"",[2]入库吨位汇总!$C$7),""))</f>
        <v>李子</v>
      </c>
      <c r="D8" s="42">
        <f>IF($V$4=0,IF($L8="","",$L8),IFERROR(IF([2]入库吨位汇总!$D$7=0,"",[2]入库吨位汇总!$D$7),""))</f>
        <v>422</v>
      </c>
      <c r="E8" s="42" t="str">
        <f>IF($V$4=0,IF($M8="","",$M8),IFERROR(IF([2]入库吨位汇总!$E$7=0,"",[2]入库吨位汇总!$E$7),""))</f>
        <v/>
      </c>
      <c r="F8" s="76">
        <f>IF($V$4=0,IF($N8="","",$N8),IFERROR(IF([2]入库吨位汇总!$K$7=0,"",[2]入库吨位汇总!$K$7),""))</f>
        <v>6878.6</v>
      </c>
      <c r="G8" s="122">
        <f>IF($V$4=0,IF($O8="","",$O8),IFERROR(IF([2]入库吨位汇总!$L$7=0,"",[2]入库吨位汇总!$L$7),""))</f>
        <v>6.879</v>
      </c>
      <c r="H8" s="76">
        <f>IF($V$4=0,IF($P8="","",$P8),IFERROR(IF([2]入库吨位汇总!$H$7=0,"",[2]入库吨位汇总!$H$7),""))</f>
        <v>6878.6</v>
      </c>
      <c r="I8" s="76" t="str">
        <f>IF($V$4=0,IF($Q8="","",$Q8),IFERROR(IF([2]入库吨位汇总!$I$7=0,"",[2]入库吨位汇总!$I$7),""))</f>
        <v/>
      </c>
      <c r="J8" s="116"/>
      <c r="K8" s="116"/>
      <c r="L8" s="131"/>
      <c r="M8" s="131"/>
      <c r="N8" s="132"/>
      <c r="O8" s="132"/>
      <c r="P8" s="132"/>
      <c r="Q8" s="132"/>
      <c r="R8" s="133">
        <f t="shared" si="0"/>
        <v>1</v>
      </c>
      <c r="S8" s="133">
        <f t="shared" si="1"/>
        <v>4</v>
      </c>
    </row>
    <row r="9" spans="1:22">
      <c r="A9" s="74">
        <v>8</v>
      </c>
      <c r="B9" s="75" t="str">
        <f>IF($V$4=0,IF($J9="","",$J9),IFERROR(IF([2]入库吨位汇总!$B$8=0,"",[2]入库吨位汇总!$B$8),""))</f>
        <v>马锦祥</v>
      </c>
      <c r="C9" s="75" t="str">
        <f>IF($V$4=0,IF($K9="","",$K9),IFERROR(IF([2]入库吨位汇总!$C$8=0,"",[2]入库吨位汇总!$C$8),""))</f>
        <v>苹果</v>
      </c>
      <c r="D9" s="42">
        <f>IF($V$4=0,IF($L9="","",$L9),IFERROR(IF([2]入库吨位汇总!$D$8=0,"",[2]入库吨位汇总!$D$8),""))</f>
        <v>68</v>
      </c>
      <c r="E9" s="42" t="str">
        <f>IF($V$4=0,IF($M9="","",$M9),IFERROR(IF([2]入库吨位汇总!$E$8=0,"",[2]入库吨位汇总!$E$8),""))</f>
        <v/>
      </c>
      <c r="F9" s="76">
        <f>IF($V$4=0,IF($N9="","",$N9),IFERROR(IF([2]入库吨位汇总!$K$8=0,"",[2]入库吨位汇总!$K$8),""))</f>
        <v>204</v>
      </c>
      <c r="G9" s="122">
        <f>IF($V$4=0,IF($O9="","",$O9),IFERROR(IF([2]入库吨位汇总!$L$8=0,"",[2]入库吨位汇总!$L$8),""))</f>
        <v>0.204</v>
      </c>
      <c r="H9" s="76">
        <f>IF($V$4=0,IF($P9="","",$P9),IFERROR(IF([2]入库吨位汇总!$H$8=0,"",[2]入库吨位汇总!$H$8),""))</f>
        <v>204</v>
      </c>
      <c r="I9" s="76" t="str">
        <f>IF($V$4=0,IF($Q9="","",$Q9),IFERROR(IF([2]入库吨位汇总!$I$8=0,"",[2]入库吨位汇总!$I$8),""))</f>
        <v/>
      </c>
      <c r="J9" s="116"/>
      <c r="K9" s="116"/>
      <c r="L9" s="131"/>
      <c r="M9" s="131"/>
      <c r="N9" s="132"/>
      <c r="O9" s="132"/>
      <c r="P9" s="132"/>
      <c r="Q9" s="132"/>
      <c r="R9" s="133">
        <f t="shared" si="0"/>
        <v>1</v>
      </c>
      <c r="S9" s="133">
        <f t="shared" si="1"/>
        <v>5</v>
      </c>
    </row>
    <row r="10" spans="1:22">
      <c r="A10" s="74">
        <v>9</v>
      </c>
      <c r="B10" s="75" t="str">
        <f>IF($V$4=0,IF($J10="","",$J10),IFERROR(IF([2]入库吨位汇总!$B$9=0,"",[2]入库吨位汇总!$B$9),""))</f>
        <v>聂新平</v>
      </c>
      <c r="C10" s="75" t="str">
        <f>IF($V$4=0,IF($K10="","",$K10),IFERROR(IF([2]入库吨位汇总!$C$9=0,"",[2]入库吨位汇总!$C$9),""))</f>
        <v>西梅</v>
      </c>
      <c r="D10" s="42">
        <f>IF($V$4=0,IF($L10="","",$L10),IFERROR(IF([2]入库吨位汇总!$D$9=0,"",[2]入库吨位汇总!$D$9),""))</f>
        <v>9692</v>
      </c>
      <c r="E10" s="42" t="str">
        <f>IF($V$4=0,IF($M10="","",$M10),IFERROR(IF([2]入库吨位汇总!$E$9=0,"",[2]入库吨位汇总!$E$9),""))</f>
        <v/>
      </c>
      <c r="F10" s="76">
        <f>IF($V$4=0,IF($N10="","",$N10),IFERROR(IF([2]入库吨位汇总!$K$9=0,"",[2]入库吨位汇总!$K$9),""))</f>
        <v>35336</v>
      </c>
      <c r="G10" s="122">
        <f>IF($V$4=0,IF($O10="","",$O10),IFERROR(IF([2]入库吨位汇总!$L$9=0,"",[2]入库吨位汇总!$L$9),""))</f>
        <v>35.336</v>
      </c>
      <c r="H10" s="76">
        <f>IF($V$4=0,IF($P10="","",$P10),IFERROR(IF([2]入库吨位汇总!$H$9=0,"",[2]入库吨位汇总!$H$9),""))</f>
        <v>35336</v>
      </c>
      <c r="I10" s="76" t="str">
        <f>IF($V$4=0,IF($Q10="","",$Q10),IFERROR(IF([2]入库吨位汇总!$I$9=0,"",[2]入库吨位汇总!$I$9),""))</f>
        <v/>
      </c>
      <c r="J10" s="116"/>
      <c r="K10" s="116"/>
      <c r="L10" s="131"/>
      <c r="M10" s="131"/>
      <c r="N10" s="132"/>
      <c r="O10" s="132"/>
      <c r="P10" s="132"/>
      <c r="Q10" s="132"/>
      <c r="R10" s="133">
        <f t="shared" si="0"/>
        <v>1</v>
      </c>
      <c r="S10" s="133">
        <f t="shared" si="1"/>
        <v>6</v>
      </c>
    </row>
    <row r="11" spans="1:22">
      <c r="A11" s="74">
        <v>10</v>
      </c>
      <c r="B11" s="75" t="str">
        <f>IF($V$4=0,IF($J11="","",$J11),IFERROR(IF([2]入库吨位汇总!$B$10=0,"",[2]入库吨位汇总!$B$10),""))</f>
        <v>马锦祥</v>
      </c>
      <c r="C11" s="75" t="str">
        <f>IF($V$4=0,IF($K11="","",$K11),IFERROR(IF([2]入库吨位汇总!$C$10=0,"",[2]入库吨位汇总!$C$10),""))</f>
        <v>香梨</v>
      </c>
      <c r="D11" s="42" t="str">
        <f>IF($V$4=0,IF($L11="","",$L11),IFERROR(IF([2]入库吨位汇总!$D$10=0,"",[2]入库吨位汇总!$D$10),""))</f>
        <v/>
      </c>
      <c r="E11" s="42">
        <f>IF($V$4=0,IF($M11="","",$M11),IFERROR(IF([2]入库吨位汇总!$E$10=0,"",[2]入库吨位汇总!$E$10),""))</f>
        <v>1900</v>
      </c>
      <c r="F11" s="76">
        <f>IF($V$4=0,IF($N11="","",$N11),IFERROR(IF([2]入库吨位汇总!$K$10=0,"",[2]入库吨位汇总!$K$10),""))</f>
        <v>35942</v>
      </c>
      <c r="G11" s="122">
        <f>IF($V$4=0,IF($O11="","",$O11),IFERROR(IF([2]入库吨位汇总!$L$10=0,"",[2]入库吨位汇总!$L$10),""))</f>
        <v>35.942</v>
      </c>
      <c r="H11" s="76" t="str">
        <f>IF($V$4=0,IF($P11="","",$P11),IFERROR(IF([2]入库吨位汇总!$H$10=0,"",[2]入库吨位汇总!$H$10),""))</f>
        <v/>
      </c>
      <c r="I11" s="76">
        <f>IF($V$4=0,IF($Q11="","",$Q11),IFERROR(IF([2]入库吨位汇总!$I$10=0,"",[2]入库吨位汇总!$I$10),""))</f>
        <v>35942</v>
      </c>
      <c r="J11" s="116"/>
      <c r="K11" s="116"/>
      <c r="L11" s="131"/>
      <c r="M11" s="131"/>
      <c r="N11" s="132"/>
      <c r="O11" s="132"/>
      <c r="P11" s="132"/>
      <c r="Q11" s="132"/>
      <c r="R11" s="133">
        <f t="shared" si="0"/>
        <v>1</v>
      </c>
      <c r="S11" s="133">
        <f t="shared" si="1"/>
        <v>7</v>
      </c>
    </row>
    <row r="12" spans="1:22">
      <c r="A12" s="74">
        <v>11</v>
      </c>
      <c r="B12" s="75" t="str">
        <f>IF($V$4=0,IF($J12="","",$J12),IFERROR(IF([2]入库吨位汇总!$B$11=0,"",[2]入库吨位汇总!$B$11),""))</f>
        <v>麦麦提</v>
      </c>
      <c r="C12" s="75" t="str">
        <f>IF($V$4=0,IF($K12="","",$K12),IFERROR(IF([2]入库吨位汇总!$C$11=0,"",[2]入库吨位汇总!$C$11),""))</f>
        <v>香梨</v>
      </c>
      <c r="D12" s="42" t="str">
        <f>IF($V$4=0,IF($L12="","",$L12),IFERROR(IF([2]入库吨位汇总!$D$11=0,"",[2]入库吨位汇总!$D$11),""))</f>
        <v/>
      </c>
      <c r="E12" s="42">
        <f>IF($V$4=0,IF($M12="","",$M12),IFERROR(IF([2]入库吨位汇总!$E$11=0,"",[2]入库吨位汇总!$E$11),""))</f>
        <v>2537</v>
      </c>
      <c r="F12" s="76">
        <f>IF($V$4=0,IF($N12="","",$N12),IFERROR(IF([2]入库吨位汇总!$K$11=0,"",[2]入库吨位汇总!$K$11),""))</f>
        <v>48999.1</v>
      </c>
      <c r="G12" s="122">
        <f>IF($V$4=0,IF($O12="","",$O12),IFERROR(IF([2]入库吨位汇总!$L$11=0,"",[2]入库吨位汇总!$L$11),""))</f>
        <v>48.999</v>
      </c>
      <c r="H12" s="76" t="str">
        <f>IF($V$4=0,IF($P12="","",$P12),IFERROR(IF([2]入库吨位汇总!$H$11=0,"",[2]入库吨位汇总!$H$11),""))</f>
        <v/>
      </c>
      <c r="I12" s="76">
        <f>IF($V$4=0,IF($Q12="","",$Q12),IFERROR(IF([2]入库吨位汇总!$I$11=0,"",[2]入库吨位汇总!$I$11),""))</f>
        <v>48999.1</v>
      </c>
      <c r="J12" s="116"/>
      <c r="K12" s="116"/>
      <c r="L12" s="131"/>
      <c r="M12" s="131"/>
      <c r="N12" s="132"/>
      <c r="O12" s="132"/>
      <c r="P12" s="132"/>
      <c r="Q12" s="132"/>
      <c r="R12" s="133">
        <f t="shared" si="0"/>
        <v>1</v>
      </c>
      <c r="S12" s="133">
        <f t="shared" si="1"/>
        <v>8</v>
      </c>
    </row>
    <row r="13" spans="1:22">
      <c r="A13" s="74">
        <v>12</v>
      </c>
      <c r="B13" s="75" t="str">
        <f>IF($V$4=0,IF($J13="","",$J13),IFERROR(IF([2]入库吨位汇总!$B$12=0,"",[2]入库吨位汇总!$B$12),""))</f>
        <v>吐尔洪</v>
      </c>
      <c r="C13" s="75" t="str">
        <f>IF($V$4=0,IF($K13="","",$K13),IFERROR(IF([2]入库吨位汇总!$C$12=0,"",[2]入库吨位汇总!$C$12),""))</f>
        <v>香梨</v>
      </c>
      <c r="D13" s="42" t="str">
        <f>IF($V$4=0,IF($L13="","",$L13),IFERROR(IF([2]入库吨位汇总!$D$12=0,"",[2]入库吨位汇总!$D$12),""))</f>
        <v/>
      </c>
      <c r="E13" s="42">
        <f>IF($V$4=0,IF($M13="","",$M13),IFERROR(IF([2]入库吨位汇总!$E$12=0,"",[2]入库吨位汇总!$E$12),""))</f>
        <v>1195</v>
      </c>
      <c r="F13" s="76">
        <f>IF($V$4=0,IF($N13="","",$N13),IFERROR(IF([2]入库吨位汇总!$K$12=0,"",[2]入库吨位汇总!$K$12),""))</f>
        <v>23604.5</v>
      </c>
      <c r="G13" s="122">
        <f>IF($V$4=0,IF($O13="","",$O13),IFERROR(IF([2]入库吨位汇总!$L$12=0,"",[2]入库吨位汇总!$L$12),""))</f>
        <v>23.605</v>
      </c>
      <c r="H13" s="76" t="str">
        <f>IF($V$4=0,IF($P13="","",$P13),IFERROR(IF([2]入库吨位汇总!$H$12=0,"",[2]入库吨位汇总!$H$12),""))</f>
        <v/>
      </c>
      <c r="I13" s="76">
        <f>IF($V$4=0,IF($Q13="","",$Q13),IFERROR(IF([2]入库吨位汇总!$I$12=0,"",[2]入库吨位汇总!$I$12),""))</f>
        <v>23604.5</v>
      </c>
      <c r="J13" s="116"/>
      <c r="K13" s="116"/>
      <c r="L13" s="131"/>
      <c r="M13" s="131"/>
      <c r="N13" s="132"/>
      <c r="O13" s="132"/>
      <c r="P13" s="132"/>
      <c r="Q13" s="132"/>
      <c r="R13" s="133">
        <f t="shared" si="0"/>
        <v>1</v>
      </c>
      <c r="S13" s="133">
        <f t="shared" si="1"/>
        <v>9</v>
      </c>
    </row>
    <row r="14" spans="1:22">
      <c r="A14" s="74">
        <v>13</v>
      </c>
      <c r="B14" s="75" t="str">
        <f>IF($V$4=0,IF($J14="","",$J14),IFERROR(IF([2]入库吨位汇总!$B$13=0,"",[2]入库吨位汇总!$B$13),""))</f>
        <v>热合曼</v>
      </c>
      <c r="C14" s="75" t="str">
        <f>IF($V$4=0,IF($K14="","",$K14),IFERROR(IF([2]入库吨位汇总!$C$13=0,"",[2]入库吨位汇总!$C$13),""))</f>
        <v>香梨</v>
      </c>
      <c r="D14" s="42" t="str">
        <f>IF($V$4=0,IF($L14="","",$L14),IFERROR(IF([2]入库吨位汇总!$D$13=0,"",[2]入库吨位汇总!$D$13),""))</f>
        <v/>
      </c>
      <c r="E14" s="42">
        <f>IF($V$4=0,IF($M14="","",$M14),IFERROR(IF([2]入库吨位汇总!$E$13=0,"",[2]入库吨位汇总!$E$13),""))</f>
        <v>1521</v>
      </c>
      <c r="F14" s="76">
        <f>IF($V$4=0,IF($N14="","",$N14),IFERROR(IF([2]入库吨位汇总!$K$13=0,"",[2]入库吨位汇总!$K$13),""))</f>
        <v>29445.3</v>
      </c>
      <c r="G14" s="122">
        <f>IF($V$4=0,IF($O14="","",$O14),IFERROR(IF([2]入库吨位汇总!$L$13=0,"",[2]入库吨位汇总!$L$13),""))</f>
        <v>29.445</v>
      </c>
      <c r="H14" s="76" t="str">
        <f>IF($V$4=0,IF($P14="","",$P14),IFERROR(IF([2]入库吨位汇总!$H$13=0,"",[2]入库吨位汇总!$H$13),""))</f>
        <v/>
      </c>
      <c r="I14" s="76">
        <f>IF($V$4=0,IF($Q14="","",$Q14),IFERROR(IF([2]入库吨位汇总!$I$13=0,"",[2]入库吨位汇总!$I$13),""))</f>
        <v>29445.3</v>
      </c>
      <c r="J14" s="116"/>
      <c r="K14" s="116"/>
      <c r="L14" s="131"/>
      <c r="M14" s="131"/>
      <c r="N14" s="132"/>
      <c r="O14" s="132"/>
      <c r="P14" s="132"/>
      <c r="Q14" s="132"/>
      <c r="R14" s="133">
        <f t="shared" si="0"/>
        <v>1</v>
      </c>
      <c r="S14" s="133">
        <f t="shared" si="1"/>
        <v>10</v>
      </c>
    </row>
    <row r="15" spans="1:22">
      <c r="A15" s="74">
        <v>14</v>
      </c>
      <c r="B15" s="75" t="str">
        <f>IF($V$4=0,IF($J15="","",$J15),IFERROR(IF([2]入库吨位汇总!$B$14=0,"",[2]入库吨位汇总!$B$14),""))</f>
        <v>贾建国</v>
      </c>
      <c r="C15" s="75" t="str">
        <f>IF($V$4=0,IF($K15="","",$K15),IFERROR(IF([2]入库吨位汇总!$C$14=0,"",[2]入库吨位汇总!$C$14),""))</f>
        <v>香梨</v>
      </c>
      <c r="D15" s="42" t="str">
        <f>IF($V$4=0,IF($L15="","",$L15),IFERROR(IF([2]入库吨位汇总!$D$14=0,"",[2]入库吨位汇总!$D$14),""))</f>
        <v/>
      </c>
      <c r="E15" s="42">
        <f>IF($V$4=0,IF($M15="","",$M15),IFERROR(IF([2]入库吨位汇总!$E$14=0,"",[2]入库吨位汇总!$E$14),""))</f>
        <v>1265</v>
      </c>
      <c r="F15" s="76">
        <f>IF($V$4=0,IF($N15="","",$N15),IFERROR(IF([2]入库吨位汇总!$K$14=0,"",[2]入库吨位汇总!$K$14),""))</f>
        <v>25784.1</v>
      </c>
      <c r="G15" s="122">
        <f>IF($V$4=0,IF($O15="","",$O15),IFERROR(IF([2]入库吨位汇总!$L$14=0,"",[2]入库吨位汇总!$L$14),""))</f>
        <v>25.784</v>
      </c>
      <c r="H15" s="76" t="str">
        <f>IF($V$4=0,IF($P15="","",$P15),IFERROR(IF([2]入库吨位汇总!$H$14=0,"",[2]入库吨位汇总!$H$14),""))</f>
        <v/>
      </c>
      <c r="I15" s="76">
        <f>IF($V$4=0,IF($Q15="","",$Q15),IFERROR(IF([2]入库吨位汇总!$I$14=0,"",[2]入库吨位汇总!$I$14),""))</f>
        <v>25784.1</v>
      </c>
      <c r="J15" s="116"/>
      <c r="K15" s="116"/>
      <c r="L15" s="131"/>
      <c r="M15" s="131"/>
      <c r="N15" s="132"/>
      <c r="O15" s="132"/>
      <c r="P15" s="132"/>
      <c r="Q15" s="132"/>
      <c r="R15" s="133">
        <f t="shared" si="0"/>
        <v>1</v>
      </c>
      <c r="S15" s="133">
        <f t="shared" si="1"/>
        <v>11</v>
      </c>
    </row>
    <row r="16" spans="1:22">
      <c r="A16" s="74">
        <v>15</v>
      </c>
      <c r="B16" s="75" t="str">
        <f>IF($V$4=0,IF($J16="","",$J16),IFERROR(IF([2]入库吨位汇总!$B$15=0,"",[2]入库吨位汇总!$B$15),""))</f>
        <v>王灵云</v>
      </c>
      <c r="C16" s="75" t="str">
        <f>IF($V$4=0,IF($K16="","",$K16),IFERROR(IF([2]入库吨位汇总!$C$15=0,"",[2]入库吨位汇总!$C$15),""))</f>
        <v>香梨</v>
      </c>
      <c r="D16" s="42">
        <f>IF($V$4=0,IF($L16="","",$L16),IFERROR(IF([2]入库吨位汇总!$D$15=0,"",[2]入库吨位汇总!$D$15),""))</f>
        <v>1037</v>
      </c>
      <c r="E16" s="42" t="str">
        <f>IF($V$4=0,IF($M16="","",$M16),IFERROR(IF([2]入库吨位汇总!$E$15=0,"",[2]入库吨位汇总!$E$15),""))</f>
        <v/>
      </c>
      <c r="F16" s="76">
        <f>IF($V$4=0,IF($N16="","",$N16),IFERROR(IF([2]入库吨位汇总!$K$15=0,"",[2]入库吨位汇总!$K$15),""))</f>
        <v>19557.1</v>
      </c>
      <c r="G16" s="122">
        <f>IF($V$4=0,IF($O16="","",$O16),IFERROR(IF([2]入库吨位汇总!$L$15=0,"",[2]入库吨位汇总!$L$15),""))</f>
        <v>19.557</v>
      </c>
      <c r="H16" s="76">
        <f>IF($V$4=0,IF($P16="","",$P16),IFERROR(IF([2]入库吨位汇总!$H$15=0,"",[2]入库吨位汇总!$H$15),""))</f>
        <v>19557.1</v>
      </c>
      <c r="I16" s="76" t="str">
        <f>IF($V$4=0,IF($Q16="","",$Q16),IFERROR(IF([2]入库吨位汇总!$I$15=0,"",[2]入库吨位汇总!$I$15),""))</f>
        <v/>
      </c>
      <c r="J16" s="116"/>
      <c r="K16" s="116"/>
      <c r="L16" s="131"/>
      <c r="M16" s="131"/>
      <c r="N16" s="132"/>
      <c r="O16" s="132"/>
      <c r="P16" s="132"/>
      <c r="Q16" s="132"/>
      <c r="R16" s="133">
        <f t="shared" si="0"/>
        <v>1</v>
      </c>
      <c r="S16" s="133">
        <f t="shared" si="1"/>
        <v>12</v>
      </c>
    </row>
    <row r="17" spans="1:19">
      <c r="A17" s="74">
        <v>16</v>
      </c>
      <c r="B17" s="75" t="str">
        <f>IF($V$4=0,IF($J17="","",$J17),IFERROR(IF([2]入库吨位汇总!$B$16=0,"",[2]入库吨位汇总!$B$16),""))</f>
        <v>杨艳玲</v>
      </c>
      <c r="C17" s="75" t="str">
        <f>IF($V$4=0,IF($K17="","",$K17),IFERROR(IF([2]入库吨位汇总!$C$16=0,"",[2]入库吨位汇总!$C$16),""))</f>
        <v>香梨</v>
      </c>
      <c r="D17" s="42">
        <f>IF($V$4=0,IF($L17="","",$L17),IFERROR(IF([2]入库吨位汇总!$D$16=0,"",[2]入库吨位汇总!$D$16),""))</f>
        <v>104</v>
      </c>
      <c r="E17" s="42" t="str">
        <f>IF($V$4=0,IF($M17="","",$M17),IFERROR(IF([2]入库吨位汇总!$E$16=0,"",[2]入库吨位汇总!$E$16),""))</f>
        <v/>
      </c>
      <c r="F17" s="76">
        <f>IF($V$4=0,IF($N17="","",$N17),IFERROR(IF([2]入库吨位汇总!$K$16=0,"",[2]入库吨位汇总!$K$16),""))</f>
        <v>1799.2</v>
      </c>
      <c r="G17" s="122">
        <f>IF($V$4=0,IF($O17="","",$O17),IFERROR(IF([2]入库吨位汇总!$L$16=0,"",[2]入库吨位汇总!$L$16),""))</f>
        <v>1.799</v>
      </c>
      <c r="H17" s="76">
        <f>IF($V$4=0,IF($P17="","",$P17),IFERROR(IF([2]入库吨位汇总!$H$16=0,"",[2]入库吨位汇总!$H$16),""))</f>
        <v>1799.2</v>
      </c>
      <c r="I17" s="76" t="str">
        <f>IF($V$4=0,IF($Q17="","",$Q17),IFERROR(IF([2]入库吨位汇总!$I$16=0,"",[2]入库吨位汇总!$I$16),""))</f>
        <v/>
      </c>
      <c r="J17" s="116"/>
      <c r="K17" s="116"/>
      <c r="L17" s="131"/>
      <c r="M17" s="131"/>
      <c r="N17" s="132"/>
      <c r="O17" s="132"/>
      <c r="P17" s="132"/>
      <c r="Q17" s="132"/>
      <c r="R17" s="133">
        <f t="shared" si="0"/>
        <v>1</v>
      </c>
      <c r="S17" s="133">
        <f t="shared" si="1"/>
        <v>13</v>
      </c>
    </row>
    <row r="18" spans="1:19">
      <c r="A18" s="74">
        <v>17</v>
      </c>
      <c r="B18" s="75" t="str">
        <f>IF($V$4=0,IF($J18="","",$J18),IFERROR(IF([2]入库吨位汇总!$B$17=0,"",[2]入库吨位汇总!$B$17),""))</f>
        <v>荆建君</v>
      </c>
      <c r="C18" s="75" t="str">
        <f>IF($V$4=0,IF($K18="","",$K18),IFERROR(IF([2]入库吨位汇总!$C$17=0,"",[2]入库吨位汇总!$C$17),""))</f>
        <v>香梨</v>
      </c>
      <c r="D18" s="42" t="str">
        <f>IF($V$4=0,IF($L18="","",$L18),IFERROR(IF([2]入库吨位汇总!$D$17=0,"",[2]入库吨位汇总!$D$17),""))</f>
        <v/>
      </c>
      <c r="E18" s="42">
        <f>IF($V$4=0,IF($M18="","",$M18),IFERROR(IF([2]入库吨位汇总!$E$17=0,"",[2]入库吨位汇总!$E$17),""))</f>
        <v>1216</v>
      </c>
      <c r="F18" s="76">
        <f>IF($V$4=0,IF($N18="","",$N18),IFERROR(IF([2]入库吨位汇总!$K$17=0,"",[2]入库吨位汇总!$K$17),""))</f>
        <v>22252.8</v>
      </c>
      <c r="G18" s="122">
        <f>IF($V$4=0,IF($O18="","",$O18),IFERROR(IF([2]入库吨位汇总!$L$17=0,"",[2]入库吨位汇总!$L$17),""))</f>
        <v>22.253</v>
      </c>
      <c r="H18" s="76" t="str">
        <f>IF($V$4=0,IF($P18="","",$P18),IFERROR(IF([2]入库吨位汇总!$H$17=0,"",[2]入库吨位汇总!$H$17),""))</f>
        <v/>
      </c>
      <c r="I18" s="76">
        <f>IF($V$4=0,IF($Q18="","",$Q18),IFERROR(IF([2]入库吨位汇总!$I$17=0,"",[2]入库吨位汇总!$I$17),""))</f>
        <v>22252.8</v>
      </c>
      <c r="J18" s="116"/>
      <c r="K18" s="116"/>
      <c r="L18" s="131"/>
      <c r="M18" s="131"/>
      <c r="N18" s="132"/>
      <c r="O18" s="132"/>
      <c r="P18" s="132"/>
      <c r="Q18" s="132"/>
      <c r="R18" s="133">
        <f t="shared" si="0"/>
        <v>1</v>
      </c>
      <c r="S18" s="133">
        <f t="shared" si="1"/>
        <v>14</v>
      </c>
    </row>
    <row r="19" spans="1:19">
      <c r="A19" s="74">
        <v>18</v>
      </c>
      <c r="B19" s="75" t="str">
        <f>IF($V$4=0,IF($J19="","",$J19),IFERROR(IF([2]入库吨位汇总!$B$18=0,"",[2]入库吨位汇总!$B$18),""))</f>
        <v>王照雪</v>
      </c>
      <c r="C19" s="75" t="str">
        <f>IF($V$4=0,IF($K19="","",$K19),IFERROR(IF([2]入库吨位汇总!$C$18=0,"",[2]入库吨位汇总!$C$18),""))</f>
        <v>香梨</v>
      </c>
      <c r="D19" s="42" t="str">
        <f>IF($V$4=0,IF($L19="","",$L19),IFERROR(IF([2]入库吨位汇总!$D$18=0,"",[2]入库吨位汇总!$D$18),""))</f>
        <v/>
      </c>
      <c r="E19" s="42">
        <f>IF($V$4=0,IF($M19="","",$M19),IFERROR(IF([2]入库吨位汇总!$E$18=0,"",[2]入库吨位汇总!$E$18),""))</f>
        <v>543</v>
      </c>
      <c r="F19" s="76">
        <f>IF($V$4=0,IF($N19="","",$N19),IFERROR(IF([2]入库吨位汇总!$K$18=0,"",[2]入库吨位汇总!$K$18),""))</f>
        <v>10149.5</v>
      </c>
      <c r="G19" s="122">
        <f>IF($V$4=0,IF($O19="","",$O19),IFERROR(IF([2]入库吨位汇总!$L$18=0,"",[2]入库吨位汇总!$L$18),""))</f>
        <v>10.15</v>
      </c>
      <c r="H19" s="76" t="str">
        <f>IF($V$4=0,IF($P19="","",$P19),IFERROR(IF([2]入库吨位汇总!$H$18=0,"",[2]入库吨位汇总!$H$18),""))</f>
        <v/>
      </c>
      <c r="I19" s="76">
        <f>IF($V$4=0,IF($Q19="","",$Q19),IFERROR(IF([2]入库吨位汇总!$I$18=0,"",[2]入库吨位汇总!$I$18),""))</f>
        <v>10149.5</v>
      </c>
      <c r="J19" s="116"/>
      <c r="K19" s="116"/>
      <c r="L19" s="131"/>
      <c r="M19" s="131"/>
      <c r="N19" s="132"/>
      <c r="O19" s="132"/>
      <c r="P19" s="132"/>
      <c r="Q19" s="132"/>
      <c r="R19" s="133">
        <f t="shared" si="0"/>
        <v>1</v>
      </c>
      <c r="S19" s="133">
        <f t="shared" si="1"/>
        <v>15</v>
      </c>
    </row>
    <row r="20" spans="1:19">
      <c r="A20" s="74">
        <v>19</v>
      </c>
      <c r="B20" s="75" t="str">
        <f>IF($V$4=0,IF($J20="","",$J20),IFERROR(IF([2]入库吨位汇总!$B$19=0,"",[2]入库吨位汇总!$B$19),""))</f>
        <v>努尔敦</v>
      </c>
      <c r="C20" s="75" t="str">
        <f>IF($V$4=0,IF($K20="","",$K20),IFERROR(IF([2]入库吨位汇总!$C$19=0,"",[2]入库吨位汇总!$C$19),""))</f>
        <v>香梨</v>
      </c>
      <c r="D20" s="42" t="str">
        <f>IF($V$4=0,IF($L20="","",$L20),IFERROR(IF([2]入库吨位汇总!$D$19=0,"",[2]入库吨位汇总!$D$19),""))</f>
        <v/>
      </c>
      <c r="E20" s="42">
        <f>IF($V$4=0,IF($M20="","",$M20),IFERROR(IF([2]入库吨位汇总!$E$19=0,"",[2]入库吨位汇总!$E$19),""))</f>
        <v>1290</v>
      </c>
      <c r="F20" s="76">
        <f>IF($V$4=0,IF($N20="","",$N20),IFERROR(IF([2]入库吨位汇总!$K$19=0,"",[2]入库吨位汇总!$K$19),""))</f>
        <v>25351</v>
      </c>
      <c r="G20" s="122">
        <f>IF($V$4=0,IF($O20="","",$O20),IFERROR(IF([2]入库吨位汇总!$L$19=0,"",[2]入库吨位汇总!$L$19),""))</f>
        <v>25.351</v>
      </c>
      <c r="H20" s="76" t="str">
        <f>IF($V$4=0,IF($P20="","",$P20),IFERROR(IF([2]入库吨位汇总!$H$19=0,"",[2]入库吨位汇总!$H$19),""))</f>
        <v/>
      </c>
      <c r="I20" s="76">
        <f>IF($V$4=0,IF($Q20="","",$Q20),IFERROR(IF([2]入库吨位汇总!$I$19=0,"",[2]入库吨位汇总!$I$19),""))</f>
        <v>25351</v>
      </c>
      <c r="J20" s="116"/>
      <c r="K20" s="116"/>
      <c r="L20" s="131"/>
      <c r="M20" s="131"/>
      <c r="N20" s="132"/>
      <c r="O20" s="132"/>
      <c r="P20" s="132"/>
      <c r="Q20" s="132"/>
      <c r="R20" s="133">
        <f t="shared" si="0"/>
        <v>1</v>
      </c>
      <c r="S20" s="133">
        <f t="shared" si="1"/>
        <v>16</v>
      </c>
    </row>
    <row r="21" spans="1:19">
      <c r="A21" s="74">
        <v>20</v>
      </c>
      <c r="B21" s="75" t="str">
        <f>IF($V$4=0,IF($J21="","",$J21),IFERROR(IF([2]入库吨位汇总!$B$20=0,"",[2]入库吨位汇总!$B$20),""))</f>
        <v>王浩</v>
      </c>
      <c r="C21" s="75" t="str">
        <f>IF($V$4=0,IF($K21="","",$K21),IFERROR(IF([2]入库吨位汇总!$C$20=0,"",[2]入库吨位汇总!$C$20),""))</f>
        <v>香梨</v>
      </c>
      <c r="D21" s="42" t="str">
        <f>IF($V$4=0,IF($L21="","",$L21),IFERROR(IF([2]入库吨位汇总!$D$20=0,"",[2]入库吨位汇总!$D$20),""))</f>
        <v/>
      </c>
      <c r="E21" s="42">
        <f>IF($V$4=0,IF($M21="","",$M21),IFERROR(IF([2]入库吨位汇总!$E$20=0,"",[2]入库吨位汇总!$E$20),""))</f>
        <v>1184</v>
      </c>
      <c r="F21" s="76">
        <f>IF($V$4=0,IF($N21="","",$N21),IFERROR(IF([2]入库吨位汇总!$K$20=0,"",[2]入库吨位汇总!$K$20),""))</f>
        <v>21667.2</v>
      </c>
      <c r="G21" s="122">
        <f>IF($V$4=0,IF($O21="","",$O21),IFERROR(IF([2]入库吨位汇总!$L$20=0,"",[2]入库吨位汇总!$L$20),""))</f>
        <v>21.667</v>
      </c>
      <c r="H21" s="76" t="str">
        <f>IF($V$4=0,IF($P21="","",$P21),IFERROR(IF([2]入库吨位汇总!$H$20=0,"",[2]入库吨位汇总!$H$20),""))</f>
        <v/>
      </c>
      <c r="I21" s="76">
        <f>IF($V$4=0,IF($Q21="","",$Q21),IFERROR(IF([2]入库吨位汇总!$I$20=0,"",[2]入库吨位汇总!$I$20),""))</f>
        <v>21667.2</v>
      </c>
      <c r="J21" s="116"/>
      <c r="K21" s="116"/>
      <c r="L21" s="131"/>
      <c r="M21" s="131"/>
      <c r="N21" s="132"/>
      <c r="O21" s="132"/>
      <c r="P21" s="132"/>
      <c r="Q21" s="132"/>
      <c r="R21" s="133">
        <f t="shared" si="0"/>
        <v>1</v>
      </c>
      <c r="S21" s="133">
        <f t="shared" si="1"/>
        <v>17</v>
      </c>
    </row>
    <row r="22" spans="1:19">
      <c r="A22" s="74">
        <v>21</v>
      </c>
      <c r="B22" s="75" t="str">
        <f>IF($V$4=0,IF($J22="","",$J22),IFERROR(IF([2]入库吨位汇总!$B$21=0,"",[2]入库吨位汇总!$B$21),""))</f>
        <v/>
      </c>
      <c r="C22" s="75" t="str">
        <f>IF($V$4=0,IF($K22="","",$K22),IFERROR(IF([2]入库吨位汇总!$C$21=0,"",[2]入库吨位汇总!$C$21),""))</f>
        <v/>
      </c>
      <c r="D22" s="42" t="str">
        <f>IF($V$4=0,IF($L22="","",$L22),IFERROR(IF([2]入库吨位汇总!$D$21=0,"",[2]入库吨位汇总!$D$21),""))</f>
        <v/>
      </c>
      <c r="E22" s="42" t="str">
        <f>IF($V$4=0,IF($M22="","",$M22),IFERROR(IF([2]入库吨位汇总!$E$21=0,"",[2]入库吨位汇总!$E$21),""))</f>
        <v/>
      </c>
      <c r="F22" s="76" t="str">
        <f>IF($V$4=0,IF($N22="","",$N22),IFERROR(IF([2]入库吨位汇总!$K$21=0,"",[2]入库吨位汇总!$K$21),""))</f>
        <v/>
      </c>
      <c r="G22" s="122" t="str">
        <f>IF($V$4=0,IF($O22="","",$O22),IFERROR(IF([2]入库吨位汇总!$L$21=0,"",[2]入库吨位汇总!$L$21),""))</f>
        <v/>
      </c>
      <c r="H22" s="76" t="str">
        <f>IF($V$4=0,IF($P22="","",$P22),IFERROR(IF([2]入库吨位汇总!$H$21=0,"",[2]入库吨位汇总!$H$21),""))</f>
        <v/>
      </c>
      <c r="I22" s="76" t="str">
        <f>IF($V$4=0,IF($Q22="","",$Q22),IFERROR(IF([2]入库吨位汇总!$I$21=0,"",[2]入库吨位汇总!$I$21),""))</f>
        <v/>
      </c>
      <c r="J22" s="116"/>
      <c r="K22" s="116"/>
      <c r="L22" s="131"/>
      <c r="M22" s="131"/>
      <c r="N22" s="132"/>
      <c r="O22" s="132"/>
      <c r="P22" s="132"/>
      <c r="Q22" s="132"/>
      <c r="R22" s="133">
        <f t="shared" si="0"/>
        <v>0</v>
      </c>
      <c r="S22" s="133">
        <f t="shared" si="1"/>
        <v>17</v>
      </c>
    </row>
    <row r="23" spans="1:19">
      <c r="A23" s="74">
        <v>22</v>
      </c>
      <c r="B23" s="75" t="str">
        <f>IF($V$4=0,IF($J23="","",$J23),IFERROR(IF([2]入库吨位汇总!$B$22=0,"",[2]入库吨位汇总!$B$22),""))</f>
        <v/>
      </c>
      <c r="C23" s="75" t="str">
        <f>IF($V$4=0,IF($K23="","",$K23),IFERROR(IF([2]入库吨位汇总!$C$22=0,"",[2]入库吨位汇总!$C$22),""))</f>
        <v/>
      </c>
      <c r="D23" s="42" t="str">
        <f>IF($V$4=0,IF($L23="","",$L23),IFERROR(IF([2]入库吨位汇总!$D$22=0,"",[2]入库吨位汇总!$D$22),""))</f>
        <v/>
      </c>
      <c r="E23" s="42" t="str">
        <f>IF($V$4=0,IF($M23="","",$M23),IFERROR(IF([2]入库吨位汇总!$E$22=0,"",[2]入库吨位汇总!$E$22),""))</f>
        <v/>
      </c>
      <c r="F23" s="76" t="str">
        <f>IF($V$4=0,IF($N23="","",$N23),IFERROR(IF([2]入库吨位汇总!$K$22=0,"",[2]入库吨位汇总!$K$22),""))</f>
        <v/>
      </c>
      <c r="G23" s="122" t="str">
        <f>IF($V$4=0,IF($O23="","",$O23),IFERROR(IF([2]入库吨位汇总!$L$22=0,"",[2]入库吨位汇总!$L$22),""))</f>
        <v/>
      </c>
      <c r="H23" s="76" t="str">
        <f>IF($V$4=0,IF($P23="","",$P23),IFERROR(IF([2]入库吨位汇总!$H$22=0,"",[2]入库吨位汇总!$H$22),""))</f>
        <v/>
      </c>
      <c r="I23" s="76" t="str">
        <f>IF($V$4=0,IF($Q23="","",$Q23),IFERROR(IF([2]入库吨位汇总!$I$22=0,"",[2]入库吨位汇总!$I$22),""))</f>
        <v/>
      </c>
      <c r="J23" s="116"/>
      <c r="K23" s="116"/>
      <c r="L23" s="131"/>
      <c r="M23" s="131"/>
      <c r="N23" s="132"/>
      <c r="O23" s="132"/>
      <c r="P23" s="132"/>
      <c r="Q23" s="132"/>
      <c r="R23" s="133">
        <f t="shared" si="0"/>
        <v>0</v>
      </c>
      <c r="S23" s="133">
        <f t="shared" si="1"/>
        <v>17</v>
      </c>
    </row>
    <row r="24" spans="1:19">
      <c r="A24" s="74">
        <v>23</v>
      </c>
      <c r="B24" s="75" t="str">
        <f>IF($V$4=0,IF($J24="","",$J24),IFERROR(IF([2]入库吨位汇总!$B$23=0,"",[2]入库吨位汇总!$B$23),""))</f>
        <v/>
      </c>
      <c r="C24" s="75" t="str">
        <f>IF($V$4=0,IF($K24="","",$K24),IFERROR(IF([2]入库吨位汇总!$C$23=0,"",[2]入库吨位汇总!$C$23),""))</f>
        <v/>
      </c>
      <c r="D24" s="42" t="str">
        <f>IF($V$4=0,IF($L24="","",$L24),IFERROR(IF([2]入库吨位汇总!$D$23=0,"",[2]入库吨位汇总!$D$23),""))</f>
        <v/>
      </c>
      <c r="E24" s="42" t="str">
        <f>IF($V$4=0,IF($M24="","",$M24),IFERROR(IF([2]入库吨位汇总!$E$23=0,"",[2]入库吨位汇总!$E$23),""))</f>
        <v/>
      </c>
      <c r="F24" s="76" t="str">
        <f>IF($V$4=0,IF($N24="","",$N24),IFERROR(IF([2]入库吨位汇总!$K$23=0,"",[2]入库吨位汇总!$K$23),""))</f>
        <v/>
      </c>
      <c r="G24" s="122" t="str">
        <f>IF($V$4=0,IF($O24="","",$O24),IFERROR(IF([2]入库吨位汇总!$L$23=0,"",[2]入库吨位汇总!$L$23),""))</f>
        <v/>
      </c>
      <c r="H24" s="76" t="str">
        <f>IF($V$4=0,IF($P24="","",$P24),IFERROR(IF([2]入库吨位汇总!$H$23=0,"",[2]入库吨位汇总!$H$23),""))</f>
        <v/>
      </c>
      <c r="I24" s="76" t="str">
        <f>IF($V$4=0,IF($Q24="","",$Q24),IFERROR(IF([2]入库吨位汇总!$I$23=0,"",[2]入库吨位汇总!$I$23),""))</f>
        <v/>
      </c>
      <c r="J24" s="116"/>
      <c r="K24" s="116"/>
      <c r="L24" s="131"/>
      <c r="M24" s="131"/>
      <c r="N24" s="132"/>
      <c r="O24" s="132"/>
      <c r="P24" s="132"/>
      <c r="Q24" s="132"/>
      <c r="R24" s="133">
        <f t="shared" si="0"/>
        <v>0</v>
      </c>
      <c r="S24" s="133">
        <f t="shared" si="1"/>
        <v>17</v>
      </c>
    </row>
    <row r="25" spans="1:19">
      <c r="A25" s="74">
        <v>24</v>
      </c>
      <c r="B25" s="75" t="str">
        <f>IF($V$4=0,IF($J25="","",$J25),IFERROR(IF([2]入库吨位汇总!$B$24=0,"",[2]入库吨位汇总!$B$24),""))</f>
        <v/>
      </c>
      <c r="C25" s="75" t="str">
        <f>IF($V$4=0,IF($K25="","",$K25),IFERROR(IF([2]入库吨位汇总!$C$24=0,"",[2]入库吨位汇总!$C$24),""))</f>
        <v/>
      </c>
      <c r="D25" s="42" t="str">
        <f>IF($V$4=0,IF($L25="","",$L25),IFERROR(IF([2]入库吨位汇总!$D$24=0,"",[2]入库吨位汇总!$D$24),""))</f>
        <v/>
      </c>
      <c r="E25" s="42" t="str">
        <f>IF($V$4=0,IF($M25="","",$M25),IFERROR(IF([2]入库吨位汇总!$E$24=0,"",[2]入库吨位汇总!$E$24),""))</f>
        <v/>
      </c>
      <c r="F25" s="76" t="str">
        <f>IF($V$4=0,IF($N25="","",$N25),IFERROR(IF([2]入库吨位汇总!$K$24=0,"",[2]入库吨位汇总!$K$24),""))</f>
        <v/>
      </c>
      <c r="G25" s="122" t="str">
        <f>IF($V$4=0,IF($O25="","",$O25),IFERROR(IF([2]入库吨位汇总!$L$24=0,"",[2]入库吨位汇总!$L$24),""))</f>
        <v/>
      </c>
      <c r="H25" s="76" t="str">
        <f>IF($V$4=0,IF($P25="","",$P25),IFERROR(IF([2]入库吨位汇总!$H$24=0,"",[2]入库吨位汇总!$H$24),""))</f>
        <v/>
      </c>
      <c r="I25" s="76" t="str">
        <f>IF($V$4=0,IF($Q25="","",$Q25),IFERROR(IF([2]入库吨位汇总!$I$24=0,"",[2]入库吨位汇总!$I$24),""))</f>
        <v/>
      </c>
      <c r="J25" s="116"/>
      <c r="K25" s="116"/>
      <c r="L25" s="131"/>
      <c r="M25" s="131"/>
      <c r="N25" s="132"/>
      <c r="O25" s="132"/>
      <c r="P25" s="132"/>
      <c r="Q25" s="132"/>
      <c r="R25" s="133">
        <f t="shared" si="0"/>
        <v>0</v>
      </c>
      <c r="S25" s="133">
        <f t="shared" si="1"/>
        <v>17</v>
      </c>
    </row>
    <row r="26" spans="1:19">
      <c r="A26" s="74">
        <v>25</v>
      </c>
      <c r="B26" s="75" t="str">
        <f>IF($V$4=0,IF($J26="","",$J26),IFERROR(IF([2]入库吨位汇总!$B$25=0,"",[2]入库吨位汇总!$B$25),""))</f>
        <v/>
      </c>
      <c r="C26" s="75" t="str">
        <f>IF($V$4=0,IF($K26="","",$K26),IFERROR(IF([2]入库吨位汇总!$C$25=0,"",[2]入库吨位汇总!$C$25),""))</f>
        <v/>
      </c>
      <c r="D26" s="42" t="str">
        <f>IF($V$4=0,IF($L26="","",$L26),IFERROR(IF([2]入库吨位汇总!$D$25=0,"",[2]入库吨位汇总!$D$25),""))</f>
        <v/>
      </c>
      <c r="E26" s="42" t="str">
        <f>IF($V$4=0,IF($M26="","",$M26),IFERROR(IF([2]入库吨位汇总!$E$25=0,"",[2]入库吨位汇总!$E$25),""))</f>
        <v/>
      </c>
      <c r="F26" s="76" t="str">
        <f>IF($V$4=0,IF($N26="","",$N26),IFERROR(IF([2]入库吨位汇总!$K$25=0,"",[2]入库吨位汇总!$K$25),""))</f>
        <v/>
      </c>
      <c r="G26" s="122" t="str">
        <f>IF($V$4=0,IF($O26="","",$O26),IFERROR(IF([2]入库吨位汇总!$L$25=0,"",[2]入库吨位汇总!$L$25),""))</f>
        <v/>
      </c>
      <c r="H26" s="76" t="str">
        <f>IF($V$4=0,IF($P26="","",$P26),IFERROR(IF([2]入库吨位汇总!$H$25=0,"",[2]入库吨位汇总!$H$25),""))</f>
        <v/>
      </c>
      <c r="I26" s="76" t="str">
        <f>IF($V$4=0,IF($Q26="","",$Q26),IFERROR(IF([2]入库吨位汇总!$I$25=0,"",[2]入库吨位汇总!$I$25),""))</f>
        <v/>
      </c>
      <c r="J26" s="116"/>
      <c r="K26" s="116"/>
      <c r="L26" s="131"/>
      <c r="M26" s="131"/>
      <c r="N26" s="132"/>
      <c r="O26" s="132"/>
      <c r="P26" s="132"/>
      <c r="Q26" s="132"/>
      <c r="R26" s="133">
        <f t="shared" si="0"/>
        <v>0</v>
      </c>
      <c r="S26" s="133">
        <f t="shared" si="1"/>
        <v>17</v>
      </c>
    </row>
    <row r="27" spans="1:19">
      <c r="A27" s="74">
        <v>26</v>
      </c>
      <c r="B27" s="75" t="str">
        <f>IF($V$4=0,IF($J27="","",$J27),IFERROR(IF([2]入库吨位汇总!$B$26=0,"",[2]入库吨位汇总!$B$26),""))</f>
        <v/>
      </c>
      <c r="C27" s="75" t="str">
        <f>IF($V$4=0,IF($K27="","",$K27),IFERROR(IF([2]入库吨位汇总!$C$26=0,"",[2]入库吨位汇总!$C$26),""))</f>
        <v/>
      </c>
      <c r="D27" s="42" t="str">
        <f>IF($V$4=0,IF($L27="","",$L27),IFERROR(IF([2]入库吨位汇总!$D$26=0,"",[2]入库吨位汇总!$D$26),""))</f>
        <v/>
      </c>
      <c r="E27" s="42" t="str">
        <f>IF($V$4=0,IF($M27="","",$M27),IFERROR(IF([2]入库吨位汇总!$E$26=0,"",[2]入库吨位汇总!$E$26),""))</f>
        <v/>
      </c>
      <c r="F27" s="76" t="str">
        <f>IF($V$4=0,IF($N27="","",$N27),IFERROR(IF([2]入库吨位汇总!$K$26=0,"",[2]入库吨位汇总!$K$26),""))</f>
        <v/>
      </c>
      <c r="G27" s="122" t="str">
        <f>IF($V$4=0,IF($O27="","",$O27),IFERROR(IF([2]入库吨位汇总!$L$26=0,"",[2]入库吨位汇总!$L$26),""))</f>
        <v/>
      </c>
      <c r="H27" s="76" t="str">
        <f>IF($V$4=0,IF($P27="","",$P27),IFERROR(IF([2]入库吨位汇总!$H$26=0,"",[2]入库吨位汇总!$H$26),""))</f>
        <v/>
      </c>
      <c r="I27" s="76" t="str">
        <f>IF($V$4=0,IF($Q27="","",$Q27),IFERROR(IF([2]入库吨位汇总!$I$26=0,"",[2]入库吨位汇总!$I$26),""))</f>
        <v/>
      </c>
      <c r="J27" s="116"/>
      <c r="K27" s="116"/>
      <c r="L27" s="131"/>
      <c r="M27" s="131"/>
      <c r="N27" s="132"/>
      <c r="O27" s="132"/>
      <c r="P27" s="132"/>
      <c r="Q27" s="132"/>
      <c r="R27" s="133">
        <f t="shared" si="0"/>
        <v>0</v>
      </c>
      <c r="S27" s="133">
        <f t="shared" si="1"/>
        <v>17</v>
      </c>
    </row>
    <row r="28" spans="1:19">
      <c r="A28" s="74">
        <v>27</v>
      </c>
      <c r="B28" s="75" t="str">
        <f>IF($V$4=0,IF($J28="","",$J28),IFERROR(IF([2]入库吨位汇总!$B$27=0,"",[2]入库吨位汇总!$B$27),""))</f>
        <v/>
      </c>
      <c r="C28" s="75" t="str">
        <f>IF($V$4=0,IF($K28="","",$K28),IFERROR(IF([2]入库吨位汇总!$C$27=0,"",[2]入库吨位汇总!$C$27),""))</f>
        <v/>
      </c>
      <c r="D28" s="42" t="str">
        <f>IF($V$4=0,IF($L28="","",$L28),IFERROR(IF([2]入库吨位汇总!$D$27=0,"",[2]入库吨位汇总!$D$27),""))</f>
        <v/>
      </c>
      <c r="E28" s="42" t="str">
        <f>IF($V$4=0,IF($M28="","",$M28),IFERROR(IF([2]入库吨位汇总!$E$27=0,"",[2]入库吨位汇总!$E$27),""))</f>
        <v/>
      </c>
      <c r="F28" s="76" t="str">
        <f>IF($V$4=0,IF($N28="","",$N28),IFERROR(IF([2]入库吨位汇总!$K$27=0,"",[2]入库吨位汇总!$K$27),""))</f>
        <v/>
      </c>
      <c r="G28" s="122" t="str">
        <f>IF($V$4=0,IF($O28="","",$O28),IFERROR(IF([2]入库吨位汇总!$L$27=0,"",[2]入库吨位汇总!$L$27),""))</f>
        <v/>
      </c>
      <c r="H28" s="76" t="str">
        <f>IF($V$4=0,IF($P28="","",$P28),IFERROR(IF([2]入库吨位汇总!$H$27=0,"",[2]入库吨位汇总!$H$27),""))</f>
        <v/>
      </c>
      <c r="I28" s="76" t="str">
        <f>IF($V$4=0,IF($Q28="","",$Q28),IFERROR(IF([2]入库吨位汇总!$I$27=0,"",[2]入库吨位汇总!$I$27),""))</f>
        <v/>
      </c>
      <c r="J28" s="116"/>
      <c r="K28" s="116"/>
      <c r="L28" s="131"/>
      <c r="M28" s="131"/>
      <c r="N28" s="132"/>
      <c r="O28" s="132"/>
      <c r="P28" s="132"/>
      <c r="Q28" s="132"/>
      <c r="R28" s="133">
        <f t="shared" si="0"/>
        <v>0</v>
      </c>
      <c r="S28" s="133">
        <f t="shared" si="1"/>
        <v>17</v>
      </c>
    </row>
    <row r="29" spans="1:19">
      <c r="A29" s="74">
        <v>28</v>
      </c>
      <c r="B29" s="75" t="str">
        <f>IF($V$4=0,IF($J29="","",$J29),IFERROR(IF([2]入库吨位汇总!$B$28=0,"",[2]入库吨位汇总!$B$28),""))</f>
        <v/>
      </c>
      <c r="C29" s="75" t="str">
        <f>IF($V$4=0,IF($K29="","",$K29),IFERROR(IF([2]入库吨位汇总!$C$28=0,"",[2]入库吨位汇总!$C$28),""))</f>
        <v/>
      </c>
      <c r="D29" s="42" t="str">
        <f>IF($V$4=0,IF($L29="","",$L29),IFERROR(IF([2]入库吨位汇总!$D$28=0,"",[2]入库吨位汇总!$D$28),""))</f>
        <v/>
      </c>
      <c r="E29" s="42" t="str">
        <f>IF($V$4=0,IF($M29="","",$M29),IFERROR(IF([2]入库吨位汇总!$E$28=0,"",[2]入库吨位汇总!$E$28),""))</f>
        <v/>
      </c>
      <c r="F29" s="76" t="str">
        <f>IF($V$4=0,IF($N29="","",$N29),IFERROR(IF([2]入库吨位汇总!$K$28=0,"",[2]入库吨位汇总!$K$28),""))</f>
        <v/>
      </c>
      <c r="G29" s="122" t="str">
        <f>IF($V$4=0,IF($O29="","",$O29),IFERROR(IF([2]入库吨位汇总!$L$28=0,"",[2]入库吨位汇总!$L$28),""))</f>
        <v/>
      </c>
      <c r="H29" s="76" t="str">
        <f>IF($V$4=0,IF($P29="","",$P29),IFERROR(IF([2]入库吨位汇总!$H$28=0,"",[2]入库吨位汇总!$H$28),""))</f>
        <v/>
      </c>
      <c r="I29" s="76" t="str">
        <f>IF($V$4=0,IF($Q29="","",$Q29),IFERROR(IF([2]入库吨位汇总!$I$28=0,"",[2]入库吨位汇总!$I$28),""))</f>
        <v/>
      </c>
      <c r="J29" s="116"/>
      <c r="K29" s="116"/>
      <c r="L29" s="131"/>
      <c r="M29" s="131"/>
      <c r="N29" s="132"/>
      <c r="O29" s="132"/>
      <c r="P29" s="132"/>
      <c r="Q29" s="132"/>
      <c r="R29" s="133">
        <f t="shared" si="0"/>
        <v>0</v>
      </c>
      <c r="S29" s="133">
        <f t="shared" si="1"/>
        <v>17</v>
      </c>
    </row>
    <row r="30" spans="1:19">
      <c r="A30" s="74">
        <v>29</v>
      </c>
      <c r="B30" s="75" t="str">
        <f>IF($V$4=0,IF($J30="","",$J30),IFERROR(IF([2]入库吨位汇总!$B$29=0,"",[2]入库吨位汇总!$B$29),""))</f>
        <v/>
      </c>
      <c r="C30" s="75" t="str">
        <f>IF($V$4=0,IF($K30="","",$K30),IFERROR(IF([2]入库吨位汇总!$C$29=0,"",[2]入库吨位汇总!$C$29),""))</f>
        <v/>
      </c>
      <c r="D30" s="42" t="str">
        <f>IF($V$4=0,IF($L30="","",$L30),IFERROR(IF([2]入库吨位汇总!$D$29=0,"",[2]入库吨位汇总!$D$29),""))</f>
        <v/>
      </c>
      <c r="E30" s="42" t="str">
        <f>IF($V$4=0,IF($M30="","",$M30),IFERROR(IF([2]入库吨位汇总!$E$29=0,"",[2]入库吨位汇总!$E$29),""))</f>
        <v/>
      </c>
      <c r="F30" s="76" t="str">
        <f>IF($V$4=0,IF($N30="","",$N30),IFERROR(IF([2]入库吨位汇总!$K$29=0,"",[2]入库吨位汇总!$K$29),""))</f>
        <v/>
      </c>
      <c r="G30" s="122" t="str">
        <f>IF($V$4=0,IF($O30="","",$O30),IFERROR(IF([2]入库吨位汇总!$L$29=0,"",[2]入库吨位汇总!$L$29),""))</f>
        <v/>
      </c>
      <c r="H30" s="76" t="str">
        <f>IF($V$4=0,IF($P30="","",$P30),IFERROR(IF([2]入库吨位汇总!$H$29=0,"",[2]入库吨位汇总!$H$29),""))</f>
        <v/>
      </c>
      <c r="I30" s="76" t="str">
        <f>IF($V$4=0,IF($Q30="","",$Q30),IFERROR(IF([2]入库吨位汇总!$I$29=0,"",[2]入库吨位汇总!$I$29),""))</f>
        <v/>
      </c>
      <c r="J30" s="116"/>
      <c r="K30" s="116"/>
      <c r="L30" s="131"/>
      <c r="M30" s="131"/>
      <c r="N30" s="132"/>
      <c r="O30" s="132"/>
      <c r="P30" s="132"/>
      <c r="Q30" s="132"/>
      <c r="R30" s="133">
        <f t="shared" si="0"/>
        <v>0</v>
      </c>
      <c r="S30" s="133">
        <f t="shared" si="1"/>
        <v>17</v>
      </c>
    </row>
    <row r="31" spans="1:19">
      <c r="A31" s="74">
        <v>30</v>
      </c>
      <c r="B31" s="75" t="str">
        <f>IF($V$4=0,IF($J31="","",$J31),IFERROR(IF([2]入库吨位汇总!$B$30=0,"",[2]入库吨位汇总!$B$30),""))</f>
        <v/>
      </c>
      <c r="C31" s="75" t="str">
        <f>IF($V$4=0,IF($K31="","",$K31),IFERROR(IF([2]入库吨位汇总!$C$30=0,"",[2]入库吨位汇总!$C$30),""))</f>
        <v/>
      </c>
      <c r="D31" s="42" t="str">
        <f>IF($V$4=0,IF($L31="","",$L31),IFERROR(IF([2]入库吨位汇总!$D$30=0,"",[2]入库吨位汇总!$D$30),""))</f>
        <v/>
      </c>
      <c r="E31" s="42" t="str">
        <f>IF($V$4=0,IF($M31="","",$M31),IFERROR(IF([2]入库吨位汇总!$E$30=0,"",[2]入库吨位汇总!$E$30),""))</f>
        <v/>
      </c>
      <c r="F31" s="76" t="str">
        <f>IF($V$4=0,IF($N31="","",$N31),IFERROR(IF([2]入库吨位汇总!$K$30=0,"",[2]入库吨位汇总!$K$30),""))</f>
        <v/>
      </c>
      <c r="G31" s="122" t="str">
        <f>IF($V$4=0,IF($O31="","",$O31),IFERROR(IF([2]入库吨位汇总!$L$30=0,"",[2]入库吨位汇总!$L$30),""))</f>
        <v/>
      </c>
      <c r="H31" s="76" t="str">
        <f>IF($V$4=0,IF($P31="","",$P31),IFERROR(IF([2]入库吨位汇总!$H$30=0,"",[2]入库吨位汇总!$H$30),""))</f>
        <v/>
      </c>
      <c r="I31" s="76" t="str">
        <f>IF($V$4=0,IF($Q31="","",$Q31),IFERROR(IF([2]入库吨位汇总!$I$30=0,"",[2]入库吨位汇总!$I$30),""))</f>
        <v/>
      </c>
      <c r="J31" s="116"/>
      <c r="K31" s="116"/>
      <c r="L31" s="131"/>
      <c r="M31" s="131"/>
      <c r="N31" s="132"/>
      <c r="O31" s="132"/>
      <c r="P31" s="132"/>
      <c r="Q31" s="132"/>
      <c r="R31" s="133">
        <f t="shared" si="0"/>
        <v>0</v>
      </c>
      <c r="S31" s="133">
        <f t="shared" si="1"/>
        <v>17</v>
      </c>
    </row>
    <row r="32" spans="1:19">
      <c r="A32" s="74">
        <v>31</v>
      </c>
      <c r="B32" s="75" t="str">
        <f>IF($V$4=0,IF($J32="","",$J32),IFERROR(IF([2]入库吨位汇总!$B$31=0,"",[2]入库吨位汇总!$B$31),""))</f>
        <v/>
      </c>
      <c r="C32" s="75" t="str">
        <f>IF($V$4=0,IF($K32="","",$K32),IFERROR(IF([2]入库吨位汇总!$C$31=0,"",[2]入库吨位汇总!$C$31),""))</f>
        <v/>
      </c>
      <c r="D32" s="42" t="str">
        <f>IF($V$4=0,IF($L32="","",$L32),IFERROR(IF([2]入库吨位汇总!$D$31=0,"",[2]入库吨位汇总!$D$31),""))</f>
        <v/>
      </c>
      <c r="E32" s="42" t="str">
        <f>IF($V$4=0,IF($M32="","",$M32),IFERROR(IF([2]入库吨位汇总!$E$31=0,"",[2]入库吨位汇总!$E$31),""))</f>
        <v/>
      </c>
      <c r="F32" s="76" t="str">
        <f>IF($V$4=0,IF($N32="","",$N32),IFERROR(IF([2]入库吨位汇总!$K$31=0,"",[2]入库吨位汇总!$K$31),""))</f>
        <v/>
      </c>
      <c r="G32" s="122" t="str">
        <f>IF($V$4=0,IF($O32="","",$O32),IFERROR(IF([2]入库吨位汇总!$L$31=0,"",[2]入库吨位汇总!$L$31),""))</f>
        <v/>
      </c>
      <c r="H32" s="76" t="str">
        <f>IF($V$4=0,IF($P32="","",$P32),IFERROR(IF([2]入库吨位汇总!$H$31=0,"",[2]入库吨位汇总!$H$31),""))</f>
        <v/>
      </c>
      <c r="I32" s="76" t="str">
        <f>IF($V$4=0,IF($Q32="","",$Q32),IFERROR(IF([2]入库吨位汇总!$I$31=0,"",[2]入库吨位汇总!$I$31),""))</f>
        <v/>
      </c>
      <c r="J32" s="116"/>
      <c r="K32" s="116"/>
      <c r="L32" s="131"/>
      <c r="M32" s="131"/>
      <c r="N32" s="132"/>
      <c r="O32" s="132"/>
      <c r="P32" s="132"/>
      <c r="Q32" s="132"/>
      <c r="R32" s="133">
        <f t="shared" si="0"/>
        <v>0</v>
      </c>
      <c r="S32" s="133">
        <f t="shared" si="1"/>
        <v>17</v>
      </c>
    </row>
    <row r="33" spans="1:19">
      <c r="A33" s="74">
        <v>32</v>
      </c>
      <c r="B33" s="75" t="str">
        <f>IF($V$4=0,IF($J33="","",$J33),IFERROR(IF([2]入库吨位汇总!$B$32=0,"",[2]入库吨位汇总!$B$32),""))</f>
        <v/>
      </c>
      <c r="C33" s="75" t="str">
        <f>IF($V$4=0,IF($K33="","",$K33),IFERROR(IF([2]入库吨位汇总!$C$32=0,"",[2]入库吨位汇总!$C$32),""))</f>
        <v/>
      </c>
      <c r="D33" s="42" t="str">
        <f>IF($V$4=0,IF($L33="","",$L33),IFERROR(IF([2]入库吨位汇总!$D$32=0,"",[2]入库吨位汇总!$D$32),""))</f>
        <v/>
      </c>
      <c r="E33" s="42" t="str">
        <f>IF($V$4=0,IF($M33="","",$M33),IFERROR(IF([2]入库吨位汇总!$E$32=0,"",[2]入库吨位汇总!$E$32),""))</f>
        <v/>
      </c>
      <c r="F33" s="76" t="str">
        <f>IF($V$4=0,IF($N33="","",$N33),IFERROR(IF([2]入库吨位汇总!$K$32=0,"",[2]入库吨位汇总!$K$32),""))</f>
        <v/>
      </c>
      <c r="G33" s="122" t="str">
        <f>IF($V$4=0,IF($O33="","",$O33),IFERROR(IF([2]入库吨位汇总!$L$32=0,"",[2]入库吨位汇总!$L$32),""))</f>
        <v/>
      </c>
      <c r="H33" s="76" t="str">
        <f>IF($V$4=0,IF($P33="","",$P33),IFERROR(IF([2]入库吨位汇总!$H$32=0,"",[2]入库吨位汇总!$H$32),""))</f>
        <v/>
      </c>
      <c r="I33" s="76" t="str">
        <f>IF($V$4=0,IF($Q33="","",$Q33),IFERROR(IF([2]入库吨位汇总!$I$32=0,"",[2]入库吨位汇总!$I$32),""))</f>
        <v/>
      </c>
      <c r="J33" s="116"/>
      <c r="K33" s="116"/>
      <c r="L33" s="131"/>
      <c r="M33" s="131"/>
      <c r="N33" s="132"/>
      <c r="O33" s="132"/>
      <c r="P33" s="132"/>
      <c r="Q33" s="132"/>
      <c r="R33" s="133">
        <f t="shared" si="0"/>
        <v>0</v>
      </c>
      <c r="S33" s="133">
        <f t="shared" si="1"/>
        <v>17</v>
      </c>
    </row>
    <row r="34" spans="1:19">
      <c r="A34" s="74">
        <v>33</v>
      </c>
      <c r="B34" s="75" t="str">
        <f>IF($V$4=0,IF($J34="","",$J34),IFERROR(IF([2]入库吨位汇总!$B$33=0,"",[2]入库吨位汇总!$B$33),""))</f>
        <v/>
      </c>
      <c r="C34" s="75" t="str">
        <f>IF($V$4=0,IF($K34="","",$K34),IFERROR(IF([2]入库吨位汇总!$C$33=0,"",[2]入库吨位汇总!$C$33),""))</f>
        <v/>
      </c>
      <c r="D34" s="42" t="str">
        <f>IF($V$4=0,IF($L34="","",$L34),IFERROR(IF([2]入库吨位汇总!$D$33=0,"",[2]入库吨位汇总!$D$33),""))</f>
        <v/>
      </c>
      <c r="E34" s="42" t="str">
        <f>IF($V$4=0,IF($M34="","",$M34),IFERROR(IF([2]入库吨位汇总!$E$33=0,"",[2]入库吨位汇总!$E$33),""))</f>
        <v/>
      </c>
      <c r="F34" s="76" t="str">
        <f>IF($V$4=0,IF($N34="","",$N34),IFERROR(IF([2]入库吨位汇总!$K$33=0,"",[2]入库吨位汇总!$K$33),""))</f>
        <v/>
      </c>
      <c r="G34" s="122" t="str">
        <f>IF($V$4=0,IF($O34="","",$O34),IFERROR(IF([2]入库吨位汇总!$L$33=0,"",[2]入库吨位汇总!$L$33),""))</f>
        <v/>
      </c>
      <c r="H34" s="76" t="str">
        <f>IF($V$4=0,IF($P34="","",$P34),IFERROR(IF([2]入库吨位汇总!$H$33=0,"",[2]入库吨位汇总!$H$33),""))</f>
        <v/>
      </c>
      <c r="I34" s="76" t="str">
        <f>IF($V$4=0,IF($Q34="","",$Q34),IFERROR(IF([2]入库吨位汇总!$I$33=0,"",[2]入库吨位汇总!$I$33),""))</f>
        <v/>
      </c>
      <c r="J34" s="116"/>
      <c r="K34" s="116"/>
      <c r="L34" s="131"/>
      <c r="M34" s="131"/>
      <c r="N34" s="132"/>
      <c r="O34" s="132"/>
      <c r="P34" s="132"/>
      <c r="Q34" s="132"/>
      <c r="R34" s="133">
        <f t="shared" si="0"/>
        <v>0</v>
      </c>
      <c r="S34" s="133">
        <f t="shared" si="1"/>
        <v>17</v>
      </c>
    </row>
    <row r="35" spans="1:19">
      <c r="A35" s="74">
        <v>34</v>
      </c>
      <c r="B35" s="75" t="str">
        <f>IF($V$4=0,IF($J35="","",$J35),IFERROR(IF([2]入库吨位汇总!$B$34=0,"",[2]入库吨位汇总!$B$34),""))</f>
        <v/>
      </c>
      <c r="C35" s="75" t="str">
        <f>IF($V$4=0,IF($K35="","",$K35),IFERROR(IF([2]入库吨位汇总!$C$34=0,"",[2]入库吨位汇总!$C$34),""))</f>
        <v/>
      </c>
      <c r="D35" s="42" t="str">
        <f>IF($V$4=0,IF($L35="","",$L35),IFERROR(IF([2]入库吨位汇总!$D$34=0,"",[2]入库吨位汇总!$D$34),""))</f>
        <v/>
      </c>
      <c r="E35" s="42" t="str">
        <f>IF($V$4=0,IF($M35="","",$M35),IFERROR(IF([2]入库吨位汇总!$E$34=0,"",[2]入库吨位汇总!$E$34),""))</f>
        <v/>
      </c>
      <c r="F35" s="76" t="str">
        <f>IF($V$4=0,IF($N35="","",$N35),IFERROR(IF([2]入库吨位汇总!$K$34=0,"",[2]入库吨位汇总!$K$34),""))</f>
        <v/>
      </c>
      <c r="G35" s="122" t="str">
        <f>IF($V$4=0,IF($O35="","",$O35),IFERROR(IF([2]入库吨位汇总!$L$34=0,"",[2]入库吨位汇总!$L$34),""))</f>
        <v/>
      </c>
      <c r="H35" s="76" t="str">
        <f>IF($V$4=0,IF($P35="","",$P35),IFERROR(IF([2]入库吨位汇总!$H$34=0,"",[2]入库吨位汇总!$H$34),""))</f>
        <v/>
      </c>
      <c r="I35" s="76" t="str">
        <f>IF($V$4=0,IF($Q35="","",$Q35),IFERROR(IF([2]入库吨位汇总!$I$34=0,"",[2]入库吨位汇总!$I$34),""))</f>
        <v/>
      </c>
      <c r="J35" s="116"/>
      <c r="K35" s="116"/>
      <c r="L35" s="131"/>
      <c r="M35" s="131"/>
      <c r="N35" s="132"/>
      <c r="O35" s="132"/>
      <c r="P35" s="132"/>
      <c r="Q35" s="132"/>
      <c r="R35" s="133">
        <f t="shared" si="0"/>
        <v>0</v>
      </c>
      <c r="S35" s="133">
        <f t="shared" si="1"/>
        <v>17</v>
      </c>
    </row>
    <row r="36" spans="1:19">
      <c r="A36" s="74">
        <v>35</v>
      </c>
      <c r="B36" s="75" t="str">
        <f>IF($V$4=0,IF($J36="","",$J36),IFERROR(IF([2]入库吨位汇总!$B$35=0,"",[2]入库吨位汇总!$B$35),""))</f>
        <v/>
      </c>
      <c r="C36" s="75" t="str">
        <f>IF($V$4=0,IF($K36="","",$K36),IFERROR(IF([2]入库吨位汇总!$C$35=0,"",[2]入库吨位汇总!$C$35),""))</f>
        <v/>
      </c>
      <c r="D36" s="42" t="str">
        <f>IF($V$4=0,IF($L36="","",$L36),IFERROR(IF([2]入库吨位汇总!$D$35=0,"",[2]入库吨位汇总!$D$35),""))</f>
        <v/>
      </c>
      <c r="E36" s="42" t="str">
        <f>IF($V$4=0,IF($M36="","",$M36),IFERROR(IF([2]入库吨位汇总!$E$35=0,"",[2]入库吨位汇总!$E$35),""))</f>
        <v/>
      </c>
      <c r="F36" s="76" t="str">
        <f>IF($V$4=0,IF($N36="","",$N36),IFERROR(IF([2]入库吨位汇总!$K$35=0,"",[2]入库吨位汇总!$K$35),""))</f>
        <v/>
      </c>
      <c r="G36" s="122" t="str">
        <f>IF($V$4=0,IF($O36="","",$O36),IFERROR(IF([2]入库吨位汇总!$L$35=0,"",[2]入库吨位汇总!$L$35),""))</f>
        <v/>
      </c>
      <c r="H36" s="76" t="str">
        <f>IF($V$4=0,IF($P36="","",$P36),IFERROR(IF([2]入库吨位汇总!$H$35=0,"",[2]入库吨位汇总!$H$35),""))</f>
        <v/>
      </c>
      <c r="I36" s="76" t="str">
        <f>IF($V$4=0,IF($Q36="","",$Q36),IFERROR(IF([2]入库吨位汇总!$I$35=0,"",[2]入库吨位汇总!$I$35),""))</f>
        <v/>
      </c>
      <c r="J36" s="116"/>
      <c r="K36" s="116"/>
      <c r="L36" s="131"/>
      <c r="M36" s="131"/>
      <c r="N36" s="132"/>
      <c r="O36" s="132"/>
      <c r="P36" s="132"/>
      <c r="Q36" s="132"/>
      <c r="R36" s="133">
        <f t="shared" si="0"/>
        <v>0</v>
      </c>
      <c r="S36" s="133">
        <f t="shared" si="1"/>
        <v>17</v>
      </c>
    </row>
    <row r="37" spans="1:19">
      <c r="A37" s="74">
        <v>36</v>
      </c>
      <c r="B37" s="75" t="str">
        <f>IF($V$4=0,IF($J37="","",$J37),IFERROR(IF([2]入库吨位汇总!$B$36=0,"",[2]入库吨位汇总!$B$36),""))</f>
        <v/>
      </c>
      <c r="C37" s="75" t="str">
        <f>IF($V$4=0,IF($K37="","",$K37),IFERROR(IF([2]入库吨位汇总!$C$36=0,"",[2]入库吨位汇总!$C$36),""))</f>
        <v/>
      </c>
      <c r="D37" s="42" t="str">
        <f>IF($V$4=0,IF($L37="","",$L37),IFERROR(IF([2]入库吨位汇总!$D$36=0,"",[2]入库吨位汇总!$D$36),""))</f>
        <v/>
      </c>
      <c r="E37" s="42" t="str">
        <f>IF($V$4=0,IF($M37="","",$M37),IFERROR(IF([2]入库吨位汇总!$E$36=0,"",[2]入库吨位汇总!$E$36),""))</f>
        <v/>
      </c>
      <c r="F37" s="76" t="str">
        <f>IF($V$4=0,IF($N37="","",$N37),IFERROR(IF([2]入库吨位汇总!$K$36=0,"",[2]入库吨位汇总!$K$36),""))</f>
        <v/>
      </c>
      <c r="G37" s="122" t="str">
        <f>IF($V$4=0,IF($O37="","",$O37),IFERROR(IF([2]入库吨位汇总!$L$36=0,"",[2]入库吨位汇总!$L$36),""))</f>
        <v/>
      </c>
      <c r="H37" s="76" t="str">
        <f>IF($V$4=0,IF($P37="","",$P37),IFERROR(IF([2]入库吨位汇总!$H$36=0,"",[2]入库吨位汇总!$H$36),""))</f>
        <v/>
      </c>
      <c r="I37" s="76" t="str">
        <f>IF($V$4=0,IF($Q37="","",$Q37),IFERROR(IF([2]入库吨位汇总!$I$36=0,"",[2]入库吨位汇总!$I$36),""))</f>
        <v/>
      </c>
      <c r="J37" s="116"/>
      <c r="K37" s="116"/>
      <c r="L37" s="131"/>
      <c r="M37" s="131"/>
      <c r="N37" s="132"/>
      <c r="O37" s="132"/>
      <c r="P37" s="132"/>
      <c r="Q37" s="132"/>
      <c r="R37" s="133">
        <f t="shared" si="0"/>
        <v>0</v>
      </c>
      <c r="S37" s="133">
        <f t="shared" si="1"/>
        <v>17</v>
      </c>
    </row>
    <row r="38" spans="1:19">
      <c r="A38" s="74">
        <v>37</v>
      </c>
      <c r="B38" s="75" t="str">
        <f>IF($V$4=0,IF($J38="","",$J38),IFERROR(IF([2]入库吨位汇总!$B$37=0,"",[2]入库吨位汇总!$B$37),""))</f>
        <v/>
      </c>
      <c r="C38" s="75" t="str">
        <f>IF($V$4=0,IF($K38="","",$K38),IFERROR(IF([2]入库吨位汇总!$C$37=0,"",[2]入库吨位汇总!$C$37),""))</f>
        <v/>
      </c>
      <c r="D38" s="42" t="str">
        <f>IF($V$4=0,IF($L38="","",$L38),IFERROR(IF([2]入库吨位汇总!$D$37=0,"",[2]入库吨位汇总!$D$37),""))</f>
        <v/>
      </c>
      <c r="E38" s="42" t="str">
        <f>IF($V$4=0,IF($M38="","",$M38),IFERROR(IF([2]入库吨位汇总!$E$37=0,"",[2]入库吨位汇总!$E$37),""))</f>
        <v/>
      </c>
      <c r="F38" s="76" t="str">
        <f>IF($V$4=0,IF($N38="","",$N38),IFERROR(IF([2]入库吨位汇总!$K$37=0,"",[2]入库吨位汇总!$K$37),""))</f>
        <v/>
      </c>
      <c r="G38" s="122" t="str">
        <f>IF($V$4=0,IF($O38="","",$O38),IFERROR(IF([2]入库吨位汇总!$L$37=0,"",[2]入库吨位汇总!$L$37),""))</f>
        <v/>
      </c>
      <c r="H38" s="76" t="str">
        <f>IF($V$4=0,IF($P38="","",$P38),IFERROR(IF([2]入库吨位汇总!$H$37=0,"",[2]入库吨位汇总!$H$37),""))</f>
        <v/>
      </c>
      <c r="I38" s="76" t="str">
        <f>IF($V$4=0,IF($Q38="","",$Q38),IFERROR(IF([2]入库吨位汇总!$I$37=0,"",[2]入库吨位汇总!$I$37),""))</f>
        <v/>
      </c>
      <c r="J38" s="116"/>
      <c r="K38" s="116"/>
      <c r="L38" s="131"/>
      <c r="M38" s="131"/>
      <c r="N38" s="132"/>
      <c r="O38" s="132"/>
      <c r="P38" s="132"/>
      <c r="Q38" s="132"/>
      <c r="R38" s="133">
        <f t="shared" si="0"/>
        <v>0</v>
      </c>
      <c r="S38" s="133">
        <f t="shared" si="1"/>
        <v>17</v>
      </c>
    </row>
    <row r="39" spans="1:19">
      <c r="A39" s="74">
        <v>38</v>
      </c>
      <c r="B39" s="75" t="str">
        <f>IF($V$4=0,IF($J39="","",$J39),IFERROR(IF([2]入库吨位汇总!$B$38=0,"",[2]入库吨位汇总!$B$38),""))</f>
        <v/>
      </c>
      <c r="C39" s="75" t="str">
        <f>IF($V$4=0,IF($K39="","",$K39),IFERROR(IF([2]入库吨位汇总!$C$38=0,"",[2]入库吨位汇总!$C$38),""))</f>
        <v/>
      </c>
      <c r="D39" s="42" t="str">
        <f>IF($V$4=0,IF($L39="","",$L39),IFERROR(IF([2]入库吨位汇总!$D$38=0,"",[2]入库吨位汇总!$D$38),""))</f>
        <v/>
      </c>
      <c r="E39" s="42" t="str">
        <f>IF($V$4=0,IF($M39="","",$M39),IFERROR(IF([2]入库吨位汇总!$E$38=0,"",[2]入库吨位汇总!$E$38),""))</f>
        <v/>
      </c>
      <c r="F39" s="76" t="str">
        <f>IF($V$4=0,IF($N39="","",$N39),IFERROR(IF([2]入库吨位汇总!$K$38=0,"",[2]入库吨位汇总!$K$38),""))</f>
        <v/>
      </c>
      <c r="G39" s="122" t="str">
        <f>IF($V$4=0,IF($O39="","",$O39),IFERROR(IF([2]入库吨位汇总!$L$38=0,"",[2]入库吨位汇总!$L$38),""))</f>
        <v/>
      </c>
      <c r="H39" s="76" t="str">
        <f>IF($V$4=0,IF($P39="","",$P39),IFERROR(IF([2]入库吨位汇总!$H$38=0,"",[2]入库吨位汇总!$H$38),""))</f>
        <v/>
      </c>
      <c r="I39" s="76" t="str">
        <f>IF($V$4=0,IF($Q39="","",$Q39),IFERROR(IF([2]入库吨位汇总!$I$38=0,"",[2]入库吨位汇总!$I$38),""))</f>
        <v/>
      </c>
      <c r="J39" s="116"/>
      <c r="K39" s="116"/>
      <c r="L39" s="131"/>
      <c r="M39" s="131"/>
      <c r="N39" s="132"/>
      <c r="O39" s="132"/>
      <c r="P39" s="132"/>
      <c r="Q39" s="132"/>
      <c r="R39" s="133">
        <f t="shared" si="0"/>
        <v>0</v>
      </c>
      <c r="S39" s="133">
        <f t="shared" si="1"/>
        <v>17</v>
      </c>
    </row>
    <row r="40" spans="1:19">
      <c r="A40" s="74">
        <v>39</v>
      </c>
      <c r="B40" s="75" t="str">
        <f>IF($V$4=0,IF($J40="","",$J40),IFERROR(IF([2]入库吨位汇总!$B$39=0,"",[2]入库吨位汇总!$B$39),""))</f>
        <v/>
      </c>
      <c r="C40" s="75" t="str">
        <f>IF($V$4=0,IF($K40="","",$K40),IFERROR(IF([2]入库吨位汇总!$C$39=0,"",[2]入库吨位汇总!$C$39),""))</f>
        <v/>
      </c>
      <c r="D40" s="42" t="str">
        <f>IF($V$4=0,IF($L40="","",$L40),IFERROR(IF([2]入库吨位汇总!$D$39=0,"",[2]入库吨位汇总!$D$39),""))</f>
        <v/>
      </c>
      <c r="E40" s="42" t="str">
        <f>IF($V$4=0,IF($M40="","",$M40),IFERROR(IF([2]入库吨位汇总!$E$39=0,"",[2]入库吨位汇总!$E$39),""))</f>
        <v/>
      </c>
      <c r="F40" s="76" t="str">
        <f>IF($V$4=0,IF($N40="","",$N40),IFERROR(IF([2]入库吨位汇总!$K$39=0,"",[2]入库吨位汇总!$K$39),""))</f>
        <v/>
      </c>
      <c r="G40" s="122" t="str">
        <f>IF($V$4=0,IF($O40="","",$O40),IFERROR(IF([2]入库吨位汇总!$L$39=0,"",[2]入库吨位汇总!$L$39),""))</f>
        <v/>
      </c>
      <c r="H40" s="76" t="str">
        <f>IF($V$4=0,IF($P40="","",$P40),IFERROR(IF([2]入库吨位汇总!$H$39=0,"",[2]入库吨位汇总!$H$39),""))</f>
        <v/>
      </c>
      <c r="I40" s="76" t="str">
        <f>IF($V$4=0,IF($Q40="","",$Q40),IFERROR(IF([2]入库吨位汇总!$I$39=0,"",[2]入库吨位汇总!$I$39),""))</f>
        <v/>
      </c>
      <c r="J40" s="116"/>
      <c r="K40" s="116"/>
      <c r="L40" s="131"/>
      <c r="M40" s="131"/>
      <c r="N40" s="132"/>
      <c r="O40" s="132"/>
      <c r="P40" s="132"/>
      <c r="Q40" s="132"/>
      <c r="R40" s="133">
        <f t="shared" si="0"/>
        <v>0</v>
      </c>
      <c r="S40" s="133">
        <f t="shared" si="1"/>
        <v>17</v>
      </c>
    </row>
    <row r="41" spans="1:19">
      <c r="A41" s="74">
        <v>40</v>
      </c>
      <c r="B41" s="75" t="str">
        <f>IF($V$4=0,IF($J41="","",$J41),IFERROR(IF([2]入库吨位汇总!$B$40=0,"",[2]入库吨位汇总!$B$40),""))</f>
        <v/>
      </c>
      <c r="C41" s="75" t="str">
        <f>IF($V$4=0,IF($K41="","",$K41),IFERROR(IF([2]入库吨位汇总!$C$40=0,"",[2]入库吨位汇总!$C$40),""))</f>
        <v/>
      </c>
      <c r="D41" s="42" t="str">
        <f>IF($V$4=0,IF($L41="","",$L41),IFERROR(IF([2]入库吨位汇总!$D$40=0,"",[2]入库吨位汇总!$D$40),""))</f>
        <v/>
      </c>
      <c r="E41" s="42" t="str">
        <f>IF($V$4=0,IF($M41="","",$M41),IFERROR(IF([2]入库吨位汇总!$E$40=0,"",[2]入库吨位汇总!$E$40),""))</f>
        <v/>
      </c>
      <c r="F41" s="76" t="str">
        <f>IF($V$4=0,IF($N41="","",$N41),IFERROR(IF([2]入库吨位汇总!$K$40=0,"",[2]入库吨位汇总!$K$40),""))</f>
        <v/>
      </c>
      <c r="G41" s="122" t="str">
        <f>IF($V$4=0,IF($O41="","",$O41),IFERROR(IF([2]入库吨位汇总!$L$40=0,"",[2]入库吨位汇总!$L$40),""))</f>
        <v/>
      </c>
      <c r="H41" s="76" t="str">
        <f>IF($V$4=0,IF($P41="","",$P41),IFERROR(IF([2]入库吨位汇总!$H$40=0,"",[2]入库吨位汇总!$H$40),""))</f>
        <v/>
      </c>
      <c r="I41" s="76" t="str">
        <f>IF($V$4=0,IF($Q41="","",$Q41),IFERROR(IF([2]入库吨位汇总!$I$40=0,"",[2]入库吨位汇总!$I$40),""))</f>
        <v/>
      </c>
      <c r="J41" s="116"/>
      <c r="K41" s="116"/>
      <c r="L41" s="131"/>
      <c r="M41" s="131"/>
      <c r="N41" s="132"/>
      <c r="O41" s="132"/>
      <c r="P41" s="132"/>
      <c r="Q41" s="132"/>
      <c r="R41" s="133">
        <f t="shared" si="0"/>
        <v>0</v>
      </c>
      <c r="S41" s="133">
        <f t="shared" si="1"/>
        <v>17</v>
      </c>
    </row>
    <row r="42" spans="1:19">
      <c r="A42" s="74">
        <v>41</v>
      </c>
      <c r="B42" s="75" t="str">
        <f>IF($V$4=0,IF($J42="","",$J42),IFERROR(IF([2]入库吨位汇总!$B$41=0,"",[2]入库吨位汇总!$B$41),""))</f>
        <v/>
      </c>
      <c r="C42" s="75" t="str">
        <f>IF($V$4=0,IF($K42="","",$K42),IFERROR(IF([2]入库吨位汇总!$C$41=0,"",[2]入库吨位汇总!$C$41),""))</f>
        <v/>
      </c>
      <c r="D42" s="42" t="str">
        <f>IF($V$4=0,IF($L42="","",$L42),IFERROR(IF([2]入库吨位汇总!$D$41=0,"",[2]入库吨位汇总!$D$41),""))</f>
        <v/>
      </c>
      <c r="E42" s="42" t="str">
        <f>IF($V$4=0,IF($M42="","",$M42),IFERROR(IF([2]入库吨位汇总!$E$41=0,"",[2]入库吨位汇总!$E$41),""))</f>
        <v/>
      </c>
      <c r="F42" s="76" t="str">
        <f>IF($V$4=0,IF($N42="","",$N42),IFERROR(IF([2]入库吨位汇总!$K$41=0,"",[2]入库吨位汇总!$K$41),""))</f>
        <v/>
      </c>
      <c r="G42" s="122" t="str">
        <f>IF($V$4=0,IF($O42="","",$O42),IFERROR(IF([2]入库吨位汇总!$L$41=0,"",[2]入库吨位汇总!$L$41),""))</f>
        <v/>
      </c>
      <c r="H42" s="76" t="str">
        <f>IF($V$4=0,IF($P42="","",$P42),IFERROR(IF([2]入库吨位汇总!$H$41=0,"",[2]入库吨位汇总!$H$41),""))</f>
        <v/>
      </c>
      <c r="I42" s="76" t="str">
        <f>IF($V$4=0,IF($Q42="","",$Q42),IFERROR(IF([2]入库吨位汇总!$I$41=0,"",[2]入库吨位汇总!$I$41),""))</f>
        <v/>
      </c>
      <c r="J42" s="116"/>
      <c r="K42" s="116"/>
      <c r="L42" s="131"/>
      <c r="M42" s="131"/>
      <c r="N42" s="132"/>
      <c r="O42" s="132"/>
      <c r="P42" s="132"/>
      <c r="Q42" s="132"/>
      <c r="R42" s="133">
        <f t="shared" si="0"/>
        <v>0</v>
      </c>
      <c r="S42" s="133">
        <f t="shared" si="1"/>
        <v>17</v>
      </c>
    </row>
    <row r="43" spans="1:19">
      <c r="A43" s="74">
        <v>42</v>
      </c>
      <c r="B43" s="75" t="str">
        <f>IF($V$4=0,IF($J43="","",$J43),IFERROR(IF([2]入库吨位汇总!$B$42=0,"",[2]入库吨位汇总!$B$42),""))</f>
        <v/>
      </c>
      <c r="C43" s="75" t="str">
        <f>IF($V$4=0,IF($K43="","",$K43),IFERROR(IF([2]入库吨位汇总!$C$42=0,"",[2]入库吨位汇总!$C$42),""))</f>
        <v/>
      </c>
      <c r="D43" s="42" t="str">
        <f>IF($V$4=0,IF($L43="","",$L43),IFERROR(IF([2]入库吨位汇总!$D$42=0,"",[2]入库吨位汇总!$D$42),""))</f>
        <v/>
      </c>
      <c r="E43" s="42" t="str">
        <f>IF($V$4=0,IF($M43="","",$M43),IFERROR(IF([2]入库吨位汇总!$E$42=0,"",[2]入库吨位汇总!$E$42),""))</f>
        <v/>
      </c>
      <c r="F43" s="76" t="str">
        <f>IF($V$4=0,IF($N43="","",$N43),IFERROR(IF([2]入库吨位汇总!$K$42=0,"",[2]入库吨位汇总!$K$42),""))</f>
        <v/>
      </c>
      <c r="G43" s="122" t="str">
        <f>IF($V$4=0,IF($O43="","",$O43),IFERROR(IF([2]入库吨位汇总!$L$42=0,"",[2]入库吨位汇总!$L$42),""))</f>
        <v/>
      </c>
      <c r="H43" s="76" t="str">
        <f>IF($V$4=0,IF($P43="","",$P43),IFERROR(IF([2]入库吨位汇总!$H$42=0,"",[2]入库吨位汇总!$H$42),""))</f>
        <v/>
      </c>
      <c r="I43" s="76" t="str">
        <f>IF($V$4=0,IF($Q43="","",$Q43),IFERROR(IF([2]入库吨位汇总!$I$42=0,"",[2]入库吨位汇总!$I$42),""))</f>
        <v/>
      </c>
      <c r="J43" s="116"/>
      <c r="K43" s="116"/>
      <c r="L43" s="131"/>
      <c r="M43" s="131"/>
      <c r="N43" s="132"/>
      <c r="O43" s="132"/>
      <c r="P43" s="132"/>
      <c r="Q43" s="132"/>
      <c r="R43" s="133">
        <f t="shared" si="0"/>
        <v>0</v>
      </c>
      <c r="S43" s="133">
        <f t="shared" si="1"/>
        <v>17</v>
      </c>
    </row>
    <row r="44" spans="1:19">
      <c r="A44" s="74">
        <v>43</v>
      </c>
      <c r="B44" s="75" t="str">
        <f>IF($V$4=0,IF($J44="","",$J44),IFERROR(IF([2]入库吨位汇总!$B$43=0,"",[2]入库吨位汇总!$B$43),""))</f>
        <v/>
      </c>
      <c r="C44" s="75" t="str">
        <f>IF($V$4=0,IF($K44="","",$K44),IFERROR(IF([2]入库吨位汇总!$C$43=0,"",[2]入库吨位汇总!$C$43),""))</f>
        <v/>
      </c>
      <c r="D44" s="42" t="str">
        <f>IF($V$4=0,IF($L44="","",$L44),IFERROR(IF([2]入库吨位汇总!$D$43=0,"",[2]入库吨位汇总!$D$43),""))</f>
        <v/>
      </c>
      <c r="E44" s="42" t="str">
        <f>IF($V$4=0,IF($M44="","",$M44),IFERROR(IF([2]入库吨位汇总!$E$43=0,"",[2]入库吨位汇总!$E$43),""))</f>
        <v/>
      </c>
      <c r="F44" s="76" t="str">
        <f>IF($V$4=0,IF($N44="","",$N44),IFERROR(IF([2]入库吨位汇总!$K$43=0,"",[2]入库吨位汇总!$K$43),""))</f>
        <v/>
      </c>
      <c r="G44" s="122" t="str">
        <f>IF($V$4=0,IF($O44="","",$O44),IFERROR(IF([2]入库吨位汇总!$L$43=0,"",[2]入库吨位汇总!$L$43),""))</f>
        <v/>
      </c>
      <c r="H44" s="76" t="str">
        <f>IF($V$4=0,IF($P44="","",$P44),IFERROR(IF([2]入库吨位汇总!$H$43=0,"",[2]入库吨位汇总!$H$43),""))</f>
        <v/>
      </c>
      <c r="I44" s="76" t="str">
        <f>IF($V$4=0,IF($Q44="","",$Q44),IFERROR(IF([2]入库吨位汇总!$I$43=0,"",[2]入库吨位汇总!$I$43),""))</f>
        <v/>
      </c>
      <c r="J44" s="116"/>
      <c r="K44" s="116"/>
      <c r="L44" s="131"/>
      <c r="M44" s="131"/>
      <c r="N44" s="132"/>
      <c r="O44" s="132"/>
      <c r="P44" s="132"/>
      <c r="Q44" s="132"/>
      <c r="R44" s="133">
        <f t="shared" si="0"/>
        <v>0</v>
      </c>
      <c r="S44" s="133">
        <f t="shared" si="1"/>
        <v>17</v>
      </c>
    </row>
    <row r="45" spans="1:19">
      <c r="A45" s="74">
        <v>44</v>
      </c>
      <c r="B45" s="75" t="str">
        <f>IF($V$4=0,IF($J45="","",$J45),IFERROR(IF([2]入库吨位汇总!$B$44=0,"",[2]入库吨位汇总!$B$44),""))</f>
        <v/>
      </c>
      <c r="C45" s="75" t="str">
        <f>IF($V$4=0,IF($K45="","",$K45),IFERROR(IF([2]入库吨位汇总!$C$44=0,"",[2]入库吨位汇总!$C$44),""))</f>
        <v/>
      </c>
      <c r="D45" s="42" t="str">
        <f>IF($V$4=0,IF($L45="","",$L45),IFERROR(IF([2]入库吨位汇总!$D$44=0,"",[2]入库吨位汇总!$D$44),""))</f>
        <v/>
      </c>
      <c r="E45" s="42" t="str">
        <f>IF($V$4=0,IF($M45="","",$M45),IFERROR(IF([2]入库吨位汇总!$E$44=0,"",[2]入库吨位汇总!$E$44),""))</f>
        <v/>
      </c>
      <c r="F45" s="76" t="str">
        <f>IF($V$4=0,IF($N45="","",$N45),IFERROR(IF([2]入库吨位汇总!$K$44=0,"",[2]入库吨位汇总!$K$44),""))</f>
        <v/>
      </c>
      <c r="G45" s="122" t="str">
        <f>IF($V$4=0,IF($O45="","",$O45),IFERROR(IF([2]入库吨位汇总!$L$44=0,"",[2]入库吨位汇总!$L$44),""))</f>
        <v/>
      </c>
      <c r="H45" s="76" t="str">
        <f>IF($V$4=0,IF($P45="","",$P45),IFERROR(IF([2]入库吨位汇总!$H$44=0,"",[2]入库吨位汇总!$H$44),""))</f>
        <v/>
      </c>
      <c r="I45" s="76" t="str">
        <f>IF($V$4=0,IF($Q45="","",$Q45),IFERROR(IF([2]入库吨位汇总!$I$44=0,"",[2]入库吨位汇总!$I$44),""))</f>
        <v/>
      </c>
      <c r="J45" s="116"/>
      <c r="K45" s="116"/>
      <c r="L45" s="131"/>
      <c r="M45" s="131"/>
      <c r="N45" s="132"/>
      <c r="O45" s="132"/>
      <c r="P45" s="132"/>
      <c r="Q45" s="132"/>
      <c r="R45" s="133">
        <f t="shared" si="0"/>
        <v>0</v>
      </c>
      <c r="S45" s="133">
        <f t="shared" si="1"/>
        <v>17</v>
      </c>
    </row>
    <row r="46" spans="1:19">
      <c r="A46" s="74">
        <v>45</v>
      </c>
      <c r="B46" s="75" t="str">
        <f>IF($V$4=0,IF($J46="","",$J46),IFERROR(IF([2]入库吨位汇总!$B$45=0,"",[2]入库吨位汇总!$B$45),""))</f>
        <v/>
      </c>
      <c r="C46" s="75" t="str">
        <f>IF($V$4=0,IF($K46="","",$K46),IFERROR(IF([2]入库吨位汇总!$C$45=0,"",[2]入库吨位汇总!$C$45),""))</f>
        <v/>
      </c>
      <c r="D46" s="42" t="str">
        <f>IF($V$4=0,IF($L46="","",$L46),IFERROR(IF([2]入库吨位汇总!$D$45=0,"",[2]入库吨位汇总!$D$45),""))</f>
        <v/>
      </c>
      <c r="E46" s="42" t="str">
        <f>IF($V$4=0,IF($M46="","",$M46),IFERROR(IF([2]入库吨位汇总!$E$45=0,"",[2]入库吨位汇总!$E$45),""))</f>
        <v/>
      </c>
      <c r="F46" s="76" t="str">
        <f>IF($V$4=0,IF($N46="","",$N46),IFERROR(IF([2]入库吨位汇总!$K$45=0,"",[2]入库吨位汇总!$K$45),""))</f>
        <v/>
      </c>
      <c r="G46" s="122" t="str">
        <f>IF($V$4=0,IF($O46="","",$O46),IFERROR(IF([2]入库吨位汇总!$L$45=0,"",[2]入库吨位汇总!$L$45),""))</f>
        <v/>
      </c>
      <c r="H46" s="76" t="str">
        <f>IF($V$4=0,IF($P46="","",$P46),IFERROR(IF([2]入库吨位汇总!$H$45=0,"",[2]入库吨位汇总!$H$45),""))</f>
        <v/>
      </c>
      <c r="I46" s="76" t="str">
        <f>IF($V$4=0,IF($Q46="","",$Q46),IFERROR(IF([2]入库吨位汇总!$I$45=0,"",[2]入库吨位汇总!$I$45),""))</f>
        <v/>
      </c>
      <c r="J46" s="116"/>
      <c r="K46" s="116"/>
      <c r="L46" s="131"/>
      <c r="M46" s="131"/>
      <c r="N46" s="132"/>
      <c r="O46" s="132"/>
      <c r="P46" s="132"/>
      <c r="Q46" s="132"/>
      <c r="R46" s="133">
        <f t="shared" si="0"/>
        <v>0</v>
      </c>
      <c r="S46" s="133">
        <f t="shared" si="1"/>
        <v>17</v>
      </c>
    </row>
    <row r="47" spans="1:19">
      <c r="A47" s="74">
        <v>46</v>
      </c>
      <c r="B47" s="75" t="str">
        <f>IF($V$4=0,IF($J47="","",$J47),IFERROR(IF([2]入库吨位汇总!$B$46=0,"",[2]入库吨位汇总!$B$46),""))</f>
        <v/>
      </c>
      <c r="C47" s="75" t="str">
        <f>IF($V$4=0,IF($K47="","",$K47),IFERROR(IF([2]入库吨位汇总!$C$46=0,"",[2]入库吨位汇总!$C$46),""))</f>
        <v/>
      </c>
      <c r="D47" s="42" t="str">
        <f>IF($V$4=0,IF($L47="","",$L47),IFERROR(IF([2]入库吨位汇总!$D$46=0,"",[2]入库吨位汇总!$D$46),""))</f>
        <v/>
      </c>
      <c r="E47" s="42" t="str">
        <f>IF($V$4=0,IF($M47="","",$M47),IFERROR(IF([2]入库吨位汇总!$E$46=0,"",[2]入库吨位汇总!$E$46),""))</f>
        <v/>
      </c>
      <c r="F47" s="76" t="str">
        <f>IF($V$4=0,IF($N47="","",$N47),IFERROR(IF([2]入库吨位汇总!$K$46=0,"",[2]入库吨位汇总!$K$46),""))</f>
        <v/>
      </c>
      <c r="G47" s="122" t="str">
        <f>IF($V$4=0,IF($O47="","",$O47),IFERROR(IF([2]入库吨位汇总!$L$46=0,"",[2]入库吨位汇总!$L$46),""))</f>
        <v/>
      </c>
      <c r="H47" s="76" t="str">
        <f>IF($V$4=0,IF($P47="","",$P47),IFERROR(IF([2]入库吨位汇总!$H$46=0,"",[2]入库吨位汇总!$H$46),""))</f>
        <v/>
      </c>
      <c r="I47" s="76" t="str">
        <f>IF($V$4=0,IF($Q47="","",$Q47),IFERROR(IF([2]入库吨位汇总!$I$46=0,"",[2]入库吨位汇总!$I$46),""))</f>
        <v/>
      </c>
      <c r="J47" s="116"/>
      <c r="K47" s="116"/>
      <c r="L47" s="131"/>
      <c r="M47" s="131"/>
      <c r="N47" s="132"/>
      <c r="O47" s="132"/>
      <c r="P47" s="132"/>
      <c r="Q47" s="132"/>
      <c r="R47" s="133">
        <f t="shared" si="0"/>
        <v>0</v>
      </c>
      <c r="S47" s="133">
        <f t="shared" si="1"/>
        <v>17</v>
      </c>
    </row>
    <row r="48" spans="1:19">
      <c r="A48" s="74">
        <v>47</v>
      </c>
      <c r="B48" s="75" t="str">
        <f>IF($V$4=0,IF($J48="","",$J48),IFERROR(IF([2]入库吨位汇总!$B$47=0,"",[2]入库吨位汇总!$B$47),""))</f>
        <v/>
      </c>
      <c r="C48" s="75" t="str">
        <f>IF($V$4=0,IF($K48="","",$K48),IFERROR(IF([2]入库吨位汇总!$C$47=0,"",[2]入库吨位汇总!$C$47),""))</f>
        <v/>
      </c>
      <c r="D48" s="42" t="str">
        <f>IF($V$4=0,IF($L48="","",$L48),IFERROR(IF([2]入库吨位汇总!$D$47=0,"",[2]入库吨位汇总!$D$47),""))</f>
        <v/>
      </c>
      <c r="E48" s="42" t="str">
        <f>IF($V$4=0,IF($M48="","",$M48),IFERROR(IF([2]入库吨位汇总!$E$47=0,"",[2]入库吨位汇总!$E$47),""))</f>
        <v/>
      </c>
      <c r="F48" s="76" t="str">
        <f>IF($V$4=0,IF($N48="","",$N48),IFERROR(IF([2]入库吨位汇总!$K$47=0,"",[2]入库吨位汇总!$K$47),""))</f>
        <v/>
      </c>
      <c r="G48" s="122" t="str">
        <f>IF($V$4=0,IF($O48="","",$O48),IFERROR(IF([2]入库吨位汇总!$L$47=0,"",[2]入库吨位汇总!$L$47),""))</f>
        <v/>
      </c>
      <c r="H48" s="76" t="str">
        <f>IF($V$4=0,IF($P48="","",$P48),IFERROR(IF([2]入库吨位汇总!$H$47=0,"",[2]入库吨位汇总!$H$47),""))</f>
        <v/>
      </c>
      <c r="I48" s="76" t="str">
        <f>IF($V$4=0,IF($Q48="","",$Q48),IFERROR(IF([2]入库吨位汇总!$I$47=0,"",[2]入库吨位汇总!$I$47),""))</f>
        <v/>
      </c>
      <c r="J48" s="116"/>
      <c r="K48" s="116"/>
      <c r="L48" s="131"/>
      <c r="M48" s="131"/>
      <c r="N48" s="132"/>
      <c r="O48" s="132"/>
      <c r="P48" s="132"/>
      <c r="Q48" s="132"/>
      <c r="R48" s="133">
        <f t="shared" si="0"/>
        <v>0</v>
      </c>
      <c r="S48" s="133">
        <f t="shared" si="1"/>
        <v>17</v>
      </c>
    </row>
    <row r="49" spans="1:19">
      <c r="A49" s="74">
        <v>48</v>
      </c>
      <c r="B49" s="75" t="str">
        <f>IF($V$4=0,IF($J49="","",$J49),IFERROR(IF([2]入库吨位汇总!$B$48=0,"",[2]入库吨位汇总!$B$48),""))</f>
        <v/>
      </c>
      <c r="C49" s="75" t="str">
        <f>IF($V$4=0,IF($K49="","",$K49),IFERROR(IF([2]入库吨位汇总!$C$48=0,"",[2]入库吨位汇总!$C$48),""))</f>
        <v/>
      </c>
      <c r="D49" s="42" t="str">
        <f>IF($V$4=0,IF($L49="","",$L49),IFERROR(IF([2]入库吨位汇总!$D$48=0,"",[2]入库吨位汇总!$D$48),""))</f>
        <v/>
      </c>
      <c r="E49" s="42" t="str">
        <f>IF($V$4=0,IF($M49="","",$M49),IFERROR(IF([2]入库吨位汇总!$E$48=0,"",[2]入库吨位汇总!$E$48),""))</f>
        <v/>
      </c>
      <c r="F49" s="76" t="str">
        <f>IF($V$4=0,IF($N49="","",$N49),IFERROR(IF([2]入库吨位汇总!$K$48=0,"",[2]入库吨位汇总!$K$48),""))</f>
        <v/>
      </c>
      <c r="G49" s="122" t="str">
        <f>IF($V$4=0,IF($O49="","",$O49),IFERROR(IF([2]入库吨位汇总!$L$48=0,"",[2]入库吨位汇总!$L$48),""))</f>
        <v/>
      </c>
      <c r="H49" s="76" t="str">
        <f>IF($V$4=0,IF($P49="","",$P49),IFERROR(IF([2]入库吨位汇总!$H$48=0,"",[2]入库吨位汇总!$H$48),""))</f>
        <v/>
      </c>
      <c r="I49" s="76" t="str">
        <f>IF($V$4=0,IF($Q49="","",$Q49),IFERROR(IF([2]入库吨位汇总!$I$48=0,"",[2]入库吨位汇总!$I$48),""))</f>
        <v/>
      </c>
      <c r="J49" s="116"/>
      <c r="K49" s="116"/>
      <c r="L49" s="131"/>
      <c r="M49" s="131"/>
      <c r="N49" s="132"/>
      <c r="O49" s="132"/>
      <c r="P49" s="132"/>
      <c r="Q49" s="132"/>
      <c r="R49" s="133">
        <f t="shared" si="0"/>
        <v>0</v>
      </c>
      <c r="S49" s="133">
        <f t="shared" si="1"/>
        <v>17</v>
      </c>
    </row>
    <row r="50" spans="1:19">
      <c r="A50" s="74">
        <v>49</v>
      </c>
      <c r="B50" s="75" t="str">
        <f>IF($V$4=0,IF($J50="","",$J50),IFERROR(IF([2]入库吨位汇总!$B$49=0,"",[2]入库吨位汇总!$B$49),""))</f>
        <v/>
      </c>
      <c r="C50" s="75" t="str">
        <f>IF($V$4=0,IF($K50="","",$K50),IFERROR(IF([2]入库吨位汇总!$C$49=0,"",[2]入库吨位汇总!$C$49),""))</f>
        <v/>
      </c>
      <c r="D50" s="42" t="str">
        <f>IF($V$4=0,IF($L50="","",$L50),IFERROR(IF([2]入库吨位汇总!$D$49=0,"",[2]入库吨位汇总!$D$49),""))</f>
        <v/>
      </c>
      <c r="E50" s="42" t="str">
        <f>IF($V$4=0,IF($M50="","",$M50),IFERROR(IF([2]入库吨位汇总!$E$49=0,"",[2]入库吨位汇总!$E$49),""))</f>
        <v/>
      </c>
      <c r="F50" s="76" t="str">
        <f>IF($V$4=0,IF($N50="","",$N50),IFERROR(IF([2]入库吨位汇总!$K$49=0,"",[2]入库吨位汇总!$K$49),""))</f>
        <v/>
      </c>
      <c r="G50" s="122" t="str">
        <f>IF($V$4=0,IF($O50="","",$O50),IFERROR(IF([2]入库吨位汇总!$L$49=0,"",[2]入库吨位汇总!$L$49),""))</f>
        <v/>
      </c>
      <c r="H50" s="76" t="str">
        <f>IF($V$4=0,IF($P50="","",$P50),IFERROR(IF([2]入库吨位汇总!$H$49=0,"",[2]入库吨位汇总!$H$49),""))</f>
        <v/>
      </c>
      <c r="I50" s="76" t="str">
        <f>IF($V$4=0,IF($Q50="","",$Q50),IFERROR(IF([2]入库吨位汇总!$I$49=0,"",[2]入库吨位汇总!$I$49),""))</f>
        <v/>
      </c>
      <c r="J50" s="116"/>
      <c r="K50" s="116"/>
      <c r="L50" s="131"/>
      <c r="M50" s="131"/>
      <c r="N50" s="132"/>
      <c r="O50" s="132"/>
      <c r="P50" s="132"/>
      <c r="Q50" s="132"/>
      <c r="R50" s="133">
        <f t="shared" si="0"/>
        <v>0</v>
      </c>
      <c r="S50" s="133">
        <f t="shared" si="1"/>
        <v>17</v>
      </c>
    </row>
    <row r="51" spans="1:19">
      <c r="A51" s="74">
        <v>50</v>
      </c>
      <c r="B51" s="75" t="str">
        <f>IF($V$4=0,IF($J51="","",$J51),IFERROR(IF([2]入库吨位汇总!$B$50=0,"",[2]入库吨位汇总!$B$50),""))</f>
        <v/>
      </c>
      <c r="C51" s="75" t="str">
        <f>IF($V$4=0,IF($K51="","",$K51),IFERROR(IF([2]入库吨位汇总!$C$50=0,"",[2]入库吨位汇总!$C$50),""))</f>
        <v/>
      </c>
      <c r="D51" s="42" t="str">
        <f>IF($V$4=0,IF($L51="","",$L51),IFERROR(IF([2]入库吨位汇总!$D$50=0,"",[2]入库吨位汇总!$D$50),""))</f>
        <v/>
      </c>
      <c r="E51" s="42" t="str">
        <f>IF($V$4=0,IF($M51="","",$M51),IFERROR(IF([2]入库吨位汇总!$E$50=0,"",[2]入库吨位汇总!$E$50),""))</f>
        <v/>
      </c>
      <c r="F51" s="76" t="str">
        <f>IF($V$4=0,IF($N51="","",$N51),IFERROR(IF([2]入库吨位汇总!$K$50=0,"",[2]入库吨位汇总!$K$50),""))</f>
        <v/>
      </c>
      <c r="G51" s="122" t="str">
        <f>IF($V$4=0,IF($O51="","",$O51),IFERROR(IF([2]入库吨位汇总!$L$50=0,"",[2]入库吨位汇总!$L$50),""))</f>
        <v/>
      </c>
      <c r="H51" s="76" t="str">
        <f>IF($V$4=0,IF($P51="","",$P51),IFERROR(IF([2]入库吨位汇总!$H$50=0,"",[2]入库吨位汇总!$H$50),""))</f>
        <v/>
      </c>
      <c r="I51" s="76" t="str">
        <f>IF($V$4=0,IF($Q51="","",$Q51),IFERROR(IF([2]入库吨位汇总!$I$50=0,"",[2]入库吨位汇总!$I$50),""))</f>
        <v/>
      </c>
      <c r="J51" s="116"/>
      <c r="K51" s="116"/>
      <c r="L51" s="131"/>
      <c r="M51" s="131"/>
      <c r="N51" s="132"/>
      <c r="O51" s="132"/>
      <c r="P51" s="132"/>
      <c r="Q51" s="132"/>
      <c r="R51" s="133">
        <f t="shared" si="0"/>
        <v>0</v>
      </c>
      <c r="S51" s="133">
        <f t="shared" si="1"/>
        <v>17</v>
      </c>
    </row>
    <row r="52" spans="1:19">
      <c r="A52" s="74">
        <v>51</v>
      </c>
      <c r="B52" s="75" t="str">
        <f>IF($V$4=0,IF($J52="","",$J52),IFERROR(IF([2]入库吨位汇总!$B$51=0,"",[2]入库吨位汇总!$B$51),""))</f>
        <v/>
      </c>
      <c r="C52" s="75" t="str">
        <f>IF($V$4=0,IF($K52="","",$K52),IFERROR(IF([2]入库吨位汇总!$C$51=0,"",[2]入库吨位汇总!$C$51),""))</f>
        <v/>
      </c>
      <c r="D52" s="42" t="str">
        <f>IF($V$4=0,IF($L52="","",$L52),IFERROR(IF([2]入库吨位汇总!$D$51=0,"",[2]入库吨位汇总!$D$51),""))</f>
        <v/>
      </c>
      <c r="E52" s="42" t="str">
        <f>IF($V$4=0,IF($M52="","",$M52),IFERROR(IF([2]入库吨位汇总!$E$51=0,"",[2]入库吨位汇总!$E$51),""))</f>
        <v/>
      </c>
      <c r="F52" s="76" t="str">
        <f>IF($V$4=0,IF($N52="","",$N52),IFERROR(IF([2]入库吨位汇总!$K$51=0,"",[2]入库吨位汇总!$K$51),""))</f>
        <v/>
      </c>
      <c r="G52" s="122" t="str">
        <f>IF($V$4=0,IF($O52="","",$O52),IFERROR(IF([2]入库吨位汇总!$L$51=0,"",[2]入库吨位汇总!$L$51),""))</f>
        <v/>
      </c>
      <c r="H52" s="76" t="str">
        <f>IF($V$4=0,IF($P52="","",$P52),IFERROR(IF([2]入库吨位汇总!$H$51=0,"",[2]入库吨位汇总!$H$51),""))</f>
        <v/>
      </c>
      <c r="I52" s="76" t="str">
        <f>IF($V$4=0,IF($Q52="","",$Q52),IFERROR(IF([2]入库吨位汇总!$I$51=0,"",[2]入库吨位汇总!$I$51),""))</f>
        <v/>
      </c>
      <c r="J52" s="116"/>
      <c r="K52" s="116"/>
      <c r="L52" s="131"/>
      <c r="M52" s="131"/>
      <c r="N52" s="132"/>
      <c r="O52" s="132"/>
      <c r="P52" s="132"/>
      <c r="Q52" s="132"/>
      <c r="R52" s="133">
        <f t="shared" si="0"/>
        <v>0</v>
      </c>
      <c r="S52" s="133">
        <f t="shared" si="1"/>
        <v>17</v>
      </c>
    </row>
    <row r="53" spans="1:19">
      <c r="A53" s="74">
        <v>52</v>
      </c>
      <c r="B53" s="75" t="str">
        <f>IF($V$4=0,IF($J53="","",$J53),IFERROR(IF([2]入库吨位汇总!$B$52=0,"",[2]入库吨位汇总!$B$52),""))</f>
        <v/>
      </c>
      <c r="C53" s="75" t="str">
        <f>IF($V$4=0,IF($K53="","",$K53),IFERROR(IF([2]入库吨位汇总!$C$52=0,"",[2]入库吨位汇总!$C$52),""))</f>
        <v/>
      </c>
      <c r="D53" s="42" t="str">
        <f>IF($V$4=0,IF($L53="","",$L53),IFERROR(IF([2]入库吨位汇总!$D$52=0,"",[2]入库吨位汇总!$D$52),""))</f>
        <v/>
      </c>
      <c r="E53" s="42" t="str">
        <f>IF($V$4=0,IF($M53="","",$M53),IFERROR(IF([2]入库吨位汇总!$E$52=0,"",[2]入库吨位汇总!$E$52),""))</f>
        <v/>
      </c>
      <c r="F53" s="76" t="str">
        <f>IF($V$4=0,IF($N53="","",$N53),IFERROR(IF([2]入库吨位汇总!$K$52=0,"",[2]入库吨位汇总!$K$52),""))</f>
        <v/>
      </c>
      <c r="G53" s="122" t="str">
        <f>IF($V$4=0,IF($O53="","",$O53),IFERROR(IF([2]入库吨位汇总!$L$52=0,"",[2]入库吨位汇总!$L$52),""))</f>
        <v/>
      </c>
      <c r="H53" s="76" t="str">
        <f>IF($V$4=0,IF($P53="","",$P53),IFERROR(IF([2]入库吨位汇总!$H$52=0,"",[2]入库吨位汇总!$H$52),""))</f>
        <v/>
      </c>
      <c r="I53" s="76" t="str">
        <f>IF($V$4=0,IF($Q53="","",$Q53),IFERROR(IF([2]入库吨位汇总!$I$52=0,"",[2]入库吨位汇总!$I$52),""))</f>
        <v/>
      </c>
      <c r="J53" s="116"/>
      <c r="K53" s="116"/>
      <c r="L53" s="131"/>
      <c r="M53" s="131"/>
      <c r="N53" s="132"/>
      <c r="O53" s="132"/>
      <c r="P53" s="132"/>
      <c r="Q53" s="132"/>
      <c r="R53" s="133">
        <f t="shared" si="0"/>
        <v>0</v>
      </c>
      <c r="S53" s="133">
        <f t="shared" si="1"/>
        <v>17</v>
      </c>
    </row>
    <row r="54" spans="1:19">
      <c r="A54" s="74">
        <v>53</v>
      </c>
      <c r="B54" s="75" t="str">
        <f>IF($V$4=0,IF($J54="","",$J54),IFERROR(IF([2]入库吨位汇总!$B$53=0,"",[2]入库吨位汇总!$B$53),""))</f>
        <v/>
      </c>
      <c r="C54" s="75" t="str">
        <f>IF($V$4=0,IF($K54="","",$K54),IFERROR(IF([2]入库吨位汇总!$C$53=0,"",[2]入库吨位汇总!$C$53),""))</f>
        <v/>
      </c>
      <c r="D54" s="42" t="str">
        <f>IF($V$4=0,IF($L54="","",$L54),IFERROR(IF([2]入库吨位汇总!$D$53=0,"",[2]入库吨位汇总!$D$53),""))</f>
        <v/>
      </c>
      <c r="E54" s="42" t="str">
        <f>IF($V$4=0,IF($M54="","",$M54),IFERROR(IF([2]入库吨位汇总!$E$53=0,"",[2]入库吨位汇总!$E$53),""))</f>
        <v/>
      </c>
      <c r="F54" s="76" t="str">
        <f>IF($V$4=0,IF($N54="","",$N54),IFERROR(IF([2]入库吨位汇总!$K$53=0,"",[2]入库吨位汇总!$K$53),""))</f>
        <v/>
      </c>
      <c r="G54" s="122" t="str">
        <f>IF($V$4=0,IF($O54="","",$O54),IFERROR(IF([2]入库吨位汇总!$L$53=0,"",[2]入库吨位汇总!$L$53),""))</f>
        <v/>
      </c>
      <c r="H54" s="76" t="str">
        <f>IF($V$4=0,IF($P54="","",$P54),IFERROR(IF([2]入库吨位汇总!$H$53=0,"",[2]入库吨位汇总!$H$53),""))</f>
        <v/>
      </c>
      <c r="I54" s="76" t="str">
        <f>IF($V$4=0,IF($Q54="","",$Q54),IFERROR(IF([2]入库吨位汇总!$I$53=0,"",[2]入库吨位汇总!$I$53),""))</f>
        <v/>
      </c>
      <c r="J54" s="116"/>
      <c r="K54" s="116"/>
      <c r="L54" s="131"/>
      <c r="M54" s="131"/>
      <c r="N54" s="132"/>
      <c r="O54" s="132"/>
      <c r="P54" s="132"/>
      <c r="Q54" s="132"/>
      <c r="R54" s="133">
        <f t="shared" si="0"/>
        <v>0</v>
      </c>
      <c r="S54" s="133">
        <f t="shared" si="1"/>
        <v>17</v>
      </c>
    </row>
    <row r="55" spans="1:19">
      <c r="A55" s="74">
        <v>54</v>
      </c>
      <c r="B55" s="75" t="str">
        <f>IF($V$4=0,IF($J55="","",$J55),IFERROR(IF([2]入库吨位汇总!$B$54=0,"",[2]入库吨位汇总!$B$54),""))</f>
        <v/>
      </c>
      <c r="C55" s="75" t="str">
        <f>IF($V$4=0,IF($K55="","",$K55),IFERROR(IF([2]入库吨位汇总!$C$54=0,"",[2]入库吨位汇总!$C$54),""))</f>
        <v/>
      </c>
      <c r="D55" s="42" t="str">
        <f>IF($V$4=0,IF($L55="","",$L55),IFERROR(IF([2]入库吨位汇总!$D$54=0,"",[2]入库吨位汇总!$D$54),""))</f>
        <v/>
      </c>
      <c r="E55" s="42" t="str">
        <f>IF($V$4=0,IF($M55="","",$M55),IFERROR(IF([2]入库吨位汇总!$E$54=0,"",[2]入库吨位汇总!$E$54),""))</f>
        <v/>
      </c>
      <c r="F55" s="76" t="str">
        <f>IF($V$4=0,IF($N55="","",$N55),IFERROR(IF([2]入库吨位汇总!$K$54=0,"",[2]入库吨位汇总!$K$54),""))</f>
        <v/>
      </c>
      <c r="G55" s="122" t="str">
        <f>IF($V$4=0,IF($O55="","",$O55),IFERROR(IF([2]入库吨位汇总!$L$54=0,"",[2]入库吨位汇总!$L$54),""))</f>
        <v/>
      </c>
      <c r="H55" s="76" t="str">
        <f>IF($V$4=0,IF($P55="","",$P55),IFERROR(IF([2]入库吨位汇总!$H$54=0,"",[2]入库吨位汇总!$H$54),""))</f>
        <v/>
      </c>
      <c r="I55" s="76" t="str">
        <f>IF($V$4=0,IF($Q55="","",$Q55),IFERROR(IF([2]入库吨位汇总!$I$54=0,"",[2]入库吨位汇总!$I$54),""))</f>
        <v/>
      </c>
      <c r="J55" s="116"/>
      <c r="K55" s="116"/>
      <c r="L55" s="131"/>
      <c r="M55" s="131"/>
      <c r="N55" s="132"/>
      <c r="O55" s="132"/>
      <c r="P55" s="132"/>
      <c r="Q55" s="132"/>
      <c r="R55" s="133">
        <f t="shared" si="0"/>
        <v>0</v>
      </c>
      <c r="S55" s="133">
        <f t="shared" si="1"/>
        <v>17</v>
      </c>
    </row>
    <row r="56" spans="1:19">
      <c r="A56" s="74">
        <v>55</v>
      </c>
      <c r="B56" s="75" t="str">
        <f>IF($V$4=0,IF($J56="","",$J56),IFERROR(IF([2]入库吨位汇总!$B$55=0,"",[2]入库吨位汇总!$B$55),""))</f>
        <v/>
      </c>
      <c r="C56" s="75" t="str">
        <f>IF($V$4=0,IF($K56="","",$K56),IFERROR(IF([2]入库吨位汇总!$C$55=0,"",[2]入库吨位汇总!$C$55),""))</f>
        <v/>
      </c>
      <c r="D56" s="42" t="str">
        <f>IF($V$4=0,IF($L56="","",$L56),IFERROR(IF([2]入库吨位汇总!$D$55=0,"",[2]入库吨位汇总!$D$55),""))</f>
        <v/>
      </c>
      <c r="E56" s="42" t="str">
        <f>IF($V$4=0,IF($M56="","",$M56),IFERROR(IF([2]入库吨位汇总!$E$55=0,"",[2]入库吨位汇总!$E$55),""))</f>
        <v/>
      </c>
      <c r="F56" s="76" t="str">
        <f>IF($V$4=0,IF($N56="","",$N56),IFERROR(IF([2]入库吨位汇总!$K$55=0,"",[2]入库吨位汇总!$K$55),""))</f>
        <v/>
      </c>
      <c r="G56" s="122" t="str">
        <f>IF($V$4=0,IF($O56="","",$O56),IFERROR(IF([2]入库吨位汇总!$L$55=0,"",[2]入库吨位汇总!$L$55),""))</f>
        <v/>
      </c>
      <c r="H56" s="76" t="str">
        <f>IF($V$4=0,IF($P56="","",$P56),IFERROR(IF([2]入库吨位汇总!$H$55=0,"",[2]入库吨位汇总!$H$55),""))</f>
        <v/>
      </c>
      <c r="I56" s="76" t="str">
        <f>IF($V$4=0,IF($Q56="","",$Q56),IFERROR(IF([2]入库吨位汇总!$I$55=0,"",[2]入库吨位汇总!$I$55),""))</f>
        <v/>
      </c>
      <c r="J56" s="116"/>
      <c r="K56" s="116"/>
      <c r="L56" s="131"/>
      <c r="M56" s="131"/>
      <c r="N56" s="132"/>
      <c r="O56" s="132"/>
      <c r="P56" s="132"/>
      <c r="Q56" s="132"/>
      <c r="R56" s="133">
        <f t="shared" si="0"/>
        <v>0</v>
      </c>
      <c r="S56" s="133">
        <f t="shared" si="1"/>
        <v>17</v>
      </c>
    </row>
    <row r="57" spans="1:19">
      <c r="A57" s="74">
        <v>56</v>
      </c>
      <c r="B57" s="75" t="str">
        <f>IF($V$4=0,IF($J57="","",$J57),IFERROR(IF([2]入库吨位汇总!$B$56=0,"",[2]入库吨位汇总!$B$56),""))</f>
        <v/>
      </c>
      <c r="C57" s="75" t="str">
        <f>IF($V$4=0,IF($K57="","",$K57),IFERROR(IF([2]入库吨位汇总!$C$56=0,"",[2]入库吨位汇总!$C$56),""))</f>
        <v/>
      </c>
      <c r="D57" s="42" t="str">
        <f>IF($V$4=0,IF($L57="","",$L57),IFERROR(IF([2]入库吨位汇总!$D$56=0,"",[2]入库吨位汇总!$D$56),""))</f>
        <v/>
      </c>
      <c r="E57" s="42" t="str">
        <f>IF($V$4=0,IF($M57="","",$M57),IFERROR(IF([2]入库吨位汇总!$E$56=0,"",[2]入库吨位汇总!$E$56),""))</f>
        <v/>
      </c>
      <c r="F57" s="76" t="str">
        <f>IF($V$4=0,IF($N57="","",$N57),IFERROR(IF([2]入库吨位汇总!$K$56=0,"",[2]入库吨位汇总!$K$56),""))</f>
        <v/>
      </c>
      <c r="G57" s="122" t="str">
        <f>IF($V$4=0,IF($O57="","",$O57),IFERROR(IF([2]入库吨位汇总!$L$56=0,"",[2]入库吨位汇总!$L$56),""))</f>
        <v/>
      </c>
      <c r="H57" s="76" t="str">
        <f>IF($V$4=0,IF($P57="","",$P57),IFERROR(IF([2]入库吨位汇总!$H$56=0,"",[2]入库吨位汇总!$H$56),""))</f>
        <v/>
      </c>
      <c r="I57" s="76" t="str">
        <f>IF($V$4=0,IF($Q57="","",$Q57),IFERROR(IF([2]入库吨位汇总!$I$56=0,"",[2]入库吨位汇总!$I$56),""))</f>
        <v/>
      </c>
      <c r="J57" s="116"/>
      <c r="K57" s="116"/>
      <c r="L57" s="131"/>
      <c r="M57" s="131"/>
      <c r="N57" s="132"/>
      <c r="O57" s="132"/>
      <c r="P57" s="132"/>
      <c r="Q57" s="132"/>
      <c r="R57" s="133">
        <f t="shared" si="0"/>
        <v>0</v>
      </c>
      <c r="S57" s="133">
        <f t="shared" si="1"/>
        <v>17</v>
      </c>
    </row>
    <row r="58" spans="1:19">
      <c r="A58" s="74">
        <v>57</v>
      </c>
      <c r="B58" s="75" t="str">
        <f>IF($V$4=0,IF($J58="","",$J58),IFERROR(IF([2]入库吨位汇总!$B$57=0,"",[2]入库吨位汇总!$B$57),""))</f>
        <v/>
      </c>
      <c r="C58" s="75" t="str">
        <f>IF($V$4=0,IF($K58="","",$K58),IFERROR(IF([2]入库吨位汇总!$C$57=0,"",[2]入库吨位汇总!$C$57),""))</f>
        <v/>
      </c>
      <c r="D58" s="42" t="str">
        <f>IF($V$4=0,IF($L58="","",$L58),IFERROR(IF([2]入库吨位汇总!$D$57=0,"",[2]入库吨位汇总!$D$57),""))</f>
        <v/>
      </c>
      <c r="E58" s="42" t="str">
        <f>IF($V$4=0,IF($M58="","",$M58),IFERROR(IF([2]入库吨位汇总!$E$57=0,"",[2]入库吨位汇总!$E$57),""))</f>
        <v/>
      </c>
      <c r="F58" s="76" t="str">
        <f>IF($V$4=0,IF($N58="","",$N58),IFERROR(IF([2]入库吨位汇总!$K$57=0,"",[2]入库吨位汇总!$K$57),""))</f>
        <v/>
      </c>
      <c r="G58" s="122" t="str">
        <f>IF($V$4=0,IF($O58="","",$O58),IFERROR(IF([2]入库吨位汇总!$L$57=0,"",[2]入库吨位汇总!$L$57),""))</f>
        <v/>
      </c>
      <c r="H58" s="76" t="str">
        <f>IF($V$4=0,IF($P58="","",$P58),IFERROR(IF([2]入库吨位汇总!$H$57=0,"",[2]入库吨位汇总!$H$57),""))</f>
        <v/>
      </c>
      <c r="I58" s="76" t="str">
        <f>IF($V$4=0,IF($Q58="","",$Q58),IFERROR(IF([2]入库吨位汇总!$I$57=0,"",[2]入库吨位汇总!$I$57),""))</f>
        <v/>
      </c>
      <c r="J58" s="116"/>
      <c r="K58" s="116"/>
      <c r="L58" s="131"/>
      <c r="M58" s="131"/>
      <c r="N58" s="132"/>
      <c r="O58" s="132"/>
      <c r="P58" s="132"/>
      <c r="Q58" s="132"/>
      <c r="R58" s="133">
        <f t="shared" si="0"/>
        <v>0</v>
      </c>
      <c r="S58" s="133">
        <f t="shared" si="1"/>
        <v>17</v>
      </c>
    </row>
    <row r="59" spans="1:19">
      <c r="A59" s="74">
        <v>58</v>
      </c>
      <c r="B59" s="75" t="str">
        <f>IF($V$4=0,IF($J59="","",$J59),IFERROR(IF([2]入库吨位汇总!$B$58=0,"",[2]入库吨位汇总!$B$58),""))</f>
        <v/>
      </c>
      <c r="C59" s="75" t="str">
        <f>IF($V$4=0,IF($K59="","",$K59),IFERROR(IF([2]入库吨位汇总!$C$58=0,"",[2]入库吨位汇总!$C$58),""))</f>
        <v/>
      </c>
      <c r="D59" s="42" t="str">
        <f>IF($V$4=0,IF($L59="","",$L59),IFERROR(IF([2]入库吨位汇总!$D$58=0,"",[2]入库吨位汇总!$D$58),""))</f>
        <v/>
      </c>
      <c r="E59" s="42" t="str">
        <f>IF($V$4=0,IF($M59="","",$M59),IFERROR(IF([2]入库吨位汇总!$E$58=0,"",[2]入库吨位汇总!$E$58),""))</f>
        <v/>
      </c>
      <c r="F59" s="76" t="str">
        <f>IF($V$4=0,IF($N59="","",$N59),IFERROR(IF([2]入库吨位汇总!$K$58=0,"",[2]入库吨位汇总!$K$58),""))</f>
        <v/>
      </c>
      <c r="G59" s="122" t="str">
        <f>IF($V$4=0,IF($O59="","",$O59),IFERROR(IF([2]入库吨位汇总!$L$58=0,"",[2]入库吨位汇总!$L$58),""))</f>
        <v/>
      </c>
      <c r="H59" s="76" t="str">
        <f>IF($V$4=0,IF($P59="","",$P59),IFERROR(IF([2]入库吨位汇总!$H$58=0,"",[2]入库吨位汇总!$H$58),""))</f>
        <v/>
      </c>
      <c r="I59" s="76" t="str">
        <f>IF($V$4=0,IF($Q59="","",$Q59),IFERROR(IF([2]入库吨位汇总!$I$58=0,"",[2]入库吨位汇总!$I$58),""))</f>
        <v/>
      </c>
      <c r="J59" s="116"/>
      <c r="K59" s="116"/>
      <c r="L59" s="131"/>
      <c r="M59" s="131"/>
      <c r="N59" s="132"/>
      <c r="O59" s="132"/>
      <c r="P59" s="132"/>
      <c r="Q59" s="132"/>
      <c r="R59" s="133">
        <f t="shared" si="0"/>
        <v>0</v>
      </c>
      <c r="S59" s="133">
        <f t="shared" si="1"/>
        <v>17</v>
      </c>
    </row>
    <row r="60" spans="1:19">
      <c r="A60" s="74">
        <v>59</v>
      </c>
      <c r="B60" s="75" t="str">
        <f>IF($V$4=0,IF($J60="","",$J60),IFERROR(IF([2]入库吨位汇总!$B$59=0,"",[2]入库吨位汇总!$B$59),""))</f>
        <v/>
      </c>
      <c r="C60" s="75" t="str">
        <f>IF($V$4=0,IF($K60="","",$K60),IFERROR(IF([2]入库吨位汇总!$C$59=0,"",[2]入库吨位汇总!$C$59),""))</f>
        <v/>
      </c>
      <c r="D60" s="42" t="str">
        <f>IF($V$4=0,IF($L60="","",$L60),IFERROR(IF([2]入库吨位汇总!$D$59=0,"",[2]入库吨位汇总!$D$59),""))</f>
        <v/>
      </c>
      <c r="E60" s="42" t="str">
        <f>IF($V$4=0,IF($M60="","",$M60),IFERROR(IF([2]入库吨位汇总!$E$59=0,"",[2]入库吨位汇总!$E$59),""))</f>
        <v/>
      </c>
      <c r="F60" s="76" t="str">
        <f>IF($V$4=0,IF($N60="","",$N60),IFERROR(IF([2]入库吨位汇总!$K$59=0,"",[2]入库吨位汇总!$K$59),""))</f>
        <v/>
      </c>
      <c r="G60" s="122" t="str">
        <f>IF($V$4=0,IF($O60="","",$O60),IFERROR(IF([2]入库吨位汇总!$L$59=0,"",[2]入库吨位汇总!$L$59),""))</f>
        <v/>
      </c>
      <c r="H60" s="76" t="str">
        <f>IF($V$4=0,IF($P60="","",$P60),IFERROR(IF([2]入库吨位汇总!$H$59=0,"",[2]入库吨位汇总!$H$59),""))</f>
        <v/>
      </c>
      <c r="I60" s="76" t="str">
        <f>IF($V$4=0,IF($Q60="","",$Q60),IFERROR(IF([2]入库吨位汇总!$I$59=0,"",[2]入库吨位汇总!$I$59),""))</f>
        <v/>
      </c>
      <c r="J60" s="116"/>
      <c r="K60" s="116"/>
      <c r="L60" s="131"/>
      <c r="M60" s="131"/>
      <c r="N60" s="132"/>
      <c r="O60" s="132"/>
      <c r="P60" s="132"/>
      <c r="Q60" s="132"/>
      <c r="R60" s="133">
        <f t="shared" si="0"/>
        <v>0</v>
      </c>
      <c r="S60" s="133">
        <f t="shared" si="1"/>
        <v>17</v>
      </c>
    </row>
    <row r="61" spans="1:19">
      <c r="A61" s="74">
        <v>60</v>
      </c>
      <c r="B61" s="75" t="str">
        <f>IF($V$4=0,IF($J61="","",$J61),IFERROR(IF([2]入库吨位汇总!$B$60=0,"",[2]入库吨位汇总!$B$60),""))</f>
        <v/>
      </c>
      <c r="C61" s="75" t="str">
        <f>IF($V$4=0,IF($K61="","",$K61),IFERROR(IF([2]入库吨位汇总!$C$60=0,"",[2]入库吨位汇总!$C$60),""))</f>
        <v/>
      </c>
      <c r="D61" s="42" t="str">
        <f>IF($V$4=0,IF($L61="","",$L61),IFERROR(IF([2]入库吨位汇总!$D$60=0,"",[2]入库吨位汇总!$D$60),""))</f>
        <v/>
      </c>
      <c r="E61" s="42" t="str">
        <f>IF($V$4=0,IF($M61="","",$M61),IFERROR(IF([2]入库吨位汇总!$E$60=0,"",[2]入库吨位汇总!$E$60),""))</f>
        <v/>
      </c>
      <c r="F61" s="76" t="str">
        <f>IF($V$4=0,IF($N61="","",$N61),IFERROR(IF([2]入库吨位汇总!$K$60=0,"",[2]入库吨位汇总!$K$60),""))</f>
        <v/>
      </c>
      <c r="G61" s="122" t="str">
        <f>IF($V$4=0,IF($O61="","",$O61),IFERROR(IF([2]入库吨位汇总!$L$60=0,"",[2]入库吨位汇总!$L$60),""))</f>
        <v/>
      </c>
      <c r="H61" s="76" t="str">
        <f>IF($V$4=0,IF($P61="","",$P61),IFERROR(IF([2]入库吨位汇总!$H$60=0,"",[2]入库吨位汇总!$H$60),""))</f>
        <v/>
      </c>
      <c r="I61" s="76" t="str">
        <f>IF($V$4=0,IF($Q61="","",$Q61),IFERROR(IF([2]入库吨位汇总!$I$60=0,"",[2]入库吨位汇总!$I$60),""))</f>
        <v/>
      </c>
      <c r="J61" s="116"/>
      <c r="K61" s="116"/>
      <c r="L61" s="131"/>
      <c r="M61" s="131"/>
      <c r="N61" s="132"/>
      <c r="O61" s="132"/>
      <c r="P61" s="132"/>
      <c r="Q61" s="132"/>
      <c r="R61" s="133">
        <f t="shared" si="0"/>
        <v>0</v>
      </c>
      <c r="S61" s="133">
        <f t="shared" si="1"/>
        <v>17</v>
      </c>
    </row>
    <row r="62" spans="1:19">
      <c r="A62" s="74">
        <v>61</v>
      </c>
      <c r="B62" s="75" t="str">
        <f>IF($V$4=0,IF($J62="","",$J62),IFERROR(IF([2]入库吨位汇总!$B$61=0,"",[2]入库吨位汇总!$B$61),""))</f>
        <v/>
      </c>
      <c r="C62" s="75" t="str">
        <f>IF($V$4=0,IF($K62="","",$K62),IFERROR(IF([2]入库吨位汇总!$C$61=0,"",[2]入库吨位汇总!$C$61),""))</f>
        <v/>
      </c>
      <c r="D62" s="42" t="str">
        <f>IF($V$4=0,IF($L62="","",$L62),IFERROR(IF([2]入库吨位汇总!$D$61=0,"",[2]入库吨位汇总!$D$61),""))</f>
        <v/>
      </c>
      <c r="E62" s="42" t="str">
        <f>IF($V$4=0,IF($M62="","",$M62),IFERROR(IF([2]入库吨位汇总!$E$61=0,"",[2]入库吨位汇总!$E$61),""))</f>
        <v/>
      </c>
      <c r="F62" s="76" t="str">
        <f>IF($V$4=0,IF($N62="","",$N62),IFERROR(IF([2]入库吨位汇总!$K$61=0,"",[2]入库吨位汇总!$K$61),""))</f>
        <v/>
      </c>
      <c r="G62" s="122" t="str">
        <f>IF($V$4=0,IF($O62="","",$O62),IFERROR(IF([2]入库吨位汇总!$L$61=0,"",[2]入库吨位汇总!$L$61),""))</f>
        <v/>
      </c>
      <c r="H62" s="76" t="str">
        <f>IF($V$4=0,IF($P62="","",$P62),IFERROR(IF([2]入库吨位汇总!$H$61=0,"",[2]入库吨位汇总!$H$61),""))</f>
        <v/>
      </c>
      <c r="I62" s="76" t="str">
        <f>IF($V$4=0,IF($Q62="","",$Q62),IFERROR(IF([2]入库吨位汇总!$I$61=0,"",[2]入库吨位汇总!$I$61),""))</f>
        <v/>
      </c>
      <c r="J62" s="116"/>
      <c r="K62" s="116"/>
      <c r="L62" s="131"/>
      <c r="M62" s="131"/>
      <c r="N62" s="132"/>
      <c r="O62" s="132"/>
      <c r="P62" s="132"/>
      <c r="Q62" s="132"/>
      <c r="R62" s="133">
        <f t="shared" si="0"/>
        <v>0</v>
      </c>
      <c r="S62" s="133">
        <f t="shared" si="1"/>
        <v>17</v>
      </c>
    </row>
    <row r="63" spans="1:19">
      <c r="A63" s="74">
        <v>62</v>
      </c>
      <c r="B63" s="75" t="str">
        <f>IF($V$4=0,IF($J63="","",$J63),IFERROR(IF([2]入库吨位汇总!$B$62=0,"",[2]入库吨位汇总!$B$62),""))</f>
        <v/>
      </c>
      <c r="C63" s="75" t="str">
        <f>IF($V$4=0,IF($K63="","",$K63),IFERROR(IF([2]入库吨位汇总!$C$62=0,"",[2]入库吨位汇总!$C$62),""))</f>
        <v/>
      </c>
      <c r="D63" s="42" t="str">
        <f>IF($V$4=0,IF($L63="","",$L63),IFERROR(IF([2]入库吨位汇总!$D$62=0,"",[2]入库吨位汇总!$D$62),""))</f>
        <v/>
      </c>
      <c r="E63" s="42" t="str">
        <f>IF($V$4=0,IF($M63="","",$M63),IFERROR(IF([2]入库吨位汇总!$E$62=0,"",[2]入库吨位汇总!$E$62),""))</f>
        <v/>
      </c>
      <c r="F63" s="76" t="str">
        <f>IF($V$4=0,IF($N63="","",$N63),IFERROR(IF([2]入库吨位汇总!$K$62=0,"",[2]入库吨位汇总!$K$62),""))</f>
        <v/>
      </c>
      <c r="G63" s="122" t="str">
        <f>IF($V$4=0,IF($O63="","",$O63),IFERROR(IF([2]入库吨位汇总!$L$62=0,"",[2]入库吨位汇总!$L$62),""))</f>
        <v/>
      </c>
      <c r="H63" s="76" t="str">
        <f>IF($V$4=0,IF($P63="","",$P63),IFERROR(IF([2]入库吨位汇总!$H$62=0,"",[2]入库吨位汇总!$H$62),""))</f>
        <v/>
      </c>
      <c r="I63" s="76" t="str">
        <f>IF($V$4=0,IF($Q63="","",$Q63),IFERROR(IF([2]入库吨位汇总!$I$62=0,"",[2]入库吨位汇总!$I$62),""))</f>
        <v/>
      </c>
      <c r="J63" s="116"/>
      <c r="K63" s="116"/>
      <c r="L63" s="131"/>
      <c r="M63" s="131"/>
      <c r="N63" s="132"/>
      <c r="O63" s="132"/>
      <c r="P63" s="132"/>
      <c r="Q63" s="132"/>
      <c r="R63" s="133">
        <f t="shared" si="0"/>
        <v>0</v>
      </c>
      <c r="S63" s="133">
        <f t="shared" si="1"/>
        <v>17</v>
      </c>
    </row>
    <row r="64" spans="1:19">
      <c r="A64" s="74">
        <v>63</v>
      </c>
      <c r="B64" s="75" t="str">
        <f>IF($V$4=0,IF($J64="","",$J64),IFERROR(IF([2]入库吨位汇总!$B$63=0,"",[2]入库吨位汇总!$B$63),""))</f>
        <v/>
      </c>
      <c r="C64" s="75" t="str">
        <f>IF($V$4=0,IF($K64="","",$K64),IFERROR(IF([2]入库吨位汇总!$C$63=0,"",[2]入库吨位汇总!$C$63),""))</f>
        <v/>
      </c>
      <c r="D64" s="42" t="str">
        <f>IF($V$4=0,IF($L64="","",$L64),IFERROR(IF([2]入库吨位汇总!$D$63=0,"",[2]入库吨位汇总!$D$63),""))</f>
        <v/>
      </c>
      <c r="E64" s="42" t="str">
        <f>IF($V$4=0,IF($M64="","",$M64),IFERROR(IF([2]入库吨位汇总!$E$63=0,"",[2]入库吨位汇总!$E$63),""))</f>
        <v/>
      </c>
      <c r="F64" s="76" t="str">
        <f>IF($V$4=0,IF($N64="","",$N64),IFERROR(IF([2]入库吨位汇总!$K$63=0,"",[2]入库吨位汇总!$K$63),""))</f>
        <v/>
      </c>
      <c r="G64" s="122" t="str">
        <f>IF($V$4=0,IF($O64="","",$O64),IFERROR(IF([2]入库吨位汇总!$L$63=0,"",[2]入库吨位汇总!$L$63),""))</f>
        <v/>
      </c>
      <c r="H64" s="76" t="str">
        <f>IF($V$4=0,IF($P64="","",$P64),IFERROR(IF([2]入库吨位汇总!$H$63=0,"",[2]入库吨位汇总!$H$63),""))</f>
        <v/>
      </c>
      <c r="I64" s="76" t="str">
        <f>IF($V$4=0,IF($Q64="","",$Q64),IFERROR(IF([2]入库吨位汇总!$I$63=0,"",[2]入库吨位汇总!$I$63),""))</f>
        <v/>
      </c>
      <c r="J64" s="116"/>
      <c r="K64" s="116"/>
      <c r="L64" s="131"/>
      <c r="M64" s="131"/>
      <c r="N64" s="132"/>
      <c r="O64" s="132"/>
      <c r="P64" s="132"/>
      <c r="Q64" s="132"/>
      <c r="R64" s="133">
        <f t="shared" si="0"/>
        <v>0</v>
      </c>
      <c r="S64" s="133">
        <f t="shared" si="1"/>
        <v>17</v>
      </c>
    </row>
    <row r="65" spans="1:19">
      <c r="A65" s="74">
        <v>64</v>
      </c>
      <c r="B65" s="75" t="str">
        <f>IF($V$4=0,IF($J65="","",$J65),IFERROR(IF([2]入库吨位汇总!$B$64=0,"",[2]入库吨位汇总!$B$64),""))</f>
        <v/>
      </c>
      <c r="C65" s="75" t="str">
        <f>IF($V$4=0,IF($K65="","",$K65),IFERROR(IF([2]入库吨位汇总!$C$64=0,"",[2]入库吨位汇总!$C$64),""))</f>
        <v/>
      </c>
      <c r="D65" s="42" t="str">
        <f>IF($V$4=0,IF($L65="","",$L65),IFERROR(IF([2]入库吨位汇总!$D$64=0,"",[2]入库吨位汇总!$D$64),""))</f>
        <v/>
      </c>
      <c r="E65" s="42" t="str">
        <f>IF($V$4=0,IF($M65="","",$M65),IFERROR(IF([2]入库吨位汇总!$E$64=0,"",[2]入库吨位汇总!$E$64),""))</f>
        <v/>
      </c>
      <c r="F65" s="76" t="str">
        <f>IF($V$4=0,IF($N65="","",$N65),IFERROR(IF([2]入库吨位汇总!$K$64=0,"",[2]入库吨位汇总!$K$64),""))</f>
        <v/>
      </c>
      <c r="G65" s="122" t="str">
        <f>IF($V$4=0,IF($O65="","",$O65),IFERROR(IF([2]入库吨位汇总!$L$64=0,"",[2]入库吨位汇总!$L$64),""))</f>
        <v/>
      </c>
      <c r="H65" s="76" t="str">
        <f>IF($V$4=0,IF($P65="","",$P65),IFERROR(IF([2]入库吨位汇总!$H$64=0,"",[2]入库吨位汇总!$H$64),""))</f>
        <v/>
      </c>
      <c r="I65" s="76" t="str">
        <f>IF($V$4=0,IF($Q65="","",$Q65),IFERROR(IF([2]入库吨位汇总!$I$64=0,"",[2]入库吨位汇总!$I$64),""))</f>
        <v/>
      </c>
      <c r="J65" s="116"/>
      <c r="K65" s="116"/>
      <c r="L65" s="131"/>
      <c r="M65" s="131"/>
      <c r="N65" s="132"/>
      <c r="O65" s="132"/>
      <c r="P65" s="132"/>
      <c r="Q65" s="132"/>
      <c r="R65" s="133">
        <f t="shared" si="0"/>
        <v>0</v>
      </c>
      <c r="S65" s="133">
        <f t="shared" si="1"/>
        <v>17</v>
      </c>
    </row>
    <row r="66" spans="1:19">
      <c r="A66" s="74">
        <v>65</v>
      </c>
      <c r="B66" s="75" t="str">
        <f>IF($V$4=0,IF($J66="","",$J66),IFERROR(IF([2]入库吨位汇总!$B$65=0,"",[2]入库吨位汇总!$B$65),""))</f>
        <v/>
      </c>
      <c r="C66" s="75" t="str">
        <f>IF($V$4=0,IF($K66="","",$K66),IFERROR(IF([2]入库吨位汇总!$C$65=0,"",[2]入库吨位汇总!$C$65),""))</f>
        <v/>
      </c>
      <c r="D66" s="42" t="str">
        <f>IF($V$4=0,IF($L66="","",$L66),IFERROR(IF([2]入库吨位汇总!$D$65=0,"",[2]入库吨位汇总!$D$65),""))</f>
        <v/>
      </c>
      <c r="E66" s="42" t="str">
        <f>IF($V$4=0,IF($M66="","",$M66),IFERROR(IF([2]入库吨位汇总!$E$65=0,"",[2]入库吨位汇总!$E$65),""))</f>
        <v/>
      </c>
      <c r="F66" s="76" t="str">
        <f>IF($V$4=0,IF($N66="","",$N66),IFERROR(IF([2]入库吨位汇总!$K$65=0,"",[2]入库吨位汇总!$K$65),""))</f>
        <v/>
      </c>
      <c r="G66" s="122" t="str">
        <f>IF($V$4=0,IF($O66="","",$O66),IFERROR(IF([2]入库吨位汇总!$L$65=0,"",[2]入库吨位汇总!$L$65),""))</f>
        <v/>
      </c>
      <c r="H66" s="76" t="str">
        <f>IF($V$4=0,IF($P66="","",$P66),IFERROR(IF([2]入库吨位汇总!$H$65=0,"",[2]入库吨位汇总!$H$65),""))</f>
        <v/>
      </c>
      <c r="I66" s="76" t="str">
        <f>IF($V$4=0,IF($Q66="","",$Q66),IFERROR(IF([2]入库吨位汇总!$I$65=0,"",[2]入库吨位汇总!$I$65),""))</f>
        <v/>
      </c>
      <c r="J66" s="116"/>
      <c r="K66" s="116"/>
      <c r="L66" s="131"/>
      <c r="M66" s="131"/>
      <c r="N66" s="132"/>
      <c r="O66" s="132"/>
      <c r="P66" s="132"/>
      <c r="Q66" s="132"/>
      <c r="R66" s="133">
        <f t="shared" si="0"/>
        <v>0</v>
      </c>
      <c r="S66" s="133">
        <f t="shared" si="1"/>
        <v>17</v>
      </c>
    </row>
    <row r="67" spans="1:19">
      <c r="A67" s="74">
        <v>66</v>
      </c>
      <c r="B67" s="75" t="str">
        <f>IF($V$4=0,IF($J67="","",$J67),IFERROR(IF([2]入库吨位汇总!$B$66=0,"",[2]入库吨位汇总!$B$66),""))</f>
        <v/>
      </c>
      <c r="C67" s="75" t="str">
        <f>IF($V$4=0,IF($K67="","",$K67),IFERROR(IF([2]入库吨位汇总!$C$66=0,"",[2]入库吨位汇总!$C$66),""))</f>
        <v/>
      </c>
      <c r="D67" s="42" t="str">
        <f>IF($V$4=0,IF($L67="","",$L67),IFERROR(IF([2]入库吨位汇总!$D$66=0,"",[2]入库吨位汇总!$D$66),""))</f>
        <v/>
      </c>
      <c r="E67" s="42" t="str">
        <f>IF($V$4=0,IF($M67="","",$M67),IFERROR(IF([2]入库吨位汇总!$E$66=0,"",[2]入库吨位汇总!$E$66),""))</f>
        <v/>
      </c>
      <c r="F67" s="76" t="str">
        <f>IF($V$4=0,IF($N67="","",$N67),IFERROR(IF([2]入库吨位汇总!$K$66=0,"",[2]入库吨位汇总!$K$66),""))</f>
        <v/>
      </c>
      <c r="G67" s="122" t="str">
        <f>IF($V$4=0,IF($O67="","",$O67),IFERROR(IF([2]入库吨位汇总!$L$66=0,"",[2]入库吨位汇总!$L$66),""))</f>
        <v/>
      </c>
      <c r="H67" s="76" t="str">
        <f>IF($V$4=0,IF($P67="","",$P67),IFERROR(IF([2]入库吨位汇总!$H$66=0,"",[2]入库吨位汇总!$H$66),""))</f>
        <v/>
      </c>
      <c r="I67" s="76" t="str">
        <f>IF($V$4=0,IF($Q67="","",$Q67),IFERROR(IF([2]入库吨位汇总!$I$66=0,"",[2]入库吨位汇总!$I$66),""))</f>
        <v/>
      </c>
      <c r="J67" s="116"/>
      <c r="K67" s="116"/>
      <c r="L67" s="131"/>
      <c r="M67" s="131"/>
      <c r="N67" s="132"/>
      <c r="O67" s="132"/>
      <c r="P67" s="132"/>
      <c r="Q67" s="132"/>
      <c r="R67" s="133">
        <f t="shared" si="0"/>
        <v>0</v>
      </c>
      <c r="S67" s="133">
        <f t="shared" si="1"/>
        <v>17</v>
      </c>
    </row>
    <row r="68" spans="1:19">
      <c r="A68" s="74">
        <v>67</v>
      </c>
      <c r="B68" s="75" t="str">
        <f>IF($V$4=0,IF($J68="","",$J68),IFERROR(IF([2]入库吨位汇总!$B$67=0,"",[2]入库吨位汇总!$B$67),""))</f>
        <v/>
      </c>
      <c r="C68" s="75" t="str">
        <f>IF($V$4=0,IF($K68="","",$K68),IFERROR(IF([2]入库吨位汇总!$C$67=0,"",[2]入库吨位汇总!$C$67),""))</f>
        <v/>
      </c>
      <c r="D68" s="42" t="str">
        <f>IF($V$4=0,IF($L68="","",$L68),IFERROR(IF([2]入库吨位汇总!$D$67=0,"",[2]入库吨位汇总!$D$67),""))</f>
        <v/>
      </c>
      <c r="E68" s="42" t="str">
        <f>IF($V$4=0,IF($M68="","",$M68),IFERROR(IF([2]入库吨位汇总!$E$67=0,"",[2]入库吨位汇总!$E$67),""))</f>
        <v/>
      </c>
      <c r="F68" s="76" t="str">
        <f>IF($V$4=0,IF($N68="","",$N68),IFERROR(IF([2]入库吨位汇总!$K$67=0,"",[2]入库吨位汇总!$K$67),""))</f>
        <v/>
      </c>
      <c r="G68" s="122" t="str">
        <f>IF($V$4=0,IF($O68="","",$O68),IFERROR(IF([2]入库吨位汇总!$L$67=0,"",[2]入库吨位汇总!$L$67),""))</f>
        <v/>
      </c>
      <c r="H68" s="76" t="str">
        <f>IF($V$4=0,IF($P68="","",$P68),IFERROR(IF([2]入库吨位汇总!$H$67=0,"",[2]入库吨位汇总!$H$67),""))</f>
        <v/>
      </c>
      <c r="I68" s="76" t="str">
        <f>IF($V$4=0,IF($Q68="","",$Q68),IFERROR(IF([2]入库吨位汇总!$I$67=0,"",[2]入库吨位汇总!$I$67),""))</f>
        <v/>
      </c>
      <c r="J68" s="116"/>
      <c r="K68" s="116"/>
      <c r="L68" s="131"/>
      <c r="M68" s="131"/>
      <c r="N68" s="132"/>
      <c r="O68" s="132"/>
      <c r="P68" s="132"/>
      <c r="Q68" s="132"/>
      <c r="R68" s="133">
        <f t="shared" si="0"/>
        <v>0</v>
      </c>
      <c r="S68" s="133">
        <f t="shared" si="1"/>
        <v>17</v>
      </c>
    </row>
    <row r="69" spans="1:19">
      <c r="A69" s="74">
        <v>68</v>
      </c>
      <c r="B69" s="75" t="str">
        <f>IF($V$4=0,IF($J69="","",$J69),IFERROR(IF([2]入库吨位汇总!$B$68=0,"",[2]入库吨位汇总!$B$68),""))</f>
        <v/>
      </c>
      <c r="C69" s="75" t="str">
        <f>IF($V$4=0,IF($K69="","",$K69),IFERROR(IF([2]入库吨位汇总!$C$68=0,"",[2]入库吨位汇总!$C$68),""))</f>
        <v/>
      </c>
      <c r="D69" s="42" t="str">
        <f>IF($V$4=0,IF($L69="","",$L69),IFERROR(IF([2]入库吨位汇总!$D$68=0,"",[2]入库吨位汇总!$D$68),""))</f>
        <v/>
      </c>
      <c r="E69" s="42" t="str">
        <f>IF($V$4=0,IF($M69="","",$M69),IFERROR(IF([2]入库吨位汇总!$E$68=0,"",[2]入库吨位汇总!$E$68),""))</f>
        <v/>
      </c>
      <c r="F69" s="76" t="str">
        <f>IF($V$4=0,IF($N69="","",$N69),IFERROR(IF([2]入库吨位汇总!$K$68=0,"",[2]入库吨位汇总!$K$68),""))</f>
        <v/>
      </c>
      <c r="G69" s="122" t="str">
        <f>IF($V$4=0,IF($O69="","",$O69),IFERROR(IF([2]入库吨位汇总!$L$68=0,"",[2]入库吨位汇总!$L$68),""))</f>
        <v/>
      </c>
      <c r="H69" s="76" t="str">
        <f>IF($V$4=0,IF($P69="","",$P69),IFERROR(IF([2]入库吨位汇总!$H$68=0,"",[2]入库吨位汇总!$H$68),""))</f>
        <v/>
      </c>
      <c r="I69" s="76" t="str">
        <f>IF($V$4=0,IF($Q69="","",$Q69),IFERROR(IF([2]入库吨位汇总!$I$68=0,"",[2]入库吨位汇总!$I$68),""))</f>
        <v/>
      </c>
      <c r="J69" s="116"/>
      <c r="K69" s="116"/>
      <c r="L69" s="131"/>
      <c r="M69" s="131"/>
      <c r="N69" s="132"/>
      <c r="O69" s="132"/>
      <c r="P69" s="132"/>
      <c r="Q69" s="132"/>
      <c r="R69" s="133">
        <f t="shared" ref="R69:R132" si="2">IF(AND($B69&lt;&gt;"",$C69&lt;&gt;""),1,0)</f>
        <v>0</v>
      </c>
      <c r="S69" s="133">
        <f t="shared" ref="S69:S132" si="3">N(S68)+$R69</f>
        <v>17</v>
      </c>
    </row>
    <row r="70" spans="1:19">
      <c r="A70" s="74">
        <v>69</v>
      </c>
      <c r="B70" s="75" t="str">
        <f>IF($V$4=0,IF($J70="","",$J70),IFERROR(IF([2]入库吨位汇总!$B$69=0,"",[2]入库吨位汇总!$B$69),""))</f>
        <v/>
      </c>
      <c r="C70" s="75" t="str">
        <f>IF($V$4=0,IF($K70="","",$K70),IFERROR(IF([2]入库吨位汇总!$C$69=0,"",[2]入库吨位汇总!$C$69),""))</f>
        <v/>
      </c>
      <c r="D70" s="42" t="str">
        <f>IF($V$4=0,IF($L70="","",$L70),IFERROR(IF([2]入库吨位汇总!$D$69=0,"",[2]入库吨位汇总!$D$69),""))</f>
        <v/>
      </c>
      <c r="E70" s="42" t="str">
        <f>IF($V$4=0,IF($M70="","",$M70),IFERROR(IF([2]入库吨位汇总!$E$69=0,"",[2]入库吨位汇总!$E$69),""))</f>
        <v/>
      </c>
      <c r="F70" s="76" t="str">
        <f>IF($V$4=0,IF($N70="","",$N70),IFERROR(IF([2]入库吨位汇总!$K$69=0,"",[2]入库吨位汇总!$K$69),""))</f>
        <v/>
      </c>
      <c r="G70" s="122" t="str">
        <f>IF($V$4=0,IF($O70="","",$O70),IFERROR(IF([2]入库吨位汇总!$L$69=0,"",[2]入库吨位汇总!$L$69),""))</f>
        <v/>
      </c>
      <c r="H70" s="76" t="str">
        <f>IF($V$4=0,IF($P70="","",$P70),IFERROR(IF([2]入库吨位汇总!$H$69=0,"",[2]入库吨位汇总!$H$69),""))</f>
        <v/>
      </c>
      <c r="I70" s="76" t="str">
        <f>IF($V$4=0,IF($Q70="","",$Q70),IFERROR(IF([2]入库吨位汇总!$I$69=0,"",[2]入库吨位汇总!$I$69),""))</f>
        <v/>
      </c>
      <c r="J70" s="116"/>
      <c r="K70" s="116"/>
      <c r="L70" s="131"/>
      <c r="M70" s="131"/>
      <c r="N70" s="132"/>
      <c r="O70" s="132"/>
      <c r="P70" s="132"/>
      <c r="Q70" s="132"/>
      <c r="R70" s="133">
        <f t="shared" si="2"/>
        <v>0</v>
      </c>
      <c r="S70" s="133">
        <f t="shared" si="3"/>
        <v>17</v>
      </c>
    </row>
    <row r="71" spans="1:19">
      <c r="A71" s="74">
        <v>70</v>
      </c>
      <c r="B71" s="75" t="str">
        <f>IF($V$4=0,IF($J71="","",$J71),IFERROR(IF([2]入库吨位汇总!$B$70=0,"",[2]入库吨位汇总!$B$70),""))</f>
        <v/>
      </c>
      <c r="C71" s="75" t="str">
        <f>IF($V$4=0,IF($K71="","",$K71),IFERROR(IF([2]入库吨位汇总!$C$70=0,"",[2]入库吨位汇总!$C$70),""))</f>
        <v/>
      </c>
      <c r="D71" s="42" t="str">
        <f>IF($V$4=0,IF($L71="","",$L71),IFERROR(IF([2]入库吨位汇总!$D$70=0,"",[2]入库吨位汇总!$D$70),""))</f>
        <v/>
      </c>
      <c r="E71" s="42" t="str">
        <f>IF($V$4=0,IF($M71="","",$M71),IFERROR(IF([2]入库吨位汇总!$E$70=0,"",[2]入库吨位汇总!$E$70),""))</f>
        <v/>
      </c>
      <c r="F71" s="76" t="str">
        <f>IF($V$4=0,IF($N71="","",$N71),IFERROR(IF([2]入库吨位汇总!$K$70=0,"",[2]入库吨位汇总!$K$70),""))</f>
        <v/>
      </c>
      <c r="G71" s="122" t="str">
        <f>IF($V$4=0,IF($O71="","",$O71),IFERROR(IF([2]入库吨位汇总!$L$70=0,"",[2]入库吨位汇总!$L$70),""))</f>
        <v/>
      </c>
      <c r="H71" s="76" t="str">
        <f>IF($V$4=0,IF($P71="","",$P71),IFERROR(IF([2]入库吨位汇总!$H$70=0,"",[2]入库吨位汇总!$H$70),""))</f>
        <v/>
      </c>
      <c r="I71" s="76" t="str">
        <f>IF($V$4=0,IF($Q71="","",$Q71),IFERROR(IF([2]入库吨位汇总!$I$70=0,"",[2]入库吨位汇总!$I$70),""))</f>
        <v/>
      </c>
      <c r="J71" s="116"/>
      <c r="K71" s="116"/>
      <c r="L71" s="131"/>
      <c r="M71" s="131"/>
      <c r="N71" s="132"/>
      <c r="O71" s="132"/>
      <c r="P71" s="132"/>
      <c r="Q71" s="132"/>
      <c r="R71" s="133">
        <f t="shared" si="2"/>
        <v>0</v>
      </c>
      <c r="S71" s="133">
        <f t="shared" si="3"/>
        <v>17</v>
      </c>
    </row>
    <row r="72" spans="1:19">
      <c r="A72" s="74">
        <v>71</v>
      </c>
      <c r="B72" s="75" t="str">
        <f>IF($V$4=0,IF($J72="","",$J72),IFERROR(IF([2]入库吨位汇总!$B$71=0,"",[2]入库吨位汇总!$B$71),""))</f>
        <v/>
      </c>
      <c r="C72" s="75" t="str">
        <f>IF($V$4=0,IF($K72="","",$K72),IFERROR(IF([2]入库吨位汇总!$C$71=0,"",[2]入库吨位汇总!$C$71),""))</f>
        <v/>
      </c>
      <c r="D72" s="42" t="str">
        <f>IF($V$4=0,IF($L72="","",$L72),IFERROR(IF([2]入库吨位汇总!$D$71=0,"",[2]入库吨位汇总!$D$71),""))</f>
        <v/>
      </c>
      <c r="E72" s="42" t="str">
        <f>IF($V$4=0,IF($M72="","",$M72),IFERROR(IF([2]入库吨位汇总!$E$71=0,"",[2]入库吨位汇总!$E$71),""))</f>
        <v/>
      </c>
      <c r="F72" s="76" t="str">
        <f>IF($V$4=0,IF($N72="","",$N72),IFERROR(IF([2]入库吨位汇总!$K$71=0,"",[2]入库吨位汇总!$K$71),""))</f>
        <v/>
      </c>
      <c r="G72" s="122" t="str">
        <f>IF($V$4=0,IF($O72="","",$O72),IFERROR(IF([2]入库吨位汇总!$L$71=0,"",[2]入库吨位汇总!$L$71),""))</f>
        <v/>
      </c>
      <c r="H72" s="76" t="str">
        <f>IF($V$4=0,IF($P72="","",$P72),IFERROR(IF([2]入库吨位汇总!$H$71=0,"",[2]入库吨位汇总!$H$71),""))</f>
        <v/>
      </c>
      <c r="I72" s="76" t="str">
        <f>IF($V$4=0,IF($Q72="","",$Q72),IFERROR(IF([2]入库吨位汇总!$I$71=0,"",[2]入库吨位汇总!$I$71),""))</f>
        <v/>
      </c>
      <c r="J72" s="116"/>
      <c r="K72" s="116"/>
      <c r="L72" s="131"/>
      <c r="M72" s="131"/>
      <c r="N72" s="132"/>
      <c r="O72" s="132"/>
      <c r="P72" s="132"/>
      <c r="Q72" s="132"/>
      <c r="R72" s="133">
        <f t="shared" si="2"/>
        <v>0</v>
      </c>
      <c r="S72" s="133">
        <f t="shared" si="3"/>
        <v>17</v>
      </c>
    </row>
    <row r="73" spans="1:19">
      <c r="A73" s="74">
        <v>72</v>
      </c>
      <c r="B73" s="75" t="str">
        <f>IF($V$4=0,IF($J73="","",$J73),IFERROR(IF([2]入库吨位汇总!$B$72=0,"",[2]入库吨位汇总!$B$72),""))</f>
        <v/>
      </c>
      <c r="C73" s="75" t="str">
        <f>IF($V$4=0,IF($K73="","",$K73),IFERROR(IF([2]入库吨位汇总!$C$72=0,"",[2]入库吨位汇总!$C$72),""))</f>
        <v/>
      </c>
      <c r="D73" s="42" t="str">
        <f>IF($V$4=0,IF($L73="","",$L73),IFERROR(IF([2]入库吨位汇总!$D$72=0,"",[2]入库吨位汇总!$D$72),""))</f>
        <v/>
      </c>
      <c r="E73" s="42" t="str">
        <f>IF($V$4=0,IF($M73="","",$M73),IFERROR(IF([2]入库吨位汇总!$E$72=0,"",[2]入库吨位汇总!$E$72),""))</f>
        <v/>
      </c>
      <c r="F73" s="76" t="str">
        <f>IF($V$4=0,IF($N73="","",$N73),IFERROR(IF([2]入库吨位汇总!$K$72=0,"",[2]入库吨位汇总!$K$72),""))</f>
        <v/>
      </c>
      <c r="G73" s="122" t="str">
        <f>IF($V$4=0,IF($O73="","",$O73),IFERROR(IF([2]入库吨位汇总!$L$72=0,"",[2]入库吨位汇总!$L$72),""))</f>
        <v/>
      </c>
      <c r="H73" s="76" t="str">
        <f>IF($V$4=0,IF($P73="","",$P73),IFERROR(IF([2]入库吨位汇总!$H$72=0,"",[2]入库吨位汇总!$H$72),""))</f>
        <v/>
      </c>
      <c r="I73" s="76" t="str">
        <f>IF($V$4=0,IF($Q73="","",$Q73),IFERROR(IF([2]入库吨位汇总!$I$72=0,"",[2]入库吨位汇总!$I$72),""))</f>
        <v/>
      </c>
      <c r="J73" s="116"/>
      <c r="K73" s="116"/>
      <c r="L73" s="131"/>
      <c r="M73" s="131"/>
      <c r="N73" s="132"/>
      <c r="O73" s="132"/>
      <c r="P73" s="132"/>
      <c r="Q73" s="132"/>
      <c r="R73" s="133">
        <f t="shared" si="2"/>
        <v>0</v>
      </c>
      <c r="S73" s="133">
        <f t="shared" si="3"/>
        <v>17</v>
      </c>
    </row>
    <row r="74" spans="1:19">
      <c r="A74" s="74">
        <v>73</v>
      </c>
      <c r="B74" s="75" t="str">
        <f>IF($V$4=0,IF($J74="","",$J74),IFERROR(IF([2]入库吨位汇总!$B$73=0,"",[2]入库吨位汇总!$B$73),""))</f>
        <v/>
      </c>
      <c r="C74" s="75" t="str">
        <f>IF($V$4=0,IF($K74="","",$K74),IFERROR(IF([2]入库吨位汇总!$C$73=0,"",[2]入库吨位汇总!$C$73),""))</f>
        <v/>
      </c>
      <c r="D74" s="42" t="str">
        <f>IF($V$4=0,IF($L74="","",$L74),IFERROR(IF([2]入库吨位汇总!$D$73=0,"",[2]入库吨位汇总!$D$73),""))</f>
        <v/>
      </c>
      <c r="E74" s="42" t="str">
        <f>IF($V$4=0,IF($M74="","",$M74),IFERROR(IF([2]入库吨位汇总!$E$73=0,"",[2]入库吨位汇总!$E$73),""))</f>
        <v/>
      </c>
      <c r="F74" s="76" t="str">
        <f>IF($V$4=0,IF($N74="","",$N74),IFERROR(IF([2]入库吨位汇总!$K$73=0,"",[2]入库吨位汇总!$K$73),""))</f>
        <v/>
      </c>
      <c r="G74" s="122" t="str">
        <f>IF($V$4=0,IF($O74="","",$O74),IFERROR(IF([2]入库吨位汇总!$L$73=0,"",[2]入库吨位汇总!$L$73),""))</f>
        <v/>
      </c>
      <c r="H74" s="76" t="str">
        <f>IF($V$4=0,IF($P74="","",$P74),IFERROR(IF([2]入库吨位汇总!$H$73=0,"",[2]入库吨位汇总!$H$73),""))</f>
        <v/>
      </c>
      <c r="I74" s="76" t="str">
        <f>IF($V$4=0,IF($Q74="","",$Q74),IFERROR(IF([2]入库吨位汇总!$I$73=0,"",[2]入库吨位汇总!$I$73),""))</f>
        <v/>
      </c>
      <c r="J74" s="116"/>
      <c r="K74" s="116"/>
      <c r="L74" s="131"/>
      <c r="M74" s="131"/>
      <c r="N74" s="132"/>
      <c r="O74" s="132"/>
      <c r="P74" s="132"/>
      <c r="Q74" s="132"/>
      <c r="R74" s="133">
        <f t="shared" si="2"/>
        <v>0</v>
      </c>
      <c r="S74" s="133">
        <f t="shared" si="3"/>
        <v>17</v>
      </c>
    </row>
    <row r="75" spans="1:19">
      <c r="A75" s="74">
        <v>74</v>
      </c>
      <c r="B75" s="75" t="str">
        <f>IF($V$4=0,IF($J75="","",$J75),IFERROR(IF([2]入库吨位汇总!$B$74=0,"",[2]入库吨位汇总!$B$74),""))</f>
        <v/>
      </c>
      <c r="C75" s="75" t="str">
        <f>IF($V$4=0,IF($K75="","",$K75),IFERROR(IF([2]入库吨位汇总!$C$74=0,"",[2]入库吨位汇总!$C$74),""))</f>
        <v/>
      </c>
      <c r="D75" s="42" t="str">
        <f>IF($V$4=0,IF($L75="","",$L75),IFERROR(IF([2]入库吨位汇总!$D$74=0,"",[2]入库吨位汇总!$D$74),""))</f>
        <v/>
      </c>
      <c r="E75" s="42" t="str">
        <f>IF($V$4=0,IF($M75="","",$M75),IFERROR(IF([2]入库吨位汇总!$E$74=0,"",[2]入库吨位汇总!$E$74),""))</f>
        <v/>
      </c>
      <c r="F75" s="76" t="str">
        <f>IF($V$4=0,IF($N75="","",$N75),IFERROR(IF([2]入库吨位汇总!$K$74=0,"",[2]入库吨位汇总!$K$74),""))</f>
        <v/>
      </c>
      <c r="G75" s="122" t="str">
        <f>IF($V$4=0,IF($O75="","",$O75),IFERROR(IF([2]入库吨位汇总!$L$74=0,"",[2]入库吨位汇总!$L$74),""))</f>
        <v/>
      </c>
      <c r="H75" s="76" t="str">
        <f>IF($V$4=0,IF($P75="","",$P75),IFERROR(IF([2]入库吨位汇总!$H$74=0,"",[2]入库吨位汇总!$H$74),""))</f>
        <v/>
      </c>
      <c r="I75" s="76" t="str">
        <f>IF($V$4=0,IF($Q75="","",$Q75),IFERROR(IF([2]入库吨位汇总!$I$74=0,"",[2]入库吨位汇总!$I$74),""))</f>
        <v/>
      </c>
      <c r="J75" s="116"/>
      <c r="K75" s="116"/>
      <c r="L75" s="131"/>
      <c r="M75" s="131"/>
      <c r="N75" s="132"/>
      <c r="O75" s="132"/>
      <c r="P75" s="132"/>
      <c r="Q75" s="132"/>
      <c r="R75" s="133">
        <f t="shared" si="2"/>
        <v>0</v>
      </c>
      <c r="S75" s="133">
        <f t="shared" si="3"/>
        <v>17</v>
      </c>
    </row>
    <row r="76" spans="1:19">
      <c r="A76" s="74">
        <v>75</v>
      </c>
      <c r="B76" s="75" t="str">
        <f>IF($V$4=0,IF($J76="","",$J76),IFERROR(IF([2]入库吨位汇总!$B$75=0,"",[2]入库吨位汇总!$B$75),""))</f>
        <v/>
      </c>
      <c r="C76" s="75" t="str">
        <f>IF($V$4=0,IF($K76="","",$K76),IFERROR(IF([2]入库吨位汇总!$C$75=0,"",[2]入库吨位汇总!$C$75),""))</f>
        <v/>
      </c>
      <c r="D76" s="42" t="str">
        <f>IF($V$4=0,IF($L76="","",$L76),IFERROR(IF([2]入库吨位汇总!$D$75=0,"",[2]入库吨位汇总!$D$75),""))</f>
        <v/>
      </c>
      <c r="E76" s="42" t="str">
        <f>IF($V$4=0,IF($M76="","",$M76),IFERROR(IF([2]入库吨位汇总!$E$75=0,"",[2]入库吨位汇总!$E$75),""))</f>
        <v/>
      </c>
      <c r="F76" s="76" t="str">
        <f>IF($V$4=0,IF($N76="","",$N76),IFERROR(IF([2]入库吨位汇总!$K$75=0,"",[2]入库吨位汇总!$K$75),""))</f>
        <v/>
      </c>
      <c r="G76" s="122" t="str">
        <f>IF($V$4=0,IF($O76="","",$O76),IFERROR(IF([2]入库吨位汇总!$L$75=0,"",[2]入库吨位汇总!$L$75),""))</f>
        <v/>
      </c>
      <c r="H76" s="76" t="str">
        <f>IF($V$4=0,IF($P76="","",$P76),IFERROR(IF([2]入库吨位汇总!$H$75=0,"",[2]入库吨位汇总!$H$75),""))</f>
        <v/>
      </c>
      <c r="I76" s="76" t="str">
        <f>IF($V$4=0,IF($Q76="","",$Q76),IFERROR(IF([2]入库吨位汇总!$I$75=0,"",[2]入库吨位汇总!$I$75),""))</f>
        <v/>
      </c>
      <c r="J76" s="116"/>
      <c r="K76" s="116"/>
      <c r="L76" s="131"/>
      <c r="M76" s="131"/>
      <c r="N76" s="132"/>
      <c r="O76" s="132"/>
      <c r="P76" s="132"/>
      <c r="Q76" s="132"/>
      <c r="R76" s="133">
        <f t="shared" si="2"/>
        <v>0</v>
      </c>
      <c r="S76" s="133">
        <f t="shared" si="3"/>
        <v>17</v>
      </c>
    </row>
    <row r="77" spans="1:19">
      <c r="A77" s="74">
        <v>76</v>
      </c>
      <c r="B77" s="75" t="str">
        <f>IF($V$4=0,IF($J77="","",$J77),IFERROR(IF([2]入库吨位汇总!$B$76=0,"",[2]入库吨位汇总!$B$76),""))</f>
        <v/>
      </c>
      <c r="C77" s="75" t="str">
        <f>IF($V$4=0,IF($K77="","",$K77),IFERROR(IF([2]入库吨位汇总!$C$76=0,"",[2]入库吨位汇总!$C$76),""))</f>
        <v/>
      </c>
      <c r="D77" s="42" t="str">
        <f>IF($V$4=0,IF($L77="","",$L77),IFERROR(IF([2]入库吨位汇总!$D$76=0,"",[2]入库吨位汇总!$D$76),""))</f>
        <v/>
      </c>
      <c r="E77" s="42" t="str">
        <f>IF($V$4=0,IF($M77="","",$M77),IFERROR(IF([2]入库吨位汇总!$E$76=0,"",[2]入库吨位汇总!$E$76),""))</f>
        <v/>
      </c>
      <c r="F77" s="76" t="str">
        <f>IF($V$4=0,IF($N77="","",$N77),IFERROR(IF([2]入库吨位汇总!$K$76=0,"",[2]入库吨位汇总!$K$76),""))</f>
        <v/>
      </c>
      <c r="G77" s="122" t="str">
        <f>IF($V$4=0,IF($O77="","",$O77),IFERROR(IF([2]入库吨位汇总!$L$76=0,"",[2]入库吨位汇总!$L$76),""))</f>
        <v/>
      </c>
      <c r="H77" s="76" t="str">
        <f>IF($V$4=0,IF($P77="","",$P77),IFERROR(IF([2]入库吨位汇总!$H$76=0,"",[2]入库吨位汇总!$H$76),""))</f>
        <v/>
      </c>
      <c r="I77" s="76" t="str">
        <f>IF($V$4=0,IF($Q77="","",$Q77),IFERROR(IF([2]入库吨位汇总!$I$76=0,"",[2]入库吨位汇总!$I$76),""))</f>
        <v/>
      </c>
      <c r="J77" s="116"/>
      <c r="K77" s="116"/>
      <c r="L77" s="131"/>
      <c r="M77" s="131"/>
      <c r="N77" s="132"/>
      <c r="O77" s="132"/>
      <c r="P77" s="132"/>
      <c r="Q77" s="132"/>
      <c r="R77" s="133">
        <f t="shared" si="2"/>
        <v>0</v>
      </c>
      <c r="S77" s="133">
        <f t="shared" si="3"/>
        <v>17</v>
      </c>
    </row>
    <row r="78" spans="1:19">
      <c r="A78" s="74">
        <v>77</v>
      </c>
      <c r="B78" s="75" t="str">
        <f>IF($V$4=0,IF($J78="","",$J78),IFERROR(IF([2]入库吨位汇总!$B$77=0,"",[2]入库吨位汇总!$B$77),""))</f>
        <v/>
      </c>
      <c r="C78" s="75" t="str">
        <f>IF($V$4=0,IF($K78="","",$K78),IFERROR(IF([2]入库吨位汇总!$C$77=0,"",[2]入库吨位汇总!$C$77),""))</f>
        <v/>
      </c>
      <c r="D78" s="42" t="str">
        <f>IF($V$4=0,IF($L78="","",$L78),IFERROR(IF([2]入库吨位汇总!$D$77=0,"",[2]入库吨位汇总!$D$77),""))</f>
        <v/>
      </c>
      <c r="E78" s="42" t="str">
        <f>IF($V$4=0,IF($M78="","",$M78),IFERROR(IF([2]入库吨位汇总!$E$77=0,"",[2]入库吨位汇总!$E$77),""))</f>
        <v/>
      </c>
      <c r="F78" s="76" t="str">
        <f>IF($V$4=0,IF($N78="","",$N78),IFERROR(IF([2]入库吨位汇总!$K$77=0,"",[2]入库吨位汇总!$K$77),""))</f>
        <v/>
      </c>
      <c r="G78" s="122" t="str">
        <f>IF($V$4=0,IF($O78="","",$O78),IFERROR(IF([2]入库吨位汇总!$L$77=0,"",[2]入库吨位汇总!$L$77),""))</f>
        <v/>
      </c>
      <c r="H78" s="76" t="str">
        <f>IF($V$4=0,IF($P78="","",$P78),IFERROR(IF([2]入库吨位汇总!$H$77=0,"",[2]入库吨位汇总!$H$77),""))</f>
        <v/>
      </c>
      <c r="I78" s="76" t="str">
        <f>IF($V$4=0,IF($Q78="","",$Q78),IFERROR(IF([2]入库吨位汇总!$I$77=0,"",[2]入库吨位汇总!$I$77),""))</f>
        <v/>
      </c>
      <c r="J78" s="116"/>
      <c r="K78" s="116"/>
      <c r="L78" s="131"/>
      <c r="M78" s="131"/>
      <c r="N78" s="132"/>
      <c r="O78" s="132"/>
      <c r="P78" s="132"/>
      <c r="Q78" s="132"/>
      <c r="R78" s="133">
        <f t="shared" si="2"/>
        <v>0</v>
      </c>
      <c r="S78" s="133">
        <f t="shared" si="3"/>
        <v>17</v>
      </c>
    </row>
    <row r="79" spans="1:19">
      <c r="A79" s="74">
        <v>78</v>
      </c>
      <c r="B79" s="75" t="str">
        <f>IF($V$4=0,IF($J79="","",$J79),IFERROR(IF([2]入库吨位汇总!$B$78=0,"",[2]入库吨位汇总!$B$78),""))</f>
        <v/>
      </c>
      <c r="C79" s="75" t="str">
        <f>IF($V$4=0,IF($K79="","",$K79),IFERROR(IF([2]入库吨位汇总!$C$78=0,"",[2]入库吨位汇总!$C$78),""))</f>
        <v/>
      </c>
      <c r="D79" s="42" t="str">
        <f>IF($V$4=0,IF($L79="","",$L79),IFERROR(IF([2]入库吨位汇总!$D$78=0,"",[2]入库吨位汇总!$D$78),""))</f>
        <v/>
      </c>
      <c r="E79" s="42" t="str">
        <f>IF($V$4=0,IF($M79="","",$M79),IFERROR(IF([2]入库吨位汇总!$E$78=0,"",[2]入库吨位汇总!$E$78),""))</f>
        <v/>
      </c>
      <c r="F79" s="76" t="str">
        <f>IF($V$4=0,IF($N79="","",$N79),IFERROR(IF([2]入库吨位汇总!$K$78=0,"",[2]入库吨位汇总!$K$78),""))</f>
        <v/>
      </c>
      <c r="G79" s="122" t="str">
        <f>IF($V$4=0,IF($O79="","",$O79),IFERROR(IF([2]入库吨位汇总!$L$78=0,"",[2]入库吨位汇总!$L$78),""))</f>
        <v/>
      </c>
      <c r="H79" s="76" t="str">
        <f>IF($V$4=0,IF($P79="","",$P79),IFERROR(IF([2]入库吨位汇总!$H$78=0,"",[2]入库吨位汇总!$H$78),""))</f>
        <v/>
      </c>
      <c r="I79" s="76" t="str">
        <f>IF($V$4=0,IF($Q79="","",$Q79),IFERROR(IF([2]入库吨位汇总!$I$78=0,"",[2]入库吨位汇总!$I$78),""))</f>
        <v/>
      </c>
      <c r="J79" s="116"/>
      <c r="K79" s="116"/>
      <c r="L79" s="131"/>
      <c r="M79" s="131"/>
      <c r="N79" s="132"/>
      <c r="O79" s="132"/>
      <c r="P79" s="132"/>
      <c r="Q79" s="132"/>
      <c r="R79" s="133">
        <f t="shared" si="2"/>
        <v>0</v>
      </c>
      <c r="S79" s="133">
        <f t="shared" si="3"/>
        <v>17</v>
      </c>
    </row>
    <row r="80" spans="1:19">
      <c r="A80" s="74">
        <v>79</v>
      </c>
      <c r="B80" s="75" t="str">
        <f>IF($V$4=0,IF($J80="","",$J80),IFERROR(IF([2]入库吨位汇总!$B$79=0,"",[2]入库吨位汇总!$B$79),""))</f>
        <v/>
      </c>
      <c r="C80" s="75" t="str">
        <f>IF($V$4=0,IF($K80="","",$K80),IFERROR(IF([2]入库吨位汇总!$C$79=0,"",[2]入库吨位汇总!$C$79),""))</f>
        <v/>
      </c>
      <c r="D80" s="42" t="str">
        <f>IF($V$4=0,IF($L80="","",$L80),IFERROR(IF([2]入库吨位汇总!$D$79=0,"",[2]入库吨位汇总!$D$79),""))</f>
        <v/>
      </c>
      <c r="E80" s="42" t="str">
        <f>IF($V$4=0,IF($M80="","",$M80),IFERROR(IF([2]入库吨位汇总!$E$79=0,"",[2]入库吨位汇总!$E$79),""))</f>
        <v/>
      </c>
      <c r="F80" s="76" t="str">
        <f>IF($V$4=0,IF($N80="","",$N80),IFERROR(IF([2]入库吨位汇总!$K$79=0,"",[2]入库吨位汇总!$K$79),""))</f>
        <v/>
      </c>
      <c r="G80" s="122" t="str">
        <f>IF($V$4=0,IF($O80="","",$O80),IFERROR(IF([2]入库吨位汇总!$L$79=0,"",[2]入库吨位汇总!$L$79),""))</f>
        <v/>
      </c>
      <c r="H80" s="76" t="str">
        <f>IF($V$4=0,IF($P80="","",$P80),IFERROR(IF([2]入库吨位汇总!$H$79=0,"",[2]入库吨位汇总!$H$79),""))</f>
        <v/>
      </c>
      <c r="I80" s="76" t="str">
        <f>IF($V$4=0,IF($Q80="","",$Q80),IFERROR(IF([2]入库吨位汇总!$I$79=0,"",[2]入库吨位汇总!$I$79),""))</f>
        <v/>
      </c>
      <c r="J80" s="116"/>
      <c r="K80" s="116"/>
      <c r="L80" s="131"/>
      <c r="M80" s="131"/>
      <c r="N80" s="132"/>
      <c r="O80" s="132"/>
      <c r="P80" s="132"/>
      <c r="Q80" s="132"/>
      <c r="R80" s="133">
        <f t="shared" si="2"/>
        <v>0</v>
      </c>
      <c r="S80" s="133">
        <f t="shared" si="3"/>
        <v>17</v>
      </c>
    </row>
    <row r="81" spans="1:19">
      <c r="A81" s="74">
        <v>80</v>
      </c>
      <c r="B81" s="75" t="str">
        <f>IF($V$4=0,IF($J81="","",$J81),IFERROR(IF([2]入库吨位汇总!$B$80=0,"",[2]入库吨位汇总!$B$80),""))</f>
        <v/>
      </c>
      <c r="C81" s="75" t="str">
        <f>IF($V$4=0,IF($K81="","",$K81),IFERROR(IF([2]入库吨位汇总!$C$80=0,"",[2]入库吨位汇总!$C$80),""))</f>
        <v/>
      </c>
      <c r="D81" s="42" t="str">
        <f>IF($V$4=0,IF($L81="","",$L81),IFERROR(IF([2]入库吨位汇总!$D$80=0,"",[2]入库吨位汇总!$D$80),""))</f>
        <v/>
      </c>
      <c r="E81" s="42" t="str">
        <f>IF($V$4=0,IF($M81="","",$M81),IFERROR(IF([2]入库吨位汇总!$E$80=0,"",[2]入库吨位汇总!$E$80),""))</f>
        <v/>
      </c>
      <c r="F81" s="76" t="str">
        <f>IF($V$4=0,IF($N81="","",$N81),IFERROR(IF([2]入库吨位汇总!$K$80=0,"",[2]入库吨位汇总!$K$80),""))</f>
        <v/>
      </c>
      <c r="G81" s="122" t="str">
        <f>IF($V$4=0,IF($O81="","",$O81),IFERROR(IF([2]入库吨位汇总!$L$80=0,"",[2]入库吨位汇总!$L$80),""))</f>
        <v/>
      </c>
      <c r="H81" s="76" t="str">
        <f>IF($V$4=0,IF($P81="","",$P81),IFERROR(IF([2]入库吨位汇总!$H$80=0,"",[2]入库吨位汇总!$H$80),""))</f>
        <v/>
      </c>
      <c r="I81" s="76" t="str">
        <f>IF($V$4=0,IF($Q81="","",$Q81),IFERROR(IF([2]入库吨位汇总!$I$80=0,"",[2]入库吨位汇总!$I$80),""))</f>
        <v/>
      </c>
      <c r="J81" s="116"/>
      <c r="K81" s="116"/>
      <c r="L81" s="131"/>
      <c r="M81" s="131"/>
      <c r="N81" s="132"/>
      <c r="O81" s="132"/>
      <c r="P81" s="132"/>
      <c r="Q81" s="132"/>
      <c r="R81" s="133">
        <f t="shared" si="2"/>
        <v>0</v>
      </c>
      <c r="S81" s="133">
        <f t="shared" si="3"/>
        <v>17</v>
      </c>
    </row>
    <row r="82" spans="1:19">
      <c r="A82" s="74">
        <v>81</v>
      </c>
      <c r="B82" s="75" t="str">
        <f>IF($V$4=0,IF($J82="","",$J82),IFERROR(IF([2]入库吨位汇总!$B$81=0,"",[2]入库吨位汇总!$B$81),""))</f>
        <v/>
      </c>
      <c r="C82" s="75" t="str">
        <f>IF($V$4=0,IF($K82="","",$K82),IFERROR(IF([2]入库吨位汇总!$C$81=0,"",[2]入库吨位汇总!$C$81),""))</f>
        <v/>
      </c>
      <c r="D82" s="42" t="str">
        <f>IF($V$4=0,IF($L82="","",$L82),IFERROR(IF([2]入库吨位汇总!$D$81=0,"",[2]入库吨位汇总!$D$81),""))</f>
        <v/>
      </c>
      <c r="E82" s="42" t="str">
        <f>IF($V$4=0,IF($M82="","",$M82),IFERROR(IF([2]入库吨位汇总!$E$81=0,"",[2]入库吨位汇总!$E$81),""))</f>
        <v/>
      </c>
      <c r="F82" s="76" t="str">
        <f>IF($V$4=0,IF($N82="","",$N82),IFERROR(IF([2]入库吨位汇总!$K$81=0,"",[2]入库吨位汇总!$K$81),""))</f>
        <v/>
      </c>
      <c r="G82" s="122" t="str">
        <f>IF($V$4=0,IF($O82="","",$O82),IFERROR(IF([2]入库吨位汇总!$L$81=0,"",[2]入库吨位汇总!$L$81),""))</f>
        <v/>
      </c>
      <c r="H82" s="76" t="str">
        <f>IF($V$4=0,IF($P82="","",$P82),IFERROR(IF([2]入库吨位汇总!$H$81=0,"",[2]入库吨位汇总!$H$81),""))</f>
        <v/>
      </c>
      <c r="I82" s="76" t="str">
        <f>IF($V$4=0,IF($Q82="","",$Q82),IFERROR(IF([2]入库吨位汇总!$I$81=0,"",[2]入库吨位汇总!$I$81),""))</f>
        <v/>
      </c>
      <c r="J82" s="116"/>
      <c r="K82" s="116"/>
      <c r="L82" s="131"/>
      <c r="M82" s="131"/>
      <c r="N82" s="132"/>
      <c r="O82" s="132"/>
      <c r="P82" s="132"/>
      <c r="Q82" s="132"/>
      <c r="R82" s="133">
        <f t="shared" si="2"/>
        <v>0</v>
      </c>
      <c r="S82" s="133">
        <f t="shared" si="3"/>
        <v>17</v>
      </c>
    </row>
    <row r="83" spans="1:19">
      <c r="A83" s="74">
        <v>82</v>
      </c>
      <c r="B83" s="75" t="str">
        <f>IF($V$4=0,IF($J83="","",$J83),IFERROR(IF([2]入库吨位汇总!$B$82=0,"",[2]入库吨位汇总!$B$82),""))</f>
        <v/>
      </c>
      <c r="C83" s="75" t="str">
        <f>IF($V$4=0,IF($K83="","",$K83),IFERROR(IF([2]入库吨位汇总!$C$82=0,"",[2]入库吨位汇总!$C$82),""))</f>
        <v/>
      </c>
      <c r="D83" s="42" t="str">
        <f>IF($V$4=0,IF($L83="","",$L83),IFERROR(IF([2]入库吨位汇总!$D$82=0,"",[2]入库吨位汇总!$D$82),""))</f>
        <v/>
      </c>
      <c r="E83" s="42" t="str">
        <f>IF($V$4=0,IF($M83="","",$M83),IFERROR(IF([2]入库吨位汇总!$E$82=0,"",[2]入库吨位汇总!$E$82),""))</f>
        <v/>
      </c>
      <c r="F83" s="76" t="str">
        <f>IF($V$4=0,IF($N83="","",$N83),IFERROR(IF([2]入库吨位汇总!$K$82=0,"",[2]入库吨位汇总!$K$82),""))</f>
        <v/>
      </c>
      <c r="G83" s="122" t="str">
        <f>IF($V$4=0,IF($O83="","",$O83),IFERROR(IF([2]入库吨位汇总!$L$82=0,"",[2]入库吨位汇总!$L$82),""))</f>
        <v/>
      </c>
      <c r="H83" s="76" t="str">
        <f>IF($V$4=0,IF($P83="","",$P83),IFERROR(IF([2]入库吨位汇总!$H$82=0,"",[2]入库吨位汇总!$H$82),""))</f>
        <v/>
      </c>
      <c r="I83" s="76" t="str">
        <f>IF($V$4=0,IF($Q83="","",$Q83),IFERROR(IF([2]入库吨位汇总!$I$82=0,"",[2]入库吨位汇总!$I$82),""))</f>
        <v/>
      </c>
      <c r="J83" s="116"/>
      <c r="K83" s="116"/>
      <c r="L83" s="131"/>
      <c r="M83" s="131"/>
      <c r="N83" s="132"/>
      <c r="O83" s="132"/>
      <c r="P83" s="132"/>
      <c r="Q83" s="132"/>
      <c r="R83" s="133">
        <f t="shared" si="2"/>
        <v>0</v>
      </c>
      <c r="S83" s="133">
        <f t="shared" si="3"/>
        <v>17</v>
      </c>
    </row>
    <row r="84" spans="1:19">
      <c r="A84" s="74">
        <v>83</v>
      </c>
      <c r="B84" s="75" t="str">
        <f>IF($V$4=0,IF($J84="","",$J84),IFERROR(IF([2]入库吨位汇总!$B$83=0,"",[2]入库吨位汇总!$B$83),""))</f>
        <v/>
      </c>
      <c r="C84" s="75" t="str">
        <f>IF($V$4=0,IF($K84="","",$K84),IFERROR(IF([2]入库吨位汇总!$C$83=0,"",[2]入库吨位汇总!$C$83),""))</f>
        <v/>
      </c>
      <c r="D84" s="42" t="str">
        <f>IF($V$4=0,IF($L84="","",$L84),IFERROR(IF([2]入库吨位汇总!$D$83=0,"",[2]入库吨位汇总!$D$83),""))</f>
        <v/>
      </c>
      <c r="E84" s="42" t="str">
        <f>IF($V$4=0,IF($M84="","",$M84),IFERROR(IF([2]入库吨位汇总!$E$83=0,"",[2]入库吨位汇总!$E$83),""))</f>
        <v/>
      </c>
      <c r="F84" s="76" t="str">
        <f>IF($V$4=0,IF($N84="","",$N84),IFERROR(IF([2]入库吨位汇总!$K$83=0,"",[2]入库吨位汇总!$K$83),""))</f>
        <v/>
      </c>
      <c r="G84" s="122" t="str">
        <f>IF($V$4=0,IF($O84="","",$O84),IFERROR(IF([2]入库吨位汇总!$L$83=0,"",[2]入库吨位汇总!$L$83),""))</f>
        <v/>
      </c>
      <c r="H84" s="76" t="str">
        <f>IF($V$4=0,IF($P84="","",$P84),IFERROR(IF([2]入库吨位汇总!$H$83=0,"",[2]入库吨位汇总!$H$83),""))</f>
        <v/>
      </c>
      <c r="I84" s="76" t="str">
        <f>IF($V$4=0,IF($Q84="","",$Q84),IFERROR(IF([2]入库吨位汇总!$I$83=0,"",[2]入库吨位汇总!$I$83),""))</f>
        <v/>
      </c>
      <c r="J84" s="116"/>
      <c r="K84" s="116"/>
      <c r="L84" s="131"/>
      <c r="M84" s="131"/>
      <c r="N84" s="132"/>
      <c r="O84" s="132"/>
      <c r="P84" s="132"/>
      <c r="Q84" s="132"/>
      <c r="R84" s="133">
        <f t="shared" si="2"/>
        <v>0</v>
      </c>
      <c r="S84" s="133">
        <f t="shared" si="3"/>
        <v>17</v>
      </c>
    </row>
    <row r="85" spans="1:19">
      <c r="A85" s="74">
        <v>84</v>
      </c>
      <c r="B85" s="75" t="str">
        <f>IF($V$4=0,IF($J85="","",$J85),IFERROR(IF([2]入库吨位汇总!$B$84=0,"",[2]入库吨位汇总!$B$84),""))</f>
        <v/>
      </c>
      <c r="C85" s="75" t="str">
        <f>IF($V$4=0,IF($K85="","",$K85),IFERROR(IF([2]入库吨位汇总!$C$84=0,"",[2]入库吨位汇总!$C$84),""))</f>
        <v/>
      </c>
      <c r="D85" s="42" t="str">
        <f>IF($V$4=0,IF($L85="","",$L85),IFERROR(IF([2]入库吨位汇总!$D$84=0,"",[2]入库吨位汇总!$D$84),""))</f>
        <v/>
      </c>
      <c r="E85" s="42" t="str">
        <f>IF($V$4=0,IF($M85="","",$M85),IFERROR(IF([2]入库吨位汇总!$E$84=0,"",[2]入库吨位汇总!$E$84),""))</f>
        <v/>
      </c>
      <c r="F85" s="76" t="str">
        <f>IF($V$4=0,IF($N85="","",$N85),IFERROR(IF([2]入库吨位汇总!$K$84=0,"",[2]入库吨位汇总!$K$84),""))</f>
        <v/>
      </c>
      <c r="G85" s="122" t="str">
        <f>IF($V$4=0,IF($O85="","",$O85),IFERROR(IF([2]入库吨位汇总!$L$84=0,"",[2]入库吨位汇总!$L$84),""))</f>
        <v/>
      </c>
      <c r="H85" s="76" t="str">
        <f>IF($V$4=0,IF($P85="","",$P85),IFERROR(IF([2]入库吨位汇总!$H$84=0,"",[2]入库吨位汇总!$H$84),""))</f>
        <v/>
      </c>
      <c r="I85" s="76" t="str">
        <f>IF($V$4=0,IF($Q85="","",$Q85),IFERROR(IF([2]入库吨位汇总!$I$84=0,"",[2]入库吨位汇总!$I$84),""))</f>
        <v/>
      </c>
      <c r="J85" s="116"/>
      <c r="K85" s="116"/>
      <c r="L85" s="131"/>
      <c r="M85" s="131"/>
      <c r="N85" s="132"/>
      <c r="O85" s="132"/>
      <c r="P85" s="132"/>
      <c r="Q85" s="132"/>
      <c r="R85" s="133">
        <f t="shared" si="2"/>
        <v>0</v>
      </c>
      <c r="S85" s="133">
        <f t="shared" si="3"/>
        <v>17</v>
      </c>
    </row>
    <row r="86" spans="1:19">
      <c r="A86" s="74">
        <v>85</v>
      </c>
      <c r="B86" s="75" t="str">
        <f>IF($V$4=0,IF($J86="","",$J86),IFERROR(IF([2]入库吨位汇总!$B$85=0,"",[2]入库吨位汇总!$B$85),""))</f>
        <v/>
      </c>
      <c r="C86" s="75" t="str">
        <f>IF($V$4=0,IF($K86="","",$K86),IFERROR(IF([2]入库吨位汇总!$C$85=0,"",[2]入库吨位汇总!$C$85),""))</f>
        <v/>
      </c>
      <c r="D86" s="42" t="str">
        <f>IF($V$4=0,IF($L86="","",$L86),IFERROR(IF([2]入库吨位汇总!$D$85=0,"",[2]入库吨位汇总!$D$85),""))</f>
        <v/>
      </c>
      <c r="E86" s="42" t="str">
        <f>IF($V$4=0,IF($M86="","",$M86),IFERROR(IF([2]入库吨位汇总!$E$85=0,"",[2]入库吨位汇总!$E$85),""))</f>
        <v/>
      </c>
      <c r="F86" s="76" t="str">
        <f>IF($V$4=0,IF($N86="","",$N86),IFERROR(IF([2]入库吨位汇总!$K$85=0,"",[2]入库吨位汇总!$K$85),""))</f>
        <v/>
      </c>
      <c r="G86" s="122" t="str">
        <f>IF($V$4=0,IF($O86="","",$O86),IFERROR(IF([2]入库吨位汇总!$L$85=0,"",[2]入库吨位汇总!$L$85),""))</f>
        <v/>
      </c>
      <c r="H86" s="76" t="str">
        <f>IF($V$4=0,IF($P86="","",$P86),IFERROR(IF([2]入库吨位汇总!$H$85=0,"",[2]入库吨位汇总!$H$85),""))</f>
        <v/>
      </c>
      <c r="I86" s="76" t="str">
        <f>IF($V$4=0,IF($Q86="","",$Q86),IFERROR(IF([2]入库吨位汇总!$I$85=0,"",[2]入库吨位汇总!$I$85),""))</f>
        <v/>
      </c>
      <c r="J86" s="116"/>
      <c r="K86" s="116"/>
      <c r="L86" s="131"/>
      <c r="M86" s="131"/>
      <c r="N86" s="132"/>
      <c r="O86" s="132"/>
      <c r="P86" s="132"/>
      <c r="Q86" s="132"/>
      <c r="R86" s="133">
        <f t="shared" si="2"/>
        <v>0</v>
      </c>
      <c r="S86" s="133">
        <f t="shared" si="3"/>
        <v>17</v>
      </c>
    </row>
    <row r="87" spans="1:19">
      <c r="A87" s="74">
        <v>86</v>
      </c>
      <c r="B87" s="75" t="str">
        <f>IF($V$4=0,IF($J87="","",$J87),IFERROR(IF([2]入库吨位汇总!$B$86=0,"",[2]入库吨位汇总!$B$86),""))</f>
        <v/>
      </c>
      <c r="C87" s="75" t="str">
        <f>IF($V$4=0,IF($K87="","",$K87),IFERROR(IF([2]入库吨位汇总!$C$86=0,"",[2]入库吨位汇总!$C$86),""))</f>
        <v/>
      </c>
      <c r="D87" s="42" t="str">
        <f>IF($V$4=0,IF($L87="","",$L87),IFERROR(IF([2]入库吨位汇总!$D$86=0,"",[2]入库吨位汇总!$D$86),""))</f>
        <v/>
      </c>
      <c r="E87" s="42" t="str">
        <f>IF($V$4=0,IF($M87="","",$M87),IFERROR(IF([2]入库吨位汇总!$E$86=0,"",[2]入库吨位汇总!$E$86),""))</f>
        <v/>
      </c>
      <c r="F87" s="76" t="str">
        <f>IF($V$4=0,IF($N87="","",$N87),IFERROR(IF([2]入库吨位汇总!$K$86=0,"",[2]入库吨位汇总!$K$86),""))</f>
        <v/>
      </c>
      <c r="G87" s="122" t="str">
        <f>IF($V$4=0,IF($O87="","",$O87),IFERROR(IF([2]入库吨位汇总!$L$86=0,"",[2]入库吨位汇总!$L$86),""))</f>
        <v/>
      </c>
      <c r="H87" s="76" t="str">
        <f>IF($V$4=0,IF($P87="","",$P87),IFERROR(IF([2]入库吨位汇总!$H$86=0,"",[2]入库吨位汇总!$H$86),""))</f>
        <v/>
      </c>
      <c r="I87" s="76" t="str">
        <f>IF($V$4=0,IF($Q87="","",$Q87),IFERROR(IF([2]入库吨位汇总!$I$86=0,"",[2]入库吨位汇总!$I$86),""))</f>
        <v/>
      </c>
      <c r="J87" s="116"/>
      <c r="K87" s="116"/>
      <c r="L87" s="131"/>
      <c r="M87" s="131"/>
      <c r="N87" s="132"/>
      <c r="O87" s="132"/>
      <c r="P87" s="132"/>
      <c r="Q87" s="132"/>
      <c r="R87" s="133">
        <f t="shared" si="2"/>
        <v>0</v>
      </c>
      <c r="S87" s="133">
        <f t="shared" si="3"/>
        <v>17</v>
      </c>
    </row>
    <row r="88" spans="1:19">
      <c r="A88" s="74">
        <v>87</v>
      </c>
      <c r="B88" s="75" t="str">
        <f>IF($V$4=0,IF($J88="","",$J88),IFERROR(IF([2]入库吨位汇总!$B$87=0,"",[2]入库吨位汇总!$B$87),""))</f>
        <v/>
      </c>
      <c r="C88" s="75" t="str">
        <f>IF($V$4=0,IF($K88="","",$K88),IFERROR(IF([2]入库吨位汇总!$C$87=0,"",[2]入库吨位汇总!$C$87),""))</f>
        <v/>
      </c>
      <c r="D88" s="42" t="str">
        <f>IF($V$4=0,IF($L88="","",$L88),IFERROR(IF([2]入库吨位汇总!$D$87=0,"",[2]入库吨位汇总!$D$87),""))</f>
        <v/>
      </c>
      <c r="E88" s="42" t="str">
        <f>IF($V$4=0,IF($M88="","",$M88),IFERROR(IF([2]入库吨位汇总!$E$87=0,"",[2]入库吨位汇总!$E$87),""))</f>
        <v/>
      </c>
      <c r="F88" s="76" t="str">
        <f>IF($V$4=0,IF($N88="","",$N88),IFERROR(IF([2]入库吨位汇总!$K$87=0,"",[2]入库吨位汇总!$K$87),""))</f>
        <v/>
      </c>
      <c r="G88" s="122" t="str">
        <f>IF($V$4=0,IF($O88="","",$O88),IFERROR(IF([2]入库吨位汇总!$L$87=0,"",[2]入库吨位汇总!$L$87),""))</f>
        <v/>
      </c>
      <c r="H88" s="76" t="str">
        <f>IF($V$4=0,IF($P88="","",$P88),IFERROR(IF([2]入库吨位汇总!$H$87=0,"",[2]入库吨位汇总!$H$87),""))</f>
        <v/>
      </c>
      <c r="I88" s="76" t="str">
        <f>IF($V$4=0,IF($Q88="","",$Q88),IFERROR(IF([2]入库吨位汇总!$I$87=0,"",[2]入库吨位汇总!$I$87),""))</f>
        <v/>
      </c>
      <c r="J88" s="116"/>
      <c r="K88" s="116"/>
      <c r="L88" s="131"/>
      <c r="M88" s="131"/>
      <c r="N88" s="132"/>
      <c r="O88" s="132"/>
      <c r="P88" s="132"/>
      <c r="Q88" s="132"/>
      <c r="R88" s="133">
        <f t="shared" si="2"/>
        <v>0</v>
      </c>
      <c r="S88" s="133">
        <f t="shared" si="3"/>
        <v>17</v>
      </c>
    </row>
    <row r="89" spans="1:19">
      <c r="A89" s="74">
        <v>88</v>
      </c>
      <c r="B89" s="75" t="str">
        <f>IF($V$4=0,IF($J89="","",$J89),IFERROR(IF([2]入库吨位汇总!$B$88=0,"",[2]入库吨位汇总!$B$88),""))</f>
        <v/>
      </c>
      <c r="C89" s="75" t="str">
        <f>IF($V$4=0,IF($K89="","",$K89),IFERROR(IF([2]入库吨位汇总!$C$88=0,"",[2]入库吨位汇总!$C$88),""))</f>
        <v/>
      </c>
      <c r="D89" s="42" t="str">
        <f>IF($V$4=0,IF($L89="","",$L89),IFERROR(IF([2]入库吨位汇总!$D$88=0,"",[2]入库吨位汇总!$D$88),""))</f>
        <v/>
      </c>
      <c r="E89" s="42" t="str">
        <f>IF($V$4=0,IF($M89="","",$M89),IFERROR(IF([2]入库吨位汇总!$E$88=0,"",[2]入库吨位汇总!$E$88),""))</f>
        <v/>
      </c>
      <c r="F89" s="76" t="str">
        <f>IF($V$4=0,IF($N89="","",$N89),IFERROR(IF([2]入库吨位汇总!$K$88=0,"",[2]入库吨位汇总!$K$88),""))</f>
        <v/>
      </c>
      <c r="G89" s="122" t="str">
        <f>IF($V$4=0,IF($O89="","",$O89),IFERROR(IF([2]入库吨位汇总!$L$88=0,"",[2]入库吨位汇总!$L$88),""))</f>
        <v/>
      </c>
      <c r="H89" s="76" t="str">
        <f>IF($V$4=0,IF($P89="","",$P89),IFERROR(IF([2]入库吨位汇总!$H$88=0,"",[2]入库吨位汇总!$H$88),""))</f>
        <v/>
      </c>
      <c r="I89" s="76" t="str">
        <f>IF($V$4=0,IF($Q89="","",$Q89),IFERROR(IF([2]入库吨位汇总!$I$88=0,"",[2]入库吨位汇总!$I$88),""))</f>
        <v/>
      </c>
      <c r="J89" s="116"/>
      <c r="K89" s="116"/>
      <c r="L89" s="131"/>
      <c r="M89" s="131"/>
      <c r="N89" s="132"/>
      <c r="O89" s="132"/>
      <c r="P89" s="132"/>
      <c r="Q89" s="132"/>
      <c r="R89" s="133">
        <f t="shared" si="2"/>
        <v>0</v>
      </c>
      <c r="S89" s="133">
        <f t="shared" si="3"/>
        <v>17</v>
      </c>
    </row>
    <row r="90" spans="1:19">
      <c r="A90" s="74">
        <v>89</v>
      </c>
      <c r="B90" s="75" t="str">
        <f>IF($V$4=0,IF($J90="","",$J90),IFERROR(IF([2]入库吨位汇总!$B$89=0,"",[2]入库吨位汇总!$B$89),""))</f>
        <v/>
      </c>
      <c r="C90" s="75" t="str">
        <f>IF($V$4=0,IF($K90="","",$K90),IFERROR(IF([2]入库吨位汇总!$C$89=0,"",[2]入库吨位汇总!$C$89),""))</f>
        <v/>
      </c>
      <c r="D90" s="42" t="str">
        <f>IF($V$4=0,IF($L90="","",$L90),IFERROR(IF([2]入库吨位汇总!$D$89=0,"",[2]入库吨位汇总!$D$89),""))</f>
        <v/>
      </c>
      <c r="E90" s="42" t="str">
        <f>IF($V$4=0,IF($M90="","",$M90),IFERROR(IF([2]入库吨位汇总!$E$89=0,"",[2]入库吨位汇总!$E$89),""))</f>
        <v/>
      </c>
      <c r="F90" s="76" t="str">
        <f>IF($V$4=0,IF($N90="","",$N90),IFERROR(IF([2]入库吨位汇总!$K$89=0,"",[2]入库吨位汇总!$K$89),""))</f>
        <v/>
      </c>
      <c r="G90" s="122" t="str">
        <f>IF($V$4=0,IF($O90="","",$O90),IFERROR(IF([2]入库吨位汇总!$L$89=0,"",[2]入库吨位汇总!$L$89),""))</f>
        <v/>
      </c>
      <c r="H90" s="76" t="str">
        <f>IF($V$4=0,IF($P90="","",$P90),IFERROR(IF([2]入库吨位汇总!$H$89=0,"",[2]入库吨位汇总!$H$89),""))</f>
        <v/>
      </c>
      <c r="I90" s="76" t="str">
        <f>IF($V$4=0,IF($Q90="","",$Q90),IFERROR(IF([2]入库吨位汇总!$I$89=0,"",[2]入库吨位汇总!$I$89),""))</f>
        <v/>
      </c>
      <c r="J90" s="116"/>
      <c r="K90" s="116"/>
      <c r="L90" s="131"/>
      <c r="M90" s="131"/>
      <c r="N90" s="132"/>
      <c r="O90" s="132"/>
      <c r="P90" s="132"/>
      <c r="Q90" s="132"/>
      <c r="R90" s="133">
        <f t="shared" si="2"/>
        <v>0</v>
      </c>
      <c r="S90" s="133">
        <f t="shared" si="3"/>
        <v>17</v>
      </c>
    </row>
    <row r="91" spans="1:19">
      <c r="A91" s="74">
        <v>90</v>
      </c>
      <c r="B91" s="75" t="str">
        <f>IF($V$4=0,IF($J91="","",$J91),IFERROR(IF([2]入库吨位汇总!$B$90=0,"",[2]入库吨位汇总!$B$90),""))</f>
        <v/>
      </c>
      <c r="C91" s="75" t="str">
        <f>IF($V$4=0,IF($K91="","",$K91),IFERROR(IF([2]入库吨位汇总!$C$90=0,"",[2]入库吨位汇总!$C$90),""))</f>
        <v/>
      </c>
      <c r="D91" s="42" t="str">
        <f>IF($V$4=0,IF($L91="","",$L91),IFERROR(IF([2]入库吨位汇总!$D$90=0,"",[2]入库吨位汇总!$D$90),""))</f>
        <v/>
      </c>
      <c r="E91" s="42" t="str">
        <f>IF($V$4=0,IF($M91="","",$M91),IFERROR(IF([2]入库吨位汇总!$E$90=0,"",[2]入库吨位汇总!$E$90),""))</f>
        <v/>
      </c>
      <c r="F91" s="76" t="str">
        <f>IF($V$4=0,IF($N91="","",$N91),IFERROR(IF([2]入库吨位汇总!$K$90=0,"",[2]入库吨位汇总!$K$90),""))</f>
        <v/>
      </c>
      <c r="G91" s="122" t="str">
        <f>IF($V$4=0,IF($O91="","",$O91),IFERROR(IF([2]入库吨位汇总!$L$90=0,"",[2]入库吨位汇总!$L$90),""))</f>
        <v/>
      </c>
      <c r="H91" s="76" t="str">
        <f>IF($V$4=0,IF($P91="","",$P91),IFERROR(IF([2]入库吨位汇总!$H$90=0,"",[2]入库吨位汇总!$H$90),""))</f>
        <v/>
      </c>
      <c r="I91" s="76" t="str">
        <f>IF($V$4=0,IF($Q91="","",$Q91),IFERROR(IF([2]入库吨位汇总!$I$90=0,"",[2]入库吨位汇总!$I$90),""))</f>
        <v/>
      </c>
      <c r="J91" s="116"/>
      <c r="K91" s="116"/>
      <c r="L91" s="131"/>
      <c r="M91" s="131"/>
      <c r="N91" s="132"/>
      <c r="O91" s="132"/>
      <c r="P91" s="132"/>
      <c r="Q91" s="132"/>
      <c r="R91" s="133">
        <f t="shared" si="2"/>
        <v>0</v>
      </c>
      <c r="S91" s="133">
        <f t="shared" si="3"/>
        <v>17</v>
      </c>
    </row>
    <row r="92" spans="1:19">
      <c r="A92" s="74">
        <v>91</v>
      </c>
      <c r="B92" s="75" t="str">
        <f>IF($V$4=0,IF($J92="","",$J92),IFERROR(IF([2]入库吨位汇总!$B$91=0,"",[2]入库吨位汇总!$B$91),""))</f>
        <v/>
      </c>
      <c r="C92" s="75" t="str">
        <f>IF($V$4=0,IF($K92="","",$K92),IFERROR(IF([2]入库吨位汇总!$C$91=0,"",[2]入库吨位汇总!$C$91),""))</f>
        <v/>
      </c>
      <c r="D92" s="42" t="str">
        <f>IF($V$4=0,IF($L92="","",$L92),IFERROR(IF([2]入库吨位汇总!$D$91=0,"",[2]入库吨位汇总!$D$91),""))</f>
        <v/>
      </c>
      <c r="E92" s="42" t="str">
        <f>IF($V$4=0,IF($M92="","",$M92),IFERROR(IF([2]入库吨位汇总!$E$91=0,"",[2]入库吨位汇总!$E$91),""))</f>
        <v/>
      </c>
      <c r="F92" s="76" t="str">
        <f>IF($V$4=0,IF($N92="","",$N92),IFERROR(IF([2]入库吨位汇总!$K$91=0,"",[2]入库吨位汇总!$K$91),""))</f>
        <v/>
      </c>
      <c r="G92" s="122" t="str">
        <f>IF($V$4=0,IF($O92="","",$O92),IFERROR(IF([2]入库吨位汇总!$L$91=0,"",[2]入库吨位汇总!$L$91),""))</f>
        <v/>
      </c>
      <c r="H92" s="76" t="str">
        <f>IF($V$4=0,IF($P92="","",$P92),IFERROR(IF([2]入库吨位汇总!$H$91=0,"",[2]入库吨位汇总!$H$91),""))</f>
        <v/>
      </c>
      <c r="I92" s="76" t="str">
        <f>IF($V$4=0,IF($Q92="","",$Q92),IFERROR(IF([2]入库吨位汇总!$I$91=0,"",[2]入库吨位汇总!$I$91),""))</f>
        <v/>
      </c>
      <c r="J92" s="116"/>
      <c r="K92" s="116"/>
      <c r="L92" s="131"/>
      <c r="M92" s="131"/>
      <c r="N92" s="132"/>
      <c r="O92" s="132"/>
      <c r="P92" s="132"/>
      <c r="Q92" s="132"/>
      <c r="R92" s="133">
        <f t="shared" si="2"/>
        <v>0</v>
      </c>
      <c r="S92" s="133">
        <f t="shared" si="3"/>
        <v>17</v>
      </c>
    </row>
    <row r="93" spans="1:19">
      <c r="A93" s="74">
        <v>92</v>
      </c>
      <c r="B93" s="75" t="str">
        <f>IF($V$4=0,IF($J93="","",$J93),IFERROR(IF([2]入库吨位汇总!$B$92=0,"",[2]入库吨位汇总!$B$92),""))</f>
        <v/>
      </c>
      <c r="C93" s="75" t="str">
        <f>IF($V$4=0,IF($K93="","",$K93),IFERROR(IF([2]入库吨位汇总!$C$92=0,"",[2]入库吨位汇总!$C$92),""))</f>
        <v/>
      </c>
      <c r="D93" s="42" t="str">
        <f>IF($V$4=0,IF($L93="","",$L93),IFERROR(IF([2]入库吨位汇总!$D$92=0,"",[2]入库吨位汇总!$D$92),""))</f>
        <v/>
      </c>
      <c r="E93" s="42" t="str">
        <f>IF($V$4=0,IF($M93="","",$M93),IFERROR(IF([2]入库吨位汇总!$E$92=0,"",[2]入库吨位汇总!$E$92),""))</f>
        <v/>
      </c>
      <c r="F93" s="76" t="str">
        <f>IF($V$4=0,IF($N93="","",$N93),IFERROR(IF([2]入库吨位汇总!$K$92=0,"",[2]入库吨位汇总!$K$92),""))</f>
        <v/>
      </c>
      <c r="G93" s="122" t="str">
        <f>IF($V$4=0,IF($O93="","",$O93),IFERROR(IF([2]入库吨位汇总!$L$92=0,"",[2]入库吨位汇总!$L$92),""))</f>
        <v/>
      </c>
      <c r="H93" s="76" t="str">
        <f>IF($V$4=0,IF($P93="","",$P93),IFERROR(IF([2]入库吨位汇总!$H$92=0,"",[2]入库吨位汇总!$H$92),""))</f>
        <v/>
      </c>
      <c r="I93" s="76" t="str">
        <f>IF($V$4=0,IF($Q93="","",$Q93),IFERROR(IF([2]入库吨位汇总!$I$92=0,"",[2]入库吨位汇总!$I$92),""))</f>
        <v/>
      </c>
      <c r="J93" s="116"/>
      <c r="K93" s="116"/>
      <c r="L93" s="131"/>
      <c r="M93" s="131"/>
      <c r="N93" s="132"/>
      <c r="O93" s="132"/>
      <c r="P93" s="132"/>
      <c r="Q93" s="132"/>
      <c r="R93" s="133">
        <f t="shared" si="2"/>
        <v>0</v>
      </c>
      <c r="S93" s="133">
        <f t="shared" si="3"/>
        <v>17</v>
      </c>
    </row>
    <row r="94" spans="1:19">
      <c r="A94" s="74">
        <v>93</v>
      </c>
      <c r="B94" s="75" t="str">
        <f>IF($V$4=0,IF($J94="","",$J94),IFERROR(IF([2]入库吨位汇总!$B$93=0,"",[2]入库吨位汇总!$B$93),""))</f>
        <v/>
      </c>
      <c r="C94" s="75" t="str">
        <f>IF($V$4=0,IF($K94="","",$K94),IFERROR(IF([2]入库吨位汇总!$C$93=0,"",[2]入库吨位汇总!$C$93),""))</f>
        <v/>
      </c>
      <c r="D94" s="42" t="str">
        <f>IF($V$4=0,IF($L94="","",$L94),IFERROR(IF([2]入库吨位汇总!$D$93=0,"",[2]入库吨位汇总!$D$93),""))</f>
        <v/>
      </c>
      <c r="E94" s="42" t="str">
        <f>IF($V$4=0,IF($M94="","",$M94),IFERROR(IF([2]入库吨位汇总!$E$93=0,"",[2]入库吨位汇总!$E$93),""))</f>
        <v/>
      </c>
      <c r="F94" s="76" t="str">
        <f>IF($V$4=0,IF($N94="","",$N94),IFERROR(IF([2]入库吨位汇总!$K$93=0,"",[2]入库吨位汇总!$K$93),""))</f>
        <v/>
      </c>
      <c r="G94" s="122" t="str">
        <f>IF($V$4=0,IF($O94="","",$O94),IFERROR(IF([2]入库吨位汇总!$L$93=0,"",[2]入库吨位汇总!$L$93),""))</f>
        <v/>
      </c>
      <c r="H94" s="76" t="str">
        <f>IF($V$4=0,IF($P94="","",$P94),IFERROR(IF([2]入库吨位汇总!$H$93=0,"",[2]入库吨位汇总!$H$93),""))</f>
        <v/>
      </c>
      <c r="I94" s="76" t="str">
        <f>IF($V$4=0,IF($Q94="","",$Q94),IFERROR(IF([2]入库吨位汇总!$I$93=0,"",[2]入库吨位汇总!$I$93),""))</f>
        <v/>
      </c>
      <c r="J94" s="116"/>
      <c r="K94" s="116"/>
      <c r="L94" s="131"/>
      <c r="M94" s="131"/>
      <c r="N94" s="132"/>
      <c r="O94" s="132"/>
      <c r="P94" s="132"/>
      <c r="Q94" s="132"/>
      <c r="R94" s="133">
        <f t="shared" si="2"/>
        <v>0</v>
      </c>
      <c r="S94" s="133">
        <f t="shared" si="3"/>
        <v>17</v>
      </c>
    </row>
    <row r="95" spans="1:19">
      <c r="A95" s="74">
        <v>94</v>
      </c>
      <c r="B95" s="75" t="str">
        <f>IF($V$4=0,IF($J95="","",$J95),IFERROR(IF([2]入库吨位汇总!$B$94=0,"",[2]入库吨位汇总!$B$94),""))</f>
        <v/>
      </c>
      <c r="C95" s="75" t="str">
        <f>IF($V$4=0,IF($K95="","",$K95),IFERROR(IF([2]入库吨位汇总!$C$94=0,"",[2]入库吨位汇总!$C$94),""))</f>
        <v/>
      </c>
      <c r="D95" s="42" t="str">
        <f>IF($V$4=0,IF($L95="","",$L95),IFERROR(IF([2]入库吨位汇总!$D$94=0,"",[2]入库吨位汇总!$D$94),""))</f>
        <v/>
      </c>
      <c r="E95" s="42" t="str">
        <f>IF($V$4=0,IF($M95="","",$M95),IFERROR(IF([2]入库吨位汇总!$E$94=0,"",[2]入库吨位汇总!$E$94),""))</f>
        <v/>
      </c>
      <c r="F95" s="76" t="str">
        <f>IF($V$4=0,IF($N95="","",$N95),IFERROR(IF([2]入库吨位汇总!$K$94=0,"",[2]入库吨位汇总!$K$94),""))</f>
        <v/>
      </c>
      <c r="G95" s="122" t="str">
        <f>IF($V$4=0,IF($O95="","",$O95),IFERROR(IF([2]入库吨位汇总!$L$94=0,"",[2]入库吨位汇总!$L$94),""))</f>
        <v/>
      </c>
      <c r="H95" s="76" t="str">
        <f>IF($V$4=0,IF($P95="","",$P95),IFERROR(IF([2]入库吨位汇总!$H$94=0,"",[2]入库吨位汇总!$H$94),""))</f>
        <v/>
      </c>
      <c r="I95" s="76" t="str">
        <f>IF($V$4=0,IF($Q95="","",$Q95),IFERROR(IF([2]入库吨位汇总!$I$94=0,"",[2]入库吨位汇总!$I$94),""))</f>
        <v/>
      </c>
      <c r="J95" s="116"/>
      <c r="K95" s="116"/>
      <c r="L95" s="131"/>
      <c r="M95" s="131"/>
      <c r="N95" s="132"/>
      <c r="O95" s="132"/>
      <c r="P95" s="132"/>
      <c r="Q95" s="132"/>
      <c r="R95" s="133">
        <f t="shared" si="2"/>
        <v>0</v>
      </c>
      <c r="S95" s="133">
        <f t="shared" si="3"/>
        <v>17</v>
      </c>
    </row>
    <row r="96" spans="1:19">
      <c r="A96" s="74">
        <v>95</v>
      </c>
      <c r="B96" s="75" t="str">
        <f>IF($V$4=0,IF($J96="","",$J96),IFERROR(IF([2]入库吨位汇总!$B$95=0,"",[2]入库吨位汇总!$B$95),""))</f>
        <v/>
      </c>
      <c r="C96" s="75" t="str">
        <f>IF($V$4=0,IF($K96="","",$K96),IFERROR(IF([2]入库吨位汇总!$C$95=0,"",[2]入库吨位汇总!$C$95),""))</f>
        <v/>
      </c>
      <c r="D96" s="42" t="str">
        <f>IF($V$4=0,IF($L96="","",$L96),IFERROR(IF([2]入库吨位汇总!$D$95=0,"",[2]入库吨位汇总!$D$95),""))</f>
        <v/>
      </c>
      <c r="E96" s="42" t="str">
        <f>IF($V$4=0,IF($M96="","",$M96),IFERROR(IF([2]入库吨位汇总!$E$95=0,"",[2]入库吨位汇总!$E$95),""))</f>
        <v/>
      </c>
      <c r="F96" s="76" t="str">
        <f>IF($V$4=0,IF($N96="","",$N96),IFERROR(IF([2]入库吨位汇总!$K$95=0,"",[2]入库吨位汇总!$K$95),""))</f>
        <v/>
      </c>
      <c r="G96" s="122" t="str">
        <f>IF($V$4=0,IF($O96="","",$O96),IFERROR(IF([2]入库吨位汇总!$L$95=0,"",[2]入库吨位汇总!$L$95),""))</f>
        <v/>
      </c>
      <c r="H96" s="76" t="str">
        <f>IF($V$4=0,IF($P96="","",$P96),IFERROR(IF([2]入库吨位汇总!$H$95=0,"",[2]入库吨位汇总!$H$95),""))</f>
        <v/>
      </c>
      <c r="I96" s="76" t="str">
        <f>IF($V$4=0,IF($Q96="","",$Q96),IFERROR(IF([2]入库吨位汇总!$I$95=0,"",[2]入库吨位汇总!$I$95),""))</f>
        <v/>
      </c>
      <c r="J96" s="116"/>
      <c r="K96" s="116"/>
      <c r="L96" s="131"/>
      <c r="M96" s="131"/>
      <c r="N96" s="132"/>
      <c r="O96" s="132"/>
      <c r="P96" s="132"/>
      <c r="Q96" s="132"/>
      <c r="R96" s="133">
        <f t="shared" si="2"/>
        <v>0</v>
      </c>
      <c r="S96" s="133">
        <f t="shared" si="3"/>
        <v>17</v>
      </c>
    </row>
    <row r="97" spans="1:19">
      <c r="A97" s="74">
        <v>96</v>
      </c>
      <c r="B97" s="75" t="str">
        <f>IF($V$4=0,IF($J97="","",$J97),IFERROR(IF([2]入库吨位汇总!$B$96=0,"",[2]入库吨位汇总!$B$96),""))</f>
        <v/>
      </c>
      <c r="C97" s="75" t="str">
        <f>IF($V$4=0,IF($K97="","",$K97),IFERROR(IF([2]入库吨位汇总!$C$96=0,"",[2]入库吨位汇总!$C$96),""))</f>
        <v/>
      </c>
      <c r="D97" s="42" t="str">
        <f>IF($V$4=0,IF($L97="","",$L97),IFERROR(IF([2]入库吨位汇总!$D$96=0,"",[2]入库吨位汇总!$D$96),""))</f>
        <v/>
      </c>
      <c r="E97" s="42" t="str">
        <f>IF($V$4=0,IF($M97="","",$M97),IFERROR(IF([2]入库吨位汇总!$E$96=0,"",[2]入库吨位汇总!$E$96),""))</f>
        <v/>
      </c>
      <c r="F97" s="76" t="str">
        <f>IF($V$4=0,IF($N97="","",$N97),IFERROR(IF([2]入库吨位汇总!$K$96=0,"",[2]入库吨位汇总!$K$96),""))</f>
        <v/>
      </c>
      <c r="G97" s="122" t="str">
        <f>IF($V$4=0,IF($O97="","",$O97),IFERROR(IF([2]入库吨位汇总!$L$96=0,"",[2]入库吨位汇总!$L$96),""))</f>
        <v/>
      </c>
      <c r="H97" s="76" t="str">
        <f>IF($V$4=0,IF($P97="","",$P97),IFERROR(IF([2]入库吨位汇总!$H$96=0,"",[2]入库吨位汇总!$H$96),""))</f>
        <v/>
      </c>
      <c r="I97" s="76" t="str">
        <f>IF($V$4=0,IF($Q97="","",$Q97),IFERROR(IF([2]入库吨位汇总!$I$96=0,"",[2]入库吨位汇总!$I$96),""))</f>
        <v/>
      </c>
      <c r="J97" s="116"/>
      <c r="K97" s="116"/>
      <c r="L97" s="131"/>
      <c r="M97" s="131"/>
      <c r="N97" s="132"/>
      <c r="O97" s="132"/>
      <c r="P97" s="132"/>
      <c r="Q97" s="132"/>
      <c r="R97" s="133">
        <f t="shared" si="2"/>
        <v>0</v>
      </c>
      <c r="S97" s="133">
        <f t="shared" si="3"/>
        <v>17</v>
      </c>
    </row>
    <row r="98" spans="1:19">
      <c r="A98" s="74">
        <v>97</v>
      </c>
      <c r="B98" s="75" t="str">
        <f>IF($V$4=0,IF($J98="","",$J98),IFERROR(IF([2]入库吨位汇总!$B$97=0,"",[2]入库吨位汇总!$B$97),""))</f>
        <v/>
      </c>
      <c r="C98" s="75" t="str">
        <f>IF($V$4=0,IF($K98="","",$K98),IFERROR(IF([2]入库吨位汇总!$C$97=0,"",[2]入库吨位汇总!$C$97),""))</f>
        <v/>
      </c>
      <c r="D98" s="42" t="str">
        <f>IF($V$4=0,IF($L98="","",$L98),IFERROR(IF([2]入库吨位汇总!$D$97=0,"",[2]入库吨位汇总!$D$97),""))</f>
        <v/>
      </c>
      <c r="E98" s="42" t="str">
        <f>IF($V$4=0,IF($M98="","",$M98),IFERROR(IF([2]入库吨位汇总!$E$97=0,"",[2]入库吨位汇总!$E$97),""))</f>
        <v/>
      </c>
      <c r="F98" s="76" t="str">
        <f>IF($V$4=0,IF($N98="","",$N98),IFERROR(IF([2]入库吨位汇总!$K$97=0,"",[2]入库吨位汇总!$K$97),""))</f>
        <v/>
      </c>
      <c r="G98" s="122" t="str">
        <f>IF($V$4=0,IF($O98="","",$O98),IFERROR(IF([2]入库吨位汇总!$L$97=0,"",[2]入库吨位汇总!$L$97),""))</f>
        <v/>
      </c>
      <c r="H98" s="76" t="str">
        <f>IF($V$4=0,IF($P98="","",$P98),IFERROR(IF([2]入库吨位汇总!$H$97=0,"",[2]入库吨位汇总!$H$97),""))</f>
        <v/>
      </c>
      <c r="I98" s="76" t="str">
        <f>IF($V$4=0,IF($Q98="","",$Q98),IFERROR(IF([2]入库吨位汇总!$I$97=0,"",[2]入库吨位汇总!$I$97),""))</f>
        <v/>
      </c>
      <c r="J98" s="116"/>
      <c r="K98" s="116"/>
      <c r="L98" s="131"/>
      <c r="M98" s="131"/>
      <c r="N98" s="132"/>
      <c r="O98" s="132"/>
      <c r="P98" s="132"/>
      <c r="Q98" s="132"/>
      <c r="R98" s="133">
        <f t="shared" si="2"/>
        <v>0</v>
      </c>
      <c r="S98" s="133">
        <f t="shared" si="3"/>
        <v>17</v>
      </c>
    </row>
    <row r="99" spans="1:19">
      <c r="A99" s="74">
        <v>98</v>
      </c>
      <c r="B99" s="75" t="str">
        <f>IF($V$4=0,IF($J99="","",$J99),IFERROR(IF([2]入库吨位汇总!$B$98=0,"",[2]入库吨位汇总!$B$98),""))</f>
        <v/>
      </c>
      <c r="C99" s="75" t="str">
        <f>IF($V$4=0,IF($K99="","",$K99),IFERROR(IF([2]入库吨位汇总!$C$98=0,"",[2]入库吨位汇总!$C$98),""))</f>
        <v/>
      </c>
      <c r="D99" s="42" t="str">
        <f>IF($V$4=0,IF($L99="","",$L99),IFERROR(IF([2]入库吨位汇总!$D$98=0,"",[2]入库吨位汇总!$D$98),""))</f>
        <v/>
      </c>
      <c r="E99" s="42" t="str">
        <f>IF($V$4=0,IF($M99="","",$M99),IFERROR(IF([2]入库吨位汇总!$E$98=0,"",[2]入库吨位汇总!$E$98),""))</f>
        <v/>
      </c>
      <c r="F99" s="76" t="str">
        <f>IF($V$4=0,IF($N99="","",$N99),IFERROR(IF([2]入库吨位汇总!$K$98=0,"",[2]入库吨位汇总!$K$98),""))</f>
        <v/>
      </c>
      <c r="G99" s="122" t="str">
        <f>IF($V$4=0,IF($O99="","",$O99),IFERROR(IF([2]入库吨位汇总!$L$98=0,"",[2]入库吨位汇总!$L$98),""))</f>
        <v/>
      </c>
      <c r="H99" s="76" t="str">
        <f>IF($V$4=0,IF($P99="","",$P99),IFERROR(IF([2]入库吨位汇总!$H$98=0,"",[2]入库吨位汇总!$H$98),""))</f>
        <v/>
      </c>
      <c r="I99" s="76" t="str">
        <f>IF($V$4=0,IF($Q99="","",$Q99),IFERROR(IF([2]入库吨位汇总!$I$98=0,"",[2]入库吨位汇总!$I$98),""))</f>
        <v/>
      </c>
      <c r="J99" s="116"/>
      <c r="K99" s="116"/>
      <c r="L99" s="131"/>
      <c r="M99" s="131"/>
      <c r="N99" s="132"/>
      <c r="O99" s="132"/>
      <c r="P99" s="132"/>
      <c r="Q99" s="132"/>
      <c r="R99" s="133">
        <f t="shared" si="2"/>
        <v>0</v>
      </c>
      <c r="S99" s="133">
        <f t="shared" si="3"/>
        <v>17</v>
      </c>
    </row>
    <row r="100" spans="1:19">
      <c r="A100" s="74">
        <v>99</v>
      </c>
      <c r="B100" s="75" t="str">
        <f>IF($V$4=0,IF($J100="","",$J100),IFERROR(IF([2]入库吨位汇总!$B$99=0,"",[2]入库吨位汇总!$B$99),""))</f>
        <v/>
      </c>
      <c r="C100" s="75" t="str">
        <f>IF($V$4=0,IF($K100="","",$K100),IFERROR(IF([2]入库吨位汇总!$C$99=0,"",[2]入库吨位汇总!$C$99),""))</f>
        <v/>
      </c>
      <c r="D100" s="42" t="str">
        <f>IF($V$4=0,IF($L100="","",$L100),IFERROR(IF([2]入库吨位汇总!$D$99=0,"",[2]入库吨位汇总!$D$99),""))</f>
        <v/>
      </c>
      <c r="E100" s="42" t="str">
        <f>IF($V$4=0,IF($M100="","",$M100),IFERROR(IF([2]入库吨位汇总!$E$99=0,"",[2]入库吨位汇总!$E$99),""))</f>
        <v/>
      </c>
      <c r="F100" s="76" t="str">
        <f>IF($V$4=0,IF($N100="","",$N100),IFERROR(IF([2]入库吨位汇总!$K$99=0,"",[2]入库吨位汇总!$K$99),""))</f>
        <v/>
      </c>
      <c r="G100" s="122" t="str">
        <f>IF($V$4=0,IF($O100="","",$O100),IFERROR(IF([2]入库吨位汇总!$L$99=0,"",[2]入库吨位汇总!$L$99),""))</f>
        <v/>
      </c>
      <c r="H100" s="76" t="str">
        <f>IF($V$4=0,IF($P100="","",$P100),IFERROR(IF([2]入库吨位汇总!$H$99=0,"",[2]入库吨位汇总!$H$99),""))</f>
        <v/>
      </c>
      <c r="I100" s="76" t="str">
        <f>IF($V$4=0,IF($Q100="","",$Q100),IFERROR(IF([2]入库吨位汇总!$I$99=0,"",[2]入库吨位汇总!$I$99),""))</f>
        <v/>
      </c>
      <c r="J100" s="116"/>
      <c r="K100" s="116"/>
      <c r="L100" s="131"/>
      <c r="M100" s="131"/>
      <c r="N100" s="132"/>
      <c r="O100" s="132"/>
      <c r="P100" s="132"/>
      <c r="Q100" s="132"/>
      <c r="R100" s="133">
        <f t="shared" si="2"/>
        <v>0</v>
      </c>
      <c r="S100" s="133">
        <f t="shared" si="3"/>
        <v>17</v>
      </c>
    </row>
    <row r="101" spans="1:19">
      <c r="A101" s="74">
        <v>100</v>
      </c>
      <c r="B101" s="75" t="str">
        <f>IF($V$4=0,IF($J101="","",$J101),IFERROR(IF([2]入库吨位汇总!$B$100=0,"",[2]入库吨位汇总!$B$100),""))</f>
        <v/>
      </c>
      <c r="C101" s="75" t="str">
        <f>IF($V$4=0,IF($K101="","",$K101),IFERROR(IF([2]入库吨位汇总!$C$100=0,"",[2]入库吨位汇总!$C$100),""))</f>
        <v/>
      </c>
      <c r="D101" s="42" t="str">
        <f>IF($V$4=0,IF($L101="","",$L101),IFERROR(IF([2]入库吨位汇总!$D$100=0,"",[2]入库吨位汇总!$D$100),""))</f>
        <v/>
      </c>
      <c r="E101" s="42" t="str">
        <f>IF($V$4=0,IF($M101="","",$M101),IFERROR(IF([2]入库吨位汇总!$E$100=0,"",[2]入库吨位汇总!$E$100),""))</f>
        <v/>
      </c>
      <c r="F101" s="76" t="str">
        <f>IF($V$4=0,IF($N101="","",$N101),IFERROR(IF([2]入库吨位汇总!$K$100=0,"",[2]入库吨位汇总!$K$100),""))</f>
        <v/>
      </c>
      <c r="G101" s="122" t="str">
        <f>IF($V$4=0,IF($O101="","",$O101),IFERROR(IF([2]入库吨位汇总!$L$100=0,"",[2]入库吨位汇总!$L$100),""))</f>
        <v/>
      </c>
      <c r="H101" s="76" t="str">
        <f>IF($V$4=0,IF($P101="","",$P101),IFERROR(IF([2]入库吨位汇总!$H$100=0,"",[2]入库吨位汇总!$H$100),""))</f>
        <v/>
      </c>
      <c r="I101" s="76" t="str">
        <f>IF($V$4=0,IF($Q101="","",$Q101),IFERROR(IF([2]入库吨位汇总!$I$100=0,"",[2]入库吨位汇总!$I$100),""))</f>
        <v/>
      </c>
      <c r="J101" s="116"/>
      <c r="K101" s="116"/>
      <c r="L101" s="131"/>
      <c r="M101" s="131"/>
      <c r="N101" s="132"/>
      <c r="O101" s="132"/>
      <c r="P101" s="132"/>
      <c r="Q101" s="132"/>
      <c r="R101" s="133">
        <f t="shared" si="2"/>
        <v>0</v>
      </c>
      <c r="S101" s="133">
        <f t="shared" si="3"/>
        <v>17</v>
      </c>
    </row>
    <row r="102" spans="1:19">
      <c r="A102" s="74">
        <v>101</v>
      </c>
      <c r="B102" s="75" t="str">
        <f>IF($V$4=0,IF($J102="","",$J102),IFERROR(IF([2]入库吨位汇总!$B$101=0,"",[2]入库吨位汇总!$B$101),""))</f>
        <v/>
      </c>
      <c r="C102" s="75" t="str">
        <f>IF($V$4=0,IF($K102="","",$K102),IFERROR(IF([2]入库吨位汇总!$C$101=0,"",[2]入库吨位汇总!$C$101),""))</f>
        <v/>
      </c>
      <c r="D102" s="42" t="str">
        <f>IF($V$4=0,IF($L102="","",$L102),IFERROR(IF([2]入库吨位汇总!$D$101=0,"",[2]入库吨位汇总!$D$101),""))</f>
        <v/>
      </c>
      <c r="E102" s="42" t="str">
        <f>IF($V$4=0,IF($M102="","",$M102),IFERROR(IF([2]入库吨位汇总!$E$101=0,"",[2]入库吨位汇总!$E$101),""))</f>
        <v/>
      </c>
      <c r="F102" s="76" t="str">
        <f>IF($V$4=0,IF($N102="","",$N102),IFERROR(IF([2]入库吨位汇总!$K$101=0,"",[2]入库吨位汇总!$K$101),""))</f>
        <v/>
      </c>
      <c r="G102" s="122" t="str">
        <f>IF($V$4=0,IF($O102="","",$O102),IFERROR(IF([2]入库吨位汇总!$L$101=0,"",[2]入库吨位汇总!$L$101),""))</f>
        <v/>
      </c>
      <c r="H102" s="76" t="str">
        <f>IF($V$4=0,IF($P102="","",$P102),IFERROR(IF([2]入库吨位汇总!$H$101=0,"",[2]入库吨位汇总!$H$101),""))</f>
        <v/>
      </c>
      <c r="I102" s="76" t="str">
        <f>IF($V$4=0,IF($Q102="","",$Q102),IFERROR(IF([2]入库吨位汇总!$I$101=0,"",[2]入库吨位汇总!$I$101),""))</f>
        <v/>
      </c>
      <c r="J102" s="116"/>
      <c r="K102" s="116"/>
      <c r="L102" s="131"/>
      <c r="M102" s="131"/>
      <c r="N102" s="132"/>
      <c r="O102" s="132"/>
      <c r="P102" s="132"/>
      <c r="Q102" s="132"/>
      <c r="R102" s="133">
        <f t="shared" si="2"/>
        <v>0</v>
      </c>
      <c r="S102" s="133">
        <f t="shared" si="3"/>
        <v>17</v>
      </c>
    </row>
    <row r="103" spans="1:19">
      <c r="A103" s="74">
        <v>102</v>
      </c>
      <c r="B103" s="75" t="str">
        <f>IF($V$4=0,IF($J103="","",$J103),IFERROR(IF([2]入库吨位汇总!$B$102=0,"",[2]入库吨位汇总!$B$102),""))</f>
        <v/>
      </c>
      <c r="C103" s="75" t="str">
        <f>IF($V$4=0,IF($K103="","",$K103),IFERROR(IF([2]入库吨位汇总!$C$102=0,"",[2]入库吨位汇总!$C$102),""))</f>
        <v/>
      </c>
      <c r="D103" s="42" t="str">
        <f>IF($V$4=0,IF($L103="","",$L103),IFERROR(IF([2]入库吨位汇总!$D$102=0,"",[2]入库吨位汇总!$D$102),""))</f>
        <v/>
      </c>
      <c r="E103" s="42" t="str">
        <f>IF($V$4=0,IF($M103="","",$M103),IFERROR(IF([2]入库吨位汇总!$E$102=0,"",[2]入库吨位汇总!$E$102),""))</f>
        <v/>
      </c>
      <c r="F103" s="76" t="str">
        <f>IF($V$4=0,IF($N103="","",$N103),IFERROR(IF([2]入库吨位汇总!$K$102=0,"",[2]入库吨位汇总!$K$102),""))</f>
        <v/>
      </c>
      <c r="G103" s="122" t="str">
        <f>IF($V$4=0,IF($O103="","",$O103),IFERROR(IF([2]入库吨位汇总!$L$102=0,"",[2]入库吨位汇总!$L$102),""))</f>
        <v/>
      </c>
      <c r="H103" s="76" t="str">
        <f>IF($V$4=0,IF($P103="","",$P103),IFERROR(IF([2]入库吨位汇总!$H$102=0,"",[2]入库吨位汇总!$H$102),""))</f>
        <v/>
      </c>
      <c r="I103" s="76" t="str">
        <f>IF($V$4=0,IF($Q103="","",$Q103),IFERROR(IF([2]入库吨位汇总!$I$102=0,"",[2]入库吨位汇总!$I$102),""))</f>
        <v/>
      </c>
      <c r="J103" s="116"/>
      <c r="K103" s="116"/>
      <c r="L103" s="131"/>
      <c r="M103" s="131"/>
      <c r="N103" s="132"/>
      <c r="O103" s="132"/>
      <c r="P103" s="132"/>
      <c r="Q103" s="132"/>
      <c r="R103" s="133">
        <f t="shared" si="2"/>
        <v>0</v>
      </c>
      <c r="S103" s="133">
        <f t="shared" si="3"/>
        <v>17</v>
      </c>
    </row>
    <row r="104" spans="1:19">
      <c r="A104" s="74">
        <v>103</v>
      </c>
      <c r="B104" s="75" t="str">
        <f>IF($V$4=0,IF($J104="","",$J104),IFERROR(IF([2]入库吨位汇总!$B$103=0,"",[2]入库吨位汇总!$B$103),""))</f>
        <v/>
      </c>
      <c r="C104" s="75" t="str">
        <f>IF($V$4=0,IF($K104="","",$K104),IFERROR(IF([2]入库吨位汇总!$C$103=0,"",[2]入库吨位汇总!$C$103),""))</f>
        <v/>
      </c>
      <c r="D104" s="42" t="str">
        <f>IF($V$4=0,IF($L104="","",$L104),IFERROR(IF([2]入库吨位汇总!$D$103=0,"",[2]入库吨位汇总!$D$103),""))</f>
        <v/>
      </c>
      <c r="E104" s="42" t="str">
        <f>IF($V$4=0,IF($M104="","",$M104),IFERROR(IF([2]入库吨位汇总!$E$103=0,"",[2]入库吨位汇总!$E$103),""))</f>
        <v/>
      </c>
      <c r="F104" s="76" t="str">
        <f>IF($V$4=0,IF($N104="","",$N104),IFERROR(IF([2]入库吨位汇总!$K$103=0,"",[2]入库吨位汇总!$K$103),""))</f>
        <v/>
      </c>
      <c r="G104" s="122" t="str">
        <f>IF($V$4=0,IF($O104="","",$O104),IFERROR(IF([2]入库吨位汇总!$L$103=0,"",[2]入库吨位汇总!$L$103),""))</f>
        <v/>
      </c>
      <c r="H104" s="76" t="str">
        <f>IF($V$4=0,IF($P104="","",$P104),IFERROR(IF([2]入库吨位汇总!$H$103=0,"",[2]入库吨位汇总!$H$103),""))</f>
        <v/>
      </c>
      <c r="I104" s="76" t="str">
        <f>IF($V$4=0,IF($Q104="","",$Q104),IFERROR(IF([2]入库吨位汇总!$I$103=0,"",[2]入库吨位汇总!$I$103),""))</f>
        <v/>
      </c>
      <c r="J104" s="116"/>
      <c r="K104" s="116"/>
      <c r="L104" s="131"/>
      <c r="M104" s="131"/>
      <c r="N104" s="132"/>
      <c r="O104" s="132"/>
      <c r="P104" s="132"/>
      <c r="Q104" s="132"/>
      <c r="R104" s="133">
        <f t="shared" si="2"/>
        <v>0</v>
      </c>
      <c r="S104" s="133">
        <f t="shared" si="3"/>
        <v>17</v>
      </c>
    </row>
    <row r="105" spans="1:19">
      <c r="A105" s="74">
        <v>104</v>
      </c>
      <c r="B105" s="75" t="str">
        <f>IF($V$4=0,IF($J105="","",$J105),IFERROR(IF([2]入库吨位汇总!$B$104=0,"",[2]入库吨位汇总!$B$104),""))</f>
        <v/>
      </c>
      <c r="C105" s="75" t="str">
        <f>IF($V$4=0,IF($K105="","",$K105),IFERROR(IF([2]入库吨位汇总!$C$104=0,"",[2]入库吨位汇总!$C$104),""))</f>
        <v/>
      </c>
      <c r="D105" s="42" t="str">
        <f>IF($V$4=0,IF($L105="","",$L105),IFERROR(IF([2]入库吨位汇总!$D$104=0,"",[2]入库吨位汇总!$D$104),""))</f>
        <v/>
      </c>
      <c r="E105" s="42" t="str">
        <f>IF($V$4=0,IF($M105="","",$M105),IFERROR(IF([2]入库吨位汇总!$E$104=0,"",[2]入库吨位汇总!$E$104),""))</f>
        <v/>
      </c>
      <c r="F105" s="76" t="str">
        <f>IF($V$4=0,IF($N105="","",$N105),IFERROR(IF([2]入库吨位汇总!$K$104=0,"",[2]入库吨位汇总!$K$104),""))</f>
        <v/>
      </c>
      <c r="G105" s="122" t="str">
        <f>IF($V$4=0,IF($O105="","",$O105),IFERROR(IF([2]入库吨位汇总!$L$104=0,"",[2]入库吨位汇总!$L$104),""))</f>
        <v/>
      </c>
      <c r="H105" s="76" t="str">
        <f>IF($V$4=0,IF($P105="","",$P105),IFERROR(IF([2]入库吨位汇总!$H$104=0,"",[2]入库吨位汇总!$H$104),""))</f>
        <v/>
      </c>
      <c r="I105" s="76" t="str">
        <f>IF($V$4=0,IF($Q105="","",$Q105),IFERROR(IF([2]入库吨位汇总!$I$104=0,"",[2]入库吨位汇总!$I$104),""))</f>
        <v/>
      </c>
      <c r="J105" s="116"/>
      <c r="K105" s="116"/>
      <c r="L105" s="131"/>
      <c r="M105" s="131"/>
      <c r="N105" s="132"/>
      <c r="O105" s="132"/>
      <c r="P105" s="132"/>
      <c r="Q105" s="132"/>
      <c r="R105" s="133">
        <f t="shared" si="2"/>
        <v>0</v>
      </c>
      <c r="S105" s="133">
        <f t="shared" si="3"/>
        <v>17</v>
      </c>
    </row>
    <row r="106" spans="1:19">
      <c r="A106" s="74">
        <v>105</v>
      </c>
      <c r="B106" s="75" t="str">
        <f>IF($V$4=0,IF($J106="","",$J106),IFERROR(IF([2]入库吨位汇总!$B$105=0,"",[2]入库吨位汇总!$B$105),""))</f>
        <v/>
      </c>
      <c r="C106" s="75" t="str">
        <f>IF($V$4=0,IF($K106="","",$K106),IFERROR(IF([2]入库吨位汇总!$C$105=0,"",[2]入库吨位汇总!$C$105),""))</f>
        <v/>
      </c>
      <c r="D106" s="42" t="str">
        <f>IF($V$4=0,IF($L106="","",$L106),IFERROR(IF([2]入库吨位汇总!$D$105=0,"",[2]入库吨位汇总!$D$105),""))</f>
        <v/>
      </c>
      <c r="E106" s="42" t="str">
        <f>IF($V$4=0,IF($M106="","",$M106),IFERROR(IF([2]入库吨位汇总!$E$105=0,"",[2]入库吨位汇总!$E$105),""))</f>
        <v/>
      </c>
      <c r="F106" s="76" t="str">
        <f>IF($V$4=0,IF($N106="","",$N106),IFERROR(IF([2]入库吨位汇总!$K$105=0,"",[2]入库吨位汇总!$K$105),""))</f>
        <v/>
      </c>
      <c r="G106" s="122" t="str">
        <f>IF($V$4=0,IF($O106="","",$O106),IFERROR(IF([2]入库吨位汇总!$L$105=0,"",[2]入库吨位汇总!$L$105),""))</f>
        <v/>
      </c>
      <c r="H106" s="76" t="str">
        <f>IF($V$4=0,IF($P106="","",$P106),IFERROR(IF([2]入库吨位汇总!$H$105=0,"",[2]入库吨位汇总!$H$105),""))</f>
        <v/>
      </c>
      <c r="I106" s="76" t="str">
        <f>IF($V$4=0,IF($Q106="","",$Q106),IFERROR(IF([2]入库吨位汇总!$I$105=0,"",[2]入库吨位汇总!$I$105),""))</f>
        <v/>
      </c>
      <c r="J106" s="116"/>
      <c r="K106" s="116"/>
      <c r="L106" s="131"/>
      <c r="M106" s="131"/>
      <c r="N106" s="132"/>
      <c r="O106" s="132"/>
      <c r="P106" s="132"/>
      <c r="Q106" s="132"/>
      <c r="R106" s="133">
        <f t="shared" si="2"/>
        <v>0</v>
      </c>
      <c r="S106" s="133">
        <f t="shared" si="3"/>
        <v>17</v>
      </c>
    </row>
    <row r="107" spans="1:19">
      <c r="A107" s="74">
        <v>106</v>
      </c>
      <c r="B107" s="75" t="str">
        <f>IF($V$4=0,IF($J107="","",$J107),IFERROR(IF([2]入库吨位汇总!$B$106=0,"",[2]入库吨位汇总!$B$106),""))</f>
        <v/>
      </c>
      <c r="C107" s="75" t="str">
        <f>IF($V$4=0,IF($K107="","",$K107),IFERROR(IF([2]入库吨位汇总!$C$106=0,"",[2]入库吨位汇总!$C$106),""))</f>
        <v/>
      </c>
      <c r="D107" s="42" t="str">
        <f>IF($V$4=0,IF($L107="","",$L107),IFERROR(IF([2]入库吨位汇总!$D$106=0,"",[2]入库吨位汇总!$D$106),""))</f>
        <v/>
      </c>
      <c r="E107" s="42" t="str">
        <f>IF($V$4=0,IF($M107="","",$M107),IFERROR(IF([2]入库吨位汇总!$E$106=0,"",[2]入库吨位汇总!$E$106),""))</f>
        <v/>
      </c>
      <c r="F107" s="76" t="str">
        <f>IF($V$4=0,IF($N107="","",$N107),IFERROR(IF([2]入库吨位汇总!$K$106=0,"",[2]入库吨位汇总!$K$106),""))</f>
        <v/>
      </c>
      <c r="G107" s="122" t="str">
        <f>IF($V$4=0,IF($O107="","",$O107),IFERROR(IF([2]入库吨位汇总!$L$106=0,"",[2]入库吨位汇总!$L$106),""))</f>
        <v/>
      </c>
      <c r="H107" s="76" t="str">
        <f>IF($V$4=0,IF($P107="","",$P107),IFERROR(IF([2]入库吨位汇总!$H$106=0,"",[2]入库吨位汇总!$H$106),""))</f>
        <v/>
      </c>
      <c r="I107" s="76" t="str">
        <f>IF($V$4=0,IF($Q107="","",$Q107),IFERROR(IF([2]入库吨位汇总!$I$106=0,"",[2]入库吨位汇总!$I$106),""))</f>
        <v/>
      </c>
      <c r="J107" s="116"/>
      <c r="K107" s="116"/>
      <c r="L107" s="131"/>
      <c r="M107" s="131"/>
      <c r="N107" s="132"/>
      <c r="O107" s="132"/>
      <c r="P107" s="132"/>
      <c r="Q107" s="132"/>
      <c r="R107" s="133">
        <f t="shared" si="2"/>
        <v>0</v>
      </c>
      <c r="S107" s="133">
        <f t="shared" si="3"/>
        <v>17</v>
      </c>
    </row>
    <row r="108" spans="1:19">
      <c r="A108" s="74">
        <v>107</v>
      </c>
      <c r="B108" s="75" t="str">
        <f>IF($V$4=0,IF($J108="","",$J108),IFERROR(IF([2]入库吨位汇总!$B$107=0,"",[2]入库吨位汇总!$B$107),""))</f>
        <v/>
      </c>
      <c r="C108" s="75" t="str">
        <f>IF($V$4=0,IF($K108="","",$K108),IFERROR(IF([2]入库吨位汇总!$C$107=0,"",[2]入库吨位汇总!$C$107),""))</f>
        <v/>
      </c>
      <c r="D108" s="42" t="str">
        <f>IF($V$4=0,IF($L108="","",$L108),IFERROR(IF([2]入库吨位汇总!$D$107=0,"",[2]入库吨位汇总!$D$107),""))</f>
        <v/>
      </c>
      <c r="E108" s="42" t="str">
        <f>IF($V$4=0,IF($M108="","",$M108),IFERROR(IF([2]入库吨位汇总!$E$107=0,"",[2]入库吨位汇总!$E$107),""))</f>
        <v/>
      </c>
      <c r="F108" s="76" t="str">
        <f>IF($V$4=0,IF($N108="","",$N108),IFERROR(IF([2]入库吨位汇总!$K$107=0,"",[2]入库吨位汇总!$K$107),""))</f>
        <v/>
      </c>
      <c r="G108" s="122" t="str">
        <f>IF($V$4=0,IF($O108="","",$O108),IFERROR(IF([2]入库吨位汇总!$L$107=0,"",[2]入库吨位汇总!$L$107),""))</f>
        <v/>
      </c>
      <c r="H108" s="76" t="str">
        <f>IF($V$4=0,IF($P108="","",$P108),IFERROR(IF([2]入库吨位汇总!$H$107=0,"",[2]入库吨位汇总!$H$107),""))</f>
        <v/>
      </c>
      <c r="I108" s="76" t="str">
        <f>IF($V$4=0,IF($Q108="","",$Q108),IFERROR(IF([2]入库吨位汇总!$I$107=0,"",[2]入库吨位汇总!$I$107),""))</f>
        <v/>
      </c>
      <c r="J108" s="116"/>
      <c r="K108" s="116"/>
      <c r="L108" s="131"/>
      <c r="M108" s="131"/>
      <c r="N108" s="132"/>
      <c r="O108" s="132"/>
      <c r="P108" s="132"/>
      <c r="Q108" s="132"/>
      <c r="R108" s="133">
        <f t="shared" si="2"/>
        <v>0</v>
      </c>
      <c r="S108" s="133">
        <f t="shared" si="3"/>
        <v>17</v>
      </c>
    </row>
    <row r="109" spans="1:19">
      <c r="A109" s="74">
        <v>108</v>
      </c>
      <c r="B109" s="75" t="str">
        <f>IF($V$4=0,IF($J109="","",$J109),IFERROR(IF([2]入库吨位汇总!$B$108=0,"",[2]入库吨位汇总!$B$108),""))</f>
        <v/>
      </c>
      <c r="C109" s="75" t="str">
        <f>IF($V$4=0,IF($K109="","",$K109),IFERROR(IF([2]入库吨位汇总!$C$108=0,"",[2]入库吨位汇总!$C$108),""))</f>
        <v/>
      </c>
      <c r="D109" s="42" t="str">
        <f>IF($V$4=0,IF($L109="","",$L109),IFERROR(IF([2]入库吨位汇总!$D$108=0,"",[2]入库吨位汇总!$D$108),""))</f>
        <v/>
      </c>
      <c r="E109" s="42" t="str">
        <f>IF($V$4=0,IF($M109="","",$M109),IFERROR(IF([2]入库吨位汇总!$E$108=0,"",[2]入库吨位汇总!$E$108),""))</f>
        <v/>
      </c>
      <c r="F109" s="76" t="str">
        <f>IF($V$4=0,IF($N109="","",$N109),IFERROR(IF([2]入库吨位汇总!$K$108=0,"",[2]入库吨位汇总!$K$108),""))</f>
        <v/>
      </c>
      <c r="G109" s="122" t="str">
        <f>IF($V$4=0,IF($O109="","",$O109),IFERROR(IF([2]入库吨位汇总!$L$108=0,"",[2]入库吨位汇总!$L$108),""))</f>
        <v/>
      </c>
      <c r="H109" s="76" t="str">
        <f>IF($V$4=0,IF($P109="","",$P109),IFERROR(IF([2]入库吨位汇总!$H$108=0,"",[2]入库吨位汇总!$H$108),""))</f>
        <v/>
      </c>
      <c r="I109" s="76" t="str">
        <f>IF($V$4=0,IF($Q109="","",$Q109),IFERROR(IF([2]入库吨位汇总!$I$108=0,"",[2]入库吨位汇总!$I$108),""))</f>
        <v/>
      </c>
      <c r="J109" s="116"/>
      <c r="K109" s="116"/>
      <c r="L109" s="131"/>
      <c r="M109" s="131"/>
      <c r="N109" s="132"/>
      <c r="O109" s="132"/>
      <c r="P109" s="132"/>
      <c r="Q109" s="132"/>
      <c r="R109" s="133">
        <f t="shared" si="2"/>
        <v>0</v>
      </c>
      <c r="S109" s="133">
        <f t="shared" si="3"/>
        <v>17</v>
      </c>
    </row>
    <row r="110" spans="1:19">
      <c r="A110" s="74">
        <v>109</v>
      </c>
      <c r="B110" s="75" t="str">
        <f>IF($V$4=0,IF($J110="","",$J110),IFERROR(IF([2]入库吨位汇总!$B$109=0,"",[2]入库吨位汇总!$B$109),""))</f>
        <v/>
      </c>
      <c r="C110" s="75" t="str">
        <f>IF($V$4=0,IF($K110="","",$K110),IFERROR(IF([2]入库吨位汇总!$C$109=0,"",[2]入库吨位汇总!$C$109),""))</f>
        <v/>
      </c>
      <c r="D110" s="42" t="str">
        <f>IF($V$4=0,IF($L110="","",$L110),IFERROR(IF([2]入库吨位汇总!$D$109=0,"",[2]入库吨位汇总!$D$109),""))</f>
        <v/>
      </c>
      <c r="E110" s="42" t="str">
        <f>IF($V$4=0,IF($M110="","",$M110),IFERROR(IF([2]入库吨位汇总!$E$109=0,"",[2]入库吨位汇总!$E$109),""))</f>
        <v/>
      </c>
      <c r="F110" s="76" t="str">
        <f>IF($V$4=0,IF($N110="","",$N110),IFERROR(IF([2]入库吨位汇总!$K$109=0,"",[2]入库吨位汇总!$K$109),""))</f>
        <v/>
      </c>
      <c r="G110" s="122" t="str">
        <f>IF($V$4=0,IF($O110="","",$O110),IFERROR(IF([2]入库吨位汇总!$L$109=0,"",[2]入库吨位汇总!$L$109),""))</f>
        <v/>
      </c>
      <c r="H110" s="76" t="str">
        <f>IF($V$4=0,IF($P110="","",$P110),IFERROR(IF([2]入库吨位汇总!$H$109=0,"",[2]入库吨位汇总!$H$109),""))</f>
        <v/>
      </c>
      <c r="I110" s="76" t="str">
        <f>IF($V$4=0,IF($Q110="","",$Q110),IFERROR(IF([2]入库吨位汇总!$I$109=0,"",[2]入库吨位汇总!$I$109),""))</f>
        <v/>
      </c>
      <c r="J110" s="116"/>
      <c r="K110" s="116"/>
      <c r="L110" s="131"/>
      <c r="M110" s="131"/>
      <c r="N110" s="132"/>
      <c r="O110" s="132"/>
      <c r="P110" s="132"/>
      <c r="Q110" s="132"/>
      <c r="R110" s="133">
        <f t="shared" si="2"/>
        <v>0</v>
      </c>
      <c r="S110" s="133">
        <f t="shared" si="3"/>
        <v>17</v>
      </c>
    </row>
    <row r="111" spans="1:19">
      <c r="A111" s="74">
        <v>110</v>
      </c>
      <c r="B111" s="75" t="str">
        <f>IF($V$4=0,IF($J111="","",$J111),IFERROR(IF([2]入库吨位汇总!$B$110=0,"",[2]入库吨位汇总!$B$110),""))</f>
        <v/>
      </c>
      <c r="C111" s="75" t="str">
        <f>IF($V$4=0,IF($K111="","",$K111),IFERROR(IF([2]入库吨位汇总!$C$110=0,"",[2]入库吨位汇总!$C$110),""))</f>
        <v/>
      </c>
      <c r="D111" s="42" t="str">
        <f>IF($V$4=0,IF($L111="","",$L111),IFERROR(IF([2]入库吨位汇总!$D$110=0,"",[2]入库吨位汇总!$D$110),""))</f>
        <v/>
      </c>
      <c r="E111" s="42" t="str">
        <f>IF($V$4=0,IF($M111="","",$M111),IFERROR(IF([2]入库吨位汇总!$E$110=0,"",[2]入库吨位汇总!$E$110),""))</f>
        <v/>
      </c>
      <c r="F111" s="76" t="str">
        <f>IF($V$4=0,IF($N111="","",$N111),IFERROR(IF([2]入库吨位汇总!$K$110=0,"",[2]入库吨位汇总!$K$110),""))</f>
        <v/>
      </c>
      <c r="G111" s="122" t="str">
        <f>IF($V$4=0,IF($O111="","",$O111),IFERROR(IF([2]入库吨位汇总!$L$110=0,"",[2]入库吨位汇总!$L$110),""))</f>
        <v/>
      </c>
      <c r="H111" s="76" t="str">
        <f>IF($V$4=0,IF($P111="","",$P111),IFERROR(IF([2]入库吨位汇总!$H$110=0,"",[2]入库吨位汇总!$H$110),""))</f>
        <v/>
      </c>
      <c r="I111" s="76" t="str">
        <f>IF($V$4=0,IF($Q111="","",$Q111),IFERROR(IF([2]入库吨位汇总!$I$110=0,"",[2]入库吨位汇总!$I$110),""))</f>
        <v/>
      </c>
      <c r="J111" s="116"/>
      <c r="K111" s="116"/>
      <c r="L111" s="131"/>
      <c r="M111" s="131"/>
      <c r="N111" s="132"/>
      <c r="O111" s="132"/>
      <c r="P111" s="132"/>
      <c r="Q111" s="132"/>
      <c r="R111" s="133">
        <f t="shared" si="2"/>
        <v>0</v>
      </c>
      <c r="S111" s="133">
        <f t="shared" si="3"/>
        <v>17</v>
      </c>
    </row>
    <row r="112" spans="1:19">
      <c r="A112" s="74">
        <v>111</v>
      </c>
      <c r="B112" s="75" t="str">
        <f>IF($V$4=0,IF($J112="","",$J112),IFERROR(IF([2]入库吨位汇总!$B$111=0,"",[2]入库吨位汇总!$B$111),""))</f>
        <v/>
      </c>
      <c r="C112" s="75" t="str">
        <f>IF($V$4=0,IF($K112="","",$K112),IFERROR(IF([2]入库吨位汇总!$C$111=0,"",[2]入库吨位汇总!$C$111),""))</f>
        <v/>
      </c>
      <c r="D112" s="42" t="str">
        <f>IF($V$4=0,IF($L112="","",$L112),IFERROR(IF([2]入库吨位汇总!$D$111=0,"",[2]入库吨位汇总!$D$111),""))</f>
        <v/>
      </c>
      <c r="E112" s="42" t="str">
        <f>IF($V$4=0,IF($M112="","",$M112),IFERROR(IF([2]入库吨位汇总!$E$111=0,"",[2]入库吨位汇总!$E$111),""))</f>
        <v/>
      </c>
      <c r="F112" s="76" t="str">
        <f>IF($V$4=0,IF($N112="","",$N112),IFERROR(IF([2]入库吨位汇总!$K$111=0,"",[2]入库吨位汇总!$K$111),""))</f>
        <v/>
      </c>
      <c r="G112" s="122" t="str">
        <f>IF($V$4=0,IF($O112="","",$O112),IFERROR(IF([2]入库吨位汇总!$L$111=0,"",[2]入库吨位汇总!$L$111),""))</f>
        <v/>
      </c>
      <c r="H112" s="76" t="str">
        <f>IF($V$4=0,IF($P112="","",$P112),IFERROR(IF([2]入库吨位汇总!$H$111=0,"",[2]入库吨位汇总!$H$111),""))</f>
        <v/>
      </c>
      <c r="I112" s="76" t="str">
        <f>IF($V$4=0,IF($Q112="","",$Q112),IFERROR(IF([2]入库吨位汇总!$I$111=0,"",[2]入库吨位汇总!$I$111),""))</f>
        <v/>
      </c>
      <c r="J112" s="116"/>
      <c r="K112" s="116"/>
      <c r="L112" s="131"/>
      <c r="M112" s="131"/>
      <c r="N112" s="132"/>
      <c r="O112" s="132"/>
      <c r="P112" s="132"/>
      <c r="Q112" s="132"/>
      <c r="R112" s="133">
        <f t="shared" si="2"/>
        <v>0</v>
      </c>
      <c r="S112" s="133">
        <f t="shared" si="3"/>
        <v>17</v>
      </c>
    </row>
    <row r="113" spans="1:19">
      <c r="A113" s="74">
        <v>112</v>
      </c>
      <c r="B113" s="75" t="str">
        <f>IF($V$4=0,IF($J113="","",$J113),IFERROR(IF([2]入库吨位汇总!$B$112=0,"",[2]入库吨位汇总!$B$112),""))</f>
        <v/>
      </c>
      <c r="C113" s="75" t="str">
        <f>IF($V$4=0,IF($K113="","",$K113),IFERROR(IF([2]入库吨位汇总!$C$112=0,"",[2]入库吨位汇总!$C$112),""))</f>
        <v/>
      </c>
      <c r="D113" s="42" t="str">
        <f>IF($V$4=0,IF($L113="","",$L113),IFERROR(IF([2]入库吨位汇总!$D$112=0,"",[2]入库吨位汇总!$D$112),""))</f>
        <v/>
      </c>
      <c r="E113" s="42" t="str">
        <f>IF($V$4=0,IF($M113="","",$M113),IFERROR(IF([2]入库吨位汇总!$E$112=0,"",[2]入库吨位汇总!$E$112),""))</f>
        <v/>
      </c>
      <c r="F113" s="76" t="str">
        <f>IF($V$4=0,IF($N113="","",$N113),IFERROR(IF([2]入库吨位汇总!$K$112=0,"",[2]入库吨位汇总!$K$112),""))</f>
        <v/>
      </c>
      <c r="G113" s="122" t="str">
        <f>IF($V$4=0,IF($O113="","",$O113),IFERROR(IF([2]入库吨位汇总!$L$112=0,"",[2]入库吨位汇总!$L$112),""))</f>
        <v/>
      </c>
      <c r="H113" s="76" t="str">
        <f>IF($V$4=0,IF($P113="","",$P113),IFERROR(IF([2]入库吨位汇总!$H$112=0,"",[2]入库吨位汇总!$H$112),""))</f>
        <v/>
      </c>
      <c r="I113" s="76" t="str">
        <f>IF($V$4=0,IF($Q113="","",$Q113),IFERROR(IF([2]入库吨位汇总!$I$112=0,"",[2]入库吨位汇总!$I$112),""))</f>
        <v/>
      </c>
      <c r="J113" s="116"/>
      <c r="K113" s="116"/>
      <c r="L113" s="131"/>
      <c r="M113" s="131"/>
      <c r="N113" s="132"/>
      <c r="O113" s="132"/>
      <c r="P113" s="132"/>
      <c r="Q113" s="132"/>
      <c r="R113" s="133">
        <f t="shared" si="2"/>
        <v>0</v>
      </c>
      <c r="S113" s="133">
        <f t="shared" si="3"/>
        <v>17</v>
      </c>
    </row>
    <row r="114" spans="1:19">
      <c r="A114" s="74">
        <v>113</v>
      </c>
      <c r="B114" s="75" t="str">
        <f>IF($V$4=0,IF($J114="","",$J114),IFERROR(IF([2]入库吨位汇总!$B$113=0,"",[2]入库吨位汇总!$B$113),""))</f>
        <v/>
      </c>
      <c r="C114" s="75" t="str">
        <f>IF($V$4=0,IF($K114="","",$K114),IFERROR(IF([2]入库吨位汇总!$C$113=0,"",[2]入库吨位汇总!$C$113),""))</f>
        <v/>
      </c>
      <c r="D114" s="42" t="str">
        <f>IF($V$4=0,IF($L114="","",$L114),IFERROR(IF([2]入库吨位汇总!$D$113=0,"",[2]入库吨位汇总!$D$113),""))</f>
        <v/>
      </c>
      <c r="E114" s="42" t="str">
        <f>IF($V$4=0,IF($M114="","",$M114),IFERROR(IF([2]入库吨位汇总!$E$113=0,"",[2]入库吨位汇总!$E$113),""))</f>
        <v/>
      </c>
      <c r="F114" s="76" t="str">
        <f>IF($V$4=0,IF($N114="","",$N114),IFERROR(IF([2]入库吨位汇总!$K$113=0,"",[2]入库吨位汇总!$K$113),""))</f>
        <v/>
      </c>
      <c r="G114" s="122" t="str">
        <f>IF($V$4=0,IF($O114="","",$O114),IFERROR(IF([2]入库吨位汇总!$L$113=0,"",[2]入库吨位汇总!$L$113),""))</f>
        <v/>
      </c>
      <c r="H114" s="76" t="str">
        <f>IF($V$4=0,IF($P114="","",$P114),IFERROR(IF([2]入库吨位汇总!$H$113=0,"",[2]入库吨位汇总!$H$113),""))</f>
        <v/>
      </c>
      <c r="I114" s="76" t="str">
        <f>IF($V$4=0,IF($Q114="","",$Q114),IFERROR(IF([2]入库吨位汇总!$I$113=0,"",[2]入库吨位汇总!$I$113),""))</f>
        <v/>
      </c>
      <c r="J114" s="116"/>
      <c r="K114" s="116"/>
      <c r="L114" s="131"/>
      <c r="M114" s="131"/>
      <c r="N114" s="132"/>
      <c r="O114" s="132"/>
      <c r="P114" s="132"/>
      <c r="Q114" s="132"/>
      <c r="R114" s="133">
        <f t="shared" si="2"/>
        <v>0</v>
      </c>
      <c r="S114" s="133">
        <f t="shared" si="3"/>
        <v>17</v>
      </c>
    </row>
    <row r="115" spans="1:19">
      <c r="A115" s="74">
        <v>114</v>
      </c>
      <c r="B115" s="75" t="str">
        <f>IF($V$4=0,IF($J115="","",$J115),IFERROR(IF([2]入库吨位汇总!$B$114=0,"",[2]入库吨位汇总!$B$114),""))</f>
        <v/>
      </c>
      <c r="C115" s="75" t="str">
        <f>IF($V$4=0,IF($K115="","",$K115),IFERROR(IF([2]入库吨位汇总!$C$114=0,"",[2]入库吨位汇总!$C$114),""))</f>
        <v/>
      </c>
      <c r="D115" s="42" t="str">
        <f>IF($V$4=0,IF($L115="","",$L115),IFERROR(IF([2]入库吨位汇总!$D$114=0,"",[2]入库吨位汇总!$D$114),""))</f>
        <v/>
      </c>
      <c r="E115" s="42" t="str">
        <f>IF($V$4=0,IF($M115="","",$M115),IFERROR(IF([2]入库吨位汇总!$E$114=0,"",[2]入库吨位汇总!$E$114),""))</f>
        <v/>
      </c>
      <c r="F115" s="76" t="str">
        <f>IF($V$4=0,IF($N115="","",$N115),IFERROR(IF([2]入库吨位汇总!$K$114=0,"",[2]入库吨位汇总!$K$114),""))</f>
        <v/>
      </c>
      <c r="G115" s="122" t="str">
        <f>IF($V$4=0,IF($O115="","",$O115),IFERROR(IF([2]入库吨位汇总!$L$114=0,"",[2]入库吨位汇总!$L$114),""))</f>
        <v/>
      </c>
      <c r="H115" s="76" t="str">
        <f>IF($V$4=0,IF($P115="","",$P115),IFERROR(IF([2]入库吨位汇总!$H$114=0,"",[2]入库吨位汇总!$H$114),""))</f>
        <v/>
      </c>
      <c r="I115" s="76" t="str">
        <f>IF($V$4=0,IF($Q115="","",$Q115),IFERROR(IF([2]入库吨位汇总!$I$114=0,"",[2]入库吨位汇总!$I$114),""))</f>
        <v/>
      </c>
      <c r="J115" s="116"/>
      <c r="K115" s="116"/>
      <c r="L115" s="131"/>
      <c r="M115" s="131"/>
      <c r="N115" s="132"/>
      <c r="O115" s="132"/>
      <c r="P115" s="132"/>
      <c r="Q115" s="132"/>
      <c r="R115" s="133">
        <f t="shared" si="2"/>
        <v>0</v>
      </c>
      <c r="S115" s="133">
        <f t="shared" si="3"/>
        <v>17</v>
      </c>
    </row>
    <row r="116" spans="1:19">
      <c r="A116" s="74">
        <v>115</v>
      </c>
      <c r="B116" s="75" t="str">
        <f>IF($V$4=0,IF($J116="","",$J116),IFERROR(IF([2]入库吨位汇总!$B$115=0,"",[2]入库吨位汇总!$B$115),""))</f>
        <v/>
      </c>
      <c r="C116" s="75" t="str">
        <f>IF($V$4=0,IF($K116="","",$K116),IFERROR(IF([2]入库吨位汇总!$C$115=0,"",[2]入库吨位汇总!$C$115),""))</f>
        <v/>
      </c>
      <c r="D116" s="42" t="str">
        <f>IF($V$4=0,IF($L116="","",$L116),IFERROR(IF([2]入库吨位汇总!$D$115=0,"",[2]入库吨位汇总!$D$115),""))</f>
        <v/>
      </c>
      <c r="E116" s="42" t="str">
        <f>IF($V$4=0,IF($M116="","",$M116),IFERROR(IF([2]入库吨位汇总!$E$115=0,"",[2]入库吨位汇总!$E$115),""))</f>
        <v/>
      </c>
      <c r="F116" s="76" t="str">
        <f>IF($V$4=0,IF($N116="","",$N116),IFERROR(IF([2]入库吨位汇总!$K$115=0,"",[2]入库吨位汇总!$K$115),""))</f>
        <v/>
      </c>
      <c r="G116" s="122" t="str">
        <f>IF($V$4=0,IF($O116="","",$O116),IFERROR(IF([2]入库吨位汇总!$L$115=0,"",[2]入库吨位汇总!$L$115),""))</f>
        <v/>
      </c>
      <c r="H116" s="76" t="str">
        <f>IF($V$4=0,IF($P116="","",$P116),IFERROR(IF([2]入库吨位汇总!$H$115=0,"",[2]入库吨位汇总!$H$115),""))</f>
        <v/>
      </c>
      <c r="I116" s="76" t="str">
        <f>IF($V$4=0,IF($Q116="","",$Q116),IFERROR(IF([2]入库吨位汇总!$I$115=0,"",[2]入库吨位汇总!$I$115),""))</f>
        <v/>
      </c>
      <c r="J116" s="116"/>
      <c r="K116" s="116"/>
      <c r="L116" s="131"/>
      <c r="M116" s="131"/>
      <c r="N116" s="132"/>
      <c r="O116" s="132"/>
      <c r="P116" s="132"/>
      <c r="Q116" s="132"/>
      <c r="R116" s="133">
        <f t="shared" si="2"/>
        <v>0</v>
      </c>
      <c r="S116" s="133">
        <f t="shared" si="3"/>
        <v>17</v>
      </c>
    </row>
    <row r="117" spans="1:19">
      <c r="A117" s="74">
        <v>116</v>
      </c>
      <c r="B117" s="75" t="str">
        <f>IF($V$4=0,IF($J117="","",$J117),IFERROR(IF([2]入库吨位汇总!$B$116=0,"",[2]入库吨位汇总!$B$116),""))</f>
        <v/>
      </c>
      <c r="C117" s="75" t="str">
        <f>IF($V$4=0,IF($K117="","",$K117),IFERROR(IF([2]入库吨位汇总!$C$116=0,"",[2]入库吨位汇总!$C$116),""))</f>
        <v/>
      </c>
      <c r="D117" s="42" t="str">
        <f>IF($V$4=0,IF($L117="","",$L117),IFERROR(IF([2]入库吨位汇总!$D$116=0,"",[2]入库吨位汇总!$D$116),""))</f>
        <v/>
      </c>
      <c r="E117" s="42" t="str">
        <f>IF($V$4=0,IF($M117="","",$M117),IFERROR(IF([2]入库吨位汇总!$E$116=0,"",[2]入库吨位汇总!$E$116),""))</f>
        <v/>
      </c>
      <c r="F117" s="76" t="str">
        <f>IF($V$4=0,IF($N117="","",$N117),IFERROR(IF([2]入库吨位汇总!$K$116=0,"",[2]入库吨位汇总!$K$116),""))</f>
        <v/>
      </c>
      <c r="G117" s="122" t="str">
        <f>IF($V$4=0,IF($O117="","",$O117),IFERROR(IF([2]入库吨位汇总!$L$116=0,"",[2]入库吨位汇总!$L$116),""))</f>
        <v/>
      </c>
      <c r="H117" s="76" t="str">
        <f>IF($V$4=0,IF($P117="","",$P117),IFERROR(IF([2]入库吨位汇总!$H$116=0,"",[2]入库吨位汇总!$H$116),""))</f>
        <v/>
      </c>
      <c r="I117" s="76" t="str">
        <f>IF($V$4=0,IF($Q117="","",$Q117),IFERROR(IF([2]入库吨位汇总!$I$116=0,"",[2]入库吨位汇总!$I$116),""))</f>
        <v/>
      </c>
      <c r="J117" s="116"/>
      <c r="K117" s="116"/>
      <c r="L117" s="131"/>
      <c r="M117" s="131"/>
      <c r="N117" s="132"/>
      <c r="O117" s="132"/>
      <c r="P117" s="132"/>
      <c r="Q117" s="132"/>
      <c r="R117" s="133">
        <f t="shared" si="2"/>
        <v>0</v>
      </c>
      <c r="S117" s="133">
        <f t="shared" si="3"/>
        <v>17</v>
      </c>
    </row>
    <row r="118" spans="1:19">
      <c r="A118" s="74">
        <v>117</v>
      </c>
      <c r="B118" s="75" t="str">
        <f>IF($V$4=0,IF($J118="","",$J118),IFERROR(IF([2]入库吨位汇总!$B$117=0,"",[2]入库吨位汇总!$B$117),""))</f>
        <v/>
      </c>
      <c r="C118" s="75" t="str">
        <f>IF($V$4=0,IF($K118="","",$K118),IFERROR(IF([2]入库吨位汇总!$C$117=0,"",[2]入库吨位汇总!$C$117),""))</f>
        <v/>
      </c>
      <c r="D118" s="42" t="str">
        <f>IF($V$4=0,IF($L118="","",$L118),IFERROR(IF([2]入库吨位汇总!$D$117=0,"",[2]入库吨位汇总!$D$117),""))</f>
        <v/>
      </c>
      <c r="E118" s="42" t="str">
        <f>IF($V$4=0,IF($M118="","",$M118),IFERROR(IF([2]入库吨位汇总!$E$117=0,"",[2]入库吨位汇总!$E$117),""))</f>
        <v/>
      </c>
      <c r="F118" s="76" t="str">
        <f>IF($V$4=0,IF($N118="","",$N118),IFERROR(IF([2]入库吨位汇总!$K$117=0,"",[2]入库吨位汇总!$K$117),""))</f>
        <v/>
      </c>
      <c r="G118" s="122" t="str">
        <f>IF($V$4=0,IF($O118="","",$O118),IFERROR(IF([2]入库吨位汇总!$L$117=0,"",[2]入库吨位汇总!$L$117),""))</f>
        <v/>
      </c>
      <c r="H118" s="76" t="str">
        <f>IF($V$4=0,IF($P118="","",$P118),IFERROR(IF([2]入库吨位汇总!$H$117=0,"",[2]入库吨位汇总!$H$117),""))</f>
        <v/>
      </c>
      <c r="I118" s="76" t="str">
        <f>IF($V$4=0,IF($Q118="","",$Q118),IFERROR(IF([2]入库吨位汇总!$I$117=0,"",[2]入库吨位汇总!$I$117),""))</f>
        <v/>
      </c>
      <c r="J118" s="116"/>
      <c r="K118" s="116"/>
      <c r="L118" s="131"/>
      <c r="M118" s="131"/>
      <c r="N118" s="132"/>
      <c r="O118" s="132"/>
      <c r="P118" s="132"/>
      <c r="Q118" s="132"/>
      <c r="R118" s="133">
        <f t="shared" si="2"/>
        <v>0</v>
      </c>
      <c r="S118" s="133">
        <f t="shared" si="3"/>
        <v>17</v>
      </c>
    </row>
    <row r="119" spans="1:19">
      <c r="A119" s="74">
        <v>118</v>
      </c>
      <c r="B119" s="75" t="str">
        <f>IF($V$4=0,IF($J119="","",$J119),IFERROR(IF([2]入库吨位汇总!$B$118=0,"",[2]入库吨位汇总!$B$118),""))</f>
        <v/>
      </c>
      <c r="C119" s="75" t="str">
        <f>IF($V$4=0,IF($K119="","",$K119),IFERROR(IF([2]入库吨位汇总!$C$118=0,"",[2]入库吨位汇总!$C$118),""))</f>
        <v/>
      </c>
      <c r="D119" s="42" t="str">
        <f>IF($V$4=0,IF($L119="","",$L119),IFERROR(IF([2]入库吨位汇总!$D$118=0,"",[2]入库吨位汇总!$D$118),""))</f>
        <v/>
      </c>
      <c r="E119" s="42" t="str">
        <f>IF($V$4=0,IF($M119="","",$M119),IFERROR(IF([2]入库吨位汇总!$E$118=0,"",[2]入库吨位汇总!$E$118),""))</f>
        <v/>
      </c>
      <c r="F119" s="76" t="str">
        <f>IF($V$4=0,IF($N119="","",$N119),IFERROR(IF([2]入库吨位汇总!$K$118=0,"",[2]入库吨位汇总!$K$118),""))</f>
        <v/>
      </c>
      <c r="G119" s="122" t="str">
        <f>IF($V$4=0,IF($O119="","",$O119),IFERROR(IF([2]入库吨位汇总!$L$118=0,"",[2]入库吨位汇总!$L$118),""))</f>
        <v/>
      </c>
      <c r="H119" s="76" t="str">
        <f>IF($V$4=0,IF($P119="","",$P119),IFERROR(IF([2]入库吨位汇总!$H$118=0,"",[2]入库吨位汇总!$H$118),""))</f>
        <v/>
      </c>
      <c r="I119" s="76" t="str">
        <f>IF($V$4=0,IF($Q119="","",$Q119),IFERROR(IF([2]入库吨位汇总!$I$118=0,"",[2]入库吨位汇总!$I$118),""))</f>
        <v/>
      </c>
      <c r="J119" s="116"/>
      <c r="K119" s="116"/>
      <c r="L119" s="131"/>
      <c r="M119" s="131"/>
      <c r="N119" s="132"/>
      <c r="O119" s="132"/>
      <c r="P119" s="132"/>
      <c r="Q119" s="132"/>
      <c r="R119" s="133">
        <f t="shared" si="2"/>
        <v>0</v>
      </c>
      <c r="S119" s="133">
        <f t="shared" si="3"/>
        <v>17</v>
      </c>
    </row>
    <row r="120" spans="1:19">
      <c r="A120" s="74">
        <v>119</v>
      </c>
      <c r="B120" s="75" t="str">
        <f>IF($V$4=0,IF($J120="","",$J120),IFERROR(IF([2]入库吨位汇总!$B$119=0,"",[2]入库吨位汇总!$B$119),""))</f>
        <v/>
      </c>
      <c r="C120" s="75" t="str">
        <f>IF($V$4=0,IF($K120="","",$K120),IFERROR(IF([2]入库吨位汇总!$C$119=0,"",[2]入库吨位汇总!$C$119),""))</f>
        <v/>
      </c>
      <c r="D120" s="42" t="str">
        <f>IF($V$4=0,IF($L120="","",$L120),IFERROR(IF([2]入库吨位汇总!$D$119=0,"",[2]入库吨位汇总!$D$119),""))</f>
        <v/>
      </c>
      <c r="E120" s="42" t="str">
        <f>IF($V$4=0,IF($M120="","",$M120),IFERROR(IF([2]入库吨位汇总!$E$119=0,"",[2]入库吨位汇总!$E$119),""))</f>
        <v/>
      </c>
      <c r="F120" s="76" t="str">
        <f>IF($V$4=0,IF($N120="","",$N120),IFERROR(IF([2]入库吨位汇总!$K$119=0,"",[2]入库吨位汇总!$K$119),""))</f>
        <v/>
      </c>
      <c r="G120" s="122" t="str">
        <f>IF($V$4=0,IF($O120="","",$O120),IFERROR(IF([2]入库吨位汇总!$L$119=0,"",[2]入库吨位汇总!$L$119),""))</f>
        <v/>
      </c>
      <c r="H120" s="76" t="str">
        <f>IF($V$4=0,IF($P120="","",$P120),IFERROR(IF([2]入库吨位汇总!$H$119=0,"",[2]入库吨位汇总!$H$119),""))</f>
        <v/>
      </c>
      <c r="I120" s="76" t="str">
        <f>IF($V$4=0,IF($Q120="","",$Q120),IFERROR(IF([2]入库吨位汇总!$I$119=0,"",[2]入库吨位汇总!$I$119),""))</f>
        <v/>
      </c>
      <c r="J120" s="116"/>
      <c r="K120" s="116"/>
      <c r="L120" s="131"/>
      <c r="M120" s="131"/>
      <c r="N120" s="132"/>
      <c r="O120" s="132"/>
      <c r="P120" s="132"/>
      <c r="Q120" s="132"/>
      <c r="R120" s="133">
        <f t="shared" si="2"/>
        <v>0</v>
      </c>
      <c r="S120" s="133">
        <f t="shared" si="3"/>
        <v>17</v>
      </c>
    </row>
    <row r="121" spans="1:19">
      <c r="A121" s="74">
        <v>120</v>
      </c>
      <c r="B121" s="75" t="str">
        <f>IF($V$4=0,IF($J121="","",$J121),IFERROR(IF([2]入库吨位汇总!$B$120=0,"",[2]入库吨位汇总!$B$120),""))</f>
        <v/>
      </c>
      <c r="C121" s="75" t="str">
        <f>IF($V$4=0,IF($K121="","",$K121),IFERROR(IF([2]入库吨位汇总!$C$120=0,"",[2]入库吨位汇总!$C$120),""))</f>
        <v/>
      </c>
      <c r="D121" s="42" t="str">
        <f>IF($V$4=0,IF($L121="","",$L121),IFERROR(IF([2]入库吨位汇总!$D$120=0,"",[2]入库吨位汇总!$D$120),""))</f>
        <v/>
      </c>
      <c r="E121" s="42" t="str">
        <f>IF($V$4=0,IF($M121="","",$M121),IFERROR(IF([2]入库吨位汇总!$E$120=0,"",[2]入库吨位汇总!$E$120),""))</f>
        <v/>
      </c>
      <c r="F121" s="76" t="str">
        <f>IF($V$4=0,IF($N121="","",$N121),IFERROR(IF([2]入库吨位汇总!$K$120=0,"",[2]入库吨位汇总!$K$120),""))</f>
        <v/>
      </c>
      <c r="G121" s="122" t="str">
        <f>IF($V$4=0,IF($O121="","",$O121),IFERROR(IF([2]入库吨位汇总!$L$120=0,"",[2]入库吨位汇总!$L$120),""))</f>
        <v/>
      </c>
      <c r="H121" s="76" t="str">
        <f>IF($V$4=0,IF($P121="","",$P121),IFERROR(IF([2]入库吨位汇总!$H$120=0,"",[2]入库吨位汇总!$H$120),""))</f>
        <v/>
      </c>
      <c r="I121" s="76" t="str">
        <f>IF($V$4=0,IF($Q121="","",$Q121),IFERROR(IF([2]入库吨位汇总!$I$120=0,"",[2]入库吨位汇总!$I$120),""))</f>
        <v/>
      </c>
      <c r="J121" s="116"/>
      <c r="K121" s="116"/>
      <c r="L121" s="131"/>
      <c r="M121" s="131"/>
      <c r="N121" s="132"/>
      <c r="O121" s="132"/>
      <c r="P121" s="132"/>
      <c r="Q121" s="132"/>
      <c r="R121" s="133">
        <f t="shared" si="2"/>
        <v>0</v>
      </c>
      <c r="S121" s="133">
        <f t="shared" si="3"/>
        <v>17</v>
      </c>
    </row>
    <row r="122" spans="1:19">
      <c r="A122" s="74">
        <v>121</v>
      </c>
      <c r="B122" s="75" t="str">
        <f>IF($V$4=0,IF($J122="","",$J122),IFERROR(IF([2]入库吨位汇总!$B$121=0,"",[2]入库吨位汇总!$B$121),""))</f>
        <v/>
      </c>
      <c r="C122" s="75" t="str">
        <f>IF($V$4=0,IF($K122="","",$K122),IFERROR(IF([2]入库吨位汇总!$C$121=0,"",[2]入库吨位汇总!$C$121),""))</f>
        <v/>
      </c>
      <c r="D122" s="42" t="str">
        <f>IF($V$4=0,IF($L122="","",$L122),IFERROR(IF([2]入库吨位汇总!$D$121=0,"",[2]入库吨位汇总!$D$121),""))</f>
        <v/>
      </c>
      <c r="E122" s="42" t="str">
        <f>IF($V$4=0,IF($M122="","",$M122),IFERROR(IF([2]入库吨位汇总!$E$121=0,"",[2]入库吨位汇总!$E$121),""))</f>
        <v/>
      </c>
      <c r="F122" s="76" t="str">
        <f>IF($V$4=0,IF($N122="","",$N122),IFERROR(IF([2]入库吨位汇总!$K$121=0,"",[2]入库吨位汇总!$K$121),""))</f>
        <v/>
      </c>
      <c r="G122" s="122" t="str">
        <f>IF($V$4=0,IF($O122="","",$O122),IFERROR(IF([2]入库吨位汇总!$L$121=0,"",[2]入库吨位汇总!$L$121),""))</f>
        <v/>
      </c>
      <c r="H122" s="76" t="str">
        <f>IF($V$4=0,IF($P122="","",$P122),IFERROR(IF([2]入库吨位汇总!$H$121=0,"",[2]入库吨位汇总!$H$121),""))</f>
        <v/>
      </c>
      <c r="I122" s="76" t="str">
        <f>IF($V$4=0,IF($Q122="","",$Q122),IFERROR(IF([2]入库吨位汇总!$I$121=0,"",[2]入库吨位汇总!$I$121),""))</f>
        <v/>
      </c>
      <c r="J122" s="116"/>
      <c r="K122" s="116"/>
      <c r="L122" s="131"/>
      <c r="M122" s="131"/>
      <c r="N122" s="132"/>
      <c r="O122" s="132"/>
      <c r="P122" s="132"/>
      <c r="Q122" s="132"/>
      <c r="R122" s="133">
        <f t="shared" si="2"/>
        <v>0</v>
      </c>
      <c r="S122" s="133">
        <f t="shared" si="3"/>
        <v>17</v>
      </c>
    </row>
    <row r="123" spans="1:19">
      <c r="A123" s="74">
        <v>122</v>
      </c>
      <c r="B123" s="75" t="str">
        <f>IF($V$4=0,IF($J123="","",$J123),IFERROR(IF([2]入库吨位汇总!$B$122=0,"",[2]入库吨位汇总!$B$122),""))</f>
        <v/>
      </c>
      <c r="C123" s="75" t="str">
        <f>IF($V$4=0,IF($K123="","",$K123),IFERROR(IF([2]入库吨位汇总!$C$122=0,"",[2]入库吨位汇总!$C$122),""))</f>
        <v/>
      </c>
      <c r="D123" s="42" t="str">
        <f>IF($V$4=0,IF($L123="","",$L123),IFERROR(IF([2]入库吨位汇总!$D$122=0,"",[2]入库吨位汇总!$D$122),""))</f>
        <v/>
      </c>
      <c r="E123" s="42" t="str">
        <f>IF($V$4=0,IF($M123="","",$M123),IFERROR(IF([2]入库吨位汇总!$E$122=0,"",[2]入库吨位汇总!$E$122),""))</f>
        <v/>
      </c>
      <c r="F123" s="76" t="str">
        <f>IF($V$4=0,IF($N123="","",$N123),IFERROR(IF([2]入库吨位汇总!$K$122=0,"",[2]入库吨位汇总!$K$122),""))</f>
        <v/>
      </c>
      <c r="G123" s="122" t="str">
        <f>IF($V$4=0,IF($O123="","",$O123),IFERROR(IF([2]入库吨位汇总!$L$122=0,"",[2]入库吨位汇总!$L$122),""))</f>
        <v/>
      </c>
      <c r="H123" s="76" t="str">
        <f>IF($V$4=0,IF($P123="","",$P123),IFERROR(IF([2]入库吨位汇总!$H$122=0,"",[2]入库吨位汇总!$H$122),""))</f>
        <v/>
      </c>
      <c r="I123" s="76" t="str">
        <f>IF($V$4=0,IF($Q123="","",$Q123),IFERROR(IF([2]入库吨位汇总!$I$122=0,"",[2]入库吨位汇总!$I$122),""))</f>
        <v/>
      </c>
      <c r="J123" s="116"/>
      <c r="K123" s="116"/>
      <c r="L123" s="131"/>
      <c r="M123" s="131"/>
      <c r="N123" s="132"/>
      <c r="O123" s="132"/>
      <c r="P123" s="132"/>
      <c r="Q123" s="132"/>
      <c r="R123" s="133">
        <f t="shared" si="2"/>
        <v>0</v>
      </c>
      <c r="S123" s="133">
        <f t="shared" si="3"/>
        <v>17</v>
      </c>
    </row>
    <row r="124" spans="1:19">
      <c r="A124" s="74">
        <v>123</v>
      </c>
      <c r="B124" s="75" t="str">
        <f>IF($V$4=0,IF($J124="","",$J124),IFERROR(IF([2]入库吨位汇总!$B$123=0,"",[2]入库吨位汇总!$B$123),""))</f>
        <v/>
      </c>
      <c r="C124" s="75" t="str">
        <f>IF($V$4=0,IF($K124="","",$K124),IFERROR(IF([2]入库吨位汇总!$C$123=0,"",[2]入库吨位汇总!$C$123),""))</f>
        <v/>
      </c>
      <c r="D124" s="42" t="str">
        <f>IF($V$4=0,IF($L124="","",$L124),IFERROR(IF([2]入库吨位汇总!$D$123=0,"",[2]入库吨位汇总!$D$123),""))</f>
        <v/>
      </c>
      <c r="E124" s="42" t="str">
        <f>IF($V$4=0,IF($M124="","",$M124),IFERROR(IF([2]入库吨位汇总!$E$123=0,"",[2]入库吨位汇总!$E$123),""))</f>
        <v/>
      </c>
      <c r="F124" s="76" t="str">
        <f>IF($V$4=0,IF($N124="","",$N124),IFERROR(IF([2]入库吨位汇总!$K$123=0,"",[2]入库吨位汇总!$K$123),""))</f>
        <v/>
      </c>
      <c r="G124" s="122" t="str">
        <f>IF($V$4=0,IF($O124="","",$O124),IFERROR(IF([2]入库吨位汇总!$L$123=0,"",[2]入库吨位汇总!$L$123),""))</f>
        <v/>
      </c>
      <c r="H124" s="76" t="str">
        <f>IF($V$4=0,IF($P124="","",$P124),IFERROR(IF([2]入库吨位汇总!$H$123=0,"",[2]入库吨位汇总!$H$123),""))</f>
        <v/>
      </c>
      <c r="I124" s="76" t="str">
        <f>IF($V$4=0,IF($Q124="","",$Q124),IFERROR(IF([2]入库吨位汇总!$I$123=0,"",[2]入库吨位汇总!$I$123),""))</f>
        <v/>
      </c>
      <c r="J124" s="116"/>
      <c r="K124" s="116"/>
      <c r="L124" s="131"/>
      <c r="M124" s="131"/>
      <c r="N124" s="132"/>
      <c r="O124" s="132"/>
      <c r="P124" s="132"/>
      <c r="Q124" s="132"/>
      <c r="R124" s="133">
        <f t="shared" si="2"/>
        <v>0</v>
      </c>
      <c r="S124" s="133">
        <f t="shared" si="3"/>
        <v>17</v>
      </c>
    </row>
    <row r="125" spans="1:19">
      <c r="A125" s="74">
        <v>124</v>
      </c>
      <c r="B125" s="75" t="str">
        <f>IF($V$4=0,IF($J125="","",$J125),IFERROR(IF([2]入库吨位汇总!$B$124=0,"",[2]入库吨位汇总!$B$124),""))</f>
        <v/>
      </c>
      <c r="C125" s="75" t="str">
        <f>IF($V$4=0,IF($K125="","",$K125),IFERROR(IF([2]入库吨位汇总!$C$124=0,"",[2]入库吨位汇总!$C$124),""))</f>
        <v/>
      </c>
      <c r="D125" s="42" t="str">
        <f>IF($V$4=0,IF($L125="","",$L125),IFERROR(IF([2]入库吨位汇总!$D$124=0,"",[2]入库吨位汇总!$D$124),""))</f>
        <v/>
      </c>
      <c r="E125" s="42" t="str">
        <f>IF($V$4=0,IF($M125="","",$M125),IFERROR(IF([2]入库吨位汇总!$E$124=0,"",[2]入库吨位汇总!$E$124),""))</f>
        <v/>
      </c>
      <c r="F125" s="76" t="str">
        <f>IF($V$4=0,IF($N125="","",$N125),IFERROR(IF([2]入库吨位汇总!$K$124=0,"",[2]入库吨位汇总!$K$124),""))</f>
        <v/>
      </c>
      <c r="G125" s="122" t="str">
        <f>IF($V$4=0,IF($O125="","",$O125),IFERROR(IF([2]入库吨位汇总!$L$124=0,"",[2]入库吨位汇总!$L$124),""))</f>
        <v/>
      </c>
      <c r="H125" s="76" t="str">
        <f>IF($V$4=0,IF($P125="","",$P125),IFERROR(IF([2]入库吨位汇总!$H$124=0,"",[2]入库吨位汇总!$H$124),""))</f>
        <v/>
      </c>
      <c r="I125" s="76" t="str">
        <f>IF($V$4=0,IF($Q125="","",$Q125),IFERROR(IF([2]入库吨位汇总!$I$124=0,"",[2]入库吨位汇总!$I$124),""))</f>
        <v/>
      </c>
      <c r="J125" s="116"/>
      <c r="K125" s="116"/>
      <c r="L125" s="131"/>
      <c r="M125" s="131"/>
      <c r="N125" s="132"/>
      <c r="O125" s="132"/>
      <c r="P125" s="132"/>
      <c r="Q125" s="132"/>
      <c r="R125" s="133">
        <f t="shared" si="2"/>
        <v>0</v>
      </c>
      <c r="S125" s="133">
        <f t="shared" si="3"/>
        <v>17</v>
      </c>
    </row>
    <row r="126" spans="1:19">
      <c r="A126" s="74">
        <v>125</v>
      </c>
      <c r="B126" s="75" t="str">
        <f>IF($V$4=0,IF($J126="","",$J126),IFERROR(IF([2]入库吨位汇总!$B$125=0,"",[2]入库吨位汇总!$B$125),""))</f>
        <v/>
      </c>
      <c r="C126" s="75" t="str">
        <f>IF($V$4=0,IF($K126="","",$K126),IFERROR(IF([2]入库吨位汇总!$C$125=0,"",[2]入库吨位汇总!$C$125),""))</f>
        <v/>
      </c>
      <c r="D126" s="42" t="str">
        <f>IF($V$4=0,IF($L126="","",$L126),IFERROR(IF([2]入库吨位汇总!$D$125=0,"",[2]入库吨位汇总!$D$125),""))</f>
        <v/>
      </c>
      <c r="E126" s="42" t="str">
        <f>IF($V$4=0,IF($M126="","",$M126),IFERROR(IF([2]入库吨位汇总!$E$125=0,"",[2]入库吨位汇总!$E$125),""))</f>
        <v/>
      </c>
      <c r="F126" s="76" t="str">
        <f>IF($V$4=0,IF($N126="","",$N126),IFERROR(IF([2]入库吨位汇总!$K$125=0,"",[2]入库吨位汇总!$K$125),""))</f>
        <v/>
      </c>
      <c r="G126" s="122" t="str">
        <f>IF($V$4=0,IF($O126="","",$O126),IFERROR(IF([2]入库吨位汇总!$L$125=0,"",[2]入库吨位汇总!$L$125),""))</f>
        <v/>
      </c>
      <c r="H126" s="76" t="str">
        <f>IF($V$4=0,IF($P126="","",$P126),IFERROR(IF([2]入库吨位汇总!$H$125=0,"",[2]入库吨位汇总!$H$125),""))</f>
        <v/>
      </c>
      <c r="I126" s="76" t="str">
        <f>IF($V$4=0,IF($Q126="","",$Q126),IFERROR(IF([2]入库吨位汇总!$I$125=0,"",[2]入库吨位汇总!$I$125),""))</f>
        <v/>
      </c>
      <c r="J126" s="116"/>
      <c r="K126" s="116"/>
      <c r="L126" s="131"/>
      <c r="M126" s="131"/>
      <c r="N126" s="132"/>
      <c r="O126" s="132"/>
      <c r="P126" s="132"/>
      <c r="Q126" s="132"/>
      <c r="R126" s="133">
        <f t="shared" si="2"/>
        <v>0</v>
      </c>
      <c r="S126" s="133">
        <f t="shared" si="3"/>
        <v>17</v>
      </c>
    </row>
    <row r="127" spans="1:19">
      <c r="A127" s="74">
        <v>126</v>
      </c>
      <c r="B127" s="75" t="str">
        <f>IF($V$4=0,IF($J127="","",$J127),IFERROR(IF([2]入库吨位汇总!$B$126=0,"",[2]入库吨位汇总!$B$126),""))</f>
        <v/>
      </c>
      <c r="C127" s="75" t="str">
        <f>IF($V$4=0,IF($K127="","",$K127),IFERROR(IF([2]入库吨位汇总!$C$126=0,"",[2]入库吨位汇总!$C$126),""))</f>
        <v/>
      </c>
      <c r="D127" s="42" t="str">
        <f>IF($V$4=0,IF($L127="","",$L127),IFERROR(IF([2]入库吨位汇总!$D$126=0,"",[2]入库吨位汇总!$D$126),""))</f>
        <v/>
      </c>
      <c r="E127" s="42" t="str">
        <f>IF($V$4=0,IF($M127="","",$M127),IFERROR(IF([2]入库吨位汇总!$E$126=0,"",[2]入库吨位汇总!$E$126),""))</f>
        <v/>
      </c>
      <c r="F127" s="76" t="str">
        <f>IF($V$4=0,IF($N127="","",$N127),IFERROR(IF([2]入库吨位汇总!$K$126=0,"",[2]入库吨位汇总!$K$126),""))</f>
        <v/>
      </c>
      <c r="G127" s="122" t="str">
        <f>IF($V$4=0,IF($O127="","",$O127),IFERROR(IF([2]入库吨位汇总!$L$126=0,"",[2]入库吨位汇总!$L$126),""))</f>
        <v/>
      </c>
      <c r="H127" s="76" t="str">
        <f>IF($V$4=0,IF($P127="","",$P127),IFERROR(IF([2]入库吨位汇总!$H$126=0,"",[2]入库吨位汇总!$H$126),""))</f>
        <v/>
      </c>
      <c r="I127" s="76" t="str">
        <f>IF($V$4=0,IF($Q127="","",$Q127),IFERROR(IF([2]入库吨位汇总!$I$126=0,"",[2]入库吨位汇总!$I$126),""))</f>
        <v/>
      </c>
      <c r="J127" s="116"/>
      <c r="K127" s="116"/>
      <c r="L127" s="131"/>
      <c r="M127" s="131"/>
      <c r="N127" s="132"/>
      <c r="O127" s="132"/>
      <c r="P127" s="132"/>
      <c r="Q127" s="132"/>
      <c r="R127" s="133">
        <f t="shared" si="2"/>
        <v>0</v>
      </c>
      <c r="S127" s="133">
        <f t="shared" si="3"/>
        <v>17</v>
      </c>
    </row>
    <row r="128" spans="1:19">
      <c r="A128" s="74">
        <v>127</v>
      </c>
      <c r="B128" s="75" t="str">
        <f>IF($V$4=0,IF($J128="","",$J128),IFERROR(IF([2]入库吨位汇总!$B$127=0,"",[2]入库吨位汇总!$B$127),""))</f>
        <v/>
      </c>
      <c r="C128" s="75" t="str">
        <f>IF($V$4=0,IF($K128="","",$K128),IFERROR(IF([2]入库吨位汇总!$C$127=0,"",[2]入库吨位汇总!$C$127),""))</f>
        <v/>
      </c>
      <c r="D128" s="42" t="str">
        <f>IF($V$4=0,IF($L128="","",$L128),IFERROR(IF([2]入库吨位汇总!$D$127=0,"",[2]入库吨位汇总!$D$127),""))</f>
        <v/>
      </c>
      <c r="E128" s="42" t="str">
        <f>IF($V$4=0,IF($M128="","",$M128),IFERROR(IF([2]入库吨位汇总!$E$127=0,"",[2]入库吨位汇总!$E$127),""))</f>
        <v/>
      </c>
      <c r="F128" s="76" t="str">
        <f>IF($V$4=0,IF($N128="","",$N128),IFERROR(IF([2]入库吨位汇总!$K$127=0,"",[2]入库吨位汇总!$K$127),""))</f>
        <v/>
      </c>
      <c r="G128" s="122" t="str">
        <f>IF($V$4=0,IF($O128="","",$O128),IFERROR(IF([2]入库吨位汇总!$L$127=0,"",[2]入库吨位汇总!$L$127),""))</f>
        <v/>
      </c>
      <c r="H128" s="76" t="str">
        <f>IF($V$4=0,IF($P128="","",$P128),IFERROR(IF([2]入库吨位汇总!$H$127=0,"",[2]入库吨位汇总!$H$127),""))</f>
        <v/>
      </c>
      <c r="I128" s="76" t="str">
        <f>IF($V$4=0,IF($Q128="","",$Q128),IFERROR(IF([2]入库吨位汇总!$I$127=0,"",[2]入库吨位汇总!$I$127),""))</f>
        <v/>
      </c>
      <c r="J128" s="116"/>
      <c r="K128" s="116"/>
      <c r="L128" s="131"/>
      <c r="M128" s="131"/>
      <c r="N128" s="132"/>
      <c r="O128" s="132"/>
      <c r="P128" s="132"/>
      <c r="Q128" s="132"/>
      <c r="R128" s="133">
        <f t="shared" si="2"/>
        <v>0</v>
      </c>
      <c r="S128" s="133">
        <f t="shared" si="3"/>
        <v>17</v>
      </c>
    </row>
    <row r="129" spans="1:19">
      <c r="A129" s="74">
        <v>128</v>
      </c>
      <c r="B129" s="75" t="str">
        <f>IF($V$4=0,IF($J129="","",$J129),IFERROR(IF([2]入库吨位汇总!$B$128=0,"",[2]入库吨位汇总!$B$128),""))</f>
        <v/>
      </c>
      <c r="C129" s="75" t="str">
        <f>IF($V$4=0,IF($K129="","",$K129),IFERROR(IF([2]入库吨位汇总!$C$128=0,"",[2]入库吨位汇总!$C$128),""))</f>
        <v/>
      </c>
      <c r="D129" s="42" t="str">
        <f>IF($V$4=0,IF($L129="","",$L129),IFERROR(IF([2]入库吨位汇总!$D$128=0,"",[2]入库吨位汇总!$D$128),""))</f>
        <v/>
      </c>
      <c r="E129" s="42" t="str">
        <f>IF($V$4=0,IF($M129="","",$M129),IFERROR(IF([2]入库吨位汇总!$E$128=0,"",[2]入库吨位汇总!$E$128),""))</f>
        <v/>
      </c>
      <c r="F129" s="76" t="str">
        <f>IF($V$4=0,IF($N129="","",$N129),IFERROR(IF([2]入库吨位汇总!$K$128=0,"",[2]入库吨位汇总!$K$128),""))</f>
        <v/>
      </c>
      <c r="G129" s="122" t="str">
        <f>IF($V$4=0,IF($O129="","",$O129),IFERROR(IF([2]入库吨位汇总!$L$128=0,"",[2]入库吨位汇总!$L$128),""))</f>
        <v/>
      </c>
      <c r="H129" s="76" t="str">
        <f>IF($V$4=0,IF($P129="","",$P129),IFERROR(IF([2]入库吨位汇总!$H$128=0,"",[2]入库吨位汇总!$H$128),""))</f>
        <v/>
      </c>
      <c r="I129" s="76" t="str">
        <f>IF($V$4=0,IF($Q129="","",$Q129),IFERROR(IF([2]入库吨位汇总!$I$128=0,"",[2]入库吨位汇总!$I$128),""))</f>
        <v/>
      </c>
      <c r="J129" s="116"/>
      <c r="K129" s="116"/>
      <c r="L129" s="131"/>
      <c r="M129" s="131"/>
      <c r="N129" s="132"/>
      <c r="O129" s="132"/>
      <c r="P129" s="132"/>
      <c r="Q129" s="132"/>
      <c r="R129" s="133">
        <f t="shared" si="2"/>
        <v>0</v>
      </c>
      <c r="S129" s="133">
        <f t="shared" si="3"/>
        <v>17</v>
      </c>
    </row>
    <row r="130" spans="1:19">
      <c r="A130" s="74">
        <v>129</v>
      </c>
      <c r="B130" s="75" t="str">
        <f>IF($V$4=0,IF($J130="","",$J130),IFERROR(IF([2]入库吨位汇总!$B$129=0,"",[2]入库吨位汇总!$B$129),""))</f>
        <v/>
      </c>
      <c r="C130" s="75" t="str">
        <f>IF($V$4=0,IF($K130="","",$K130),IFERROR(IF([2]入库吨位汇总!$C$129=0,"",[2]入库吨位汇总!$C$129),""))</f>
        <v/>
      </c>
      <c r="D130" s="42" t="str">
        <f>IF($V$4=0,IF($L130="","",$L130),IFERROR(IF([2]入库吨位汇总!$D$129=0,"",[2]入库吨位汇总!$D$129),""))</f>
        <v/>
      </c>
      <c r="E130" s="42" t="str">
        <f>IF($V$4=0,IF($M130="","",$M130),IFERROR(IF([2]入库吨位汇总!$E$129=0,"",[2]入库吨位汇总!$E$129),""))</f>
        <v/>
      </c>
      <c r="F130" s="76" t="str">
        <f>IF($V$4=0,IF($N130="","",$N130),IFERROR(IF([2]入库吨位汇总!$K$129=0,"",[2]入库吨位汇总!$K$129),""))</f>
        <v/>
      </c>
      <c r="G130" s="122" t="str">
        <f>IF($V$4=0,IF($O130="","",$O130),IFERROR(IF([2]入库吨位汇总!$L$129=0,"",[2]入库吨位汇总!$L$129),""))</f>
        <v/>
      </c>
      <c r="H130" s="76" t="str">
        <f>IF($V$4=0,IF($P130="","",$P130),IFERROR(IF([2]入库吨位汇总!$H$129=0,"",[2]入库吨位汇总!$H$129),""))</f>
        <v/>
      </c>
      <c r="I130" s="76" t="str">
        <f>IF($V$4=0,IF($Q130="","",$Q130),IFERROR(IF([2]入库吨位汇总!$I$129=0,"",[2]入库吨位汇总!$I$129),""))</f>
        <v/>
      </c>
      <c r="J130" s="116"/>
      <c r="K130" s="116"/>
      <c r="L130" s="131"/>
      <c r="M130" s="131"/>
      <c r="N130" s="132"/>
      <c r="O130" s="132"/>
      <c r="P130" s="132"/>
      <c r="Q130" s="132"/>
      <c r="R130" s="133">
        <f t="shared" si="2"/>
        <v>0</v>
      </c>
      <c r="S130" s="133">
        <f t="shared" si="3"/>
        <v>17</v>
      </c>
    </row>
    <row r="131" spans="1:19">
      <c r="A131" s="74">
        <v>130</v>
      </c>
      <c r="B131" s="75" t="str">
        <f>IF($V$4=0,IF($J131="","",$J131),IFERROR(IF([2]入库吨位汇总!$B$130=0,"",[2]入库吨位汇总!$B$130),""))</f>
        <v/>
      </c>
      <c r="C131" s="75" t="str">
        <f>IF($V$4=0,IF($K131="","",$K131),IFERROR(IF([2]入库吨位汇总!$C$130=0,"",[2]入库吨位汇总!$C$130),""))</f>
        <v/>
      </c>
      <c r="D131" s="42" t="str">
        <f>IF($V$4=0,IF($L131="","",$L131),IFERROR(IF([2]入库吨位汇总!$D$130=0,"",[2]入库吨位汇总!$D$130),""))</f>
        <v/>
      </c>
      <c r="E131" s="42" t="str">
        <f>IF($V$4=0,IF($M131="","",$M131),IFERROR(IF([2]入库吨位汇总!$E$130=0,"",[2]入库吨位汇总!$E$130),""))</f>
        <v/>
      </c>
      <c r="F131" s="76" t="str">
        <f>IF($V$4=0,IF($N131="","",$N131),IFERROR(IF([2]入库吨位汇总!$K$130=0,"",[2]入库吨位汇总!$K$130),""))</f>
        <v/>
      </c>
      <c r="G131" s="122" t="str">
        <f>IF($V$4=0,IF($O131="","",$O131),IFERROR(IF([2]入库吨位汇总!$L$130=0,"",[2]入库吨位汇总!$L$130),""))</f>
        <v/>
      </c>
      <c r="H131" s="76" t="str">
        <f>IF($V$4=0,IF($P131="","",$P131),IFERROR(IF([2]入库吨位汇总!$H$130=0,"",[2]入库吨位汇总!$H$130),""))</f>
        <v/>
      </c>
      <c r="I131" s="76" t="str">
        <f>IF($V$4=0,IF($Q131="","",$Q131),IFERROR(IF([2]入库吨位汇总!$I$130=0,"",[2]入库吨位汇总!$I$130),""))</f>
        <v/>
      </c>
      <c r="J131" s="116"/>
      <c r="K131" s="116"/>
      <c r="L131" s="131"/>
      <c r="M131" s="131"/>
      <c r="N131" s="132"/>
      <c r="O131" s="132"/>
      <c r="P131" s="132"/>
      <c r="Q131" s="132"/>
      <c r="R131" s="133">
        <f t="shared" si="2"/>
        <v>0</v>
      </c>
      <c r="S131" s="133">
        <f t="shared" si="3"/>
        <v>17</v>
      </c>
    </row>
    <row r="132" spans="1:19">
      <c r="A132" s="74">
        <v>131</v>
      </c>
      <c r="B132" s="75" t="str">
        <f>IF($V$4=0,IF($J132="","",$J132),IFERROR(IF([2]入库吨位汇总!$B$131=0,"",[2]入库吨位汇总!$B$131),""))</f>
        <v/>
      </c>
      <c r="C132" s="75" t="str">
        <f>IF($V$4=0,IF($K132="","",$K132),IFERROR(IF([2]入库吨位汇总!$C$131=0,"",[2]入库吨位汇总!$C$131),""))</f>
        <v/>
      </c>
      <c r="D132" s="42" t="str">
        <f>IF($V$4=0,IF($L132="","",$L132),IFERROR(IF([2]入库吨位汇总!$D$131=0,"",[2]入库吨位汇总!$D$131),""))</f>
        <v/>
      </c>
      <c r="E132" s="42" t="str">
        <f>IF($V$4=0,IF($M132="","",$M132),IFERROR(IF([2]入库吨位汇总!$E$131=0,"",[2]入库吨位汇总!$E$131),""))</f>
        <v/>
      </c>
      <c r="F132" s="76" t="str">
        <f>IF($V$4=0,IF($N132="","",$N132),IFERROR(IF([2]入库吨位汇总!$K$131=0,"",[2]入库吨位汇总!$K$131),""))</f>
        <v/>
      </c>
      <c r="G132" s="122" t="str">
        <f>IF($V$4=0,IF($O132="","",$O132),IFERROR(IF([2]入库吨位汇总!$L$131=0,"",[2]入库吨位汇总!$L$131),""))</f>
        <v/>
      </c>
      <c r="H132" s="76" t="str">
        <f>IF($V$4=0,IF($P132="","",$P132),IFERROR(IF([2]入库吨位汇总!$H$131=0,"",[2]入库吨位汇总!$H$131),""))</f>
        <v/>
      </c>
      <c r="I132" s="76" t="str">
        <f>IF($V$4=0,IF($Q132="","",$Q132),IFERROR(IF([2]入库吨位汇总!$I$131=0,"",[2]入库吨位汇总!$I$131),""))</f>
        <v/>
      </c>
      <c r="J132" s="116"/>
      <c r="K132" s="116"/>
      <c r="L132" s="131"/>
      <c r="M132" s="131"/>
      <c r="N132" s="132"/>
      <c r="O132" s="132"/>
      <c r="P132" s="132"/>
      <c r="Q132" s="132"/>
      <c r="R132" s="133">
        <f t="shared" si="2"/>
        <v>0</v>
      </c>
      <c r="S132" s="133">
        <f t="shared" si="3"/>
        <v>17</v>
      </c>
    </row>
    <row r="133" spans="1:19">
      <c r="A133" s="74">
        <v>132</v>
      </c>
      <c r="B133" s="75" t="str">
        <f>IF($V$4=0,IF($J133="","",$J133),IFERROR(IF([2]入库吨位汇总!$B$132=0,"",[2]入库吨位汇总!$B$132),""))</f>
        <v/>
      </c>
      <c r="C133" s="75" t="str">
        <f>IF($V$4=0,IF($K133="","",$K133),IFERROR(IF([2]入库吨位汇总!$C$132=0,"",[2]入库吨位汇总!$C$132),""))</f>
        <v/>
      </c>
      <c r="D133" s="42" t="str">
        <f>IF($V$4=0,IF($L133="","",$L133),IFERROR(IF([2]入库吨位汇总!$D$132=0,"",[2]入库吨位汇总!$D$132),""))</f>
        <v/>
      </c>
      <c r="E133" s="42" t="str">
        <f>IF($V$4=0,IF($M133="","",$M133),IFERROR(IF([2]入库吨位汇总!$E$132=0,"",[2]入库吨位汇总!$E$132),""))</f>
        <v/>
      </c>
      <c r="F133" s="76" t="str">
        <f>IF($V$4=0,IF($N133="","",$N133),IFERROR(IF([2]入库吨位汇总!$K$132=0,"",[2]入库吨位汇总!$K$132),""))</f>
        <v/>
      </c>
      <c r="G133" s="122" t="str">
        <f>IF($V$4=0,IF($O133="","",$O133),IFERROR(IF([2]入库吨位汇总!$L$132=0,"",[2]入库吨位汇总!$L$132),""))</f>
        <v/>
      </c>
      <c r="H133" s="76" t="str">
        <f>IF($V$4=0,IF($P133="","",$P133),IFERROR(IF([2]入库吨位汇总!$H$132=0,"",[2]入库吨位汇总!$H$132),""))</f>
        <v/>
      </c>
      <c r="I133" s="76" t="str">
        <f>IF($V$4=0,IF($Q133="","",$Q133),IFERROR(IF([2]入库吨位汇总!$I$132=0,"",[2]入库吨位汇总!$I$132),""))</f>
        <v/>
      </c>
      <c r="J133" s="116"/>
      <c r="K133" s="116"/>
      <c r="L133" s="131"/>
      <c r="M133" s="131"/>
      <c r="N133" s="132"/>
      <c r="O133" s="132"/>
      <c r="P133" s="132"/>
      <c r="Q133" s="132"/>
      <c r="R133" s="133">
        <f t="shared" ref="R133:R196" si="4">IF(AND($B133&lt;&gt;"",$C133&lt;&gt;""),1,0)</f>
        <v>0</v>
      </c>
      <c r="S133" s="133">
        <f t="shared" ref="S133:S196" si="5">N(S132)+$R133</f>
        <v>17</v>
      </c>
    </row>
    <row r="134" spans="1:19">
      <c r="A134" s="74">
        <v>133</v>
      </c>
      <c r="B134" s="75" t="str">
        <f>IF($V$4=0,IF($J134="","",$J134),IFERROR(IF([2]入库吨位汇总!$B$133=0,"",[2]入库吨位汇总!$B$133),""))</f>
        <v/>
      </c>
      <c r="C134" s="75" t="str">
        <f>IF($V$4=0,IF($K134="","",$K134),IFERROR(IF([2]入库吨位汇总!$C$133=0,"",[2]入库吨位汇总!$C$133),""))</f>
        <v/>
      </c>
      <c r="D134" s="42" t="str">
        <f>IF($V$4=0,IF($L134="","",$L134),IFERROR(IF([2]入库吨位汇总!$D$133=0,"",[2]入库吨位汇总!$D$133),""))</f>
        <v/>
      </c>
      <c r="E134" s="42" t="str">
        <f>IF($V$4=0,IF($M134="","",$M134),IFERROR(IF([2]入库吨位汇总!$E$133=0,"",[2]入库吨位汇总!$E$133),""))</f>
        <v/>
      </c>
      <c r="F134" s="76" t="str">
        <f>IF($V$4=0,IF($N134="","",$N134),IFERROR(IF([2]入库吨位汇总!$K$133=0,"",[2]入库吨位汇总!$K$133),""))</f>
        <v/>
      </c>
      <c r="G134" s="122" t="str">
        <f>IF($V$4=0,IF($O134="","",$O134),IFERROR(IF([2]入库吨位汇总!$L$133=0,"",[2]入库吨位汇总!$L$133),""))</f>
        <v/>
      </c>
      <c r="H134" s="76" t="str">
        <f>IF($V$4=0,IF($P134="","",$P134),IFERROR(IF([2]入库吨位汇总!$H$133=0,"",[2]入库吨位汇总!$H$133),""))</f>
        <v/>
      </c>
      <c r="I134" s="76" t="str">
        <f>IF($V$4=0,IF($Q134="","",$Q134),IFERROR(IF([2]入库吨位汇总!$I$133=0,"",[2]入库吨位汇总!$I$133),""))</f>
        <v/>
      </c>
      <c r="J134" s="116"/>
      <c r="K134" s="116"/>
      <c r="L134" s="131"/>
      <c r="M134" s="131"/>
      <c r="N134" s="132"/>
      <c r="O134" s="132"/>
      <c r="P134" s="132"/>
      <c r="Q134" s="132"/>
      <c r="R134" s="133">
        <f t="shared" si="4"/>
        <v>0</v>
      </c>
      <c r="S134" s="133">
        <f t="shared" si="5"/>
        <v>17</v>
      </c>
    </row>
    <row r="135" spans="1:19">
      <c r="A135" s="74">
        <v>134</v>
      </c>
      <c r="B135" s="75" t="str">
        <f>IF($V$4=0,IF($J135="","",$J135),IFERROR(IF([2]入库吨位汇总!$B$134=0,"",[2]入库吨位汇总!$B$134),""))</f>
        <v/>
      </c>
      <c r="C135" s="75" t="str">
        <f>IF($V$4=0,IF($K135="","",$K135),IFERROR(IF([2]入库吨位汇总!$C$134=0,"",[2]入库吨位汇总!$C$134),""))</f>
        <v/>
      </c>
      <c r="D135" s="42" t="str">
        <f>IF($V$4=0,IF($L135="","",$L135),IFERROR(IF([2]入库吨位汇总!$D$134=0,"",[2]入库吨位汇总!$D$134),""))</f>
        <v/>
      </c>
      <c r="E135" s="42" t="str">
        <f>IF($V$4=0,IF($M135="","",$M135),IFERROR(IF([2]入库吨位汇总!$E$134=0,"",[2]入库吨位汇总!$E$134),""))</f>
        <v/>
      </c>
      <c r="F135" s="76" t="str">
        <f>IF($V$4=0,IF($N135="","",$N135),IFERROR(IF([2]入库吨位汇总!$K$134=0,"",[2]入库吨位汇总!$K$134),""))</f>
        <v/>
      </c>
      <c r="G135" s="122" t="str">
        <f>IF($V$4=0,IF($O135="","",$O135),IFERROR(IF([2]入库吨位汇总!$L$134=0,"",[2]入库吨位汇总!$L$134),""))</f>
        <v/>
      </c>
      <c r="H135" s="76" t="str">
        <f>IF($V$4=0,IF($P135="","",$P135),IFERROR(IF([2]入库吨位汇总!$H$134=0,"",[2]入库吨位汇总!$H$134),""))</f>
        <v/>
      </c>
      <c r="I135" s="76" t="str">
        <f>IF($V$4=0,IF($Q135="","",$Q135),IFERROR(IF([2]入库吨位汇总!$I$134=0,"",[2]入库吨位汇总!$I$134),""))</f>
        <v/>
      </c>
      <c r="J135" s="116"/>
      <c r="K135" s="116"/>
      <c r="L135" s="131"/>
      <c r="M135" s="131"/>
      <c r="N135" s="132"/>
      <c r="O135" s="132"/>
      <c r="P135" s="132"/>
      <c r="Q135" s="132"/>
      <c r="R135" s="133">
        <f t="shared" si="4"/>
        <v>0</v>
      </c>
      <c r="S135" s="133">
        <f t="shared" si="5"/>
        <v>17</v>
      </c>
    </row>
    <row r="136" spans="1:19">
      <c r="A136" s="74">
        <v>135</v>
      </c>
      <c r="B136" s="75" t="str">
        <f>IF($V$4=0,IF($J136="","",$J136),IFERROR(IF([2]入库吨位汇总!$B$135=0,"",[2]入库吨位汇总!$B$135),""))</f>
        <v/>
      </c>
      <c r="C136" s="75" t="str">
        <f>IF($V$4=0,IF($K136="","",$K136),IFERROR(IF([2]入库吨位汇总!$C$135=0,"",[2]入库吨位汇总!$C$135),""))</f>
        <v/>
      </c>
      <c r="D136" s="42" t="str">
        <f>IF($V$4=0,IF($L136="","",$L136),IFERROR(IF([2]入库吨位汇总!$D$135=0,"",[2]入库吨位汇总!$D$135),""))</f>
        <v/>
      </c>
      <c r="E136" s="42" t="str">
        <f>IF($V$4=0,IF($M136="","",$M136),IFERROR(IF([2]入库吨位汇总!$E$135=0,"",[2]入库吨位汇总!$E$135),""))</f>
        <v/>
      </c>
      <c r="F136" s="76" t="str">
        <f>IF($V$4=0,IF($N136="","",$N136),IFERROR(IF([2]入库吨位汇总!$K$135=0,"",[2]入库吨位汇总!$K$135),""))</f>
        <v/>
      </c>
      <c r="G136" s="122" t="str">
        <f>IF($V$4=0,IF($O136="","",$O136),IFERROR(IF([2]入库吨位汇总!$L$135=0,"",[2]入库吨位汇总!$L$135),""))</f>
        <v/>
      </c>
      <c r="H136" s="76" t="str">
        <f>IF($V$4=0,IF($P136="","",$P136),IFERROR(IF([2]入库吨位汇总!$H$135=0,"",[2]入库吨位汇总!$H$135),""))</f>
        <v/>
      </c>
      <c r="I136" s="76" t="str">
        <f>IF($V$4=0,IF($Q136="","",$Q136),IFERROR(IF([2]入库吨位汇总!$I$135=0,"",[2]入库吨位汇总!$I$135),""))</f>
        <v/>
      </c>
      <c r="J136" s="116"/>
      <c r="K136" s="116"/>
      <c r="L136" s="131"/>
      <c r="M136" s="131"/>
      <c r="N136" s="132"/>
      <c r="O136" s="132"/>
      <c r="P136" s="132"/>
      <c r="Q136" s="132"/>
      <c r="R136" s="133">
        <f t="shared" si="4"/>
        <v>0</v>
      </c>
      <c r="S136" s="133">
        <f t="shared" si="5"/>
        <v>17</v>
      </c>
    </row>
    <row r="137" spans="1:19">
      <c r="A137" s="74">
        <v>136</v>
      </c>
      <c r="B137" s="75" t="str">
        <f>IF($V$4=0,IF($J137="","",$J137),IFERROR(IF([2]入库吨位汇总!$B$136=0,"",[2]入库吨位汇总!$B$136),""))</f>
        <v/>
      </c>
      <c r="C137" s="75" t="str">
        <f>IF($V$4=0,IF($K137="","",$K137),IFERROR(IF([2]入库吨位汇总!$C$136=0,"",[2]入库吨位汇总!$C$136),""))</f>
        <v/>
      </c>
      <c r="D137" s="42" t="str">
        <f>IF($V$4=0,IF($L137="","",$L137),IFERROR(IF([2]入库吨位汇总!$D$136=0,"",[2]入库吨位汇总!$D$136),""))</f>
        <v/>
      </c>
      <c r="E137" s="42" t="str">
        <f>IF($V$4=0,IF($M137="","",$M137),IFERROR(IF([2]入库吨位汇总!$E$136=0,"",[2]入库吨位汇总!$E$136),""))</f>
        <v/>
      </c>
      <c r="F137" s="76" t="str">
        <f>IF($V$4=0,IF($N137="","",$N137),IFERROR(IF([2]入库吨位汇总!$K$136=0,"",[2]入库吨位汇总!$K$136),""))</f>
        <v/>
      </c>
      <c r="G137" s="122" t="str">
        <f>IF($V$4=0,IF($O137="","",$O137),IFERROR(IF([2]入库吨位汇总!$L$136=0,"",[2]入库吨位汇总!$L$136),""))</f>
        <v/>
      </c>
      <c r="H137" s="76" t="str">
        <f>IF($V$4=0,IF($P137="","",$P137),IFERROR(IF([2]入库吨位汇总!$H$136=0,"",[2]入库吨位汇总!$H$136),""))</f>
        <v/>
      </c>
      <c r="I137" s="76" t="str">
        <f>IF($V$4=0,IF($Q137="","",$Q137),IFERROR(IF([2]入库吨位汇总!$I$136=0,"",[2]入库吨位汇总!$I$136),""))</f>
        <v/>
      </c>
      <c r="J137" s="116"/>
      <c r="K137" s="116"/>
      <c r="L137" s="131"/>
      <c r="M137" s="131"/>
      <c r="N137" s="132"/>
      <c r="O137" s="132"/>
      <c r="P137" s="132"/>
      <c r="Q137" s="132"/>
      <c r="R137" s="133">
        <f t="shared" si="4"/>
        <v>0</v>
      </c>
      <c r="S137" s="133">
        <f t="shared" si="5"/>
        <v>17</v>
      </c>
    </row>
    <row r="138" spans="1:19">
      <c r="A138" s="74">
        <v>137</v>
      </c>
      <c r="B138" s="75" t="str">
        <f>IF($V$4=0,IF($J138="","",$J138),IFERROR(IF([2]入库吨位汇总!$B$137=0,"",[2]入库吨位汇总!$B$137),""))</f>
        <v/>
      </c>
      <c r="C138" s="75" t="str">
        <f>IF($V$4=0,IF($K138="","",$K138),IFERROR(IF([2]入库吨位汇总!$C$137=0,"",[2]入库吨位汇总!$C$137),""))</f>
        <v/>
      </c>
      <c r="D138" s="42" t="str">
        <f>IF($V$4=0,IF($L138="","",$L138),IFERROR(IF([2]入库吨位汇总!$D$137=0,"",[2]入库吨位汇总!$D$137),""))</f>
        <v/>
      </c>
      <c r="E138" s="42" t="str">
        <f>IF($V$4=0,IF($M138="","",$M138),IFERROR(IF([2]入库吨位汇总!$E$137=0,"",[2]入库吨位汇总!$E$137),""))</f>
        <v/>
      </c>
      <c r="F138" s="76" t="str">
        <f>IF($V$4=0,IF($N138="","",$N138),IFERROR(IF([2]入库吨位汇总!$K$137=0,"",[2]入库吨位汇总!$K$137),""))</f>
        <v/>
      </c>
      <c r="G138" s="122" t="str">
        <f>IF($V$4=0,IF($O138="","",$O138),IFERROR(IF([2]入库吨位汇总!$L$137=0,"",[2]入库吨位汇总!$L$137),""))</f>
        <v/>
      </c>
      <c r="H138" s="76" t="str">
        <f>IF($V$4=0,IF($P138="","",$P138),IFERROR(IF([2]入库吨位汇总!$H$137=0,"",[2]入库吨位汇总!$H$137),""))</f>
        <v/>
      </c>
      <c r="I138" s="76" t="str">
        <f>IF($V$4=0,IF($Q138="","",$Q138),IFERROR(IF([2]入库吨位汇总!$I$137=0,"",[2]入库吨位汇总!$I$137),""))</f>
        <v/>
      </c>
      <c r="J138" s="116"/>
      <c r="K138" s="116"/>
      <c r="L138" s="131"/>
      <c r="M138" s="131"/>
      <c r="N138" s="132"/>
      <c r="O138" s="132"/>
      <c r="P138" s="132"/>
      <c r="Q138" s="132"/>
      <c r="R138" s="133">
        <f t="shared" si="4"/>
        <v>0</v>
      </c>
      <c r="S138" s="133">
        <f t="shared" si="5"/>
        <v>17</v>
      </c>
    </row>
    <row r="139" spans="1:19">
      <c r="A139" s="74">
        <v>138</v>
      </c>
      <c r="B139" s="75" t="str">
        <f>IF($V$4=0,IF($J139="","",$J139),IFERROR(IF([2]入库吨位汇总!$B$138=0,"",[2]入库吨位汇总!$B$138),""))</f>
        <v/>
      </c>
      <c r="C139" s="75" t="str">
        <f>IF($V$4=0,IF($K139="","",$K139),IFERROR(IF([2]入库吨位汇总!$C$138=0,"",[2]入库吨位汇总!$C$138),""))</f>
        <v/>
      </c>
      <c r="D139" s="42" t="str">
        <f>IF($V$4=0,IF($L139="","",$L139),IFERROR(IF([2]入库吨位汇总!$D$138=0,"",[2]入库吨位汇总!$D$138),""))</f>
        <v/>
      </c>
      <c r="E139" s="42" t="str">
        <f>IF($V$4=0,IF($M139="","",$M139),IFERROR(IF([2]入库吨位汇总!$E$138=0,"",[2]入库吨位汇总!$E$138),""))</f>
        <v/>
      </c>
      <c r="F139" s="76" t="str">
        <f>IF($V$4=0,IF($N139="","",$N139),IFERROR(IF([2]入库吨位汇总!$K$138=0,"",[2]入库吨位汇总!$K$138),""))</f>
        <v/>
      </c>
      <c r="G139" s="122" t="str">
        <f>IF($V$4=0,IF($O139="","",$O139),IFERROR(IF([2]入库吨位汇总!$L$138=0,"",[2]入库吨位汇总!$L$138),""))</f>
        <v/>
      </c>
      <c r="H139" s="76" t="str">
        <f>IF($V$4=0,IF($P139="","",$P139),IFERROR(IF([2]入库吨位汇总!$H$138=0,"",[2]入库吨位汇总!$H$138),""))</f>
        <v/>
      </c>
      <c r="I139" s="76" t="str">
        <f>IF($V$4=0,IF($Q139="","",$Q139),IFERROR(IF([2]入库吨位汇总!$I$138=0,"",[2]入库吨位汇总!$I$138),""))</f>
        <v/>
      </c>
      <c r="J139" s="116"/>
      <c r="K139" s="116"/>
      <c r="L139" s="131"/>
      <c r="M139" s="131"/>
      <c r="N139" s="132"/>
      <c r="O139" s="132"/>
      <c r="P139" s="132"/>
      <c r="Q139" s="132"/>
      <c r="R139" s="133">
        <f t="shared" si="4"/>
        <v>0</v>
      </c>
      <c r="S139" s="133">
        <f t="shared" si="5"/>
        <v>17</v>
      </c>
    </row>
    <row r="140" spans="1:19">
      <c r="A140" s="74">
        <v>139</v>
      </c>
      <c r="B140" s="75" t="str">
        <f>IF($V$4=0,IF($J140="","",$J140),IFERROR(IF([2]入库吨位汇总!$B$139=0,"",[2]入库吨位汇总!$B$139),""))</f>
        <v/>
      </c>
      <c r="C140" s="75" t="str">
        <f>IF($V$4=0,IF($K140="","",$K140),IFERROR(IF([2]入库吨位汇总!$C$139=0,"",[2]入库吨位汇总!$C$139),""))</f>
        <v/>
      </c>
      <c r="D140" s="42" t="str">
        <f>IF($V$4=0,IF($L140="","",$L140),IFERROR(IF([2]入库吨位汇总!$D$139=0,"",[2]入库吨位汇总!$D$139),""))</f>
        <v/>
      </c>
      <c r="E140" s="42" t="str">
        <f>IF($V$4=0,IF($M140="","",$M140),IFERROR(IF([2]入库吨位汇总!$E$139=0,"",[2]入库吨位汇总!$E$139),""))</f>
        <v/>
      </c>
      <c r="F140" s="76" t="str">
        <f>IF($V$4=0,IF($N140="","",$N140),IFERROR(IF([2]入库吨位汇总!$K$139=0,"",[2]入库吨位汇总!$K$139),""))</f>
        <v/>
      </c>
      <c r="G140" s="122" t="str">
        <f>IF($V$4=0,IF($O140="","",$O140),IFERROR(IF([2]入库吨位汇总!$L$139=0,"",[2]入库吨位汇总!$L$139),""))</f>
        <v/>
      </c>
      <c r="H140" s="76" t="str">
        <f>IF($V$4=0,IF($P140="","",$P140),IFERROR(IF([2]入库吨位汇总!$H$139=0,"",[2]入库吨位汇总!$H$139),""))</f>
        <v/>
      </c>
      <c r="I140" s="76" t="str">
        <f>IF($V$4=0,IF($Q140="","",$Q140),IFERROR(IF([2]入库吨位汇总!$I$139=0,"",[2]入库吨位汇总!$I$139),""))</f>
        <v/>
      </c>
      <c r="J140" s="116"/>
      <c r="K140" s="116"/>
      <c r="L140" s="131"/>
      <c r="M140" s="131"/>
      <c r="N140" s="132"/>
      <c r="O140" s="132"/>
      <c r="P140" s="132"/>
      <c r="Q140" s="132"/>
      <c r="R140" s="133">
        <f t="shared" si="4"/>
        <v>0</v>
      </c>
      <c r="S140" s="133">
        <f t="shared" si="5"/>
        <v>17</v>
      </c>
    </row>
    <row r="141" spans="1:19">
      <c r="A141" s="74">
        <v>140</v>
      </c>
      <c r="B141" s="75" t="str">
        <f>IF($V$4=0,IF($J141="","",$J141),IFERROR(IF([2]入库吨位汇总!$B$140=0,"",[2]入库吨位汇总!$B$140),""))</f>
        <v/>
      </c>
      <c r="C141" s="75" t="str">
        <f>IF($V$4=0,IF($K141="","",$K141),IFERROR(IF([2]入库吨位汇总!$C$140=0,"",[2]入库吨位汇总!$C$140),""))</f>
        <v/>
      </c>
      <c r="D141" s="42" t="str">
        <f>IF($V$4=0,IF($L141="","",$L141),IFERROR(IF([2]入库吨位汇总!$D$140=0,"",[2]入库吨位汇总!$D$140),""))</f>
        <v/>
      </c>
      <c r="E141" s="42" t="str">
        <f>IF($V$4=0,IF($M141="","",$M141),IFERROR(IF([2]入库吨位汇总!$E$140=0,"",[2]入库吨位汇总!$E$140),""))</f>
        <v/>
      </c>
      <c r="F141" s="76" t="str">
        <f>IF($V$4=0,IF($N141="","",$N141),IFERROR(IF([2]入库吨位汇总!$K$140=0,"",[2]入库吨位汇总!$K$140),""))</f>
        <v/>
      </c>
      <c r="G141" s="122" t="str">
        <f>IF($V$4=0,IF($O141="","",$O141),IFERROR(IF([2]入库吨位汇总!$L$140=0,"",[2]入库吨位汇总!$L$140),""))</f>
        <v/>
      </c>
      <c r="H141" s="76" t="str">
        <f>IF($V$4=0,IF($P141="","",$P141),IFERROR(IF([2]入库吨位汇总!$H$140=0,"",[2]入库吨位汇总!$H$140),""))</f>
        <v/>
      </c>
      <c r="I141" s="76" t="str">
        <f>IF($V$4=0,IF($Q141="","",$Q141),IFERROR(IF([2]入库吨位汇总!$I$140=0,"",[2]入库吨位汇总!$I$140),""))</f>
        <v/>
      </c>
      <c r="J141" s="116"/>
      <c r="K141" s="116"/>
      <c r="L141" s="131"/>
      <c r="M141" s="131"/>
      <c r="N141" s="132"/>
      <c r="O141" s="132"/>
      <c r="P141" s="132"/>
      <c r="Q141" s="132"/>
      <c r="R141" s="133">
        <f t="shared" si="4"/>
        <v>0</v>
      </c>
      <c r="S141" s="133">
        <f t="shared" si="5"/>
        <v>17</v>
      </c>
    </row>
    <row r="142" spans="1:19">
      <c r="A142" s="74">
        <v>141</v>
      </c>
      <c r="B142" s="75" t="str">
        <f>IF($V$4=0,IF($J142="","",$J142),IFERROR(IF([2]入库吨位汇总!$B$141=0,"",[2]入库吨位汇总!$B$141),""))</f>
        <v/>
      </c>
      <c r="C142" s="75" t="str">
        <f>IF($V$4=0,IF($K142="","",$K142),IFERROR(IF([2]入库吨位汇总!$C$141=0,"",[2]入库吨位汇总!$C$141),""))</f>
        <v/>
      </c>
      <c r="D142" s="42" t="str">
        <f>IF($V$4=0,IF($L142="","",$L142),IFERROR(IF([2]入库吨位汇总!$D$141=0,"",[2]入库吨位汇总!$D$141),""))</f>
        <v/>
      </c>
      <c r="E142" s="42" t="str">
        <f>IF($V$4=0,IF($M142="","",$M142),IFERROR(IF([2]入库吨位汇总!$E$141=0,"",[2]入库吨位汇总!$E$141),""))</f>
        <v/>
      </c>
      <c r="F142" s="76" t="str">
        <f>IF($V$4=0,IF($N142="","",$N142),IFERROR(IF([2]入库吨位汇总!$K$141=0,"",[2]入库吨位汇总!$K$141),""))</f>
        <v/>
      </c>
      <c r="G142" s="122" t="str">
        <f>IF($V$4=0,IF($O142="","",$O142),IFERROR(IF([2]入库吨位汇总!$L$141=0,"",[2]入库吨位汇总!$L$141),""))</f>
        <v/>
      </c>
      <c r="H142" s="76" t="str">
        <f>IF($V$4=0,IF($P142="","",$P142),IFERROR(IF([2]入库吨位汇总!$H$141=0,"",[2]入库吨位汇总!$H$141),""))</f>
        <v/>
      </c>
      <c r="I142" s="76" t="str">
        <f>IF($V$4=0,IF($Q142="","",$Q142),IFERROR(IF([2]入库吨位汇总!$I$141=0,"",[2]入库吨位汇总!$I$141),""))</f>
        <v/>
      </c>
      <c r="J142" s="116"/>
      <c r="K142" s="116"/>
      <c r="L142" s="131"/>
      <c r="M142" s="131"/>
      <c r="N142" s="132"/>
      <c r="O142" s="132"/>
      <c r="P142" s="132"/>
      <c r="Q142" s="132"/>
      <c r="R142" s="133">
        <f t="shared" si="4"/>
        <v>0</v>
      </c>
      <c r="S142" s="133">
        <f t="shared" si="5"/>
        <v>17</v>
      </c>
    </row>
    <row r="143" spans="1:19">
      <c r="A143" s="74">
        <v>142</v>
      </c>
      <c r="B143" s="75" t="str">
        <f>IF($V$4=0,IF($J143="","",$J143),IFERROR(IF([2]入库吨位汇总!$B$142=0,"",[2]入库吨位汇总!$B$142),""))</f>
        <v/>
      </c>
      <c r="C143" s="75" t="str">
        <f>IF($V$4=0,IF($K143="","",$K143),IFERROR(IF([2]入库吨位汇总!$C$142=0,"",[2]入库吨位汇总!$C$142),""))</f>
        <v/>
      </c>
      <c r="D143" s="42" t="str">
        <f>IF($V$4=0,IF($L143="","",$L143),IFERROR(IF([2]入库吨位汇总!$D$142=0,"",[2]入库吨位汇总!$D$142),""))</f>
        <v/>
      </c>
      <c r="E143" s="42" t="str">
        <f>IF($V$4=0,IF($M143="","",$M143),IFERROR(IF([2]入库吨位汇总!$E$142=0,"",[2]入库吨位汇总!$E$142),""))</f>
        <v/>
      </c>
      <c r="F143" s="76" t="str">
        <f>IF($V$4=0,IF($N143="","",$N143),IFERROR(IF([2]入库吨位汇总!$K$142=0,"",[2]入库吨位汇总!$K$142),""))</f>
        <v/>
      </c>
      <c r="G143" s="122" t="str">
        <f>IF($V$4=0,IF($O143="","",$O143),IFERROR(IF([2]入库吨位汇总!$L$142=0,"",[2]入库吨位汇总!$L$142),""))</f>
        <v/>
      </c>
      <c r="H143" s="76" t="str">
        <f>IF($V$4=0,IF($P143="","",$P143),IFERROR(IF([2]入库吨位汇总!$H$142=0,"",[2]入库吨位汇总!$H$142),""))</f>
        <v/>
      </c>
      <c r="I143" s="76" t="str">
        <f>IF($V$4=0,IF($Q143="","",$Q143),IFERROR(IF([2]入库吨位汇总!$I$142=0,"",[2]入库吨位汇总!$I$142),""))</f>
        <v/>
      </c>
      <c r="J143" s="116"/>
      <c r="K143" s="116"/>
      <c r="L143" s="131"/>
      <c r="M143" s="131"/>
      <c r="N143" s="132"/>
      <c r="O143" s="132"/>
      <c r="P143" s="132"/>
      <c r="Q143" s="132"/>
      <c r="R143" s="133">
        <f t="shared" si="4"/>
        <v>0</v>
      </c>
      <c r="S143" s="133">
        <f t="shared" si="5"/>
        <v>17</v>
      </c>
    </row>
    <row r="144" spans="1:19">
      <c r="A144" s="74">
        <v>143</v>
      </c>
      <c r="B144" s="75" t="str">
        <f>IF($V$4=0,IF($J144="","",$J144),IFERROR(IF([2]入库吨位汇总!$B$143=0,"",[2]入库吨位汇总!$B$143),""))</f>
        <v/>
      </c>
      <c r="C144" s="75" t="str">
        <f>IF($V$4=0,IF($K144="","",$K144),IFERROR(IF([2]入库吨位汇总!$C$143=0,"",[2]入库吨位汇总!$C$143),""))</f>
        <v/>
      </c>
      <c r="D144" s="42" t="str">
        <f>IF($V$4=0,IF($L144="","",$L144),IFERROR(IF([2]入库吨位汇总!$D$143=0,"",[2]入库吨位汇总!$D$143),""))</f>
        <v/>
      </c>
      <c r="E144" s="42" t="str">
        <f>IF($V$4=0,IF($M144="","",$M144),IFERROR(IF([2]入库吨位汇总!$E$143=0,"",[2]入库吨位汇总!$E$143),""))</f>
        <v/>
      </c>
      <c r="F144" s="76" t="str">
        <f>IF($V$4=0,IF($N144="","",$N144),IFERROR(IF([2]入库吨位汇总!$K$143=0,"",[2]入库吨位汇总!$K$143),""))</f>
        <v/>
      </c>
      <c r="G144" s="122" t="str">
        <f>IF($V$4=0,IF($O144="","",$O144),IFERROR(IF([2]入库吨位汇总!$L$143=0,"",[2]入库吨位汇总!$L$143),""))</f>
        <v/>
      </c>
      <c r="H144" s="76" t="str">
        <f>IF($V$4=0,IF($P144="","",$P144),IFERROR(IF([2]入库吨位汇总!$H$143=0,"",[2]入库吨位汇总!$H$143),""))</f>
        <v/>
      </c>
      <c r="I144" s="76" t="str">
        <f>IF($V$4=0,IF($Q144="","",$Q144),IFERROR(IF([2]入库吨位汇总!$I$143=0,"",[2]入库吨位汇总!$I$143),""))</f>
        <v/>
      </c>
      <c r="J144" s="116"/>
      <c r="K144" s="116"/>
      <c r="L144" s="131"/>
      <c r="M144" s="131"/>
      <c r="N144" s="132"/>
      <c r="O144" s="132"/>
      <c r="P144" s="132"/>
      <c r="Q144" s="132"/>
      <c r="R144" s="133">
        <f t="shared" si="4"/>
        <v>0</v>
      </c>
      <c r="S144" s="133">
        <f t="shared" si="5"/>
        <v>17</v>
      </c>
    </row>
    <row r="145" spans="1:19">
      <c r="A145" s="74">
        <v>144</v>
      </c>
      <c r="B145" s="75" t="str">
        <f>IF($V$4=0,IF($J145="","",$J145),IFERROR(IF([2]入库吨位汇总!$B$144=0,"",[2]入库吨位汇总!$B$144),""))</f>
        <v/>
      </c>
      <c r="C145" s="75" t="str">
        <f>IF($V$4=0,IF($K145="","",$K145),IFERROR(IF([2]入库吨位汇总!$C$144=0,"",[2]入库吨位汇总!$C$144),""))</f>
        <v/>
      </c>
      <c r="D145" s="42" t="str">
        <f>IF($V$4=0,IF($L145="","",$L145),IFERROR(IF([2]入库吨位汇总!$D$144=0,"",[2]入库吨位汇总!$D$144),""))</f>
        <v/>
      </c>
      <c r="E145" s="42" t="str">
        <f>IF($V$4=0,IF($M145="","",$M145),IFERROR(IF([2]入库吨位汇总!$E$144=0,"",[2]入库吨位汇总!$E$144),""))</f>
        <v/>
      </c>
      <c r="F145" s="76" t="str">
        <f>IF($V$4=0,IF($N145="","",$N145),IFERROR(IF([2]入库吨位汇总!$K$144=0,"",[2]入库吨位汇总!$K$144),""))</f>
        <v/>
      </c>
      <c r="G145" s="122" t="str">
        <f>IF($V$4=0,IF($O145="","",$O145),IFERROR(IF([2]入库吨位汇总!$L$144=0,"",[2]入库吨位汇总!$L$144),""))</f>
        <v/>
      </c>
      <c r="H145" s="76" t="str">
        <f>IF($V$4=0,IF($P145="","",$P145),IFERROR(IF([2]入库吨位汇总!$H$144=0,"",[2]入库吨位汇总!$H$144),""))</f>
        <v/>
      </c>
      <c r="I145" s="76" t="str">
        <f>IF($V$4=0,IF($Q145="","",$Q145),IFERROR(IF([2]入库吨位汇总!$I$144=0,"",[2]入库吨位汇总!$I$144),""))</f>
        <v/>
      </c>
      <c r="J145" s="116"/>
      <c r="K145" s="116"/>
      <c r="L145" s="131"/>
      <c r="M145" s="131"/>
      <c r="N145" s="132"/>
      <c r="O145" s="132"/>
      <c r="P145" s="132"/>
      <c r="Q145" s="132"/>
      <c r="R145" s="133">
        <f t="shared" si="4"/>
        <v>0</v>
      </c>
      <c r="S145" s="133">
        <f t="shared" si="5"/>
        <v>17</v>
      </c>
    </row>
    <row r="146" spans="1:19">
      <c r="A146" s="74">
        <v>145</v>
      </c>
      <c r="B146" s="75" t="str">
        <f>IF($V$4=0,IF($J146="","",$J146),IFERROR(IF([2]入库吨位汇总!$B$145=0,"",[2]入库吨位汇总!$B$145),""))</f>
        <v/>
      </c>
      <c r="C146" s="75" t="str">
        <f>IF($V$4=0,IF($K146="","",$K146),IFERROR(IF([2]入库吨位汇总!$C$145=0,"",[2]入库吨位汇总!$C$145),""))</f>
        <v/>
      </c>
      <c r="D146" s="42" t="str">
        <f>IF($V$4=0,IF($L146="","",$L146),IFERROR(IF([2]入库吨位汇总!$D$145=0,"",[2]入库吨位汇总!$D$145),""))</f>
        <v/>
      </c>
      <c r="E146" s="42" t="str">
        <f>IF($V$4=0,IF($M146="","",$M146),IFERROR(IF([2]入库吨位汇总!$E$145=0,"",[2]入库吨位汇总!$E$145),""))</f>
        <v/>
      </c>
      <c r="F146" s="76" t="str">
        <f>IF($V$4=0,IF($N146="","",$N146),IFERROR(IF([2]入库吨位汇总!$K$145=0,"",[2]入库吨位汇总!$K$145),""))</f>
        <v/>
      </c>
      <c r="G146" s="122" t="str">
        <f>IF($V$4=0,IF($O146="","",$O146),IFERROR(IF([2]入库吨位汇总!$L$145=0,"",[2]入库吨位汇总!$L$145),""))</f>
        <v/>
      </c>
      <c r="H146" s="76" t="str">
        <f>IF($V$4=0,IF($P146="","",$P146),IFERROR(IF([2]入库吨位汇总!$H$145=0,"",[2]入库吨位汇总!$H$145),""))</f>
        <v/>
      </c>
      <c r="I146" s="76" t="str">
        <f>IF($V$4=0,IF($Q146="","",$Q146),IFERROR(IF([2]入库吨位汇总!$I$145=0,"",[2]入库吨位汇总!$I$145),""))</f>
        <v/>
      </c>
      <c r="J146" s="116"/>
      <c r="K146" s="116"/>
      <c r="L146" s="131"/>
      <c r="M146" s="131"/>
      <c r="N146" s="132"/>
      <c r="O146" s="132"/>
      <c r="P146" s="132"/>
      <c r="Q146" s="132"/>
      <c r="R146" s="133">
        <f t="shared" si="4"/>
        <v>0</v>
      </c>
      <c r="S146" s="133">
        <f t="shared" si="5"/>
        <v>17</v>
      </c>
    </row>
    <row r="147" spans="1:19">
      <c r="A147" s="74">
        <v>146</v>
      </c>
      <c r="B147" s="75" t="str">
        <f>IF($V$4=0,IF($J147="","",$J147),IFERROR(IF([2]入库吨位汇总!$B$146=0,"",[2]入库吨位汇总!$B$146),""))</f>
        <v/>
      </c>
      <c r="C147" s="75" t="str">
        <f>IF($V$4=0,IF($K147="","",$K147),IFERROR(IF([2]入库吨位汇总!$C$146=0,"",[2]入库吨位汇总!$C$146),""))</f>
        <v/>
      </c>
      <c r="D147" s="42" t="str">
        <f>IF($V$4=0,IF($L147="","",$L147),IFERROR(IF([2]入库吨位汇总!$D$146=0,"",[2]入库吨位汇总!$D$146),""))</f>
        <v/>
      </c>
      <c r="E147" s="42" t="str">
        <f>IF($V$4=0,IF($M147="","",$M147),IFERROR(IF([2]入库吨位汇总!$E$146=0,"",[2]入库吨位汇总!$E$146),""))</f>
        <v/>
      </c>
      <c r="F147" s="76" t="str">
        <f>IF($V$4=0,IF($N147="","",$N147),IFERROR(IF([2]入库吨位汇总!$K$146=0,"",[2]入库吨位汇总!$K$146),""))</f>
        <v/>
      </c>
      <c r="G147" s="122" t="str">
        <f>IF($V$4=0,IF($O147="","",$O147),IFERROR(IF([2]入库吨位汇总!$L$146=0,"",[2]入库吨位汇总!$L$146),""))</f>
        <v/>
      </c>
      <c r="H147" s="76" t="str">
        <f>IF($V$4=0,IF($P147="","",$P147),IFERROR(IF([2]入库吨位汇总!$H$146=0,"",[2]入库吨位汇总!$H$146),""))</f>
        <v/>
      </c>
      <c r="I147" s="76" t="str">
        <f>IF($V$4=0,IF($Q147="","",$Q147),IFERROR(IF([2]入库吨位汇总!$I$146=0,"",[2]入库吨位汇总!$I$146),""))</f>
        <v/>
      </c>
      <c r="J147" s="116"/>
      <c r="K147" s="116"/>
      <c r="L147" s="131"/>
      <c r="M147" s="131"/>
      <c r="N147" s="132"/>
      <c r="O147" s="132"/>
      <c r="P147" s="132"/>
      <c r="Q147" s="132"/>
      <c r="R147" s="133">
        <f t="shared" si="4"/>
        <v>0</v>
      </c>
      <c r="S147" s="133">
        <f t="shared" si="5"/>
        <v>17</v>
      </c>
    </row>
    <row r="148" spans="1:19">
      <c r="A148" s="74">
        <v>147</v>
      </c>
      <c r="B148" s="75" t="str">
        <f>IF($V$4=0,IF($J148="","",$J148),IFERROR(IF([2]入库吨位汇总!$B$147=0,"",[2]入库吨位汇总!$B$147),""))</f>
        <v/>
      </c>
      <c r="C148" s="75" t="str">
        <f>IF($V$4=0,IF($K148="","",$K148),IFERROR(IF([2]入库吨位汇总!$C$147=0,"",[2]入库吨位汇总!$C$147),""))</f>
        <v/>
      </c>
      <c r="D148" s="42" t="str">
        <f>IF($V$4=0,IF($L148="","",$L148),IFERROR(IF([2]入库吨位汇总!$D$147=0,"",[2]入库吨位汇总!$D$147),""))</f>
        <v/>
      </c>
      <c r="E148" s="42" t="str">
        <f>IF($V$4=0,IF($M148="","",$M148),IFERROR(IF([2]入库吨位汇总!$E$147=0,"",[2]入库吨位汇总!$E$147),""))</f>
        <v/>
      </c>
      <c r="F148" s="76" t="str">
        <f>IF($V$4=0,IF($N148="","",$N148),IFERROR(IF([2]入库吨位汇总!$K$147=0,"",[2]入库吨位汇总!$K$147),""))</f>
        <v/>
      </c>
      <c r="G148" s="122" t="str">
        <f>IF($V$4=0,IF($O148="","",$O148),IFERROR(IF([2]入库吨位汇总!$L$147=0,"",[2]入库吨位汇总!$L$147),""))</f>
        <v/>
      </c>
      <c r="H148" s="76" t="str">
        <f>IF($V$4=0,IF($P148="","",$P148),IFERROR(IF([2]入库吨位汇总!$H$147=0,"",[2]入库吨位汇总!$H$147),""))</f>
        <v/>
      </c>
      <c r="I148" s="76" t="str">
        <f>IF($V$4=0,IF($Q148="","",$Q148),IFERROR(IF([2]入库吨位汇总!$I$147=0,"",[2]入库吨位汇总!$I$147),""))</f>
        <v/>
      </c>
      <c r="J148" s="116"/>
      <c r="K148" s="116"/>
      <c r="L148" s="131"/>
      <c r="M148" s="131"/>
      <c r="N148" s="132"/>
      <c r="O148" s="132"/>
      <c r="P148" s="132"/>
      <c r="Q148" s="132"/>
      <c r="R148" s="133">
        <f t="shared" si="4"/>
        <v>0</v>
      </c>
      <c r="S148" s="133">
        <f t="shared" si="5"/>
        <v>17</v>
      </c>
    </row>
    <row r="149" spans="1:19">
      <c r="A149" s="74">
        <v>148</v>
      </c>
      <c r="B149" s="75" t="str">
        <f>IF($V$4=0,IF($J149="","",$J149),IFERROR(IF([2]入库吨位汇总!$B$148=0,"",[2]入库吨位汇总!$B$148),""))</f>
        <v/>
      </c>
      <c r="C149" s="75" t="str">
        <f>IF($V$4=0,IF($K149="","",$K149),IFERROR(IF([2]入库吨位汇总!$C$148=0,"",[2]入库吨位汇总!$C$148),""))</f>
        <v/>
      </c>
      <c r="D149" s="42" t="str">
        <f>IF($V$4=0,IF($L149="","",$L149),IFERROR(IF([2]入库吨位汇总!$D$148=0,"",[2]入库吨位汇总!$D$148),""))</f>
        <v/>
      </c>
      <c r="E149" s="42" t="str">
        <f>IF($V$4=0,IF($M149="","",$M149),IFERROR(IF([2]入库吨位汇总!$E$148=0,"",[2]入库吨位汇总!$E$148),""))</f>
        <v/>
      </c>
      <c r="F149" s="76" t="str">
        <f>IF($V$4=0,IF($N149="","",$N149),IFERROR(IF([2]入库吨位汇总!$K$148=0,"",[2]入库吨位汇总!$K$148),""))</f>
        <v/>
      </c>
      <c r="G149" s="122" t="str">
        <f>IF($V$4=0,IF($O149="","",$O149),IFERROR(IF([2]入库吨位汇总!$L$148=0,"",[2]入库吨位汇总!$L$148),""))</f>
        <v/>
      </c>
      <c r="H149" s="76" t="str">
        <f>IF($V$4=0,IF($P149="","",$P149),IFERROR(IF([2]入库吨位汇总!$H$148=0,"",[2]入库吨位汇总!$H$148),""))</f>
        <v/>
      </c>
      <c r="I149" s="76" t="str">
        <f>IF($V$4=0,IF($Q149="","",$Q149),IFERROR(IF([2]入库吨位汇总!$I$148=0,"",[2]入库吨位汇总!$I$148),""))</f>
        <v/>
      </c>
      <c r="J149" s="116"/>
      <c r="K149" s="116"/>
      <c r="L149" s="131"/>
      <c r="M149" s="131"/>
      <c r="N149" s="132"/>
      <c r="O149" s="132"/>
      <c r="P149" s="132"/>
      <c r="Q149" s="132"/>
      <c r="R149" s="133">
        <f t="shared" si="4"/>
        <v>0</v>
      </c>
      <c r="S149" s="133">
        <f t="shared" si="5"/>
        <v>17</v>
      </c>
    </row>
    <row r="150" spans="1:19">
      <c r="A150" s="74">
        <v>149</v>
      </c>
      <c r="B150" s="75" t="str">
        <f>IF($V$4=0,IF($J150="","",$J150),IFERROR(IF([2]入库吨位汇总!$B$149=0,"",[2]入库吨位汇总!$B$149),""))</f>
        <v/>
      </c>
      <c r="C150" s="75" t="str">
        <f>IF($V$4=0,IF($K150="","",$K150),IFERROR(IF([2]入库吨位汇总!$C$149=0,"",[2]入库吨位汇总!$C$149),""))</f>
        <v/>
      </c>
      <c r="D150" s="42" t="str">
        <f>IF($V$4=0,IF($L150="","",$L150),IFERROR(IF([2]入库吨位汇总!$D$149=0,"",[2]入库吨位汇总!$D$149),""))</f>
        <v/>
      </c>
      <c r="E150" s="42" t="str">
        <f>IF($V$4=0,IF($M150="","",$M150),IFERROR(IF([2]入库吨位汇总!$E$149=0,"",[2]入库吨位汇总!$E$149),""))</f>
        <v/>
      </c>
      <c r="F150" s="76" t="str">
        <f>IF($V$4=0,IF($N150="","",$N150),IFERROR(IF([2]入库吨位汇总!$K$149=0,"",[2]入库吨位汇总!$K$149),""))</f>
        <v/>
      </c>
      <c r="G150" s="122" t="str">
        <f>IF($V$4=0,IF($O150="","",$O150),IFERROR(IF([2]入库吨位汇总!$L$149=0,"",[2]入库吨位汇总!$L$149),""))</f>
        <v/>
      </c>
      <c r="H150" s="76" t="str">
        <f>IF($V$4=0,IF($P150="","",$P150),IFERROR(IF([2]入库吨位汇总!$H$149=0,"",[2]入库吨位汇总!$H$149),""))</f>
        <v/>
      </c>
      <c r="I150" s="76" t="str">
        <f>IF($V$4=0,IF($Q150="","",$Q150),IFERROR(IF([2]入库吨位汇总!$I$149=0,"",[2]入库吨位汇总!$I$149),""))</f>
        <v/>
      </c>
      <c r="J150" s="116"/>
      <c r="K150" s="116"/>
      <c r="L150" s="131"/>
      <c r="M150" s="131"/>
      <c r="N150" s="132"/>
      <c r="O150" s="132"/>
      <c r="P150" s="132"/>
      <c r="Q150" s="132"/>
      <c r="R150" s="133">
        <f t="shared" si="4"/>
        <v>0</v>
      </c>
      <c r="S150" s="133">
        <f t="shared" si="5"/>
        <v>17</v>
      </c>
    </row>
    <row r="151" spans="1:19">
      <c r="A151" s="74">
        <v>150</v>
      </c>
      <c r="B151" s="75" t="str">
        <f>IF($V$4=0,IF($J151="","",$J151),IFERROR(IF([2]入库吨位汇总!$B$150=0,"",[2]入库吨位汇总!$B$150),""))</f>
        <v/>
      </c>
      <c r="C151" s="75" t="str">
        <f>IF($V$4=0,IF($K151="","",$K151),IFERROR(IF([2]入库吨位汇总!$C$150=0,"",[2]入库吨位汇总!$C$150),""))</f>
        <v/>
      </c>
      <c r="D151" s="42" t="str">
        <f>IF($V$4=0,IF($L151="","",$L151),IFERROR(IF([2]入库吨位汇总!$D$150=0,"",[2]入库吨位汇总!$D$150),""))</f>
        <v/>
      </c>
      <c r="E151" s="42" t="str">
        <f>IF($V$4=0,IF($M151="","",$M151),IFERROR(IF([2]入库吨位汇总!$E$150=0,"",[2]入库吨位汇总!$E$150),""))</f>
        <v/>
      </c>
      <c r="F151" s="76" t="str">
        <f>IF($V$4=0,IF($N151="","",$N151),IFERROR(IF([2]入库吨位汇总!$K$150=0,"",[2]入库吨位汇总!$K$150),""))</f>
        <v/>
      </c>
      <c r="G151" s="122" t="str">
        <f>IF($V$4=0,IF($O151="","",$O151),IFERROR(IF([2]入库吨位汇总!$L$150=0,"",[2]入库吨位汇总!$L$150),""))</f>
        <v/>
      </c>
      <c r="H151" s="76" t="str">
        <f>IF($V$4=0,IF($P151="","",$P151),IFERROR(IF([2]入库吨位汇总!$H$150=0,"",[2]入库吨位汇总!$H$150),""))</f>
        <v/>
      </c>
      <c r="I151" s="76" t="str">
        <f>IF($V$4=0,IF($Q151="","",$Q151),IFERROR(IF([2]入库吨位汇总!$I$150=0,"",[2]入库吨位汇总!$I$150),""))</f>
        <v/>
      </c>
      <c r="J151" s="116"/>
      <c r="K151" s="116"/>
      <c r="L151" s="131"/>
      <c r="M151" s="131"/>
      <c r="N151" s="132"/>
      <c r="O151" s="132"/>
      <c r="P151" s="132"/>
      <c r="Q151" s="132"/>
      <c r="R151" s="133">
        <f t="shared" si="4"/>
        <v>0</v>
      </c>
      <c r="S151" s="133">
        <f t="shared" si="5"/>
        <v>17</v>
      </c>
    </row>
    <row r="152" spans="1:19">
      <c r="A152" s="74">
        <v>151</v>
      </c>
      <c r="B152" s="75" t="str">
        <f>IF($V$4=0,IF($J152="","",$J152),IFERROR(IF([2]入库吨位汇总!$B$151=0,"",[2]入库吨位汇总!$B$151),""))</f>
        <v/>
      </c>
      <c r="C152" s="75" t="str">
        <f>IF($V$4=0,IF($K152="","",$K152),IFERROR(IF([2]入库吨位汇总!$C$151=0,"",[2]入库吨位汇总!$C$151),""))</f>
        <v/>
      </c>
      <c r="D152" s="42" t="str">
        <f>IF($V$4=0,IF($L152="","",$L152),IFERROR(IF([2]入库吨位汇总!$D$151=0,"",[2]入库吨位汇总!$D$151),""))</f>
        <v/>
      </c>
      <c r="E152" s="42" t="str">
        <f>IF($V$4=0,IF($M152="","",$M152),IFERROR(IF([2]入库吨位汇总!$E$151=0,"",[2]入库吨位汇总!$E$151),""))</f>
        <v/>
      </c>
      <c r="F152" s="76" t="str">
        <f>IF($V$4=0,IF($N152="","",$N152),IFERROR(IF([2]入库吨位汇总!$K$151=0,"",[2]入库吨位汇总!$K$151),""))</f>
        <v/>
      </c>
      <c r="G152" s="122" t="str">
        <f>IF($V$4=0,IF($O152="","",$O152),IFERROR(IF([2]入库吨位汇总!$L$151=0,"",[2]入库吨位汇总!$L$151),""))</f>
        <v/>
      </c>
      <c r="H152" s="76" t="str">
        <f>IF($V$4=0,IF($P152="","",$P152),IFERROR(IF([2]入库吨位汇总!$H$151=0,"",[2]入库吨位汇总!$H$151),""))</f>
        <v/>
      </c>
      <c r="I152" s="76" t="str">
        <f>IF($V$4=0,IF($Q152="","",$Q152),IFERROR(IF([2]入库吨位汇总!$I$151=0,"",[2]入库吨位汇总!$I$151),""))</f>
        <v/>
      </c>
      <c r="J152" s="116"/>
      <c r="K152" s="116"/>
      <c r="L152" s="131"/>
      <c r="M152" s="131"/>
      <c r="N152" s="132"/>
      <c r="O152" s="132"/>
      <c r="P152" s="132"/>
      <c r="Q152" s="132"/>
      <c r="R152" s="133">
        <f t="shared" si="4"/>
        <v>0</v>
      </c>
      <c r="S152" s="133">
        <f t="shared" si="5"/>
        <v>17</v>
      </c>
    </row>
    <row r="153" spans="1:19">
      <c r="A153" s="74">
        <v>152</v>
      </c>
      <c r="B153" s="75" t="str">
        <f>IF($V$4=0,IF($J153="","",$J153),IFERROR(IF([2]入库吨位汇总!$B$152=0,"",[2]入库吨位汇总!$B$152),""))</f>
        <v/>
      </c>
      <c r="C153" s="75" t="str">
        <f>IF($V$4=0,IF($K153="","",$K153),IFERROR(IF([2]入库吨位汇总!$C$152=0,"",[2]入库吨位汇总!$C$152),""))</f>
        <v/>
      </c>
      <c r="D153" s="42" t="str">
        <f>IF($V$4=0,IF($L153="","",$L153),IFERROR(IF([2]入库吨位汇总!$D$152=0,"",[2]入库吨位汇总!$D$152),""))</f>
        <v/>
      </c>
      <c r="E153" s="42" t="str">
        <f>IF($V$4=0,IF($M153="","",$M153),IFERROR(IF([2]入库吨位汇总!$E$152=0,"",[2]入库吨位汇总!$E$152),""))</f>
        <v/>
      </c>
      <c r="F153" s="76" t="str">
        <f>IF($V$4=0,IF($N153="","",$N153),IFERROR(IF([2]入库吨位汇总!$K$152=0,"",[2]入库吨位汇总!$K$152),""))</f>
        <v/>
      </c>
      <c r="G153" s="122" t="str">
        <f>IF($V$4=0,IF($O153="","",$O153),IFERROR(IF([2]入库吨位汇总!$L$152=0,"",[2]入库吨位汇总!$L$152),""))</f>
        <v/>
      </c>
      <c r="H153" s="76" t="str">
        <f>IF($V$4=0,IF($P153="","",$P153),IFERROR(IF([2]入库吨位汇总!$H$152=0,"",[2]入库吨位汇总!$H$152),""))</f>
        <v/>
      </c>
      <c r="I153" s="76" t="str">
        <f>IF($V$4=0,IF($Q153="","",$Q153),IFERROR(IF([2]入库吨位汇总!$I$152=0,"",[2]入库吨位汇总!$I$152),""))</f>
        <v/>
      </c>
      <c r="J153" s="116"/>
      <c r="K153" s="116"/>
      <c r="L153" s="131"/>
      <c r="M153" s="131"/>
      <c r="N153" s="132"/>
      <c r="O153" s="132"/>
      <c r="P153" s="132"/>
      <c r="Q153" s="132"/>
      <c r="R153" s="133">
        <f t="shared" si="4"/>
        <v>0</v>
      </c>
      <c r="S153" s="133">
        <f t="shared" si="5"/>
        <v>17</v>
      </c>
    </row>
    <row r="154" spans="1:19">
      <c r="A154" s="74">
        <v>153</v>
      </c>
      <c r="B154" s="75" t="str">
        <f>IF($V$4=0,IF($J154="","",$J154),IFERROR(IF([2]入库吨位汇总!$B$153=0,"",[2]入库吨位汇总!$B$153),""))</f>
        <v/>
      </c>
      <c r="C154" s="75" t="str">
        <f>IF($V$4=0,IF($K154="","",$K154),IFERROR(IF([2]入库吨位汇总!$C$153=0,"",[2]入库吨位汇总!$C$153),""))</f>
        <v/>
      </c>
      <c r="D154" s="42" t="str">
        <f>IF($V$4=0,IF($L154="","",$L154),IFERROR(IF([2]入库吨位汇总!$D$153=0,"",[2]入库吨位汇总!$D$153),""))</f>
        <v/>
      </c>
      <c r="E154" s="42" t="str">
        <f>IF($V$4=0,IF($M154="","",$M154),IFERROR(IF([2]入库吨位汇总!$E$153=0,"",[2]入库吨位汇总!$E$153),""))</f>
        <v/>
      </c>
      <c r="F154" s="76" t="str">
        <f>IF($V$4=0,IF($N154="","",$N154),IFERROR(IF([2]入库吨位汇总!$K$153=0,"",[2]入库吨位汇总!$K$153),""))</f>
        <v/>
      </c>
      <c r="G154" s="122" t="str">
        <f>IF($V$4=0,IF($O154="","",$O154),IFERROR(IF([2]入库吨位汇总!$L$153=0,"",[2]入库吨位汇总!$L$153),""))</f>
        <v/>
      </c>
      <c r="H154" s="76" t="str">
        <f>IF($V$4=0,IF($P154="","",$P154),IFERROR(IF([2]入库吨位汇总!$H$153=0,"",[2]入库吨位汇总!$H$153),""))</f>
        <v/>
      </c>
      <c r="I154" s="76" t="str">
        <f>IF($V$4=0,IF($Q154="","",$Q154),IFERROR(IF([2]入库吨位汇总!$I$153=0,"",[2]入库吨位汇总!$I$153),""))</f>
        <v/>
      </c>
      <c r="J154" s="116"/>
      <c r="K154" s="116"/>
      <c r="L154" s="131"/>
      <c r="M154" s="131"/>
      <c r="N154" s="132"/>
      <c r="O154" s="132"/>
      <c r="P154" s="132"/>
      <c r="Q154" s="132"/>
      <c r="R154" s="133">
        <f t="shared" si="4"/>
        <v>0</v>
      </c>
      <c r="S154" s="133">
        <f t="shared" si="5"/>
        <v>17</v>
      </c>
    </row>
    <row r="155" spans="1:19">
      <c r="A155" s="74">
        <v>154</v>
      </c>
      <c r="B155" s="75" t="str">
        <f>IF($V$4=0,IF($J155="","",$J155),IFERROR(IF([2]入库吨位汇总!$B$154=0,"",[2]入库吨位汇总!$B$154),""))</f>
        <v/>
      </c>
      <c r="C155" s="75" t="str">
        <f>IF($V$4=0,IF($K155="","",$K155),IFERROR(IF([2]入库吨位汇总!$C$154=0,"",[2]入库吨位汇总!$C$154),""))</f>
        <v/>
      </c>
      <c r="D155" s="42" t="str">
        <f>IF($V$4=0,IF($L155="","",$L155),IFERROR(IF([2]入库吨位汇总!$D$154=0,"",[2]入库吨位汇总!$D$154),""))</f>
        <v/>
      </c>
      <c r="E155" s="42" t="str">
        <f>IF($V$4=0,IF($M155="","",$M155),IFERROR(IF([2]入库吨位汇总!$E$154=0,"",[2]入库吨位汇总!$E$154),""))</f>
        <v/>
      </c>
      <c r="F155" s="76" t="str">
        <f>IF($V$4=0,IF($N155="","",$N155),IFERROR(IF([2]入库吨位汇总!$K$154=0,"",[2]入库吨位汇总!$K$154),""))</f>
        <v/>
      </c>
      <c r="G155" s="122" t="str">
        <f>IF($V$4=0,IF($O155="","",$O155),IFERROR(IF([2]入库吨位汇总!$L$154=0,"",[2]入库吨位汇总!$L$154),""))</f>
        <v/>
      </c>
      <c r="H155" s="76" t="str">
        <f>IF($V$4=0,IF($P155="","",$P155),IFERROR(IF([2]入库吨位汇总!$H$154=0,"",[2]入库吨位汇总!$H$154),""))</f>
        <v/>
      </c>
      <c r="I155" s="76" t="str">
        <f>IF($V$4=0,IF($Q155="","",$Q155),IFERROR(IF([2]入库吨位汇总!$I$154=0,"",[2]入库吨位汇总!$I$154),""))</f>
        <v/>
      </c>
      <c r="J155" s="116"/>
      <c r="K155" s="116"/>
      <c r="L155" s="131"/>
      <c r="M155" s="131"/>
      <c r="N155" s="132"/>
      <c r="O155" s="132"/>
      <c r="P155" s="132"/>
      <c r="Q155" s="132"/>
      <c r="R155" s="133">
        <f t="shared" si="4"/>
        <v>0</v>
      </c>
      <c r="S155" s="133">
        <f t="shared" si="5"/>
        <v>17</v>
      </c>
    </row>
    <row r="156" spans="1:19">
      <c r="A156" s="74">
        <v>155</v>
      </c>
      <c r="B156" s="75" t="str">
        <f>IF($V$4=0,IF($J156="","",$J156),IFERROR(IF([2]入库吨位汇总!$B$155=0,"",[2]入库吨位汇总!$B$155),""))</f>
        <v/>
      </c>
      <c r="C156" s="75" t="str">
        <f>IF($V$4=0,IF($K156="","",$K156),IFERROR(IF([2]入库吨位汇总!$C$155=0,"",[2]入库吨位汇总!$C$155),""))</f>
        <v/>
      </c>
      <c r="D156" s="42" t="str">
        <f>IF($V$4=0,IF($L156="","",$L156),IFERROR(IF([2]入库吨位汇总!$D$155=0,"",[2]入库吨位汇总!$D$155),""))</f>
        <v/>
      </c>
      <c r="E156" s="42" t="str">
        <f>IF($V$4=0,IF($M156="","",$M156),IFERROR(IF([2]入库吨位汇总!$E$155=0,"",[2]入库吨位汇总!$E$155),""))</f>
        <v/>
      </c>
      <c r="F156" s="76" t="str">
        <f>IF($V$4=0,IF($N156="","",$N156),IFERROR(IF([2]入库吨位汇总!$K$155=0,"",[2]入库吨位汇总!$K$155),""))</f>
        <v/>
      </c>
      <c r="G156" s="122" t="str">
        <f>IF($V$4=0,IF($O156="","",$O156),IFERROR(IF([2]入库吨位汇总!$L$155=0,"",[2]入库吨位汇总!$L$155),""))</f>
        <v/>
      </c>
      <c r="H156" s="76" t="str">
        <f>IF($V$4=0,IF($P156="","",$P156),IFERROR(IF([2]入库吨位汇总!$H$155=0,"",[2]入库吨位汇总!$H$155),""))</f>
        <v/>
      </c>
      <c r="I156" s="76" t="str">
        <f>IF($V$4=0,IF($Q156="","",$Q156),IFERROR(IF([2]入库吨位汇总!$I$155=0,"",[2]入库吨位汇总!$I$155),""))</f>
        <v/>
      </c>
      <c r="J156" s="116"/>
      <c r="K156" s="116"/>
      <c r="L156" s="131"/>
      <c r="M156" s="131"/>
      <c r="N156" s="132"/>
      <c r="O156" s="132"/>
      <c r="P156" s="132"/>
      <c r="Q156" s="132"/>
      <c r="R156" s="133">
        <f t="shared" si="4"/>
        <v>0</v>
      </c>
      <c r="S156" s="133">
        <f t="shared" si="5"/>
        <v>17</v>
      </c>
    </row>
    <row r="157" spans="1:19">
      <c r="A157" s="74">
        <v>156</v>
      </c>
      <c r="B157" s="75" t="str">
        <f>IF($V$4=0,IF($J157="","",$J157),IFERROR(IF([2]入库吨位汇总!$B$156=0,"",[2]入库吨位汇总!$B$156),""))</f>
        <v/>
      </c>
      <c r="C157" s="75" t="str">
        <f>IF($V$4=0,IF($K157="","",$K157),IFERROR(IF([2]入库吨位汇总!$C$156=0,"",[2]入库吨位汇总!$C$156),""))</f>
        <v/>
      </c>
      <c r="D157" s="42" t="str">
        <f>IF($V$4=0,IF($L157="","",$L157),IFERROR(IF([2]入库吨位汇总!$D$156=0,"",[2]入库吨位汇总!$D$156),""))</f>
        <v/>
      </c>
      <c r="E157" s="42" t="str">
        <f>IF($V$4=0,IF($M157="","",$M157),IFERROR(IF([2]入库吨位汇总!$E$156=0,"",[2]入库吨位汇总!$E$156),""))</f>
        <v/>
      </c>
      <c r="F157" s="76" t="str">
        <f>IF($V$4=0,IF($N157="","",$N157),IFERROR(IF([2]入库吨位汇总!$K$156=0,"",[2]入库吨位汇总!$K$156),""))</f>
        <v/>
      </c>
      <c r="G157" s="122" t="str">
        <f>IF($V$4=0,IF($O157="","",$O157),IFERROR(IF([2]入库吨位汇总!$L$156=0,"",[2]入库吨位汇总!$L$156),""))</f>
        <v/>
      </c>
      <c r="H157" s="76" t="str">
        <f>IF($V$4=0,IF($P157="","",$P157),IFERROR(IF([2]入库吨位汇总!$H$156=0,"",[2]入库吨位汇总!$H$156),""))</f>
        <v/>
      </c>
      <c r="I157" s="76" t="str">
        <f>IF($V$4=0,IF($Q157="","",$Q157),IFERROR(IF([2]入库吨位汇总!$I$156=0,"",[2]入库吨位汇总!$I$156),""))</f>
        <v/>
      </c>
      <c r="J157" s="116"/>
      <c r="K157" s="116"/>
      <c r="L157" s="131"/>
      <c r="M157" s="131"/>
      <c r="N157" s="132"/>
      <c r="O157" s="132"/>
      <c r="P157" s="132"/>
      <c r="Q157" s="132"/>
      <c r="R157" s="133">
        <f t="shared" si="4"/>
        <v>0</v>
      </c>
      <c r="S157" s="133">
        <f t="shared" si="5"/>
        <v>17</v>
      </c>
    </row>
    <row r="158" spans="1:19">
      <c r="A158" s="74">
        <v>157</v>
      </c>
      <c r="B158" s="75" t="str">
        <f>IF($V$4=0,IF($J158="","",$J158),IFERROR(IF([2]入库吨位汇总!$B$157=0,"",[2]入库吨位汇总!$B$157),""))</f>
        <v/>
      </c>
      <c r="C158" s="75" t="str">
        <f>IF($V$4=0,IF($K158="","",$K158),IFERROR(IF([2]入库吨位汇总!$C$157=0,"",[2]入库吨位汇总!$C$157),""))</f>
        <v/>
      </c>
      <c r="D158" s="42" t="str">
        <f>IF($V$4=0,IF($L158="","",$L158),IFERROR(IF([2]入库吨位汇总!$D$157=0,"",[2]入库吨位汇总!$D$157),""))</f>
        <v/>
      </c>
      <c r="E158" s="42" t="str">
        <f>IF($V$4=0,IF($M158="","",$M158),IFERROR(IF([2]入库吨位汇总!$E$157=0,"",[2]入库吨位汇总!$E$157),""))</f>
        <v/>
      </c>
      <c r="F158" s="76" t="str">
        <f>IF($V$4=0,IF($N158="","",$N158),IFERROR(IF([2]入库吨位汇总!$K$157=0,"",[2]入库吨位汇总!$K$157),""))</f>
        <v/>
      </c>
      <c r="G158" s="122" t="str">
        <f>IF($V$4=0,IF($O158="","",$O158),IFERROR(IF([2]入库吨位汇总!$L$157=0,"",[2]入库吨位汇总!$L$157),""))</f>
        <v/>
      </c>
      <c r="H158" s="76" t="str">
        <f>IF($V$4=0,IF($P158="","",$P158),IFERROR(IF([2]入库吨位汇总!$H$157=0,"",[2]入库吨位汇总!$H$157),""))</f>
        <v/>
      </c>
      <c r="I158" s="76" t="str">
        <f>IF($V$4=0,IF($Q158="","",$Q158),IFERROR(IF([2]入库吨位汇总!$I$157=0,"",[2]入库吨位汇总!$I$157),""))</f>
        <v/>
      </c>
      <c r="J158" s="116"/>
      <c r="K158" s="116"/>
      <c r="L158" s="131"/>
      <c r="M158" s="131"/>
      <c r="N158" s="132"/>
      <c r="O158" s="132"/>
      <c r="P158" s="132"/>
      <c r="Q158" s="132"/>
      <c r="R158" s="133">
        <f t="shared" si="4"/>
        <v>0</v>
      </c>
      <c r="S158" s="133">
        <f t="shared" si="5"/>
        <v>17</v>
      </c>
    </row>
    <row r="159" spans="1:19">
      <c r="A159" s="74">
        <v>158</v>
      </c>
      <c r="B159" s="75" t="str">
        <f>IF($V$4=0,IF($J159="","",$J159),IFERROR(IF([2]入库吨位汇总!$B$158=0,"",[2]入库吨位汇总!$B$158),""))</f>
        <v/>
      </c>
      <c r="C159" s="75" t="str">
        <f>IF($V$4=0,IF($K159="","",$K159),IFERROR(IF([2]入库吨位汇总!$C$158=0,"",[2]入库吨位汇总!$C$158),""))</f>
        <v/>
      </c>
      <c r="D159" s="42" t="str">
        <f>IF($V$4=0,IF($L159="","",$L159),IFERROR(IF([2]入库吨位汇总!$D$158=0,"",[2]入库吨位汇总!$D$158),""))</f>
        <v/>
      </c>
      <c r="E159" s="42" t="str">
        <f>IF($V$4=0,IF($M159="","",$M159),IFERROR(IF([2]入库吨位汇总!$E$158=0,"",[2]入库吨位汇总!$E$158),""))</f>
        <v/>
      </c>
      <c r="F159" s="76" t="str">
        <f>IF($V$4=0,IF($N159="","",$N159),IFERROR(IF([2]入库吨位汇总!$K$158=0,"",[2]入库吨位汇总!$K$158),""))</f>
        <v/>
      </c>
      <c r="G159" s="122" t="str">
        <f>IF($V$4=0,IF($O159="","",$O159),IFERROR(IF([2]入库吨位汇总!$L$158=0,"",[2]入库吨位汇总!$L$158),""))</f>
        <v/>
      </c>
      <c r="H159" s="76" t="str">
        <f>IF($V$4=0,IF($P159="","",$P159),IFERROR(IF([2]入库吨位汇总!$H$158=0,"",[2]入库吨位汇总!$H$158),""))</f>
        <v/>
      </c>
      <c r="I159" s="76" t="str">
        <f>IF($V$4=0,IF($Q159="","",$Q159),IFERROR(IF([2]入库吨位汇总!$I$158=0,"",[2]入库吨位汇总!$I$158),""))</f>
        <v/>
      </c>
      <c r="J159" s="116"/>
      <c r="K159" s="116"/>
      <c r="L159" s="131"/>
      <c r="M159" s="131"/>
      <c r="N159" s="132"/>
      <c r="O159" s="132"/>
      <c r="P159" s="132"/>
      <c r="Q159" s="132"/>
      <c r="R159" s="133">
        <f t="shared" si="4"/>
        <v>0</v>
      </c>
      <c r="S159" s="133">
        <f t="shared" si="5"/>
        <v>17</v>
      </c>
    </row>
    <row r="160" spans="1:19">
      <c r="A160" s="74">
        <v>159</v>
      </c>
      <c r="B160" s="75" t="str">
        <f>IF($V$4=0,IF($J160="","",$J160),IFERROR(IF([2]入库吨位汇总!$B$159=0,"",[2]入库吨位汇总!$B$159),""))</f>
        <v/>
      </c>
      <c r="C160" s="75" t="str">
        <f>IF($V$4=0,IF($K160="","",$K160),IFERROR(IF([2]入库吨位汇总!$C$159=0,"",[2]入库吨位汇总!$C$159),""))</f>
        <v/>
      </c>
      <c r="D160" s="42" t="str">
        <f>IF($V$4=0,IF($L160="","",$L160),IFERROR(IF([2]入库吨位汇总!$D$159=0,"",[2]入库吨位汇总!$D$159),""))</f>
        <v/>
      </c>
      <c r="E160" s="42" t="str">
        <f>IF($V$4=0,IF($M160="","",$M160),IFERROR(IF([2]入库吨位汇总!$E$159=0,"",[2]入库吨位汇总!$E$159),""))</f>
        <v/>
      </c>
      <c r="F160" s="76" t="str">
        <f>IF($V$4=0,IF($N160="","",$N160),IFERROR(IF([2]入库吨位汇总!$K$159=0,"",[2]入库吨位汇总!$K$159),""))</f>
        <v/>
      </c>
      <c r="G160" s="122" t="str">
        <f>IF($V$4=0,IF($O160="","",$O160),IFERROR(IF([2]入库吨位汇总!$L$159=0,"",[2]入库吨位汇总!$L$159),""))</f>
        <v/>
      </c>
      <c r="H160" s="76" t="str">
        <f>IF($V$4=0,IF($P160="","",$P160),IFERROR(IF([2]入库吨位汇总!$H$159=0,"",[2]入库吨位汇总!$H$159),""))</f>
        <v/>
      </c>
      <c r="I160" s="76" t="str">
        <f>IF($V$4=0,IF($Q160="","",$Q160),IFERROR(IF([2]入库吨位汇总!$I$159=0,"",[2]入库吨位汇总!$I$159),""))</f>
        <v/>
      </c>
      <c r="J160" s="116"/>
      <c r="K160" s="116"/>
      <c r="L160" s="131"/>
      <c r="M160" s="131"/>
      <c r="N160" s="132"/>
      <c r="O160" s="132"/>
      <c r="P160" s="132"/>
      <c r="Q160" s="132"/>
      <c r="R160" s="133">
        <f t="shared" si="4"/>
        <v>0</v>
      </c>
      <c r="S160" s="133">
        <f t="shared" si="5"/>
        <v>17</v>
      </c>
    </row>
    <row r="161" spans="1:19">
      <c r="A161" s="74">
        <v>160</v>
      </c>
      <c r="B161" s="75" t="str">
        <f>IF($V$4=0,IF($J161="","",$J161),IFERROR(IF([2]入库吨位汇总!$B$160=0,"",[2]入库吨位汇总!$B$160),""))</f>
        <v/>
      </c>
      <c r="C161" s="75" t="str">
        <f>IF($V$4=0,IF($K161="","",$K161),IFERROR(IF([2]入库吨位汇总!$C$160=0,"",[2]入库吨位汇总!$C$160),""))</f>
        <v/>
      </c>
      <c r="D161" s="42" t="str">
        <f>IF($V$4=0,IF($L161="","",$L161),IFERROR(IF([2]入库吨位汇总!$D$160=0,"",[2]入库吨位汇总!$D$160),""))</f>
        <v/>
      </c>
      <c r="E161" s="42" t="str">
        <f>IF($V$4=0,IF($M161="","",$M161),IFERROR(IF([2]入库吨位汇总!$E$160=0,"",[2]入库吨位汇总!$E$160),""))</f>
        <v/>
      </c>
      <c r="F161" s="76" t="str">
        <f>IF($V$4=0,IF($N161="","",$N161),IFERROR(IF([2]入库吨位汇总!$K$160=0,"",[2]入库吨位汇总!$K$160),""))</f>
        <v/>
      </c>
      <c r="G161" s="122" t="str">
        <f>IF($V$4=0,IF($O161="","",$O161),IFERROR(IF([2]入库吨位汇总!$L$160=0,"",[2]入库吨位汇总!$L$160),""))</f>
        <v/>
      </c>
      <c r="H161" s="76" t="str">
        <f>IF($V$4=0,IF($P161="","",$P161),IFERROR(IF([2]入库吨位汇总!$H$160=0,"",[2]入库吨位汇总!$H$160),""))</f>
        <v/>
      </c>
      <c r="I161" s="76" t="str">
        <f>IF($V$4=0,IF($Q161="","",$Q161),IFERROR(IF([2]入库吨位汇总!$I$160=0,"",[2]入库吨位汇总!$I$160),""))</f>
        <v/>
      </c>
      <c r="J161" s="116"/>
      <c r="K161" s="116"/>
      <c r="L161" s="131"/>
      <c r="M161" s="131"/>
      <c r="N161" s="132"/>
      <c r="O161" s="132"/>
      <c r="P161" s="132"/>
      <c r="Q161" s="132"/>
      <c r="R161" s="133">
        <f t="shared" si="4"/>
        <v>0</v>
      </c>
      <c r="S161" s="133">
        <f t="shared" si="5"/>
        <v>17</v>
      </c>
    </row>
    <row r="162" spans="1:19">
      <c r="A162" s="74">
        <v>161</v>
      </c>
      <c r="B162" s="75" t="str">
        <f>IF($V$4=0,IF($J162="","",$J162),IFERROR(IF([2]入库吨位汇总!$B$161=0,"",[2]入库吨位汇总!$B$161),""))</f>
        <v/>
      </c>
      <c r="C162" s="75" t="str">
        <f>IF($V$4=0,IF($K162="","",$K162),IFERROR(IF([2]入库吨位汇总!$C$161=0,"",[2]入库吨位汇总!$C$161),""))</f>
        <v/>
      </c>
      <c r="D162" s="42" t="str">
        <f>IF($V$4=0,IF($L162="","",$L162),IFERROR(IF([2]入库吨位汇总!$D$161=0,"",[2]入库吨位汇总!$D$161),""))</f>
        <v/>
      </c>
      <c r="E162" s="42" t="str">
        <f>IF($V$4=0,IF($M162="","",$M162),IFERROR(IF([2]入库吨位汇总!$E$161=0,"",[2]入库吨位汇总!$E$161),""))</f>
        <v/>
      </c>
      <c r="F162" s="76" t="str">
        <f>IF($V$4=0,IF($N162="","",$N162),IFERROR(IF([2]入库吨位汇总!$K$161=0,"",[2]入库吨位汇总!$K$161),""))</f>
        <v/>
      </c>
      <c r="G162" s="122" t="str">
        <f>IF($V$4=0,IF($O162="","",$O162),IFERROR(IF([2]入库吨位汇总!$L$161=0,"",[2]入库吨位汇总!$L$161),""))</f>
        <v/>
      </c>
      <c r="H162" s="76" t="str">
        <f>IF($V$4=0,IF($P162="","",$P162),IFERROR(IF([2]入库吨位汇总!$H$161=0,"",[2]入库吨位汇总!$H$161),""))</f>
        <v/>
      </c>
      <c r="I162" s="76" t="str">
        <f>IF($V$4=0,IF($Q162="","",$Q162),IFERROR(IF([2]入库吨位汇总!$I$161=0,"",[2]入库吨位汇总!$I$161),""))</f>
        <v/>
      </c>
      <c r="J162" s="116"/>
      <c r="K162" s="116"/>
      <c r="L162" s="131"/>
      <c r="M162" s="131"/>
      <c r="N162" s="132"/>
      <c r="O162" s="132"/>
      <c r="P162" s="132"/>
      <c r="Q162" s="132"/>
      <c r="R162" s="133">
        <f t="shared" si="4"/>
        <v>0</v>
      </c>
      <c r="S162" s="133">
        <f t="shared" si="5"/>
        <v>17</v>
      </c>
    </row>
    <row r="163" spans="1:19">
      <c r="A163" s="74">
        <v>162</v>
      </c>
      <c r="B163" s="75" t="str">
        <f>IF($V$4=0,IF($J163="","",$J163),IFERROR(IF([2]入库吨位汇总!$B$162=0,"",[2]入库吨位汇总!$B$162),""))</f>
        <v/>
      </c>
      <c r="C163" s="75" t="str">
        <f>IF($V$4=0,IF($K163="","",$K163),IFERROR(IF([2]入库吨位汇总!$C$162=0,"",[2]入库吨位汇总!$C$162),""))</f>
        <v/>
      </c>
      <c r="D163" s="42" t="str">
        <f>IF($V$4=0,IF($L163="","",$L163),IFERROR(IF([2]入库吨位汇总!$D$162=0,"",[2]入库吨位汇总!$D$162),""))</f>
        <v/>
      </c>
      <c r="E163" s="42" t="str">
        <f>IF($V$4=0,IF($M163="","",$M163),IFERROR(IF([2]入库吨位汇总!$E$162=0,"",[2]入库吨位汇总!$E$162),""))</f>
        <v/>
      </c>
      <c r="F163" s="76" t="str">
        <f>IF($V$4=0,IF($N163="","",$N163),IFERROR(IF([2]入库吨位汇总!$K$162=0,"",[2]入库吨位汇总!$K$162),""))</f>
        <v/>
      </c>
      <c r="G163" s="122" t="str">
        <f>IF($V$4=0,IF($O163="","",$O163),IFERROR(IF([2]入库吨位汇总!$L$162=0,"",[2]入库吨位汇总!$L$162),""))</f>
        <v/>
      </c>
      <c r="H163" s="76" t="str">
        <f>IF($V$4=0,IF($P163="","",$P163),IFERROR(IF([2]入库吨位汇总!$H$162=0,"",[2]入库吨位汇总!$H$162),""))</f>
        <v/>
      </c>
      <c r="I163" s="76" t="str">
        <f>IF($V$4=0,IF($Q163="","",$Q163),IFERROR(IF([2]入库吨位汇总!$I$162=0,"",[2]入库吨位汇总!$I$162),""))</f>
        <v/>
      </c>
      <c r="J163" s="116"/>
      <c r="K163" s="116"/>
      <c r="L163" s="131"/>
      <c r="M163" s="131"/>
      <c r="N163" s="132"/>
      <c r="O163" s="132"/>
      <c r="P163" s="132"/>
      <c r="Q163" s="132"/>
      <c r="R163" s="133">
        <f t="shared" si="4"/>
        <v>0</v>
      </c>
      <c r="S163" s="133">
        <f t="shared" si="5"/>
        <v>17</v>
      </c>
    </row>
    <row r="164" spans="1:19">
      <c r="A164" s="74">
        <v>163</v>
      </c>
      <c r="B164" s="75" t="str">
        <f>IF($V$4=0,IF($J164="","",$J164),IFERROR(IF([2]入库吨位汇总!$B$163=0,"",[2]入库吨位汇总!$B$163),""))</f>
        <v/>
      </c>
      <c r="C164" s="75" t="str">
        <f>IF($V$4=0,IF($K164="","",$K164),IFERROR(IF([2]入库吨位汇总!$C$163=0,"",[2]入库吨位汇总!$C$163),""))</f>
        <v/>
      </c>
      <c r="D164" s="42" t="str">
        <f>IF($V$4=0,IF($L164="","",$L164),IFERROR(IF([2]入库吨位汇总!$D$163=0,"",[2]入库吨位汇总!$D$163),""))</f>
        <v/>
      </c>
      <c r="E164" s="42" t="str">
        <f>IF($V$4=0,IF($M164="","",$M164),IFERROR(IF([2]入库吨位汇总!$E$163=0,"",[2]入库吨位汇总!$E$163),""))</f>
        <v/>
      </c>
      <c r="F164" s="76" t="str">
        <f>IF($V$4=0,IF($N164="","",$N164),IFERROR(IF([2]入库吨位汇总!$K$163=0,"",[2]入库吨位汇总!$K$163),""))</f>
        <v/>
      </c>
      <c r="G164" s="122" t="str">
        <f>IF($V$4=0,IF($O164="","",$O164),IFERROR(IF([2]入库吨位汇总!$L$163=0,"",[2]入库吨位汇总!$L$163),""))</f>
        <v/>
      </c>
      <c r="H164" s="76" t="str">
        <f>IF($V$4=0,IF($P164="","",$P164),IFERROR(IF([2]入库吨位汇总!$H$163=0,"",[2]入库吨位汇总!$H$163),""))</f>
        <v/>
      </c>
      <c r="I164" s="76" t="str">
        <f>IF($V$4=0,IF($Q164="","",$Q164),IFERROR(IF([2]入库吨位汇总!$I$163=0,"",[2]入库吨位汇总!$I$163),""))</f>
        <v/>
      </c>
      <c r="J164" s="116"/>
      <c r="K164" s="116"/>
      <c r="L164" s="131"/>
      <c r="M164" s="131"/>
      <c r="N164" s="132"/>
      <c r="O164" s="132"/>
      <c r="P164" s="132"/>
      <c r="Q164" s="132"/>
      <c r="R164" s="133">
        <f t="shared" si="4"/>
        <v>0</v>
      </c>
      <c r="S164" s="133">
        <f t="shared" si="5"/>
        <v>17</v>
      </c>
    </row>
    <row r="165" spans="1:19">
      <c r="A165" s="74">
        <v>164</v>
      </c>
      <c r="B165" s="75" t="str">
        <f>IF($V$4=0,IF($J165="","",$J165),IFERROR(IF([2]入库吨位汇总!$B$164=0,"",[2]入库吨位汇总!$B$164),""))</f>
        <v/>
      </c>
      <c r="C165" s="75" t="str">
        <f>IF($V$4=0,IF($K165="","",$K165),IFERROR(IF([2]入库吨位汇总!$C$164=0,"",[2]入库吨位汇总!$C$164),""))</f>
        <v/>
      </c>
      <c r="D165" s="42" t="str">
        <f>IF($V$4=0,IF($L165="","",$L165),IFERROR(IF([2]入库吨位汇总!$D$164=0,"",[2]入库吨位汇总!$D$164),""))</f>
        <v/>
      </c>
      <c r="E165" s="42" t="str">
        <f>IF($V$4=0,IF($M165="","",$M165),IFERROR(IF([2]入库吨位汇总!$E$164=0,"",[2]入库吨位汇总!$E$164),""))</f>
        <v/>
      </c>
      <c r="F165" s="76" t="str">
        <f>IF($V$4=0,IF($N165="","",$N165),IFERROR(IF([2]入库吨位汇总!$K$164=0,"",[2]入库吨位汇总!$K$164),""))</f>
        <v/>
      </c>
      <c r="G165" s="122" t="str">
        <f>IF($V$4=0,IF($O165="","",$O165),IFERROR(IF([2]入库吨位汇总!$L$164=0,"",[2]入库吨位汇总!$L$164),""))</f>
        <v/>
      </c>
      <c r="H165" s="76" t="str">
        <f>IF($V$4=0,IF($P165="","",$P165),IFERROR(IF([2]入库吨位汇总!$H$164=0,"",[2]入库吨位汇总!$H$164),""))</f>
        <v/>
      </c>
      <c r="I165" s="76" t="str">
        <f>IF($V$4=0,IF($Q165="","",$Q165),IFERROR(IF([2]入库吨位汇总!$I$164=0,"",[2]入库吨位汇总!$I$164),""))</f>
        <v/>
      </c>
      <c r="J165" s="116"/>
      <c r="K165" s="116"/>
      <c r="L165" s="131"/>
      <c r="M165" s="131"/>
      <c r="N165" s="132"/>
      <c r="O165" s="132"/>
      <c r="P165" s="132"/>
      <c r="Q165" s="132"/>
      <c r="R165" s="133">
        <f t="shared" si="4"/>
        <v>0</v>
      </c>
      <c r="S165" s="133">
        <f t="shared" si="5"/>
        <v>17</v>
      </c>
    </row>
    <row r="166" spans="1:19">
      <c r="A166" s="74">
        <v>165</v>
      </c>
      <c r="B166" s="75" t="str">
        <f>IF($V$4=0,IF($J166="","",$J166),IFERROR(IF([2]入库吨位汇总!$B$165=0,"",[2]入库吨位汇总!$B$165),""))</f>
        <v/>
      </c>
      <c r="C166" s="75" t="str">
        <f>IF($V$4=0,IF($K166="","",$K166),IFERROR(IF([2]入库吨位汇总!$C$165=0,"",[2]入库吨位汇总!$C$165),""))</f>
        <v/>
      </c>
      <c r="D166" s="42" t="str">
        <f>IF($V$4=0,IF($L166="","",$L166),IFERROR(IF([2]入库吨位汇总!$D$165=0,"",[2]入库吨位汇总!$D$165),""))</f>
        <v/>
      </c>
      <c r="E166" s="42" t="str">
        <f>IF($V$4=0,IF($M166="","",$M166),IFERROR(IF([2]入库吨位汇总!$E$165=0,"",[2]入库吨位汇总!$E$165),""))</f>
        <v/>
      </c>
      <c r="F166" s="76" t="str">
        <f>IF($V$4=0,IF($N166="","",$N166),IFERROR(IF([2]入库吨位汇总!$K$165=0,"",[2]入库吨位汇总!$K$165),""))</f>
        <v/>
      </c>
      <c r="G166" s="122" t="str">
        <f>IF($V$4=0,IF($O166="","",$O166),IFERROR(IF([2]入库吨位汇总!$L$165=0,"",[2]入库吨位汇总!$L$165),""))</f>
        <v/>
      </c>
      <c r="H166" s="76" t="str">
        <f>IF($V$4=0,IF($P166="","",$P166),IFERROR(IF([2]入库吨位汇总!$H$165=0,"",[2]入库吨位汇总!$H$165),""))</f>
        <v/>
      </c>
      <c r="I166" s="76" t="str">
        <f>IF($V$4=0,IF($Q166="","",$Q166),IFERROR(IF([2]入库吨位汇总!$I$165=0,"",[2]入库吨位汇总!$I$165),""))</f>
        <v/>
      </c>
      <c r="J166" s="116"/>
      <c r="K166" s="116"/>
      <c r="L166" s="131"/>
      <c r="M166" s="131"/>
      <c r="N166" s="132"/>
      <c r="O166" s="132"/>
      <c r="P166" s="132"/>
      <c r="Q166" s="132"/>
      <c r="R166" s="133">
        <f t="shared" si="4"/>
        <v>0</v>
      </c>
      <c r="S166" s="133">
        <f t="shared" si="5"/>
        <v>17</v>
      </c>
    </row>
    <row r="167" spans="1:19">
      <c r="A167" s="74">
        <v>166</v>
      </c>
      <c r="B167" s="75" t="str">
        <f>IF($V$4=0,IF($J167="","",$J167),IFERROR(IF([2]入库吨位汇总!$B$166=0,"",[2]入库吨位汇总!$B$166),""))</f>
        <v/>
      </c>
      <c r="C167" s="75" t="str">
        <f>IF($V$4=0,IF($K167="","",$K167),IFERROR(IF([2]入库吨位汇总!$C$166=0,"",[2]入库吨位汇总!$C$166),""))</f>
        <v/>
      </c>
      <c r="D167" s="42" t="str">
        <f>IF($V$4=0,IF($L167="","",$L167),IFERROR(IF([2]入库吨位汇总!$D$166=0,"",[2]入库吨位汇总!$D$166),""))</f>
        <v/>
      </c>
      <c r="E167" s="42" t="str">
        <f>IF($V$4=0,IF($M167="","",$M167),IFERROR(IF([2]入库吨位汇总!$E$166=0,"",[2]入库吨位汇总!$E$166),""))</f>
        <v/>
      </c>
      <c r="F167" s="76" t="str">
        <f>IF($V$4=0,IF($N167="","",$N167),IFERROR(IF([2]入库吨位汇总!$K$166=0,"",[2]入库吨位汇总!$K$166),""))</f>
        <v/>
      </c>
      <c r="G167" s="122" t="str">
        <f>IF($V$4=0,IF($O167="","",$O167),IFERROR(IF([2]入库吨位汇总!$L$166=0,"",[2]入库吨位汇总!$L$166),""))</f>
        <v/>
      </c>
      <c r="H167" s="76" t="str">
        <f>IF($V$4=0,IF($P167="","",$P167),IFERROR(IF([2]入库吨位汇总!$H$166=0,"",[2]入库吨位汇总!$H$166),""))</f>
        <v/>
      </c>
      <c r="I167" s="76" t="str">
        <f>IF($V$4=0,IF($Q167="","",$Q167),IFERROR(IF([2]入库吨位汇总!$I$166=0,"",[2]入库吨位汇总!$I$166),""))</f>
        <v/>
      </c>
      <c r="J167" s="116"/>
      <c r="K167" s="116"/>
      <c r="L167" s="131"/>
      <c r="M167" s="131"/>
      <c r="N167" s="132"/>
      <c r="O167" s="132"/>
      <c r="P167" s="132"/>
      <c r="Q167" s="132"/>
      <c r="R167" s="133">
        <f t="shared" si="4"/>
        <v>0</v>
      </c>
      <c r="S167" s="133">
        <f t="shared" si="5"/>
        <v>17</v>
      </c>
    </row>
    <row r="168" spans="1:19">
      <c r="A168" s="74">
        <v>167</v>
      </c>
      <c r="B168" s="75" t="str">
        <f>IF($V$4=0,IF($J168="","",$J168),IFERROR(IF([2]入库吨位汇总!$B$167=0,"",[2]入库吨位汇总!$B$167),""))</f>
        <v/>
      </c>
      <c r="C168" s="75" t="str">
        <f>IF($V$4=0,IF($K168="","",$K168),IFERROR(IF([2]入库吨位汇总!$C$167=0,"",[2]入库吨位汇总!$C$167),""))</f>
        <v/>
      </c>
      <c r="D168" s="42" t="str">
        <f>IF($V$4=0,IF($L168="","",$L168),IFERROR(IF([2]入库吨位汇总!$D$167=0,"",[2]入库吨位汇总!$D$167),""))</f>
        <v/>
      </c>
      <c r="E168" s="42" t="str">
        <f>IF($V$4=0,IF($M168="","",$M168),IFERROR(IF([2]入库吨位汇总!$E$167=0,"",[2]入库吨位汇总!$E$167),""))</f>
        <v/>
      </c>
      <c r="F168" s="76" t="str">
        <f>IF($V$4=0,IF($N168="","",$N168),IFERROR(IF([2]入库吨位汇总!$K$167=0,"",[2]入库吨位汇总!$K$167),""))</f>
        <v/>
      </c>
      <c r="G168" s="122" t="str">
        <f>IF($V$4=0,IF($O168="","",$O168),IFERROR(IF([2]入库吨位汇总!$L$167=0,"",[2]入库吨位汇总!$L$167),""))</f>
        <v/>
      </c>
      <c r="H168" s="76" t="str">
        <f>IF($V$4=0,IF($P168="","",$P168),IFERROR(IF([2]入库吨位汇总!$H$167=0,"",[2]入库吨位汇总!$H$167),""))</f>
        <v/>
      </c>
      <c r="I168" s="76" t="str">
        <f>IF($V$4=0,IF($Q168="","",$Q168),IFERROR(IF([2]入库吨位汇总!$I$167=0,"",[2]入库吨位汇总!$I$167),""))</f>
        <v/>
      </c>
      <c r="J168" s="116"/>
      <c r="K168" s="116"/>
      <c r="L168" s="131"/>
      <c r="M168" s="131"/>
      <c r="N168" s="132"/>
      <c r="O168" s="132"/>
      <c r="P168" s="132"/>
      <c r="Q168" s="132"/>
      <c r="R168" s="133">
        <f t="shared" si="4"/>
        <v>0</v>
      </c>
      <c r="S168" s="133">
        <f t="shared" si="5"/>
        <v>17</v>
      </c>
    </row>
    <row r="169" spans="1:19">
      <c r="A169" s="74">
        <v>168</v>
      </c>
      <c r="B169" s="75" t="str">
        <f>IF($V$4=0,IF($J169="","",$J169),IFERROR(IF([2]入库吨位汇总!$B$168=0,"",[2]入库吨位汇总!$B$168),""))</f>
        <v/>
      </c>
      <c r="C169" s="75" t="str">
        <f>IF($V$4=0,IF($K169="","",$K169),IFERROR(IF([2]入库吨位汇总!$C$168=0,"",[2]入库吨位汇总!$C$168),""))</f>
        <v/>
      </c>
      <c r="D169" s="42" t="str">
        <f>IF($V$4=0,IF($L169="","",$L169),IFERROR(IF([2]入库吨位汇总!$D$168=0,"",[2]入库吨位汇总!$D$168),""))</f>
        <v/>
      </c>
      <c r="E169" s="42" t="str">
        <f>IF($V$4=0,IF($M169="","",$M169),IFERROR(IF([2]入库吨位汇总!$E$168=0,"",[2]入库吨位汇总!$E$168),""))</f>
        <v/>
      </c>
      <c r="F169" s="76" t="str">
        <f>IF($V$4=0,IF($N169="","",$N169),IFERROR(IF([2]入库吨位汇总!$K$168=0,"",[2]入库吨位汇总!$K$168),""))</f>
        <v/>
      </c>
      <c r="G169" s="122" t="str">
        <f>IF($V$4=0,IF($O169="","",$O169),IFERROR(IF([2]入库吨位汇总!$L$168=0,"",[2]入库吨位汇总!$L$168),""))</f>
        <v/>
      </c>
      <c r="H169" s="76" t="str">
        <f>IF($V$4=0,IF($P169="","",$P169),IFERROR(IF([2]入库吨位汇总!$H$168=0,"",[2]入库吨位汇总!$H$168),""))</f>
        <v/>
      </c>
      <c r="I169" s="76" t="str">
        <f>IF($V$4=0,IF($Q169="","",$Q169),IFERROR(IF([2]入库吨位汇总!$I$168=0,"",[2]入库吨位汇总!$I$168),""))</f>
        <v/>
      </c>
      <c r="J169" s="116"/>
      <c r="K169" s="116"/>
      <c r="L169" s="131"/>
      <c r="M169" s="131"/>
      <c r="N169" s="132"/>
      <c r="O169" s="132"/>
      <c r="P169" s="132"/>
      <c r="Q169" s="132"/>
      <c r="R169" s="133">
        <f t="shared" si="4"/>
        <v>0</v>
      </c>
      <c r="S169" s="133">
        <f t="shared" si="5"/>
        <v>17</v>
      </c>
    </row>
    <row r="170" spans="1:19">
      <c r="A170" s="74">
        <v>169</v>
      </c>
      <c r="B170" s="75" t="str">
        <f>IF($V$4=0,IF($J170="","",$J170),IFERROR(IF([2]入库吨位汇总!$B$169=0,"",[2]入库吨位汇总!$B$169),""))</f>
        <v/>
      </c>
      <c r="C170" s="75" t="str">
        <f>IF($V$4=0,IF($K170="","",$K170),IFERROR(IF([2]入库吨位汇总!$C$169=0,"",[2]入库吨位汇总!$C$169),""))</f>
        <v/>
      </c>
      <c r="D170" s="42" t="str">
        <f>IF($V$4=0,IF($L170="","",$L170),IFERROR(IF([2]入库吨位汇总!$D$169=0,"",[2]入库吨位汇总!$D$169),""))</f>
        <v/>
      </c>
      <c r="E170" s="42" t="str">
        <f>IF($V$4=0,IF($M170="","",$M170),IFERROR(IF([2]入库吨位汇总!$E$169=0,"",[2]入库吨位汇总!$E$169),""))</f>
        <v/>
      </c>
      <c r="F170" s="76" t="str">
        <f>IF($V$4=0,IF($N170="","",$N170),IFERROR(IF([2]入库吨位汇总!$K$169=0,"",[2]入库吨位汇总!$K$169),""))</f>
        <v/>
      </c>
      <c r="G170" s="122" t="str">
        <f>IF($V$4=0,IF($O170="","",$O170),IFERROR(IF([2]入库吨位汇总!$L$169=0,"",[2]入库吨位汇总!$L$169),""))</f>
        <v/>
      </c>
      <c r="H170" s="76" t="str">
        <f>IF($V$4=0,IF($P170="","",$P170),IFERROR(IF([2]入库吨位汇总!$H$169=0,"",[2]入库吨位汇总!$H$169),""))</f>
        <v/>
      </c>
      <c r="I170" s="76" t="str">
        <f>IF($V$4=0,IF($Q170="","",$Q170),IFERROR(IF([2]入库吨位汇总!$I$169=0,"",[2]入库吨位汇总!$I$169),""))</f>
        <v/>
      </c>
      <c r="J170" s="116"/>
      <c r="K170" s="116"/>
      <c r="L170" s="131"/>
      <c r="M170" s="131"/>
      <c r="N170" s="132"/>
      <c r="O170" s="132"/>
      <c r="P170" s="132"/>
      <c r="Q170" s="132"/>
      <c r="R170" s="133">
        <f t="shared" si="4"/>
        <v>0</v>
      </c>
      <c r="S170" s="133">
        <f t="shared" si="5"/>
        <v>17</v>
      </c>
    </row>
    <row r="171" spans="1:19">
      <c r="A171" s="74">
        <v>170</v>
      </c>
      <c r="B171" s="75" t="str">
        <f>IF($V$4=0,IF($J171="","",$J171),IFERROR(IF([2]入库吨位汇总!$B$170=0,"",[2]入库吨位汇总!$B$170),""))</f>
        <v/>
      </c>
      <c r="C171" s="75" t="str">
        <f>IF($V$4=0,IF($K171="","",$K171),IFERROR(IF([2]入库吨位汇总!$C$170=0,"",[2]入库吨位汇总!$C$170),""))</f>
        <v/>
      </c>
      <c r="D171" s="42" t="str">
        <f>IF($V$4=0,IF($L171="","",$L171),IFERROR(IF([2]入库吨位汇总!$D$170=0,"",[2]入库吨位汇总!$D$170),""))</f>
        <v/>
      </c>
      <c r="E171" s="42" t="str">
        <f>IF($V$4=0,IF($M171="","",$M171),IFERROR(IF([2]入库吨位汇总!$E$170=0,"",[2]入库吨位汇总!$E$170),""))</f>
        <v/>
      </c>
      <c r="F171" s="76" t="str">
        <f>IF($V$4=0,IF($N171="","",$N171),IFERROR(IF([2]入库吨位汇总!$K$170=0,"",[2]入库吨位汇总!$K$170),""))</f>
        <v/>
      </c>
      <c r="G171" s="122" t="str">
        <f>IF($V$4=0,IF($O171="","",$O171),IFERROR(IF([2]入库吨位汇总!$L$170=0,"",[2]入库吨位汇总!$L$170),""))</f>
        <v/>
      </c>
      <c r="H171" s="76" t="str">
        <f>IF($V$4=0,IF($P171="","",$P171),IFERROR(IF([2]入库吨位汇总!$H$170=0,"",[2]入库吨位汇总!$H$170),""))</f>
        <v/>
      </c>
      <c r="I171" s="76" t="str">
        <f>IF($V$4=0,IF($Q171="","",$Q171),IFERROR(IF([2]入库吨位汇总!$I$170=0,"",[2]入库吨位汇总!$I$170),""))</f>
        <v/>
      </c>
      <c r="J171" s="116"/>
      <c r="K171" s="116"/>
      <c r="L171" s="131"/>
      <c r="M171" s="131"/>
      <c r="N171" s="132"/>
      <c r="O171" s="132"/>
      <c r="P171" s="132"/>
      <c r="Q171" s="132"/>
      <c r="R171" s="133">
        <f t="shared" si="4"/>
        <v>0</v>
      </c>
      <c r="S171" s="133">
        <f t="shared" si="5"/>
        <v>17</v>
      </c>
    </row>
    <row r="172" spans="1:19">
      <c r="A172" s="74">
        <v>171</v>
      </c>
      <c r="B172" s="75" t="str">
        <f>IF($V$4=0,IF($J172="","",$J172),IFERROR(IF([2]入库吨位汇总!$B$171=0,"",[2]入库吨位汇总!$B$171),""))</f>
        <v/>
      </c>
      <c r="C172" s="75" t="str">
        <f>IF($V$4=0,IF($K172="","",$K172),IFERROR(IF([2]入库吨位汇总!$C$171=0,"",[2]入库吨位汇总!$C$171),""))</f>
        <v/>
      </c>
      <c r="D172" s="42" t="str">
        <f>IF($V$4=0,IF($L172="","",$L172),IFERROR(IF([2]入库吨位汇总!$D$171=0,"",[2]入库吨位汇总!$D$171),""))</f>
        <v/>
      </c>
      <c r="E172" s="42" t="str">
        <f>IF($V$4=0,IF($M172="","",$M172),IFERROR(IF([2]入库吨位汇总!$E$171=0,"",[2]入库吨位汇总!$E$171),""))</f>
        <v/>
      </c>
      <c r="F172" s="76" t="str">
        <f>IF($V$4=0,IF($N172="","",$N172),IFERROR(IF([2]入库吨位汇总!$K$171=0,"",[2]入库吨位汇总!$K$171),""))</f>
        <v/>
      </c>
      <c r="G172" s="122" t="str">
        <f>IF($V$4=0,IF($O172="","",$O172),IFERROR(IF([2]入库吨位汇总!$L$171=0,"",[2]入库吨位汇总!$L$171),""))</f>
        <v/>
      </c>
      <c r="H172" s="76" t="str">
        <f>IF($V$4=0,IF($P172="","",$P172),IFERROR(IF([2]入库吨位汇总!$H$171=0,"",[2]入库吨位汇总!$H$171),""))</f>
        <v/>
      </c>
      <c r="I172" s="76" t="str">
        <f>IF($V$4=0,IF($Q172="","",$Q172),IFERROR(IF([2]入库吨位汇总!$I$171=0,"",[2]入库吨位汇总!$I$171),""))</f>
        <v/>
      </c>
      <c r="J172" s="116"/>
      <c r="K172" s="116"/>
      <c r="L172" s="131"/>
      <c r="M172" s="131"/>
      <c r="N172" s="132"/>
      <c r="O172" s="132"/>
      <c r="P172" s="132"/>
      <c r="Q172" s="132"/>
      <c r="R172" s="133">
        <f t="shared" si="4"/>
        <v>0</v>
      </c>
      <c r="S172" s="133">
        <f t="shared" si="5"/>
        <v>17</v>
      </c>
    </row>
    <row r="173" spans="1:19">
      <c r="A173" s="74">
        <v>172</v>
      </c>
      <c r="B173" s="75" t="str">
        <f>IF($V$4=0,IF($J173="","",$J173),IFERROR(IF([2]入库吨位汇总!$B$172=0,"",[2]入库吨位汇总!$B$172),""))</f>
        <v/>
      </c>
      <c r="C173" s="75" t="str">
        <f>IF($V$4=0,IF($K173="","",$K173),IFERROR(IF([2]入库吨位汇总!$C$172=0,"",[2]入库吨位汇总!$C$172),""))</f>
        <v/>
      </c>
      <c r="D173" s="42" t="str">
        <f>IF($V$4=0,IF($L173="","",$L173),IFERROR(IF([2]入库吨位汇总!$D$172=0,"",[2]入库吨位汇总!$D$172),""))</f>
        <v/>
      </c>
      <c r="E173" s="42" t="str">
        <f>IF($V$4=0,IF($M173="","",$M173),IFERROR(IF([2]入库吨位汇总!$E$172=0,"",[2]入库吨位汇总!$E$172),""))</f>
        <v/>
      </c>
      <c r="F173" s="76" t="str">
        <f>IF($V$4=0,IF($N173="","",$N173),IFERROR(IF([2]入库吨位汇总!$K$172=0,"",[2]入库吨位汇总!$K$172),""))</f>
        <v/>
      </c>
      <c r="G173" s="122" t="str">
        <f>IF($V$4=0,IF($O173="","",$O173),IFERROR(IF([2]入库吨位汇总!$L$172=0,"",[2]入库吨位汇总!$L$172),""))</f>
        <v/>
      </c>
      <c r="H173" s="76" t="str">
        <f>IF($V$4=0,IF($P173="","",$P173),IFERROR(IF([2]入库吨位汇总!$H$172=0,"",[2]入库吨位汇总!$H$172),""))</f>
        <v/>
      </c>
      <c r="I173" s="76" t="str">
        <f>IF($V$4=0,IF($Q173="","",$Q173),IFERROR(IF([2]入库吨位汇总!$I$172=0,"",[2]入库吨位汇总!$I$172),""))</f>
        <v/>
      </c>
      <c r="J173" s="116"/>
      <c r="K173" s="116"/>
      <c r="L173" s="131"/>
      <c r="M173" s="131"/>
      <c r="N173" s="132"/>
      <c r="O173" s="132"/>
      <c r="P173" s="132"/>
      <c r="Q173" s="132"/>
      <c r="R173" s="133">
        <f t="shared" si="4"/>
        <v>0</v>
      </c>
      <c r="S173" s="133">
        <f t="shared" si="5"/>
        <v>17</v>
      </c>
    </row>
    <row r="174" spans="1:19">
      <c r="A174" s="74">
        <v>173</v>
      </c>
      <c r="B174" s="75" t="str">
        <f>IF($V$4=0,IF($J174="","",$J174),IFERROR(IF([2]入库吨位汇总!$B$173=0,"",[2]入库吨位汇总!$B$173),""))</f>
        <v/>
      </c>
      <c r="C174" s="75" t="str">
        <f>IF($V$4=0,IF($K174="","",$K174),IFERROR(IF([2]入库吨位汇总!$C$173=0,"",[2]入库吨位汇总!$C$173),""))</f>
        <v/>
      </c>
      <c r="D174" s="42" t="str">
        <f>IF($V$4=0,IF($L174="","",$L174),IFERROR(IF([2]入库吨位汇总!$D$173=0,"",[2]入库吨位汇总!$D$173),""))</f>
        <v/>
      </c>
      <c r="E174" s="42" t="str">
        <f>IF($V$4=0,IF($M174="","",$M174),IFERROR(IF([2]入库吨位汇总!$E$173=0,"",[2]入库吨位汇总!$E$173),""))</f>
        <v/>
      </c>
      <c r="F174" s="76" t="str">
        <f>IF($V$4=0,IF($N174="","",$N174),IFERROR(IF([2]入库吨位汇总!$K$173=0,"",[2]入库吨位汇总!$K$173),""))</f>
        <v/>
      </c>
      <c r="G174" s="122" t="str">
        <f>IF($V$4=0,IF($O174="","",$O174),IFERROR(IF([2]入库吨位汇总!$L$173=0,"",[2]入库吨位汇总!$L$173),""))</f>
        <v/>
      </c>
      <c r="H174" s="76" t="str">
        <f>IF($V$4=0,IF($P174="","",$P174),IFERROR(IF([2]入库吨位汇总!$H$173=0,"",[2]入库吨位汇总!$H$173),""))</f>
        <v/>
      </c>
      <c r="I174" s="76" t="str">
        <f>IF($V$4=0,IF($Q174="","",$Q174),IFERROR(IF([2]入库吨位汇总!$I$173=0,"",[2]入库吨位汇总!$I$173),""))</f>
        <v/>
      </c>
      <c r="J174" s="116"/>
      <c r="K174" s="116"/>
      <c r="L174" s="131"/>
      <c r="M174" s="131"/>
      <c r="N174" s="132"/>
      <c r="O174" s="132"/>
      <c r="P174" s="132"/>
      <c r="Q174" s="132"/>
      <c r="R174" s="133">
        <f t="shared" si="4"/>
        <v>0</v>
      </c>
      <c r="S174" s="133">
        <f t="shared" si="5"/>
        <v>17</v>
      </c>
    </row>
    <row r="175" spans="1:19">
      <c r="A175" s="74">
        <v>174</v>
      </c>
      <c r="B175" s="75" t="str">
        <f>IF($V$4=0,IF($J175="","",$J175),IFERROR(IF([2]入库吨位汇总!$B$174=0,"",[2]入库吨位汇总!$B$174),""))</f>
        <v/>
      </c>
      <c r="C175" s="75" t="str">
        <f>IF($V$4=0,IF($K175="","",$K175),IFERROR(IF([2]入库吨位汇总!$C$174=0,"",[2]入库吨位汇总!$C$174),""))</f>
        <v/>
      </c>
      <c r="D175" s="42" t="str">
        <f>IF($V$4=0,IF($L175="","",$L175),IFERROR(IF([2]入库吨位汇总!$D$174=0,"",[2]入库吨位汇总!$D$174),""))</f>
        <v/>
      </c>
      <c r="E175" s="42" t="str">
        <f>IF($V$4=0,IF($M175="","",$M175),IFERROR(IF([2]入库吨位汇总!$E$174=0,"",[2]入库吨位汇总!$E$174),""))</f>
        <v/>
      </c>
      <c r="F175" s="76" t="str">
        <f>IF($V$4=0,IF($N175="","",$N175),IFERROR(IF([2]入库吨位汇总!$K$174=0,"",[2]入库吨位汇总!$K$174),""))</f>
        <v/>
      </c>
      <c r="G175" s="122" t="str">
        <f>IF($V$4=0,IF($O175="","",$O175),IFERROR(IF([2]入库吨位汇总!$L$174=0,"",[2]入库吨位汇总!$L$174),""))</f>
        <v/>
      </c>
      <c r="H175" s="76" t="str">
        <f>IF($V$4=0,IF($P175="","",$P175),IFERROR(IF([2]入库吨位汇总!$H$174=0,"",[2]入库吨位汇总!$H$174),""))</f>
        <v/>
      </c>
      <c r="I175" s="76" t="str">
        <f>IF($V$4=0,IF($Q175="","",$Q175),IFERROR(IF([2]入库吨位汇总!$I$174=0,"",[2]入库吨位汇总!$I$174),""))</f>
        <v/>
      </c>
      <c r="J175" s="116"/>
      <c r="K175" s="116"/>
      <c r="L175" s="131"/>
      <c r="M175" s="131"/>
      <c r="N175" s="132"/>
      <c r="O175" s="132"/>
      <c r="P175" s="132"/>
      <c r="Q175" s="132"/>
      <c r="R175" s="133">
        <f t="shared" si="4"/>
        <v>0</v>
      </c>
      <c r="S175" s="133">
        <f t="shared" si="5"/>
        <v>17</v>
      </c>
    </row>
    <row r="176" spans="1:19">
      <c r="A176" s="74">
        <v>175</v>
      </c>
      <c r="B176" s="75" t="str">
        <f>IF($V$4=0,IF($J176="","",$J176),IFERROR(IF([2]入库吨位汇总!$B$175=0,"",[2]入库吨位汇总!$B$175),""))</f>
        <v/>
      </c>
      <c r="C176" s="75" t="str">
        <f>IF($V$4=0,IF($K176="","",$K176),IFERROR(IF([2]入库吨位汇总!$C$175=0,"",[2]入库吨位汇总!$C$175),""))</f>
        <v/>
      </c>
      <c r="D176" s="42" t="str">
        <f>IF($V$4=0,IF($L176="","",$L176),IFERROR(IF([2]入库吨位汇总!$D$175=0,"",[2]入库吨位汇总!$D$175),""))</f>
        <v/>
      </c>
      <c r="E176" s="42" t="str">
        <f>IF($V$4=0,IF($M176="","",$M176),IFERROR(IF([2]入库吨位汇总!$E$175=0,"",[2]入库吨位汇总!$E$175),""))</f>
        <v/>
      </c>
      <c r="F176" s="76" t="str">
        <f>IF($V$4=0,IF($N176="","",$N176),IFERROR(IF([2]入库吨位汇总!$K$175=0,"",[2]入库吨位汇总!$K$175),""))</f>
        <v/>
      </c>
      <c r="G176" s="122" t="str">
        <f>IF($V$4=0,IF($O176="","",$O176),IFERROR(IF([2]入库吨位汇总!$L$175=0,"",[2]入库吨位汇总!$L$175),""))</f>
        <v/>
      </c>
      <c r="H176" s="76" t="str">
        <f>IF($V$4=0,IF($P176="","",$P176),IFERROR(IF([2]入库吨位汇总!$H$175=0,"",[2]入库吨位汇总!$H$175),""))</f>
        <v/>
      </c>
      <c r="I176" s="76" t="str">
        <f>IF($V$4=0,IF($Q176="","",$Q176),IFERROR(IF([2]入库吨位汇总!$I$175=0,"",[2]入库吨位汇总!$I$175),""))</f>
        <v/>
      </c>
      <c r="J176" s="116"/>
      <c r="K176" s="116"/>
      <c r="L176" s="131"/>
      <c r="M176" s="131"/>
      <c r="N176" s="132"/>
      <c r="O176" s="132"/>
      <c r="P176" s="132"/>
      <c r="Q176" s="132"/>
      <c r="R176" s="133">
        <f t="shared" si="4"/>
        <v>0</v>
      </c>
      <c r="S176" s="133">
        <f t="shared" si="5"/>
        <v>17</v>
      </c>
    </row>
    <row r="177" spans="1:19">
      <c r="A177" s="74">
        <v>176</v>
      </c>
      <c r="B177" s="75" t="str">
        <f>IF($V$4=0,IF($J177="","",$J177),IFERROR(IF([2]入库吨位汇总!$B$176=0,"",[2]入库吨位汇总!$B$176),""))</f>
        <v/>
      </c>
      <c r="C177" s="75" t="str">
        <f>IF($V$4=0,IF($K177="","",$K177),IFERROR(IF([2]入库吨位汇总!$C$176=0,"",[2]入库吨位汇总!$C$176),""))</f>
        <v/>
      </c>
      <c r="D177" s="42" t="str">
        <f>IF($V$4=0,IF($L177="","",$L177),IFERROR(IF([2]入库吨位汇总!$D$176=0,"",[2]入库吨位汇总!$D$176),""))</f>
        <v/>
      </c>
      <c r="E177" s="42" t="str">
        <f>IF($V$4=0,IF($M177="","",$M177),IFERROR(IF([2]入库吨位汇总!$E$176=0,"",[2]入库吨位汇总!$E$176),""))</f>
        <v/>
      </c>
      <c r="F177" s="76" t="str">
        <f>IF($V$4=0,IF($N177="","",$N177),IFERROR(IF([2]入库吨位汇总!$K$176=0,"",[2]入库吨位汇总!$K$176),""))</f>
        <v/>
      </c>
      <c r="G177" s="122" t="str">
        <f>IF($V$4=0,IF($O177="","",$O177),IFERROR(IF([2]入库吨位汇总!$L$176=0,"",[2]入库吨位汇总!$L$176),""))</f>
        <v/>
      </c>
      <c r="H177" s="76" t="str">
        <f>IF($V$4=0,IF($P177="","",$P177),IFERROR(IF([2]入库吨位汇总!$H$176=0,"",[2]入库吨位汇总!$H$176),""))</f>
        <v/>
      </c>
      <c r="I177" s="76" t="str">
        <f>IF($V$4=0,IF($Q177="","",$Q177),IFERROR(IF([2]入库吨位汇总!$I$176=0,"",[2]入库吨位汇总!$I$176),""))</f>
        <v/>
      </c>
      <c r="J177" s="116"/>
      <c r="K177" s="116"/>
      <c r="L177" s="131"/>
      <c r="M177" s="131"/>
      <c r="N177" s="132"/>
      <c r="O177" s="132"/>
      <c r="P177" s="132"/>
      <c r="Q177" s="132"/>
      <c r="R177" s="133">
        <f t="shared" si="4"/>
        <v>0</v>
      </c>
      <c r="S177" s="133">
        <f t="shared" si="5"/>
        <v>17</v>
      </c>
    </row>
    <row r="178" spans="1:19">
      <c r="A178" s="74">
        <v>177</v>
      </c>
      <c r="B178" s="75" t="str">
        <f>IF($V$4=0,IF($J178="","",$J178),IFERROR(IF([2]入库吨位汇总!$B$177=0,"",[2]入库吨位汇总!$B$177),""))</f>
        <v/>
      </c>
      <c r="C178" s="75" t="str">
        <f>IF($V$4=0,IF($K178="","",$K178),IFERROR(IF([2]入库吨位汇总!$C$177=0,"",[2]入库吨位汇总!$C$177),""))</f>
        <v/>
      </c>
      <c r="D178" s="42" t="str">
        <f>IF($V$4=0,IF($L178="","",$L178),IFERROR(IF([2]入库吨位汇总!$D$177=0,"",[2]入库吨位汇总!$D$177),""))</f>
        <v/>
      </c>
      <c r="E178" s="42" t="str">
        <f>IF($V$4=0,IF($M178="","",$M178),IFERROR(IF([2]入库吨位汇总!$E$177=0,"",[2]入库吨位汇总!$E$177),""))</f>
        <v/>
      </c>
      <c r="F178" s="76" t="str">
        <f>IF($V$4=0,IF($N178="","",$N178),IFERROR(IF([2]入库吨位汇总!$K$177=0,"",[2]入库吨位汇总!$K$177),""))</f>
        <v/>
      </c>
      <c r="G178" s="122" t="str">
        <f>IF($V$4=0,IF($O178="","",$O178),IFERROR(IF([2]入库吨位汇总!$L$177=0,"",[2]入库吨位汇总!$L$177),""))</f>
        <v/>
      </c>
      <c r="H178" s="76" t="str">
        <f>IF($V$4=0,IF($P178="","",$P178),IFERROR(IF([2]入库吨位汇总!$H$177=0,"",[2]入库吨位汇总!$H$177),""))</f>
        <v/>
      </c>
      <c r="I178" s="76" t="str">
        <f>IF($V$4=0,IF($Q178="","",$Q178),IFERROR(IF([2]入库吨位汇总!$I$177=0,"",[2]入库吨位汇总!$I$177),""))</f>
        <v/>
      </c>
      <c r="J178" s="116"/>
      <c r="K178" s="116"/>
      <c r="L178" s="131"/>
      <c r="M178" s="131"/>
      <c r="N178" s="132"/>
      <c r="O178" s="132"/>
      <c r="P178" s="132"/>
      <c r="Q178" s="132"/>
      <c r="R178" s="133">
        <f t="shared" si="4"/>
        <v>0</v>
      </c>
      <c r="S178" s="133">
        <f t="shared" si="5"/>
        <v>17</v>
      </c>
    </row>
    <row r="179" spans="1:19">
      <c r="A179" s="74">
        <v>178</v>
      </c>
      <c r="B179" s="75" t="str">
        <f>IF($V$4=0,IF($J179="","",$J179),IFERROR(IF([2]入库吨位汇总!$B$178=0,"",[2]入库吨位汇总!$B$178),""))</f>
        <v/>
      </c>
      <c r="C179" s="75" t="str">
        <f>IF($V$4=0,IF($K179="","",$K179),IFERROR(IF([2]入库吨位汇总!$C$178=0,"",[2]入库吨位汇总!$C$178),""))</f>
        <v/>
      </c>
      <c r="D179" s="42" t="str">
        <f>IF($V$4=0,IF($L179="","",$L179),IFERROR(IF([2]入库吨位汇总!$D$178=0,"",[2]入库吨位汇总!$D$178),""))</f>
        <v/>
      </c>
      <c r="E179" s="42" t="str">
        <f>IF($V$4=0,IF($M179="","",$M179),IFERROR(IF([2]入库吨位汇总!$E$178=0,"",[2]入库吨位汇总!$E$178),""))</f>
        <v/>
      </c>
      <c r="F179" s="76" t="str">
        <f>IF($V$4=0,IF($N179="","",$N179),IFERROR(IF([2]入库吨位汇总!$K$178=0,"",[2]入库吨位汇总!$K$178),""))</f>
        <v/>
      </c>
      <c r="G179" s="122" t="str">
        <f>IF($V$4=0,IF($O179="","",$O179),IFERROR(IF([2]入库吨位汇总!$L$178=0,"",[2]入库吨位汇总!$L$178),""))</f>
        <v/>
      </c>
      <c r="H179" s="76" t="str">
        <f>IF($V$4=0,IF($P179="","",$P179),IFERROR(IF([2]入库吨位汇总!$H$178=0,"",[2]入库吨位汇总!$H$178),""))</f>
        <v/>
      </c>
      <c r="I179" s="76" t="str">
        <f>IF($V$4=0,IF($Q179="","",$Q179),IFERROR(IF([2]入库吨位汇总!$I$178=0,"",[2]入库吨位汇总!$I$178),""))</f>
        <v/>
      </c>
      <c r="J179" s="116"/>
      <c r="K179" s="116"/>
      <c r="L179" s="131"/>
      <c r="M179" s="131"/>
      <c r="N179" s="132"/>
      <c r="O179" s="132"/>
      <c r="P179" s="132"/>
      <c r="Q179" s="132"/>
      <c r="R179" s="133">
        <f t="shared" si="4"/>
        <v>0</v>
      </c>
      <c r="S179" s="133">
        <f t="shared" si="5"/>
        <v>17</v>
      </c>
    </row>
    <row r="180" spans="1:19">
      <c r="A180" s="74">
        <v>179</v>
      </c>
      <c r="B180" s="75" t="str">
        <f>IF($V$4=0,IF($J180="","",$J180),IFERROR(IF([2]入库吨位汇总!$B$179=0,"",[2]入库吨位汇总!$B$179),""))</f>
        <v/>
      </c>
      <c r="C180" s="75" t="str">
        <f>IF($V$4=0,IF($K180="","",$K180),IFERROR(IF([2]入库吨位汇总!$C$179=0,"",[2]入库吨位汇总!$C$179),""))</f>
        <v/>
      </c>
      <c r="D180" s="42" t="str">
        <f>IF($V$4=0,IF($L180="","",$L180),IFERROR(IF([2]入库吨位汇总!$D$179=0,"",[2]入库吨位汇总!$D$179),""))</f>
        <v/>
      </c>
      <c r="E180" s="42" t="str">
        <f>IF($V$4=0,IF($M180="","",$M180),IFERROR(IF([2]入库吨位汇总!$E$179=0,"",[2]入库吨位汇总!$E$179),""))</f>
        <v/>
      </c>
      <c r="F180" s="76" t="str">
        <f>IF($V$4=0,IF($N180="","",$N180),IFERROR(IF([2]入库吨位汇总!$K$179=0,"",[2]入库吨位汇总!$K$179),""))</f>
        <v/>
      </c>
      <c r="G180" s="122" t="str">
        <f>IF($V$4=0,IF($O180="","",$O180),IFERROR(IF([2]入库吨位汇总!$L$179=0,"",[2]入库吨位汇总!$L$179),""))</f>
        <v/>
      </c>
      <c r="H180" s="76" t="str">
        <f>IF($V$4=0,IF($P180="","",$P180),IFERROR(IF([2]入库吨位汇总!$H$179=0,"",[2]入库吨位汇总!$H$179),""))</f>
        <v/>
      </c>
      <c r="I180" s="76" t="str">
        <f>IF($V$4=0,IF($Q180="","",$Q180),IFERROR(IF([2]入库吨位汇总!$I$179=0,"",[2]入库吨位汇总!$I$179),""))</f>
        <v/>
      </c>
      <c r="J180" s="116"/>
      <c r="K180" s="116"/>
      <c r="L180" s="131"/>
      <c r="M180" s="131"/>
      <c r="N180" s="132"/>
      <c r="O180" s="132"/>
      <c r="P180" s="132"/>
      <c r="Q180" s="132"/>
      <c r="R180" s="133">
        <f t="shared" si="4"/>
        <v>0</v>
      </c>
      <c r="S180" s="133">
        <f t="shared" si="5"/>
        <v>17</v>
      </c>
    </row>
    <row r="181" spans="1:19">
      <c r="A181" s="74">
        <v>180</v>
      </c>
      <c r="B181" s="75" t="str">
        <f>IF($V$4=0,IF($J181="","",$J181),IFERROR(IF([2]入库吨位汇总!$B$180=0,"",[2]入库吨位汇总!$B$180),""))</f>
        <v/>
      </c>
      <c r="C181" s="75" t="str">
        <f>IF($V$4=0,IF($K181="","",$K181),IFERROR(IF([2]入库吨位汇总!$C$180=0,"",[2]入库吨位汇总!$C$180),""))</f>
        <v/>
      </c>
      <c r="D181" s="42" t="str">
        <f>IF($V$4=0,IF($L181="","",$L181),IFERROR(IF([2]入库吨位汇总!$D$180=0,"",[2]入库吨位汇总!$D$180),""))</f>
        <v/>
      </c>
      <c r="E181" s="42" t="str">
        <f>IF($V$4=0,IF($M181="","",$M181),IFERROR(IF([2]入库吨位汇总!$E$180=0,"",[2]入库吨位汇总!$E$180),""))</f>
        <v/>
      </c>
      <c r="F181" s="76" t="str">
        <f>IF($V$4=0,IF($N181="","",$N181),IFERROR(IF([2]入库吨位汇总!$K$180=0,"",[2]入库吨位汇总!$K$180),""))</f>
        <v/>
      </c>
      <c r="G181" s="122" t="str">
        <f>IF($V$4=0,IF($O181="","",$O181),IFERROR(IF([2]入库吨位汇总!$L$180=0,"",[2]入库吨位汇总!$L$180),""))</f>
        <v/>
      </c>
      <c r="H181" s="76" t="str">
        <f>IF($V$4=0,IF($P181="","",$P181),IFERROR(IF([2]入库吨位汇总!$H$180=0,"",[2]入库吨位汇总!$H$180),""))</f>
        <v/>
      </c>
      <c r="I181" s="76" t="str">
        <f>IF($V$4=0,IF($Q181="","",$Q181),IFERROR(IF([2]入库吨位汇总!$I$180=0,"",[2]入库吨位汇总!$I$180),""))</f>
        <v/>
      </c>
      <c r="J181" s="116"/>
      <c r="K181" s="116"/>
      <c r="L181" s="131"/>
      <c r="M181" s="131"/>
      <c r="N181" s="132"/>
      <c r="O181" s="132"/>
      <c r="P181" s="132"/>
      <c r="Q181" s="132"/>
      <c r="R181" s="133">
        <f t="shared" si="4"/>
        <v>0</v>
      </c>
      <c r="S181" s="133">
        <f t="shared" si="5"/>
        <v>17</v>
      </c>
    </row>
    <row r="182" spans="1:19">
      <c r="A182" s="74">
        <v>181</v>
      </c>
      <c r="B182" s="75" t="str">
        <f>IF($V$4=0,IF($J182="","",$J182),IFERROR(IF([2]入库吨位汇总!$B$181=0,"",[2]入库吨位汇总!$B$181),""))</f>
        <v/>
      </c>
      <c r="C182" s="75" t="str">
        <f>IF($V$4=0,IF($K182="","",$K182),IFERROR(IF([2]入库吨位汇总!$C$181=0,"",[2]入库吨位汇总!$C$181),""))</f>
        <v/>
      </c>
      <c r="D182" s="42" t="str">
        <f>IF($V$4=0,IF($L182="","",$L182),IFERROR(IF([2]入库吨位汇总!$D$181=0,"",[2]入库吨位汇总!$D$181),""))</f>
        <v/>
      </c>
      <c r="E182" s="42" t="str">
        <f>IF($V$4=0,IF($M182="","",$M182),IFERROR(IF([2]入库吨位汇总!$E$181=0,"",[2]入库吨位汇总!$E$181),""))</f>
        <v/>
      </c>
      <c r="F182" s="76" t="str">
        <f>IF($V$4=0,IF($N182="","",$N182),IFERROR(IF([2]入库吨位汇总!$K$181=0,"",[2]入库吨位汇总!$K$181),""))</f>
        <v/>
      </c>
      <c r="G182" s="122" t="str">
        <f>IF($V$4=0,IF($O182="","",$O182),IFERROR(IF([2]入库吨位汇总!$L$181=0,"",[2]入库吨位汇总!$L$181),""))</f>
        <v/>
      </c>
      <c r="H182" s="76" t="str">
        <f>IF($V$4=0,IF($P182="","",$P182),IFERROR(IF([2]入库吨位汇总!$H$181=0,"",[2]入库吨位汇总!$H$181),""))</f>
        <v/>
      </c>
      <c r="I182" s="76" t="str">
        <f>IF($V$4=0,IF($Q182="","",$Q182),IFERROR(IF([2]入库吨位汇总!$I$181=0,"",[2]入库吨位汇总!$I$181),""))</f>
        <v/>
      </c>
      <c r="J182" s="116"/>
      <c r="K182" s="116"/>
      <c r="L182" s="131"/>
      <c r="M182" s="131"/>
      <c r="N182" s="132"/>
      <c r="O182" s="132"/>
      <c r="P182" s="132"/>
      <c r="Q182" s="132"/>
      <c r="R182" s="133">
        <f t="shared" si="4"/>
        <v>0</v>
      </c>
      <c r="S182" s="133">
        <f t="shared" si="5"/>
        <v>17</v>
      </c>
    </row>
    <row r="183" spans="1:19">
      <c r="A183" s="74">
        <v>182</v>
      </c>
      <c r="B183" s="75" t="str">
        <f>IF($V$4=0,IF($J183="","",$J183),IFERROR(IF([2]入库吨位汇总!$B$182=0,"",[2]入库吨位汇总!$B$182),""))</f>
        <v/>
      </c>
      <c r="C183" s="75" t="str">
        <f>IF($V$4=0,IF($K183="","",$K183),IFERROR(IF([2]入库吨位汇总!$C$182=0,"",[2]入库吨位汇总!$C$182),""))</f>
        <v/>
      </c>
      <c r="D183" s="42" t="str">
        <f>IF($V$4=0,IF($L183="","",$L183),IFERROR(IF([2]入库吨位汇总!$D$182=0,"",[2]入库吨位汇总!$D$182),""))</f>
        <v/>
      </c>
      <c r="E183" s="42" t="str">
        <f>IF($V$4=0,IF($M183="","",$M183),IFERROR(IF([2]入库吨位汇总!$E$182=0,"",[2]入库吨位汇总!$E$182),""))</f>
        <v/>
      </c>
      <c r="F183" s="76" t="str">
        <f>IF($V$4=0,IF($N183="","",$N183),IFERROR(IF([2]入库吨位汇总!$K$182=0,"",[2]入库吨位汇总!$K$182),""))</f>
        <v/>
      </c>
      <c r="G183" s="122" t="str">
        <f>IF($V$4=0,IF($O183="","",$O183),IFERROR(IF([2]入库吨位汇总!$L$182=0,"",[2]入库吨位汇总!$L$182),""))</f>
        <v/>
      </c>
      <c r="H183" s="76" t="str">
        <f>IF($V$4=0,IF($P183="","",$P183),IFERROR(IF([2]入库吨位汇总!$H$182=0,"",[2]入库吨位汇总!$H$182),""))</f>
        <v/>
      </c>
      <c r="I183" s="76" t="str">
        <f>IF($V$4=0,IF($Q183="","",$Q183),IFERROR(IF([2]入库吨位汇总!$I$182=0,"",[2]入库吨位汇总!$I$182),""))</f>
        <v/>
      </c>
      <c r="J183" s="116"/>
      <c r="K183" s="116"/>
      <c r="L183" s="131"/>
      <c r="M183" s="131"/>
      <c r="N183" s="132"/>
      <c r="O183" s="132"/>
      <c r="P183" s="132"/>
      <c r="Q183" s="132"/>
      <c r="R183" s="133">
        <f t="shared" si="4"/>
        <v>0</v>
      </c>
      <c r="S183" s="133">
        <f t="shared" si="5"/>
        <v>17</v>
      </c>
    </row>
    <row r="184" spans="1:19">
      <c r="A184" s="74">
        <v>183</v>
      </c>
      <c r="B184" s="75" t="str">
        <f>IF($V$4=0,IF($J184="","",$J184),IFERROR(IF([2]入库吨位汇总!$B$183=0,"",[2]入库吨位汇总!$B$183),""))</f>
        <v/>
      </c>
      <c r="C184" s="75" t="str">
        <f>IF($V$4=0,IF($K184="","",$K184),IFERROR(IF([2]入库吨位汇总!$C$183=0,"",[2]入库吨位汇总!$C$183),""))</f>
        <v/>
      </c>
      <c r="D184" s="42" t="str">
        <f>IF($V$4=0,IF($L184="","",$L184),IFERROR(IF([2]入库吨位汇总!$D$183=0,"",[2]入库吨位汇总!$D$183),""))</f>
        <v/>
      </c>
      <c r="E184" s="42" t="str">
        <f>IF($V$4=0,IF($M184="","",$M184),IFERROR(IF([2]入库吨位汇总!$E$183=0,"",[2]入库吨位汇总!$E$183),""))</f>
        <v/>
      </c>
      <c r="F184" s="76" t="str">
        <f>IF($V$4=0,IF($N184="","",$N184),IFERROR(IF([2]入库吨位汇总!$K$183=0,"",[2]入库吨位汇总!$K$183),""))</f>
        <v/>
      </c>
      <c r="G184" s="122" t="str">
        <f>IF($V$4=0,IF($O184="","",$O184),IFERROR(IF([2]入库吨位汇总!$L$183=0,"",[2]入库吨位汇总!$L$183),""))</f>
        <v/>
      </c>
      <c r="H184" s="76" t="str">
        <f>IF($V$4=0,IF($P184="","",$P184),IFERROR(IF([2]入库吨位汇总!$H$183=0,"",[2]入库吨位汇总!$H$183),""))</f>
        <v/>
      </c>
      <c r="I184" s="76" t="str">
        <f>IF($V$4=0,IF($Q184="","",$Q184),IFERROR(IF([2]入库吨位汇总!$I$183=0,"",[2]入库吨位汇总!$I$183),""))</f>
        <v/>
      </c>
      <c r="J184" s="116"/>
      <c r="K184" s="116"/>
      <c r="L184" s="131"/>
      <c r="M184" s="131"/>
      <c r="N184" s="132"/>
      <c r="O184" s="132"/>
      <c r="P184" s="132"/>
      <c r="Q184" s="132"/>
      <c r="R184" s="133">
        <f t="shared" si="4"/>
        <v>0</v>
      </c>
      <c r="S184" s="133">
        <f t="shared" si="5"/>
        <v>17</v>
      </c>
    </row>
    <row r="185" spans="1:19">
      <c r="A185" s="74">
        <v>184</v>
      </c>
      <c r="B185" s="75" t="str">
        <f>IF($V$4=0,IF($J185="","",$J185),IFERROR(IF([2]入库吨位汇总!$B$184=0,"",[2]入库吨位汇总!$B$184),""))</f>
        <v/>
      </c>
      <c r="C185" s="75" t="str">
        <f>IF($V$4=0,IF($K185="","",$K185),IFERROR(IF([2]入库吨位汇总!$C$184=0,"",[2]入库吨位汇总!$C$184),""))</f>
        <v/>
      </c>
      <c r="D185" s="42" t="str">
        <f>IF($V$4=0,IF($L185="","",$L185),IFERROR(IF([2]入库吨位汇总!$D$184=0,"",[2]入库吨位汇总!$D$184),""))</f>
        <v/>
      </c>
      <c r="E185" s="42" t="str">
        <f>IF($V$4=0,IF($M185="","",$M185),IFERROR(IF([2]入库吨位汇总!$E$184=0,"",[2]入库吨位汇总!$E$184),""))</f>
        <v/>
      </c>
      <c r="F185" s="76" t="str">
        <f>IF($V$4=0,IF($N185="","",$N185),IFERROR(IF([2]入库吨位汇总!$K$184=0,"",[2]入库吨位汇总!$K$184),""))</f>
        <v/>
      </c>
      <c r="G185" s="122" t="str">
        <f>IF($V$4=0,IF($O185="","",$O185),IFERROR(IF([2]入库吨位汇总!$L$184=0,"",[2]入库吨位汇总!$L$184),""))</f>
        <v/>
      </c>
      <c r="H185" s="76" t="str">
        <f>IF($V$4=0,IF($P185="","",$P185),IFERROR(IF([2]入库吨位汇总!$H$184=0,"",[2]入库吨位汇总!$H$184),""))</f>
        <v/>
      </c>
      <c r="I185" s="76" t="str">
        <f>IF($V$4=0,IF($Q185="","",$Q185),IFERROR(IF([2]入库吨位汇总!$I$184=0,"",[2]入库吨位汇总!$I$184),""))</f>
        <v/>
      </c>
      <c r="J185" s="116"/>
      <c r="K185" s="116"/>
      <c r="L185" s="131"/>
      <c r="M185" s="131"/>
      <c r="N185" s="132"/>
      <c r="O185" s="132"/>
      <c r="P185" s="132"/>
      <c r="Q185" s="132"/>
      <c r="R185" s="133">
        <f t="shared" si="4"/>
        <v>0</v>
      </c>
      <c r="S185" s="133">
        <f t="shared" si="5"/>
        <v>17</v>
      </c>
    </row>
    <row r="186" spans="1:19">
      <c r="A186" s="74">
        <v>185</v>
      </c>
      <c r="B186" s="75" t="str">
        <f>IF($V$4=0,IF($J186="","",$J186),IFERROR(IF([2]入库吨位汇总!$B$185=0,"",[2]入库吨位汇总!$B$185),""))</f>
        <v/>
      </c>
      <c r="C186" s="75" t="str">
        <f>IF($V$4=0,IF($K186="","",$K186),IFERROR(IF([2]入库吨位汇总!$C$185=0,"",[2]入库吨位汇总!$C$185),""))</f>
        <v/>
      </c>
      <c r="D186" s="42" t="str">
        <f>IF($V$4=0,IF($L186="","",$L186),IFERROR(IF([2]入库吨位汇总!$D$185=0,"",[2]入库吨位汇总!$D$185),""))</f>
        <v/>
      </c>
      <c r="E186" s="42" t="str">
        <f>IF($V$4=0,IF($M186="","",$M186),IFERROR(IF([2]入库吨位汇总!$E$185=0,"",[2]入库吨位汇总!$E$185),""))</f>
        <v/>
      </c>
      <c r="F186" s="76" t="str">
        <f>IF($V$4=0,IF($N186="","",$N186),IFERROR(IF([2]入库吨位汇总!$K$185=0,"",[2]入库吨位汇总!$K$185),""))</f>
        <v/>
      </c>
      <c r="G186" s="122" t="str">
        <f>IF($V$4=0,IF($O186="","",$O186),IFERROR(IF([2]入库吨位汇总!$L$185=0,"",[2]入库吨位汇总!$L$185),""))</f>
        <v/>
      </c>
      <c r="H186" s="76" t="str">
        <f>IF($V$4=0,IF($P186="","",$P186),IFERROR(IF([2]入库吨位汇总!$H$185=0,"",[2]入库吨位汇总!$H$185),""))</f>
        <v/>
      </c>
      <c r="I186" s="76" t="str">
        <f>IF($V$4=0,IF($Q186="","",$Q186),IFERROR(IF([2]入库吨位汇总!$I$185=0,"",[2]入库吨位汇总!$I$185),""))</f>
        <v/>
      </c>
      <c r="J186" s="116"/>
      <c r="K186" s="116"/>
      <c r="L186" s="131"/>
      <c r="M186" s="131"/>
      <c r="N186" s="132"/>
      <c r="O186" s="132"/>
      <c r="P186" s="132"/>
      <c r="Q186" s="132"/>
      <c r="R186" s="133">
        <f t="shared" si="4"/>
        <v>0</v>
      </c>
      <c r="S186" s="133">
        <f t="shared" si="5"/>
        <v>17</v>
      </c>
    </row>
    <row r="187" spans="1:19">
      <c r="A187" s="74">
        <v>186</v>
      </c>
      <c r="B187" s="75" t="str">
        <f>IF($V$4=0,IF($J187="","",$J187),IFERROR(IF([2]入库吨位汇总!$B$186=0,"",[2]入库吨位汇总!$B$186),""))</f>
        <v/>
      </c>
      <c r="C187" s="75" t="str">
        <f>IF($V$4=0,IF($K187="","",$K187),IFERROR(IF([2]入库吨位汇总!$C$186=0,"",[2]入库吨位汇总!$C$186),""))</f>
        <v/>
      </c>
      <c r="D187" s="42" t="str">
        <f>IF($V$4=0,IF($L187="","",$L187),IFERROR(IF([2]入库吨位汇总!$D$186=0,"",[2]入库吨位汇总!$D$186),""))</f>
        <v/>
      </c>
      <c r="E187" s="42" t="str">
        <f>IF($V$4=0,IF($M187="","",$M187),IFERROR(IF([2]入库吨位汇总!$E$186=0,"",[2]入库吨位汇总!$E$186),""))</f>
        <v/>
      </c>
      <c r="F187" s="76" t="str">
        <f>IF($V$4=0,IF($N187="","",$N187),IFERROR(IF([2]入库吨位汇总!$K$186=0,"",[2]入库吨位汇总!$K$186),""))</f>
        <v/>
      </c>
      <c r="G187" s="122" t="str">
        <f>IF($V$4=0,IF($O187="","",$O187),IFERROR(IF([2]入库吨位汇总!$L$186=0,"",[2]入库吨位汇总!$L$186),""))</f>
        <v/>
      </c>
      <c r="H187" s="76" t="str">
        <f>IF($V$4=0,IF($P187="","",$P187),IFERROR(IF([2]入库吨位汇总!$H$186=0,"",[2]入库吨位汇总!$H$186),""))</f>
        <v/>
      </c>
      <c r="I187" s="76" t="str">
        <f>IF($V$4=0,IF($Q187="","",$Q187),IFERROR(IF([2]入库吨位汇总!$I$186=0,"",[2]入库吨位汇总!$I$186),""))</f>
        <v/>
      </c>
      <c r="J187" s="116"/>
      <c r="K187" s="116"/>
      <c r="L187" s="131"/>
      <c r="M187" s="131"/>
      <c r="N187" s="132"/>
      <c r="O187" s="132"/>
      <c r="P187" s="132"/>
      <c r="Q187" s="132"/>
      <c r="R187" s="133">
        <f t="shared" si="4"/>
        <v>0</v>
      </c>
      <c r="S187" s="133">
        <f t="shared" si="5"/>
        <v>17</v>
      </c>
    </row>
    <row r="188" spans="1:19">
      <c r="A188" s="74">
        <v>187</v>
      </c>
      <c r="B188" s="75" t="str">
        <f>IF($V$4=0,IF($J188="","",$J188),IFERROR(IF([2]入库吨位汇总!$B$187=0,"",[2]入库吨位汇总!$B$187),""))</f>
        <v/>
      </c>
      <c r="C188" s="75" t="str">
        <f>IF($V$4=0,IF($K188="","",$K188),IFERROR(IF([2]入库吨位汇总!$C$187=0,"",[2]入库吨位汇总!$C$187),""))</f>
        <v/>
      </c>
      <c r="D188" s="42" t="str">
        <f>IF($V$4=0,IF($L188="","",$L188),IFERROR(IF([2]入库吨位汇总!$D$187=0,"",[2]入库吨位汇总!$D$187),""))</f>
        <v/>
      </c>
      <c r="E188" s="42" t="str">
        <f>IF($V$4=0,IF($M188="","",$M188),IFERROR(IF([2]入库吨位汇总!$E$187=0,"",[2]入库吨位汇总!$E$187),""))</f>
        <v/>
      </c>
      <c r="F188" s="76" t="str">
        <f>IF($V$4=0,IF($N188="","",$N188),IFERROR(IF([2]入库吨位汇总!$K$187=0,"",[2]入库吨位汇总!$K$187),""))</f>
        <v/>
      </c>
      <c r="G188" s="122" t="str">
        <f>IF($V$4=0,IF($O188="","",$O188),IFERROR(IF([2]入库吨位汇总!$L$187=0,"",[2]入库吨位汇总!$L$187),""))</f>
        <v/>
      </c>
      <c r="H188" s="76" t="str">
        <f>IF($V$4=0,IF($P188="","",$P188),IFERROR(IF([2]入库吨位汇总!$H$187=0,"",[2]入库吨位汇总!$H$187),""))</f>
        <v/>
      </c>
      <c r="I188" s="76" t="str">
        <f>IF($V$4=0,IF($Q188="","",$Q188),IFERROR(IF([2]入库吨位汇总!$I$187=0,"",[2]入库吨位汇总!$I$187),""))</f>
        <v/>
      </c>
      <c r="J188" s="116"/>
      <c r="K188" s="116"/>
      <c r="L188" s="131"/>
      <c r="M188" s="131"/>
      <c r="N188" s="132"/>
      <c r="O188" s="132"/>
      <c r="P188" s="132"/>
      <c r="Q188" s="132"/>
      <c r="R188" s="133">
        <f t="shared" si="4"/>
        <v>0</v>
      </c>
      <c r="S188" s="133">
        <f t="shared" si="5"/>
        <v>17</v>
      </c>
    </row>
    <row r="189" spans="1:19">
      <c r="A189" s="74">
        <v>188</v>
      </c>
      <c r="B189" s="75" t="str">
        <f>IF($V$4=0,IF($J189="","",$J189),IFERROR(IF([2]入库吨位汇总!$B$188=0,"",[2]入库吨位汇总!$B$188),""))</f>
        <v/>
      </c>
      <c r="C189" s="75" t="str">
        <f>IF($V$4=0,IF($K189="","",$K189),IFERROR(IF([2]入库吨位汇总!$C$188=0,"",[2]入库吨位汇总!$C$188),""))</f>
        <v/>
      </c>
      <c r="D189" s="42" t="str">
        <f>IF($V$4=0,IF($L189="","",$L189),IFERROR(IF([2]入库吨位汇总!$D$188=0,"",[2]入库吨位汇总!$D$188),""))</f>
        <v/>
      </c>
      <c r="E189" s="42" t="str">
        <f>IF($V$4=0,IF($M189="","",$M189),IFERROR(IF([2]入库吨位汇总!$E$188=0,"",[2]入库吨位汇总!$E$188),""))</f>
        <v/>
      </c>
      <c r="F189" s="76" t="str">
        <f>IF($V$4=0,IF($N189="","",$N189),IFERROR(IF([2]入库吨位汇总!$K$188=0,"",[2]入库吨位汇总!$K$188),""))</f>
        <v/>
      </c>
      <c r="G189" s="122" t="str">
        <f>IF($V$4=0,IF($O189="","",$O189),IFERROR(IF([2]入库吨位汇总!$L$188=0,"",[2]入库吨位汇总!$L$188),""))</f>
        <v/>
      </c>
      <c r="H189" s="76" t="str">
        <f>IF($V$4=0,IF($P189="","",$P189),IFERROR(IF([2]入库吨位汇总!$H$188=0,"",[2]入库吨位汇总!$H$188),""))</f>
        <v/>
      </c>
      <c r="I189" s="76" t="str">
        <f>IF($V$4=0,IF($Q189="","",$Q189),IFERROR(IF([2]入库吨位汇总!$I$188=0,"",[2]入库吨位汇总!$I$188),""))</f>
        <v/>
      </c>
      <c r="J189" s="116"/>
      <c r="K189" s="116"/>
      <c r="L189" s="131"/>
      <c r="M189" s="131"/>
      <c r="N189" s="132"/>
      <c r="O189" s="132"/>
      <c r="P189" s="132"/>
      <c r="Q189" s="132"/>
      <c r="R189" s="133">
        <f t="shared" si="4"/>
        <v>0</v>
      </c>
      <c r="S189" s="133">
        <f t="shared" si="5"/>
        <v>17</v>
      </c>
    </row>
    <row r="190" spans="1:19">
      <c r="A190" s="74">
        <v>189</v>
      </c>
      <c r="B190" s="75" t="str">
        <f>IF($V$4=0,IF($J190="","",$J190),IFERROR(IF([2]入库吨位汇总!$B$189=0,"",[2]入库吨位汇总!$B$189),""))</f>
        <v/>
      </c>
      <c r="C190" s="75" t="str">
        <f>IF($V$4=0,IF($K190="","",$K190),IFERROR(IF([2]入库吨位汇总!$C$189=0,"",[2]入库吨位汇总!$C$189),""))</f>
        <v/>
      </c>
      <c r="D190" s="42" t="str">
        <f>IF($V$4=0,IF($L190="","",$L190),IFERROR(IF([2]入库吨位汇总!$D$189=0,"",[2]入库吨位汇总!$D$189),""))</f>
        <v/>
      </c>
      <c r="E190" s="42" t="str">
        <f>IF($V$4=0,IF($M190="","",$M190),IFERROR(IF([2]入库吨位汇总!$E$189=0,"",[2]入库吨位汇总!$E$189),""))</f>
        <v/>
      </c>
      <c r="F190" s="76" t="str">
        <f>IF($V$4=0,IF($N190="","",$N190),IFERROR(IF([2]入库吨位汇总!$K$189=0,"",[2]入库吨位汇总!$K$189),""))</f>
        <v/>
      </c>
      <c r="G190" s="122" t="str">
        <f>IF($V$4=0,IF($O190="","",$O190),IFERROR(IF([2]入库吨位汇总!$L$189=0,"",[2]入库吨位汇总!$L$189),""))</f>
        <v/>
      </c>
      <c r="H190" s="76" t="str">
        <f>IF($V$4=0,IF($P190="","",$P190),IFERROR(IF([2]入库吨位汇总!$H$189=0,"",[2]入库吨位汇总!$H$189),""))</f>
        <v/>
      </c>
      <c r="I190" s="76" t="str">
        <f>IF($V$4=0,IF($Q190="","",$Q190),IFERROR(IF([2]入库吨位汇总!$I$189=0,"",[2]入库吨位汇总!$I$189),""))</f>
        <v/>
      </c>
      <c r="J190" s="116"/>
      <c r="K190" s="116"/>
      <c r="L190" s="131"/>
      <c r="M190" s="131"/>
      <c r="N190" s="132"/>
      <c r="O190" s="132"/>
      <c r="P190" s="132"/>
      <c r="Q190" s="132"/>
      <c r="R190" s="133">
        <f t="shared" si="4"/>
        <v>0</v>
      </c>
      <c r="S190" s="133">
        <f t="shared" si="5"/>
        <v>17</v>
      </c>
    </row>
    <row r="191" spans="1:19">
      <c r="A191" s="74">
        <v>190</v>
      </c>
      <c r="B191" s="75" t="str">
        <f>IF($V$4=0,IF($J191="","",$J191),IFERROR(IF([2]入库吨位汇总!$B$190=0,"",[2]入库吨位汇总!$B$190),""))</f>
        <v/>
      </c>
      <c r="C191" s="75" t="str">
        <f>IF($V$4=0,IF($K191="","",$K191),IFERROR(IF([2]入库吨位汇总!$C$190=0,"",[2]入库吨位汇总!$C$190),""))</f>
        <v/>
      </c>
      <c r="D191" s="42" t="str">
        <f>IF($V$4=0,IF($L191="","",$L191),IFERROR(IF([2]入库吨位汇总!$D$190=0,"",[2]入库吨位汇总!$D$190),""))</f>
        <v/>
      </c>
      <c r="E191" s="42" t="str">
        <f>IF($V$4=0,IF($M191="","",$M191),IFERROR(IF([2]入库吨位汇总!$E$190=0,"",[2]入库吨位汇总!$E$190),""))</f>
        <v/>
      </c>
      <c r="F191" s="76" t="str">
        <f>IF($V$4=0,IF($N191="","",$N191),IFERROR(IF([2]入库吨位汇总!$K$190=0,"",[2]入库吨位汇总!$K$190),""))</f>
        <v/>
      </c>
      <c r="G191" s="122" t="str">
        <f>IF($V$4=0,IF($O191="","",$O191),IFERROR(IF([2]入库吨位汇总!$L$190=0,"",[2]入库吨位汇总!$L$190),""))</f>
        <v/>
      </c>
      <c r="H191" s="76" t="str">
        <f>IF($V$4=0,IF($P191="","",$P191),IFERROR(IF([2]入库吨位汇总!$H$190=0,"",[2]入库吨位汇总!$H$190),""))</f>
        <v/>
      </c>
      <c r="I191" s="76" t="str">
        <f>IF($V$4=0,IF($Q191="","",$Q191),IFERROR(IF([2]入库吨位汇总!$I$190=0,"",[2]入库吨位汇总!$I$190),""))</f>
        <v/>
      </c>
      <c r="J191" s="116"/>
      <c r="K191" s="116"/>
      <c r="L191" s="131"/>
      <c r="M191" s="131"/>
      <c r="N191" s="132"/>
      <c r="O191" s="132"/>
      <c r="P191" s="132"/>
      <c r="Q191" s="132"/>
      <c r="R191" s="133">
        <f t="shared" si="4"/>
        <v>0</v>
      </c>
      <c r="S191" s="133">
        <f t="shared" si="5"/>
        <v>17</v>
      </c>
    </row>
    <row r="192" spans="1:19">
      <c r="A192" s="74">
        <v>191</v>
      </c>
      <c r="B192" s="75" t="str">
        <f>IF($V$4=0,IF($J192="","",$J192),IFERROR(IF([2]入库吨位汇总!$B$191=0,"",[2]入库吨位汇总!$B$191),""))</f>
        <v/>
      </c>
      <c r="C192" s="75" t="str">
        <f>IF($V$4=0,IF($K192="","",$K192),IFERROR(IF([2]入库吨位汇总!$C$191=0,"",[2]入库吨位汇总!$C$191),""))</f>
        <v/>
      </c>
      <c r="D192" s="42" t="str">
        <f>IF($V$4=0,IF($L192="","",$L192),IFERROR(IF([2]入库吨位汇总!$D$191=0,"",[2]入库吨位汇总!$D$191),""))</f>
        <v/>
      </c>
      <c r="E192" s="42" t="str">
        <f>IF($V$4=0,IF($M192="","",$M192),IFERROR(IF([2]入库吨位汇总!$E$191=0,"",[2]入库吨位汇总!$E$191),""))</f>
        <v/>
      </c>
      <c r="F192" s="76" t="str">
        <f>IF($V$4=0,IF($N192="","",$N192),IFERROR(IF([2]入库吨位汇总!$K$191=0,"",[2]入库吨位汇总!$K$191),""))</f>
        <v/>
      </c>
      <c r="G192" s="122" t="str">
        <f>IF($V$4=0,IF($O192="","",$O192),IFERROR(IF([2]入库吨位汇总!$L$191=0,"",[2]入库吨位汇总!$L$191),""))</f>
        <v/>
      </c>
      <c r="H192" s="76" t="str">
        <f>IF($V$4=0,IF($P192="","",$P192),IFERROR(IF([2]入库吨位汇总!$H$191=0,"",[2]入库吨位汇总!$H$191),""))</f>
        <v/>
      </c>
      <c r="I192" s="76" t="str">
        <f>IF($V$4=0,IF($Q192="","",$Q192),IFERROR(IF([2]入库吨位汇总!$I$191=0,"",[2]入库吨位汇总!$I$191),""))</f>
        <v/>
      </c>
      <c r="J192" s="116"/>
      <c r="K192" s="116"/>
      <c r="L192" s="131"/>
      <c r="M192" s="131"/>
      <c r="N192" s="132"/>
      <c r="O192" s="132"/>
      <c r="P192" s="132"/>
      <c r="Q192" s="132"/>
      <c r="R192" s="133">
        <f t="shared" si="4"/>
        <v>0</v>
      </c>
      <c r="S192" s="133">
        <f t="shared" si="5"/>
        <v>17</v>
      </c>
    </row>
    <row r="193" spans="1:19">
      <c r="A193" s="74">
        <v>192</v>
      </c>
      <c r="B193" s="75" t="str">
        <f>IF($V$4=0,IF($J193="","",$J193),IFERROR(IF([2]入库吨位汇总!$B$192=0,"",[2]入库吨位汇总!$B$192),""))</f>
        <v/>
      </c>
      <c r="C193" s="75" t="str">
        <f>IF($V$4=0,IF($K193="","",$K193),IFERROR(IF([2]入库吨位汇总!$C$192=0,"",[2]入库吨位汇总!$C$192),""))</f>
        <v/>
      </c>
      <c r="D193" s="42" t="str">
        <f>IF($V$4=0,IF($L193="","",$L193),IFERROR(IF([2]入库吨位汇总!$D$192=0,"",[2]入库吨位汇总!$D$192),""))</f>
        <v/>
      </c>
      <c r="E193" s="42" t="str">
        <f>IF($V$4=0,IF($M193="","",$M193),IFERROR(IF([2]入库吨位汇总!$E$192=0,"",[2]入库吨位汇总!$E$192),""))</f>
        <v/>
      </c>
      <c r="F193" s="76" t="str">
        <f>IF($V$4=0,IF($N193="","",$N193),IFERROR(IF([2]入库吨位汇总!$K$192=0,"",[2]入库吨位汇总!$K$192),""))</f>
        <v/>
      </c>
      <c r="G193" s="122" t="str">
        <f>IF($V$4=0,IF($O193="","",$O193),IFERROR(IF([2]入库吨位汇总!$L$192=0,"",[2]入库吨位汇总!$L$192),""))</f>
        <v/>
      </c>
      <c r="H193" s="76" t="str">
        <f>IF($V$4=0,IF($P193="","",$P193),IFERROR(IF([2]入库吨位汇总!$H$192=0,"",[2]入库吨位汇总!$H$192),""))</f>
        <v/>
      </c>
      <c r="I193" s="76" t="str">
        <f>IF($V$4=0,IF($Q193="","",$Q193),IFERROR(IF([2]入库吨位汇总!$I$192=0,"",[2]入库吨位汇总!$I$192),""))</f>
        <v/>
      </c>
      <c r="J193" s="116"/>
      <c r="K193" s="116"/>
      <c r="L193" s="131"/>
      <c r="M193" s="131"/>
      <c r="N193" s="132"/>
      <c r="O193" s="132"/>
      <c r="P193" s="132"/>
      <c r="Q193" s="132"/>
      <c r="R193" s="133">
        <f t="shared" si="4"/>
        <v>0</v>
      </c>
      <c r="S193" s="133">
        <f t="shared" si="5"/>
        <v>17</v>
      </c>
    </row>
    <row r="194" spans="1:19">
      <c r="A194" s="74">
        <v>193</v>
      </c>
      <c r="B194" s="75" t="str">
        <f>IF($V$4=0,IF($J194="","",$J194),IFERROR(IF([2]入库吨位汇总!$B$193=0,"",[2]入库吨位汇总!$B$193),""))</f>
        <v/>
      </c>
      <c r="C194" s="75" t="str">
        <f>IF($V$4=0,IF($K194="","",$K194),IFERROR(IF([2]入库吨位汇总!$C$193=0,"",[2]入库吨位汇总!$C$193),""))</f>
        <v/>
      </c>
      <c r="D194" s="42" t="str">
        <f>IF($V$4=0,IF($L194="","",$L194),IFERROR(IF([2]入库吨位汇总!$D$193=0,"",[2]入库吨位汇总!$D$193),""))</f>
        <v/>
      </c>
      <c r="E194" s="42" t="str">
        <f>IF($V$4=0,IF($M194="","",$M194),IFERROR(IF([2]入库吨位汇总!$E$193=0,"",[2]入库吨位汇总!$E$193),""))</f>
        <v/>
      </c>
      <c r="F194" s="76" t="str">
        <f>IF($V$4=0,IF($N194="","",$N194),IFERROR(IF([2]入库吨位汇总!$K$193=0,"",[2]入库吨位汇总!$K$193),""))</f>
        <v/>
      </c>
      <c r="G194" s="122" t="str">
        <f>IF($V$4=0,IF($O194="","",$O194),IFERROR(IF([2]入库吨位汇总!$L$193=0,"",[2]入库吨位汇总!$L$193),""))</f>
        <v/>
      </c>
      <c r="H194" s="76" t="str">
        <f>IF($V$4=0,IF($P194="","",$P194),IFERROR(IF([2]入库吨位汇总!$H$193=0,"",[2]入库吨位汇总!$H$193),""))</f>
        <v/>
      </c>
      <c r="I194" s="76" t="str">
        <f>IF($V$4=0,IF($Q194="","",$Q194),IFERROR(IF([2]入库吨位汇总!$I$193=0,"",[2]入库吨位汇总!$I$193),""))</f>
        <v/>
      </c>
      <c r="J194" s="116"/>
      <c r="K194" s="116"/>
      <c r="L194" s="131"/>
      <c r="M194" s="131"/>
      <c r="N194" s="132"/>
      <c r="O194" s="132"/>
      <c r="P194" s="132"/>
      <c r="Q194" s="132"/>
      <c r="R194" s="133">
        <f t="shared" si="4"/>
        <v>0</v>
      </c>
      <c r="S194" s="133">
        <f t="shared" si="5"/>
        <v>17</v>
      </c>
    </row>
    <row r="195" spans="1:19">
      <c r="A195" s="74">
        <v>194</v>
      </c>
      <c r="B195" s="75" t="str">
        <f>IF($V$4=0,IF($J195="","",$J195),IFERROR(IF([2]入库吨位汇总!$B$194=0,"",[2]入库吨位汇总!$B$194),""))</f>
        <v/>
      </c>
      <c r="C195" s="75" t="str">
        <f>IF($V$4=0,IF($K195="","",$K195),IFERROR(IF([2]入库吨位汇总!$C$194=0,"",[2]入库吨位汇总!$C$194),""))</f>
        <v/>
      </c>
      <c r="D195" s="42" t="str">
        <f>IF($V$4=0,IF($L195="","",$L195),IFERROR(IF([2]入库吨位汇总!$D$194=0,"",[2]入库吨位汇总!$D$194),""))</f>
        <v/>
      </c>
      <c r="E195" s="42" t="str">
        <f>IF($V$4=0,IF($M195="","",$M195),IFERROR(IF([2]入库吨位汇总!$E$194=0,"",[2]入库吨位汇总!$E$194),""))</f>
        <v/>
      </c>
      <c r="F195" s="76" t="str">
        <f>IF($V$4=0,IF($N195="","",$N195),IFERROR(IF([2]入库吨位汇总!$K$194=0,"",[2]入库吨位汇总!$K$194),""))</f>
        <v/>
      </c>
      <c r="G195" s="122" t="str">
        <f>IF($V$4=0,IF($O195="","",$O195),IFERROR(IF([2]入库吨位汇总!$L$194=0,"",[2]入库吨位汇总!$L$194),""))</f>
        <v/>
      </c>
      <c r="H195" s="76" t="str">
        <f>IF($V$4=0,IF($P195="","",$P195),IFERROR(IF([2]入库吨位汇总!$H$194=0,"",[2]入库吨位汇总!$H$194),""))</f>
        <v/>
      </c>
      <c r="I195" s="76" t="str">
        <f>IF($V$4=0,IF($Q195="","",$Q195),IFERROR(IF([2]入库吨位汇总!$I$194=0,"",[2]入库吨位汇总!$I$194),""))</f>
        <v/>
      </c>
      <c r="J195" s="116"/>
      <c r="K195" s="116"/>
      <c r="L195" s="131"/>
      <c r="M195" s="131"/>
      <c r="N195" s="132"/>
      <c r="O195" s="132"/>
      <c r="P195" s="132"/>
      <c r="Q195" s="132"/>
      <c r="R195" s="133">
        <f t="shared" si="4"/>
        <v>0</v>
      </c>
      <c r="S195" s="133">
        <f t="shared" si="5"/>
        <v>17</v>
      </c>
    </row>
    <row r="196" spans="1:19">
      <c r="A196" s="74">
        <v>195</v>
      </c>
      <c r="B196" s="75" t="str">
        <f>IF($V$4=0,IF($J196="","",$J196),IFERROR(IF([2]入库吨位汇总!$B$195=0,"",[2]入库吨位汇总!$B$195),""))</f>
        <v/>
      </c>
      <c r="C196" s="75" t="str">
        <f>IF($V$4=0,IF($K196="","",$K196),IFERROR(IF([2]入库吨位汇总!$C$195=0,"",[2]入库吨位汇总!$C$195),""))</f>
        <v/>
      </c>
      <c r="D196" s="42" t="str">
        <f>IF($V$4=0,IF($L196="","",$L196),IFERROR(IF([2]入库吨位汇总!$D$195=0,"",[2]入库吨位汇总!$D$195),""))</f>
        <v/>
      </c>
      <c r="E196" s="42" t="str">
        <f>IF($V$4=0,IF($M196="","",$M196),IFERROR(IF([2]入库吨位汇总!$E$195=0,"",[2]入库吨位汇总!$E$195),""))</f>
        <v/>
      </c>
      <c r="F196" s="76" t="str">
        <f>IF($V$4=0,IF($N196="","",$N196),IFERROR(IF([2]入库吨位汇总!$K$195=0,"",[2]入库吨位汇总!$K$195),""))</f>
        <v/>
      </c>
      <c r="G196" s="122" t="str">
        <f>IF($V$4=0,IF($O196="","",$O196),IFERROR(IF([2]入库吨位汇总!$L$195=0,"",[2]入库吨位汇总!$L$195),""))</f>
        <v/>
      </c>
      <c r="H196" s="76" t="str">
        <f>IF($V$4=0,IF($P196="","",$P196),IFERROR(IF([2]入库吨位汇总!$H$195=0,"",[2]入库吨位汇总!$H$195),""))</f>
        <v/>
      </c>
      <c r="I196" s="76" t="str">
        <f>IF($V$4=0,IF($Q196="","",$Q196),IFERROR(IF([2]入库吨位汇总!$I$195=0,"",[2]入库吨位汇总!$I$195),""))</f>
        <v/>
      </c>
      <c r="J196" s="116"/>
      <c r="K196" s="116"/>
      <c r="L196" s="131"/>
      <c r="M196" s="131"/>
      <c r="N196" s="132"/>
      <c r="O196" s="132"/>
      <c r="P196" s="132"/>
      <c r="Q196" s="132"/>
      <c r="R196" s="133">
        <f t="shared" si="4"/>
        <v>0</v>
      </c>
      <c r="S196" s="133">
        <f t="shared" si="5"/>
        <v>17</v>
      </c>
    </row>
    <row r="197" spans="1:19">
      <c r="A197" s="74">
        <v>196</v>
      </c>
      <c r="B197" s="75" t="str">
        <f>IF($V$4=0,IF($J197="","",$J197),IFERROR(IF([2]入库吨位汇总!$B$196=0,"",[2]入库吨位汇总!$B$196),""))</f>
        <v/>
      </c>
      <c r="C197" s="75" t="str">
        <f>IF($V$4=0,IF($K197="","",$K197),IFERROR(IF([2]入库吨位汇总!$C$196=0,"",[2]入库吨位汇总!$C$196),""))</f>
        <v/>
      </c>
      <c r="D197" s="42" t="str">
        <f>IF($V$4=0,IF($L197="","",$L197),IFERROR(IF([2]入库吨位汇总!$D$196=0,"",[2]入库吨位汇总!$D$196),""))</f>
        <v/>
      </c>
      <c r="E197" s="42" t="str">
        <f>IF($V$4=0,IF($M197="","",$M197),IFERROR(IF([2]入库吨位汇总!$E$196=0,"",[2]入库吨位汇总!$E$196),""))</f>
        <v/>
      </c>
      <c r="F197" s="76" t="str">
        <f>IF($V$4=0,IF($N197="","",$N197),IFERROR(IF([2]入库吨位汇总!$K$196=0,"",[2]入库吨位汇总!$K$196),""))</f>
        <v/>
      </c>
      <c r="G197" s="122" t="str">
        <f>IF($V$4=0,IF($O197="","",$O197),IFERROR(IF([2]入库吨位汇总!$L$196=0,"",[2]入库吨位汇总!$L$196),""))</f>
        <v/>
      </c>
      <c r="H197" s="76" t="str">
        <f>IF($V$4=0,IF($P197="","",$P197),IFERROR(IF([2]入库吨位汇总!$H$196=0,"",[2]入库吨位汇总!$H$196),""))</f>
        <v/>
      </c>
      <c r="I197" s="76" t="str">
        <f>IF($V$4=0,IF($Q197="","",$Q197),IFERROR(IF([2]入库吨位汇总!$I$196=0,"",[2]入库吨位汇总!$I$196),""))</f>
        <v/>
      </c>
      <c r="J197" s="116"/>
      <c r="K197" s="116"/>
      <c r="L197" s="131"/>
      <c r="M197" s="131"/>
      <c r="N197" s="132"/>
      <c r="O197" s="132"/>
      <c r="P197" s="132"/>
      <c r="Q197" s="132"/>
      <c r="R197" s="133">
        <f t="shared" ref="R197:R260" si="6">IF(AND($B197&lt;&gt;"",$C197&lt;&gt;""),1,0)</f>
        <v>0</v>
      </c>
      <c r="S197" s="133">
        <f t="shared" ref="S197:S260" si="7">N(S196)+$R197</f>
        <v>17</v>
      </c>
    </row>
    <row r="198" spans="1:19">
      <c r="A198" s="74">
        <v>197</v>
      </c>
      <c r="B198" s="75" t="str">
        <f>IF($V$4=0,IF($J198="","",$J198),IFERROR(IF([2]入库吨位汇总!$B$197=0,"",[2]入库吨位汇总!$B$197),""))</f>
        <v/>
      </c>
      <c r="C198" s="75" t="str">
        <f>IF($V$4=0,IF($K198="","",$K198),IFERROR(IF([2]入库吨位汇总!$C$197=0,"",[2]入库吨位汇总!$C$197),""))</f>
        <v/>
      </c>
      <c r="D198" s="42" t="str">
        <f>IF($V$4=0,IF($L198="","",$L198),IFERROR(IF([2]入库吨位汇总!$D$197=0,"",[2]入库吨位汇总!$D$197),""))</f>
        <v/>
      </c>
      <c r="E198" s="42" t="str">
        <f>IF($V$4=0,IF($M198="","",$M198),IFERROR(IF([2]入库吨位汇总!$E$197=0,"",[2]入库吨位汇总!$E$197),""))</f>
        <v/>
      </c>
      <c r="F198" s="76" t="str">
        <f>IF($V$4=0,IF($N198="","",$N198),IFERROR(IF([2]入库吨位汇总!$K$197=0,"",[2]入库吨位汇总!$K$197),""))</f>
        <v/>
      </c>
      <c r="G198" s="122" t="str">
        <f>IF($V$4=0,IF($O198="","",$O198),IFERROR(IF([2]入库吨位汇总!$L$197=0,"",[2]入库吨位汇总!$L$197),""))</f>
        <v/>
      </c>
      <c r="H198" s="76" t="str">
        <f>IF($V$4=0,IF($P198="","",$P198),IFERROR(IF([2]入库吨位汇总!$H$197=0,"",[2]入库吨位汇总!$H$197),""))</f>
        <v/>
      </c>
      <c r="I198" s="76" t="str">
        <f>IF($V$4=0,IF($Q198="","",$Q198),IFERROR(IF([2]入库吨位汇总!$I$197=0,"",[2]入库吨位汇总!$I$197),""))</f>
        <v/>
      </c>
      <c r="J198" s="116"/>
      <c r="K198" s="116"/>
      <c r="L198" s="131"/>
      <c r="M198" s="131"/>
      <c r="N198" s="132"/>
      <c r="O198" s="132"/>
      <c r="P198" s="132"/>
      <c r="Q198" s="132"/>
      <c r="R198" s="133">
        <f t="shared" si="6"/>
        <v>0</v>
      </c>
      <c r="S198" s="133">
        <f t="shared" si="7"/>
        <v>17</v>
      </c>
    </row>
    <row r="199" spans="1:19">
      <c r="A199" s="74">
        <v>198</v>
      </c>
      <c r="B199" s="75" t="str">
        <f>IF($V$4=0,IF($J199="","",$J199),IFERROR(IF([2]入库吨位汇总!$B$198=0,"",[2]入库吨位汇总!$B$198),""))</f>
        <v/>
      </c>
      <c r="C199" s="75" t="str">
        <f>IF($V$4=0,IF($K199="","",$K199),IFERROR(IF([2]入库吨位汇总!$C$198=0,"",[2]入库吨位汇总!$C$198),""))</f>
        <v/>
      </c>
      <c r="D199" s="42" t="str">
        <f>IF($V$4=0,IF($L199="","",$L199),IFERROR(IF([2]入库吨位汇总!$D$198=0,"",[2]入库吨位汇总!$D$198),""))</f>
        <v/>
      </c>
      <c r="E199" s="42" t="str">
        <f>IF($V$4=0,IF($M199="","",$M199),IFERROR(IF([2]入库吨位汇总!$E$198=0,"",[2]入库吨位汇总!$E$198),""))</f>
        <v/>
      </c>
      <c r="F199" s="76" t="str">
        <f>IF($V$4=0,IF($N199="","",$N199),IFERROR(IF([2]入库吨位汇总!$K$198=0,"",[2]入库吨位汇总!$K$198),""))</f>
        <v/>
      </c>
      <c r="G199" s="122" t="str">
        <f>IF($V$4=0,IF($O199="","",$O199),IFERROR(IF([2]入库吨位汇总!$L$198=0,"",[2]入库吨位汇总!$L$198),""))</f>
        <v/>
      </c>
      <c r="H199" s="76" t="str">
        <f>IF($V$4=0,IF($P199="","",$P199),IFERROR(IF([2]入库吨位汇总!$H$198=0,"",[2]入库吨位汇总!$H$198),""))</f>
        <v/>
      </c>
      <c r="I199" s="76" t="str">
        <f>IF($V$4=0,IF($Q199="","",$Q199),IFERROR(IF([2]入库吨位汇总!$I$198=0,"",[2]入库吨位汇总!$I$198),""))</f>
        <v/>
      </c>
      <c r="J199" s="116"/>
      <c r="K199" s="116"/>
      <c r="L199" s="131"/>
      <c r="M199" s="131"/>
      <c r="N199" s="132"/>
      <c r="O199" s="132"/>
      <c r="P199" s="132"/>
      <c r="Q199" s="132"/>
      <c r="R199" s="133">
        <f t="shared" si="6"/>
        <v>0</v>
      </c>
      <c r="S199" s="133">
        <f t="shared" si="7"/>
        <v>17</v>
      </c>
    </row>
    <row r="200" spans="1:19">
      <c r="A200" s="74">
        <v>199</v>
      </c>
      <c r="B200" s="75" t="str">
        <f>IF($V$4=0,IF($J200="","",$J200),IFERROR(IF([2]入库吨位汇总!$B$199=0,"",[2]入库吨位汇总!$B$199),""))</f>
        <v/>
      </c>
      <c r="C200" s="75" t="str">
        <f>IF($V$4=0,IF($K200="","",$K200),IFERROR(IF([2]入库吨位汇总!$C$199=0,"",[2]入库吨位汇总!$C$199),""))</f>
        <v/>
      </c>
      <c r="D200" s="42" t="str">
        <f>IF($V$4=0,IF($L200="","",$L200),IFERROR(IF([2]入库吨位汇总!$D$199=0,"",[2]入库吨位汇总!$D$199),""))</f>
        <v/>
      </c>
      <c r="E200" s="42" t="str">
        <f>IF($V$4=0,IF($M200="","",$M200),IFERROR(IF([2]入库吨位汇总!$E$199=0,"",[2]入库吨位汇总!$E$199),""))</f>
        <v/>
      </c>
      <c r="F200" s="76" t="str">
        <f>IF($V$4=0,IF($N200="","",$N200),IFERROR(IF([2]入库吨位汇总!$K$199=0,"",[2]入库吨位汇总!$K$199),""))</f>
        <v/>
      </c>
      <c r="G200" s="122" t="str">
        <f>IF($V$4=0,IF($O200="","",$O200),IFERROR(IF([2]入库吨位汇总!$L$199=0,"",[2]入库吨位汇总!$L$199),""))</f>
        <v/>
      </c>
      <c r="H200" s="76" t="str">
        <f>IF($V$4=0,IF($P200="","",$P200),IFERROR(IF([2]入库吨位汇总!$H$199=0,"",[2]入库吨位汇总!$H$199),""))</f>
        <v/>
      </c>
      <c r="I200" s="76" t="str">
        <f>IF($V$4=0,IF($Q200="","",$Q200),IFERROR(IF([2]入库吨位汇总!$I$199=0,"",[2]入库吨位汇总!$I$199),""))</f>
        <v/>
      </c>
      <c r="J200" s="116"/>
      <c r="K200" s="116"/>
      <c r="L200" s="131"/>
      <c r="M200" s="131"/>
      <c r="N200" s="132"/>
      <c r="O200" s="132"/>
      <c r="P200" s="132"/>
      <c r="Q200" s="132"/>
      <c r="R200" s="133">
        <f t="shared" si="6"/>
        <v>0</v>
      </c>
      <c r="S200" s="133">
        <f t="shared" si="7"/>
        <v>17</v>
      </c>
    </row>
    <row r="201" spans="1:19">
      <c r="A201" s="74">
        <v>200</v>
      </c>
      <c r="B201" s="75" t="str">
        <f>IF($V$4=0,IF($J201="","",$J201),IFERROR(IF([2]入库吨位汇总!$B$200=0,"",[2]入库吨位汇总!$B$200),""))</f>
        <v/>
      </c>
      <c r="C201" s="75" t="str">
        <f>IF($V$4=0,IF($K201="","",$K201),IFERROR(IF([2]入库吨位汇总!$C$200=0,"",[2]入库吨位汇总!$C$200),""))</f>
        <v/>
      </c>
      <c r="D201" s="42" t="str">
        <f>IF($V$4=0,IF($L201="","",$L201),IFERROR(IF([2]入库吨位汇总!$D$200=0,"",[2]入库吨位汇总!$D$200),""))</f>
        <v/>
      </c>
      <c r="E201" s="42" t="str">
        <f>IF($V$4=0,IF($M201="","",$M201),IFERROR(IF([2]入库吨位汇总!$E$200=0,"",[2]入库吨位汇总!$E$200),""))</f>
        <v/>
      </c>
      <c r="F201" s="76" t="str">
        <f>IF($V$4=0,IF($N201="","",$N201),IFERROR(IF([2]入库吨位汇总!$K$200=0,"",[2]入库吨位汇总!$K$200),""))</f>
        <v/>
      </c>
      <c r="G201" s="122" t="str">
        <f>IF($V$4=0,IF($O201="","",$O201),IFERROR(IF([2]入库吨位汇总!$L$200=0,"",[2]入库吨位汇总!$L$200),""))</f>
        <v/>
      </c>
      <c r="H201" s="76" t="str">
        <f>IF($V$4=0,IF($P201="","",$P201),IFERROR(IF([2]入库吨位汇总!$H$200=0,"",[2]入库吨位汇总!$H$200),""))</f>
        <v/>
      </c>
      <c r="I201" s="76" t="str">
        <f>IF($V$4=0,IF($Q201="","",$Q201),IFERROR(IF([2]入库吨位汇总!$I$200=0,"",[2]入库吨位汇总!$I$200),""))</f>
        <v/>
      </c>
      <c r="J201" s="116"/>
      <c r="K201" s="116"/>
      <c r="L201" s="131"/>
      <c r="M201" s="131"/>
      <c r="N201" s="132"/>
      <c r="O201" s="132"/>
      <c r="P201" s="132"/>
      <c r="Q201" s="132"/>
      <c r="R201" s="133">
        <f t="shared" si="6"/>
        <v>0</v>
      </c>
      <c r="S201" s="133">
        <f t="shared" si="7"/>
        <v>17</v>
      </c>
    </row>
    <row r="202" spans="1:19">
      <c r="A202" s="74">
        <v>201</v>
      </c>
      <c r="B202" s="75" t="str">
        <f>IF($V$4=0,IF($J202="","",$J202),IFERROR(IF([2]入库吨位汇总!$B$201=0,"",[2]入库吨位汇总!$B$201),""))</f>
        <v/>
      </c>
      <c r="C202" s="75" t="str">
        <f>IF($V$4=0,IF($K202="","",$K202),IFERROR(IF([2]入库吨位汇总!$C$201=0,"",[2]入库吨位汇总!$C$201),""))</f>
        <v/>
      </c>
      <c r="D202" s="42" t="str">
        <f>IF($V$4=0,IF($L202="","",$L202),IFERROR(IF([2]入库吨位汇总!$D$201=0,"",[2]入库吨位汇总!$D$201),""))</f>
        <v/>
      </c>
      <c r="E202" s="42" t="str">
        <f>IF($V$4=0,IF($M202="","",$M202),IFERROR(IF([2]入库吨位汇总!$E$201=0,"",[2]入库吨位汇总!$E$201),""))</f>
        <v/>
      </c>
      <c r="F202" s="76" t="str">
        <f>IF($V$4=0,IF($N202="","",$N202),IFERROR(IF([2]入库吨位汇总!$K$201=0,"",[2]入库吨位汇总!$K$201),""))</f>
        <v/>
      </c>
      <c r="G202" s="122" t="str">
        <f>IF($V$4=0,IF($O202="","",$O202),IFERROR(IF([2]入库吨位汇总!$L$201=0,"",[2]入库吨位汇总!$L$201),""))</f>
        <v/>
      </c>
      <c r="H202" s="76" t="str">
        <f>IF($V$4=0,IF($P202="","",$P202),IFERROR(IF([2]入库吨位汇总!$H$201=0,"",[2]入库吨位汇总!$H$201),""))</f>
        <v/>
      </c>
      <c r="I202" s="76" t="str">
        <f>IF($V$4=0,IF($Q202="","",$Q202),IFERROR(IF([2]入库吨位汇总!$I$201=0,"",[2]入库吨位汇总!$I$201),""))</f>
        <v/>
      </c>
      <c r="J202" s="116"/>
      <c r="K202" s="116"/>
      <c r="L202" s="131"/>
      <c r="M202" s="131"/>
      <c r="N202" s="132"/>
      <c r="O202" s="132"/>
      <c r="P202" s="132"/>
      <c r="Q202" s="132"/>
      <c r="R202" s="133">
        <f t="shared" si="6"/>
        <v>0</v>
      </c>
      <c r="S202" s="133">
        <f t="shared" si="7"/>
        <v>17</v>
      </c>
    </row>
    <row r="203" spans="1:19">
      <c r="A203" s="74">
        <v>202</v>
      </c>
      <c r="B203" s="75" t="str">
        <f>IF($V$4=0,IF($J203="","",$J203),IFERROR(IF([2]入库吨位汇总!$B$202=0,"",[2]入库吨位汇总!$B$202),""))</f>
        <v/>
      </c>
      <c r="C203" s="75" t="str">
        <f>IF($V$4=0,IF($K203="","",$K203),IFERROR(IF([2]入库吨位汇总!$C$202=0,"",[2]入库吨位汇总!$C$202),""))</f>
        <v/>
      </c>
      <c r="D203" s="42" t="str">
        <f>IF($V$4=0,IF($L203="","",$L203),IFERROR(IF([2]入库吨位汇总!$D$202=0,"",[2]入库吨位汇总!$D$202),""))</f>
        <v/>
      </c>
      <c r="E203" s="42" t="str">
        <f>IF($V$4=0,IF($M203="","",$M203),IFERROR(IF([2]入库吨位汇总!$E$202=0,"",[2]入库吨位汇总!$E$202),""))</f>
        <v/>
      </c>
      <c r="F203" s="76" t="str">
        <f>IF($V$4=0,IF($N203="","",$N203),IFERROR(IF([2]入库吨位汇总!$K$202=0,"",[2]入库吨位汇总!$K$202),""))</f>
        <v/>
      </c>
      <c r="G203" s="122" t="str">
        <f>IF($V$4=0,IF($O203="","",$O203),IFERROR(IF([2]入库吨位汇总!$L$202=0,"",[2]入库吨位汇总!$L$202),""))</f>
        <v/>
      </c>
      <c r="H203" s="76" t="str">
        <f>IF($V$4=0,IF($P203="","",$P203),IFERROR(IF([2]入库吨位汇总!$H$202=0,"",[2]入库吨位汇总!$H$202),""))</f>
        <v/>
      </c>
      <c r="I203" s="76" t="str">
        <f>IF($V$4=0,IF($Q203="","",$Q203),IFERROR(IF([2]入库吨位汇总!$I$202=0,"",[2]入库吨位汇总!$I$202),""))</f>
        <v/>
      </c>
      <c r="J203" s="116"/>
      <c r="K203" s="116"/>
      <c r="L203" s="131"/>
      <c r="M203" s="131"/>
      <c r="N203" s="132"/>
      <c r="O203" s="132"/>
      <c r="P203" s="132"/>
      <c r="Q203" s="132"/>
      <c r="R203" s="133">
        <f t="shared" si="6"/>
        <v>0</v>
      </c>
      <c r="S203" s="133">
        <f t="shared" si="7"/>
        <v>17</v>
      </c>
    </row>
    <row r="204" spans="1:19">
      <c r="A204" s="74">
        <v>203</v>
      </c>
      <c r="B204" s="75" t="str">
        <f>IF($V$4=0,IF($J204="","",$J204),IFERROR(IF([2]入库吨位汇总!$B$203=0,"",[2]入库吨位汇总!$B$203),""))</f>
        <v/>
      </c>
      <c r="C204" s="75" t="str">
        <f>IF($V$4=0,IF($K204="","",$K204),IFERROR(IF([2]入库吨位汇总!$C$203=0,"",[2]入库吨位汇总!$C$203),""))</f>
        <v/>
      </c>
      <c r="D204" s="42" t="str">
        <f>IF($V$4=0,IF($L204="","",$L204),IFERROR(IF([2]入库吨位汇总!$D$203=0,"",[2]入库吨位汇总!$D$203),""))</f>
        <v/>
      </c>
      <c r="E204" s="42" t="str">
        <f>IF($V$4=0,IF($M204="","",$M204),IFERROR(IF([2]入库吨位汇总!$E$203=0,"",[2]入库吨位汇总!$E$203),""))</f>
        <v/>
      </c>
      <c r="F204" s="76" t="str">
        <f>IF($V$4=0,IF($N204="","",$N204),IFERROR(IF([2]入库吨位汇总!$K$203=0,"",[2]入库吨位汇总!$K$203),""))</f>
        <v/>
      </c>
      <c r="G204" s="122" t="str">
        <f>IF($V$4=0,IF($O204="","",$O204),IFERROR(IF([2]入库吨位汇总!$L$203=0,"",[2]入库吨位汇总!$L$203),""))</f>
        <v/>
      </c>
      <c r="H204" s="76" t="str">
        <f>IF($V$4=0,IF($P204="","",$P204),IFERROR(IF([2]入库吨位汇总!$H$203=0,"",[2]入库吨位汇总!$H$203),""))</f>
        <v/>
      </c>
      <c r="I204" s="76" t="str">
        <f>IF($V$4=0,IF($Q204="","",$Q204),IFERROR(IF([2]入库吨位汇总!$I$203=0,"",[2]入库吨位汇总!$I$203),""))</f>
        <v/>
      </c>
      <c r="J204" s="116"/>
      <c r="K204" s="116"/>
      <c r="L204" s="131"/>
      <c r="M204" s="131"/>
      <c r="N204" s="132"/>
      <c r="O204" s="132"/>
      <c r="P204" s="132"/>
      <c r="Q204" s="132"/>
      <c r="R204" s="133">
        <f t="shared" si="6"/>
        <v>0</v>
      </c>
      <c r="S204" s="133">
        <f t="shared" si="7"/>
        <v>17</v>
      </c>
    </row>
    <row r="205" spans="1:19">
      <c r="A205" s="74">
        <v>204</v>
      </c>
      <c r="B205" s="75" t="str">
        <f>IF($V$4=0,IF($J205="","",$J205),IFERROR(IF([2]入库吨位汇总!$B$204=0,"",[2]入库吨位汇总!$B$204),""))</f>
        <v/>
      </c>
      <c r="C205" s="75" t="str">
        <f>IF($V$4=0,IF($K205="","",$K205),IFERROR(IF([2]入库吨位汇总!$C$204=0,"",[2]入库吨位汇总!$C$204),""))</f>
        <v/>
      </c>
      <c r="D205" s="42" t="str">
        <f>IF($V$4=0,IF($L205="","",$L205),IFERROR(IF([2]入库吨位汇总!$D$204=0,"",[2]入库吨位汇总!$D$204),""))</f>
        <v/>
      </c>
      <c r="E205" s="42" t="str">
        <f>IF($V$4=0,IF($M205="","",$M205),IFERROR(IF([2]入库吨位汇总!$E$204=0,"",[2]入库吨位汇总!$E$204),""))</f>
        <v/>
      </c>
      <c r="F205" s="76" t="str">
        <f>IF($V$4=0,IF($N205="","",$N205),IFERROR(IF([2]入库吨位汇总!$K$204=0,"",[2]入库吨位汇总!$K$204),""))</f>
        <v/>
      </c>
      <c r="G205" s="122" t="str">
        <f>IF($V$4=0,IF($O205="","",$O205),IFERROR(IF([2]入库吨位汇总!$L$204=0,"",[2]入库吨位汇总!$L$204),""))</f>
        <v/>
      </c>
      <c r="H205" s="76" t="str">
        <f>IF($V$4=0,IF($P205="","",$P205),IFERROR(IF([2]入库吨位汇总!$H$204=0,"",[2]入库吨位汇总!$H$204),""))</f>
        <v/>
      </c>
      <c r="I205" s="76" t="str">
        <f>IF($V$4=0,IF($Q205="","",$Q205),IFERROR(IF([2]入库吨位汇总!$I$204=0,"",[2]入库吨位汇总!$I$204),""))</f>
        <v/>
      </c>
      <c r="J205" s="116"/>
      <c r="K205" s="116"/>
      <c r="L205" s="131"/>
      <c r="M205" s="131"/>
      <c r="N205" s="132"/>
      <c r="O205" s="132"/>
      <c r="P205" s="132"/>
      <c r="Q205" s="132"/>
      <c r="R205" s="133">
        <f t="shared" si="6"/>
        <v>0</v>
      </c>
      <c r="S205" s="133">
        <f t="shared" si="7"/>
        <v>17</v>
      </c>
    </row>
    <row r="206" spans="1:19">
      <c r="A206" s="74">
        <v>205</v>
      </c>
      <c r="B206" s="75" t="str">
        <f>IF($V$4=0,IF($J206="","",$J206),IFERROR(IF([2]入库吨位汇总!$B$205=0,"",[2]入库吨位汇总!$B$205),""))</f>
        <v/>
      </c>
      <c r="C206" s="75" t="str">
        <f>IF($V$4=0,IF($K206="","",$K206),IFERROR(IF([2]入库吨位汇总!$C$205=0,"",[2]入库吨位汇总!$C$205),""))</f>
        <v/>
      </c>
      <c r="D206" s="42" t="str">
        <f>IF($V$4=0,IF($L206="","",$L206),IFERROR(IF([2]入库吨位汇总!$D$205=0,"",[2]入库吨位汇总!$D$205),""))</f>
        <v/>
      </c>
      <c r="E206" s="42" t="str">
        <f>IF($V$4=0,IF($M206="","",$M206),IFERROR(IF([2]入库吨位汇总!$E$205=0,"",[2]入库吨位汇总!$E$205),""))</f>
        <v/>
      </c>
      <c r="F206" s="76" t="str">
        <f>IF($V$4=0,IF($N206="","",$N206),IFERROR(IF([2]入库吨位汇总!$K$205=0,"",[2]入库吨位汇总!$K$205),""))</f>
        <v/>
      </c>
      <c r="G206" s="122" t="str">
        <f>IF($V$4=0,IF($O206="","",$O206),IFERROR(IF([2]入库吨位汇总!$L$205=0,"",[2]入库吨位汇总!$L$205),""))</f>
        <v/>
      </c>
      <c r="H206" s="76" t="str">
        <f>IF($V$4=0,IF($P206="","",$P206),IFERROR(IF([2]入库吨位汇总!$H$205=0,"",[2]入库吨位汇总!$H$205),""))</f>
        <v/>
      </c>
      <c r="I206" s="76" t="str">
        <f>IF($V$4=0,IF($Q206="","",$Q206),IFERROR(IF([2]入库吨位汇总!$I$205=0,"",[2]入库吨位汇总!$I$205),""))</f>
        <v/>
      </c>
      <c r="J206" s="116"/>
      <c r="K206" s="116"/>
      <c r="L206" s="131"/>
      <c r="M206" s="131"/>
      <c r="N206" s="132"/>
      <c r="O206" s="132"/>
      <c r="P206" s="132"/>
      <c r="Q206" s="132"/>
      <c r="R206" s="133">
        <f t="shared" si="6"/>
        <v>0</v>
      </c>
      <c r="S206" s="133">
        <f t="shared" si="7"/>
        <v>17</v>
      </c>
    </row>
    <row r="207" spans="1:19">
      <c r="A207" s="74">
        <v>206</v>
      </c>
      <c r="B207" s="75" t="str">
        <f>IF($V$4=0,IF($J207="","",$J207),IFERROR(IF([2]入库吨位汇总!$B$206=0,"",[2]入库吨位汇总!$B$206),""))</f>
        <v/>
      </c>
      <c r="C207" s="75" t="str">
        <f>IF($V$4=0,IF($K207="","",$K207),IFERROR(IF([2]入库吨位汇总!$C$206=0,"",[2]入库吨位汇总!$C$206),""))</f>
        <v/>
      </c>
      <c r="D207" s="42" t="str">
        <f>IF($V$4=0,IF($L207="","",$L207),IFERROR(IF([2]入库吨位汇总!$D$206=0,"",[2]入库吨位汇总!$D$206),""))</f>
        <v/>
      </c>
      <c r="E207" s="42" t="str">
        <f>IF($V$4=0,IF($M207="","",$M207),IFERROR(IF([2]入库吨位汇总!$E$206=0,"",[2]入库吨位汇总!$E$206),""))</f>
        <v/>
      </c>
      <c r="F207" s="76" t="str">
        <f>IF($V$4=0,IF($N207="","",$N207),IFERROR(IF([2]入库吨位汇总!$K$206=0,"",[2]入库吨位汇总!$K$206),""))</f>
        <v/>
      </c>
      <c r="G207" s="122" t="str">
        <f>IF($V$4=0,IF($O207="","",$O207),IFERROR(IF([2]入库吨位汇总!$L$206=0,"",[2]入库吨位汇总!$L$206),""))</f>
        <v/>
      </c>
      <c r="H207" s="76" t="str">
        <f>IF($V$4=0,IF($P207="","",$P207),IFERROR(IF([2]入库吨位汇总!$H$206=0,"",[2]入库吨位汇总!$H$206),""))</f>
        <v/>
      </c>
      <c r="I207" s="76" t="str">
        <f>IF($V$4=0,IF($Q207="","",$Q207),IFERROR(IF([2]入库吨位汇总!$I$206=0,"",[2]入库吨位汇总!$I$206),""))</f>
        <v/>
      </c>
      <c r="J207" s="116"/>
      <c r="K207" s="116"/>
      <c r="L207" s="131"/>
      <c r="M207" s="131"/>
      <c r="N207" s="132"/>
      <c r="O207" s="132"/>
      <c r="P207" s="132"/>
      <c r="Q207" s="132"/>
      <c r="R207" s="133">
        <f t="shared" si="6"/>
        <v>0</v>
      </c>
      <c r="S207" s="133">
        <f t="shared" si="7"/>
        <v>17</v>
      </c>
    </row>
    <row r="208" spans="1:19">
      <c r="A208" s="74">
        <v>207</v>
      </c>
      <c r="B208" s="75" t="str">
        <f>IF($V$4=0,IF($J208="","",$J208),IFERROR(IF([2]入库吨位汇总!$B$207=0,"",[2]入库吨位汇总!$B$207),""))</f>
        <v/>
      </c>
      <c r="C208" s="75" t="str">
        <f>IF($V$4=0,IF($K208="","",$K208),IFERROR(IF([2]入库吨位汇总!$C$207=0,"",[2]入库吨位汇总!$C$207),""))</f>
        <v/>
      </c>
      <c r="D208" s="42" t="str">
        <f>IF($V$4=0,IF($L208="","",$L208),IFERROR(IF([2]入库吨位汇总!$D$207=0,"",[2]入库吨位汇总!$D$207),""))</f>
        <v/>
      </c>
      <c r="E208" s="42" t="str">
        <f>IF($V$4=0,IF($M208="","",$M208),IFERROR(IF([2]入库吨位汇总!$E$207=0,"",[2]入库吨位汇总!$E$207),""))</f>
        <v/>
      </c>
      <c r="F208" s="76" t="str">
        <f>IF($V$4=0,IF($N208="","",$N208),IFERROR(IF([2]入库吨位汇总!$K$207=0,"",[2]入库吨位汇总!$K$207),""))</f>
        <v/>
      </c>
      <c r="G208" s="122" t="str">
        <f>IF($V$4=0,IF($O208="","",$O208),IFERROR(IF([2]入库吨位汇总!$L$207=0,"",[2]入库吨位汇总!$L$207),""))</f>
        <v/>
      </c>
      <c r="H208" s="76" t="str">
        <f>IF($V$4=0,IF($P208="","",$P208),IFERROR(IF([2]入库吨位汇总!$H$207=0,"",[2]入库吨位汇总!$H$207),""))</f>
        <v/>
      </c>
      <c r="I208" s="76" t="str">
        <f>IF($V$4=0,IF($Q208="","",$Q208),IFERROR(IF([2]入库吨位汇总!$I$207=0,"",[2]入库吨位汇总!$I$207),""))</f>
        <v/>
      </c>
      <c r="J208" s="116"/>
      <c r="K208" s="116"/>
      <c r="L208" s="131"/>
      <c r="M208" s="131"/>
      <c r="N208" s="132"/>
      <c r="O208" s="132"/>
      <c r="P208" s="132"/>
      <c r="Q208" s="132"/>
      <c r="R208" s="133">
        <f t="shared" si="6"/>
        <v>0</v>
      </c>
      <c r="S208" s="133">
        <f t="shared" si="7"/>
        <v>17</v>
      </c>
    </row>
    <row r="209" spans="1:19">
      <c r="A209" s="74">
        <v>208</v>
      </c>
      <c r="B209" s="75" t="str">
        <f>IF($V$4=0,IF($J209="","",$J209),IFERROR(IF([2]入库吨位汇总!$B$208=0,"",[2]入库吨位汇总!$B$208),""))</f>
        <v/>
      </c>
      <c r="C209" s="75" t="str">
        <f>IF($V$4=0,IF($K209="","",$K209),IFERROR(IF([2]入库吨位汇总!$C$208=0,"",[2]入库吨位汇总!$C$208),""))</f>
        <v/>
      </c>
      <c r="D209" s="42" t="str">
        <f>IF($V$4=0,IF($L209="","",$L209),IFERROR(IF([2]入库吨位汇总!$D$208=0,"",[2]入库吨位汇总!$D$208),""))</f>
        <v/>
      </c>
      <c r="E209" s="42" t="str">
        <f>IF($V$4=0,IF($M209="","",$M209),IFERROR(IF([2]入库吨位汇总!$E$208=0,"",[2]入库吨位汇总!$E$208),""))</f>
        <v/>
      </c>
      <c r="F209" s="76" t="str">
        <f>IF($V$4=0,IF($N209="","",$N209),IFERROR(IF([2]入库吨位汇总!$K$208=0,"",[2]入库吨位汇总!$K$208),""))</f>
        <v/>
      </c>
      <c r="G209" s="122" t="str">
        <f>IF($V$4=0,IF($O209="","",$O209),IFERROR(IF([2]入库吨位汇总!$L$208=0,"",[2]入库吨位汇总!$L$208),""))</f>
        <v/>
      </c>
      <c r="H209" s="76" t="str">
        <f>IF($V$4=0,IF($P209="","",$P209),IFERROR(IF([2]入库吨位汇总!$H$208=0,"",[2]入库吨位汇总!$H$208),""))</f>
        <v/>
      </c>
      <c r="I209" s="76" t="str">
        <f>IF($V$4=0,IF($Q209="","",$Q209),IFERROR(IF([2]入库吨位汇总!$I$208=0,"",[2]入库吨位汇总!$I$208),""))</f>
        <v/>
      </c>
      <c r="J209" s="116"/>
      <c r="K209" s="116"/>
      <c r="L209" s="131"/>
      <c r="M209" s="131"/>
      <c r="N209" s="132"/>
      <c r="O209" s="132"/>
      <c r="P209" s="132"/>
      <c r="Q209" s="132"/>
      <c r="R209" s="133">
        <f t="shared" si="6"/>
        <v>0</v>
      </c>
      <c r="S209" s="133">
        <f t="shared" si="7"/>
        <v>17</v>
      </c>
    </row>
    <row r="210" spans="1:19">
      <c r="A210" s="74">
        <v>209</v>
      </c>
      <c r="B210" s="75" t="str">
        <f>IF($V$4=0,IF($J210="","",$J210),IFERROR(IF([2]入库吨位汇总!$B$209=0,"",[2]入库吨位汇总!$B$209),""))</f>
        <v/>
      </c>
      <c r="C210" s="75" t="str">
        <f>IF($V$4=0,IF($K210="","",$K210),IFERROR(IF([2]入库吨位汇总!$C$209=0,"",[2]入库吨位汇总!$C$209),""))</f>
        <v/>
      </c>
      <c r="D210" s="42" t="str">
        <f>IF($V$4=0,IF($L210="","",$L210),IFERROR(IF([2]入库吨位汇总!$D$209=0,"",[2]入库吨位汇总!$D$209),""))</f>
        <v/>
      </c>
      <c r="E210" s="42" t="str">
        <f>IF($V$4=0,IF($M210="","",$M210),IFERROR(IF([2]入库吨位汇总!$E$209=0,"",[2]入库吨位汇总!$E$209),""))</f>
        <v/>
      </c>
      <c r="F210" s="76" t="str">
        <f>IF($V$4=0,IF($N210="","",$N210),IFERROR(IF([2]入库吨位汇总!$K$209=0,"",[2]入库吨位汇总!$K$209),""))</f>
        <v/>
      </c>
      <c r="G210" s="122" t="str">
        <f>IF($V$4=0,IF($O210="","",$O210),IFERROR(IF([2]入库吨位汇总!$L$209=0,"",[2]入库吨位汇总!$L$209),""))</f>
        <v/>
      </c>
      <c r="H210" s="76" t="str">
        <f>IF($V$4=0,IF($P210="","",$P210),IFERROR(IF([2]入库吨位汇总!$H$209=0,"",[2]入库吨位汇总!$H$209),""))</f>
        <v/>
      </c>
      <c r="I210" s="76" t="str">
        <f>IF($V$4=0,IF($Q210="","",$Q210),IFERROR(IF([2]入库吨位汇总!$I$209=0,"",[2]入库吨位汇总!$I$209),""))</f>
        <v/>
      </c>
      <c r="J210" s="116"/>
      <c r="K210" s="116"/>
      <c r="L210" s="131"/>
      <c r="M210" s="131"/>
      <c r="N210" s="132"/>
      <c r="O210" s="132"/>
      <c r="P210" s="132"/>
      <c r="Q210" s="132"/>
      <c r="R210" s="133">
        <f t="shared" si="6"/>
        <v>0</v>
      </c>
      <c r="S210" s="133">
        <f t="shared" si="7"/>
        <v>17</v>
      </c>
    </row>
    <row r="211" spans="1:19">
      <c r="A211" s="74">
        <v>210</v>
      </c>
      <c r="B211" s="75" t="str">
        <f>IF($V$4=0,IF($J211="","",$J211),IFERROR(IF([2]入库吨位汇总!$B$210=0,"",[2]入库吨位汇总!$B$210),""))</f>
        <v/>
      </c>
      <c r="C211" s="75" t="str">
        <f>IF($V$4=0,IF($K211="","",$K211),IFERROR(IF([2]入库吨位汇总!$C$210=0,"",[2]入库吨位汇总!$C$210),""))</f>
        <v/>
      </c>
      <c r="D211" s="42" t="str">
        <f>IF($V$4=0,IF($L211="","",$L211),IFERROR(IF([2]入库吨位汇总!$D$210=0,"",[2]入库吨位汇总!$D$210),""))</f>
        <v/>
      </c>
      <c r="E211" s="42" t="str">
        <f>IF($V$4=0,IF($M211="","",$M211),IFERROR(IF([2]入库吨位汇总!$E$210=0,"",[2]入库吨位汇总!$E$210),""))</f>
        <v/>
      </c>
      <c r="F211" s="76" t="str">
        <f>IF($V$4=0,IF($N211="","",$N211),IFERROR(IF([2]入库吨位汇总!$K$210=0,"",[2]入库吨位汇总!$K$210),""))</f>
        <v/>
      </c>
      <c r="G211" s="122" t="str">
        <f>IF($V$4=0,IF($O211="","",$O211),IFERROR(IF([2]入库吨位汇总!$L$210=0,"",[2]入库吨位汇总!$L$210),""))</f>
        <v/>
      </c>
      <c r="H211" s="76" t="str">
        <f>IF($V$4=0,IF($P211="","",$P211),IFERROR(IF([2]入库吨位汇总!$H$210=0,"",[2]入库吨位汇总!$H$210),""))</f>
        <v/>
      </c>
      <c r="I211" s="76" t="str">
        <f>IF($V$4=0,IF($Q211="","",$Q211),IFERROR(IF([2]入库吨位汇总!$I$210=0,"",[2]入库吨位汇总!$I$210),""))</f>
        <v/>
      </c>
      <c r="J211" s="116"/>
      <c r="K211" s="116"/>
      <c r="L211" s="131"/>
      <c r="M211" s="131"/>
      <c r="N211" s="132"/>
      <c r="O211" s="132"/>
      <c r="P211" s="132"/>
      <c r="Q211" s="132"/>
      <c r="R211" s="133">
        <f t="shared" si="6"/>
        <v>0</v>
      </c>
      <c r="S211" s="133">
        <f t="shared" si="7"/>
        <v>17</v>
      </c>
    </row>
    <row r="212" spans="1:19">
      <c r="A212" s="74">
        <v>211</v>
      </c>
      <c r="B212" s="75" t="str">
        <f>IF($V$4=0,IF($J212="","",$J212),IFERROR(IF([2]入库吨位汇总!$B$211=0,"",[2]入库吨位汇总!$B$211),""))</f>
        <v/>
      </c>
      <c r="C212" s="75" t="str">
        <f>IF($V$4=0,IF($K212="","",$K212),IFERROR(IF([2]入库吨位汇总!$C$211=0,"",[2]入库吨位汇总!$C$211),""))</f>
        <v/>
      </c>
      <c r="D212" s="42" t="str">
        <f>IF($V$4=0,IF($L212="","",$L212),IFERROR(IF([2]入库吨位汇总!$D$211=0,"",[2]入库吨位汇总!$D$211),""))</f>
        <v/>
      </c>
      <c r="E212" s="42" t="str">
        <f>IF($V$4=0,IF($M212="","",$M212),IFERROR(IF([2]入库吨位汇总!$E$211=0,"",[2]入库吨位汇总!$E$211),""))</f>
        <v/>
      </c>
      <c r="F212" s="76" t="str">
        <f>IF($V$4=0,IF($N212="","",$N212),IFERROR(IF([2]入库吨位汇总!$K$211=0,"",[2]入库吨位汇总!$K$211),""))</f>
        <v/>
      </c>
      <c r="G212" s="122" t="str">
        <f>IF($V$4=0,IF($O212="","",$O212),IFERROR(IF([2]入库吨位汇总!$L$211=0,"",[2]入库吨位汇总!$L$211),""))</f>
        <v/>
      </c>
      <c r="H212" s="76" t="str">
        <f>IF($V$4=0,IF($P212="","",$P212),IFERROR(IF([2]入库吨位汇总!$H$211=0,"",[2]入库吨位汇总!$H$211),""))</f>
        <v/>
      </c>
      <c r="I212" s="76" t="str">
        <f>IF($V$4=0,IF($Q212="","",$Q212),IFERROR(IF([2]入库吨位汇总!$I$211=0,"",[2]入库吨位汇总!$I$211),""))</f>
        <v/>
      </c>
      <c r="J212" s="116"/>
      <c r="K212" s="116"/>
      <c r="L212" s="131"/>
      <c r="M212" s="131"/>
      <c r="N212" s="132"/>
      <c r="O212" s="132"/>
      <c r="P212" s="132"/>
      <c r="Q212" s="132"/>
      <c r="R212" s="133">
        <f t="shared" si="6"/>
        <v>0</v>
      </c>
      <c r="S212" s="133">
        <f t="shared" si="7"/>
        <v>17</v>
      </c>
    </row>
    <row r="213" spans="1:19">
      <c r="A213" s="74">
        <v>212</v>
      </c>
      <c r="B213" s="75" t="str">
        <f>IF($V$4=0,IF($J213="","",$J213),IFERROR(IF([2]入库吨位汇总!$B$212=0,"",[2]入库吨位汇总!$B$212),""))</f>
        <v/>
      </c>
      <c r="C213" s="75" t="str">
        <f>IF($V$4=0,IF($K213="","",$K213),IFERROR(IF([2]入库吨位汇总!$C$212=0,"",[2]入库吨位汇总!$C$212),""))</f>
        <v/>
      </c>
      <c r="D213" s="42" t="str">
        <f>IF($V$4=0,IF($L213="","",$L213),IFERROR(IF([2]入库吨位汇总!$D$212=0,"",[2]入库吨位汇总!$D$212),""))</f>
        <v/>
      </c>
      <c r="E213" s="42" t="str">
        <f>IF($V$4=0,IF($M213="","",$M213),IFERROR(IF([2]入库吨位汇总!$E$212=0,"",[2]入库吨位汇总!$E$212),""))</f>
        <v/>
      </c>
      <c r="F213" s="76" t="str">
        <f>IF($V$4=0,IF($N213="","",$N213),IFERROR(IF([2]入库吨位汇总!$K$212=0,"",[2]入库吨位汇总!$K$212),""))</f>
        <v/>
      </c>
      <c r="G213" s="122" t="str">
        <f>IF($V$4=0,IF($O213="","",$O213),IFERROR(IF([2]入库吨位汇总!$L$212=0,"",[2]入库吨位汇总!$L$212),""))</f>
        <v/>
      </c>
      <c r="H213" s="76" t="str">
        <f>IF($V$4=0,IF($P213="","",$P213),IFERROR(IF([2]入库吨位汇总!$H$212=0,"",[2]入库吨位汇总!$H$212),""))</f>
        <v/>
      </c>
      <c r="I213" s="76" t="str">
        <f>IF($V$4=0,IF($Q213="","",$Q213),IFERROR(IF([2]入库吨位汇总!$I$212=0,"",[2]入库吨位汇总!$I$212),""))</f>
        <v/>
      </c>
      <c r="J213" s="116"/>
      <c r="K213" s="116"/>
      <c r="L213" s="131"/>
      <c r="M213" s="131"/>
      <c r="N213" s="132"/>
      <c r="O213" s="132"/>
      <c r="P213" s="132"/>
      <c r="Q213" s="132"/>
      <c r="R213" s="133">
        <f t="shared" si="6"/>
        <v>0</v>
      </c>
      <c r="S213" s="133">
        <f t="shared" si="7"/>
        <v>17</v>
      </c>
    </row>
    <row r="214" spans="1:19">
      <c r="A214" s="74">
        <v>213</v>
      </c>
      <c r="B214" s="75" t="str">
        <f>IF($V$4=0,IF($J214="","",$J214),IFERROR(IF([2]入库吨位汇总!$B$213=0,"",[2]入库吨位汇总!$B$213),""))</f>
        <v/>
      </c>
      <c r="C214" s="75" t="str">
        <f>IF($V$4=0,IF($K214="","",$K214),IFERROR(IF([2]入库吨位汇总!$C$213=0,"",[2]入库吨位汇总!$C$213),""))</f>
        <v/>
      </c>
      <c r="D214" s="42" t="str">
        <f>IF($V$4=0,IF($L214="","",$L214),IFERROR(IF([2]入库吨位汇总!$D$213=0,"",[2]入库吨位汇总!$D$213),""))</f>
        <v/>
      </c>
      <c r="E214" s="42" t="str">
        <f>IF($V$4=0,IF($M214="","",$M214),IFERROR(IF([2]入库吨位汇总!$E$213=0,"",[2]入库吨位汇总!$E$213),""))</f>
        <v/>
      </c>
      <c r="F214" s="76" t="str">
        <f>IF($V$4=0,IF($N214="","",$N214),IFERROR(IF([2]入库吨位汇总!$K$213=0,"",[2]入库吨位汇总!$K$213),""))</f>
        <v/>
      </c>
      <c r="G214" s="122" t="str">
        <f>IF($V$4=0,IF($O214="","",$O214),IFERROR(IF([2]入库吨位汇总!$L$213=0,"",[2]入库吨位汇总!$L$213),""))</f>
        <v/>
      </c>
      <c r="H214" s="76" t="str">
        <f>IF($V$4=0,IF($P214="","",$P214),IFERROR(IF([2]入库吨位汇总!$H$213=0,"",[2]入库吨位汇总!$H$213),""))</f>
        <v/>
      </c>
      <c r="I214" s="76" t="str">
        <f>IF($V$4=0,IF($Q214="","",$Q214),IFERROR(IF([2]入库吨位汇总!$I$213=0,"",[2]入库吨位汇总!$I$213),""))</f>
        <v/>
      </c>
      <c r="J214" s="116"/>
      <c r="K214" s="116"/>
      <c r="L214" s="131"/>
      <c r="M214" s="131"/>
      <c r="N214" s="132"/>
      <c r="O214" s="132"/>
      <c r="P214" s="132"/>
      <c r="Q214" s="132"/>
      <c r="R214" s="133">
        <f t="shared" si="6"/>
        <v>0</v>
      </c>
      <c r="S214" s="133">
        <f t="shared" si="7"/>
        <v>17</v>
      </c>
    </row>
    <row r="215" spans="1:19">
      <c r="A215" s="74">
        <v>214</v>
      </c>
      <c r="B215" s="75" t="str">
        <f>IF($V$4=0,IF($J215="","",$J215),IFERROR(IF([2]入库吨位汇总!$B$214=0,"",[2]入库吨位汇总!$B$214),""))</f>
        <v/>
      </c>
      <c r="C215" s="75" t="str">
        <f>IF($V$4=0,IF($K215="","",$K215),IFERROR(IF([2]入库吨位汇总!$C$214=0,"",[2]入库吨位汇总!$C$214),""))</f>
        <v/>
      </c>
      <c r="D215" s="42" t="str">
        <f>IF($V$4=0,IF($L215="","",$L215),IFERROR(IF([2]入库吨位汇总!$D$214=0,"",[2]入库吨位汇总!$D$214),""))</f>
        <v/>
      </c>
      <c r="E215" s="42" t="str">
        <f>IF($V$4=0,IF($M215="","",$M215),IFERROR(IF([2]入库吨位汇总!$E$214=0,"",[2]入库吨位汇总!$E$214),""))</f>
        <v/>
      </c>
      <c r="F215" s="76" t="str">
        <f>IF($V$4=0,IF($N215="","",$N215),IFERROR(IF([2]入库吨位汇总!$K$214=0,"",[2]入库吨位汇总!$K$214),""))</f>
        <v/>
      </c>
      <c r="G215" s="122" t="str">
        <f>IF($V$4=0,IF($O215="","",$O215),IFERROR(IF([2]入库吨位汇总!$L$214=0,"",[2]入库吨位汇总!$L$214),""))</f>
        <v/>
      </c>
      <c r="H215" s="76" t="str">
        <f>IF($V$4=0,IF($P215="","",$P215),IFERROR(IF([2]入库吨位汇总!$H$214=0,"",[2]入库吨位汇总!$H$214),""))</f>
        <v/>
      </c>
      <c r="I215" s="76" t="str">
        <f>IF($V$4=0,IF($Q215="","",$Q215),IFERROR(IF([2]入库吨位汇总!$I$214=0,"",[2]入库吨位汇总!$I$214),""))</f>
        <v/>
      </c>
      <c r="J215" s="116"/>
      <c r="K215" s="116"/>
      <c r="L215" s="131"/>
      <c r="M215" s="131"/>
      <c r="N215" s="132"/>
      <c r="O215" s="132"/>
      <c r="P215" s="132"/>
      <c r="Q215" s="132"/>
      <c r="R215" s="133">
        <f t="shared" si="6"/>
        <v>0</v>
      </c>
      <c r="S215" s="133">
        <f t="shared" si="7"/>
        <v>17</v>
      </c>
    </row>
    <row r="216" spans="1:19">
      <c r="A216" s="74">
        <v>215</v>
      </c>
      <c r="B216" s="75" t="str">
        <f>IF($V$4=0,IF($J216="","",$J216),IFERROR(IF([2]入库吨位汇总!$B$215=0,"",[2]入库吨位汇总!$B$215),""))</f>
        <v/>
      </c>
      <c r="C216" s="75" t="str">
        <f>IF($V$4=0,IF($K216="","",$K216),IFERROR(IF([2]入库吨位汇总!$C$215=0,"",[2]入库吨位汇总!$C$215),""))</f>
        <v/>
      </c>
      <c r="D216" s="42" t="str">
        <f>IF($V$4=0,IF($L216="","",$L216),IFERROR(IF([2]入库吨位汇总!$D$215=0,"",[2]入库吨位汇总!$D$215),""))</f>
        <v/>
      </c>
      <c r="E216" s="42" t="str">
        <f>IF($V$4=0,IF($M216="","",$M216),IFERROR(IF([2]入库吨位汇总!$E$215=0,"",[2]入库吨位汇总!$E$215),""))</f>
        <v/>
      </c>
      <c r="F216" s="76" t="str">
        <f>IF($V$4=0,IF($N216="","",$N216),IFERROR(IF([2]入库吨位汇总!$K$215=0,"",[2]入库吨位汇总!$K$215),""))</f>
        <v/>
      </c>
      <c r="G216" s="122" t="str">
        <f>IF($V$4=0,IF($O216="","",$O216),IFERROR(IF([2]入库吨位汇总!$L$215=0,"",[2]入库吨位汇总!$L$215),""))</f>
        <v/>
      </c>
      <c r="H216" s="76" t="str">
        <f>IF($V$4=0,IF($P216="","",$P216),IFERROR(IF([2]入库吨位汇总!$H$215=0,"",[2]入库吨位汇总!$H$215),""))</f>
        <v/>
      </c>
      <c r="I216" s="76" t="str">
        <f>IF($V$4=0,IF($Q216="","",$Q216),IFERROR(IF([2]入库吨位汇总!$I$215=0,"",[2]入库吨位汇总!$I$215),""))</f>
        <v/>
      </c>
      <c r="J216" s="116"/>
      <c r="K216" s="116"/>
      <c r="L216" s="131"/>
      <c r="M216" s="131"/>
      <c r="N216" s="132"/>
      <c r="O216" s="132"/>
      <c r="P216" s="132"/>
      <c r="Q216" s="132"/>
      <c r="R216" s="133">
        <f t="shared" si="6"/>
        <v>0</v>
      </c>
      <c r="S216" s="133">
        <f t="shared" si="7"/>
        <v>17</v>
      </c>
    </row>
    <row r="217" spans="1:19">
      <c r="A217" s="74">
        <v>216</v>
      </c>
      <c r="B217" s="75" t="str">
        <f>IF($V$4=0,IF($J217="","",$J217),IFERROR(IF([2]入库吨位汇总!$B$216=0,"",[2]入库吨位汇总!$B$216),""))</f>
        <v/>
      </c>
      <c r="C217" s="75" t="str">
        <f>IF($V$4=0,IF($K217="","",$K217),IFERROR(IF([2]入库吨位汇总!$C$216=0,"",[2]入库吨位汇总!$C$216),""))</f>
        <v/>
      </c>
      <c r="D217" s="42" t="str">
        <f>IF($V$4=0,IF($L217="","",$L217),IFERROR(IF([2]入库吨位汇总!$D$216=0,"",[2]入库吨位汇总!$D$216),""))</f>
        <v/>
      </c>
      <c r="E217" s="42" t="str">
        <f>IF($V$4=0,IF($M217="","",$M217),IFERROR(IF([2]入库吨位汇总!$E$216=0,"",[2]入库吨位汇总!$E$216),""))</f>
        <v/>
      </c>
      <c r="F217" s="76" t="str">
        <f>IF($V$4=0,IF($N217="","",$N217),IFERROR(IF([2]入库吨位汇总!$K$216=0,"",[2]入库吨位汇总!$K$216),""))</f>
        <v/>
      </c>
      <c r="G217" s="122" t="str">
        <f>IF($V$4=0,IF($O217="","",$O217),IFERROR(IF([2]入库吨位汇总!$L$216=0,"",[2]入库吨位汇总!$L$216),""))</f>
        <v/>
      </c>
      <c r="H217" s="76" t="str">
        <f>IF($V$4=0,IF($P217="","",$P217),IFERROR(IF([2]入库吨位汇总!$H$216=0,"",[2]入库吨位汇总!$H$216),""))</f>
        <v/>
      </c>
      <c r="I217" s="76" t="str">
        <f>IF($V$4=0,IF($Q217="","",$Q217),IFERROR(IF([2]入库吨位汇总!$I$216=0,"",[2]入库吨位汇总!$I$216),""))</f>
        <v/>
      </c>
      <c r="J217" s="116"/>
      <c r="K217" s="116"/>
      <c r="L217" s="131"/>
      <c r="M217" s="131"/>
      <c r="N217" s="132"/>
      <c r="O217" s="132"/>
      <c r="P217" s="132"/>
      <c r="Q217" s="132"/>
      <c r="R217" s="133">
        <f t="shared" si="6"/>
        <v>0</v>
      </c>
      <c r="S217" s="133">
        <f t="shared" si="7"/>
        <v>17</v>
      </c>
    </row>
    <row r="218" spans="1:19">
      <c r="A218" s="74">
        <v>217</v>
      </c>
      <c r="B218" s="75" t="str">
        <f>IF($V$4=0,IF($J218="","",$J218),IFERROR(IF([2]入库吨位汇总!$B$217=0,"",[2]入库吨位汇总!$B$217),""))</f>
        <v/>
      </c>
      <c r="C218" s="75" t="str">
        <f>IF($V$4=0,IF($K218="","",$K218),IFERROR(IF([2]入库吨位汇总!$C$217=0,"",[2]入库吨位汇总!$C$217),""))</f>
        <v/>
      </c>
      <c r="D218" s="42" t="str">
        <f>IF($V$4=0,IF($L218="","",$L218),IFERROR(IF([2]入库吨位汇总!$D$217=0,"",[2]入库吨位汇总!$D$217),""))</f>
        <v/>
      </c>
      <c r="E218" s="42" t="str">
        <f>IF($V$4=0,IF($M218="","",$M218),IFERROR(IF([2]入库吨位汇总!$E$217=0,"",[2]入库吨位汇总!$E$217),""))</f>
        <v/>
      </c>
      <c r="F218" s="76" t="str">
        <f>IF($V$4=0,IF($N218="","",$N218),IFERROR(IF([2]入库吨位汇总!$K$217=0,"",[2]入库吨位汇总!$K$217),""))</f>
        <v/>
      </c>
      <c r="G218" s="122" t="str">
        <f>IF($V$4=0,IF($O218="","",$O218),IFERROR(IF([2]入库吨位汇总!$L$217=0,"",[2]入库吨位汇总!$L$217),""))</f>
        <v/>
      </c>
      <c r="H218" s="76" t="str">
        <f>IF($V$4=0,IF($P218="","",$P218),IFERROR(IF([2]入库吨位汇总!$H$217=0,"",[2]入库吨位汇总!$H$217),""))</f>
        <v/>
      </c>
      <c r="I218" s="76" t="str">
        <f>IF($V$4=0,IF($Q218="","",$Q218),IFERROR(IF([2]入库吨位汇总!$I$217=0,"",[2]入库吨位汇总!$I$217),""))</f>
        <v/>
      </c>
      <c r="J218" s="116"/>
      <c r="K218" s="116"/>
      <c r="L218" s="131"/>
      <c r="M218" s="131"/>
      <c r="N218" s="132"/>
      <c r="O218" s="132"/>
      <c r="P218" s="132"/>
      <c r="Q218" s="132"/>
      <c r="R218" s="133">
        <f t="shared" si="6"/>
        <v>0</v>
      </c>
      <c r="S218" s="133">
        <f t="shared" si="7"/>
        <v>17</v>
      </c>
    </row>
    <row r="219" spans="1:19">
      <c r="A219" s="74">
        <v>218</v>
      </c>
      <c r="B219" s="75" t="str">
        <f>IF($V$4=0,IF($J219="","",$J219),IFERROR(IF([2]入库吨位汇总!$B$218=0,"",[2]入库吨位汇总!$B$218),""))</f>
        <v/>
      </c>
      <c r="C219" s="75" t="str">
        <f>IF($V$4=0,IF($K219="","",$K219),IFERROR(IF([2]入库吨位汇总!$C$218=0,"",[2]入库吨位汇总!$C$218),""))</f>
        <v/>
      </c>
      <c r="D219" s="42" t="str">
        <f>IF($V$4=0,IF($L219="","",$L219),IFERROR(IF([2]入库吨位汇总!$D$218=0,"",[2]入库吨位汇总!$D$218),""))</f>
        <v/>
      </c>
      <c r="E219" s="42" t="str">
        <f>IF($V$4=0,IF($M219="","",$M219),IFERROR(IF([2]入库吨位汇总!$E$218=0,"",[2]入库吨位汇总!$E$218),""))</f>
        <v/>
      </c>
      <c r="F219" s="76" t="str">
        <f>IF($V$4=0,IF($N219="","",$N219),IFERROR(IF([2]入库吨位汇总!$K$218=0,"",[2]入库吨位汇总!$K$218),""))</f>
        <v/>
      </c>
      <c r="G219" s="122" t="str">
        <f>IF($V$4=0,IF($O219="","",$O219),IFERROR(IF([2]入库吨位汇总!$L$218=0,"",[2]入库吨位汇总!$L$218),""))</f>
        <v/>
      </c>
      <c r="H219" s="76" t="str">
        <f>IF($V$4=0,IF($P219="","",$P219),IFERROR(IF([2]入库吨位汇总!$H$218=0,"",[2]入库吨位汇总!$H$218),""))</f>
        <v/>
      </c>
      <c r="I219" s="76" t="str">
        <f>IF($V$4=0,IF($Q219="","",$Q219),IFERROR(IF([2]入库吨位汇总!$I$218=0,"",[2]入库吨位汇总!$I$218),""))</f>
        <v/>
      </c>
      <c r="J219" s="116"/>
      <c r="K219" s="116"/>
      <c r="L219" s="131"/>
      <c r="M219" s="131"/>
      <c r="N219" s="132"/>
      <c r="O219" s="132"/>
      <c r="P219" s="132"/>
      <c r="Q219" s="132"/>
      <c r="R219" s="133">
        <f t="shared" si="6"/>
        <v>0</v>
      </c>
      <c r="S219" s="133">
        <f t="shared" si="7"/>
        <v>17</v>
      </c>
    </row>
    <row r="220" spans="1:19">
      <c r="A220" s="74">
        <v>219</v>
      </c>
      <c r="B220" s="75" t="str">
        <f>IF($V$4=0,IF($J220="","",$J220),IFERROR(IF([2]入库吨位汇总!$B$219=0,"",[2]入库吨位汇总!$B$219),""))</f>
        <v/>
      </c>
      <c r="C220" s="75" t="str">
        <f>IF($V$4=0,IF($K220="","",$K220),IFERROR(IF([2]入库吨位汇总!$C$219=0,"",[2]入库吨位汇总!$C$219),""))</f>
        <v/>
      </c>
      <c r="D220" s="42" t="str">
        <f>IF($V$4=0,IF($L220="","",$L220),IFERROR(IF([2]入库吨位汇总!$D$219=0,"",[2]入库吨位汇总!$D$219),""))</f>
        <v/>
      </c>
      <c r="E220" s="42" t="str">
        <f>IF($V$4=0,IF($M220="","",$M220),IFERROR(IF([2]入库吨位汇总!$E$219=0,"",[2]入库吨位汇总!$E$219),""))</f>
        <v/>
      </c>
      <c r="F220" s="76" t="str">
        <f>IF($V$4=0,IF($N220="","",$N220),IFERROR(IF([2]入库吨位汇总!$K$219=0,"",[2]入库吨位汇总!$K$219),""))</f>
        <v/>
      </c>
      <c r="G220" s="122" t="str">
        <f>IF($V$4=0,IF($O220="","",$O220),IFERROR(IF([2]入库吨位汇总!$L$219=0,"",[2]入库吨位汇总!$L$219),""))</f>
        <v/>
      </c>
      <c r="H220" s="76" t="str">
        <f>IF($V$4=0,IF($P220="","",$P220),IFERROR(IF([2]入库吨位汇总!$H$219=0,"",[2]入库吨位汇总!$H$219),""))</f>
        <v/>
      </c>
      <c r="I220" s="76" t="str">
        <f>IF($V$4=0,IF($Q220="","",$Q220),IFERROR(IF([2]入库吨位汇总!$I$219=0,"",[2]入库吨位汇总!$I$219),""))</f>
        <v/>
      </c>
      <c r="J220" s="116"/>
      <c r="K220" s="116"/>
      <c r="L220" s="131"/>
      <c r="M220" s="131"/>
      <c r="N220" s="132"/>
      <c r="O220" s="132"/>
      <c r="P220" s="132"/>
      <c r="Q220" s="132"/>
      <c r="R220" s="133">
        <f t="shared" si="6"/>
        <v>0</v>
      </c>
      <c r="S220" s="133">
        <f t="shared" si="7"/>
        <v>17</v>
      </c>
    </row>
    <row r="221" spans="1:19">
      <c r="A221" s="74">
        <v>220</v>
      </c>
      <c r="B221" s="75" t="str">
        <f>IF($V$4=0,IF($J221="","",$J221),IFERROR(IF([2]入库吨位汇总!$B$220=0,"",[2]入库吨位汇总!$B$220),""))</f>
        <v/>
      </c>
      <c r="C221" s="75" t="str">
        <f>IF($V$4=0,IF($K221="","",$K221),IFERROR(IF([2]入库吨位汇总!$C$220=0,"",[2]入库吨位汇总!$C$220),""))</f>
        <v/>
      </c>
      <c r="D221" s="42" t="str">
        <f>IF($V$4=0,IF($L221="","",$L221),IFERROR(IF([2]入库吨位汇总!$D$220=0,"",[2]入库吨位汇总!$D$220),""))</f>
        <v/>
      </c>
      <c r="E221" s="42" t="str">
        <f>IF($V$4=0,IF($M221="","",$M221),IFERROR(IF([2]入库吨位汇总!$E$220=0,"",[2]入库吨位汇总!$E$220),""))</f>
        <v/>
      </c>
      <c r="F221" s="76" t="str">
        <f>IF($V$4=0,IF($N221="","",$N221),IFERROR(IF([2]入库吨位汇总!$K$220=0,"",[2]入库吨位汇总!$K$220),""))</f>
        <v/>
      </c>
      <c r="G221" s="122" t="str">
        <f>IF($V$4=0,IF($O221="","",$O221),IFERROR(IF([2]入库吨位汇总!$L$220=0,"",[2]入库吨位汇总!$L$220),""))</f>
        <v/>
      </c>
      <c r="H221" s="76" t="str">
        <f>IF($V$4=0,IF($P221="","",$P221),IFERROR(IF([2]入库吨位汇总!$H$220=0,"",[2]入库吨位汇总!$H$220),""))</f>
        <v/>
      </c>
      <c r="I221" s="76" t="str">
        <f>IF($V$4=0,IF($Q221="","",$Q221),IFERROR(IF([2]入库吨位汇总!$I$220=0,"",[2]入库吨位汇总!$I$220),""))</f>
        <v/>
      </c>
      <c r="J221" s="116"/>
      <c r="K221" s="116"/>
      <c r="L221" s="131"/>
      <c r="M221" s="131"/>
      <c r="N221" s="132"/>
      <c r="O221" s="132"/>
      <c r="P221" s="132"/>
      <c r="Q221" s="132"/>
      <c r="R221" s="133">
        <f t="shared" si="6"/>
        <v>0</v>
      </c>
      <c r="S221" s="133">
        <f t="shared" si="7"/>
        <v>17</v>
      </c>
    </row>
    <row r="222" spans="1:19">
      <c r="A222" s="74">
        <v>221</v>
      </c>
      <c r="B222" s="75" t="str">
        <f>IF($V$4=0,IF($J222="","",$J222),IFERROR(IF([2]入库吨位汇总!$B$221=0,"",[2]入库吨位汇总!$B$221),""))</f>
        <v/>
      </c>
      <c r="C222" s="75" t="str">
        <f>IF($V$4=0,IF($K222="","",$K222),IFERROR(IF([2]入库吨位汇总!$C$221=0,"",[2]入库吨位汇总!$C$221),""))</f>
        <v/>
      </c>
      <c r="D222" s="42" t="str">
        <f>IF($V$4=0,IF($L222="","",$L222),IFERROR(IF([2]入库吨位汇总!$D$221=0,"",[2]入库吨位汇总!$D$221),""))</f>
        <v/>
      </c>
      <c r="E222" s="42" t="str">
        <f>IF($V$4=0,IF($M222="","",$M222),IFERROR(IF([2]入库吨位汇总!$E$221=0,"",[2]入库吨位汇总!$E$221),""))</f>
        <v/>
      </c>
      <c r="F222" s="76" t="str">
        <f>IF($V$4=0,IF($N222="","",$N222),IFERROR(IF([2]入库吨位汇总!$K$221=0,"",[2]入库吨位汇总!$K$221),""))</f>
        <v/>
      </c>
      <c r="G222" s="122" t="str">
        <f>IF($V$4=0,IF($O222="","",$O222),IFERROR(IF([2]入库吨位汇总!$L$221=0,"",[2]入库吨位汇总!$L$221),""))</f>
        <v/>
      </c>
      <c r="H222" s="76" t="str">
        <f>IF($V$4=0,IF($P222="","",$P222),IFERROR(IF([2]入库吨位汇总!$H$221=0,"",[2]入库吨位汇总!$H$221),""))</f>
        <v/>
      </c>
      <c r="I222" s="76" t="str">
        <f>IF($V$4=0,IF($Q222="","",$Q222),IFERROR(IF([2]入库吨位汇总!$I$221=0,"",[2]入库吨位汇总!$I$221),""))</f>
        <v/>
      </c>
      <c r="J222" s="116"/>
      <c r="K222" s="116"/>
      <c r="L222" s="131"/>
      <c r="M222" s="131"/>
      <c r="N222" s="132"/>
      <c r="O222" s="132"/>
      <c r="P222" s="132"/>
      <c r="Q222" s="132"/>
      <c r="R222" s="133">
        <f t="shared" si="6"/>
        <v>0</v>
      </c>
      <c r="S222" s="133">
        <f t="shared" si="7"/>
        <v>17</v>
      </c>
    </row>
    <row r="223" spans="1:19">
      <c r="A223" s="74">
        <v>222</v>
      </c>
      <c r="B223" s="75" t="str">
        <f>IF($V$4=0,IF($J223="","",$J223),IFERROR(IF([2]入库吨位汇总!$B$222=0,"",[2]入库吨位汇总!$B$222),""))</f>
        <v/>
      </c>
      <c r="C223" s="75" t="str">
        <f>IF($V$4=0,IF($K223="","",$K223),IFERROR(IF([2]入库吨位汇总!$C$222=0,"",[2]入库吨位汇总!$C$222),""))</f>
        <v/>
      </c>
      <c r="D223" s="42" t="str">
        <f>IF($V$4=0,IF($L223="","",$L223),IFERROR(IF([2]入库吨位汇总!$D$222=0,"",[2]入库吨位汇总!$D$222),""))</f>
        <v/>
      </c>
      <c r="E223" s="42" t="str">
        <f>IF($V$4=0,IF($M223="","",$M223),IFERROR(IF([2]入库吨位汇总!$E$222=0,"",[2]入库吨位汇总!$E$222),""))</f>
        <v/>
      </c>
      <c r="F223" s="76" t="str">
        <f>IF($V$4=0,IF($N223="","",$N223),IFERROR(IF([2]入库吨位汇总!$K$222=0,"",[2]入库吨位汇总!$K$222),""))</f>
        <v/>
      </c>
      <c r="G223" s="122" t="str">
        <f>IF($V$4=0,IF($O223="","",$O223),IFERROR(IF([2]入库吨位汇总!$L$222=0,"",[2]入库吨位汇总!$L$222),""))</f>
        <v/>
      </c>
      <c r="H223" s="76" t="str">
        <f>IF($V$4=0,IF($P223="","",$P223),IFERROR(IF([2]入库吨位汇总!$H$222=0,"",[2]入库吨位汇总!$H$222),""))</f>
        <v/>
      </c>
      <c r="I223" s="76" t="str">
        <f>IF($V$4=0,IF($Q223="","",$Q223),IFERROR(IF([2]入库吨位汇总!$I$222=0,"",[2]入库吨位汇总!$I$222),""))</f>
        <v/>
      </c>
      <c r="J223" s="116"/>
      <c r="K223" s="116"/>
      <c r="L223" s="131"/>
      <c r="M223" s="131"/>
      <c r="N223" s="132"/>
      <c r="O223" s="132"/>
      <c r="P223" s="132"/>
      <c r="Q223" s="132"/>
      <c r="R223" s="133">
        <f t="shared" si="6"/>
        <v>0</v>
      </c>
      <c r="S223" s="133">
        <f t="shared" si="7"/>
        <v>17</v>
      </c>
    </row>
    <row r="224" spans="1:19">
      <c r="A224" s="74">
        <v>223</v>
      </c>
      <c r="B224" s="75" t="str">
        <f>IF($V$4=0,IF($J224="","",$J224),IFERROR(IF([2]入库吨位汇总!$B$223=0,"",[2]入库吨位汇总!$B$223),""))</f>
        <v/>
      </c>
      <c r="C224" s="75" t="str">
        <f>IF($V$4=0,IF($K224="","",$K224),IFERROR(IF([2]入库吨位汇总!$C$223=0,"",[2]入库吨位汇总!$C$223),""))</f>
        <v/>
      </c>
      <c r="D224" s="42" t="str">
        <f>IF($V$4=0,IF($L224="","",$L224),IFERROR(IF([2]入库吨位汇总!$D$223=0,"",[2]入库吨位汇总!$D$223),""))</f>
        <v/>
      </c>
      <c r="E224" s="42" t="str">
        <f>IF($V$4=0,IF($M224="","",$M224),IFERROR(IF([2]入库吨位汇总!$E$223=0,"",[2]入库吨位汇总!$E$223),""))</f>
        <v/>
      </c>
      <c r="F224" s="76" t="str">
        <f>IF($V$4=0,IF($N224="","",$N224),IFERROR(IF([2]入库吨位汇总!$K$223=0,"",[2]入库吨位汇总!$K$223),""))</f>
        <v/>
      </c>
      <c r="G224" s="122" t="str">
        <f>IF($V$4=0,IF($O224="","",$O224),IFERROR(IF([2]入库吨位汇总!$L$223=0,"",[2]入库吨位汇总!$L$223),""))</f>
        <v/>
      </c>
      <c r="H224" s="76" t="str">
        <f>IF($V$4=0,IF($P224="","",$P224),IFERROR(IF([2]入库吨位汇总!$H$223=0,"",[2]入库吨位汇总!$H$223),""))</f>
        <v/>
      </c>
      <c r="I224" s="76" t="str">
        <f>IF($V$4=0,IF($Q224="","",$Q224),IFERROR(IF([2]入库吨位汇总!$I$223=0,"",[2]入库吨位汇总!$I$223),""))</f>
        <v/>
      </c>
      <c r="J224" s="116"/>
      <c r="K224" s="116"/>
      <c r="L224" s="131"/>
      <c r="M224" s="131"/>
      <c r="N224" s="132"/>
      <c r="O224" s="132"/>
      <c r="P224" s="132"/>
      <c r="Q224" s="132"/>
      <c r="R224" s="133">
        <f t="shared" si="6"/>
        <v>0</v>
      </c>
      <c r="S224" s="133">
        <f t="shared" si="7"/>
        <v>17</v>
      </c>
    </row>
    <row r="225" spans="1:19">
      <c r="A225" s="74">
        <v>224</v>
      </c>
      <c r="B225" s="75" t="str">
        <f>IF($V$4=0,IF($J225="","",$J225),IFERROR(IF([2]入库吨位汇总!$B$224=0,"",[2]入库吨位汇总!$B$224),""))</f>
        <v/>
      </c>
      <c r="C225" s="75" t="str">
        <f>IF($V$4=0,IF($K225="","",$K225),IFERROR(IF([2]入库吨位汇总!$C$224=0,"",[2]入库吨位汇总!$C$224),""))</f>
        <v/>
      </c>
      <c r="D225" s="42" t="str">
        <f>IF($V$4=0,IF($L225="","",$L225),IFERROR(IF([2]入库吨位汇总!$D$224=0,"",[2]入库吨位汇总!$D$224),""))</f>
        <v/>
      </c>
      <c r="E225" s="42" t="str">
        <f>IF($V$4=0,IF($M225="","",$M225),IFERROR(IF([2]入库吨位汇总!$E$224=0,"",[2]入库吨位汇总!$E$224),""))</f>
        <v/>
      </c>
      <c r="F225" s="76" t="str">
        <f>IF($V$4=0,IF($N225="","",$N225),IFERROR(IF([2]入库吨位汇总!$K$224=0,"",[2]入库吨位汇总!$K$224),""))</f>
        <v/>
      </c>
      <c r="G225" s="122" t="str">
        <f>IF($V$4=0,IF($O225="","",$O225),IFERROR(IF([2]入库吨位汇总!$L$224=0,"",[2]入库吨位汇总!$L$224),""))</f>
        <v/>
      </c>
      <c r="H225" s="76" t="str">
        <f>IF($V$4=0,IF($P225="","",$P225),IFERROR(IF([2]入库吨位汇总!$H$224=0,"",[2]入库吨位汇总!$H$224),""))</f>
        <v/>
      </c>
      <c r="I225" s="76" t="str">
        <f>IF($V$4=0,IF($Q225="","",$Q225),IFERROR(IF([2]入库吨位汇总!$I$224=0,"",[2]入库吨位汇总!$I$224),""))</f>
        <v/>
      </c>
      <c r="J225" s="116"/>
      <c r="K225" s="116"/>
      <c r="L225" s="131"/>
      <c r="M225" s="131"/>
      <c r="N225" s="132"/>
      <c r="O225" s="132"/>
      <c r="P225" s="132"/>
      <c r="Q225" s="132"/>
      <c r="R225" s="133">
        <f t="shared" si="6"/>
        <v>0</v>
      </c>
      <c r="S225" s="133">
        <f t="shared" si="7"/>
        <v>17</v>
      </c>
    </row>
    <row r="226" spans="1:19">
      <c r="A226" s="74">
        <v>225</v>
      </c>
      <c r="B226" s="75" t="str">
        <f>IF($V$4=0,IF($J226="","",$J226),IFERROR(IF([2]入库吨位汇总!$B$225=0,"",[2]入库吨位汇总!$B$225),""))</f>
        <v/>
      </c>
      <c r="C226" s="75" t="str">
        <f>IF($V$4=0,IF($K226="","",$K226),IFERROR(IF([2]入库吨位汇总!$C$225=0,"",[2]入库吨位汇总!$C$225),""))</f>
        <v/>
      </c>
      <c r="D226" s="42" t="str">
        <f>IF($V$4=0,IF($L226="","",$L226),IFERROR(IF([2]入库吨位汇总!$D$225=0,"",[2]入库吨位汇总!$D$225),""))</f>
        <v/>
      </c>
      <c r="E226" s="42" t="str">
        <f>IF($V$4=0,IF($M226="","",$M226),IFERROR(IF([2]入库吨位汇总!$E$225=0,"",[2]入库吨位汇总!$E$225),""))</f>
        <v/>
      </c>
      <c r="F226" s="76" t="str">
        <f>IF($V$4=0,IF($N226="","",$N226),IFERROR(IF([2]入库吨位汇总!$K$225=0,"",[2]入库吨位汇总!$K$225),""))</f>
        <v/>
      </c>
      <c r="G226" s="122" t="str">
        <f>IF($V$4=0,IF($O226="","",$O226),IFERROR(IF([2]入库吨位汇总!$L$225=0,"",[2]入库吨位汇总!$L$225),""))</f>
        <v/>
      </c>
      <c r="H226" s="76" t="str">
        <f>IF($V$4=0,IF($P226="","",$P226),IFERROR(IF([2]入库吨位汇总!$H$225=0,"",[2]入库吨位汇总!$H$225),""))</f>
        <v/>
      </c>
      <c r="I226" s="76" t="str">
        <f>IF($V$4=0,IF($Q226="","",$Q226),IFERROR(IF([2]入库吨位汇总!$I$225=0,"",[2]入库吨位汇总!$I$225),""))</f>
        <v/>
      </c>
      <c r="J226" s="116"/>
      <c r="K226" s="116"/>
      <c r="L226" s="131"/>
      <c r="M226" s="131"/>
      <c r="N226" s="132"/>
      <c r="O226" s="132"/>
      <c r="P226" s="132"/>
      <c r="Q226" s="132"/>
      <c r="R226" s="133">
        <f t="shared" si="6"/>
        <v>0</v>
      </c>
      <c r="S226" s="133">
        <f t="shared" si="7"/>
        <v>17</v>
      </c>
    </row>
    <row r="227" spans="1:19">
      <c r="A227" s="74">
        <v>226</v>
      </c>
      <c r="B227" s="75" t="str">
        <f>IF($V$4=0,IF($J227="","",$J227),IFERROR(IF([2]入库吨位汇总!$B$226=0,"",[2]入库吨位汇总!$B$226),""))</f>
        <v/>
      </c>
      <c r="C227" s="75" t="str">
        <f>IF($V$4=0,IF($K227="","",$K227),IFERROR(IF([2]入库吨位汇总!$C$226=0,"",[2]入库吨位汇总!$C$226),""))</f>
        <v/>
      </c>
      <c r="D227" s="42" t="str">
        <f>IF($V$4=0,IF($L227="","",$L227),IFERROR(IF([2]入库吨位汇总!$D$226=0,"",[2]入库吨位汇总!$D$226),""))</f>
        <v/>
      </c>
      <c r="E227" s="42" t="str">
        <f>IF($V$4=0,IF($M227="","",$M227),IFERROR(IF([2]入库吨位汇总!$E$226=0,"",[2]入库吨位汇总!$E$226),""))</f>
        <v/>
      </c>
      <c r="F227" s="76" t="str">
        <f>IF($V$4=0,IF($N227="","",$N227),IFERROR(IF([2]入库吨位汇总!$K$226=0,"",[2]入库吨位汇总!$K$226),""))</f>
        <v/>
      </c>
      <c r="G227" s="122" t="str">
        <f>IF($V$4=0,IF($O227="","",$O227),IFERROR(IF([2]入库吨位汇总!$L$226=0,"",[2]入库吨位汇总!$L$226),""))</f>
        <v/>
      </c>
      <c r="H227" s="76" t="str">
        <f>IF($V$4=0,IF($P227="","",$P227),IFERROR(IF([2]入库吨位汇总!$H$226=0,"",[2]入库吨位汇总!$H$226),""))</f>
        <v/>
      </c>
      <c r="I227" s="76" t="str">
        <f>IF($V$4=0,IF($Q227="","",$Q227),IFERROR(IF([2]入库吨位汇总!$I$226=0,"",[2]入库吨位汇总!$I$226),""))</f>
        <v/>
      </c>
      <c r="J227" s="116"/>
      <c r="K227" s="116"/>
      <c r="L227" s="131"/>
      <c r="M227" s="131"/>
      <c r="N227" s="132"/>
      <c r="O227" s="132"/>
      <c r="P227" s="132"/>
      <c r="Q227" s="132"/>
      <c r="R227" s="133">
        <f t="shared" si="6"/>
        <v>0</v>
      </c>
      <c r="S227" s="133">
        <f t="shared" si="7"/>
        <v>17</v>
      </c>
    </row>
    <row r="228" spans="1:19">
      <c r="A228" s="74">
        <v>227</v>
      </c>
      <c r="B228" s="75" t="str">
        <f>IF($V$4=0,IF($J228="","",$J228),IFERROR(IF([2]入库吨位汇总!$B$227=0,"",[2]入库吨位汇总!$B$227),""))</f>
        <v/>
      </c>
      <c r="C228" s="75" t="str">
        <f>IF($V$4=0,IF($K228="","",$K228),IFERROR(IF([2]入库吨位汇总!$C$227=0,"",[2]入库吨位汇总!$C$227),""))</f>
        <v/>
      </c>
      <c r="D228" s="42" t="str">
        <f>IF($V$4=0,IF($L228="","",$L228),IFERROR(IF([2]入库吨位汇总!$D$227=0,"",[2]入库吨位汇总!$D$227),""))</f>
        <v/>
      </c>
      <c r="E228" s="42" t="str">
        <f>IF($V$4=0,IF($M228="","",$M228),IFERROR(IF([2]入库吨位汇总!$E$227=0,"",[2]入库吨位汇总!$E$227),""))</f>
        <v/>
      </c>
      <c r="F228" s="76" t="str">
        <f>IF($V$4=0,IF($N228="","",$N228),IFERROR(IF([2]入库吨位汇总!$K$227=0,"",[2]入库吨位汇总!$K$227),""))</f>
        <v/>
      </c>
      <c r="G228" s="122" t="str">
        <f>IF($V$4=0,IF($O228="","",$O228),IFERROR(IF([2]入库吨位汇总!$L$227=0,"",[2]入库吨位汇总!$L$227),""))</f>
        <v/>
      </c>
      <c r="H228" s="76" t="str">
        <f>IF($V$4=0,IF($P228="","",$P228),IFERROR(IF([2]入库吨位汇总!$H$227=0,"",[2]入库吨位汇总!$H$227),""))</f>
        <v/>
      </c>
      <c r="I228" s="76" t="str">
        <f>IF($V$4=0,IF($Q228="","",$Q228),IFERROR(IF([2]入库吨位汇总!$I$227=0,"",[2]入库吨位汇总!$I$227),""))</f>
        <v/>
      </c>
      <c r="J228" s="116"/>
      <c r="K228" s="116"/>
      <c r="L228" s="131"/>
      <c r="M228" s="131"/>
      <c r="N228" s="132"/>
      <c r="O228" s="132"/>
      <c r="P228" s="132"/>
      <c r="Q228" s="132"/>
      <c r="R228" s="133">
        <f t="shared" si="6"/>
        <v>0</v>
      </c>
      <c r="S228" s="133">
        <f t="shared" si="7"/>
        <v>17</v>
      </c>
    </row>
    <row r="229" spans="1:19">
      <c r="A229" s="74">
        <v>228</v>
      </c>
      <c r="B229" s="75" t="str">
        <f>IF($V$4=0,IF($J229="","",$J229),IFERROR(IF([2]入库吨位汇总!$B$228=0,"",[2]入库吨位汇总!$B$228),""))</f>
        <v/>
      </c>
      <c r="C229" s="75" t="str">
        <f>IF($V$4=0,IF($K229="","",$K229),IFERROR(IF([2]入库吨位汇总!$C$228=0,"",[2]入库吨位汇总!$C$228),""))</f>
        <v/>
      </c>
      <c r="D229" s="42" t="str">
        <f>IF($V$4=0,IF($L229="","",$L229),IFERROR(IF([2]入库吨位汇总!$D$228=0,"",[2]入库吨位汇总!$D$228),""))</f>
        <v/>
      </c>
      <c r="E229" s="42" t="str">
        <f>IF($V$4=0,IF($M229="","",$M229),IFERROR(IF([2]入库吨位汇总!$E$228=0,"",[2]入库吨位汇总!$E$228),""))</f>
        <v/>
      </c>
      <c r="F229" s="76" t="str">
        <f>IF($V$4=0,IF($N229="","",$N229),IFERROR(IF([2]入库吨位汇总!$K$228=0,"",[2]入库吨位汇总!$K$228),""))</f>
        <v/>
      </c>
      <c r="G229" s="122" t="str">
        <f>IF($V$4=0,IF($O229="","",$O229),IFERROR(IF([2]入库吨位汇总!$L$228=0,"",[2]入库吨位汇总!$L$228),""))</f>
        <v/>
      </c>
      <c r="H229" s="76" t="str">
        <f>IF($V$4=0,IF($P229="","",$P229),IFERROR(IF([2]入库吨位汇总!$H$228=0,"",[2]入库吨位汇总!$H$228),""))</f>
        <v/>
      </c>
      <c r="I229" s="76" t="str">
        <f>IF($V$4=0,IF($Q229="","",$Q229),IFERROR(IF([2]入库吨位汇总!$I$228=0,"",[2]入库吨位汇总!$I$228),""))</f>
        <v/>
      </c>
      <c r="J229" s="116"/>
      <c r="K229" s="116"/>
      <c r="L229" s="131"/>
      <c r="M229" s="131"/>
      <c r="N229" s="132"/>
      <c r="O229" s="132"/>
      <c r="P229" s="132"/>
      <c r="Q229" s="132"/>
      <c r="R229" s="133">
        <f t="shared" si="6"/>
        <v>0</v>
      </c>
      <c r="S229" s="133">
        <f t="shared" si="7"/>
        <v>17</v>
      </c>
    </row>
    <row r="230" spans="1:19">
      <c r="A230" s="74">
        <v>229</v>
      </c>
      <c r="B230" s="75" t="str">
        <f>IF($V$4=0,IF($J230="","",$J230),IFERROR(IF([2]入库吨位汇总!$B$229=0,"",[2]入库吨位汇总!$B$229),""))</f>
        <v/>
      </c>
      <c r="C230" s="75" t="str">
        <f>IF($V$4=0,IF($K230="","",$K230),IFERROR(IF([2]入库吨位汇总!$C$229=0,"",[2]入库吨位汇总!$C$229),""))</f>
        <v/>
      </c>
      <c r="D230" s="42" t="str">
        <f>IF($V$4=0,IF($L230="","",$L230),IFERROR(IF([2]入库吨位汇总!$D$229=0,"",[2]入库吨位汇总!$D$229),""))</f>
        <v/>
      </c>
      <c r="E230" s="42" t="str">
        <f>IF($V$4=0,IF($M230="","",$M230),IFERROR(IF([2]入库吨位汇总!$E$229=0,"",[2]入库吨位汇总!$E$229),""))</f>
        <v/>
      </c>
      <c r="F230" s="76" t="str">
        <f>IF($V$4=0,IF($N230="","",$N230),IFERROR(IF([2]入库吨位汇总!$K$229=0,"",[2]入库吨位汇总!$K$229),""))</f>
        <v/>
      </c>
      <c r="G230" s="122" t="str">
        <f>IF($V$4=0,IF($O230="","",$O230),IFERROR(IF([2]入库吨位汇总!$L$229=0,"",[2]入库吨位汇总!$L$229),""))</f>
        <v/>
      </c>
      <c r="H230" s="76" t="str">
        <f>IF($V$4=0,IF($P230="","",$P230),IFERROR(IF([2]入库吨位汇总!$H$229=0,"",[2]入库吨位汇总!$H$229),""))</f>
        <v/>
      </c>
      <c r="I230" s="76" t="str">
        <f>IF($V$4=0,IF($Q230="","",$Q230),IFERROR(IF([2]入库吨位汇总!$I$229=0,"",[2]入库吨位汇总!$I$229),""))</f>
        <v/>
      </c>
      <c r="J230" s="116"/>
      <c r="K230" s="116"/>
      <c r="L230" s="131"/>
      <c r="M230" s="131"/>
      <c r="N230" s="132"/>
      <c r="O230" s="132"/>
      <c r="P230" s="132"/>
      <c r="Q230" s="132"/>
      <c r="R230" s="133">
        <f t="shared" si="6"/>
        <v>0</v>
      </c>
      <c r="S230" s="133">
        <f t="shared" si="7"/>
        <v>17</v>
      </c>
    </row>
    <row r="231" spans="1:19">
      <c r="A231" s="74">
        <v>230</v>
      </c>
      <c r="B231" s="75" t="str">
        <f>IF($V$4=0,IF($J231="","",$J231),IFERROR(IF([2]入库吨位汇总!$B$230=0,"",[2]入库吨位汇总!$B$230),""))</f>
        <v/>
      </c>
      <c r="C231" s="75" t="str">
        <f>IF($V$4=0,IF($K231="","",$K231),IFERROR(IF([2]入库吨位汇总!$C$230=0,"",[2]入库吨位汇总!$C$230),""))</f>
        <v/>
      </c>
      <c r="D231" s="42" t="str">
        <f>IF($V$4=0,IF($L231="","",$L231),IFERROR(IF([2]入库吨位汇总!$D$230=0,"",[2]入库吨位汇总!$D$230),""))</f>
        <v/>
      </c>
      <c r="E231" s="42" t="str">
        <f>IF($V$4=0,IF($M231="","",$M231),IFERROR(IF([2]入库吨位汇总!$E$230=0,"",[2]入库吨位汇总!$E$230),""))</f>
        <v/>
      </c>
      <c r="F231" s="76" t="str">
        <f>IF($V$4=0,IF($N231="","",$N231),IFERROR(IF([2]入库吨位汇总!$K$230=0,"",[2]入库吨位汇总!$K$230),""))</f>
        <v/>
      </c>
      <c r="G231" s="122" t="str">
        <f>IF($V$4=0,IF($O231="","",$O231),IFERROR(IF([2]入库吨位汇总!$L$230=0,"",[2]入库吨位汇总!$L$230),""))</f>
        <v/>
      </c>
      <c r="H231" s="76" t="str">
        <f>IF($V$4=0,IF($P231="","",$P231),IFERROR(IF([2]入库吨位汇总!$H$230=0,"",[2]入库吨位汇总!$H$230),""))</f>
        <v/>
      </c>
      <c r="I231" s="76" t="str">
        <f>IF($V$4=0,IF($Q231="","",$Q231),IFERROR(IF([2]入库吨位汇总!$I$230=0,"",[2]入库吨位汇总!$I$230),""))</f>
        <v/>
      </c>
      <c r="J231" s="116"/>
      <c r="K231" s="116"/>
      <c r="L231" s="131"/>
      <c r="M231" s="131"/>
      <c r="N231" s="132"/>
      <c r="O231" s="132"/>
      <c r="P231" s="132"/>
      <c r="Q231" s="132"/>
      <c r="R231" s="133">
        <f t="shared" si="6"/>
        <v>0</v>
      </c>
      <c r="S231" s="133">
        <f t="shared" si="7"/>
        <v>17</v>
      </c>
    </row>
    <row r="232" spans="1:19">
      <c r="A232" s="74">
        <v>231</v>
      </c>
      <c r="B232" s="75" t="str">
        <f>IF($V$4=0,IF($J232="","",$J232),IFERROR(IF([2]入库吨位汇总!$B$231=0,"",[2]入库吨位汇总!$B$231),""))</f>
        <v/>
      </c>
      <c r="C232" s="75" t="str">
        <f>IF($V$4=0,IF($K232="","",$K232),IFERROR(IF([2]入库吨位汇总!$C$231=0,"",[2]入库吨位汇总!$C$231),""))</f>
        <v/>
      </c>
      <c r="D232" s="42" t="str">
        <f>IF($V$4=0,IF($L232="","",$L232),IFERROR(IF([2]入库吨位汇总!$D$231=0,"",[2]入库吨位汇总!$D$231),""))</f>
        <v/>
      </c>
      <c r="E232" s="42" t="str">
        <f>IF($V$4=0,IF($M232="","",$M232),IFERROR(IF([2]入库吨位汇总!$E$231=0,"",[2]入库吨位汇总!$E$231),""))</f>
        <v/>
      </c>
      <c r="F232" s="76" t="str">
        <f>IF($V$4=0,IF($N232="","",$N232),IFERROR(IF([2]入库吨位汇总!$K$231=0,"",[2]入库吨位汇总!$K$231),""))</f>
        <v/>
      </c>
      <c r="G232" s="122" t="str">
        <f>IF($V$4=0,IF($O232="","",$O232),IFERROR(IF([2]入库吨位汇总!$L$231=0,"",[2]入库吨位汇总!$L$231),""))</f>
        <v/>
      </c>
      <c r="H232" s="76" t="str">
        <f>IF($V$4=0,IF($P232="","",$P232),IFERROR(IF([2]入库吨位汇总!$H$231=0,"",[2]入库吨位汇总!$H$231),""))</f>
        <v/>
      </c>
      <c r="I232" s="76" t="str">
        <f>IF($V$4=0,IF($Q232="","",$Q232),IFERROR(IF([2]入库吨位汇总!$I$231=0,"",[2]入库吨位汇总!$I$231),""))</f>
        <v/>
      </c>
      <c r="J232" s="116"/>
      <c r="K232" s="116"/>
      <c r="L232" s="131"/>
      <c r="M232" s="131"/>
      <c r="N232" s="132"/>
      <c r="O232" s="132"/>
      <c r="P232" s="132"/>
      <c r="Q232" s="132"/>
      <c r="R232" s="133">
        <f t="shared" si="6"/>
        <v>0</v>
      </c>
      <c r="S232" s="133">
        <f t="shared" si="7"/>
        <v>17</v>
      </c>
    </row>
    <row r="233" spans="1:19">
      <c r="A233" s="74">
        <v>232</v>
      </c>
      <c r="B233" s="75" t="str">
        <f>IF($V$4=0,IF($J233="","",$J233),IFERROR(IF([2]入库吨位汇总!$B$232=0,"",[2]入库吨位汇总!$B$232),""))</f>
        <v/>
      </c>
      <c r="C233" s="75" t="str">
        <f>IF($V$4=0,IF($K233="","",$K233),IFERROR(IF([2]入库吨位汇总!$C$232=0,"",[2]入库吨位汇总!$C$232),""))</f>
        <v/>
      </c>
      <c r="D233" s="42" t="str">
        <f>IF($V$4=0,IF($L233="","",$L233),IFERROR(IF([2]入库吨位汇总!$D$232=0,"",[2]入库吨位汇总!$D$232),""))</f>
        <v/>
      </c>
      <c r="E233" s="42" t="str">
        <f>IF($V$4=0,IF($M233="","",$M233),IFERROR(IF([2]入库吨位汇总!$E$232=0,"",[2]入库吨位汇总!$E$232),""))</f>
        <v/>
      </c>
      <c r="F233" s="76" t="str">
        <f>IF($V$4=0,IF($N233="","",$N233),IFERROR(IF([2]入库吨位汇总!$K$232=0,"",[2]入库吨位汇总!$K$232),""))</f>
        <v/>
      </c>
      <c r="G233" s="122" t="str">
        <f>IF($V$4=0,IF($O233="","",$O233),IFERROR(IF([2]入库吨位汇总!$L$232=0,"",[2]入库吨位汇总!$L$232),""))</f>
        <v/>
      </c>
      <c r="H233" s="76" t="str">
        <f>IF($V$4=0,IF($P233="","",$P233),IFERROR(IF([2]入库吨位汇总!$H$232=0,"",[2]入库吨位汇总!$H$232),""))</f>
        <v/>
      </c>
      <c r="I233" s="76" t="str">
        <f>IF($V$4=0,IF($Q233="","",$Q233),IFERROR(IF([2]入库吨位汇总!$I$232=0,"",[2]入库吨位汇总!$I$232),""))</f>
        <v/>
      </c>
      <c r="J233" s="116"/>
      <c r="K233" s="116"/>
      <c r="L233" s="131"/>
      <c r="M233" s="131"/>
      <c r="N233" s="132"/>
      <c r="O233" s="132"/>
      <c r="P233" s="132"/>
      <c r="Q233" s="132"/>
      <c r="R233" s="133">
        <f t="shared" si="6"/>
        <v>0</v>
      </c>
      <c r="S233" s="133">
        <f t="shared" si="7"/>
        <v>17</v>
      </c>
    </row>
    <row r="234" spans="1:19">
      <c r="A234" s="74">
        <v>233</v>
      </c>
      <c r="B234" s="75" t="str">
        <f>IF($V$4=0,IF($J234="","",$J234),IFERROR(IF([2]入库吨位汇总!$B$233=0,"",[2]入库吨位汇总!$B$233),""))</f>
        <v/>
      </c>
      <c r="C234" s="75" t="str">
        <f>IF($V$4=0,IF($K234="","",$K234),IFERROR(IF([2]入库吨位汇总!$C$233=0,"",[2]入库吨位汇总!$C$233),""))</f>
        <v/>
      </c>
      <c r="D234" s="42" t="str">
        <f>IF($V$4=0,IF($L234="","",$L234),IFERROR(IF([2]入库吨位汇总!$D$233=0,"",[2]入库吨位汇总!$D$233),""))</f>
        <v/>
      </c>
      <c r="E234" s="42" t="str">
        <f>IF($V$4=0,IF($M234="","",$M234),IFERROR(IF([2]入库吨位汇总!$E$233=0,"",[2]入库吨位汇总!$E$233),""))</f>
        <v/>
      </c>
      <c r="F234" s="76" t="str">
        <f>IF($V$4=0,IF($N234="","",$N234),IFERROR(IF([2]入库吨位汇总!$K$233=0,"",[2]入库吨位汇总!$K$233),""))</f>
        <v/>
      </c>
      <c r="G234" s="122" t="str">
        <f>IF($V$4=0,IF($O234="","",$O234),IFERROR(IF([2]入库吨位汇总!$L$233=0,"",[2]入库吨位汇总!$L$233),""))</f>
        <v/>
      </c>
      <c r="H234" s="76" t="str">
        <f>IF($V$4=0,IF($P234="","",$P234),IFERROR(IF([2]入库吨位汇总!$H$233=0,"",[2]入库吨位汇总!$H$233),""))</f>
        <v/>
      </c>
      <c r="I234" s="76" t="str">
        <f>IF($V$4=0,IF($Q234="","",$Q234),IFERROR(IF([2]入库吨位汇总!$I$233=0,"",[2]入库吨位汇总!$I$233),""))</f>
        <v/>
      </c>
      <c r="J234" s="116"/>
      <c r="K234" s="116"/>
      <c r="L234" s="131"/>
      <c r="M234" s="131"/>
      <c r="N234" s="132"/>
      <c r="O234" s="132"/>
      <c r="P234" s="132"/>
      <c r="Q234" s="132"/>
      <c r="R234" s="133">
        <f t="shared" si="6"/>
        <v>0</v>
      </c>
      <c r="S234" s="133">
        <f t="shared" si="7"/>
        <v>17</v>
      </c>
    </row>
    <row r="235" spans="1:19">
      <c r="A235" s="74">
        <v>234</v>
      </c>
      <c r="B235" s="75" t="str">
        <f>IF($V$4=0,IF($J235="","",$J235),IFERROR(IF([2]入库吨位汇总!$B$234=0,"",[2]入库吨位汇总!$B$234),""))</f>
        <v/>
      </c>
      <c r="C235" s="75" t="str">
        <f>IF($V$4=0,IF($K235="","",$K235),IFERROR(IF([2]入库吨位汇总!$C$234=0,"",[2]入库吨位汇总!$C$234),""))</f>
        <v/>
      </c>
      <c r="D235" s="42" t="str">
        <f>IF($V$4=0,IF($L235="","",$L235),IFERROR(IF([2]入库吨位汇总!$D$234=0,"",[2]入库吨位汇总!$D$234),""))</f>
        <v/>
      </c>
      <c r="E235" s="42" t="str">
        <f>IF($V$4=0,IF($M235="","",$M235),IFERROR(IF([2]入库吨位汇总!$E$234=0,"",[2]入库吨位汇总!$E$234),""))</f>
        <v/>
      </c>
      <c r="F235" s="76" t="str">
        <f>IF($V$4=0,IF($N235="","",$N235),IFERROR(IF([2]入库吨位汇总!$K$234=0,"",[2]入库吨位汇总!$K$234),""))</f>
        <v/>
      </c>
      <c r="G235" s="122" t="str">
        <f>IF($V$4=0,IF($O235="","",$O235),IFERROR(IF([2]入库吨位汇总!$L$234=0,"",[2]入库吨位汇总!$L$234),""))</f>
        <v/>
      </c>
      <c r="H235" s="76" t="str">
        <f>IF($V$4=0,IF($P235="","",$P235),IFERROR(IF([2]入库吨位汇总!$H$234=0,"",[2]入库吨位汇总!$H$234),""))</f>
        <v/>
      </c>
      <c r="I235" s="76" t="str">
        <f>IF($V$4=0,IF($Q235="","",$Q235),IFERROR(IF([2]入库吨位汇总!$I$234=0,"",[2]入库吨位汇总!$I$234),""))</f>
        <v/>
      </c>
      <c r="J235" s="116"/>
      <c r="K235" s="116"/>
      <c r="L235" s="131"/>
      <c r="M235" s="131"/>
      <c r="N235" s="132"/>
      <c r="O235" s="132"/>
      <c r="P235" s="132"/>
      <c r="Q235" s="132"/>
      <c r="R235" s="133">
        <f t="shared" si="6"/>
        <v>0</v>
      </c>
      <c r="S235" s="133">
        <f t="shared" si="7"/>
        <v>17</v>
      </c>
    </row>
    <row r="236" spans="1:19">
      <c r="A236" s="74">
        <v>235</v>
      </c>
      <c r="B236" s="75" t="str">
        <f>IF($V$4=0,IF($J236="","",$J236),IFERROR(IF([2]入库吨位汇总!$B$235=0,"",[2]入库吨位汇总!$B$235),""))</f>
        <v/>
      </c>
      <c r="C236" s="75" t="str">
        <f>IF($V$4=0,IF($K236="","",$K236),IFERROR(IF([2]入库吨位汇总!$C$235=0,"",[2]入库吨位汇总!$C$235),""))</f>
        <v/>
      </c>
      <c r="D236" s="42" t="str">
        <f>IF($V$4=0,IF($L236="","",$L236),IFERROR(IF([2]入库吨位汇总!$D$235=0,"",[2]入库吨位汇总!$D$235),""))</f>
        <v/>
      </c>
      <c r="E236" s="42" t="str">
        <f>IF($V$4=0,IF($M236="","",$M236),IFERROR(IF([2]入库吨位汇总!$E$235=0,"",[2]入库吨位汇总!$E$235),""))</f>
        <v/>
      </c>
      <c r="F236" s="76" t="str">
        <f>IF($V$4=0,IF($N236="","",$N236),IFERROR(IF([2]入库吨位汇总!$K$235=0,"",[2]入库吨位汇总!$K$235),""))</f>
        <v/>
      </c>
      <c r="G236" s="122" t="str">
        <f>IF($V$4=0,IF($O236="","",$O236),IFERROR(IF([2]入库吨位汇总!$L$235=0,"",[2]入库吨位汇总!$L$235),""))</f>
        <v/>
      </c>
      <c r="H236" s="76" t="str">
        <f>IF($V$4=0,IF($P236="","",$P236),IFERROR(IF([2]入库吨位汇总!$H$235=0,"",[2]入库吨位汇总!$H$235),""))</f>
        <v/>
      </c>
      <c r="I236" s="76" t="str">
        <f>IF($V$4=0,IF($Q236="","",$Q236),IFERROR(IF([2]入库吨位汇总!$I$235=0,"",[2]入库吨位汇总!$I$235),""))</f>
        <v/>
      </c>
      <c r="J236" s="116"/>
      <c r="K236" s="116"/>
      <c r="L236" s="131"/>
      <c r="M236" s="131"/>
      <c r="N236" s="132"/>
      <c r="O236" s="132"/>
      <c r="P236" s="132"/>
      <c r="Q236" s="132"/>
      <c r="R236" s="133">
        <f t="shared" si="6"/>
        <v>0</v>
      </c>
      <c r="S236" s="133">
        <f t="shared" si="7"/>
        <v>17</v>
      </c>
    </row>
    <row r="237" spans="1:19">
      <c r="A237" s="74">
        <v>236</v>
      </c>
      <c r="B237" s="75" t="str">
        <f>IF($V$4=0,IF($J237="","",$J237),IFERROR(IF([2]入库吨位汇总!$B$236=0,"",[2]入库吨位汇总!$B$236),""))</f>
        <v/>
      </c>
      <c r="C237" s="75" t="str">
        <f>IF($V$4=0,IF($K237="","",$K237),IFERROR(IF([2]入库吨位汇总!$C$236=0,"",[2]入库吨位汇总!$C$236),""))</f>
        <v/>
      </c>
      <c r="D237" s="42" t="str">
        <f>IF($V$4=0,IF($L237="","",$L237),IFERROR(IF([2]入库吨位汇总!$D$236=0,"",[2]入库吨位汇总!$D$236),""))</f>
        <v/>
      </c>
      <c r="E237" s="42" t="str">
        <f>IF($V$4=0,IF($M237="","",$M237),IFERROR(IF([2]入库吨位汇总!$E$236=0,"",[2]入库吨位汇总!$E$236),""))</f>
        <v/>
      </c>
      <c r="F237" s="76" t="str">
        <f>IF($V$4=0,IF($N237="","",$N237),IFERROR(IF([2]入库吨位汇总!$K$236=0,"",[2]入库吨位汇总!$K$236),""))</f>
        <v/>
      </c>
      <c r="G237" s="122" t="str">
        <f>IF($V$4=0,IF($O237="","",$O237),IFERROR(IF([2]入库吨位汇总!$L$236=0,"",[2]入库吨位汇总!$L$236),""))</f>
        <v/>
      </c>
      <c r="H237" s="76" t="str">
        <f>IF($V$4=0,IF($P237="","",$P237),IFERROR(IF([2]入库吨位汇总!$H$236=0,"",[2]入库吨位汇总!$H$236),""))</f>
        <v/>
      </c>
      <c r="I237" s="76" t="str">
        <f>IF($V$4=0,IF($Q237="","",$Q237),IFERROR(IF([2]入库吨位汇总!$I$236=0,"",[2]入库吨位汇总!$I$236),""))</f>
        <v/>
      </c>
      <c r="J237" s="116"/>
      <c r="K237" s="116"/>
      <c r="L237" s="131"/>
      <c r="M237" s="131"/>
      <c r="N237" s="132"/>
      <c r="O237" s="132"/>
      <c r="P237" s="132"/>
      <c r="Q237" s="132"/>
      <c r="R237" s="133">
        <f t="shared" si="6"/>
        <v>0</v>
      </c>
      <c r="S237" s="133">
        <f t="shared" si="7"/>
        <v>17</v>
      </c>
    </row>
    <row r="238" spans="1:19">
      <c r="A238" s="74">
        <v>237</v>
      </c>
      <c r="B238" s="75" t="str">
        <f>IF($V$4=0,IF($J238="","",$J238),IFERROR(IF([2]入库吨位汇总!$B$237=0,"",[2]入库吨位汇总!$B$237),""))</f>
        <v/>
      </c>
      <c r="C238" s="75" t="str">
        <f>IF($V$4=0,IF($K238="","",$K238),IFERROR(IF([2]入库吨位汇总!$C$237=0,"",[2]入库吨位汇总!$C$237),""))</f>
        <v/>
      </c>
      <c r="D238" s="42" t="str">
        <f>IF($V$4=0,IF($L238="","",$L238),IFERROR(IF([2]入库吨位汇总!$D$237=0,"",[2]入库吨位汇总!$D$237),""))</f>
        <v/>
      </c>
      <c r="E238" s="42" t="str">
        <f>IF($V$4=0,IF($M238="","",$M238),IFERROR(IF([2]入库吨位汇总!$E$237=0,"",[2]入库吨位汇总!$E$237),""))</f>
        <v/>
      </c>
      <c r="F238" s="76" t="str">
        <f>IF($V$4=0,IF($N238="","",$N238),IFERROR(IF([2]入库吨位汇总!$K$237=0,"",[2]入库吨位汇总!$K$237),""))</f>
        <v/>
      </c>
      <c r="G238" s="122" t="str">
        <f>IF($V$4=0,IF($O238="","",$O238),IFERROR(IF([2]入库吨位汇总!$L$237=0,"",[2]入库吨位汇总!$L$237),""))</f>
        <v/>
      </c>
      <c r="H238" s="76" t="str">
        <f>IF($V$4=0,IF($P238="","",$P238),IFERROR(IF([2]入库吨位汇总!$H$237=0,"",[2]入库吨位汇总!$H$237),""))</f>
        <v/>
      </c>
      <c r="I238" s="76" t="str">
        <f>IF($V$4=0,IF($Q238="","",$Q238),IFERROR(IF([2]入库吨位汇总!$I$237=0,"",[2]入库吨位汇总!$I$237),""))</f>
        <v/>
      </c>
      <c r="J238" s="116"/>
      <c r="K238" s="116"/>
      <c r="L238" s="131"/>
      <c r="M238" s="131"/>
      <c r="N238" s="132"/>
      <c r="O238" s="132"/>
      <c r="P238" s="132"/>
      <c r="Q238" s="132"/>
      <c r="R238" s="133">
        <f t="shared" si="6"/>
        <v>0</v>
      </c>
      <c r="S238" s="133">
        <f t="shared" si="7"/>
        <v>17</v>
      </c>
    </row>
    <row r="239" spans="1:19">
      <c r="A239" s="74">
        <v>238</v>
      </c>
      <c r="B239" s="75" t="str">
        <f>IF($V$4=0,IF($J239="","",$J239),IFERROR(IF([2]入库吨位汇总!$B$238=0,"",[2]入库吨位汇总!$B$238),""))</f>
        <v/>
      </c>
      <c r="C239" s="75" t="str">
        <f>IF($V$4=0,IF($K239="","",$K239),IFERROR(IF([2]入库吨位汇总!$C$238=0,"",[2]入库吨位汇总!$C$238),""))</f>
        <v/>
      </c>
      <c r="D239" s="42" t="str">
        <f>IF($V$4=0,IF($L239="","",$L239),IFERROR(IF([2]入库吨位汇总!$D$238=0,"",[2]入库吨位汇总!$D$238),""))</f>
        <v/>
      </c>
      <c r="E239" s="42" t="str">
        <f>IF($V$4=0,IF($M239="","",$M239),IFERROR(IF([2]入库吨位汇总!$E$238=0,"",[2]入库吨位汇总!$E$238),""))</f>
        <v/>
      </c>
      <c r="F239" s="76" t="str">
        <f>IF($V$4=0,IF($N239="","",$N239),IFERROR(IF([2]入库吨位汇总!$K$238=0,"",[2]入库吨位汇总!$K$238),""))</f>
        <v/>
      </c>
      <c r="G239" s="122" t="str">
        <f>IF($V$4=0,IF($O239="","",$O239),IFERROR(IF([2]入库吨位汇总!$L$238=0,"",[2]入库吨位汇总!$L$238),""))</f>
        <v/>
      </c>
      <c r="H239" s="76" t="str">
        <f>IF($V$4=0,IF($P239="","",$P239),IFERROR(IF([2]入库吨位汇总!$H$238=0,"",[2]入库吨位汇总!$H$238),""))</f>
        <v/>
      </c>
      <c r="I239" s="76" t="str">
        <f>IF($V$4=0,IF($Q239="","",$Q239),IFERROR(IF([2]入库吨位汇总!$I$238=0,"",[2]入库吨位汇总!$I$238),""))</f>
        <v/>
      </c>
      <c r="J239" s="116"/>
      <c r="K239" s="116"/>
      <c r="L239" s="131"/>
      <c r="M239" s="131"/>
      <c r="N239" s="132"/>
      <c r="O239" s="132"/>
      <c r="P239" s="132"/>
      <c r="Q239" s="132"/>
      <c r="R239" s="133">
        <f t="shared" si="6"/>
        <v>0</v>
      </c>
      <c r="S239" s="133">
        <f t="shared" si="7"/>
        <v>17</v>
      </c>
    </row>
    <row r="240" spans="1:19">
      <c r="A240" s="74">
        <v>239</v>
      </c>
      <c r="B240" s="75" t="str">
        <f>IF($V$4=0,IF($J240="","",$J240),IFERROR(IF([2]入库吨位汇总!$B$239=0,"",[2]入库吨位汇总!$B$239),""))</f>
        <v/>
      </c>
      <c r="C240" s="75" t="str">
        <f>IF($V$4=0,IF($K240="","",$K240),IFERROR(IF([2]入库吨位汇总!$C$239=0,"",[2]入库吨位汇总!$C$239),""))</f>
        <v/>
      </c>
      <c r="D240" s="42" t="str">
        <f>IF($V$4=0,IF($L240="","",$L240),IFERROR(IF([2]入库吨位汇总!$D$239=0,"",[2]入库吨位汇总!$D$239),""))</f>
        <v/>
      </c>
      <c r="E240" s="42" t="str">
        <f>IF($V$4=0,IF($M240="","",$M240),IFERROR(IF([2]入库吨位汇总!$E$239=0,"",[2]入库吨位汇总!$E$239),""))</f>
        <v/>
      </c>
      <c r="F240" s="76" t="str">
        <f>IF($V$4=0,IF($N240="","",$N240),IFERROR(IF([2]入库吨位汇总!$K$239=0,"",[2]入库吨位汇总!$K$239),""))</f>
        <v/>
      </c>
      <c r="G240" s="122" t="str">
        <f>IF($V$4=0,IF($O240="","",$O240),IFERROR(IF([2]入库吨位汇总!$L$239=0,"",[2]入库吨位汇总!$L$239),""))</f>
        <v/>
      </c>
      <c r="H240" s="76" t="str">
        <f>IF($V$4=0,IF($P240="","",$P240),IFERROR(IF([2]入库吨位汇总!$H$239=0,"",[2]入库吨位汇总!$H$239),""))</f>
        <v/>
      </c>
      <c r="I240" s="76" t="str">
        <f>IF($V$4=0,IF($Q240="","",$Q240),IFERROR(IF([2]入库吨位汇总!$I$239=0,"",[2]入库吨位汇总!$I$239),""))</f>
        <v/>
      </c>
      <c r="J240" s="116"/>
      <c r="K240" s="116"/>
      <c r="L240" s="131"/>
      <c r="M240" s="131"/>
      <c r="N240" s="132"/>
      <c r="O240" s="132"/>
      <c r="P240" s="132"/>
      <c r="Q240" s="132"/>
      <c r="R240" s="133">
        <f t="shared" si="6"/>
        <v>0</v>
      </c>
      <c r="S240" s="133">
        <f t="shared" si="7"/>
        <v>17</v>
      </c>
    </row>
    <row r="241" spans="1:19">
      <c r="A241" s="74">
        <v>240</v>
      </c>
      <c r="B241" s="75" t="str">
        <f>IF($V$4=0,IF($J241="","",$J241),IFERROR(IF([2]入库吨位汇总!$B$240=0,"",[2]入库吨位汇总!$B$240),""))</f>
        <v/>
      </c>
      <c r="C241" s="75" t="str">
        <f>IF($V$4=0,IF($K241="","",$K241),IFERROR(IF([2]入库吨位汇总!$C$240=0,"",[2]入库吨位汇总!$C$240),""))</f>
        <v/>
      </c>
      <c r="D241" s="42" t="str">
        <f>IF($V$4=0,IF($L241="","",$L241),IFERROR(IF([2]入库吨位汇总!$D$240=0,"",[2]入库吨位汇总!$D$240),""))</f>
        <v/>
      </c>
      <c r="E241" s="42" t="str">
        <f>IF($V$4=0,IF($M241="","",$M241),IFERROR(IF([2]入库吨位汇总!$E$240=0,"",[2]入库吨位汇总!$E$240),""))</f>
        <v/>
      </c>
      <c r="F241" s="76" t="str">
        <f>IF($V$4=0,IF($N241="","",$N241),IFERROR(IF([2]入库吨位汇总!$K$240=0,"",[2]入库吨位汇总!$K$240),""))</f>
        <v/>
      </c>
      <c r="G241" s="122" t="str">
        <f>IF($V$4=0,IF($O241="","",$O241),IFERROR(IF([2]入库吨位汇总!$L$240=0,"",[2]入库吨位汇总!$L$240),""))</f>
        <v/>
      </c>
      <c r="H241" s="76" t="str">
        <f>IF($V$4=0,IF($P241="","",$P241),IFERROR(IF([2]入库吨位汇总!$H$240=0,"",[2]入库吨位汇总!$H$240),""))</f>
        <v/>
      </c>
      <c r="I241" s="76" t="str">
        <f>IF($V$4=0,IF($Q241="","",$Q241),IFERROR(IF([2]入库吨位汇总!$I$240=0,"",[2]入库吨位汇总!$I$240),""))</f>
        <v/>
      </c>
      <c r="J241" s="116"/>
      <c r="K241" s="116"/>
      <c r="L241" s="131"/>
      <c r="M241" s="131"/>
      <c r="N241" s="132"/>
      <c r="O241" s="132"/>
      <c r="P241" s="132"/>
      <c r="Q241" s="132"/>
      <c r="R241" s="133">
        <f t="shared" si="6"/>
        <v>0</v>
      </c>
      <c r="S241" s="133">
        <f t="shared" si="7"/>
        <v>17</v>
      </c>
    </row>
    <row r="242" spans="1:19">
      <c r="A242" s="74">
        <v>241</v>
      </c>
      <c r="B242" s="75" t="str">
        <f>IF($V$4=0,IF($J242="","",$J242),IFERROR(IF([2]入库吨位汇总!$B$241=0,"",[2]入库吨位汇总!$B$241),""))</f>
        <v/>
      </c>
      <c r="C242" s="75" t="str">
        <f>IF($V$4=0,IF($K242="","",$K242),IFERROR(IF([2]入库吨位汇总!$C$241=0,"",[2]入库吨位汇总!$C$241),""))</f>
        <v/>
      </c>
      <c r="D242" s="42" t="str">
        <f>IF($V$4=0,IF($L242="","",$L242),IFERROR(IF([2]入库吨位汇总!$D$241=0,"",[2]入库吨位汇总!$D$241),""))</f>
        <v/>
      </c>
      <c r="E242" s="42" t="str">
        <f>IF($V$4=0,IF($M242="","",$M242),IFERROR(IF([2]入库吨位汇总!$E$241=0,"",[2]入库吨位汇总!$E$241),""))</f>
        <v/>
      </c>
      <c r="F242" s="76" t="str">
        <f>IF($V$4=0,IF($N242="","",$N242),IFERROR(IF([2]入库吨位汇总!$K$241=0,"",[2]入库吨位汇总!$K$241),""))</f>
        <v/>
      </c>
      <c r="G242" s="122" t="str">
        <f>IF($V$4=0,IF($O242="","",$O242),IFERROR(IF([2]入库吨位汇总!$L$241=0,"",[2]入库吨位汇总!$L$241),""))</f>
        <v/>
      </c>
      <c r="H242" s="76" t="str">
        <f>IF($V$4=0,IF($P242="","",$P242),IFERROR(IF([2]入库吨位汇总!$H$241=0,"",[2]入库吨位汇总!$H$241),""))</f>
        <v/>
      </c>
      <c r="I242" s="76" t="str">
        <f>IF($V$4=0,IF($Q242="","",$Q242),IFERROR(IF([2]入库吨位汇总!$I$241=0,"",[2]入库吨位汇总!$I$241),""))</f>
        <v/>
      </c>
      <c r="J242" s="116"/>
      <c r="K242" s="116"/>
      <c r="L242" s="131"/>
      <c r="M242" s="131"/>
      <c r="N242" s="132"/>
      <c r="O242" s="132"/>
      <c r="P242" s="132"/>
      <c r="Q242" s="132"/>
      <c r="R242" s="133">
        <f t="shared" si="6"/>
        <v>0</v>
      </c>
      <c r="S242" s="133">
        <f t="shared" si="7"/>
        <v>17</v>
      </c>
    </row>
    <row r="243" spans="1:19">
      <c r="A243" s="74">
        <v>242</v>
      </c>
      <c r="B243" s="75" t="str">
        <f>IF($V$4=0,IF($J243="","",$J243),IFERROR(IF([2]入库吨位汇总!$B$242=0,"",[2]入库吨位汇总!$B$242),""))</f>
        <v/>
      </c>
      <c r="C243" s="75" t="str">
        <f>IF($V$4=0,IF($K243="","",$K243),IFERROR(IF([2]入库吨位汇总!$C$242=0,"",[2]入库吨位汇总!$C$242),""))</f>
        <v/>
      </c>
      <c r="D243" s="42" t="str">
        <f>IF($V$4=0,IF($L243="","",$L243),IFERROR(IF([2]入库吨位汇总!$D$242=0,"",[2]入库吨位汇总!$D$242),""))</f>
        <v/>
      </c>
      <c r="E243" s="42" t="str">
        <f>IF($V$4=0,IF($M243="","",$M243),IFERROR(IF([2]入库吨位汇总!$E$242=0,"",[2]入库吨位汇总!$E$242),""))</f>
        <v/>
      </c>
      <c r="F243" s="76" t="str">
        <f>IF($V$4=0,IF($N243="","",$N243),IFERROR(IF([2]入库吨位汇总!$K$242=0,"",[2]入库吨位汇总!$K$242),""))</f>
        <v/>
      </c>
      <c r="G243" s="122" t="str">
        <f>IF($V$4=0,IF($O243="","",$O243),IFERROR(IF([2]入库吨位汇总!$L$242=0,"",[2]入库吨位汇总!$L$242),""))</f>
        <v/>
      </c>
      <c r="H243" s="76" t="str">
        <f>IF($V$4=0,IF($P243="","",$P243),IFERROR(IF([2]入库吨位汇总!$H$242=0,"",[2]入库吨位汇总!$H$242),""))</f>
        <v/>
      </c>
      <c r="I243" s="76" t="str">
        <f>IF($V$4=0,IF($Q243="","",$Q243),IFERROR(IF([2]入库吨位汇总!$I$242=0,"",[2]入库吨位汇总!$I$242),""))</f>
        <v/>
      </c>
      <c r="J243" s="116"/>
      <c r="K243" s="116"/>
      <c r="L243" s="131"/>
      <c r="M243" s="131"/>
      <c r="N243" s="132"/>
      <c r="O243" s="132"/>
      <c r="P243" s="132"/>
      <c r="Q243" s="132"/>
      <c r="R243" s="133">
        <f t="shared" si="6"/>
        <v>0</v>
      </c>
      <c r="S243" s="133">
        <f t="shared" si="7"/>
        <v>17</v>
      </c>
    </row>
    <row r="244" spans="1:19">
      <c r="A244" s="74">
        <v>243</v>
      </c>
      <c r="B244" s="75" t="str">
        <f>IF($V$4=0,IF($J244="","",$J244),IFERROR(IF([2]入库吨位汇总!$B$243=0,"",[2]入库吨位汇总!$B$243),""))</f>
        <v/>
      </c>
      <c r="C244" s="75" t="str">
        <f>IF($V$4=0,IF($K244="","",$K244),IFERROR(IF([2]入库吨位汇总!$C$243=0,"",[2]入库吨位汇总!$C$243),""))</f>
        <v/>
      </c>
      <c r="D244" s="42" t="str">
        <f>IF($V$4=0,IF($L244="","",$L244),IFERROR(IF([2]入库吨位汇总!$D$243=0,"",[2]入库吨位汇总!$D$243),""))</f>
        <v/>
      </c>
      <c r="E244" s="42" t="str">
        <f>IF($V$4=0,IF($M244="","",$M244),IFERROR(IF([2]入库吨位汇总!$E$243=0,"",[2]入库吨位汇总!$E$243),""))</f>
        <v/>
      </c>
      <c r="F244" s="76" t="str">
        <f>IF($V$4=0,IF($N244="","",$N244),IFERROR(IF([2]入库吨位汇总!$K$243=0,"",[2]入库吨位汇总!$K$243),""))</f>
        <v/>
      </c>
      <c r="G244" s="122" t="str">
        <f>IF($V$4=0,IF($O244="","",$O244),IFERROR(IF([2]入库吨位汇总!$L$243=0,"",[2]入库吨位汇总!$L$243),""))</f>
        <v/>
      </c>
      <c r="H244" s="76" t="str">
        <f>IF($V$4=0,IF($P244="","",$P244),IFERROR(IF([2]入库吨位汇总!$H$243=0,"",[2]入库吨位汇总!$H$243),""))</f>
        <v/>
      </c>
      <c r="I244" s="76" t="str">
        <f>IF($V$4=0,IF($Q244="","",$Q244),IFERROR(IF([2]入库吨位汇总!$I$243=0,"",[2]入库吨位汇总!$I$243),""))</f>
        <v/>
      </c>
      <c r="J244" s="116"/>
      <c r="K244" s="116"/>
      <c r="L244" s="131"/>
      <c r="M244" s="131"/>
      <c r="N244" s="132"/>
      <c r="O244" s="132"/>
      <c r="P244" s="132"/>
      <c r="Q244" s="132"/>
      <c r="R244" s="133">
        <f t="shared" si="6"/>
        <v>0</v>
      </c>
      <c r="S244" s="133">
        <f t="shared" si="7"/>
        <v>17</v>
      </c>
    </row>
    <row r="245" spans="1:19">
      <c r="A245" s="74">
        <v>244</v>
      </c>
      <c r="B245" s="75" t="str">
        <f>IF($V$4=0,IF($J245="","",$J245),IFERROR(IF([2]入库吨位汇总!$B$244=0,"",[2]入库吨位汇总!$B$244),""))</f>
        <v/>
      </c>
      <c r="C245" s="75" t="str">
        <f>IF($V$4=0,IF($K245="","",$K245),IFERROR(IF([2]入库吨位汇总!$C$244=0,"",[2]入库吨位汇总!$C$244),""))</f>
        <v/>
      </c>
      <c r="D245" s="42" t="str">
        <f>IF($V$4=0,IF($L245="","",$L245),IFERROR(IF([2]入库吨位汇总!$D$244=0,"",[2]入库吨位汇总!$D$244),""))</f>
        <v/>
      </c>
      <c r="E245" s="42" t="str">
        <f>IF($V$4=0,IF($M245="","",$M245),IFERROR(IF([2]入库吨位汇总!$E$244=0,"",[2]入库吨位汇总!$E$244),""))</f>
        <v/>
      </c>
      <c r="F245" s="76" t="str">
        <f>IF($V$4=0,IF($N245="","",$N245),IFERROR(IF([2]入库吨位汇总!$K$244=0,"",[2]入库吨位汇总!$K$244),""))</f>
        <v/>
      </c>
      <c r="G245" s="122" t="str">
        <f>IF($V$4=0,IF($O245="","",$O245),IFERROR(IF([2]入库吨位汇总!$L$244=0,"",[2]入库吨位汇总!$L$244),""))</f>
        <v/>
      </c>
      <c r="H245" s="76" t="str">
        <f>IF($V$4=0,IF($P245="","",$P245),IFERROR(IF([2]入库吨位汇总!$H$244=0,"",[2]入库吨位汇总!$H$244),""))</f>
        <v/>
      </c>
      <c r="I245" s="76" t="str">
        <f>IF($V$4=0,IF($Q245="","",$Q245),IFERROR(IF([2]入库吨位汇总!$I$244=0,"",[2]入库吨位汇总!$I$244),""))</f>
        <v/>
      </c>
      <c r="J245" s="116"/>
      <c r="K245" s="116"/>
      <c r="L245" s="131"/>
      <c r="M245" s="131"/>
      <c r="N245" s="132"/>
      <c r="O245" s="132"/>
      <c r="P245" s="132"/>
      <c r="Q245" s="132"/>
      <c r="R245" s="133">
        <f t="shared" si="6"/>
        <v>0</v>
      </c>
      <c r="S245" s="133">
        <f t="shared" si="7"/>
        <v>17</v>
      </c>
    </row>
    <row r="246" spans="1:19">
      <c r="A246" s="74">
        <v>245</v>
      </c>
      <c r="B246" s="75" t="str">
        <f>IF($V$4=0,IF($J246="","",$J246),IFERROR(IF([2]入库吨位汇总!$B$245=0,"",[2]入库吨位汇总!$B$245),""))</f>
        <v/>
      </c>
      <c r="C246" s="75" t="str">
        <f>IF($V$4=0,IF($K246="","",$K246),IFERROR(IF([2]入库吨位汇总!$C$245=0,"",[2]入库吨位汇总!$C$245),""))</f>
        <v/>
      </c>
      <c r="D246" s="42" t="str">
        <f>IF($V$4=0,IF($L246="","",$L246),IFERROR(IF([2]入库吨位汇总!$D$245=0,"",[2]入库吨位汇总!$D$245),""))</f>
        <v/>
      </c>
      <c r="E246" s="42" t="str">
        <f>IF($V$4=0,IF($M246="","",$M246),IFERROR(IF([2]入库吨位汇总!$E$245=0,"",[2]入库吨位汇总!$E$245),""))</f>
        <v/>
      </c>
      <c r="F246" s="76" t="str">
        <f>IF($V$4=0,IF($N246="","",$N246),IFERROR(IF([2]入库吨位汇总!$K$245=0,"",[2]入库吨位汇总!$K$245),""))</f>
        <v/>
      </c>
      <c r="G246" s="122" t="str">
        <f>IF($V$4=0,IF($O246="","",$O246),IFERROR(IF([2]入库吨位汇总!$L$245=0,"",[2]入库吨位汇总!$L$245),""))</f>
        <v/>
      </c>
      <c r="H246" s="76" t="str">
        <f>IF($V$4=0,IF($P246="","",$P246),IFERROR(IF([2]入库吨位汇总!$H$245=0,"",[2]入库吨位汇总!$H$245),""))</f>
        <v/>
      </c>
      <c r="I246" s="76" t="str">
        <f>IF($V$4=0,IF($Q246="","",$Q246),IFERROR(IF([2]入库吨位汇总!$I$245=0,"",[2]入库吨位汇总!$I$245),""))</f>
        <v/>
      </c>
      <c r="J246" s="116"/>
      <c r="K246" s="116"/>
      <c r="L246" s="131"/>
      <c r="M246" s="131"/>
      <c r="N246" s="132"/>
      <c r="O246" s="132"/>
      <c r="P246" s="132"/>
      <c r="Q246" s="132"/>
      <c r="R246" s="133">
        <f t="shared" si="6"/>
        <v>0</v>
      </c>
      <c r="S246" s="133">
        <f t="shared" si="7"/>
        <v>17</v>
      </c>
    </row>
    <row r="247" spans="1:19">
      <c r="A247" s="74">
        <v>246</v>
      </c>
      <c r="B247" s="75" t="str">
        <f>IF($V$4=0,IF($J247="","",$J247),IFERROR(IF([2]入库吨位汇总!$B$246=0,"",[2]入库吨位汇总!$B$246),""))</f>
        <v/>
      </c>
      <c r="C247" s="75" t="str">
        <f>IF($V$4=0,IF($K247="","",$K247),IFERROR(IF([2]入库吨位汇总!$C$246=0,"",[2]入库吨位汇总!$C$246),""))</f>
        <v/>
      </c>
      <c r="D247" s="42" t="str">
        <f>IF($V$4=0,IF($L247="","",$L247),IFERROR(IF([2]入库吨位汇总!$D$246=0,"",[2]入库吨位汇总!$D$246),""))</f>
        <v/>
      </c>
      <c r="E247" s="42" t="str">
        <f>IF($V$4=0,IF($M247="","",$M247),IFERROR(IF([2]入库吨位汇总!$E$246=0,"",[2]入库吨位汇总!$E$246),""))</f>
        <v/>
      </c>
      <c r="F247" s="76" t="str">
        <f>IF($V$4=0,IF($N247="","",$N247),IFERROR(IF([2]入库吨位汇总!$K$246=0,"",[2]入库吨位汇总!$K$246),""))</f>
        <v/>
      </c>
      <c r="G247" s="122" t="str">
        <f>IF($V$4=0,IF($O247="","",$O247),IFERROR(IF([2]入库吨位汇总!$L$246=0,"",[2]入库吨位汇总!$L$246),""))</f>
        <v/>
      </c>
      <c r="H247" s="76" t="str">
        <f>IF($V$4=0,IF($P247="","",$P247),IFERROR(IF([2]入库吨位汇总!$H$246=0,"",[2]入库吨位汇总!$H$246),""))</f>
        <v/>
      </c>
      <c r="I247" s="76" t="str">
        <f>IF($V$4=0,IF($Q247="","",$Q247),IFERROR(IF([2]入库吨位汇总!$I$246=0,"",[2]入库吨位汇总!$I$246),""))</f>
        <v/>
      </c>
      <c r="J247" s="116"/>
      <c r="K247" s="116"/>
      <c r="L247" s="131"/>
      <c r="M247" s="131"/>
      <c r="N247" s="132"/>
      <c r="O247" s="132"/>
      <c r="P247" s="132"/>
      <c r="Q247" s="132"/>
      <c r="R247" s="133">
        <f t="shared" si="6"/>
        <v>0</v>
      </c>
      <c r="S247" s="133">
        <f t="shared" si="7"/>
        <v>17</v>
      </c>
    </row>
    <row r="248" spans="1:19">
      <c r="A248" s="74">
        <v>247</v>
      </c>
      <c r="B248" s="75" t="str">
        <f>IF($V$4=0,IF($J248="","",$J248),IFERROR(IF([2]入库吨位汇总!$B$247=0,"",[2]入库吨位汇总!$B$247),""))</f>
        <v/>
      </c>
      <c r="C248" s="75" t="str">
        <f>IF($V$4=0,IF($K248="","",$K248),IFERROR(IF([2]入库吨位汇总!$C$247=0,"",[2]入库吨位汇总!$C$247),""))</f>
        <v/>
      </c>
      <c r="D248" s="42" t="str">
        <f>IF($V$4=0,IF($L248="","",$L248),IFERROR(IF([2]入库吨位汇总!$D$247=0,"",[2]入库吨位汇总!$D$247),""))</f>
        <v/>
      </c>
      <c r="E248" s="42" t="str">
        <f>IF($V$4=0,IF($M248="","",$M248),IFERROR(IF([2]入库吨位汇总!$E$247=0,"",[2]入库吨位汇总!$E$247),""))</f>
        <v/>
      </c>
      <c r="F248" s="76" t="str">
        <f>IF($V$4=0,IF($N248="","",$N248),IFERROR(IF([2]入库吨位汇总!$K$247=0,"",[2]入库吨位汇总!$K$247),""))</f>
        <v/>
      </c>
      <c r="G248" s="122" t="str">
        <f>IF($V$4=0,IF($O248="","",$O248),IFERROR(IF([2]入库吨位汇总!$L$247=0,"",[2]入库吨位汇总!$L$247),""))</f>
        <v/>
      </c>
      <c r="H248" s="76" t="str">
        <f>IF($V$4=0,IF($P248="","",$P248),IFERROR(IF([2]入库吨位汇总!$H$247=0,"",[2]入库吨位汇总!$H$247),""))</f>
        <v/>
      </c>
      <c r="I248" s="76" t="str">
        <f>IF($V$4=0,IF($Q248="","",$Q248),IFERROR(IF([2]入库吨位汇总!$I$247=0,"",[2]入库吨位汇总!$I$247),""))</f>
        <v/>
      </c>
      <c r="J248" s="116"/>
      <c r="K248" s="116"/>
      <c r="L248" s="131"/>
      <c r="M248" s="131"/>
      <c r="N248" s="132"/>
      <c r="O248" s="132"/>
      <c r="P248" s="132"/>
      <c r="Q248" s="132"/>
      <c r="R248" s="133">
        <f t="shared" si="6"/>
        <v>0</v>
      </c>
      <c r="S248" s="133">
        <f t="shared" si="7"/>
        <v>17</v>
      </c>
    </row>
    <row r="249" spans="1:19">
      <c r="A249" s="74">
        <v>248</v>
      </c>
      <c r="B249" s="75" t="str">
        <f>IF($V$4=0,IF($J249="","",$J249),IFERROR(IF([2]入库吨位汇总!$B$248=0,"",[2]入库吨位汇总!$B$248),""))</f>
        <v/>
      </c>
      <c r="C249" s="75" t="str">
        <f>IF($V$4=0,IF($K249="","",$K249),IFERROR(IF([2]入库吨位汇总!$C$248=0,"",[2]入库吨位汇总!$C$248),""))</f>
        <v/>
      </c>
      <c r="D249" s="42" t="str">
        <f>IF($V$4=0,IF($L249="","",$L249),IFERROR(IF([2]入库吨位汇总!$D$248=0,"",[2]入库吨位汇总!$D$248),""))</f>
        <v/>
      </c>
      <c r="E249" s="42" t="str">
        <f>IF($V$4=0,IF($M249="","",$M249),IFERROR(IF([2]入库吨位汇总!$E$248=0,"",[2]入库吨位汇总!$E$248),""))</f>
        <v/>
      </c>
      <c r="F249" s="76" t="str">
        <f>IF($V$4=0,IF($N249="","",$N249),IFERROR(IF([2]入库吨位汇总!$K$248=0,"",[2]入库吨位汇总!$K$248),""))</f>
        <v/>
      </c>
      <c r="G249" s="122" t="str">
        <f>IF($V$4=0,IF($O249="","",$O249),IFERROR(IF([2]入库吨位汇总!$L$248=0,"",[2]入库吨位汇总!$L$248),""))</f>
        <v/>
      </c>
      <c r="H249" s="76" t="str">
        <f>IF($V$4=0,IF($P249="","",$P249),IFERROR(IF([2]入库吨位汇总!$H$248=0,"",[2]入库吨位汇总!$H$248),""))</f>
        <v/>
      </c>
      <c r="I249" s="76" t="str">
        <f>IF($V$4=0,IF($Q249="","",$Q249),IFERROR(IF([2]入库吨位汇总!$I$248=0,"",[2]入库吨位汇总!$I$248),""))</f>
        <v/>
      </c>
      <c r="J249" s="116"/>
      <c r="K249" s="116"/>
      <c r="L249" s="131"/>
      <c r="M249" s="131"/>
      <c r="N249" s="132"/>
      <c r="O249" s="132"/>
      <c r="P249" s="132"/>
      <c r="Q249" s="132"/>
      <c r="R249" s="133">
        <f t="shared" si="6"/>
        <v>0</v>
      </c>
      <c r="S249" s="133">
        <f t="shared" si="7"/>
        <v>17</v>
      </c>
    </row>
    <row r="250" spans="1:19">
      <c r="A250" s="74">
        <v>249</v>
      </c>
      <c r="B250" s="75" t="str">
        <f>IF($V$4=0,IF($J250="","",$J250),IFERROR(IF([2]入库吨位汇总!$B$249=0,"",[2]入库吨位汇总!$B$249),""))</f>
        <v/>
      </c>
      <c r="C250" s="75" t="str">
        <f>IF($V$4=0,IF($K250="","",$K250),IFERROR(IF([2]入库吨位汇总!$C$249=0,"",[2]入库吨位汇总!$C$249),""))</f>
        <v/>
      </c>
      <c r="D250" s="42" t="str">
        <f>IF($V$4=0,IF($L250="","",$L250),IFERROR(IF([2]入库吨位汇总!$D$249=0,"",[2]入库吨位汇总!$D$249),""))</f>
        <v/>
      </c>
      <c r="E250" s="42" t="str">
        <f>IF($V$4=0,IF($M250="","",$M250),IFERROR(IF([2]入库吨位汇总!$E$249=0,"",[2]入库吨位汇总!$E$249),""))</f>
        <v/>
      </c>
      <c r="F250" s="76" t="str">
        <f>IF($V$4=0,IF($N250="","",$N250),IFERROR(IF([2]入库吨位汇总!$K$249=0,"",[2]入库吨位汇总!$K$249),""))</f>
        <v/>
      </c>
      <c r="G250" s="122" t="str">
        <f>IF($V$4=0,IF($O250="","",$O250),IFERROR(IF([2]入库吨位汇总!$L$249=0,"",[2]入库吨位汇总!$L$249),""))</f>
        <v/>
      </c>
      <c r="H250" s="76" t="str">
        <f>IF($V$4=0,IF($P250="","",$P250),IFERROR(IF([2]入库吨位汇总!$H$249=0,"",[2]入库吨位汇总!$H$249),""))</f>
        <v/>
      </c>
      <c r="I250" s="76" t="str">
        <f>IF($V$4=0,IF($Q250="","",$Q250),IFERROR(IF([2]入库吨位汇总!$I$249=0,"",[2]入库吨位汇总!$I$249),""))</f>
        <v/>
      </c>
      <c r="J250" s="116"/>
      <c r="K250" s="116"/>
      <c r="L250" s="131"/>
      <c r="M250" s="131"/>
      <c r="N250" s="132"/>
      <c r="O250" s="132"/>
      <c r="P250" s="132"/>
      <c r="Q250" s="132"/>
      <c r="R250" s="133">
        <f t="shared" si="6"/>
        <v>0</v>
      </c>
      <c r="S250" s="133">
        <f t="shared" si="7"/>
        <v>17</v>
      </c>
    </row>
    <row r="251" spans="1:19">
      <c r="A251" s="74">
        <v>250</v>
      </c>
      <c r="B251" s="75" t="str">
        <f>IF($V$4=0,IF($J251="","",$J251),IFERROR(IF([2]入库吨位汇总!$B$250=0,"",[2]入库吨位汇总!$B$250),""))</f>
        <v/>
      </c>
      <c r="C251" s="75" t="str">
        <f>IF($V$4=0,IF($K251="","",$K251),IFERROR(IF([2]入库吨位汇总!$C$250=0,"",[2]入库吨位汇总!$C$250),""))</f>
        <v/>
      </c>
      <c r="D251" s="42" t="str">
        <f>IF($V$4=0,IF($L251="","",$L251),IFERROR(IF([2]入库吨位汇总!$D$250=0,"",[2]入库吨位汇总!$D$250),""))</f>
        <v/>
      </c>
      <c r="E251" s="42" t="str">
        <f>IF($V$4=0,IF($M251="","",$M251),IFERROR(IF([2]入库吨位汇总!$E$250=0,"",[2]入库吨位汇总!$E$250),""))</f>
        <v/>
      </c>
      <c r="F251" s="76" t="str">
        <f>IF($V$4=0,IF($N251="","",$N251),IFERROR(IF([2]入库吨位汇总!$K$250=0,"",[2]入库吨位汇总!$K$250),""))</f>
        <v/>
      </c>
      <c r="G251" s="122" t="str">
        <f>IF($V$4=0,IF($O251="","",$O251),IFERROR(IF([2]入库吨位汇总!$L$250=0,"",[2]入库吨位汇总!$L$250),""))</f>
        <v/>
      </c>
      <c r="H251" s="76" t="str">
        <f>IF($V$4=0,IF($P251="","",$P251),IFERROR(IF([2]入库吨位汇总!$H$250=0,"",[2]入库吨位汇总!$H$250),""))</f>
        <v/>
      </c>
      <c r="I251" s="76" t="str">
        <f>IF($V$4=0,IF($Q251="","",$Q251),IFERROR(IF([2]入库吨位汇总!$I$250=0,"",[2]入库吨位汇总!$I$250),""))</f>
        <v/>
      </c>
      <c r="J251" s="116"/>
      <c r="K251" s="116"/>
      <c r="L251" s="131"/>
      <c r="M251" s="131"/>
      <c r="N251" s="132"/>
      <c r="O251" s="132"/>
      <c r="P251" s="132"/>
      <c r="Q251" s="132"/>
      <c r="R251" s="133">
        <f t="shared" si="6"/>
        <v>0</v>
      </c>
      <c r="S251" s="133">
        <f t="shared" si="7"/>
        <v>17</v>
      </c>
    </row>
    <row r="252" spans="1:19">
      <c r="A252" s="74">
        <v>251</v>
      </c>
      <c r="B252" s="75" t="str">
        <f>IF($V$4=0,IF($J252="","",$J252),IFERROR(IF([2]入库吨位汇总!$B$251=0,"",[2]入库吨位汇总!$B$251),""))</f>
        <v/>
      </c>
      <c r="C252" s="75" t="str">
        <f>IF($V$4=0,IF($K252="","",$K252),IFERROR(IF([2]入库吨位汇总!$C$251=0,"",[2]入库吨位汇总!$C$251),""))</f>
        <v/>
      </c>
      <c r="D252" s="42" t="str">
        <f>IF($V$4=0,IF($L252="","",$L252),IFERROR(IF([2]入库吨位汇总!$D$251=0,"",[2]入库吨位汇总!$D$251),""))</f>
        <v/>
      </c>
      <c r="E252" s="42" t="str">
        <f>IF($V$4=0,IF($M252="","",$M252),IFERROR(IF([2]入库吨位汇总!$E$251=0,"",[2]入库吨位汇总!$E$251),""))</f>
        <v/>
      </c>
      <c r="F252" s="76" t="str">
        <f>IF($V$4=0,IF($N252="","",$N252),IFERROR(IF([2]入库吨位汇总!$K$251=0,"",[2]入库吨位汇总!$K$251),""))</f>
        <v/>
      </c>
      <c r="G252" s="122" t="str">
        <f>IF($V$4=0,IF($O252="","",$O252),IFERROR(IF([2]入库吨位汇总!$L$251=0,"",[2]入库吨位汇总!$L$251),""))</f>
        <v/>
      </c>
      <c r="H252" s="76" t="str">
        <f>IF($V$4=0,IF($P252="","",$P252),IFERROR(IF([2]入库吨位汇总!$H$251=0,"",[2]入库吨位汇总!$H$251),""))</f>
        <v/>
      </c>
      <c r="I252" s="76" t="str">
        <f>IF($V$4=0,IF($Q252="","",$Q252),IFERROR(IF([2]入库吨位汇总!$I$251=0,"",[2]入库吨位汇总!$I$251),""))</f>
        <v/>
      </c>
      <c r="J252" s="116"/>
      <c r="K252" s="116"/>
      <c r="L252" s="131"/>
      <c r="M252" s="131"/>
      <c r="N252" s="132"/>
      <c r="O252" s="132"/>
      <c r="P252" s="132"/>
      <c r="Q252" s="132"/>
      <c r="R252" s="133">
        <f t="shared" si="6"/>
        <v>0</v>
      </c>
      <c r="S252" s="133">
        <f t="shared" si="7"/>
        <v>17</v>
      </c>
    </row>
    <row r="253" spans="1:19">
      <c r="A253" s="74">
        <v>252</v>
      </c>
      <c r="B253" s="75" t="str">
        <f>IF($V$4=0,IF($J253="","",$J253),IFERROR(IF([2]入库吨位汇总!$B$252=0,"",[2]入库吨位汇总!$B$252),""))</f>
        <v/>
      </c>
      <c r="C253" s="75" t="str">
        <f>IF($V$4=0,IF($K253="","",$K253),IFERROR(IF([2]入库吨位汇总!$C$252=0,"",[2]入库吨位汇总!$C$252),""))</f>
        <v/>
      </c>
      <c r="D253" s="42" t="str">
        <f>IF($V$4=0,IF($L253="","",$L253),IFERROR(IF([2]入库吨位汇总!$D$252=0,"",[2]入库吨位汇总!$D$252),""))</f>
        <v/>
      </c>
      <c r="E253" s="42" t="str">
        <f>IF($V$4=0,IF($M253="","",$M253),IFERROR(IF([2]入库吨位汇总!$E$252=0,"",[2]入库吨位汇总!$E$252),""))</f>
        <v/>
      </c>
      <c r="F253" s="76" t="str">
        <f>IF($V$4=0,IF($N253="","",$N253),IFERROR(IF([2]入库吨位汇总!$K$252=0,"",[2]入库吨位汇总!$K$252),""))</f>
        <v/>
      </c>
      <c r="G253" s="122" t="str">
        <f>IF($V$4=0,IF($O253="","",$O253),IFERROR(IF([2]入库吨位汇总!$L$252=0,"",[2]入库吨位汇总!$L$252),""))</f>
        <v/>
      </c>
      <c r="H253" s="76" t="str">
        <f>IF($V$4=0,IF($P253="","",$P253),IFERROR(IF([2]入库吨位汇总!$H$252=0,"",[2]入库吨位汇总!$H$252),""))</f>
        <v/>
      </c>
      <c r="I253" s="76" t="str">
        <f>IF($V$4=0,IF($Q253="","",$Q253),IFERROR(IF([2]入库吨位汇总!$I$252=0,"",[2]入库吨位汇总!$I$252),""))</f>
        <v/>
      </c>
      <c r="J253" s="116"/>
      <c r="K253" s="116"/>
      <c r="L253" s="131"/>
      <c r="M253" s="131"/>
      <c r="N253" s="132"/>
      <c r="O253" s="132"/>
      <c r="P253" s="132"/>
      <c r="Q253" s="132"/>
      <c r="R253" s="133">
        <f t="shared" si="6"/>
        <v>0</v>
      </c>
      <c r="S253" s="133">
        <f t="shared" si="7"/>
        <v>17</v>
      </c>
    </row>
    <row r="254" spans="1:19">
      <c r="A254" s="74">
        <v>253</v>
      </c>
      <c r="B254" s="75" t="str">
        <f>IF($V$4=0,IF($J254="","",$J254),IFERROR(IF([2]入库吨位汇总!$B$253=0,"",[2]入库吨位汇总!$B$253),""))</f>
        <v/>
      </c>
      <c r="C254" s="75" t="str">
        <f>IF($V$4=0,IF($K254="","",$K254),IFERROR(IF([2]入库吨位汇总!$C$253=0,"",[2]入库吨位汇总!$C$253),""))</f>
        <v/>
      </c>
      <c r="D254" s="42" t="str">
        <f>IF($V$4=0,IF($L254="","",$L254),IFERROR(IF([2]入库吨位汇总!$D$253=0,"",[2]入库吨位汇总!$D$253),""))</f>
        <v/>
      </c>
      <c r="E254" s="42" t="str">
        <f>IF($V$4=0,IF($M254="","",$M254),IFERROR(IF([2]入库吨位汇总!$E$253=0,"",[2]入库吨位汇总!$E$253),""))</f>
        <v/>
      </c>
      <c r="F254" s="76" t="str">
        <f>IF($V$4=0,IF($N254="","",$N254),IFERROR(IF([2]入库吨位汇总!$K$253=0,"",[2]入库吨位汇总!$K$253),""))</f>
        <v/>
      </c>
      <c r="G254" s="122" t="str">
        <f>IF($V$4=0,IF($O254="","",$O254),IFERROR(IF([2]入库吨位汇总!$L$253=0,"",[2]入库吨位汇总!$L$253),""))</f>
        <v/>
      </c>
      <c r="H254" s="76" t="str">
        <f>IF($V$4=0,IF($P254="","",$P254),IFERROR(IF([2]入库吨位汇总!$H$253=0,"",[2]入库吨位汇总!$H$253),""))</f>
        <v/>
      </c>
      <c r="I254" s="76" t="str">
        <f>IF($V$4=0,IF($Q254="","",$Q254),IFERROR(IF([2]入库吨位汇总!$I$253=0,"",[2]入库吨位汇总!$I$253),""))</f>
        <v/>
      </c>
      <c r="J254" s="116"/>
      <c r="K254" s="116"/>
      <c r="L254" s="131"/>
      <c r="M254" s="131"/>
      <c r="N254" s="132"/>
      <c r="O254" s="132"/>
      <c r="P254" s="132"/>
      <c r="Q254" s="132"/>
      <c r="R254" s="133">
        <f t="shared" si="6"/>
        <v>0</v>
      </c>
      <c r="S254" s="133">
        <f t="shared" si="7"/>
        <v>17</v>
      </c>
    </row>
    <row r="255" spans="1:19">
      <c r="A255" s="74">
        <v>254</v>
      </c>
      <c r="B255" s="75" t="str">
        <f>IF($V$4=0,IF($J255="","",$J255),IFERROR(IF([2]入库吨位汇总!$B$254=0,"",[2]入库吨位汇总!$B$254),""))</f>
        <v/>
      </c>
      <c r="C255" s="75" t="str">
        <f>IF($V$4=0,IF($K255="","",$K255),IFERROR(IF([2]入库吨位汇总!$C$254=0,"",[2]入库吨位汇总!$C$254),""))</f>
        <v/>
      </c>
      <c r="D255" s="42" t="str">
        <f>IF($V$4=0,IF($L255="","",$L255),IFERROR(IF([2]入库吨位汇总!$D$254=0,"",[2]入库吨位汇总!$D$254),""))</f>
        <v/>
      </c>
      <c r="E255" s="42" t="str">
        <f>IF($V$4=0,IF($M255="","",$M255),IFERROR(IF([2]入库吨位汇总!$E$254=0,"",[2]入库吨位汇总!$E$254),""))</f>
        <v/>
      </c>
      <c r="F255" s="76" t="str">
        <f>IF($V$4=0,IF($N255="","",$N255),IFERROR(IF([2]入库吨位汇总!$K$254=0,"",[2]入库吨位汇总!$K$254),""))</f>
        <v/>
      </c>
      <c r="G255" s="122" t="str">
        <f>IF($V$4=0,IF($O255="","",$O255),IFERROR(IF([2]入库吨位汇总!$L$254=0,"",[2]入库吨位汇总!$L$254),""))</f>
        <v/>
      </c>
      <c r="H255" s="76" t="str">
        <f>IF($V$4=0,IF($P255="","",$P255),IFERROR(IF([2]入库吨位汇总!$H$254=0,"",[2]入库吨位汇总!$H$254),""))</f>
        <v/>
      </c>
      <c r="I255" s="76" t="str">
        <f>IF($V$4=0,IF($Q255="","",$Q255),IFERROR(IF([2]入库吨位汇总!$I$254=0,"",[2]入库吨位汇总!$I$254),""))</f>
        <v/>
      </c>
      <c r="J255" s="116"/>
      <c r="K255" s="116"/>
      <c r="L255" s="131"/>
      <c r="M255" s="131"/>
      <c r="N255" s="132"/>
      <c r="O255" s="132"/>
      <c r="P255" s="132"/>
      <c r="Q255" s="132"/>
      <c r="R255" s="133">
        <f t="shared" si="6"/>
        <v>0</v>
      </c>
      <c r="S255" s="133">
        <f t="shared" si="7"/>
        <v>17</v>
      </c>
    </row>
    <row r="256" spans="1:19">
      <c r="A256" s="74">
        <v>255</v>
      </c>
      <c r="B256" s="75" t="str">
        <f>IF($V$4=0,IF($J256="","",$J256),IFERROR(IF([2]入库吨位汇总!$B$255=0,"",[2]入库吨位汇总!$B$255),""))</f>
        <v/>
      </c>
      <c r="C256" s="75" t="str">
        <f>IF($V$4=0,IF($K256="","",$K256),IFERROR(IF([2]入库吨位汇总!$C$255=0,"",[2]入库吨位汇总!$C$255),""))</f>
        <v/>
      </c>
      <c r="D256" s="42" t="str">
        <f>IF($V$4=0,IF($L256="","",$L256),IFERROR(IF([2]入库吨位汇总!$D$255=0,"",[2]入库吨位汇总!$D$255),""))</f>
        <v/>
      </c>
      <c r="E256" s="42" t="str">
        <f>IF($V$4=0,IF($M256="","",$M256),IFERROR(IF([2]入库吨位汇总!$E$255=0,"",[2]入库吨位汇总!$E$255),""))</f>
        <v/>
      </c>
      <c r="F256" s="76" t="str">
        <f>IF($V$4=0,IF($N256="","",$N256),IFERROR(IF([2]入库吨位汇总!$K$255=0,"",[2]入库吨位汇总!$K$255),""))</f>
        <v/>
      </c>
      <c r="G256" s="122" t="str">
        <f>IF($V$4=0,IF($O256="","",$O256),IFERROR(IF([2]入库吨位汇总!$L$255=0,"",[2]入库吨位汇总!$L$255),""))</f>
        <v/>
      </c>
      <c r="H256" s="76" t="str">
        <f>IF($V$4=0,IF($P256="","",$P256),IFERROR(IF([2]入库吨位汇总!$H$255=0,"",[2]入库吨位汇总!$H$255),""))</f>
        <v/>
      </c>
      <c r="I256" s="76" t="str">
        <f>IF($V$4=0,IF($Q256="","",$Q256),IFERROR(IF([2]入库吨位汇总!$I$255=0,"",[2]入库吨位汇总!$I$255),""))</f>
        <v/>
      </c>
      <c r="J256" s="116"/>
      <c r="K256" s="116"/>
      <c r="L256" s="131"/>
      <c r="M256" s="131"/>
      <c r="N256" s="132"/>
      <c r="O256" s="132"/>
      <c r="P256" s="132"/>
      <c r="Q256" s="132"/>
      <c r="R256" s="133">
        <f t="shared" si="6"/>
        <v>0</v>
      </c>
      <c r="S256" s="133">
        <f t="shared" si="7"/>
        <v>17</v>
      </c>
    </row>
    <row r="257" spans="1:19">
      <c r="A257" s="74">
        <v>256</v>
      </c>
      <c r="B257" s="75" t="str">
        <f>IF($V$4=0,IF($J257="","",$J257),IFERROR(IF([2]入库吨位汇总!$B$256=0,"",[2]入库吨位汇总!$B$256),""))</f>
        <v/>
      </c>
      <c r="C257" s="75" t="str">
        <f>IF($V$4=0,IF($K257="","",$K257),IFERROR(IF([2]入库吨位汇总!$C$256=0,"",[2]入库吨位汇总!$C$256),""))</f>
        <v/>
      </c>
      <c r="D257" s="42" t="str">
        <f>IF($V$4=0,IF($L257="","",$L257),IFERROR(IF([2]入库吨位汇总!$D$256=0,"",[2]入库吨位汇总!$D$256),""))</f>
        <v/>
      </c>
      <c r="E257" s="42" t="str">
        <f>IF($V$4=0,IF($M257="","",$M257),IFERROR(IF([2]入库吨位汇总!$E$256=0,"",[2]入库吨位汇总!$E$256),""))</f>
        <v/>
      </c>
      <c r="F257" s="76" t="str">
        <f>IF($V$4=0,IF($N257="","",$N257),IFERROR(IF([2]入库吨位汇总!$K$256=0,"",[2]入库吨位汇总!$K$256),""))</f>
        <v/>
      </c>
      <c r="G257" s="122" t="str">
        <f>IF($V$4=0,IF($O257="","",$O257),IFERROR(IF([2]入库吨位汇总!$L$256=0,"",[2]入库吨位汇总!$L$256),""))</f>
        <v/>
      </c>
      <c r="H257" s="76" t="str">
        <f>IF($V$4=0,IF($P257="","",$P257),IFERROR(IF([2]入库吨位汇总!$H$256=0,"",[2]入库吨位汇总!$H$256),""))</f>
        <v/>
      </c>
      <c r="I257" s="76" t="str">
        <f>IF($V$4=0,IF($Q257="","",$Q257),IFERROR(IF([2]入库吨位汇总!$I$256=0,"",[2]入库吨位汇总!$I$256),""))</f>
        <v/>
      </c>
      <c r="J257" s="116"/>
      <c r="K257" s="116"/>
      <c r="L257" s="131"/>
      <c r="M257" s="131"/>
      <c r="N257" s="132"/>
      <c r="O257" s="132"/>
      <c r="P257" s="132"/>
      <c r="Q257" s="132"/>
      <c r="R257" s="133">
        <f t="shared" si="6"/>
        <v>0</v>
      </c>
      <c r="S257" s="133">
        <f t="shared" si="7"/>
        <v>17</v>
      </c>
    </row>
    <row r="258" spans="1:19">
      <c r="A258" s="74">
        <v>257</v>
      </c>
      <c r="B258" s="75" t="str">
        <f>IF($V$4=0,IF($J258="","",$J258),IFERROR(IF([2]入库吨位汇总!$B$257=0,"",[2]入库吨位汇总!$B$257),""))</f>
        <v/>
      </c>
      <c r="C258" s="75" t="str">
        <f>IF($V$4=0,IF($K258="","",$K258),IFERROR(IF([2]入库吨位汇总!$C$257=0,"",[2]入库吨位汇总!$C$257),""))</f>
        <v/>
      </c>
      <c r="D258" s="42" t="str">
        <f>IF($V$4=0,IF($L258="","",$L258),IFERROR(IF([2]入库吨位汇总!$D$257=0,"",[2]入库吨位汇总!$D$257),""))</f>
        <v/>
      </c>
      <c r="E258" s="42" t="str">
        <f>IF($V$4=0,IF($M258="","",$M258),IFERROR(IF([2]入库吨位汇总!$E$257=0,"",[2]入库吨位汇总!$E$257),""))</f>
        <v/>
      </c>
      <c r="F258" s="76" t="str">
        <f>IF($V$4=0,IF($N258="","",$N258),IFERROR(IF([2]入库吨位汇总!$K$257=0,"",[2]入库吨位汇总!$K$257),""))</f>
        <v/>
      </c>
      <c r="G258" s="122" t="str">
        <f>IF($V$4=0,IF($O258="","",$O258),IFERROR(IF([2]入库吨位汇总!$L$257=0,"",[2]入库吨位汇总!$L$257),""))</f>
        <v/>
      </c>
      <c r="H258" s="76" t="str">
        <f>IF($V$4=0,IF($P258="","",$P258),IFERROR(IF([2]入库吨位汇总!$H$257=0,"",[2]入库吨位汇总!$H$257),""))</f>
        <v/>
      </c>
      <c r="I258" s="76" t="str">
        <f>IF($V$4=0,IF($Q258="","",$Q258),IFERROR(IF([2]入库吨位汇总!$I$257=0,"",[2]入库吨位汇总!$I$257),""))</f>
        <v/>
      </c>
      <c r="J258" s="116"/>
      <c r="K258" s="116"/>
      <c r="L258" s="131"/>
      <c r="M258" s="131"/>
      <c r="N258" s="132"/>
      <c r="O258" s="132"/>
      <c r="P258" s="132"/>
      <c r="Q258" s="132"/>
      <c r="R258" s="133">
        <f t="shared" si="6"/>
        <v>0</v>
      </c>
      <c r="S258" s="133">
        <f t="shared" si="7"/>
        <v>17</v>
      </c>
    </row>
    <row r="259" spans="1:19">
      <c r="A259" s="74">
        <v>258</v>
      </c>
      <c r="B259" s="75" t="str">
        <f>IF($V$4=0,IF($J259="","",$J259),IFERROR(IF([2]入库吨位汇总!$B$258=0,"",[2]入库吨位汇总!$B$258),""))</f>
        <v/>
      </c>
      <c r="C259" s="75" t="str">
        <f>IF($V$4=0,IF($K259="","",$K259),IFERROR(IF([2]入库吨位汇总!$C$258=0,"",[2]入库吨位汇总!$C$258),""))</f>
        <v/>
      </c>
      <c r="D259" s="42" t="str">
        <f>IF($V$4=0,IF($L259="","",$L259),IFERROR(IF([2]入库吨位汇总!$D$258=0,"",[2]入库吨位汇总!$D$258),""))</f>
        <v/>
      </c>
      <c r="E259" s="42" t="str">
        <f>IF($V$4=0,IF($M259="","",$M259),IFERROR(IF([2]入库吨位汇总!$E$258=0,"",[2]入库吨位汇总!$E$258),""))</f>
        <v/>
      </c>
      <c r="F259" s="76" t="str">
        <f>IF($V$4=0,IF($N259="","",$N259),IFERROR(IF([2]入库吨位汇总!$K$258=0,"",[2]入库吨位汇总!$K$258),""))</f>
        <v/>
      </c>
      <c r="G259" s="122" t="str">
        <f>IF($V$4=0,IF($O259="","",$O259),IFERROR(IF([2]入库吨位汇总!$L$258=0,"",[2]入库吨位汇总!$L$258),""))</f>
        <v/>
      </c>
      <c r="H259" s="76" t="str">
        <f>IF($V$4=0,IF($P259="","",$P259),IFERROR(IF([2]入库吨位汇总!$H$258=0,"",[2]入库吨位汇总!$H$258),""))</f>
        <v/>
      </c>
      <c r="I259" s="76" t="str">
        <f>IF($V$4=0,IF($Q259="","",$Q259),IFERROR(IF([2]入库吨位汇总!$I$258=0,"",[2]入库吨位汇总!$I$258),""))</f>
        <v/>
      </c>
      <c r="J259" s="116"/>
      <c r="K259" s="116"/>
      <c r="L259" s="131"/>
      <c r="M259" s="131"/>
      <c r="N259" s="132"/>
      <c r="O259" s="132"/>
      <c r="P259" s="132"/>
      <c r="Q259" s="132"/>
      <c r="R259" s="133">
        <f t="shared" si="6"/>
        <v>0</v>
      </c>
      <c r="S259" s="133">
        <f t="shared" si="7"/>
        <v>17</v>
      </c>
    </row>
    <row r="260" spans="1:19">
      <c r="A260" s="74">
        <v>259</v>
      </c>
      <c r="B260" s="75" t="str">
        <f>IF($V$4=0,IF($J260="","",$J260),IFERROR(IF([2]入库吨位汇总!$B$259=0,"",[2]入库吨位汇总!$B$259),""))</f>
        <v/>
      </c>
      <c r="C260" s="75" t="str">
        <f>IF($V$4=0,IF($K260="","",$K260),IFERROR(IF([2]入库吨位汇总!$C$259=0,"",[2]入库吨位汇总!$C$259),""))</f>
        <v/>
      </c>
      <c r="D260" s="42" t="str">
        <f>IF($V$4=0,IF($L260="","",$L260),IFERROR(IF([2]入库吨位汇总!$D$259=0,"",[2]入库吨位汇总!$D$259),""))</f>
        <v/>
      </c>
      <c r="E260" s="42" t="str">
        <f>IF($V$4=0,IF($M260="","",$M260),IFERROR(IF([2]入库吨位汇总!$E$259=0,"",[2]入库吨位汇总!$E$259),""))</f>
        <v/>
      </c>
      <c r="F260" s="76" t="str">
        <f>IF($V$4=0,IF($N260="","",$N260),IFERROR(IF([2]入库吨位汇总!$K$259=0,"",[2]入库吨位汇总!$K$259),""))</f>
        <v/>
      </c>
      <c r="G260" s="122" t="str">
        <f>IF($V$4=0,IF($O260="","",$O260),IFERROR(IF([2]入库吨位汇总!$L$259=0,"",[2]入库吨位汇总!$L$259),""))</f>
        <v/>
      </c>
      <c r="H260" s="76" t="str">
        <f>IF($V$4=0,IF($P260="","",$P260),IFERROR(IF([2]入库吨位汇总!$H$259=0,"",[2]入库吨位汇总!$H$259),""))</f>
        <v/>
      </c>
      <c r="I260" s="76" t="str">
        <f>IF($V$4=0,IF($Q260="","",$Q260),IFERROR(IF([2]入库吨位汇总!$I$259=0,"",[2]入库吨位汇总!$I$259),""))</f>
        <v/>
      </c>
      <c r="J260" s="116"/>
      <c r="K260" s="116"/>
      <c r="L260" s="131"/>
      <c r="M260" s="131"/>
      <c r="N260" s="132"/>
      <c r="O260" s="132"/>
      <c r="P260" s="132"/>
      <c r="Q260" s="132"/>
      <c r="R260" s="133">
        <f t="shared" si="6"/>
        <v>0</v>
      </c>
      <c r="S260" s="133">
        <f t="shared" si="7"/>
        <v>17</v>
      </c>
    </row>
    <row r="261" spans="1:19">
      <c r="A261" s="74">
        <v>260</v>
      </c>
      <c r="B261" s="75" t="str">
        <f>IF($V$4=0,IF($J261="","",$J261),IFERROR(IF([2]入库吨位汇总!$B$260=0,"",[2]入库吨位汇总!$B$260),""))</f>
        <v/>
      </c>
      <c r="C261" s="75" t="str">
        <f>IF($V$4=0,IF($K261="","",$K261),IFERROR(IF([2]入库吨位汇总!$C$260=0,"",[2]入库吨位汇总!$C$260),""))</f>
        <v/>
      </c>
      <c r="D261" s="42" t="str">
        <f>IF($V$4=0,IF($L261="","",$L261),IFERROR(IF([2]入库吨位汇总!$D$260=0,"",[2]入库吨位汇总!$D$260),""))</f>
        <v/>
      </c>
      <c r="E261" s="42" t="str">
        <f>IF($V$4=0,IF($M261="","",$M261),IFERROR(IF([2]入库吨位汇总!$E$260=0,"",[2]入库吨位汇总!$E$260),""))</f>
        <v/>
      </c>
      <c r="F261" s="76" t="str">
        <f>IF($V$4=0,IF($N261="","",$N261),IFERROR(IF([2]入库吨位汇总!$K$260=0,"",[2]入库吨位汇总!$K$260),""))</f>
        <v/>
      </c>
      <c r="G261" s="122" t="str">
        <f>IF($V$4=0,IF($O261="","",$O261),IFERROR(IF([2]入库吨位汇总!$L$260=0,"",[2]入库吨位汇总!$L$260),""))</f>
        <v/>
      </c>
      <c r="H261" s="76" t="str">
        <f>IF($V$4=0,IF($P261="","",$P261),IFERROR(IF([2]入库吨位汇总!$H$260=0,"",[2]入库吨位汇总!$H$260),""))</f>
        <v/>
      </c>
      <c r="I261" s="76" t="str">
        <f>IF($V$4=0,IF($Q261="","",$Q261),IFERROR(IF([2]入库吨位汇总!$I$260=0,"",[2]入库吨位汇总!$I$260),""))</f>
        <v/>
      </c>
      <c r="J261" s="116"/>
      <c r="K261" s="116"/>
      <c r="L261" s="131"/>
      <c r="M261" s="131"/>
      <c r="N261" s="132"/>
      <c r="O261" s="132"/>
      <c r="P261" s="132"/>
      <c r="Q261" s="132"/>
      <c r="R261" s="133">
        <f t="shared" ref="R261:R304" si="8">IF(AND($B261&lt;&gt;"",$C261&lt;&gt;""),1,0)</f>
        <v>0</v>
      </c>
      <c r="S261" s="133">
        <f t="shared" ref="S261:S304" si="9">N(S260)+$R261</f>
        <v>17</v>
      </c>
    </row>
    <row r="262" spans="1:19">
      <c r="A262" s="74">
        <v>261</v>
      </c>
      <c r="B262" s="75" t="str">
        <f>IF($V$4=0,IF($J262="","",$J262),IFERROR(IF([2]入库吨位汇总!$B$261=0,"",[2]入库吨位汇总!$B$261),""))</f>
        <v/>
      </c>
      <c r="C262" s="75" t="str">
        <f>IF($V$4=0,IF($K262="","",$K262),IFERROR(IF([2]入库吨位汇总!$C$261=0,"",[2]入库吨位汇总!$C$261),""))</f>
        <v/>
      </c>
      <c r="D262" s="42" t="str">
        <f>IF($V$4=0,IF($L262="","",$L262),IFERROR(IF([2]入库吨位汇总!$D$261=0,"",[2]入库吨位汇总!$D$261),""))</f>
        <v/>
      </c>
      <c r="E262" s="42" t="str">
        <f>IF($V$4=0,IF($M262="","",$M262),IFERROR(IF([2]入库吨位汇总!$E$261=0,"",[2]入库吨位汇总!$E$261),""))</f>
        <v/>
      </c>
      <c r="F262" s="76" t="str">
        <f>IF($V$4=0,IF($N262="","",$N262),IFERROR(IF([2]入库吨位汇总!$K$261=0,"",[2]入库吨位汇总!$K$261),""))</f>
        <v/>
      </c>
      <c r="G262" s="122" t="str">
        <f>IF($V$4=0,IF($O262="","",$O262),IFERROR(IF([2]入库吨位汇总!$L$261=0,"",[2]入库吨位汇总!$L$261),""))</f>
        <v/>
      </c>
      <c r="H262" s="76" t="str">
        <f>IF($V$4=0,IF($P262="","",$P262),IFERROR(IF([2]入库吨位汇总!$H$261=0,"",[2]入库吨位汇总!$H$261),""))</f>
        <v/>
      </c>
      <c r="I262" s="76" t="str">
        <f>IF($V$4=0,IF($Q262="","",$Q262),IFERROR(IF([2]入库吨位汇总!$I$261=0,"",[2]入库吨位汇总!$I$261),""))</f>
        <v/>
      </c>
      <c r="J262" s="116"/>
      <c r="K262" s="116"/>
      <c r="L262" s="131"/>
      <c r="M262" s="131"/>
      <c r="N262" s="132"/>
      <c r="O262" s="132"/>
      <c r="P262" s="132"/>
      <c r="Q262" s="132"/>
      <c r="R262" s="133">
        <f t="shared" si="8"/>
        <v>0</v>
      </c>
      <c r="S262" s="133">
        <f t="shared" si="9"/>
        <v>17</v>
      </c>
    </row>
    <row r="263" spans="1:19">
      <c r="A263" s="74">
        <v>262</v>
      </c>
      <c r="B263" s="75" t="str">
        <f>IF($V$4=0,IF($J263="","",$J263),IFERROR(IF([2]入库吨位汇总!$B$262=0,"",[2]入库吨位汇总!$B$262),""))</f>
        <v/>
      </c>
      <c r="C263" s="75" t="str">
        <f>IF($V$4=0,IF($K263="","",$K263),IFERROR(IF([2]入库吨位汇总!$C$262=0,"",[2]入库吨位汇总!$C$262),""))</f>
        <v/>
      </c>
      <c r="D263" s="42" t="str">
        <f>IF($V$4=0,IF($L263="","",$L263),IFERROR(IF([2]入库吨位汇总!$D$262=0,"",[2]入库吨位汇总!$D$262),""))</f>
        <v/>
      </c>
      <c r="E263" s="42" t="str">
        <f>IF($V$4=0,IF($M263="","",$M263),IFERROR(IF([2]入库吨位汇总!$E$262=0,"",[2]入库吨位汇总!$E$262),""))</f>
        <v/>
      </c>
      <c r="F263" s="76" t="str">
        <f>IF($V$4=0,IF($N263="","",$N263),IFERROR(IF([2]入库吨位汇总!$K$262=0,"",[2]入库吨位汇总!$K$262),""))</f>
        <v/>
      </c>
      <c r="G263" s="122" t="str">
        <f>IF($V$4=0,IF($O263="","",$O263),IFERROR(IF([2]入库吨位汇总!$L$262=0,"",[2]入库吨位汇总!$L$262),""))</f>
        <v/>
      </c>
      <c r="H263" s="76" t="str">
        <f>IF($V$4=0,IF($P263="","",$P263),IFERROR(IF([2]入库吨位汇总!$H$262=0,"",[2]入库吨位汇总!$H$262),""))</f>
        <v/>
      </c>
      <c r="I263" s="76" t="str">
        <f>IF($V$4=0,IF($Q263="","",$Q263),IFERROR(IF([2]入库吨位汇总!$I$262=0,"",[2]入库吨位汇总!$I$262),""))</f>
        <v/>
      </c>
      <c r="J263" s="116"/>
      <c r="K263" s="116"/>
      <c r="L263" s="131"/>
      <c r="M263" s="131"/>
      <c r="N263" s="132"/>
      <c r="O263" s="132"/>
      <c r="P263" s="132"/>
      <c r="Q263" s="132"/>
      <c r="R263" s="133">
        <f t="shared" si="8"/>
        <v>0</v>
      </c>
      <c r="S263" s="133">
        <f t="shared" si="9"/>
        <v>17</v>
      </c>
    </row>
    <row r="264" spans="1:19">
      <c r="A264" s="74">
        <v>263</v>
      </c>
      <c r="B264" s="75" t="str">
        <f>IF($V$4=0,IF($J264="","",$J264),IFERROR(IF([2]入库吨位汇总!$B$263=0,"",[2]入库吨位汇总!$B$263),""))</f>
        <v/>
      </c>
      <c r="C264" s="75" t="str">
        <f>IF($V$4=0,IF($K264="","",$K264),IFERROR(IF([2]入库吨位汇总!$C$263=0,"",[2]入库吨位汇总!$C$263),""))</f>
        <v/>
      </c>
      <c r="D264" s="42" t="str">
        <f>IF($V$4=0,IF($L264="","",$L264),IFERROR(IF([2]入库吨位汇总!$D$263=0,"",[2]入库吨位汇总!$D$263),""))</f>
        <v/>
      </c>
      <c r="E264" s="42" t="str">
        <f>IF($V$4=0,IF($M264="","",$M264),IFERROR(IF([2]入库吨位汇总!$E$263=0,"",[2]入库吨位汇总!$E$263),""))</f>
        <v/>
      </c>
      <c r="F264" s="76" t="str">
        <f>IF($V$4=0,IF($N264="","",$N264),IFERROR(IF([2]入库吨位汇总!$K$263=0,"",[2]入库吨位汇总!$K$263),""))</f>
        <v/>
      </c>
      <c r="G264" s="122" t="str">
        <f>IF($V$4=0,IF($O264="","",$O264),IFERROR(IF([2]入库吨位汇总!$L$263=0,"",[2]入库吨位汇总!$L$263),""))</f>
        <v/>
      </c>
      <c r="H264" s="76" t="str">
        <f>IF($V$4=0,IF($P264="","",$P264),IFERROR(IF([2]入库吨位汇总!$H$263=0,"",[2]入库吨位汇总!$H$263),""))</f>
        <v/>
      </c>
      <c r="I264" s="76" t="str">
        <f>IF($V$4=0,IF($Q264="","",$Q264),IFERROR(IF([2]入库吨位汇总!$I$263=0,"",[2]入库吨位汇总!$I$263),""))</f>
        <v/>
      </c>
      <c r="J264" s="116"/>
      <c r="K264" s="116"/>
      <c r="L264" s="131"/>
      <c r="M264" s="131"/>
      <c r="N264" s="132"/>
      <c r="O264" s="132"/>
      <c r="P264" s="132"/>
      <c r="Q264" s="132"/>
      <c r="R264" s="133">
        <f t="shared" si="8"/>
        <v>0</v>
      </c>
      <c r="S264" s="133">
        <f t="shared" si="9"/>
        <v>17</v>
      </c>
    </row>
    <row r="265" spans="1:19">
      <c r="A265" s="74">
        <v>264</v>
      </c>
      <c r="B265" s="75" t="str">
        <f>IF($V$4=0,IF($J265="","",$J265),IFERROR(IF([2]入库吨位汇总!$B$264=0,"",[2]入库吨位汇总!$B$264),""))</f>
        <v/>
      </c>
      <c r="C265" s="75" t="str">
        <f>IF($V$4=0,IF($K265="","",$K265),IFERROR(IF([2]入库吨位汇总!$C$264=0,"",[2]入库吨位汇总!$C$264),""))</f>
        <v/>
      </c>
      <c r="D265" s="42" t="str">
        <f>IF($V$4=0,IF($L265="","",$L265),IFERROR(IF([2]入库吨位汇总!$D$264=0,"",[2]入库吨位汇总!$D$264),""))</f>
        <v/>
      </c>
      <c r="E265" s="42" t="str">
        <f>IF($V$4=0,IF($M265="","",$M265),IFERROR(IF([2]入库吨位汇总!$E$264=0,"",[2]入库吨位汇总!$E$264),""))</f>
        <v/>
      </c>
      <c r="F265" s="76" t="str">
        <f>IF($V$4=0,IF($N265="","",$N265),IFERROR(IF([2]入库吨位汇总!$K$264=0,"",[2]入库吨位汇总!$K$264),""))</f>
        <v/>
      </c>
      <c r="G265" s="122" t="str">
        <f>IF($V$4=0,IF($O265="","",$O265),IFERROR(IF([2]入库吨位汇总!$L$264=0,"",[2]入库吨位汇总!$L$264),""))</f>
        <v/>
      </c>
      <c r="H265" s="76" t="str">
        <f>IF($V$4=0,IF($P265="","",$P265),IFERROR(IF([2]入库吨位汇总!$H$264=0,"",[2]入库吨位汇总!$H$264),""))</f>
        <v/>
      </c>
      <c r="I265" s="76" t="str">
        <f>IF($V$4=0,IF($Q265="","",$Q265),IFERROR(IF([2]入库吨位汇总!$I$264=0,"",[2]入库吨位汇总!$I$264),""))</f>
        <v/>
      </c>
      <c r="J265" s="116"/>
      <c r="K265" s="116"/>
      <c r="L265" s="131"/>
      <c r="M265" s="131"/>
      <c r="N265" s="132"/>
      <c r="O265" s="132"/>
      <c r="P265" s="132"/>
      <c r="Q265" s="132"/>
      <c r="R265" s="133">
        <f t="shared" si="8"/>
        <v>0</v>
      </c>
      <c r="S265" s="133">
        <f t="shared" si="9"/>
        <v>17</v>
      </c>
    </row>
    <row r="266" spans="1:19">
      <c r="A266" s="74">
        <v>265</v>
      </c>
      <c r="B266" s="75" t="str">
        <f>IF($V$4=0,IF($J266="","",$J266),IFERROR(IF([2]入库吨位汇总!$B$265=0,"",[2]入库吨位汇总!$B$265),""))</f>
        <v/>
      </c>
      <c r="C266" s="75" t="str">
        <f>IF($V$4=0,IF($K266="","",$K266),IFERROR(IF([2]入库吨位汇总!$C$265=0,"",[2]入库吨位汇总!$C$265),""))</f>
        <v/>
      </c>
      <c r="D266" s="42" t="str">
        <f>IF($V$4=0,IF($L266="","",$L266),IFERROR(IF([2]入库吨位汇总!$D$265=0,"",[2]入库吨位汇总!$D$265),""))</f>
        <v/>
      </c>
      <c r="E266" s="42" t="str">
        <f>IF($V$4=0,IF($M266="","",$M266),IFERROR(IF([2]入库吨位汇总!$E$265=0,"",[2]入库吨位汇总!$E$265),""))</f>
        <v/>
      </c>
      <c r="F266" s="76" t="str">
        <f>IF($V$4=0,IF($N266="","",$N266),IFERROR(IF([2]入库吨位汇总!$K$265=0,"",[2]入库吨位汇总!$K$265),""))</f>
        <v/>
      </c>
      <c r="G266" s="122" t="str">
        <f>IF($V$4=0,IF($O266="","",$O266),IFERROR(IF([2]入库吨位汇总!$L$265=0,"",[2]入库吨位汇总!$L$265),""))</f>
        <v/>
      </c>
      <c r="H266" s="76" t="str">
        <f>IF($V$4=0,IF($P266="","",$P266),IFERROR(IF([2]入库吨位汇总!$H$265=0,"",[2]入库吨位汇总!$H$265),""))</f>
        <v/>
      </c>
      <c r="I266" s="76" t="str">
        <f>IF($V$4=0,IF($Q266="","",$Q266),IFERROR(IF([2]入库吨位汇总!$I$265=0,"",[2]入库吨位汇总!$I$265),""))</f>
        <v/>
      </c>
      <c r="J266" s="116"/>
      <c r="K266" s="116"/>
      <c r="L266" s="131"/>
      <c r="M266" s="131"/>
      <c r="N266" s="132"/>
      <c r="O266" s="132"/>
      <c r="P266" s="132"/>
      <c r="Q266" s="132"/>
      <c r="R266" s="133">
        <f t="shared" si="8"/>
        <v>0</v>
      </c>
      <c r="S266" s="133">
        <f t="shared" si="9"/>
        <v>17</v>
      </c>
    </row>
    <row r="267" spans="1:19">
      <c r="A267" s="74">
        <v>266</v>
      </c>
      <c r="B267" s="75" t="str">
        <f>IF($V$4=0,IF($J267="","",$J267),IFERROR(IF([2]入库吨位汇总!$B$266=0,"",[2]入库吨位汇总!$B$266),""))</f>
        <v/>
      </c>
      <c r="C267" s="75" t="str">
        <f>IF($V$4=0,IF($K267="","",$K267),IFERROR(IF([2]入库吨位汇总!$C$266=0,"",[2]入库吨位汇总!$C$266),""))</f>
        <v/>
      </c>
      <c r="D267" s="42" t="str">
        <f>IF($V$4=0,IF($L267="","",$L267),IFERROR(IF([2]入库吨位汇总!$D$266=0,"",[2]入库吨位汇总!$D$266),""))</f>
        <v/>
      </c>
      <c r="E267" s="42" t="str">
        <f>IF($V$4=0,IF($M267="","",$M267),IFERROR(IF([2]入库吨位汇总!$E$266=0,"",[2]入库吨位汇总!$E$266),""))</f>
        <v/>
      </c>
      <c r="F267" s="76" t="str">
        <f>IF($V$4=0,IF($N267="","",$N267),IFERROR(IF([2]入库吨位汇总!$K$266=0,"",[2]入库吨位汇总!$K$266),""))</f>
        <v/>
      </c>
      <c r="G267" s="122" t="str">
        <f>IF($V$4=0,IF($O267="","",$O267),IFERROR(IF([2]入库吨位汇总!$L$266=0,"",[2]入库吨位汇总!$L$266),""))</f>
        <v/>
      </c>
      <c r="H267" s="76" t="str">
        <f>IF($V$4=0,IF($P267="","",$P267),IFERROR(IF([2]入库吨位汇总!$H$266=0,"",[2]入库吨位汇总!$H$266),""))</f>
        <v/>
      </c>
      <c r="I267" s="76" t="str">
        <f>IF($V$4=0,IF($Q267="","",$Q267),IFERROR(IF([2]入库吨位汇总!$I$266=0,"",[2]入库吨位汇总!$I$266),""))</f>
        <v/>
      </c>
      <c r="J267" s="116"/>
      <c r="K267" s="116"/>
      <c r="L267" s="131"/>
      <c r="M267" s="131"/>
      <c r="N267" s="132"/>
      <c r="O267" s="132"/>
      <c r="P267" s="132"/>
      <c r="Q267" s="132"/>
      <c r="R267" s="133">
        <f t="shared" si="8"/>
        <v>0</v>
      </c>
      <c r="S267" s="133">
        <f t="shared" si="9"/>
        <v>17</v>
      </c>
    </row>
    <row r="268" spans="1:19">
      <c r="A268" s="74">
        <v>267</v>
      </c>
      <c r="B268" s="75" t="str">
        <f>IF($V$4=0,IF($J268="","",$J268),IFERROR(IF([2]入库吨位汇总!$B$267=0,"",[2]入库吨位汇总!$B$267),""))</f>
        <v/>
      </c>
      <c r="C268" s="75" t="str">
        <f>IF($V$4=0,IF($K268="","",$K268),IFERROR(IF([2]入库吨位汇总!$C$267=0,"",[2]入库吨位汇总!$C$267),""))</f>
        <v/>
      </c>
      <c r="D268" s="42" t="str">
        <f>IF($V$4=0,IF($L268="","",$L268),IFERROR(IF([2]入库吨位汇总!$D$267=0,"",[2]入库吨位汇总!$D$267),""))</f>
        <v/>
      </c>
      <c r="E268" s="42" t="str">
        <f>IF($V$4=0,IF($M268="","",$M268),IFERROR(IF([2]入库吨位汇总!$E$267=0,"",[2]入库吨位汇总!$E$267),""))</f>
        <v/>
      </c>
      <c r="F268" s="76" t="str">
        <f>IF($V$4=0,IF($N268="","",$N268),IFERROR(IF([2]入库吨位汇总!$K$267=0,"",[2]入库吨位汇总!$K$267),""))</f>
        <v/>
      </c>
      <c r="G268" s="122" t="str">
        <f>IF($V$4=0,IF($O268="","",$O268),IFERROR(IF([2]入库吨位汇总!$L$267=0,"",[2]入库吨位汇总!$L$267),""))</f>
        <v/>
      </c>
      <c r="H268" s="76" t="str">
        <f>IF($V$4=0,IF($P268="","",$P268),IFERROR(IF([2]入库吨位汇总!$H$267=0,"",[2]入库吨位汇总!$H$267),""))</f>
        <v/>
      </c>
      <c r="I268" s="76" t="str">
        <f>IF($V$4=0,IF($Q268="","",$Q268),IFERROR(IF([2]入库吨位汇总!$I$267=0,"",[2]入库吨位汇总!$I$267),""))</f>
        <v/>
      </c>
      <c r="J268" s="116"/>
      <c r="K268" s="116"/>
      <c r="L268" s="131"/>
      <c r="M268" s="131"/>
      <c r="N268" s="132"/>
      <c r="O268" s="132"/>
      <c r="P268" s="132"/>
      <c r="Q268" s="132"/>
      <c r="R268" s="133">
        <f t="shared" si="8"/>
        <v>0</v>
      </c>
      <c r="S268" s="133">
        <f t="shared" si="9"/>
        <v>17</v>
      </c>
    </row>
    <row r="269" spans="1:19">
      <c r="A269" s="74">
        <v>268</v>
      </c>
      <c r="B269" s="75" t="str">
        <f>IF($V$4=0,IF($J269="","",$J269),IFERROR(IF([2]入库吨位汇总!$B$268=0,"",[2]入库吨位汇总!$B$268),""))</f>
        <v/>
      </c>
      <c r="C269" s="75" t="str">
        <f>IF($V$4=0,IF($K269="","",$K269),IFERROR(IF([2]入库吨位汇总!$C$268=0,"",[2]入库吨位汇总!$C$268),""))</f>
        <v/>
      </c>
      <c r="D269" s="42" t="str">
        <f>IF($V$4=0,IF($L269="","",$L269),IFERROR(IF([2]入库吨位汇总!$D$268=0,"",[2]入库吨位汇总!$D$268),""))</f>
        <v/>
      </c>
      <c r="E269" s="42" t="str">
        <f>IF($V$4=0,IF($M269="","",$M269),IFERROR(IF([2]入库吨位汇总!$E$268=0,"",[2]入库吨位汇总!$E$268),""))</f>
        <v/>
      </c>
      <c r="F269" s="76" t="str">
        <f>IF($V$4=0,IF($N269="","",$N269),IFERROR(IF([2]入库吨位汇总!$K$268=0,"",[2]入库吨位汇总!$K$268),""))</f>
        <v/>
      </c>
      <c r="G269" s="122" t="str">
        <f>IF($V$4=0,IF($O269="","",$O269),IFERROR(IF([2]入库吨位汇总!$L$268=0,"",[2]入库吨位汇总!$L$268),""))</f>
        <v/>
      </c>
      <c r="H269" s="76" t="str">
        <f>IF($V$4=0,IF($P269="","",$P269),IFERROR(IF([2]入库吨位汇总!$H$268=0,"",[2]入库吨位汇总!$H$268),""))</f>
        <v/>
      </c>
      <c r="I269" s="76" t="str">
        <f>IF($V$4=0,IF($Q269="","",$Q269),IFERROR(IF([2]入库吨位汇总!$I$268=0,"",[2]入库吨位汇总!$I$268),""))</f>
        <v/>
      </c>
      <c r="J269" s="116"/>
      <c r="K269" s="116"/>
      <c r="L269" s="131"/>
      <c r="M269" s="131"/>
      <c r="N269" s="132"/>
      <c r="O269" s="132"/>
      <c r="P269" s="132"/>
      <c r="Q269" s="132"/>
      <c r="R269" s="133">
        <f t="shared" si="8"/>
        <v>0</v>
      </c>
      <c r="S269" s="133">
        <f t="shared" si="9"/>
        <v>17</v>
      </c>
    </row>
    <row r="270" spans="1:19">
      <c r="A270" s="74">
        <v>269</v>
      </c>
      <c r="B270" s="75" t="str">
        <f>IF($V$4=0,IF($J270="","",$J270),IFERROR(IF([2]入库吨位汇总!$B$269=0,"",[2]入库吨位汇总!$B$269),""))</f>
        <v/>
      </c>
      <c r="C270" s="75" t="str">
        <f>IF($V$4=0,IF($K270="","",$K270),IFERROR(IF([2]入库吨位汇总!$C$269=0,"",[2]入库吨位汇总!$C$269),""))</f>
        <v/>
      </c>
      <c r="D270" s="42" t="str">
        <f>IF($V$4=0,IF($L270="","",$L270),IFERROR(IF([2]入库吨位汇总!$D$269=0,"",[2]入库吨位汇总!$D$269),""))</f>
        <v/>
      </c>
      <c r="E270" s="42" t="str">
        <f>IF($V$4=0,IF($M270="","",$M270),IFERROR(IF([2]入库吨位汇总!$E$269=0,"",[2]入库吨位汇总!$E$269),""))</f>
        <v/>
      </c>
      <c r="F270" s="76" t="str">
        <f>IF($V$4=0,IF($N270="","",$N270),IFERROR(IF([2]入库吨位汇总!$K$269=0,"",[2]入库吨位汇总!$K$269),""))</f>
        <v/>
      </c>
      <c r="G270" s="122" t="str">
        <f>IF($V$4=0,IF($O270="","",$O270),IFERROR(IF([2]入库吨位汇总!$L$269=0,"",[2]入库吨位汇总!$L$269),""))</f>
        <v/>
      </c>
      <c r="H270" s="76" t="str">
        <f>IF($V$4=0,IF($P270="","",$P270),IFERROR(IF([2]入库吨位汇总!$H$269=0,"",[2]入库吨位汇总!$H$269),""))</f>
        <v/>
      </c>
      <c r="I270" s="76" t="str">
        <f>IF($V$4=0,IF($Q270="","",$Q270),IFERROR(IF([2]入库吨位汇总!$I$269=0,"",[2]入库吨位汇总!$I$269),""))</f>
        <v/>
      </c>
      <c r="J270" s="116"/>
      <c r="K270" s="116"/>
      <c r="L270" s="131"/>
      <c r="M270" s="131"/>
      <c r="N270" s="132"/>
      <c r="O270" s="132"/>
      <c r="P270" s="132"/>
      <c r="Q270" s="132"/>
      <c r="R270" s="133">
        <f t="shared" si="8"/>
        <v>0</v>
      </c>
      <c r="S270" s="133">
        <f t="shared" si="9"/>
        <v>17</v>
      </c>
    </row>
    <row r="271" spans="1:19">
      <c r="A271" s="74">
        <v>270</v>
      </c>
      <c r="B271" s="75" t="str">
        <f>IF($V$4=0,IF($J271="","",$J271),IFERROR(IF([2]入库吨位汇总!$B$270=0,"",[2]入库吨位汇总!$B$270),""))</f>
        <v/>
      </c>
      <c r="C271" s="75" t="str">
        <f>IF($V$4=0,IF($K271="","",$K271),IFERROR(IF([2]入库吨位汇总!$C$270=0,"",[2]入库吨位汇总!$C$270),""))</f>
        <v/>
      </c>
      <c r="D271" s="42" t="str">
        <f>IF($V$4=0,IF($L271="","",$L271),IFERROR(IF([2]入库吨位汇总!$D$270=0,"",[2]入库吨位汇总!$D$270),""))</f>
        <v/>
      </c>
      <c r="E271" s="42" t="str">
        <f>IF($V$4=0,IF($M271="","",$M271),IFERROR(IF([2]入库吨位汇总!$E$270=0,"",[2]入库吨位汇总!$E$270),""))</f>
        <v/>
      </c>
      <c r="F271" s="76" t="str">
        <f>IF($V$4=0,IF($N271="","",$N271),IFERROR(IF([2]入库吨位汇总!$K$270=0,"",[2]入库吨位汇总!$K$270),""))</f>
        <v/>
      </c>
      <c r="G271" s="122" t="str">
        <f>IF($V$4=0,IF($O271="","",$O271),IFERROR(IF([2]入库吨位汇总!$L$270=0,"",[2]入库吨位汇总!$L$270),""))</f>
        <v/>
      </c>
      <c r="H271" s="76" t="str">
        <f>IF($V$4=0,IF($P271="","",$P271),IFERROR(IF([2]入库吨位汇总!$H$270=0,"",[2]入库吨位汇总!$H$270),""))</f>
        <v/>
      </c>
      <c r="I271" s="76" t="str">
        <f>IF($V$4=0,IF($Q271="","",$Q271),IFERROR(IF([2]入库吨位汇总!$I$270=0,"",[2]入库吨位汇总!$I$270),""))</f>
        <v/>
      </c>
      <c r="J271" s="116"/>
      <c r="K271" s="116"/>
      <c r="L271" s="131"/>
      <c r="M271" s="131"/>
      <c r="N271" s="132"/>
      <c r="O271" s="132"/>
      <c r="P271" s="132"/>
      <c r="Q271" s="132"/>
      <c r="R271" s="133">
        <f t="shared" si="8"/>
        <v>0</v>
      </c>
      <c r="S271" s="133">
        <f t="shared" si="9"/>
        <v>17</v>
      </c>
    </row>
    <row r="272" spans="1:19">
      <c r="A272" s="74">
        <v>271</v>
      </c>
      <c r="B272" s="75" t="str">
        <f>IF($V$4=0,IF($J272="","",$J272),IFERROR(IF([2]入库吨位汇总!$B$271=0,"",[2]入库吨位汇总!$B$271),""))</f>
        <v/>
      </c>
      <c r="C272" s="75" t="str">
        <f>IF($V$4=0,IF($K272="","",$K272),IFERROR(IF([2]入库吨位汇总!$C$271=0,"",[2]入库吨位汇总!$C$271),""))</f>
        <v/>
      </c>
      <c r="D272" s="42" t="str">
        <f>IF($V$4=0,IF($L272="","",$L272),IFERROR(IF([2]入库吨位汇总!$D$271=0,"",[2]入库吨位汇总!$D$271),""))</f>
        <v/>
      </c>
      <c r="E272" s="42" t="str">
        <f>IF($V$4=0,IF($M272="","",$M272),IFERROR(IF([2]入库吨位汇总!$E$271=0,"",[2]入库吨位汇总!$E$271),""))</f>
        <v/>
      </c>
      <c r="F272" s="76" t="str">
        <f>IF($V$4=0,IF($N272="","",$N272),IFERROR(IF([2]入库吨位汇总!$K$271=0,"",[2]入库吨位汇总!$K$271),""))</f>
        <v/>
      </c>
      <c r="G272" s="122" t="str">
        <f>IF($V$4=0,IF($O272="","",$O272),IFERROR(IF([2]入库吨位汇总!$L$271=0,"",[2]入库吨位汇总!$L$271),""))</f>
        <v/>
      </c>
      <c r="H272" s="76" t="str">
        <f>IF($V$4=0,IF($P272="","",$P272),IFERROR(IF([2]入库吨位汇总!$H$271=0,"",[2]入库吨位汇总!$H$271),""))</f>
        <v/>
      </c>
      <c r="I272" s="76" t="str">
        <f>IF($V$4=0,IF($Q272="","",$Q272),IFERROR(IF([2]入库吨位汇总!$I$271=0,"",[2]入库吨位汇总!$I$271),""))</f>
        <v/>
      </c>
      <c r="J272" s="116"/>
      <c r="K272" s="116"/>
      <c r="L272" s="131"/>
      <c r="M272" s="131"/>
      <c r="N272" s="132"/>
      <c r="O272" s="132"/>
      <c r="P272" s="132"/>
      <c r="Q272" s="132"/>
      <c r="R272" s="133">
        <f t="shared" si="8"/>
        <v>0</v>
      </c>
      <c r="S272" s="133">
        <f t="shared" si="9"/>
        <v>17</v>
      </c>
    </row>
    <row r="273" spans="1:19">
      <c r="A273" s="74">
        <v>272</v>
      </c>
      <c r="B273" s="75" t="str">
        <f>IF($V$4=0,IF($J273="","",$J273),IFERROR(IF([2]入库吨位汇总!$B$272=0,"",[2]入库吨位汇总!$B$272),""))</f>
        <v/>
      </c>
      <c r="C273" s="75" t="str">
        <f>IF($V$4=0,IF($K273="","",$K273),IFERROR(IF([2]入库吨位汇总!$C$272=0,"",[2]入库吨位汇总!$C$272),""))</f>
        <v/>
      </c>
      <c r="D273" s="42" t="str">
        <f>IF($V$4=0,IF($L273="","",$L273),IFERROR(IF([2]入库吨位汇总!$D$272=0,"",[2]入库吨位汇总!$D$272),""))</f>
        <v/>
      </c>
      <c r="E273" s="42" t="str">
        <f>IF($V$4=0,IF($M273="","",$M273),IFERROR(IF([2]入库吨位汇总!$E$272=0,"",[2]入库吨位汇总!$E$272),""))</f>
        <v/>
      </c>
      <c r="F273" s="76" t="str">
        <f>IF($V$4=0,IF($N273="","",$N273),IFERROR(IF([2]入库吨位汇总!$K$272=0,"",[2]入库吨位汇总!$K$272),""))</f>
        <v/>
      </c>
      <c r="G273" s="122" t="str">
        <f>IF($V$4=0,IF($O273="","",$O273),IFERROR(IF([2]入库吨位汇总!$L$272=0,"",[2]入库吨位汇总!$L$272),""))</f>
        <v/>
      </c>
      <c r="H273" s="76" t="str">
        <f>IF($V$4=0,IF($P273="","",$P273),IFERROR(IF([2]入库吨位汇总!$H$272=0,"",[2]入库吨位汇总!$H$272),""))</f>
        <v/>
      </c>
      <c r="I273" s="76" t="str">
        <f>IF($V$4=0,IF($Q273="","",$Q273),IFERROR(IF([2]入库吨位汇总!$I$272=0,"",[2]入库吨位汇总!$I$272),""))</f>
        <v/>
      </c>
      <c r="J273" s="116"/>
      <c r="K273" s="116"/>
      <c r="L273" s="131"/>
      <c r="M273" s="131"/>
      <c r="N273" s="132"/>
      <c r="O273" s="132"/>
      <c r="P273" s="132"/>
      <c r="Q273" s="132"/>
      <c r="R273" s="133">
        <f t="shared" si="8"/>
        <v>0</v>
      </c>
      <c r="S273" s="133">
        <f t="shared" si="9"/>
        <v>17</v>
      </c>
    </row>
    <row r="274" spans="1:19">
      <c r="A274" s="74">
        <v>273</v>
      </c>
      <c r="B274" s="75" t="str">
        <f>IF($V$4=0,IF($J274="","",$J274),IFERROR(IF([2]入库吨位汇总!$B$273=0,"",[2]入库吨位汇总!$B$273),""))</f>
        <v/>
      </c>
      <c r="C274" s="75" t="str">
        <f>IF($V$4=0,IF($K274="","",$K274),IFERROR(IF([2]入库吨位汇总!$C$273=0,"",[2]入库吨位汇总!$C$273),""))</f>
        <v/>
      </c>
      <c r="D274" s="42" t="str">
        <f>IF($V$4=0,IF($L274="","",$L274),IFERROR(IF([2]入库吨位汇总!$D$273=0,"",[2]入库吨位汇总!$D$273),""))</f>
        <v/>
      </c>
      <c r="E274" s="42" t="str">
        <f>IF($V$4=0,IF($M274="","",$M274),IFERROR(IF([2]入库吨位汇总!$E$273=0,"",[2]入库吨位汇总!$E$273),""))</f>
        <v/>
      </c>
      <c r="F274" s="76" t="str">
        <f>IF($V$4=0,IF($N274="","",$N274),IFERROR(IF([2]入库吨位汇总!$K$273=0,"",[2]入库吨位汇总!$K$273),""))</f>
        <v/>
      </c>
      <c r="G274" s="122" t="str">
        <f>IF($V$4=0,IF($O274="","",$O274),IFERROR(IF([2]入库吨位汇总!$L$273=0,"",[2]入库吨位汇总!$L$273),""))</f>
        <v/>
      </c>
      <c r="H274" s="76" t="str">
        <f>IF($V$4=0,IF($P274="","",$P274),IFERROR(IF([2]入库吨位汇总!$H$273=0,"",[2]入库吨位汇总!$H$273),""))</f>
        <v/>
      </c>
      <c r="I274" s="76" t="str">
        <f>IF($V$4=0,IF($Q274="","",$Q274),IFERROR(IF([2]入库吨位汇总!$I$273=0,"",[2]入库吨位汇总!$I$273),""))</f>
        <v/>
      </c>
      <c r="J274" s="116"/>
      <c r="K274" s="116"/>
      <c r="L274" s="131"/>
      <c r="M274" s="131"/>
      <c r="N274" s="132"/>
      <c r="O274" s="132"/>
      <c r="P274" s="132"/>
      <c r="Q274" s="132"/>
      <c r="R274" s="133">
        <f t="shared" si="8"/>
        <v>0</v>
      </c>
      <c r="S274" s="133">
        <f t="shared" si="9"/>
        <v>17</v>
      </c>
    </row>
    <row r="275" spans="1:19">
      <c r="A275" s="74">
        <v>274</v>
      </c>
      <c r="B275" s="75" t="str">
        <f>IF($V$4=0,IF($J275="","",$J275),IFERROR(IF([2]入库吨位汇总!$B$274=0,"",[2]入库吨位汇总!$B$274),""))</f>
        <v/>
      </c>
      <c r="C275" s="75" t="str">
        <f>IF($V$4=0,IF($K275="","",$K275),IFERROR(IF([2]入库吨位汇总!$C$274=0,"",[2]入库吨位汇总!$C$274),""))</f>
        <v/>
      </c>
      <c r="D275" s="42" t="str">
        <f>IF($V$4=0,IF($L275="","",$L275),IFERROR(IF([2]入库吨位汇总!$D$274=0,"",[2]入库吨位汇总!$D$274),""))</f>
        <v/>
      </c>
      <c r="E275" s="42" t="str">
        <f>IF($V$4=0,IF($M275="","",$M275),IFERROR(IF([2]入库吨位汇总!$E$274=0,"",[2]入库吨位汇总!$E$274),""))</f>
        <v/>
      </c>
      <c r="F275" s="76" t="str">
        <f>IF($V$4=0,IF($N275="","",$N275),IFERROR(IF([2]入库吨位汇总!$K$274=0,"",[2]入库吨位汇总!$K$274),""))</f>
        <v/>
      </c>
      <c r="G275" s="122" t="str">
        <f>IF($V$4=0,IF($O275="","",$O275),IFERROR(IF([2]入库吨位汇总!$L$274=0,"",[2]入库吨位汇总!$L$274),""))</f>
        <v/>
      </c>
      <c r="H275" s="76" t="str">
        <f>IF($V$4=0,IF($P275="","",$P275),IFERROR(IF([2]入库吨位汇总!$H$274=0,"",[2]入库吨位汇总!$H$274),""))</f>
        <v/>
      </c>
      <c r="I275" s="76" t="str">
        <f>IF($V$4=0,IF($Q275="","",$Q275),IFERROR(IF([2]入库吨位汇总!$I$274=0,"",[2]入库吨位汇总!$I$274),""))</f>
        <v/>
      </c>
      <c r="J275" s="116"/>
      <c r="K275" s="116"/>
      <c r="L275" s="131"/>
      <c r="M275" s="131"/>
      <c r="N275" s="132"/>
      <c r="O275" s="132"/>
      <c r="P275" s="132"/>
      <c r="Q275" s="132"/>
      <c r="R275" s="133">
        <f t="shared" si="8"/>
        <v>0</v>
      </c>
      <c r="S275" s="133">
        <f t="shared" si="9"/>
        <v>17</v>
      </c>
    </row>
    <row r="276" spans="1:19">
      <c r="A276" s="74">
        <v>275</v>
      </c>
      <c r="B276" s="75" t="str">
        <f>IF($V$4=0,IF($J276="","",$J276),IFERROR(IF([2]入库吨位汇总!$B$275=0,"",[2]入库吨位汇总!$B$275),""))</f>
        <v/>
      </c>
      <c r="C276" s="75" t="str">
        <f>IF($V$4=0,IF($K276="","",$K276),IFERROR(IF([2]入库吨位汇总!$C$275=0,"",[2]入库吨位汇总!$C$275),""))</f>
        <v/>
      </c>
      <c r="D276" s="42" t="str">
        <f>IF($V$4=0,IF($L276="","",$L276),IFERROR(IF([2]入库吨位汇总!$D$275=0,"",[2]入库吨位汇总!$D$275),""))</f>
        <v/>
      </c>
      <c r="E276" s="42" t="str">
        <f>IF($V$4=0,IF($M276="","",$M276),IFERROR(IF([2]入库吨位汇总!$E$275=0,"",[2]入库吨位汇总!$E$275),""))</f>
        <v/>
      </c>
      <c r="F276" s="76" t="str">
        <f>IF($V$4=0,IF($N276="","",$N276),IFERROR(IF([2]入库吨位汇总!$K$275=0,"",[2]入库吨位汇总!$K$275),""))</f>
        <v/>
      </c>
      <c r="G276" s="122" t="str">
        <f>IF($V$4=0,IF($O276="","",$O276),IFERROR(IF([2]入库吨位汇总!$L$275=0,"",[2]入库吨位汇总!$L$275),""))</f>
        <v/>
      </c>
      <c r="H276" s="76" t="str">
        <f>IF($V$4=0,IF($P276="","",$P276),IFERROR(IF([2]入库吨位汇总!$H$275=0,"",[2]入库吨位汇总!$H$275),""))</f>
        <v/>
      </c>
      <c r="I276" s="76" t="str">
        <f>IF($V$4=0,IF($Q276="","",$Q276),IFERROR(IF([2]入库吨位汇总!$I$275=0,"",[2]入库吨位汇总!$I$275),""))</f>
        <v/>
      </c>
      <c r="J276" s="116"/>
      <c r="K276" s="116"/>
      <c r="L276" s="131"/>
      <c r="M276" s="131"/>
      <c r="N276" s="132"/>
      <c r="O276" s="132"/>
      <c r="P276" s="132"/>
      <c r="Q276" s="132"/>
      <c r="R276" s="133">
        <f t="shared" si="8"/>
        <v>0</v>
      </c>
      <c r="S276" s="133">
        <f t="shared" si="9"/>
        <v>17</v>
      </c>
    </row>
    <row r="277" spans="1:19">
      <c r="A277" s="74">
        <v>276</v>
      </c>
      <c r="B277" s="75" t="str">
        <f>IF($V$4=0,IF($J277="","",$J277),IFERROR(IF([2]入库吨位汇总!$B$276=0,"",[2]入库吨位汇总!$B$276),""))</f>
        <v/>
      </c>
      <c r="C277" s="75" t="str">
        <f>IF($V$4=0,IF($K277="","",$K277),IFERROR(IF([2]入库吨位汇总!$C$276=0,"",[2]入库吨位汇总!$C$276),""))</f>
        <v/>
      </c>
      <c r="D277" s="42" t="str">
        <f>IF($V$4=0,IF($L277="","",$L277),IFERROR(IF([2]入库吨位汇总!$D$276=0,"",[2]入库吨位汇总!$D$276),""))</f>
        <v/>
      </c>
      <c r="E277" s="42" t="str">
        <f>IF($V$4=0,IF($M277="","",$M277),IFERROR(IF([2]入库吨位汇总!$E$276=0,"",[2]入库吨位汇总!$E$276),""))</f>
        <v/>
      </c>
      <c r="F277" s="76" t="str">
        <f>IF($V$4=0,IF($N277="","",$N277),IFERROR(IF([2]入库吨位汇总!$K$276=0,"",[2]入库吨位汇总!$K$276),""))</f>
        <v/>
      </c>
      <c r="G277" s="122" t="str">
        <f>IF($V$4=0,IF($O277="","",$O277),IFERROR(IF([2]入库吨位汇总!$L$276=0,"",[2]入库吨位汇总!$L$276),""))</f>
        <v/>
      </c>
      <c r="H277" s="76" t="str">
        <f>IF($V$4=0,IF($P277="","",$P277),IFERROR(IF([2]入库吨位汇总!$H$276=0,"",[2]入库吨位汇总!$H$276),""))</f>
        <v/>
      </c>
      <c r="I277" s="76" t="str">
        <f>IF($V$4=0,IF($Q277="","",$Q277),IFERROR(IF([2]入库吨位汇总!$I$276=0,"",[2]入库吨位汇总!$I$276),""))</f>
        <v/>
      </c>
      <c r="J277" s="116"/>
      <c r="K277" s="116"/>
      <c r="L277" s="131"/>
      <c r="M277" s="131"/>
      <c r="N277" s="132"/>
      <c r="O277" s="132"/>
      <c r="P277" s="132"/>
      <c r="Q277" s="132"/>
      <c r="R277" s="133">
        <f t="shared" si="8"/>
        <v>0</v>
      </c>
      <c r="S277" s="133">
        <f t="shared" si="9"/>
        <v>17</v>
      </c>
    </row>
    <row r="278" spans="1:19">
      <c r="A278" s="74">
        <v>277</v>
      </c>
      <c r="B278" s="75" t="str">
        <f>IF($V$4=0,IF($J278="","",$J278),IFERROR(IF([2]入库吨位汇总!$B$277=0,"",[2]入库吨位汇总!$B$277),""))</f>
        <v/>
      </c>
      <c r="C278" s="75" t="str">
        <f>IF($V$4=0,IF($K278="","",$K278),IFERROR(IF([2]入库吨位汇总!$C$277=0,"",[2]入库吨位汇总!$C$277),""))</f>
        <v/>
      </c>
      <c r="D278" s="42" t="str">
        <f>IF($V$4=0,IF($L278="","",$L278),IFERROR(IF([2]入库吨位汇总!$D$277=0,"",[2]入库吨位汇总!$D$277),""))</f>
        <v/>
      </c>
      <c r="E278" s="42" t="str">
        <f>IF($V$4=0,IF($M278="","",$M278),IFERROR(IF([2]入库吨位汇总!$E$277=0,"",[2]入库吨位汇总!$E$277),""))</f>
        <v/>
      </c>
      <c r="F278" s="76" t="str">
        <f>IF($V$4=0,IF($N278="","",$N278),IFERROR(IF([2]入库吨位汇总!$K$277=0,"",[2]入库吨位汇总!$K$277),""))</f>
        <v/>
      </c>
      <c r="G278" s="122" t="str">
        <f>IF($V$4=0,IF($O278="","",$O278),IFERROR(IF([2]入库吨位汇总!$L$277=0,"",[2]入库吨位汇总!$L$277),""))</f>
        <v/>
      </c>
      <c r="H278" s="76" t="str">
        <f>IF($V$4=0,IF($P278="","",$P278),IFERROR(IF([2]入库吨位汇总!$H$277=0,"",[2]入库吨位汇总!$H$277),""))</f>
        <v/>
      </c>
      <c r="I278" s="76" t="str">
        <f>IF($V$4=0,IF($Q278="","",$Q278),IFERROR(IF([2]入库吨位汇总!$I$277=0,"",[2]入库吨位汇总!$I$277),""))</f>
        <v/>
      </c>
      <c r="J278" s="116"/>
      <c r="K278" s="116"/>
      <c r="L278" s="131"/>
      <c r="M278" s="131"/>
      <c r="N278" s="132"/>
      <c r="O278" s="132"/>
      <c r="P278" s="132"/>
      <c r="Q278" s="132"/>
      <c r="R278" s="133">
        <f t="shared" si="8"/>
        <v>0</v>
      </c>
      <c r="S278" s="133">
        <f t="shared" si="9"/>
        <v>17</v>
      </c>
    </row>
    <row r="279" spans="1:19">
      <c r="A279" s="74">
        <v>278</v>
      </c>
      <c r="B279" s="75" t="str">
        <f>IF($V$4=0,IF($J279="","",$J279),IFERROR(IF([2]入库吨位汇总!$B$278=0,"",[2]入库吨位汇总!$B$278),""))</f>
        <v/>
      </c>
      <c r="C279" s="75" t="str">
        <f>IF($V$4=0,IF($K279="","",$K279),IFERROR(IF([2]入库吨位汇总!$C$278=0,"",[2]入库吨位汇总!$C$278),""))</f>
        <v/>
      </c>
      <c r="D279" s="42" t="str">
        <f>IF($V$4=0,IF($L279="","",$L279),IFERROR(IF([2]入库吨位汇总!$D$278=0,"",[2]入库吨位汇总!$D$278),""))</f>
        <v/>
      </c>
      <c r="E279" s="42" t="str">
        <f>IF($V$4=0,IF($M279="","",$M279),IFERROR(IF([2]入库吨位汇总!$E$278=0,"",[2]入库吨位汇总!$E$278),""))</f>
        <v/>
      </c>
      <c r="F279" s="76" t="str">
        <f>IF($V$4=0,IF($N279="","",$N279),IFERROR(IF([2]入库吨位汇总!$K$278=0,"",[2]入库吨位汇总!$K$278),""))</f>
        <v/>
      </c>
      <c r="G279" s="122" t="str">
        <f>IF($V$4=0,IF($O279="","",$O279),IFERROR(IF([2]入库吨位汇总!$L$278=0,"",[2]入库吨位汇总!$L$278),""))</f>
        <v/>
      </c>
      <c r="H279" s="76" t="str">
        <f>IF($V$4=0,IF($P279="","",$P279),IFERROR(IF([2]入库吨位汇总!$H$278=0,"",[2]入库吨位汇总!$H$278),""))</f>
        <v/>
      </c>
      <c r="I279" s="76" t="str">
        <f>IF($V$4=0,IF($Q279="","",$Q279),IFERROR(IF([2]入库吨位汇总!$I$278=0,"",[2]入库吨位汇总!$I$278),""))</f>
        <v/>
      </c>
      <c r="J279" s="116"/>
      <c r="K279" s="116"/>
      <c r="L279" s="131"/>
      <c r="M279" s="131"/>
      <c r="N279" s="132"/>
      <c r="O279" s="132"/>
      <c r="P279" s="132"/>
      <c r="Q279" s="132"/>
      <c r="R279" s="133">
        <f t="shared" si="8"/>
        <v>0</v>
      </c>
      <c r="S279" s="133">
        <f t="shared" si="9"/>
        <v>17</v>
      </c>
    </row>
    <row r="280" spans="1:19">
      <c r="A280" s="74">
        <v>279</v>
      </c>
      <c r="B280" s="75" t="str">
        <f>IF($V$4=0,IF($J280="","",$J280),IFERROR(IF([2]入库吨位汇总!$B$279=0,"",[2]入库吨位汇总!$B$279),""))</f>
        <v/>
      </c>
      <c r="C280" s="75" t="str">
        <f>IF($V$4=0,IF($K280="","",$K280),IFERROR(IF([2]入库吨位汇总!$C$279=0,"",[2]入库吨位汇总!$C$279),""))</f>
        <v/>
      </c>
      <c r="D280" s="42" t="str">
        <f>IF($V$4=0,IF($L280="","",$L280),IFERROR(IF([2]入库吨位汇总!$D$279=0,"",[2]入库吨位汇总!$D$279),""))</f>
        <v/>
      </c>
      <c r="E280" s="42" t="str">
        <f>IF($V$4=0,IF($M280="","",$M280),IFERROR(IF([2]入库吨位汇总!$E$279=0,"",[2]入库吨位汇总!$E$279),""))</f>
        <v/>
      </c>
      <c r="F280" s="76" t="str">
        <f>IF($V$4=0,IF($N280="","",$N280),IFERROR(IF([2]入库吨位汇总!$K$279=0,"",[2]入库吨位汇总!$K$279),""))</f>
        <v/>
      </c>
      <c r="G280" s="122" t="str">
        <f>IF($V$4=0,IF($O280="","",$O280),IFERROR(IF([2]入库吨位汇总!$L$279=0,"",[2]入库吨位汇总!$L$279),""))</f>
        <v/>
      </c>
      <c r="H280" s="76" t="str">
        <f>IF($V$4=0,IF($P280="","",$P280),IFERROR(IF([2]入库吨位汇总!$H$279=0,"",[2]入库吨位汇总!$H$279),""))</f>
        <v/>
      </c>
      <c r="I280" s="76" t="str">
        <f>IF($V$4=0,IF($Q280="","",$Q280),IFERROR(IF([2]入库吨位汇总!$I$279=0,"",[2]入库吨位汇总!$I$279),""))</f>
        <v/>
      </c>
      <c r="J280" s="116"/>
      <c r="K280" s="116"/>
      <c r="L280" s="131"/>
      <c r="M280" s="131"/>
      <c r="N280" s="132"/>
      <c r="O280" s="132"/>
      <c r="P280" s="132"/>
      <c r="Q280" s="132"/>
      <c r="R280" s="133">
        <f t="shared" si="8"/>
        <v>0</v>
      </c>
      <c r="S280" s="133">
        <f t="shared" si="9"/>
        <v>17</v>
      </c>
    </row>
    <row r="281" spans="1:19">
      <c r="A281" s="74">
        <v>280</v>
      </c>
      <c r="B281" s="75" t="str">
        <f>IF($V$4=0,IF($J281="","",$J281),IFERROR(IF([2]入库吨位汇总!$B$280=0,"",[2]入库吨位汇总!$B$280),""))</f>
        <v/>
      </c>
      <c r="C281" s="75" t="str">
        <f>IF($V$4=0,IF($K281="","",$K281),IFERROR(IF([2]入库吨位汇总!$C$280=0,"",[2]入库吨位汇总!$C$280),""))</f>
        <v/>
      </c>
      <c r="D281" s="42" t="str">
        <f>IF($V$4=0,IF($L281="","",$L281),IFERROR(IF([2]入库吨位汇总!$D$280=0,"",[2]入库吨位汇总!$D$280),""))</f>
        <v/>
      </c>
      <c r="E281" s="42" t="str">
        <f>IF($V$4=0,IF($M281="","",$M281),IFERROR(IF([2]入库吨位汇总!$E$280=0,"",[2]入库吨位汇总!$E$280),""))</f>
        <v/>
      </c>
      <c r="F281" s="76" t="str">
        <f>IF($V$4=0,IF($N281="","",$N281),IFERROR(IF([2]入库吨位汇总!$K$280=0,"",[2]入库吨位汇总!$K$280),""))</f>
        <v/>
      </c>
      <c r="G281" s="122" t="str">
        <f>IF($V$4=0,IF($O281="","",$O281),IFERROR(IF([2]入库吨位汇总!$L$280=0,"",[2]入库吨位汇总!$L$280),""))</f>
        <v/>
      </c>
      <c r="H281" s="76" t="str">
        <f>IF($V$4=0,IF($P281="","",$P281),IFERROR(IF([2]入库吨位汇总!$H$280=0,"",[2]入库吨位汇总!$H$280),""))</f>
        <v/>
      </c>
      <c r="I281" s="76" t="str">
        <f>IF($V$4=0,IF($Q281="","",$Q281),IFERROR(IF([2]入库吨位汇总!$I$280=0,"",[2]入库吨位汇总!$I$280),""))</f>
        <v/>
      </c>
      <c r="J281" s="116"/>
      <c r="K281" s="116"/>
      <c r="L281" s="131"/>
      <c r="M281" s="131"/>
      <c r="N281" s="132"/>
      <c r="O281" s="132"/>
      <c r="P281" s="132"/>
      <c r="Q281" s="132"/>
      <c r="R281" s="133">
        <f t="shared" si="8"/>
        <v>0</v>
      </c>
      <c r="S281" s="133">
        <f t="shared" si="9"/>
        <v>17</v>
      </c>
    </row>
    <row r="282" spans="1:19">
      <c r="A282" s="74">
        <v>281</v>
      </c>
      <c r="B282" s="75" t="str">
        <f>IF($V$4=0,IF($J282="","",$J282),IFERROR(IF([2]入库吨位汇总!$B$281=0,"",[2]入库吨位汇总!$B$281),""))</f>
        <v/>
      </c>
      <c r="C282" s="75" t="str">
        <f>IF($V$4=0,IF($K282="","",$K282),IFERROR(IF([2]入库吨位汇总!$C$281=0,"",[2]入库吨位汇总!$C$281),""))</f>
        <v/>
      </c>
      <c r="D282" s="42" t="str">
        <f>IF($V$4=0,IF($L282="","",$L282),IFERROR(IF([2]入库吨位汇总!$D$281=0,"",[2]入库吨位汇总!$D$281),""))</f>
        <v/>
      </c>
      <c r="E282" s="42" t="str">
        <f>IF($V$4=0,IF($M282="","",$M282),IFERROR(IF([2]入库吨位汇总!$E$281=0,"",[2]入库吨位汇总!$E$281),""))</f>
        <v/>
      </c>
      <c r="F282" s="76" t="str">
        <f>IF($V$4=0,IF($N282="","",$N282),IFERROR(IF([2]入库吨位汇总!$K$281=0,"",[2]入库吨位汇总!$K$281),""))</f>
        <v/>
      </c>
      <c r="G282" s="122" t="str">
        <f>IF($V$4=0,IF($O282="","",$O282),IFERROR(IF([2]入库吨位汇总!$L$281=0,"",[2]入库吨位汇总!$L$281),""))</f>
        <v/>
      </c>
      <c r="H282" s="76" t="str">
        <f>IF($V$4=0,IF($P282="","",$P282),IFERROR(IF([2]入库吨位汇总!$H$281=0,"",[2]入库吨位汇总!$H$281),""))</f>
        <v/>
      </c>
      <c r="I282" s="76" t="str">
        <f>IF($V$4=0,IF($Q282="","",$Q282),IFERROR(IF([2]入库吨位汇总!$I$281=0,"",[2]入库吨位汇总!$I$281),""))</f>
        <v/>
      </c>
      <c r="J282" s="116"/>
      <c r="K282" s="116"/>
      <c r="L282" s="131"/>
      <c r="M282" s="131"/>
      <c r="N282" s="132"/>
      <c r="O282" s="132"/>
      <c r="P282" s="132"/>
      <c r="Q282" s="132"/>
      <c r="R282" s="133">
        <f t="shared" si="8"/>
        <v>0</v>
      </c>
      <c r="S282" s="133">
        <f t="shared" si="9"/>
        <v>17</v>
      </c>
    </row>
    <row r="283" spans="1:19">
      <c r="A283" s="74">
        <v>282</v>
      </c>
      <c r="B283" s="75" t="str">
        <f>IF($V$4=0,IF($J283="","",$J283),IFERROR(IF([2]入库吨位汇总!$B$282=0,"",[2]入库吨位汇总!$B$282),""))</f>
        <v/>
      </c>
      <c r="C283" s="75" t="str">
        <f>IF($V$4=0,IF($K283="","",$K283),IFERROR(IF([2]入库吨位汇总!$C$282=0,"",[2]入库吨位汇总!$C$282),""))</f>
        <v/>
      </c>
      <c r="D283" s="42" t="str">
        <f>IF($V$4=0,IF($L283="","",$L283),IFERROR(IF([2]入库吨位汇总!$D$282=0,"",[2]入库吨位汇总!$D$282),""))</f>
        <v/>
      </c>
      <c r="E283" s="42" t="str">
        <f>IF($V$4=0,IF($M283="","",$M283),IFERROR(IF([2]入库吨位汇总!$E$282=0,"",[2]入库吨位汇总!$E$282),""))</f>
        <v/>
      </c>
      <c r="F283" s="76" t="str">
        <f>IF($V$4=0,IF($N283="","",$N283),IFERROR(IF([2]入库吨位汇总!$K$282=0,"",[2]入库吨位汇总!$K$282),""))</f>
        <v/>
      </c>
      <c r="G283" s="122" t="str">
        <f>IF($V$4=0,IF($O283="","",$O283),IFERROR(IF([2]入库吨位汇总!$L$282=0,"",[2]入库吨位汇总!$L$282),""))</f>
        <v/>
      </c>
      <c r="H283" s="76" t="str">
        <f>IF($V$4=0,IF($P283="","",$P283),IFERROR(IF([2]入库吨位汇总!$H$282=0,"",[2]入库吨位汇总!$H$282),""))</f>
        <v/>
      </c>
      <c r="I283" s="76" t="str">
        <f>IF($V$4=0,IF($Q283="","",$Q283),IFERROR(IF([2]入库吨位汇总!$I$282=0,"",[2]入库吨位汇总!$I$282),""))</f>
        <v/>
      </c>
      <c r="J283" s="116"/>
      <c r="K283" s="116"/>
      <c r="L283" s="131"/>
      <c r="M283" s="131"/>
      <c r="N283" s="132"/>
      <c r="O283" s="132"/>
      <c r="P283" s="132"/>
      <c r="Q283" s="132"/>
      <c r="R283" s="133">
        <f t="shared" si="8"/>
        <v>0</v>
      </c>
      <c r="S283" s="133">
        <f t="shared" si="9"/>
        <v>17</v>
      </c>
    </row>
    <row r="284" spans="1:19">
      <c r="A284" s="74">
        <v>283</v>
      </c>
      <c r="B284" s="75" t="str">
        <f>IF($V$4=0,IF($J284="","",$J284),IFERROR(IF([2]入库吨位汇总!$B$283=0,"",[2]入库吨位汇总!$B$283),""))</f>
        <v/>
      </c>
      <c r="C284" s="75" t="str">
        <f>IF($V$4=0,IF($K284="","",$K284),IFERROR(IF([2]入库吨位汇总!$C$283=0,"",[2]入库吨位汇总!$C$283),""))</f>
        <v/>
      </c>
      <c r="D284" s="42" t="str">
        <f>IF($V$4=0,IF($L284="","",$L284),IFERROR(IF([2]入库吨位汇总!$D$283=0,"",[2]入库吨位汇总!$D$283),""))</f>
        <v/>
      </c>
      <c r="E284" s="42" t="str">
        <f>IF($V$4=0,IF($M284="","",$M284),IFERROR(IF([2]入库吨位汇总!$E$283=0,"",[2]入库吨位汇总!$E$283),""))</f>
        <v/>
      </c>
      <c r="F284" s="76" t="str">
        <f>IF($V$4=0,IF($N284="","",$N284),IFERROR(IF([2]入库吨位汇总!$K$283=0,"",[2]入库吨位汇总!$K$283),""))</f>
        <v/>
      </c>
      <c r="G284" s="122" t="str">
        <f>IF($V$4=0,IF($O284="","",$O284),IFERROR(IF([2]入库吨位汇总!$L$283=0,"",[2]入库吨位汇总!$L$283),""))</f>
        <v/>
      </c>
      <c r="H284" s="76" t="str">
        <f>IF($V$4=0,IF($P284="","",$P284),IFERROR(IF([2]入库吨位汇总!$H$283=0,"",[2]入库吨位汇总!$H$283),""))</f>
        <v/>
      </c>
      <c r="I284" s="76" t="str">
        <f>IF($V$4=0,IF($Q284="","",$Q284),IFERROR(IF([2]入库吨位汇总!$I$283=0,"",[2]入库吨位汇总!$I$283),""))</f>
        <v/>
      </c>
      <c r="J284" s="116"/>
      <c r="K284" s="116"/>
      <c r="L284" s="131"/>
      <c r="M284" s="131"/>
      <c r="N284" s="132"/>
      <c r="O284" s="132"/>
      <c r="P284" s="132"/>
      <c r="Q284" s="132"/>
      <c r="R284" s="133">
        <f t="shared" si="8"/>
        <v>0</v>
      </c>
      <c r="S284" s="133">
        <f t="shared" si="9"/>
        <v>17</v>
      </c>
    </row>
    <row r="285" spans="1:19">
      <c r="A285" s="74">
        <v>284</v>
      </c>
      <c r="B285" s="75" t="str">
        <f>IF($V$4=0,IF($J285="","",$J285),IFERROR(IF([2]入库吨位汇总!$B$284=0,"",[2]入库吨位汇总!$B$284),""))</f>
        <v/>
      </c>
      <c r="C285" s="75" t="str">
        <f>IF($V$4=0,IF($K285="","",$K285),IFERROR(IF([2]入库吨位汇总!$C$284=0,"",[2]入库吨位汇总!$C$284),""))</f>
        <v/>
      </c>
      <c r="D285" s="42" t="str">
        <f>IF($V$4=0,IF($L285="","",$L285),IFERROR(IF([2]入库吨位汇总!$D$284=0,"",[2]入库吨位汇总!$D$284),""))</f>
        <v/>
      </c>
      <c r="E285" s="42" t="str">
        <f>IF($V$4=0,IF($M285="","",$M285),IFERROR(IF([2]入库吨位汇总!$E$284=0,"",[2]入库吨位汇总!$E$284),""))</f>
        <v/>
      </c>
      <c r="F285" s="76" t="str">
        <f>IF($V$4=0,IF($N285="","",$N285),IFERROR(IF([2]入库吨位汇总!$K$284=0,"",[2]入库吨位汇总!$K$284),""))</f>
        <v/>
      </c>
      <c r="G285" s="122" t="str">
        <f>IF($V$4=0,IF($O285="","",$O285),IFERROR(IF([2]入库吨位汇总!$L$284=0,"",[2]入库吨位汇总!$L$284),""))</f>
        <v/>
      </c>
      <c r="H285" s="76" t="str">
        <f>IF($V$4=0,IF($P285="","",$P285),IFERROR(IF([2]入库吨位汇总!$H$284=0,"",[2]入库吨位汇总!$H$284),""))</f>
        <v/>
      </c>
      <c r="I285" s="76" t="str">
        <f>IF($V$4=0,IF($Q285="","",$Q285),IFERROR(IF([2]入库吨位汇总!$I$284=0,"",[2]入库吨位汇总!$I$284),""))</f>
        <v/>
      </c>
      <c r="J285" s="116"/>
      <c r="K285" s="116"/>
      <c r="L285" s="131"/>
      <c r="M285" s="131"/>
      <c r="N285" s="132"/>
      <c r="O285" s="132"/>
      <c r="P285" s="132"/>
      <c r="Q285" s="132"/>
      <c r="R285" s="133">
        <f t="shared" si="8"/>
        <v>0</v>
      </c>
      <c r="S285" s="133">
        <f t="shared" si="9"/>
        <v>17</v>
      </c>
    </row>
    <row r="286" spans="1:19">
      <c r="A286" s="74">
        <v>285</v>
      </c>
      <c r="B286" s="75" t="str">
        <f>IF($V$4=0,IF($J286="","",$J286),IFERROR(IF([2]入库吨位汇总!$B$285=0,"",[2]入库吨位汇总!$B$285),""))</f>
        <v/>
      </c>
      <c r="C286" s="75" t="str">
        <f>IF($V$4=0,IF($K286="","",$K286),IFERROR(IF([2]入库吨位汇总!$C$285=0,"",[2]入库吨位汇总!$C$285),""))</f>
        <v/>
      </c>
      <c r="D286" s="42" t="str">
        <f>IF($V$4=0,IF($L286="","",$L286),IFERROR(IF([2]入库吨位汇总!$D$285=0,"",[2]入库吨位汇总!$D$285),""))</f>
        <v/>
      </c>
      <c r="E286" s="42" t="str">
        <f>IF($V$4=0,IF($M286="","",$M286),IFERROR(IF([2]入库吨位汇总!$E$285=0,"",[2]入库吨位汇总!$E$285),""))</f>
        <v/>
      </c>
      <c r="F286" s="76" t="str">
        <f>IF($V$4=0,IF($N286="","",$N286),IFERROR(IF([2]入库吨位汇总!$K$285=0,"",[2]入库吨位汇总!$K$285),""))</f>
        <v/>
      </c>
      <c r="G286" s="122" t="str">
        <f>IF($V$4=0,IF($O286="","",$O286),IFERROR(IF([2]入库吨位汇总!$L$285=0,"",[2]入库吨位汇总!$L$285),""))</f>
        <v/>
      </c>
      <c r="H286" s="76" t="str">
        <f>IF($V$4=0,IF($P286="","",$P286),IFERROR(IF([2]入库吨位汇总!$H$285=0,"",[2]入库吨位汇总!$H$285),""))</f>
        <v/>
      </c>
      <c r="I286" s="76" t="str">
        <f>IF($V$4=0,IF($Q286="","",$Q286),IFERROR(IF([2]入库吨位汇总!$I$285=0,"",[2]入库吨位汇总!$I$285),""))</f>
        <v/>
      </c>
      <c r="J286" s="116"/>
      <c r="K286" s="116"/>
      <c r="L286" s="131"/>
      <c r="M286" s="131"/>
      <c r="N286" s="132"/>
      <c r="O286" s="132"/>
      <c r="P286" s="132"/>
      <c r="Q286" s="132"/>
      <c r="R286" s="133">
        <f t="shared" si="8"/>
        <v>0</v>
      </c>
      <c r="S286" s="133">
        <f t="shared" si="9"/>
        <v>17</v>
      </c>
    </row>
    <row r="287" spans="1:19">
      <c r="A287" s="74">
        <v>286</v>
      </c>
      <c r="B287" s="75" t="str">
        <f>IF($V$4=0,IF($J287="","",$J287),IFERROR(IF([2]入库吨位汇总!$B$286=0,"",[2]入库吨位汇总!$B$286),""))</f>
        <v/>
      </c>
      <c r="C287" s="75" t="str">
        <f>IF($V$4=0,IF($K287="","",$K287),IFERROR(IF([2]入库吨位汇总!$C$286=0,"",[2]入库吨位汇总!$C$286),""))</f>
        <v/>
      </c>
      <c r="D287" s="42" t="str">
        <f>IF($V$4=0,IF($L287="","",$L287),IFERROR(IF([2]入库吨位汇总!$D$286=0,"",[2]入库吨位汇总!$D$286),""))</f>
        <v/>
      </c>
      <c r="E287" s="42" t="str">
        <f>IF($V$4=0,IF($M287="","",$M287),IFERROR(IF([2]入库吨位汇总!$E$286=0,"",[2]入库吨位汇总!$E$286),""))</f>
        <v/>
      </c>
      <c r="F287" s="76" t="str">
        <f>IF($V$4=0,IF($N287="","",$N287),IFERROR(IF([2]入库吨位汇总!$K$286=0,"",[2]入库吨位汇总!$K$286),""))</f>
        <v/>
      </c>
      <c r="G287" s="122" t="str">
        <f>IF($V$4=0,IF($O287="","",$O287),IFERROR(IF([2]入库吨位汇总!$L$286=0,"",[2]入库吨位汇总!$L$286),""))</f>
        <v/>
      </c>
      <c r="H287" s="76" t="str">
        <f>IF($V$4=0,IF($P287="","",$P287),IFERROR(IF([2]入库吨位汇总!$H$286=0,"",[2]入库吨位汇总!$H$286),""))</f>
        <v/>
      </c>
      <c r="I287" s="76" t="str">
        <f>IF($V$4=0,IF($Q287="","",$Q287),IFERROR(IF([2]入库吨位汇总!$I$286=0,"",[2]入库吨位汇总!$I$286),""))</f>
        <v/>
      </c>
      <c r="J287" s="116"/>
      <c r="K287" s="116"/>
      <c r="L287" s="131"/>
      <c r="M287" s="131"/>
      <c r="N287" s="132"/>
      <c r="O287" s="132"/>
      <c r="P287" s="132"/>
      <c r="Q287" s="132"/>
      <c r="R287" s="133">
        <f t="shared" si="8"/>
        <v>0</v>
      </c>
      <c r="S287" s="133">
        <f t="shared" si="9"/>
        <v>17</v>
      </c>
    </row>
    <row r="288" spans="1:19">
      <c r="A288" s="74">
        <v>287</v>
      </c>
      <c r="B288" s="75" t="str">
        <f>IF($V$4=0,IF($J288="","",$J288),IFERROR(IF([2]入库吨位汇总!$B$287=0,"",[2]入库吨位汇总!$B$287),""))</f>
        <v/>
      </c>
      <c r="C288" s="75" t="str">
        <f>IF($V$4=0,IF($K288="","",$K288),IFERROR(IF([2]入库吨位汇总!$C$287=0,"",[2]入库吨位汇总!$C$287),""))</f>
        <v/>
      </c>
      <c r="D288" s="42" t="str">
        <f>IF($V$4=0,IF($L288="","",$L288),IFERROR(IF([2]入库吨位汇总!$D$287=0,"",[2]入库吨位汇总!$D$287),""))</f>
        <v/>
      </c>
      <c r="E288" s="42" t="str">
        <f>IF($V$4=0,IF($M288="","",$M288),IFERROR(IF([2]入库吨位汇总!$E$287=0,"",[2]入库吨位汇总!$E$287),""))</f>
        <v/>
      </c>
      <c r="F288" s="76" t="str">
        <f>IF($V$4=0,IF($N288="","",$N288),IFERROR(IF([2]入库吨位汇总!$K$287=0,"",[2]入库吨位汇总!$K$287),""))</f>
        <v/>
      </c>
      <c r="G288" s="122" t="str">
        <f>IF($V$4=0,IF($O288="","",$O288),IFERROR(IF([2]入库吨位汇总!$L$287=0,"",[2]入库吨位汇总!$L$287),""))</f>
        <v/>
      </c>
      <c r="H288" s="76" t="str">
        <f>IF($V$4=0,IF($P288="","",$P288),IFERROR(IF([2]入库吨位汇总!$H$287=0,"",[2]入库吨位汇总!$H$287),""))</f>
        <v/>
      </c>
      <c r="I288" s="76" t="str">
        <f>IF($V$4=0,IF($Q288="","",$Q288),IFERROR(IF([2]入库吨位汇总!$I$287=0,"",[2]入库吨位汇总!$I$287),""))</f>
        <v/>
      </c>
      <c r="J288" s="116"/>
      <c r="K288" s="116"/>
      <c r="L288" s="131"/>
      <c r="M288" s="131"/>
      <c r="N288" s="132"/>
      <c r="O288" s="132"/>
      <c r="P288" s="132"/>
      <c r="Q288" s="132"/>
      <c r="R288" s="133">
        <f t="shared" si="8"/>
        <v>0</v>
      </c>
      <c r="S288" s="133">
        <f t="shared" si="9"/>
        <v>17</v>
      </c>
    </row>
    <row r="289" spans="1:19">
      <c r="A289" s="74">
        <v>288</v>
      </c>
      <c r="B289" s="75" t="str">
        <f>IF($V$4=0,IF($J289="","",$J289),IFERROR(IF([2]入库吨位汇总!$B$288=0,"",[2]入库吨位汇总!$B$288),""))</f>
        <v/>
      </c>
      <c r="C289" s="75" t="str">
        <f>IF($V$4=0,IF($K289="","",$K289),IFERROR(IF([2]入库吨位汇总!$C$288=0,"",[2]入库吨位汇总!$C$288),""))</f>
        <v/>
      </c>
      <c r="D289" s="42" t="str">
        <f>IF($V$4=0,IF($L289="","",$L289),IFERROR(IF([2]入库吨位汇总!$D$288=0,"",[2]入库吨位汇总!$D$288),""))</f>
        <v/>
      </c>
      <c r="E289" s="42" t="str">
        <f>IF($V$4=0,IF($M289="","",$M289),IFERROR(IF([2]入库吨位汇总!$E$288=0,"",[2]入库吨位汇总!$E$288),""))</f>
        <v/>
      </c>
      <c r="F289" s="76" t="str">
        <f>IF($V$4=0,IF($N289="","",$N289),IFERROR(IF([2]入库吨位汇总!$K$288=0,"",[2]入库吨位汇总!$K$288),""))</f>
        <v/>
      </c>
      <c r="G289" s="122" t="str">
        <f>IF($V$4=0,IF($O289="","",$O289),IFERROR(IF([2]入库吨位汇总!$L$288=0,"",[2]入库吨位汇总!$L$288),""))</f>
        <v/>
      </c>
      <c r="H289" s="76" t="str">
        <f>IF($V$4=0,IF($P289="","",$P289),IFERROR(IF([2]入库吨位汇总!$H$288=0,"",[2]入库吨位汇总!$H$288),""))</f>
        <v/>
      </c>
      <c r="I289" s="76" t="str">
        <f>IF($V$4=0,IF($Q289="","",$Q289),IFERROR(IF([2]入库吨位汇总!$I$288=0,"",[2]入库吨位汇总!$I$288),""))</f>
        <v/>
      </c>
      <c r="J289" s="116"/>
      <c r="K289" s="116"/>
      <c r="L289" s="131"/>
      <c r="M289" s="131"/>
      <c r="N289" s="132"/>
      <c r="O289" s="132"/>
      <c r="P289" s="132"/>
      <c r="Q289" s="132"/>
      <c r="R289" s="133">
        <f t="shared" si="8"/>
        <v>0</v>
      </c>
      <c r="S289" s="133">
        <f t="shared" si="9"/>
        <v>17</v>
      </c>
    </row>
    <row r="290" spans="1:19">
      <c r="A290" s="74">
        <v>289</v>
      </c>
      <c r="B290" s="75" t="str">
        <f>IF($V$4=0,IF($J290="","",$J290),IFERROR(IF([2]入库吨位汇总!$B$289=0,"",[2]入库吨位汇总!$B$289),""))</f>
        <v/>
      </c>
      <c r="C290" s="75" t="str">
        <f>IF($V$4=0,IF($K290="","",$K290),IFERROR(IF([2]入库吨位汇总!$C$289=0,"",[2]入库吨位汇总!$C$289),""))</f>
        <v/>
      </c>
      <c r="D290" s="42" t="str">
        <f>IF($V$4=0,IF($L290="","",$L290),IFERROR(IF([2]入库吨位汇总!$D$289=0,"",[2]入库吨位汇总!$D$289),""))</f>
        <v/>
      </c>
      <c r="E290" s="42" t="str">
        <f>IF($V$4=0,IF($M290="","",$M290),IFERROR(IF([2]入库吨位汇总!$E$289=0,"",[2]入库吨位汇总!$E$289),""))</f>
        <v/>
      </c>
      <c r="F290" s="76" t="str">
        <f>IF($V$4=0,IF($N290="","",$N290),IFERROR(IF([2]入库吨位汇总!$K$289=0,"",[2]入库吨位汇总!$K$289),""))</f>
        <v/>
      </c>
      <c r="G290" s="122" t="str">
        <f>IF($V$4=0,IF($O290="","",$O290),IFERROR(IF([2]入库吨位汇总!$L$289=0,"",[2]入库吨位汇总!$L$289),""))</f>
        <v/>
      </c>
      <c r="H290" s="76" t="str">
        <f>IF($V$4=0,IF($P290="","",$P290),IFERROR(IF([2]入库吨位汇总!$H$289=0,"",[2]入库吨位汇总!$H$289),""))</f>
        <v/>
      </c>
      <c r="I290" s="76" t="str">
        <f>IF($V$4=0,IF($Q290="","",$Q290),IFERROR(IF([2]入库吨位汇总!$I$289=0,"",[2]入库吨位汇总!$I$289),""))</f>
        <v/>
      </c>
      <c r="J290" s="116"/>
      <c r="K290" s="116"/>
      <c r="L290" s="131"/>
      <c r="M290" s="131"/>
      <c r="N290" s="132"/>
      <c r="O290" s="132"/>
      <c r="P290" s="132"/>
      <c r="Q290" s="132"/>
      <c r="R290" s="133">
        <f t="shared" si="8"/>
        <v>0</v>
      </c>
      <c r="S290" s="133">
        <f t="shared" si="9"/>
        <v>17</v>
      </c>
    </row>
    <row r="291" spans="1:19">
      <c r="A291" s="74">
        <v>290</v>
      </c>
      <c r="B291" s="75" t="str">
        <f>IF($V$4=0,IF($J291="","",$J291),IFERROR(IF([2]入库吨位汇总!$B$290=0,"",[2]入库吨位汇总!$B$290),""))</f>
        <v/>
      </c>
      <c r="C291" s="75" t="str">
        <f>IF($V$4=0,IF($K291="","",$K291),IFERROR(IF([2]入库吨位汇总!$C$290=0,"",[2]入库吨位汇总!$C$290),""))</f>
        <v/>
      </c>
      <c r="D291" s="42" t="str">
        <f>IF($V$4=0,IF($L291="","",$L291),IFERROR(IF([2]入库吨位汇总!$D$290=0,"",[2]入库吨位汇总!$D$290),""))</f>
        <v/>
      </c>
      <c r="E291" s="42" t="str">
        <f>IF($V$4=0,IF($M291="","",$M291),IFERROR(IF([2]入库吨位汇总!$E$290=0,"",[2]入库吨位汇总!$E$290),""))</f>
        <v/>
      </c>
      <c r="F291" s="76" t="str">
        <f>IF($V$4=0,IF($N291="","",$N291),IFERROR(IF([2]入库吨位汇总!$K$290=0,"",[2]入库吨位汇总!$K$290),""))</f>
        <v/>
      </c>
      <c r="G291" s="122" t="str">
        <f>IF($V$4=0,IF($O291="","",$O291),IFERROR(IF([2]入库吨位汇总!$L$290=0,"",[2]入库吨位汇总!$L$290),""))</f>
        <v/>
      </c>
      <c r="H291" s="76" t="str">
        <f>IF($V$4=0,IF($P291="","",$P291),IFERROR(IF([2]入库吨位汇总!$H$290=0,"",[2]入库吨位汇总!$H$290),""))</f>
        <v/>
      </c>
      <c r="I291" s="76" t="str">
        <f>IF($V$4=0,IF($Q291="","",$Q291),IFERROR(IF([2]入库吨位汇总!$I$290=0,"",[2]入库吨位汇总!$I$290),""))</f>
        <v/>
      </c>
      <c r="J291" s="116"/>
      <c r="K291" s="116"/>
      <c r="L291" s="131"/>
      <c r="M291" s="131"/>
      <c r="N291" s="132"/>
      <c r="O291" s="132"/>
      <c r="P291" s="132"/>
      <c r="Q291" s="132"/>
      <c r="R291" s="133">
        <f t="shared" si="8"/>
        <v>0</v>
      </c>
      <c r="S291" s="133">
        <f t="shared" si="9"/>
        <v>17</v>
      </c>
    </row>
    <row r="292" spans="1:19">
      <c r="A292" s="74">
        <v>291</v>
      </c>
      <c r="B292" s="75" t="str">
        <f>IF($V$4=0,IF($J292="","",$J292),IFERROR(IF([2]入库吨位汇总!$B$291=0,"",[2]入库吨位汇总!$B$291),""))</f>
        <v/>
      </c>
      <c r="C292" s="75" t="str">
        <f>IF($V$4=0,IF($K292="","",$K292),IFERROR(IF([2]入库吨位汇总!$C$291=0,"",[2]入库吨位汇总!$C$291),""))</f>
        <v/>
      </c>
      <c r="D292" s="42" t="str">
        <f>IF($V$4=0,IF($L292="","",$L292),IFERROR(IF([2]入库吨位汇总!$D$291=0,"",[2]入库吨位汇总!$D$291),""))</f>
        <v/>
      </c>
      <c r="E292" s="42" t="str">
        <f>IF($V$4=0,IF($M292="","",$M292),IFERROR(IF([2]入库吨位汇总!$E$291=0,"",[2]入库吨位汇总!$E$291),""))</f>
        <v/>
      </c>
      <c r="F292" s="76" t="str">
        <f>IF($V$4=0,IF($N292="","",$N292),IFERROR(IF([2]入库吨位汇总!$K$291=0,"",[2]入库吨位汇总!$K$291),""))</f>
        <v/>
      </c>
      <c r="G292" s="122" t="str">
        <f>IF($V$4=0,IF($O292="","",$O292),IFERROR(IF([2]入库吨位汇总!$L$291=0,"",[2]入库吨位汇总!$L$291),""))</f>
        <v/>
      </c>
      <c r="H292" s="76" t="str">
        <f>IF($V$4=0,IF($P292="","",$P292),IFERROR(IF([2]入库吨位汇总!$H$291=0,"",[2]入库吨位汇总!$H$291),""))</f>
        <v/>
      </c>
      <c r="I292" s="76" t="str">
        <f>IF($V$4=0,IF($Q292="","",$Q292),IFERROR(IF([2]入库吨位汇总!$I$291=0,"",[2]入库吨位汇总!$I$291),""))</f>
        <v/>
      </c>
      <c r="J292" s="116"/>
      <c r="K292" s="116"/>
      <c r="L292" s="131"/>
      <c r="M292" s="131"/>
      <c r="N292" s="132"/>
      <c r="O292" s="132"/>
      <c r="P292" s="132"/>
      <c r="Q292" s="132"/>
      <c r="R292" s="133">
        <f t="shared" si="8"/>
        <v>0</v>
      </c>
      <c r="S292" s="133">
        <f t="shared" si="9"/>
        <v>17</v>
      </c>
    </row>
    <row r="293" spans="1:19">
      <c r="A293" s="74">
        <v>292</v>
      </c>
      <c r="B293" s="75" t="str">
        <f>IF($V$4=0,IF($J293="","",$J293),IFERROR(IF([2]入库吨位汇总!$B$292=0,"",[2]入库吨位汇总!$B$292),""))</f>
        <v/>
      </c>
      <c r="C293" s="75" t="str">
        <f>IF($V$4=0,IF($K293="","",$K293),IFERROR(IF([2]入库吨位汇总!$C$292=0,"",[2]入库吨位汇总!$C$292),""))</f>
        <v/>
      </c>
      <c r="D293" s="42" t="str">
        <f>IF($V$4=0,IF($L293="","",$L293),IFERROR(IF([2]入库吨位汇总!$D$292=0,"",[2]入库吨位汇总!$D$292),""))</f>
        <v/>
      </c>
      <c r="E293" s="42" t="str">
        <f>IF($V$4=0,IF($M293="","",$M293),IFERROR(IF([2]入库吨位汇总!$E$292=0,"",[2]入库吨位汇总!$E$292),""))</f>
        <v/>
      </c>
      <c r="F293" s="76" t="str">
        <f>IF($V$4=0,IF($N293="","",$N293),IFERROR(IF([2]入库吨位汇总!$K$292=0,"",[2]入库吨位汇总!$K$292),""))</f>
        <v/>
      </c>
      <c r="G293" s="122" t="str">
        <f>IF($V$4=0,IF($O293="","",$O293),IFERROR(IF([2]入库吨位汇总!$L$292=0,"",[2]入库吨位汇总!$L$292),""))</f>
        <v/>
      </c>
      <c r="H293" s="76" t="str">
        <f>IF($V$4=0,IF($P293="","",$P293),IFERROR(IF([2]入库吨位汇总!$H$292=0,"",[2]入库吨位汇总!$H$292),""))</f>
        <v/>
      </c>
      <c r="I293" s="76" t="str">
        <f>IF($V$4=0,IF($Q293="","",$Q293),IFERROR(IF([2]入库吨位汇总!$I$292=0,"",[2]入库吨位汇总!$I$292),""))</f>
        <v/>
      </c>
      <c r="J293" s="116"/>
      <c r="K293" s="116"/>
      <c r="L293" s="131"/>
      <c r="M293" s="131"/>
      <c r="N293" s="132"/>
      <c r="O293" s="132"/>
      <c r="P293" s="132"/>
      <c r="Q293" s="132"/>
      <c r="R293" s="133">
        <f t="shared" si="8"/>
        <v>0</v>
      </c>
      <c r="S293" s="133">
        <f t="shared" si="9"/>
        <v>17</v>
      </c>
    </row>
    <row r="294" spans="1:19">
      <c r="A294" s="74">
        <v>293</v>
      </c>
      <c r="B294" s="75" t="str">
        <f>IF($V$4=0,IF($J294="","",$J294),IFERROR(IF([2]入库吨位汇总!$B$293=0,"",[2]入库吨位汇总!$B$293),""))</f>
        <v/>
      </c>
      <c r="C294" s="75" t="str">
        <f>IF($V$4=0,IF($K294="","",$K294),IFERROR(IF([2]入库吨位汇总!$C$293=0,"",[2]入库吨位汇总!$C$293),""))</f>
        <v/>
      </c>
      <c r="D294" s="42" t="str">
        <f>IF($V$4=0,IF($L294="","",$L294),IFERROR(IF([2]入库吨位汇总!$D$293=0,"",[2]入库吨位汇总!$D$293),""))</f>
        <v/>
      </c>
      <c r="E294" s="42" t="str">
        <f>IF($V$4=0,IF($M294="","",$M294),IFERROR(IF([2]入库吨位汇总!$E$293=0,"",[2]入库吨位汇总!$E$293),""))</f>
        <v/>
      </c>
      <c r="F294" s="76" t="str">
        <f>IF($V$4=0,IF($N294="","",$N294),IFERROR(IF([2]入库吨位汇总!$K$293=0,"",[2]入库吨位汇总!$K$293),""))</f>
        <v/>
      </c>
      <c r="G294" s="122" t="str">
        <f>IF($V$4=0,IF($O294="","",$O294),IFERROR(IF([2]入库吨位汇总!$L$293=0,"",[2]入库吨位汇总!$L$293),""))</f>
        <v/>
      </c>
      <c r="H294" s="76" t="str">
        <f>IF($V$4=0,IF($P294="","",$P294),IFERROR(IF([2]入库吨位汇总!$H$293=0,"",[2]入库吨位汇总!$H$293),""))</f>
        <v/>
      </c>
      <c r="I294" s="76" t="str">
        <f>IF($V$4=0,IF($Q294="","",$Q294),IFERROR(IF([2]入库吨位汇总!$I$293=0,"",[2]入库吨位汇总!$I$293),""))</f>
        <v/>
      </c>
      <c r="J294" s="116"/>
      <c r="K294" s="116"/>
      <c r="L294" s="131"/>
      <c r="M294" s="131"/>
      <c r="N294" s="132"/>
      <c r="O294" s="132"/>
      <c r="P294" s="132"/>
      <c r="Q294" s="132"/>
      <c r="R294" s="133">
        <f t="shared" si="8"/>
        <v>0</v>
      </c>
      <c r="S294" s="133">
        <f t="shared" si="9"/>
        <v>17</v>
      </c>
    </row>
    <row r="295" spans="1:19">
      <c r="A295" s="74">
        <v>294</v>
      </c>
      <c r="B295" s="75" t="str">
        <f>IF($V$4=0,IF($J295="","",$J295),IFERROR(IF([2]入库吨位汇总!$B$294=0,"",[2]入库吨位汇总!$B$294),""))</f>
        <v/>
      </c>
      <c r="C295" s="75" t="str">
        <f>IF($V$4=0,IF($K295="","",$K295),IFERROR(IF([2]入库吨位汇总!$C$294=0,"",[2]入库吨位汇总!$C$294),""))</f>
        <v/>
      </c>
      <c r="D295" s="42" t="str">
        <f>IF($V$4=0,IF($L295="","",$L295),IFERROR(IF([2]入库吨位汇总!$D$294=0,"",[2]入库吨位汇总!$D$294),""))</f>
        <v/>
      </c>
      <c r="E295" s="42" t="str">
        <f>IF($V$4=0,IF($M295="","",$M295),IFERROR(IF([2]入库吨位汇总!$E$294=0,"",[2]入库吨位汇总!$E$294),""))</f>
        <v/>
      </c>
      <c r="F295" s="76" t="str">
        <f>IF($V$4=0,IF($N295="","",$N295),IFERROR(IF([2]入库吨位汇总!$K$294=0,"",[2]入库吨位汇总!$K$294),""))</f>
        <v/>
      </c>
      <c r="G295" s="122" t="str">
        <f>IF($V$4=0,IF($O295="","",$O295),IFERROR(IF([2]入库吨位汇总!$L$294=0,"",[2]入库吨位汇总!$L$294),""))</f>
        <v/>
      </c>
      <c r="H295" s="76" t="str">
        <f>IF($V$4=0,IF($P295="","",$P295),IFERROR(IF([2]入库吨位汇总!$H$294=0,"",[2]入库吨位汇总!$H$294),""))</f>
        <v/>
      </c>
      <c r="I295" s="76" t="str">
        <f>IF($V$4=0,IF($Q295="","",$Q295),IFERROR(IF([2]入库吨位汇总!$I$294=0,"",[2]入库吨位汇总!$I$294),""))</f>
        <v/>
      </c>
      <c r="J295" s="116"/>
      <c r="K295" s="116"/>
      <c r="L295" s="131"/>
      <c r="M295" s="131"/>
      <c r="N295" s="132"/>
      <c r="O295" s="132"/>
      <c r="P295" s="132"/>
      <c r="Q295" s="132"/>
      <c r="R295" s="133">
        <f t="shared" si="8"/>
        <v>0</v>
      </c>
      <c r="S295" s="133">
        <f t="shared" si="9"/>
        <v>17</v>
      </c>
    </row>
    <row r="296" spans="1:19">
      <c r="A296" s="74">
        <v>295</v>
      </c>
      <c r="B296" s="75" t="str">
        <f>IF($V$4=0,IF($J296="","",$J296),IFERROR(IF([2]入库吨位汇总!$B$295=0,"",[2]入库吨位汇总!$B$295),""))</f>
        <v/>
      </c>
      <c r="C296" s="75" t="str">
        <f>IF($V$4=0,IF($K296="","",$K296),IFERROR(IF([2]入库吨位汇总!$C$295=0,"",[2]入库吨位汇总!$C$295),""))</f>
        <v/>
      </c>
      <c r="D296" s="42" t="str">
        <f>IF($V$4=0,IF($L296="","",$L296),IFERROR(IF([2]入库吨位汇总!$D$295=0,"",[2]入库吨位汇总!$D$295),""))</f>
        <v/>
      </c>
      <c r="E296" s="42" t="str">
        <f>IF($V$4=0,IF($M296="","",$M296),IFERROR(IF([2]入库吨位汇总!$E$295=0,"",[2]入库吨位汇总!$E$295),""))</f>
        <v/>
      </c>
      <c r="F296" s="76" t="str">
        <f>IF($V$4=0,IF($N296="","",$N296),IFERROR(IF([2]入库吨位汇总!$K$295=0,"",[2]入库吨位汇总!$K$295),""))</f>
        <v/>
      </c>
      <c r="G296" s="122" t="str">
        <f>IF($V$4=0,IF($O296="","",$O296),IFERROR(IF([2]入库吨位汇总!$L$295=0,"",[2]入库吨位汇总!$L$295),""))</f>
        <v/>
      </c>
      <c r="H296" s="76" t="str">
        <f>IF($V$4=0,IF($P296="","",$P296),IFERROR(IF([2]入库吨位汇总!$H$295=0,"",[2]入库吨位汇总!$H$295),""))</f>
        <v/>
      </c>
      <c r="I296" s="76" t="str">
        <f>IF($V$4=0,IF($Q296="","",$Q296),IFERROR(IF([2]入库吨位汇总!$I$295=0,"",[2]入库吨位汇总!$I$295),""))</f>
        <v/>
      </c>
      <c r="J296" s="116"/>
      <c r="K296" s="116"/>
      <c r="L296" s="131"/>
      <c r="M296" s="131"/>
      <c r="N296" s="132"/>
      <c r="O296" s="132"/>
      <c r="P296" s="132"/>
      <c r="Q296" s="132"/>
      <c r="R296" s="133">
        <f t="shared" si="8"/>
        <v>0</v>
      </c>
      <c r="S296" s="133">
        <f t="shared" si="9"/>
        <v>17</v>
      </c>
    </row>
    <row r="297" spans="1:19">
      <c r="A297" s="74">
        <v>296</v>
      </c>
      <c r="B297" s="75" t="str">
        <f>IF($V$4=0,IF($J297="","",$J297),IFERROR(IF([2]入库吨位汇总!$B$296=0,"",[2]入库吨位汇总!$B$296),""))</f>
        <v/>
      </c>
      <c r="C297" s="75" t="str">
        <f>IF($V$4=0,IF($K297="","",$K297),IFERROR(IF([2]入库吨位汇总!$C$296=0,"",[2]入库吨位汇总!$C$296),""))</f>
        <v/>
      </c>
      <c r="D297" s="42" t="str">
        <f>IF($V$4=0,IF($L297="","",$L297),IFERROR(IF([2]入库吨位汇总!$D$296=0,"",[2]入库吨位汇总!$D$296),""))</f>
        <v/>
      </c>
      <c r="E297" s="42" t="str">
        <f>IF($V$4=0,IF($M297="","",$M297),IFERROR(IF([2]入库吨位汇总!$E$296=0,"",[2]入库吨位汇总!$E$296),""))</f>
        <v/>
      </c>
      <c r="F297" s="76" t="str">
        <f>IF($V$4=0,IF($N297="","",$N297),IFERROR(IF([2]入库吨位汇总!$K$296=0,"",[2]入库吨位汇总!$K$296),""))</f>
        <v/>
      </c>
      <c r="G297" s="122" t="str">
        <f>IF($V$4=0,IF($O297="","",$O297),IFERROR(IF([2]入库吨位汇总!$L$296=0,"",[2]入库吨位汇总!$L$296),""))</f>
        <v/>
      </c>
      <c r="H297" s="76" t="str">
        <f>IF($V$4=0,IF($P297="","",$P297),IFERROR(IF([2]入库吨位汇总!$H$296=0,"",[2]入库吨位汇总!$H$296),""))</f>
        <v/>
      </c>
      <c r="I297" s="76" t="str">
        <f>IF($V$4=0,IF($Q297="","",$Q297),IFERROR(IF([2]入库吨位汇总!$I$296=0,"",[2]入库吨位汇总!$I$296),""))</f>
        <v/>
      </c>
      <c r="J297" s="116"/>
      <c r="K297" s="116"/>
      <c r="L297" s="131"/>
      <c r="M297" s="131"/>
      <c r="N297" s="132"/>
      <c r="O297" s="132"/>
      <c r="P297" s="132"/>
      <c r="Q297" s="132"/>
      <c r="R297" s="133">
        <f t="shared" si="8"/>
        <v>0</v>
      </c>
      <c r="S297" s="133">
        <f t="shared" si="9"/>
        <v>17</v>
      </c>
    </row>
    <row r="298" spans="1:19">
      <c r="A298" s="74">
        <v>297</v>
      </c>
      <c r="B298" s="75" t="str">
        <f>IF($V$4=0,IF($J298="","",$J298),IFERROR(IF([2]入库吨位汇总!$B$297=0,"",[2]入库吨位汇总!$B$297),""))</f>
        <v/>
      </c>
      <c r="C298" s="75" t="str">
        <f>IF($V$4=0,IF($K298="","",$K298),IFERROR(IF([2]入库吨位汇总!$C$297=0,"",[2]入库吨位汇总!$C$297),""))</f>
        <v/>
      </c>
      <c r="D298" s="42" t="str">
        <f>IF($V$4=0,IF($L298="","",$L298),IFERROR(IF([2]入库吨位汇总!$D$297=0,"",[2]入库吨位汇总!$D$297),""))</f>
        <v/>
      </c>
      <c r="E298" s="42" t="str">
        <f>IF($V$4=0,IF($M298="","",$M298),IFERROR(IF([2]入库吨位汇总!$E$297=0,"",[2]入库吨位汇总!$E$297),""))</f>
        <v/>
      </c>
      <c r="F298" s="76" t="str">
        <f>IF($V$4=0,IF($N298="","",$N298),IFERROR(IF([2]入库吨位汇总!$K$297=0,"",[2]入库吨位汇总!$K$297),""))</f>
        <v/>
      </c>
      <c r="G298" s="122" t="str">
        <f>IF($V$4=0,IF($O298="","",$O298),IFERROR(IF([2]入库吨位汇总!$L$297=0,"",[2]入库吨位汇总!$L$297),""))</f>
        <v/>
      </c>
      <c r="H298" s="76" t="str">
        <f>IF($V$4=0,IF($P298="","",$P298),IFERROR(IF([2]入库吨位汇总!$H$297=0,"",[2]入库吨位汇总!$H$297),""))</f>
        <v/>
      </c>
      <c r="I298" s="76" t="str">
        <f>IF($V$4=0,IF($Q298="","",$Q298),IFERROR(IF([2]入库吨位汇总!$I$297=0,"",[2]入库吨位汇总!$I$297),""))</f>
        <v/>
      </c>
      <c r="J298" s="116"/>
      <c r="K298" s="116"/>
      <c r="L298" s="131"/>
      <c r="M298" s="131"/>
      <c r="N298" s="132"/>
      <c r="O298" s="132"/>
      <c r="P298" s="132"/>
      <c r="Q298" s="132"/>
      <c r="R298" s="133">
        <f t="shared" si="8"/>
        <v>0</v>
      </c>
      <c r="S298" s="133">
        <f t="shared" si="9"/>
        <v>17</v>
      </c>
    </row>
    <row r="299" spans="1:19">
      <c r="A299" s="74">
        <v>298</v>
      </c>
      <c r="B299" s="75" t="str">
        <f>IF($V$4=0,IF($J299="","",$J299),IFERROR(IF([2]入库吨位汇总!$B$298=0,"",[2]入库吨位汇总!$B$298),""))</f>
        <v/>
      </c>
      <c r="C299" s="75" t="str">
        <f>IF($V$4=0,IF($K299="","",$K299),IFERROR(IF([2]入库吨位汇总!$C$298=0,"",[2]入库吨位汇总!$C$298),""))</f>
        <v/>
      </c>
      <c r="D299" s="42" t="str">
        <f>IF($V$4=0,IF($L299="","",$L299),IFERROR(IF([2]入库吨位汇总!$D$298=0,"",[2]入库吨位汇总!$D$298),""))</f>
        <v/>
      </c>
      <c r="E299" s="42" t="str">
        <f>IF($V$4=0,IF($M299="","",$M299),IFERROR(IF([2]入库吨位汇总!$E$298=0,"",[2]入库吨位汇总!$E$298),""))</f>
        <v/>
      </c>
      <c r="F299" s="76" t="str">
        <f>IF($V$4=0,IF($N299="","",$N299),IFERROR(IF([2]入库吨位汇总!$K$298=0,"",[2]入库吨位汇总!$K$298),""))</f>
        <v/>
      </c>
      <c r="G299" s="122" t="str">
        <f>IF($V$4=0,IF($O299="","",$O299),IFERROR(IF([2]入库吨位汇总!$L$298=0,"",[2]入库吨位汇总!$L$298),""))</f>
        <v/>
      </c>
      <c r="H299" s="76" t="str">
        <f>IF($V$4=0,IF($P299="","",$P299),IFERROR(IF([2]入库吨位汇总!$H$298=0,"",[2]入库吨位汇总!$H$298),""))</f>
        <v/>
      </c>
      <c r="I299" s="76" t="str">
        <f>IF($V$4=0,IF($Q299="","",$Q299),IFERROR(IF([2]入库吨位汇总!$I$298=0,"",[2]入库吨位汇总!$I$298),""))</f>
        <v/>
      </c>
      <c r="J299" s="116"/>
      <c r="K299" s="116"/>
      <c r="L299" s="131"/>
      <c r="M299" s="131"/>
      <c r="N299" s="132"/>
      <c r="O299" s="132"/>
      <c r="P299" s="132"/>
      <c r="Q299" s="132"/>
      <c r="R299" s="133">
        <f t="shared" si="8"/>
        <v>0</v>
      </c>
      <c r="S299" s="133">
        <f t="shared" si="9"/>
        <v>17</v>
      </c>
    </row>
    <row r="300" spans="1:19">
      <c r="A300" s="74">
        <v>299</v>
      </c>
      <c r="B300" s="75" t="str">
        <f>IF($V$4=0,IF($J300="","",$J300),IFERROR(IF([2]入库吨位汇总!$B$299=0,"",[2]入库吨位汇总!$B$299),""))</f>
        <v/>
      </c>
      <c r="C300" s="75" t="str">
        <f>IF($V$4=0,IF($K300="","",$K300),IFERROR(IF([2]入库吨位汇总!$C$299=0,"",[2]入库吨位汇总!$C$299),""))</f>
        <v/>
      </c>
      <c r="D300" s="42" t="str">
        <f>IF($V$4=0,IF($L300="","",$L300),IFERROR(IF([2]入库吨位汇总!$D$299=0,"",[2]入库吨位汇总!$D$299),""))</f>
        <v/>
      </c>
      <c r="E300" s="42" t="str">
        <f>IF($V$4=0,IF($M300="","",$M300),IFERROR(IF([2]入库吨位汇总!$E$299=0,"",[2]入库吨位汇总!$E$299),""))</f>
        <v/>
      </c>
      <c r="F300" s="76" t="str">
        <f>IF($V$4=0,IF($N300="","",$N300),IFERROR(IF([2]入库吨位汇总!$K$299=0,"",[2]入库吨位汇总!$K$299),""))</f>
        <v/>
      </c>
      <c r="G300" s="122" t="str">
        <f>IF($V$4=0,IF($O300="","",$O300),IFERROR(IF([2]入库吨位汇总!$L$299=0,"",[2]入库吨位汇总!$L$299),""))</f>
        <v/>
      </c>
      <c r="H300" s="76" t="str">
        <f>IF($V$4=0,IF($P300="","",$P300),IFERROR(IF([2]入库吨位汇总!$H$299=0,"",[2]入库吨位汇总!$H$299),""))</f>
        <v/>
      </c>
      <c r="I300" s="76" t="str">
        <f>IF($V$4=0,IF($Q300="","",$Q300),IFERROR(IF([2]入库吨位汇总!$I$299=0,"",[2]入库吨位汇总!$I$299),""))</f>
        <v/>
      </c>
      <c r="J300" s="116"/>
      <c r="K300" s="116"/>
      <c r="L300" s="131"/>
      <c r="M300" s="131"/>
      <c r="N300" s="132"/>
      <c r="O300" s="132"/>
      <c r="P300" s="132"/>
      <c r="Q300" s="132"/>
      <c r="R300" s="133">
        <f t="shared" si="8"/>
        <v>0</v>
      </c>
      <c r="S300" s="133">
        <f t="shared" si="9"/>
        <v>17</v>
      </c>
    </row>
    <row r="301" spans="1:19">
      <c r="A301" s="74">
        <v>300</v>
      </c>
      <c r="B301" s="75" t="str">
        <f>IF($V$4=0,IF($J301="","",$J301),IFERROR(IF([2]入库吨位汇总!$B$300=0,"",[2]入库吨位汇总!$B$300),""))</f>
        <v/>
      </c>
      <c r="C301" s="75" t="str">
        <f>IF($V$4=0,IF($K301="","",$K301),IFERROR(IF([2]入库吨位汇总!$C$300=0,"",[2]入库吨位汇总!$C$300),""))</f>
        <v/>
      </c>
      <c r="D301" s="42" t="str">
        <f>IF($V$4=0,IF($L301="","",$L301),IFERROR(IF([2]入库吨位汇总!$D$300=0,"",[2]入库吨位汇总!$D$300),""))</f>
        <v/>
      </c>
      <c r="E301" s="42" t="str">
        <f>IF($V$4=0,IF($M301="","",$M301),IFERROR(IF([2]入库吨位汇总!$E$300=0,"",[2]入库吨位汇总!$E$300),""))</f>
        <v/>
      </c>
      <c r="F301" s="76" t="str">
        <f>IF($V$4=0,IF($N301="","",$N301),IFERROR(IF([2]入库吨位汇总!$K$300=0,"",[2]入库吨位汇总!$K$300),""))</f>
        <v/>
      </c>
      <c r="G301" s="122" t="str">
        <f>IF($V$4=0,IF($O301="","",$O301),IFERROR(IF([2]入库吨位汇总!$L$300=0,"",[2]入库吨位汇总!$L$300),""))</f>
        <v/>
      </c>
      <c r="H301" s="76" t="str">
        <f>IF($V$4=0,IF($P301="","",$P301),IFERROR(IF([2]入库吨位汇总!$H$300=0,"",[2]入库吨位汇总!$H$300),""))</f>
        <v/>
      </c>
      <c r="I301" s="76" t="str">
        <f>IF($V$4=0,IF($Q301="","",$Q301),IFERROR(IF([2]入库吨位汇总!$I$300=0,"",[2]入库吨位汇总!$I$300),""))</f>
        <v/>
      </c>
      <c r="J301" s="116"/>
      <c r="K301" s="116"/>
      <c r="L301" s="131"/>
      <c r="M301" s="131"/>
      <c r="N301" s="132"/>
      <c r="O301" s="132"/>
      <c r="P301" s="132"/>
      <c r="Q301" s="132"/>
      <c r="R301" s="133">
        <f t="shared" si="8"/>
        <v>0</v>
      </c>
      <c r="S301" s="133">
        <f t="shared" si="9"/>
        <v>17</v>
      </c>
    </row>
    <row r="302" spans="1:19">
      <c r="A302" s="74">
        <v>301</v>
      </c>
      <c r="B302" s="75" t="str">
        <f>IF($V$4=0,IF($J302="","",$J302),IFERROR(IF([2]入库吨位汇总!$B$301=0,"",[2]入库吨位汇总!$B$301),""))</f>
        <v/>
      </c>
      <c r="C302" s="75" t="str">
        <f>IF($V$4=0,IF($K302="","",$K302),IFERROR(IF([2]入库吨位汇总!$C$301=0,"",[2]入库吨位汇总!$C$301),""))</f>
        <v/>
      </c>
      <c r="D302" s="42" t="str">
        <f>IF($V$4=0,IF($L302="","",$L302),IFERROR(IF([2]入库吨位汇总!$D$301=0,"",[2]入库吨位汇总!$D$301),""))</f>
        <v/>
      </c>
      <c r="E302" s="42" t="str">
        <f>IF($V$4=0,IF($M302="","",$M302),IFERROR(IF([2]入库吨位汇总!$E$301=0,"",[2]入库吨位汇总!$E$301),""))</f>
        <v/>
      </c>
      <c r="F302" s="76" t="str">
        <f>IF($V$4=0,IF($N302="","",$N302),IFERROR(IF([2]入库吨位汇总!$K$301=0,"",[2]入库吨位汇总!$K$301),""))</f>
        <v/>
      </c>
      <c r="G302" s="122" t="str">
        <f>IF($V$4=0,IF($O302="","",$O302),IFERROR(IF([2]入库吨位汇总!$L$301=0,"",[2]入库吨位汇总!$L$301),""))</f>
        <v/>
      </c>
      <c r="H302" s="76" t="str">
        <f>IF($V$4=0,IF($P302="","",$P302),IFERROR(IF([2]入库吨位汇总!$H$301=0,"",[2]入库吨位汇总!$H$301),""))</f>
        <v/>
      </c>
      <c r="I302" s="76" t="str">
        <f>IF($V$4=0,IF($Q302="","",$Q302),IFERROR(IF([2]入库吨位汇总!$I$301=0,"",[2]入库吨位汇总!$I$301),""))</f>
        <v/>
      </c>
      <c r="J302" s="116"/>
      <c r="K302" s="116"/>
      <c r="L302" s="131"/>
      <c r="M302" s="131"/>
      <c r="N302" s="132"/>
      <c r="O302" s="132"/>
      <c r="P302" s="132"/>
      <c r="Q302" s="132"/>
      <c r="R302" s="133">
        <f t="shared" si="8"/>
        <v>0</v>
      </c>
      <c r="S302" s="133">
        <f t="shared" si="9"/>
        <v>17</v>
      </c>
    </row>
    <row r="303" spans="1:19">
      <c r="A303" s="74">
        <v>302</v>
      </c>
      <c r="B303" s="75" t="str">
        <f>IF($V$4=0,IF($J303="","",$J303),IFERROR(IF([2]入库吨位汇总!$B$302=0,"",[2]入库吨位汇总!$B$302),""))</f>
        <v/>
      </c>
      <c r="C303" s="75" t="str">
        <f>IF($V$4=0,IF($K303="","",$K303),IFERROR(IF([2]入库吨位汇总!$C$302=0,"",[2]入库吨位汇总!$C$302),""))</f>
        <v/>
      </c>
      <c r="D303" s="42" t="str">
        <f>IF($V$4=0,IF($L303="","",$L303),IFERROR(IF([2]入库吨位汇总!$D$302=0,"",[2]入库吨位汇总!$D$302),""))</f>
        <v/>
      </c>
      <c r="E303" s="42" t="str">
        <f>IF($V$4=0,IF($M303="","",$M303),IFERROR(IF([2]入库吨位汇总!$E$302=0,"",[2]入库吨位汇总!$E$302),""))</f>
        <v/>
      </c>
      <c r="F303" s="76" t="str">
        <f>IF($V$4=0,IF($N303="","",$N303),IFERROR(IF([2]入库吨位汇总!$K$302=0,"",[2]入库吨位汇总!$K$302),""))</f>
        <v/>
      </c>
      <c r="G303" s="122" t="str">
        <f>IF($V$4=0,IF($O303="","",$O303),IFERROR(IF([2]入库吨位汇总!$L$302=0,"",[2]入库吨位汇总!$L$302),""))</f>
        <v/>
      </c>
      <c r="H303" s="76" t="str">
        <f>IF($V$4=0,IF($P303="","",$P303),IFERROR(IF([2]入库吨位汇总!$H$302=0,"",[2]入库吨位汇总!$H$302),""))</f>
        <v/>
      </c>
      <c r="I303" s="76" t="str">
        <f>IF($V$4=0,IF($Q303="","",$Q303),IFERROR(IF([2]入库吨位汇总!$I$302=0,"",[2]入库吨位汇总!$I$302),""))</f>
        <v/>
      </c>
      <c r="J303" s="116"/>
      <c r="K303" s="116"/>
      <c r="L303" s="131"/>
      <c r="M303" s="131"/>
      <c r="N303" s="132"/>
      <c r="O303" s="132"/>
      <c r="P303" s="132"/>
      <c r="Q303" s="132"/>
      <c r="R303" s="133">
        <f t="shared" si="8"/>
        <v>0</v>
      </c>
      <c r="S303" s="133">
        <f t="shared" si="9"/>
        <v>17</v>
      </c>
    </row>
    <row r="304" spans="1:19">
      <c r="A304" s="74">
        <v>303</v>
      </c>
      <c r="B304" s="75" t="str">
        <f>IF($V$4=0,IF($J304="","",$J304),IFERROR(IF([2]入库吨位汇总!$B$303=0,"",[2]入库吨位汇总!$B$303),""))</f>
        <v/>
      </c>
      <c r="C304" s="75" t="str">
        <f>IF($V$4=0,IF($K304="","",$K304),IFERROR(IF([2]入库吨位汇总!$C$303=0,"",[2]入库吨位汇总!$C$303),""))</f>
        <v/>
      </c>
      <c r="D304" s="42" t="str">
        <f>IF($V$4=0,IF($L304="","",$L304),IFERROR(IF([2]入库吨位汇总!$D$303=0,"",[2]入库吨位汇总!$D$303),""))</f>
        <v/>
      </c>
      <c r="E304" s="42" t="str">
        <f>IF($V$4=0,IF($M304="","",$M304),IFERROR(IF([2]入库吨位汇总!$E$303=0,"",[2]入库吨位汇总!$E$303),""))</f>
        <v/>
      </c>
      <c r="F304" s="76" t="str">
        <f>IF($V$4=0,IF($N304="","",$N304),IFERROR(IF([2]入库吨位汇总!$K$303=0,"",[2]入库吨位汇总!$K$303),""))</f>
        <v/>
      </c>
      <c r="G304" s="122" t="str">
        <f>IF($V$4=0,IF($O304="","",$O304),IFERROR(IF([2]入库吨位汇总!$L$303=0,"",[2]入库吨位汇总!$L$303),""))</f>
        <v/>
      </c>
      <c r="H304" s="76" t="str">
        <f>IF($V$4=0,IF($P304="","",$P304),IFERROR(IF([2]入库吨位汇总!$H$303=0,"",[2]入库吨位汇总!$H$303),""))</f>
        <v/>
      </c>
      <c r="I304" s="76" t="str">
        <f>IF($V$4=0,IF($Q304="","",$Q304),IFERROR(IF([2]入库吨位汇总!$I$303=0,"",[2]入库吨位汇总!$I$303),""))</f>
        <v/>
      </c>
      <c r="J304" s="116"/>
      <c r="K304" s="116"/>
      <c r="L304" s="131"/>
      <c r="M304" s="131"/>
      <c r="N304" s="132"/>
      <c r="O304" s="132"/>
      <c r="P304" s="132"/>
      <c r="Q304" s="132"/>
      <c r="R304" s="133">
        <f t="shared" si="8"/>
        <v>0</v>
      </c>
      <c r="S304" s="133">
        <f t="shared" si="9"/>
        <v>17</v>
      </c>
    </row>
  </sheetData>
  <mergeCells count="5">
    <mergeCell ref="A1:S1"/>
    <mergeCell ref="A2:S2"/>
    <mergeCell ref="A3:I3"/>
    <mergeCell ref="J3:Q3"/>
    <mergeCell ref="R3:S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306"/>
  <sheetViews>
    <sheetView showGridLines="0" workbookViewId="0">
      <pane xSplit="4" ySplit="3" topLeftCell="N4" activePane="bottomRight" state="frozen"/>
      <selection/>
      <selection pane="topRight"/>
      <selection pane="bottomLeft"/>
      <selection pane="bottomRight" activeCell="N14" sqref="N14"/>
    </sheetView>
  </sheetViews>
  <sheetFormatPr defaultColWidth="9" defaultRowHeight="13.5"/>
  <cols>
    <col min="1" max="1" width="6" customWidth="1"/>
    <col min="2" max="2" width="10" customWidth="1"/>
    <col min="3" max="3" width="14" customWidth="1"/>
    <col min="4" max="4" width="20" customWidth="1"/>
    <col min="5" max="5" width="12" customWidth="1"/>
    <col min="6" max="6" width="8" customWidth="1"/>
    <col min="7" max="7" width="15" customWidth="1"/>
    <col min="8" max="8" width="14" customWidth="1"/>
    <col min="9" max="9" width="10" customWidth="1"/>
    <col min="10" max="10" width="8" customWidth="1"/>
    <col min="11" max="12" width="14" customWidth="1"/>
    <col min="13" max="13" width="24" customWidth="1"/>
    <col min="14" max="15" width="13" customWidth="1"/>
    <col min="16" max="16" width="24" customWidth="1"/>
    <col min="17" max="18" width="13" customWidth="1"/>
    <col min="19" max="19" width="24" customWidth="1"/>
    <col min="20" max="21" width="13" customWidth="1"/>
    <col min="22" max="22" width="22" customWidth="1"/>
  </cols>
  <sheetData>
    <row r="1" ht="30" customHeight="1" spans="1:22">
      <c r="A1" s="2" t="s">
        <v>204</v>
      </c>
    </row>
    <row r="2" ht="18" customHeight="1" spans="1:22">
      <c r="A2" s="31" t="s">
        <v>205</v>
      </c>
    </row>
    <row r="3" ht="34" customHeight="1" spans="1:22">
      <c r="A3" s="9" t="s">
        <v>3</v>
      </c>
      <c r="B3" s="9" t="s">
        <v>206</v>
      </c>
      <c r="C3" s="9" t="s">
        <v>166</v>
      </c>
      <c r="D3" s="9" t="s">
        <v>167</v>
      </c>
      <c r="E3" s="9" t="s">
        <v>168</v>
      </c>
      <c r="F3" s="9" t="s">
        <v>169</v>
      </c>
      <c r="G3" s="9" t="s">
        <v>170</v>
      </c>
      <c r="H3" s="9" t="s">
        <v>171</v>
      </c>
      <c r="I3" s="9" t="s">
        <v>207</v>
      </c>
      <c r="J3" s="9" t="s">
        <v>208</v>
      </c>
      <c r="K3" s="9" t="s">
        <v>209</v>
      </c>
      <c r="L3" s="9" t="s">
        <v>210</v>
      </c>
      <c r="M3" s="9" t="s">
        <v>211</v>
      </c>
      <c r="N3" s="9" t="s">
        <v>212</v>
      </c>
      <c r="O3" s="9" t="s">
        <v>213</v>
      </c>
      <c r="P3" s="9" t="s">
        <v>214</v>
      </c>
      <c r="Q3" s="9" t="s">
        <v>215</v>
      </c>
      <c r="R3" s="9" t="s">
        <v>216</v>
      </c>
      <c r="S3" s="9" t="s">
        <v>217</v>
      </c>
      <c r="T3" s="9" t="s">
        <v>218</v>
      </c>
      <c r="U3" s="9" t="s">
        <v>219</v>
      </c>
      <c r="V3" s="9" t="s">
        <v>172</v>
      </c>
    </row>
    <row r="4" ht="18" customHeight="1" spans="1:22">
      <c r="A4" s="10">
        <v>1</v>
      </c>
      <c r="B4" s="26" t="str">
        <f>IF(ROW()-3&lt;=N(对接源_01水果!$T$1),"01水果",IF(ROW()-3&lt;=N(对接源_01水果!$T$1)+N(对接源_02物料!$T$1),"02物料",""))</f>
        <v>01水果</v>
      </c>
      <c r="C4" s="125" t="str">
        <f>IF($B4="","",IF($B4="01水果",IFERROR(INDEX(对接源_01水果!$B$5:$B$507,MATCH(ROW()-3,对接源_01水果!$Q$5:$Q$507,0)),""),IFERROR(INDEX(对接源_02物料!$B$5:$B$460,MATCH(ROW()-3-N(对接源_01水果!$T$1),对接源_02物料!$Q$5:$Q$460,0)),"")))</f>
        <v/>
      </c>
      <c r="D4" s="26" t="str">
        <f>IF($B4="","",IF($B4="01水果",IFERROR(INDEX(对接源_01水果!$C$5:$C$507,MATCH(ROW()-3,对接源_01水果!$Q$5:$Q$507,0)),""),IFERROR(INDEX(对接源_02物料!$C$5:$C$460,MATCH(ROW()-3-N(对接源_01水果!$T$1),对接源_02物料!$Q$5:$Q$460,0)),"")))</f>
        <v>包装物料期末库存</v>
      </c>
      <c r="E4" s="126">
        <f>IF($B4="","",IF($B4="01水果",IFERROR(INDEX(对接源_01水果!$D$5:$D$507,MATCH(ROW()-3,对接源_01水果!$Q$5:$Q$507,0)),""),IFERROR(INDEX(对接源_02物料!$D$5:$D$460,MATCH(ROW()-3-N(对接源_01水果!$T$1),对接源_02物料!$Q$5:$Q$460,0)),"")))</f>
        <v>23490</v>
      </c>
      <c r="F4" s="26" t="str">
        <f>IF($B4="","",IF($B4="01水果",IFERROR(INDEX(对接源_01水果!$E$5:$E$507,MATCH(ROW()-3,对接源_01水果!$Q$5:$Q$507,0)),""),IFERROR(INDEX(对接源_02物料!$E$5:$E$460,MATCH(ROW()-3-N(对接源_01水果!$T$1),对接源_02物料!$Q$5:$Q$460,0)),"")))</f>
        <v>包</v>
      </c>
      <c r="G4" s="27" t="str">
        <f>IF($B4="","",IF($B4="01水果",IFERROR(INDEX(对接源_01水果!$F$5:$F$507,MATCH(ROW()-3,对接源_01水果!$Q$5:$Q$507,0)),""),IFERROR(INDEX(对接源_02物料!$F$5:$F$460,MATCH(ROW()-3-N(对接源_01水果!$T$1),对接源_02物料!$Q$5:$Q$460,0)),"")))</f>
        <v/>
      </c>
      <c r="H4" s="27" t="str">
        <f>IF($B4="","",IF($B4="01水果",IFERROR(INDEX(对接源_01水果!$G$5:$G$507,MATCH(ROW()-3,对接源_01水果!$Q$5:$Q$507,0)),""),IFERROR(INDEX(对接源_02物料!$G$5:$G$460,MATCH(ROW()-3-N(对接源_01水果!$T$1),对接源_02物料!$Q$5:$Q$460,0)),"")))</f>
        <v/>
      </c>
      <c r="I4" s="26" t="str">
        <f>IFERROR(INDEX(收入成本映射!$C$4:$C$34,MATCH($D4,收入成本映射!$B$4:$B$34,0)),"不记账")</f>
        <v>不记账</v>
      </c>
      <c r="J4" s="26" t="str">
        <f t="shared" ref="J4:J67" si="0">IF($B4="","","0%")</f>
        <v>0%</v>
      </c>
      <c r="K4" s="27">
        <f t="shared" ref="K4:K67" si="1">IF($I4="不记账",0,ROUND(N($G4),2))</f>
        <v>0</v>
      </c>
      <c r="L4" s="27">
        <v>0</v>
      </c>
      <c r="M4" s="26" t="str">
        <f>IF(OR($I4="不记账",ROUND(N($G4),2)=0),"",IFERROR(INDEX(收入成本映射!$E$4:$E$34,MATCH($D4,收入成本映射!$B$4:$B$34,0)),""))</f>
        <v/>
      </c>
      <c r="N4" s="27" t="str">
        <f t="shared" ref="N4:N67" si="2">IF($M4="","",ROUND(N($G4),2))</f>
        <v/>
      </c>
      <c r="O4" s="27" t="str">
        <f t="shared" ref="O4:O67" si="3">IF($M4="","",0)</f>
        <v/>
      </c>
      <c r="P4" s="26" t="str">
        <f>IF($M4="","",IFERROR(INDEX(收入成本映射!$F$4:$F$34,MATCH($D4,收入成本映射!$B$4:$B$34,0)),""))</f>
        <v/>
      </c>
      <c r="Q4" s="27" t="str">
        <f t="shared" ref="Q4:Q67" si="4">IF($P4="","",0)</f>
        <v/>
      </c>
      <c r="R4" s="27" t="str">
        <f t="shared" ref="R4:R67" si="5">IF($P4="","",ROUND(N($G4),2))</f>
        <v/>
      </c>
      <c r="S4" s="26" t="str">
        <f t="shared" ref="S4:S67" si="6">""</f>
        <v/>
      </c>
      <c r="T4" s="27" t="str">
        <f t="shared" ref="T4:T67" si="7">IF($S4="","",0)</f>
        <v/>
      </c>
      <c r="U4" s="27" t="str">
        <f t="shared" ref="U4:U67" si="8">IF($S4="","",0)</f>
        <v/>
      </c>
      <c r="V4" s="10" t="str">
        <f>IF($B4="","",IF($B4="01水果",IFERROR(INDEX(对接源_01水果!$H$5:$H$507,MATCH(ROW()-3,对接源_01水果!$Q$5:$Q$507,0)),""),IFERROR(INDEX(对接源_02物料!$H$5:$H$460,MATCH(ROW()-3-N(对接源_01水果!$T$1),对接源_02物料!$Q$5:$Q$460,0)),"")))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" ht="18" customHeight="1" spans="1:22">
      <c r="A5" s="10">
        <v>2</v>
      </c>
      <c r="B5" s="26" t="str">
        <f>IF(ROW()-3&lt;=N(对接源_01水果!$T$1),"01水果",IF(ROW()-3&lt;=N(对接源_01水果!$T$1)+N(对接源_02物料!$T$1),"02物料",""))</f>
        <v>01水果</v>
      </c>
      <c r="C5" s="125" t="str">
        <f>IF($B5="","",IF($B5="01水果",IFERROR(INDEX(对接源_01水果!$B$5:$B$507,MATCH(ROW()-3,对接源_01水果!$Q$5:$Q$507,0)),""),IFERROR(INDEX(对接源_02物料!$B$5:$B$460,MATCH(ROW()-3-N(对接源_01水果!$T$1),对接源_02物料!$Q$5:$Q$460,0)),"")))</f>
        <v/>
      </c>
      <c r="D5" s="26" t="str">
        <f>IF($B5="","",IF($B5="01水果",IFERROR(INDEX(对接源_01水果!$C$5:$C$507,MATCH(ROW()-3,对接源_01水果!$Q$5:$Q$507,0)),""),IFERROR(INDEX(对接源_02物料!$C$5:$C$460,MATCH(ROW()-3-N(对接源_01水果!$T$1),对接源_02物料!$Q$5:$Q$460,0)),"")))</f>
        <v>公司筐子期末总量</v>
      </c>
      <c r="E5" s="126">
        <f>IF($B5="","",IF($B5="01水果",IFERROR(INDEX(对接源_01水果!$D$5:$D$507,MATCH(ROW()-3,对接源_01水果!$Q$5:$Q$507,0)),""),IFERROR(INDEX(对接源_02物料!$D$5:$D$460,MATCH(ROW()-3-N(对接源_01水果!$T$1),对接源_02物料!$Q$5:$Q$460,0)),"")))</f>
        <v>180226</v>
      </c>
      <c r="F5" s="26" t="str">
        <f>IF($B5="","",IF($B5="01水果",IFERROR(INDEX(对接源_01水果!$E$5:$E$507,MATCH(ROW()-3,对接源_01水果!$Q$5:$Q$507,0)),""),IFERROR(INDEX(对接源_02物料!$E$5:$E$460,MATCH(ROW()-3-N(对接源_01水果!$T$1),对接源_02物料!$Q$5:$Q$460,0)),"")))</f>
        <v>个</v>
      </c>
      <c r="G5" s="27" t="str">
        <f>IF($B5="","",IF($B5="01水果",IFERROR(INDEX(对接源_01水果!$F$5:$F$507,MATCH(ROW()-3,对接源_01水果!$Q$5:$Q$507,0)),""),IFERROR(INDEX(对接源_02物料!$F$5:$F$460,MATCH(ROW()-3-N(对接源_01水果!$T$1),对接源_02物料!$Q$5:$Q$460,0)),"")))</f>
        <v/>
      </c>
      <c r="H5" s="27" t="str">
        <f>IF($B5="","",IF($B5="01水果",IFERROR(INDEX(对接源_01水果!$G$5:$G$507,MATCH(ROW()-3,对接源_01水果!$Q$5:$Q$507,0)),""),IFERROR(INDEX(对接源_02物料!$G$5:$G$460,MATCH(ROW()-3-N(对接源_01水果!$T$1),对接源_02物料!$Q$5:$Q$460,0)),"")))</f>
        <v/>
      </c>
      <c r="I5" s="26" t="str">
        <f>IFERROR(INDEX(收入成本映射!$C$4:$C$34,MATCH($D5,收入成本映射!$B$4:$B$34,0)),"不记账")</f>
        <v>不记账</v>
      </c>
      <c r="J5" s="26" t="str">
        <f t="shared" si="0"/>
        <v>0%</v>
      </c>
      <c r="K5" s="27">
        <f t="shared" si="1"/>
        <v>0</v>
      </c>
      <c r="L5" s="27">
        <v>0</v>
      </c>
      <c r="M5" s="26" t="str">
        <f>IF(OR($I5="不记账",ROUND(N($G5),2)=0),"",IFERROR(INDEX(收入成本映射!$E$4:$E$34,MATCH($D5,收入成本映射!$B$4:$B$34,0)),""))</f>
        <v/>
      </c>
      <c r="N5" s="27" t="str">
        <f t="shared" si="2"/>
        <v/>
      </c>
      <c r="O5" s="27" t="str">
        <f t="shared" si="3"/>
        <v/>
      </c>
      <c r="P5" s="26" t="str">
        <f>IF($M5="","",IFERROR(INDEX(收入成本映射!$F$4:$F$34,MATCH($D5,收入成本映射!$B$4:$B$34,0)),""))</f>
        <v/>
      </c>
      <c r="Q5" s="27" t="str">
        <f t="shared" si="4"/>
        <v/>
      </c>
      <c r="R5" s="27" t="str">
        <f t="shared" si="5"/>
        <v/>
      </c>
      <c r="S5" s="26" t="str">
        <f t="shared" si="6"/>
        <v/>
      </c>
      <c r="T5" s="27" t="str">
        <f t="shared" si="7"/>
        <v/>
      </c>
      <c r="U5" s="27" t="str">
        <f t="shared" si="8"/>
        <v/>
      </c>
      <c r="V5" s="10" t="str">
        <f>IF($B5="","",IF($B5="01水果",IFERROR(INDEX(对接源_01水果!$H$5:$H$507,MATCH(ROW()-3,对接源_01水果!$Q$5:$Q$507,0)),""),IFERROR(INDEX(对接源_02物料!$H$5:$H$460,MATCH(ROW()-3-N(对接源_01水果!$T$1),对接源_02物料!$Q$5:$Q$460,0)),"")))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" ht="18" customHeight="1" spans="1:22">
      <c r="A6" s="10">
        <v>3</v>
      </c>
      <c r="B6" s="26" t="str">
        <f>IF(ROW()-3&lt;=N(对接源_01水果!$T$1),"01水果",IF(ROW()-3&lt;=N(对接源_01水果!$T$1)+N(对接源_02物料!$T$1),"02物料",""))</f>
        <v>01水果</v>
      </c>
      <c r="C6" s="125" t="str">
        <f>IF($B6="","",IF($B6="01水果",IFERROR(INDEX(对接源_01水果!$B$5:$B$507,MATCH(ROW()-3,对接源_01水果!$Q$5:$Q$507,0)),""),IFERROR(INDEX(对接源_02物料!$B$5:$B$460,MATCH(ROW()-3-N(对接源_01水果!$T$1),对接源_02物料!$Q$5:$Q$460,0)),"")))</f>
        <v/>
      </c>
      <c r="D6" s="26" t="str">
        <f>IF($B6="","",IF($B6="01水果",IFERROR(INDEX(对接源_01水果!$C$5:$C$507,MATCH(ROW()-3,对接源_01水果!$Q$5:$Q$507,0)),""),IFERROR(INDEX(对接源_02物料!$C$5:$C$460,MATCH(ROW()-3-N(对接源_01水果!$T$1),对接源_02物料!$Q$5:$Q$460,0)),"")))</f>
        <v>客户自备筐结存（表外备查）</v>
      </c>
      <c r="E6" s="126">
        <f>IF($B6="","",IF($B6="01水果",IFERROR(INDEX(对接源_01水果!$D$5:$D$507,MATCH(ROW()-3,对接源_01水果!$Q$5:$Q$507,0)),""),IFERROR(INDEX(对接源_02物料!$D$5:$D$460,MATCH(ROW()-3-N(对接源_01水果!$T$1),对接源_02物料!$Q$5:$Q$460,0)),"")))</f>
        <v>2362</v>
      </c>
      <c r="F6" s="26" t="str">
        <f>IF($B6="","",IF($B6="01水果",IFERROR(INDEX(对接源_01水果!$E$5:$E$507,MATCH(ROW()-3,对接源_01水果!$Q$5:$Q$507,0)),""),IFERROR(INDEX(对接源_02物料!$E$5:$E$460,MATCH(ROW()-3-N(对接源_01水果!$T$1),对接源_02物料!$Q$5:$Q$460,0)),"")))</f>
        <v>个</v>
      </c>
      <c r="G6" s="27" t="str">
        <f>IF($B6="","",IF($B6="01水果",IFERROR(INDEX(对接源_01水果!$F$5:$F$507,MATCH(ROW()-3,对接源_01水果!$Q$5:$Q$507,0)),""),IFERROR(INDEX(对接源_02物料!$F$5:$F$460,MATCH(ROW()-3-N(对接源_01水果!$T$1),对接源_02物料!$Q$5:$Q$460,0)),"")))</f>
        <v/>
      </c>
      <c r="H6" s="27" t="str">
        <f>IF($B6="","",IF($B6="01水果",IFERROR(INDEX(对接源_01水果!$G$5:$G$507,MATCH(ROW()-3,对接源_01水果!$Q$5:$Q$507,0)),""),IFERROR(INDEX(对接源_02物料!$G$5:$G$460,MATCH(ROW()-3-N(对接源_01水果!$T$1),对接源_02物料!$Q$5:$Q$460,0)),"")))</f>
        <v/>
      </c>
      <c r="I6" s="26" t="str">
        <f>IFERROR(INDEX(收入成本映射!$C$4:$C$34,MATCH($D6,收入成本映射!$B$4:$B$34,0)),"不记账")</f>
        <v>不记账</v>
      </c>
      <c r="J6" s="26" t="str">
        <f t="shared" si="0"/>
        <v>0%</v>
      </c>
      <c r="K6" s="27">
        <f t="shared" si="1"/>
        <v>0</v>
      </c>
      <c r="L6" s="27">
        <v>0</v>
      </c>
      <c r="M6" s="26" t="str">
        <f>IF(OR($I6="不记账",ROUND(N($G6),2)=0),"",IFERROR(INDEX(收入成本映射!$E$4:$E$34,MATCH($D6,收入成本映射!$B$4:$B$34,0)),""))</f>
        <v/>
      </c>
      <c r="N6" s="27" t="str">
        <f t="shared" si="2"/>
        <v/>
      </c>
      <c r="O6" s="27" t="str">
        <f t="shared" si="3"/>
        <v/>
      </c>
      <c r="P6" s="26" t="str">
        <f>IF($M6="","",IFERROR(INDEX(收入成本映射!$F$4:$F$34,MATCH($D6,收入成本映射!$B$4:$B$34,0)),""))</f>
        <v/>
      </c>
      <c r="Q6" s="27" t="str">
        <f t="shared" si="4"/>
        <v/>
      </c>
      <c r="R6" s="27" t="str">
        <f t="shared" si="5"/>
        <v/>
      </c>
      <c r="S6" s="26" t="str">
        <f t="shared" si="6"/>
        <v/>
      </c>
      <c r="T6" s="27" t="str">
        <f t="shared" si="7"/>
        <v/>
      </c>
      <c r="U6" s="27" t="str">
        <f t="shared" si="8"/>
        <v/>
      </c>
      <c r="V6" s="10" t="str">
        <f>IF($B6="","",IF($B6="01水果",IFERROR(INDEX(对接源_01水果!$H$5:$H$507,MATCH(ROW()-3,对接源_01水果!$Q$5:$Q$507,0)),""),IFERROR(INDEX(对接源_02物料!$H$5:$H$460,MATCH(ROW()-3-N(对接源_01水果!$T$1),对接源_02物料!$Q$5:$Q$460,0)),"")))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" ht="18" customHeight="1" spans="1:22">
      <c r="A7" s="10">
        <v>4</v>
      </c>
      <c r="B7" s="26" t="str">
        <f>IF(ROW()-3&lt;=N(对接源_01水果!$T$1),"01水果",IF(ROW()-3&lt;=N(对接源_01水果!$T$1)+N(对接源_02物料!$T$1),"02物料",""))</f>
        <v>01水果</v>
      </c>
      <c r="C7" s="125" t="str">
        <f>IF($B7="","",IF($B7="01水果",IFERROR(INDEX(对接源_01水果!$B$5:$B$507,MATCH(ROW()-3,对接源_01水果!$Q$5:$Q$507,0)),""),IFERROR(INDEX(对接源_02物料!$B$5:$B$460,MATCH(ROW()-3-N(对接源_01水果!$T$1),对接源_02物料!$Q$5:$Q$460,0)),"")))</f>
        <v>全修塑业</v>
      </c>
      <c r="D7" s="26" t="str">
        <f>IF($B7="","",IF($B7="01水果",IFERROR(INDEX(对接源_01水果!$C$5:$C$507,MATCH(ROW()-3,对接源_01水果!$Q$5:$Q$507,0)),""),IFERROR(INDEX(对接源_02物料!$C$5:$C$460,MATCH(ROW()-3-N(对接源_01水果!$T$1),对接源_02物料!$Q$5:$Q$460,0)),"")))</f>
        <v>筐子销售款</v>
      </c>
      <c r="E7" s="126" t="str">
        <f>IF($B7="","",IF($B7="01水果",IFERROR(INDEX(对接源_01水果!$D$5:$D$507,MATCH(ROW()-3,对接源_01水果!$Q$5:$Q$507,0)),""),IFERROR(INDEX(对接源_02物料!$D$5:$D$460,MATCH(ROW()-3-N(对接源_01水果!$T$1),对接源_02物料!$Q$5:$Q$460,0)),"")))</f>
        <v/>
      </c>
      <c r="F7" s="26">
        <f>IF($B7="","",IF($B7="01水果",IFERROR(INDEX(对接源_01水果!$E$5:$E$507,MATCH(ROW()-3,对接源_01水果!$Q$5:$Q$507,0)),""),IFERROR(INDEX(对接源_02物料!$E$5:$E$460,MATCH(ROW()-3-N(对接源_01水果!$T$1),对接源_02物料!$Q$5:$Q$460,0)),"")))</f>
        <v>174720</v>
      </c>
      <c r="G7" s="27" t="str">
        <f>IF($B7="","",IF($B7="01水果",IFERROR(INDEX(对接源_01水果!$F$5:$F$507,MATCH(ROW()-3,对接源_01水果!$Q$5:$Q$507,0)),""),IFERROR(INDEX(对接源_02物料!$F$5:$F$460,MATCH(ROW()-3-N(对接源_01水果!$T$1),对接源_02物料!$Q$5:$Q$460,0)),"")))</f>
        <v/>
      </c>
      <c r="H7" s="27" t="str">
        <f>IF($B7="","",IF($B7="01水果",IFERROR(INDEX(对接源_01水果!$G$5:$G$507,MATCH(ROW()-3,对接源_01水果!$Q$5:$Q$507,0)),""),IFERROR(INDEX(对接源_02物料!$G$5:$G$460,MATCH(ROW()-3-N(对接源_01水果!$T$1),对接源_02物料!$Q$5:$Q$460,0)),"")))</f>
        <v/>
      </c>
      <c r="I7" s="26" t="str">
        <f>IFERROR(INDEX(收入成本映射!$C$4:$C$34,MATCH($D7,收入成本映射!$B$4:$B$34,0)),"不记账")</f>
        <v>不记账</v>
      </c>
      <c r="J7" s="26" t="str">
        <f t="shared" si="0"/>
        <v>0%</v>
      </c>
      <c r="K7" s="27">
        <f t="shared" si="1"/>
        <v>0</v>
      </c>
      <c r="L7" s="27">
        <v>0</v>
      </c>
      <c r="M7" s="26" t="str">
        <f>IF(OR($I7="不记账",ROUND(N($G7),2)=0),"",IFERROR(INDEX(收入成本映射!$E$4:$E$34,MATCH($D7,收入成本映射!$B$4:$B$34,0)),""))</f>
        <v/>
      </c>
      <c r="N7" s="27" t="str">
        <f t="shared" si="2"/>
        <v/>
      </c>
      <c r="O7" s="27" t="str">
        <f t="shared" si="3"/>
        <v/>
      </c>
      <c r="P7" s="26" t="str">
        <f>IF($M7="","",IFERROR(INDEX(收入成本映射!$F$4:$F$34,MATCH($D7,收入成本映射!$B$4:$B$34,0)),""))</f>
        <v/>
      </c>
      <c r="Q7" s="27" t="str">
        <f t="shared" si="4"/>
        <v/>
      </c>
      <c r="R7" s="27" t="str">
        <f t="shared" si="5"/>
        <v/>
      </c>
      <c r="S7" s="26" t="str">
        <f t="shared" si="6"/>
        <v/>
      </c>
      <c r="T7" s="27" t="str">
        <f t="shared" si="7"/>
        <v/>
      </c>
      <c r="U7" s="27" t="str">
        <f t="shared" si="8"/>
        <v/>
      </c>
      <c r="V7" s="10" t="str">
        <f>IF($B7="","",IF($B7="01水果",IFERROR(INDEX(对接源_01水果!$H$5:$H$507,MATCH(ROW()-3,对接源_01水果!$Q$5:$Q$507,0)),""),IFERROR(INDEX(对接源_02物料!$H$5:$H$460,MATCH(ROW()-3-N(对接源_01水果!$T$1),对接源_02物料!$Q$5:$Q$460,0)),"")))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" ht="18" customHeight="1" spans="1:22">
      <c r="A8" s="10">
        <v>5</v>
      </c>
      <c r="B8" s="26" t="str">
        <f>IF(ROW()-3&lt;=N(对接源_01水果!$T$1),"01水果",IF(ROW()-3&lt;=N(对接源_01水果!$T$1)+N(对接源_02物料!$T$1),"02物料",""))</f>
        <v>01水果</v>
      </c>
      <c r="C8" s="125" t="str">
        <f>IF($B8="","",IF($B8="01水果",IFERROR(INDEX(对接源_01水果!$B$5:$B$507,MATCH(ROW()-3,对接源_01水果!$Q$5:$Q$507,0)),""),IFERROR(INDEX(对接源_02物料!$B$5:$B$460,MATCH(ROW()-3-N(对接源_01水果!$T$1),对接源_02物料!$Q$5:$Q$460,0)),"")))</f>
        <v>新顺发泡网</v>
      </c>
      <c r="D8" s="26" t="str">
        <f>IF($B8="","",IF($B8="01水果",IFERROR(INDEX(对接源_01水果!$C$5:$C$507,MATCH(ROW()-3,对接源_01水果!$Q$5:$Q$507,0)),""),IFERROR(INDEX(对接源_02物料!$C$5:$C$460,MATCH(ROW()-3-N(对接源_01水果!$T$1),对接源_02物料!$Q$5:$Q$460,0)),"")))</f>
        <v>物料销售款</v>
      </c>
      <c r="E8" s="126" t="str">
        <f>IF($B8="","",IF($B8="01水果",IFERROR(INDEX(对接源_01水果!$D$5:$D$507,MATCH(ROW()-3,对接源_01水果!$Q$5:$Q$507,0)),""),IFERROR(INDEX(对接源_02物料!$D$5:$D$460,MATCH(ROW()-3-N(对接源_01水果!$T$1),对接源_02物料!$Q$5:$Q$460,0)),"")))</f>
        <v/>
      </c>
      <c r="F8" s="26">
        <f>IF($B8="","",IF($B8="01水果",IFERROR(INDEX(对接源_01水果!$E$5:$E$507,MATCH(ROW()-3,对接源_01水果!$Q$5:$Q$507,0)),""),IFERROR(INDEX(对接源_02物料!$E$5:$E$460,MATCH(ROW()-3-N(对接源_01水果!$T$1),对接源_02物料!$Q$5:$Q$460,0)),"")))</f>
        <v>40848</v>
      </c>
      <c r="G8" s="27" t="str">
        <f>IF($B8="","",IF($B8="01水果",IFERROR(INDEX(对接源_01水果!$F$5:$F$507,MATCH(ROW()-3,对接源_01水果!$Q$5:$Q$507,0)),""),IFERROR(INDEX(对接源_02物料!$F$5:$F$460,MATCH(ROW()-3-N(对接源_01水果!$T$1),对接源_02物料!$Q$5:$Q$460,0)),"")))</f>
        <v/>
      </c>
      <c r="H8" s="27" t="str">
        <f>IF($B8="","",IF($B8="01水果",IFERROR(INDEX(对接源_01水果!$G$5:$G$507,MATCH(ROW()-3,对接源_01水果!$Q$5:$Q$507,0)),""),IFERROR(INDEX(对接源_02物料!$G$5:$G$460,MATCH(ROW()-3-N(对接源_01水果!$T$1),对接源_02物料!$Q$5:$Q$460,0)),"")))</f>
        <v/>
      </c>
      <c r="I8" s="26" t="str">
        <f>IFERROR(INDEX(收入成本映射!$C$4:$C$34,MATCH($D8,收入成本映射!$B$4:$B$34,0)),"不记账")</f>
        <v>不记账</v>
      </c>
      <c r="J8" s="26" t="str">
        <f t="shared" si="0"/>
        <v>0%</v>
      </c>
      <c r="K8" s="27">
        <f t="shared" si="1"/>
        <v>0</v>
      </c>
      <c r="L8" s="27">
        <v>0</v>
      </c>
      <c r="M8" s="26" t="str">
        <f>IF(OR($I8="不记账",ROUND(N($G8),2)=0),"",IFERROR(INDEX(收入成本映射!$E$4:$E$34,MATCH($D8,收入成本映射!$B$4:$B$34,0)),""))</f>
        <v/>
      </c>
      <c r="N8" s="27" t="str">
        <f t="shared" si="2"/>
        <v/>
      </c>
      <c r="O8" s="27" t="str">
        <f t="shared" si="3"/>
        <v/>
      </c>
      <c r="P8" s="26" t="str">
        <f>IF($M8="","",IFERROR(INDEX(收入成本映射!$F$4:$F$34,MATCH($D8,收入成本映射!$B$4:$B$34,0)),""))</f>
        <v/>
      </c>
      <c r="Q8" s="27" t="str">
        <f t="shared" si="4"/>
        <v/>
      </c>
      <c r="R8" s="27" t="str">
        <f t="shared" si="5"/>
        <v/>
      </c>
      <c r="S8" s="26" t="str">
        <f t="shared" si="6"/>
        <v/>
      </c>
      <c r="T8" s="27" t="str">
        <f t="shared" si="7"/>
        <v/>
      </c>
      <c r="U8" s="27" t="str">
        <f t="shared" si="8"/>
        <v/>
      </c>
      <c r="V8" s="10" t="str">
        <f>IF($B8="","",IF($B8="01水果",IFERROR(INDEX(对接源_01水果!$H$5:$H$507,MATCH(ROW()-3,对接源_01水果!$Q$5:$Q$507,0)),""),IFERROR(INDEX(对接源_02物料!$H$5:$H$460,MATCH(ROW()-3-N(对接源_01水果!$T$1),对接源_02物料!$Q$5:$Q$460,0)),"")))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" ht="18" customHeight="1" spans="1:22">
      <c r="A9" s="10">
        <v>6</v>
      </c>
      <c r="B9" s="26" t="str">
        <f>IF(ROW()-3&lt;=N(对接源_01水果!$T$1),"01水果",IF(ROW()-3&lt;=N(对接源_01水果!$T$1)+N(对接源_02物料!$T$1),"02物料",""))</f>
        <v>02物料</v>
      </c>
      <c r="C9" s="125" t="str">
        <f>IF($B9="","",IF($B9="01水果",IFERROR(INDEX(对接源_01水果!$B$5:$B$507,MATCH(ROW()-3,对接源_01水果!$Q$5:$Q$507,0)),""),IFERROR(INDEX(对接源_02物料!$B$5:$B$460,MATCH(ROW()-3-N(对接源_01水果!$T$1),对接源_02物料!$Q$5:$Q$460,0)),"")))</f>
        <v/>
      </c>
      <c r="D9" s="26" t="str">
        <f>IF($B9="","",IF($B9="01水果",IFERROR(INDEX(对接源_01水果!$C$5:$C$507,MATCH(ROW()-3,对接源_01水果!$Q$5:$Q$507,0)),""),IFERROR(INDEX(对接源_02物料!$C$5:$C$460,MATCH(ROW()-3-N(对接源_01水果!$T$1),对接源_02物料!$Q$5:$Q$460,0)),"")))</f>
        <v>包装物料期末库存</v>
      </c>
      <c r="E9" s="126">
        <f>IF($B9="","",IF($B9="01水果",IFERROR(INDEX(对接源_01水果!$D$5:$D$507,MATCH(ROW()-3,对接源_01水果!$Q$5:$Q$507,0)),""),IFERROR(INDEX(对接源_02物料!$D$5:$D$460,MATCH(ROW()-3-N(对接源_01水果!$T$1),对接源_02物料!$Q$5:$Q$460,0)),"")))</f>
        <v>23490</v>
      </c>
      <c r="F9" s="26" t="str">
        <f>IF($B9="","",IF($B9="01水果",IFERROR(INDEX(对接源_01水果!$E$5:$E$507,MATCH(ROW()-3,对接源_01水果!$Q$5:$Q$507,0)),""),IFERROR(INDEX(对接源_02物料!$E$5:$E$460,MATCH(ROW()-3-N(对接源_01水果!$T$1),对接源_02物料!$Q$5:$Q$460,0)),"")))</f>
        <v>包</v>
      </c>
      <c r="G9" s="27" t="str">
        <f>IF($B9="","",IF($B9="01水果",IFERROR(INDEX(对接源_01水果!$F$5:$F$507,MATCH(ROW()-3,对接源_01水果!$Q$5:$Q$507,0)),""),IFERROR(INDEX(对接源_02物料!$F$5:$F$460,MATCH(ROW()-3-N(对接源_01水果!$T$1),对接源_02物料!$Q$5:$Q$460,0)),"")))</f>
        <v/>
      </c>
      <c r="H9" s="27" t="str">
        <f>IF($B9="","",IF($B9="01水果",IFERROR(INDEX(对接源_01水果!$G$5:$G$507,MATCH(ROW()-3,对接源_01水果!$Q$5:$Q$507,0)),""),IFERROR(INDEX(对接源_02物料!$G$5:$G$460,MATCH(ROW()-3-N(对接源_01水果!$T$1),对接源_02物料!$Q$5:$Q$460,0)),"")))</f>
        <v/>
      </c>
      <c r="I9" s="26" t="str">
        <f>IFERROR(INDEX(收入成本映射!$C$4:$C$34,MATCH($D9,收入成本映射!$B$4:$B$34,0)),"不记账")</f>
        <v>不记账</v>
      </c>
      <c r="J9" s="26" t="str">
        <f t="shared" si="0"/>
        <v>0%</v>
      </c>
      <c r="K9" s="27">
        <f t="shared" si="1"/>
        <v>0</v>
      </c>
      <c r="L9" s="27">
        <v>0</v>
      </c>
      <c r="M9" s="26" t="str">
        <f>IF(OR($I9="不记账",ROUND(N($G9),2)=0),"",IFERROR(INDEX(收入成本映射!$E$4:$E$34,MATCH($D9,收入成本映射!$B$4:$B$34,0)),""))</f>
        <v/>
      </c>
      <c r="N9" s="27" t="str">
        <f t="shared" si="2"/>
        <v/>
      </c>
      <c r="O9" s="27" t="str">
        <f t="shared" si="3"/>
        <v/>
      </c>
      <c r="P9" s="26" t="str">
        <f>IF($M9="","",IFERROR(INDEX(收入成本映射!$F$4:$F$34,MATCH($D9,收入成本映射!$B$4:$B$34,0)),""))</f>
        <v/>
      </c>
      <c r="Q9" s="27" t="str">
        <f t="shared" si="4"/>
        <v/>
      </c>
      <c r="R9" s="27" t="str">
        <f t="shared" si="5"/>
        <v/>
      </c>
      <c r="S9" s="26" t="str">
        <f t="shared" si="6"/>
        <v/>
      </c>
      <c r="T9" s="27" t="str">
        <f t="shared" si="7"/>
        <v/>
      </c>
      <c r="U9" s="27" t="str">
        <f t="shared" si="8"/>
        <v/>
      </c>
      <c r="V9" s="10" t="str">
        <f>IF($B9="","",IF($B9="01水果",IFERROR(INDEX(对接源_01水果!$H$5:$H$507,MATCH(ROW()-3,对接源_01水果!$Q$5:$Q$507,0)),""),IFERROR(INDEX(对接源_02物料!$H$5:$H$460,MATCH(ROW()-3-N(对接源_01水果!$T$1),对接源_02物料!$Q$5:$Q$460,0)),"")))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" ht="18" customHeight="1" spans="1:22">
      <c r="A10" s="10">
        <v>7</v>
      </c>
      <c r="B10" s="26" t="str">
        <f>IF(ROW()-3&lt;=N(对接源_01水果!$T$1),"01水果",IF(ROW()-3&lt;=N(对接源_01水果!$T$1)+N(对接源_02物料!$T$1),"02物料",""))</f>
        <v>02物料</v>
      </c>
      <c r="C10" s="125" t="str">
        <f>IF($B10="","",IF($B10="01水果",IFERROR(INDEX(对接源_01水果!$B$5:$B$507,MATCH(ROW()-3,对接源_01水果!$Q$5:$Q$507,0)),""),IFERROR(INDEX(对接源_02物料!$B$5:$B$460,MATCH(ROW()-3-N(对接源_01水果!$T$1),对接源_02物料!$Q$5:$Q$460,0)),"")))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" s="26" t="str">
        <f>IF($B10="","",IF($B10="01水果",IFERROR(INDEX(对接源_01水果!$C$5:$C$507,MATCH(ROW()-3,对接源_01水果!$Q$5:$Q$507,0)),""),IFERROR(INDEX(对接源_02物料!$C$5:$C$460,MATCH(ROW()-3-N(对接源_01水果!$T$1),对接源_02物料!$Q$5:$Q$460,0)),"")))</f>
        <v>公司筐子期末总量</v>
      </c>
      <c r="E10" s="126">
        <f>IF($B10="","",IF($B10="01水果",IFERROR(INDEX(对接源_01水果!$D$5:$D$507,MATCH(ROW()-3,对接源_01水果!$Q$5:$Q$507,0)),""),IFERROR(INDEX(对接源_02物料!$D$5:$D$460,MATCH(ROW()-3-N(对接源_01水果!$T$1),对接源_02物料!$Q$5:$Q$460,0)),"")))</f>
        <v>180226</v>
      </c>
      <c r="F10" s="26" t="str">
        <f>IF($B10="","",IF($B10="01水果",IFERROR(INDEX(对接源_01水果!$E$5:$E$507,MATCH(ROW()-3,对接源_01水果!$Q$5:$Q$507,0)),""),IFERROR(INDEX(对接源_02物料!$E$5:$E$460,MATCH(ROW()-3-N(对接源_01水果!$T$1),对接源_02物料!$Q$5:$Q$460,0)),"")))</f>
        <v>个</v>
      </c>
      <c r="G10" s="27" t="str">
        <f>IF($B10="","",IF($B10="01水果",IFERROR(INDEX(对接源_01水果!$F$5:$F$507,MATCH(ROW()-3,对接源_01水果!$Q$5:$Q$507,0)),""),IFERROR(INDEX(对接源_02物料!$F$5:$F$460,MATCH(ROW()-3-N(对接源_01水果!$T$1),对接源_02物料!$Q$5:$Q$460,0)),"")))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" s="27" t="str">
        <f>IF($B10="","",IF($B10="01水果",IFERROR(INDEX(对接源_01水果!$G$5:$G$507,MATCH(ROW()-3,对接源_01水果!$Q$5:$Q$507,0)),""),IFERROR(INDEX(对接源_02物料!$G$5:$G$460,MATCH(ROW()-3-N(对接源_01水果!$T$1),对接源_02物料!$Q$5:$Q$460,0)),"")))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" s="26" t="str">
        <f>IFERROR(INDEX(收入成本映射!$C$4:$C$34,MATCH($D10,收入成本映射!$B$4:$B$34,0)),"不记账")</f>
        <v>不记账</v>
      </c>
      <c r="J10" s="26" t="str">
        <f t="shared" si="0"/>
        <v>0%</v>
      </c>
      <c r="K10" s="27">
        <f t="shared" si="1"/>
        <v>0</v>
      </c>
      <c r="L10" s="27">
        <v>0</v>
      </c>
      <c r="M10" s="26" t="str">
        <f>IF(OR($I10="不记账",ROUND(N($G10),2)=0),"",IFERROR(INDEX(收入成本映射!$E$4:$E$34,MATCH($D10,收入成本映射!$B$4:$B$34,0)),""))</f>
        <v/>
      </c>
      <c r="N10" s="27" t="str">
        <f t="shared" si="2"/>
        <v/>
      </c>
      <c r="O10" s="27" t="str">
        <f t="shared" si="3"/>
        <v/>
      </c>
      <c r="P10" s="26" t="str">
        <f>IF($M10="","",IFERROR(INDEX(收入成本映射!$F$4:$F$34,MATCH($D10,收入成本映射!$B$4:$B$34,0)),""))</f>
        <v/>
      </c>
      <c r="Q10" s="27" t="str">
        <f t="shared" si="4"/>
        <v/>
      </c>
      <c r="R10" s="27" t="str">
        <f t="shared" si="5"/>
        <v/>
      </c>
      <c r="S10" s="26" t="str">
        <f t="shared" si="6"/>
        <v/>
      </c>
      <c r="T10" s="27" t="str">
        <f t="shared" si="7"/>
        <v/>
      </c>
      <c r="U10" s="27" t="str">
        <f t="shared" si="8"/>
        <v/>
      </c>
      <c r="V10" s="10" t="str">
        <f>IF($B10="","",IF($B10="01水果",IFERROR(INDEX(对接源_01水果!$H$5:$H$507,MATCH(ROW()-3,对接源_01水果!$Q$5:$Q$507,0)),""),IFERROR(INDEX(对接源_02物料!$H$5:$H$460,MATCH(ROW()-3-N(对接源_01水果!$T$1),对接源_02物料!$Q$5:$Q$460,0)),"")))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" ht="18" customHeight="1" spans="1:22">
      <c r="A11" s="10">
        <v>8</v>
      </c>
      <c r="B11" s="26" t="str">
        <f>IF(ROW()-3&lt;=N(对接源_01水果!$T$1),"01水果",IF(ROW()-3&lt;=N(对接源_01水果!$T$1)+N(对接源_02物料!$T$1),"02物料",""))</f>
        <v>02物料</v>
      </c>
      <c r="C11" s="125" t="str">
        <f>IF($B11="","",IF($B11="01水果",IFERROR(INDEX(对接源_01水果!$B$5:$B$507,MATCH(ROW()-3,对接源_01水果!$Q$5:$Q$507,0)),""),IFERROR(INDEX(对接源_02物料!$B$5:$B$460,MATCH(ROW()-3-N(对接源_01水果!$T$1),对接源_02物料!$Q$5:$Q$460,0)),"")))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" s="26" t="str">
        <f>IF($B11="","",IF($B11="01水果",IFERROR(INDEX(对接源_01水果!$C$5:$C$507,MATCH(ROW()-3,对接源_01水果!$Q$5:$Q$507,0)),""),IFERROR(INDEX(对接源_02物料!$C$5:$C$460,MATCH(ROW()-3-N(对接源_01水果!$T$1),对接源_02物料!$Q$5:$Q$460,0)),"")))</f>
        <v>客户自备筐结存（表外备查）</v>
      </c>
      <c r="E11" s="126">
        <f>IF($B11="","",IF($B11="01水果",IFERROR(INDEX(对接源_01水果!$D$5:$D$507,MATCH(ROW()-3,对接源_01水果!$Q$5:$Q$507,0)),""),IFERROR(INDEX(对接源_02物料!$D$5:$D$460,MATCH(ROW()-3-N(对接源_01水果!$T$1),对接源_02物料!$Q$5:$Q$460,0)),"")))</f>
        <v>2362</v>
      </c>
      <c r="F11" s="26" t="str">
        <f>IF($B11="","",IF($B11="01水果",IFERROR(INDEX(对接源_01水果!$E$5:$E$507,MATCH(ROW()-3,对接源_01水果!$Q$5:$Q$507,0)),""),IFERROR(INDEX(对接源_02物料!$E$5:$E$460,MATCH(ROW()-3-N(对接源_01水果!$T$1),对接源_02物料!$Q$5:$Q$460,0)),"")))</f>
        <v>个</v>
      </c>
      <c r="G11" s="27" t="str">
        <f>IF($B11="","",IF($B11="01水果",IFERROR(INDEX(对接源_01水果!$F$5:$F$507,MATCH(ROW()-3,对接源_01水果!$Q$5:$Q$507,0)),""),IFERROR(INDEX(对接源_02物料!$F$5:$F$460,MATCH(ROW()-3-N(对接源_01水果!$T$1),对接源_02物料!$Q$5:$Q$460,0)),"")))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" s="27" t="str">
        <f>IF($B11="","",IF($B11="01水果",IFERROR(INDEX(对接源_01水果!$G$5:$G$507,MATCH(ROW()-3,对接源_01水果!$Q$5:$Q$507,0)),""),IFERROR(INDEX(对接源_02物料!$G$5:$G$460,MATCH(ROW()-3-N(对接源_01水果!$T$1),对接源_02物料!$Q$5:$Q$460,0)),"")))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" s="26" t="str">
        <f>IFERROR(INDEX(收入成本映射!$C$4:$C$34,MATCH($D11,收入成本映射!$B$4:$B$34,0)),"不记账")</f>
        <v>不记账</v>
      </c>
      <c r="J11" s="26" t="str">
        <f t="shared" si="0"/>
        <v>0%</v>
      </c>
      <c r="K11" s="27">
        <f t="shared" si="1"/>
        <v>0</v>
      </c>
      <c r="L11" s="27">
        <v>0</v>
      </c>
      <c r="M11" s="26" t="str">
        <f>IF(OR($I11="不记账",ROUND(N($G11),2)=0),"",IFERROR(INDEX(收入成本映射!$E$4:$E$34,MATCH($D11,收入成本映射!$B$4:$B$34,0)),""))</f>
        <v/>
      </c>
      <c r="N11" s="27" t="str">
        <f t="shared" si="2"/>
        <v/>
      </c>
      <c r="O11" s="27" t="str">
        <f t="shared" si="3"/>
        <v/>
      </c>
      <c r="P11" s="26" t="str">
        <f>IF($M11="","",IFERROR(INDEX(收入成本映射!$F$4:$F$34,MATCH($D11,收入成本映射!$B$4:$B$34,0)),""))</f>
        <v/>
      </c>
      <c r="Q11" s="27" t="str">
        <f t="shared" si="4"/>
        <v/>
      </c>
      <c r="R11" s="27" t="str">
        <f t="shared" si="5"/>
        <v/>
      </c>
      <c r="S11" s="26" t="str">
        <f t="shared" si="6"/>
        <v/>
      </c>
      <c r="T11" s="27" t="str">
        <f t="shared" si="7"/>
        <v/>
      </c>
      <c r="U11" s="27" t="str">
        <f t="shared" si="8"/>
        <v/>
      </c>
      <c r="V11" s="10" t="str">
        <f>IF($B11="","",IF($B11="01水果",IFERROR(INDEX(对接源_01水果!$H$5:$H$507,MATCH(ROW()-3,对接源_01水果!$Q$5:$Q$507,0)),""),IFERROR(INDEX(对接源_02物料!$H$5:$H$460,MATCH(ROW()-3-N(对接源_01水果!$T$1),对接源_02物料!$Q$5:$Q$460,0)),"")))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" ht="18" customHeight="1" spans="1:22">
      <c r="A12" s="10">
        <v>9</v>
      </c>
      <c r="B12" s="26" t="str">
        <f>IF(ROW()-3&lt;=N(对接源_01水果!$T$1),"01水果",IF(ROW()-3&lt;=N(对接源_01水果!$T$1)+N(对接源_02物料!$T$1),"02物料",""))</f>
        <v>02物料</v>
      </c>
      <c r="C12" s="125" t="str">
        <f>IF($B12="","",IF($B12="01水果",IFERROR(INDEX(对接源_01水果!$B$5:$B$507,MATCH(ROW()-3,对接源_01水果!$Q$5:$Q$507,0)),""),IFERROR(INDEX(对接源_02物料!$B$5:$B$460,MATCH(ROW()-3-N(对接源_01水果!$T$1),对接源_02物料!$Q$5:$Q$460,0)),"")))</f>
        <v>全修塑业</v>
      </c>
      <c r="D12" s="26" t="str">
        <f>IF($B12="","",IF($B12="01水果",IFERROR(INDEX(对接源_01水果!$C$5:$C$507,MATCH(ROW()-3,对接源_01水果!$Q$5:$Q$507,0)),""),IFERROR(INDEX(对接源_02物料!$C$5:$C$460,MATCH(ROW()-3-N(对接源_01水果!$T$1),对接源_02物料!$Q$5:$Q$460,0)),"")))</f>
        <v>筐子销售款</v>
      </c>
      <c r="E12" s="126" t="str">
        <f>IF($B12="","",IF($B12="01水果",IFERROR(INDEX(对接源_01水果!$D$5:$D$507,MATCH(ROW()-3,对接源_01水果!$Q$5:$Q$507,0)),""),IFERROR(INDEX(对接源_02物料!$D$5:$D$460,MATCH(ROW()-3-N(对接源_01水果!$T$1),对接源_02物料!$Q$5:$Q$460,0)),"")))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" s="26">
        <f>IF($B12="","",IF($B12="01水果",IFERROR(INDEX(对接源_01水果!$E$5:$E$507,MATCH(ROW()-3,对接源_01水果!$Q$5:$Q$507,0)),""),IFERROR(INDEX(对接源_02物料!$E$5:$E$460,MATCH(ROW()-3-N(对接源_01水果!$T$1),对接源_02物料!$Q$5:$Q$460,0)),"")))</f>
        <v>174720</v>
      </c>
      <c r="G12" s="27" t="str">
        <f>IF($B12="","",IF($B12="01水果",IFERROR(INDEX(对接源_01水果!$F$5:$F$507,MATCH(ROW()-3,对接源_01水果!$Q$5:$Q$507,0)),""),IFERROR(INDEX(对接源_02物料!$F$5:$F$460,MATCH(ROW()-3-N(对接源_01水果!$T$1),对接源_02物料!$Q$5:$Q$460,0)),"")))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" s="27" t="str">
        <f>IF($B12="","",IF($B12="01水果",IFERROR(INDEX(对接源_01水果!$G$5:$G$507,MATCH(ROW()-3,对接源_01水果!$Q$5:$Q$507,0)),""),IFERROR(INDEX(对接源_02物料!$G$5:$G$460,MATCH(ROW()-3-N(对接源_01水果!$T$1),对接源_02物料!$Q$5:$Q$460,0)),"")))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" s="26" t="str">
        <f>IFERROR(INDEX(收入成本映射!$C$4:$C$34,MATCH($D12,收入成本映射!$B$4:$B$34,0)),"不记账")</f>
        <v>不记账</v>
      </c>
      <c r="J12" s="26" t="str">
        <f t="shared" si="0"/>
        <v>0%</v>
      </c>
      <c r="K12" s="27">
        <f t="shared" si="1"/>
        <v>0</v>
      </c>
      <c r="L12" s="27">
        <v>0</v>
      </c>
      <c r="M12" s="26" t="str">
        <f>IF(OR($I12="不记账",ROUND(N($G12),2)=0),"",IFERROR(INDEX(收入成本映射!$E$4:$E$34,MATCH($D12,收入成本映射!$B$4:$B$34,0)),""))</f>
        <v/>
      </c>
      <c r="N12" s="27" t="str">
        <f t="shared" si="2"/>
        <v/>
      </c>
      <c r="O12" s="27" t="str">
        <f t="shared" si="3"/>
        <v/>
      </c>
      <c r="P12" s="26" t="str">
        <f>IF($M12="","",IFERROR(INDEX(收入成本映射!$F$4:$F$34,MATCH($D12,收入成本映射!$B$4:$B$34,0)),""))</f>
        <v/>
      </c>
      <c r="Q12" s="27" t="str">
        <f t="shared" si="4"/>
        <v/>
      </c>
      <c r="R12" s="27" t="str">
        <f t="shared" si="5"/>
        <v/>
      </c>
      <c r="S12" s="26" t="str">
        <f t="shared" si="6"/>
        <v/>
      </c>
      <c r="T12" s="27" t="str">
        <f t="shared" si="7"/>
        <v/>
      </c>
      <c r="U12" s="27" t="str">
        <f t="shared" si="8"/>
        <v/>
      </c>
      <c r="V12" s="10" t="str">
        <f>IF($B12="","",IF($B12="01水果",IFERROR(INDEX(对接源_01水果!$H$5:$H$507,MATCH(ROW()-3,对接源_01水果!$Q$5:$Q$507,0)),""),IFERROR(INDEX(对接源_02物料!$H$5:$H$460,MATCH(ROW()-3-N(对接源_01水果!$T$1),对接源_02物料!$Q$5:$Q$460,0)),"")))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" ht="18" customHeight="1" spans="1:22">
      <c r="A13" s="10">
        <v>10</v>
      </c>
      <c r="B13" s="26" t="str">
        <f>IF(ROW()-3&lt;=N(对接源_01水果!$T$1),"01水果",IF(ROW()-3&lt;=N(对接源_01水果!$T$1)+N(对接源_02物料!$T$1),"02物料",""))</f>
        <v>02物料</v>
      </c>
      <c r="C13" s="125" t="str">
        <f>IF($B13="","",IF($B13="01水果",IFERROR(INDEX(对接源_01水果!$B$5:$B$507,MATCH(ROW()-3,对接源_01水果!$Q$5:$Q$507,0)),""),IFERROR(INDEX(对接源_02物料!$B$5:$B$460,MATCH(ROW()-3-N(对接源_01水果!$T$1),对接源_02物料!$Q$5:$Q$460,0)),"")))</f>
        <v>新顺发泡网</v>
      </c>
      <c r="D13" s="26" t="str">
        <f>IF($B13="","",IF($B13="01水果",IFERROR(INDEX(对接源_01水果!$C$5:$C$507,MATCH(ROW()-3,对接源_01水果!$Q$5:$Q$507,0)),""),IFERROR(INDEX(对接源_02物料!$C$5:$C$460,MATCH(ROW()-3-N(对接源_01水果!$T$1),对接源_02物料!$Q$5:$Q$460,0)),"")))</f>
        <v>物料销售款</v>
      </c>
      <c r="E13" s="126" t="str">
        <f>IF($B13="","",IF($B13="01水果",IFERROR(INDEX(对接源_01水果!$D$5:$D$507,MATCH(ROW()-3,对接源_01水果!$Q$5:$Q$507,0)),""),IFERROR(INDEX(对接源_02物料!$D$5:$D$460,MATCH(ROW()-3-N(对接源_01水果!$T$1),对接源_02物料!$Q$5:$Q$460,0)),"")))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" s="26">
        <f>IF($B13="","",IF($B13="01水果",IFERROR(INDEX(对接源_01水果!$E$5:$E$507,MATCH(ROW()-3,对接源_01水果!$Q$5:$Q$507,0)),""),IFERROR(INDEX(对接源_02物料!$E$5:$E$460,MATCH(ROW()-3-N(对接源_01水果!$T$1),对接源_02物料!$Q$5:$Q$460,0)),"")))</f>
        <v>40848</v>
      </c>
      <c r="G13" s="27" t="str">
        <f>IF($B13="","",IF($B13="01水果",IFERROR(INDEX(对接源_01水果!$F$5:$F$507,MATCH(ROW()-3,对接源_01水果!$Q$5:$Q$507,0)),""),IFERROR(INDEX(对接源_02物料!$F$5:$F$460,MATCH(ROW()-3-N(对接源_01水果!$T$1),对接源_02物料!$Q$5:$Q$460,0)),"")))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" s="27" t="str">
        <f>IF($B13="","",IF($B13="01水果",IFERROR(INDEX(对接源_01水果!$G$5:$G$507,MATCH(ROW()-3,对接源_01水果!$Q$5:$Q$507,0)),""),IFERROR(INDEX(对接源_02物料!$G$5:$G$460,MATCH(ROW()-3-N(对接源_01水果!$T$1),对接源_02物料!$Q$5:$Q$460,0)),"")))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" s="26" t="str">
        <f>IFERROR(INDEX(收入成本映射!$C$4:$C$34,MATCH($D13,收入成本映射!$B$4:$B$34,0)),"不记账")</f>
        <v>不记账</v>
      </c>
      <c r="J13" s="26" t="str">
        <f t="shared" si="0"/>
        <v>0%</v>
      </c>
      <c r="K13" s="27">
        <f t="shared" si="1"/>
        <v>0</v>
      </c>
      <c r="L13" s="27">
        <v>0</v>
      </c>
      <c r="M13" s="26" t="str">
        <f>IF(OR($I13="不记账",ROUND(N($G13),2)=0),"",IFERROR(INDEX(收入成本映射!$E$4:$E$34,MATCH($D13,收入成本映射!$B$4:$B$34,0)),""))</f>
        <v/>
      </c>
      <c r="N13" s="27" t="str">
        <f t="shared" si="2"/>
        <v/>
      </c>
      <c r="O13" s="27" t="str">
        <f t="shared" si="3"/>
        <v/>
      </c>
      <c r="P13" s="26" t="str">
        <f>IF($M13="","",IFERROR(INDEX(收入成本映射!$F$4:$F$34,MATCH($D13,收入成本映射!$B$4:$B$34,0)),""))</f>
        <v/>
      </c>
      <c r="Q13" s="27" t="str">
        <f t="shared" si="4"/>
        <v/>
      </c>
      <c r="R13" s="27" t="str">
        <f t="shared" si="5"/>
        <v/>
      </c>
      <c r="S13" s="26" t="str">
        <f t="shared" si="6"/>
        <v/>
      </c>
      <c r="T13" s="27" t="str">
        <f t="shared" si="7"/>
        <v/>
      </c>
      <c r="U13" s="27" t="str">
        <f t="shared" si="8"/>
        <v/>
      </c>
      <c r="V13" s="10" t="str">
        <f>IF($B13="","",IF($B13="01水果",IFERROR(INDEX(对接源_01水果!$H$5:$H$507,MATCH(ROW()-3,对接源_01水果!$Q$5:$Q$507,0)),""),IFERROR(INDEX(对接源_02物料!$H$5:$H$460,MATCH(ROW()-3-N(对接源_01水果!$T$1),对接源_02物料!$Q$5:$Q$460,0)),"")))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" ht="18" customHeight="1" spans="1:22">
      <c r="A14" s="10">
        <v>11</v>
      </c>
      <c r="B14" s="26" t="str">
        <f>IF(ROW()-3&lt;=N(对接源_01水果!$T$1),"01水果",IF(ROW()-3&lt;=N(对接源_01水果!$T$1)+N(对接源_02物料!$T$1),"02物料",""))</f>
        <v/>
      </c>
      <c r="C14" s="125" t="str">
        <f>IF($B14="","",IF($B14="01水果",IFERROR(INDEX(对接源_01水果!$B$5:$B$507,MATCH(ROW()-3,对接源_01水果!$Q$5:$Q$507,0)),""),IFERROR(INDEX(对接源_02物料!$B$5:$B$460,MATCH(ROW()-3-N(对接源_01水果!$T$1),对接源_02物料!$Q$5:$Q$460,0)),"")))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" s="26" t="str">
        <f>IF($B14="","",IF($B14="01水果",IFERROR(INDEX(对接源_01水果!$C$5:$C$507,MATCH(ROW()-3,对接源_01水果!$Q$5:$Q$507,0)),""),IFERROR(INDEX(对接源_02物料!$C$5:$C$460,MATCH(ROW()-3-N(对接源_01水果!$T$1),对接源_02物料!$Q$5:$Q$460,0)),"")))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" s="126" t="str">
        <f>IF($B14="","",IF($B14="01水果",IFERROR(INDEX(对接源_01水果!$D$5:$D$507,MATCH(ROW()-3,对接源_01水果!$Q$5:$Q$507,0)),""),IFERROR(INDEX(对接源_02物料!$D$5:$D$460,MATCH(ROW()-3-N(对接源_01水果!$T$1),对接源_02物料!$Q$5:$Q$460,0)),"")))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" s="26" t="str">
        <f>IF($B14="","",IF($B14="01水果",IFERROR(INDEX(对接源_01水果!$E$5:$E$507,MATCH(ROW()-3,对接源_01水果!$Q$5:$Q$507,0)),""),IFERROR(INDEX(对接源_02物料!$E$5:$E$460,MATCH(ROW()-3-N(对接源_01水果!$T$1),对接源_02物料!$Q$5:$Q$460,0)),"")))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" s="27" t="str">
        <f>IF($B14="","",IF($B14="01水果",IFERROR(INDEX(对接源_01水果!$F$5:$F$507,MATCH(ROW()-3,对接源_01水果!$Q$5:$Q$507,0)),""),IFERROR(INDEX(对接源_02物料!$F$5:$F$460,MATCH(ROW()-3-N(对接源_01水果!$T$1),对接源_02物料!$Q$5:$Q$460,0)),"")))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" s="27" t="str">
        <f>IF($B14="","",IF($B14="01水果",IFERROR(INDEX(对接源_01水果!$G$5:$G$507,MATCH(ROW()-3,对接源_01水果!$Q$5:$Q$507,0)),""),IFERROR(INDEX(对接源_02物料!$G$5:$G$460,MATCH(ROW()-3-N(对接源_01水果!$T$1),对接源_02物料!$Q$5:$Q$460,0)),"")))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" s="26" t="str">
        <f>IFERROR(INDEX(收入成本映射!$C$4:$C$34,MATCH($D14,收入成本映射!$B$4:$B$34,0)),"不记账")</f>
        <v>不记账</v>
      </c>
      <c r="J14" s="26" t="str">
        <f t="shared" si="0"/>
        <v/>
      </c>
      <c r="K14" s="27">
        <f t="shared" si="1"/>
        <v>0</v>
      </c>
      <c r="L14" s="27">
        <v>0</v>
      </c>
      <c r="M14" s="26" t="str">
        <f>IF(OR($I14="不记账",ROUND(N($G14),2)=0),"",IFERROR(INDEX(收入成本映射!$E$4:$E$34,MATCH($D14,收入成本映射!$B$4:$B$34,0)),""))</f>
        <v/>
      </c>
      <c r="N14" s="27" t="str">
        <f t="shared" si="2"/>
        <v/>
      </c>
      <c r="O14" s="27" t="str">
        <f t="shared" si="3"/>
        <v/>
      </c>
      <c r="P14" s="26" t="str">
        <f>IF($M14="","",IFERROR(INDEX(收入成本映射!$F$4:$F$34,MATCH($D14,收入成本映射!$B$4:$B$34,0)),""))</f>
        <v/>
      </c>
      <c r="Q14" s="27" t="str">
        <f t="shared" si="4"/>
        <v/>
      </c>
      <c r="R14" s="27" t="str">
        <f t="shared" si="5"/>
        <v/>
      </c>
      <c r="S14" s="26" t="str">
        <f t="shared" si="6"/>
        <v/>
      </c>
      <c r="T14" s="27" t="str">
        <f t="shared" si="7"/>
        <v/>
      </c>
      <c r="U14" s="27" t="str">
        <f t="shared" si="8"/>
        <v/>
      </c>
      <c r="V14" s="10" t="str">
        <f>IF($B14="","",IF($B14="01水果",IFERROR(INDEX(对接源_01水果!$H$5:$H$507,MATCH(ROW()-3,对接源_01水果!$Q$5:$Q$507,0)),""),IFERROR(INDEX(对接源_02物料!$H$5:$H$460,MATCH(ROW()-3-N(对接源_01水果!$T$1),对接源_02物料!$Q$5:$Q$460,0)),"")))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" ht="18" customHeight="1" spans="1:22">
      <c r="A15" s="10">
        <v>12</v>
      </c>
      <c r="B15" s="26" t="str">
        <f>IF(ROW()-3&lt;=N(对接源_01水果!$T$1),"01水果",IF(ROW()-3&lt;=N(对接源_01水果!$T$1)+N(对接源_02物料!$T$1),"02物料",""))</f>
        <v/>
      </c>
      <c r="C15" s="125" t="str">
        <f>IF($B15="","",IF($B15="01水果",IFERROR(INDEX(对接源_01水果!$B$5:$B$507,MATCH(ROW()-3,对接源_01水果!$Q$5:$Q$507,0)),""),IFERROR(INDEX(对接源_02物料!$B$5:$B$460,MATCH(ROW()-3-N(对接源_01水果!$T$1),对接源_02物料!$Q$5:$Q$460,0)),"")))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" s="26" t="str">
        <f>IF($B15="","",IF($B15="01水果",IFERROR(INDEX(对接源_01水果!$C$5:$C$507,MATCH(ROW()-3,对接源_01水果!$Q$5:$Q$507,0)),""),IFERROR(INDEX(对接源_02物料!$C$5:$C$460,MATCH(ROW()-3-N(对接源_01水果!$T$1),对接源_02物料!$Q$5:$Q$460,0)),"")))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" s="126" t="str">
        <f>IF($B15="","",IF($B15="01水果",IFERROR(INDEX(对接源_01水果!$D$5:$D$507,MATCH(ROW()-3,对接源_01水果!$Q$5:$Q$507,0)),""),IFERROR(INDEX(对接源_02物料!$D$5:$D$460,MATCH(ROW()-3-N(对接源_01水果!$T$1),对接源_02物料!$Q$5:$Q$460,0)),"")))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" s="26" t="str">
        <f>IF($B15="","",IF($B15="01水果",IFERROR(INDEX(对接源_01水果!$E$5:$E$507,MATCH(ROW()-3,对接源_01水果!$Q$5:$Q$507,0)),""),IFERROR(INDEX(对接源_02物料!$E$5:$E$460,MATCH(ROW()-3-N(对接源_01水果!$T$1),对接源_02物料!$Q$5:$Q$460,0)),"")))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" s="27" t="str">
        <f>IF($B15="","",IF($B15="01水果",IFERROR(INDEX(对接源_01水果!$F$5:$F$507,MATCH(ROW()-3,对接源_01水果!$Q$5:$Q$507,0)),""),IFERROR(INDEX(对接源_02物料!$F$5:$F$460,MATCH(ROW()-3-N(对接源_01水果!$T$1),对接源_02物料!$Q$5:$Q$460,0)),"")))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" s="27" t="str">
        <f>IF($B15="","",IF($B15="01水果",IFERROR(INDEX(对接源_01水果!$G$5:$G$507,MATCH(ROW()-3,对接源_01水果!$Q$5:$Q$507,0)),""),IFERROR(INDEX(对接源_02物料!$G$5:$G$460,MATCH(ROW()-3-N(对接源_01水果!$T$1),对接源_02物料!$Q$5:$Q$460,0)),"")))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" s="26" t="str">
        <f>IFERROR(INDEX(收入成本映射!$C$4:$C$34,MATCH($D15,收入成本映射!$B$4:$B$34,0)),"不记账")</f>
        <v>不记账</v>
      </c>
      <c r="J15" s="26" t="str">
        <f t="shared" si="0"/>
        <v/>
      </c>
      <c r="K15" s="27">
        <f t="shared" si="1"/>
        <v>0</v>
      </c>
      <c r="L15" s="27">
        <v>0</v>
      </c>
      <c r="M15" s="26" t="str">
        <f>IF(OR($I15="不记账",ROUND(N($G15),2)=0),"",IFERROR(INDEX(收入成本映射!$E$4:$E$34,MATCH($D15,收入成本映射!$B$4:$B$34,0)),""))</f>
        <v/>
      </c>
      <c r="N15" s="27" t="str">
        <f t="shared" si="2"/>
        <v/>
      </c>
      <c r="O15" s="27" t="str">
        <f t="shared" si="3"/>
        <v/>
      </c>
      <c r="P15" s="26" t="str">
        <f>IF($M15="","",IFERROR(INDEX(收入成本映射!$F$4:$F$34,MATCH($D15,收入成本映射!$B$4:$B$34,0)),""))</f>
        <v/>
      </c>
      <c r="Q15" s="27" t="str">
        <f t="shared" si="4"/>
        <v/>
      </c>
      <c r="R15" s="27" t="str">
        <f t="shared" si="5"/>
        <v/>
      </c>
      <c r="S15" s="26" t="str">
        <f t="shared" si="6"/>
        <v/>
      </c>
      <c r="T15" s="27" t="str">
        <f t="shared" si="7"/>
        <v/>
      </c>
      <c r="U15" s="27" t="str">
        <f t="shared" si="8"/>
        <v/>
      </c>
      <c r="V15" s="10" t="str">
        <f>IF($B15="","",IF($B15="01水果",IFERROR(INDEX(对接源_01水果!$H$5:$H$507,MATCH(ROW()-3,对接源_01水果!$Q$5:$Q$507,0)),""),IFERROR(INDEX(对接源_02物料!$H$5:$H$460,MATCH(ROW()-3-N(对接源_01水果!$T$1),对接源_02物料!$Q$5:$Q$460,0)),"")))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" ht="18" customHeight="1" spans="1:22">
      <c r="A16" s="10">
        <v>13</v>
      </c>
      <c r="B16" s="26" t="str">
        <f>IF(ROW()-3&lt;=N(对接源_01水果!$T$1),"01水果",IF(ROW()-3&lt;=N(对接源_01水果!$T$1)+N(对接源_02物料!$T$1),"02物料",""))</f>
        <v/>
      </c>
      <c r="C16" s="125" t="str">
        <f>IF($B16="","",IF($B16="01水果",IFERROR(INDEX(对接源_01水果!$B$5:$B$507,MATCH(ROW()-3,对接源_01水果!$Q$5:$Q$507,0)),""),IFERROR(INDEX(对接源_02物料!$B$5:$B$460,MATCH(ROW()-3-N(对接源_01水果!$T$1),对接源_02物料!$Q$5:$Q$460,0)),"")))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" s="26" t="str">
        <f>IF($B16="","",IF($B16="01水果",IFERROR(INDEX(对接源_01水果!$C$5:$C$507,MATCH(ROW()-3,对接源_01水果!$Q$5:$Q$507,0)),""),IFERROR(INDEX(对接源_02物料!$C$5:$C$460,MATCH(ROW()-3-N(对接源_01水果!$T$1),对接源_02物料!$Q$5:$Q$460,0)),"")))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" s="126" t="str">
        <f>IF($B16="","",IF($B16="01水果",IFERROR(INDEX(对接源_01水果!$D$5:$D$507,MATCH(ROW()-3,对接源_01水果!$Q$5:$Q$507,0)),""),IFERROR(INDEX(对接源_02物料!$D$5:$D$460,MATCH(ROW()-3-N(对接源_01水果!$T$1),对接源_02物料!$Q$5:$Q$460,0)),"")))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" s="26" t="str">
        <f>IF($B16="","",IF($B16="01水果",IFERROR(INDEX(对接源_01水果!$E$5:$E$507,MATCH(ROW()-3,对接源_01水果!$Q$5:$Q$507,0)),""),IFERROR(INDEX(对接源_02物料!$E$5:$E$460,MATCH(ROW()-3-N(对接源_01水果!$T$1),对接源_02物料!$Q$5:$Q$460,0)),"")))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" s="27" t="str">
        <f>IF($B16="","",IF($B16="01水果",IFERROR(INDEX(对接源_01水果!$F$5:$F$507,MATCH(ROW()-3,对接源_01水果!$Q$5:$Q$507,0)),""),IFERROR(INDEX(对接源_02物料!$F$5:$F$460,MATCH(ROW()-3-N(对接源_01水果!$T$1),对接源_02物料!$Q$5:$Q$460,0)),"")))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" s="27" t="str">
        <f>IF($B16="","",IF($B16="01水果",IFERROR(INDEX(对接源_01水果!$G$5:$G$507,MATCH(ROW()-3,对接源_01水果!$Q$5:$Q$507,0)),""),IFERROR(INDEX(对接源_02物料!$G$5:$G$460,MATCH(ROW()-3-N(对接源_01水果!$T$1),对接源_02物料!$Q$5:$Q$460,0)),"")))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" s="26" t="str">
        <f>IFERROR(INDEX(收入成本映射!$C$4:$C$34,MATCH($D16,收入成本映射!$B$4:$B$34,0)),"不记账")</f>
        <v>不记账</v>
      </c>
      <c r="J16" s="26" t="str">
        <f t="shared" si="0"/>
        <v/>
      </c>
      <c r="K16" s="27">
        <f t="shared" si="1"/>
        <v>0</v>
      </c>
      <c r="L16" s="27">
        <v>0</v>
      </c>
      <c r="M16" s="26" t="str">
        <f>IF(OR($I16="不记账",ROUND(N($G16),2)=0),"",IFERROR(INDEX(收入成本映射!$E$4:$E$34,MATCH($D16,收入成本映射!$B$4:$B$34,0)),""))</f>
        <v/>
      </c>
      <c r="N16" s="27" t="str">
        <f t="shared" si="2"/>
        <v/>
      </c>
      <c r="O16" s="27" t="str">
        <f t="shared" si="3"/>
        <v/>
      </c>
      <c r="P16" s="26" t="str">
        <f>IF($M16="","",IFERROR(INDEX(收入成本映射!$F$4:$F$34,MATCH($D16,收入成本映射!$B$4:$B$34,0)),""))</f>
        <v/>
      </c>
      <c r="Q16" s="27" t="str">
        <f t="shared" si="4"/>
        <v/>
      </c>
      <c r="R16" s="27" t="str">
        <f t="shared" si="5"/>
        <v/>
      </c>
      <c r="S16" s="26" t="str">
        <f t="shared" si="6"/>
        <v/>
      </c>
      <c r="T16" s="27" t="str">
        <f t="shared" si="7"/>
        <v/>
      </c>
      <c r="U16" s="27" t="str">
        <f t="shared" si="8"/>
        <v/>
      </c>
      <c r="V16" s="10" t="str">
        <f>IF($B16="","",IF($B16="01水果",IFERROR(INDEX(对接源_01水果!$H$5:$H$507,MATCH(ROW()-3,对接源_01水果!$Q$5:$Q$507,0)),""),IFERROR(INDEX(对接源_02物料!$H$5:$H$460,MATCH(ROW()-3-N(对接源_01水果!$T$1),对接源_02物料!$Q$5:$Q$460,0)),"")))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" ht="18" customHeight="1" spans="1:22">
      <c r="A17" s="10">
        <v>14</v>
      </c>
      <c r="B17" s="26" t="str">
        <f>IF(ROW()-3&lt;=N(对接源_01水果!$T$1),"01水果",IF(ROW()-3&lt;=N(对接源_01水果!$T$1)+N(对接源_02物料!$T$1),"02物料",""))</f>
        <v/>
      </c>
      <c r="C17" s="125" t="str">
        <f>IF($B17="","",IF($B17="01水果",IFERROR(INDEX(对接源_01水果!$B$5:$B$507,MATCH(ROW()-3,对接源_01水果!$Q$5:$Q$507,0)),""),IFERROR(INDEX(对接源_02物料!$B$5:$B$460,MATCH(ROW()-3-N(对接源_01水果!$T$1),对接源_02物料!$Q$5:$Q$460,0)),"")))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" s="26" t="str">
        <f>IF($B17="","",IF($B17="01水果",IFERROR(INDEX(对接源_01水果!$C$5:$C$507,MATCH(ROW()-3,对接源_01水果!$Q$5:$Q$507,0)),""),IFERROR(INDEX(对接源_02物料!$C$5:$C$460,MATCH(ROW()-3-N(对接源_01水果!$T$1),对接源_02物料!$Q$5:$Q$460,0)),"")))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" s="126" t="str">
        <f>IF($B17="","",IF($B17="01水果",IFERROR(INDEX(对接源_01水果!$D$5:$D$507,MATCH(ROW()-3,对接源_01水果!$Q$5:$Q$507,0)),""),IFERROR(INDEX(对接源_02物料!$D$5:$D$460,MATCH(ROW()-3-N(对接源_01水果!$T$1),对接源_02物料!$Q$5:$Q$460,0)),"")))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" s="26" t="str">
        <f>IF($B17="","",IF($B17="01水果",IFERROR(INDEX(对接源_01水果!$E$5:$E$507,MATCH(ROW()-3,对接源_01水果!$Q$5:$Q$507,0)),""),IFERROR(INDEX(对接源_02物料!$E$5:$E$460,MATCH(ROW()-3-N(对接源_01水果!$T$1),对接源_02物料!$Q$5:$Q$460,0)),"")))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" s="27" t="str">
        <f>IF($B17="","",IF($B17="01水果",IFERROR(INDEX(对接源_01水果!$F$5:$F$507,MATCH(ROW()-3,对接源_01水果!$Q$5:$Q$507,0)),""),IFERROR(INDEX(对接源_02物料!$F$5:$F$460,MATCH(ROW()-3-N(对接源_01水果!$T$1),对接源_02物料!$Q$5:$Q$460,0)),"")))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" s="27" t="str">
        <f>IF($B17="","",IF($B17="01水果",IFERROR(INDEX(对接源_01水果!$G$5:$G$507,MATCH(ROW()-3,对接源_01水果!$Q$5:$Q$507,0)),""),IFERROR(INDEX(对接源_02物料!$G$5:$G$460,MATCH(ROW()-3-N(对接源_01水果!$T$1),对接源_02物料!$Q$5:$Q$460,0)),"")))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" s="26" t="str">
        <f>IFERROR(INDEX(收入成本映射!$C$4:$C$34,MATCH($D17,收入成本映射!$B$4:$B$34,0)),"不记账")</f>
        <v>不记账</v>
      </c>
      <c r="J17" s="26" t="str">
        <f t="shared" si="0"/>
        <v/>
      </c>
      <c r="K17" s="27">
        <f t="shared" si="1"/>
        <v>0</v>
      </c>
      <c r="L17" s="27">
        <v>0</v>
      </c>
      <c r="M17" s="26" t="str">
        <f>IF(OR($I17="不记账",ROUND(N($G17),2)=0),"",IFERROR(INDEX(收入成本映射!$E$4:$E$34,MATCH($D17,收入成本映射!$B$4:$B$34,0)),""))</f>
        <v/>
      </c>
      <c r="N17" s="27" t="str">
        <f t="shared" si="2"/>
        <v/>
      </c>
      <c r="O17" s="27" t="str">
        <f t="shared" si="3"/>
        <v/>
      </c>
      <c r="P17" s="26" t="str">
        <f>IF($M17="","",IFERROR(INDEX(收入成本映射!$F$4:$F$34,MATCH($D17,收入成本映射!$B$4:$B$34,0)),""))</f>
        <v/>
      </c>
      <c r="Q17" s="27" t="str">
        <f t="shared" si="4"/>
        <v/>
      </c>
      <c r="R17" s="27" t="str">
        <f t="shared" si="5"/>
        <v/>
      </c>
      <c r="S17" s="26" t="str">
        <f t="shared" si="6"/>
        <v/>
      </c>
      <c r="T17" s="27" t="str">
        <f t="shared" si="7"/>
        <v/>
      </c>
      <c r="U17" s="27" t="str">
        <f t="shared" si="8"/>
        <v/>
      </c>
      <c r="V17" s="10" t="str">
        <f>IF($B17="","",IF($B17="01水果",IFERROR(INDEX(对接源_01水果!$H$5:$H$507,MATCH(ROW()-3,对接源_01水果!$Q$5:$Q$507,0)),""),IFERROR(INDEX(对接源_02物料!$H$5:$H$460,MATCH(ROW()-3-N(对接源_01水果!$T$1),对接源_02物料!$Q$5:$Q$460,0)),"")))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" ht="18" customHeight="1" spans="1:22">
      <c r="A18" s="10">
        <v>15</v>
      </c>
      <c r="B18" s="26" t="str">
        <f>IF(ROW()-3&lt;=N(对接源_01水果!$T$1),"01水果",IF(ROW()-3&lt;=N(对接源_01水果!$T$1)+N(对接源_02物料!$T$1),"02物料",""))</f>
        <v/>
      </c>
      <c r="C18" s="125" t="str">
        <f>IF($B18="","",IF($B18="01水果",IFERROR(INDEX(对接源_01水果!$B$5:$B$507,MATCH(ROW()-3,对接源_01水果!$Q$5:$Q$507,0)),""),IFERROR(INDEX(对接源_02物料!$B$5:$B$460,MATCH(ROW()-3-N(对接源_01水果!$T$1),对接源_02物料!$Q$5:$Q$460,0)),"")))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" s="26" t="str">
        <f>IF($B18="","",IF($B18="01水果",IFERROR(INDEX(对接源_01水果!$C$5:$C$507,MATCH(ROW()-3,对接源_01水果!$Q$5:$Q$507,0)),""),IFERROR(INDEX(对接源_02物料!$C$5:$C$460,MATCH(ROW()-3-N(对接源_01水果!$T$1),对接源_02物料!$Q$5:$Q$460,0)),"")))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" s="126" t="str">
        <f>IF($B18="","",IF($B18="01水果",IFERROR(INDEX(对接源_01水果!$D$5:$D$507,MATCH(ROW()-3,对接源_01水果!$Q$5:$Q$507,0)),""),IFERROR(INDEX(对接源_02物料!$D$5:$D$460,MATCH(ROW()-3-N(对接源_01水果!$T$1),对接源_02物料!$Q$5:$Q$460,0)),"")))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" s="26" t="str">
        <f>IF($B18="","",IF($B18="01水果",IFERROR(INDEX(对接源_01水果!$E$5:$E$507,MATCH(ROW()-3,对接源_01水果!$Q$5:$Q$507,0)),""),IFERROR(INDEX(对接源_02物料!$E$5:$E$460,MATCH(ROW()-3-N(对接源_01水果!$T$1),对接源_02物料!$Q$5:$Q$460,0)),"")))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" s="27" t="str">
        <f>IF($B18="","",IF($B18="01水果",IFERROR(INDEX(对接源_01水果!$F$5:$F$507,MATCH(ROW()-3,对接源_01水果!$Q$5:$Q$507,0)),""),IFERROR(INDEX(对接源_02物料!$F$5:$F$460,MATCH(ROW()-3-N(对接源_01水果!$T$1),对接源_02物料!$Q$5:$Q$460,0)),"")))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" s="27" t="str">
        <f>IF($B18="","",IF($B18="01水果",IFERROR(INDEX(对接源_01水果!$G$5:$G$507,MATCH(ROW()-3,对接源_01水果!$Q$5:$Q$507,0)),""),IFERROR(INDEX(对接源_02物料!$G$5:$G$460,MATCH(ROW()-3-N(对接源_01水果!$T$1),对接源_02物料!$Q$5:$Q$460,0)),"")))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" s="26" t="str">
        <f>IFERROR(INDEX(收入成本映射!$C$4:$C$34,MATCH($D18,收入成本映射!$B$4:$B$34,0)),"不记账")</f>
        <v>不记账</v>
      </c>
      <c r="J18" s="26" t="str">
        <f t="shared" si="0"/>
        <v/>
      </c>
      <c r="K18" s="27">
        <f t="shared" si="1"/>
        <v>0</v>
      </c>
      <c r="L18" s="27">
        <v>0</v>
      </c>
      <c r="M18" s="26" t="str">
        <f>IF(OR($I18="不记账",ROUND(N($G18),2)=0),"",IFERROR(INDEX(收入成本映射!$E$4:$E$34,MATCH($D18,收入成本映射!$B$4:$B$34,0)),""))</f>
        <v/>
      </c>
      <c r="N18" s="27" t="str">
        <f t="shared" si="2"/>
        <v/>
      </c>
      <c r="O18" s="27" t="str">
        <f t="shared" si="3"/>
        <v/>
      </c>
      <c r="P18" s="26" t="str">
        <f>IF($M18="","",IFERROR(INDEX(收入成本映射!$F$4:$F$34,MATCH($D18,收入成本映射!$B$4:$B$34,0)),""))</f>
        <v/>
      </c>
      <c r="Q18" s="27" t="str">
        <f t="shared" si="4"/>
        <v/>
      </c>
      <c r="R18" s="27" t="str">
        <f t="shared" si="5"/>
        <v/>
      </c>
      <c r="S18" s="26" t="str">
        <f t="shared" si="6"/>
        <v/>
      </c>
      <c r="T18" s="27" t="str">
        <f t="shared" si="7"/>
        <v/>
      </c>
      <c r="U18" s="27" t="str">
        <f t="shared" si="8"/>
        <v/>
      </c>
      <c r="V18" s="10" t="str">
        <f>IF($B18="","",IF($B18="01水果",IFERROR(INDEX(对接源_01水果!$H$5:$H$507,MATCH(ROW()-3,对接源_01水果!$Q$5:$Q$507,0)),""),IFERROR(INDEX(对接源_02物料!$H$5:$H$460,MATCH(ROW()-3-N(对接源_01水果!$T$1),对接源_02物料!$Q$5:$Q$460,0)),"")))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" ht="18" customHeight="1" spans="1:22">
      <c r="A19" s="10">
        <v>16</v>
      </c>
      <c r="B19" s="26" t="str">
        <f>IF(ROW()-3&lt;=N(对接源_01水果!$T$1),"01水果",IF(ROW()-3&lt;=N(对接源_01水果!$T$1)+N(对接源_02物料!$T$1),"02物料",""))</f>
        <v/>
      </c>
      <c r="C19" s="125" t="str">
        <f>IF($B19="","",IF($B19="01水果",IFERROR(INDEX(对接源_01水果!$B$5:$B$507,MATCH(ROW()-3,对接源_01水果!$Q$5:$Q$507,0)),""),IFERROR(INDEX(对接源_02物料!$B$5:$B$460,MATCH(ROW()-3-N(对接源_01水果!$T$1),对接源_02物料!$Q$5:$Q$460,0)),"")))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" s="26" t="str">
        <f>IF($B19="","",IF($B19="01水果",IFERROR(INDEX(对接源_01水果!$C$5:$C$507,MATCH(ROW()-3,对接源_01水果!$Q$5:$Q$507,0)),""),IFERROR(INDEX(对接源_02物料!$C$5:$C$460,MATCH(ROW()-3-N(对接源_01水果!$T$1),对接源_02物料!$Q$5:$Q$460,0)),"")))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" s="126" t="str">
        <f>IF($B19="","",IF($B19="01水果",IFERROR(INDEX(对接源_01水果!$D$5:$D$507,MATCH(ROW()-3,对接源_01水果!$Q$5:$Q$507,0)),""),IFERROR(INDEX(对接源_02物料!$D$5:$D$460,MATCH(ROW()-3-N(对接源_01水果!$T$1),对接源_02物料!$Q$5:$Q$460,0)),"")))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" s="26" t="str">
        <f>IF($B19="","",IF($B19="01水果",IFERROR(INDEX(对接源_01水果!$E$5:$E$507,MATCH(ROW()-3,对接源_01水果!$Q$5:$Q$507,0)),""),IFERROR(INDEX(对接源_02物料!$E$5:$E$460,MATCH(ROW()-3-N(对接源_01水果!$T$1),对接源_02物料!$Q$5:$Q$460,0)),"")))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" s="27" t="str">
        <f>IF($B19="","",IF($B19="01水果",IFERROR(INDEX(对接源_01水果!$F$5:$F$507,MATCH(ROW()-3,对接源_01水果!$Q$5:$Q$507,0)),""),IFERROR(INDEX(对接源_02物料!$F$5:$F$460,MATCH(ROW()-3-N(对接源_01水果!$T$1),对接源_02物料!$Q$5:$Q$460,0)),"")))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" s="27" t="str">
        <f>IF($B19="","",IF($B19="01水果",IFERROR(INDEX(对接源_01水果!$G$5:$G$507,MATCH(ROW()-3,对接源_01水果!$Q$5:$Q$507,0)),""),IFERROR(INDEX(对接源_02物料!$G$5:$G$460,MATCH(ROW()-3-N(对接源_01水果!$T$1),对接源_02物料!$Q$5:$Q$460,0)),"")))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" s="26" t="str">
        <f>IFERROR(INDEX(收入成本映射!$C$4:$C$34,MATCH($D19,收入成本映射!$B$4:$B$34,0)),"不记账")</f>
        <v>不记账</v>
      </c>
      <c r="J19" s="26" t="str">
        <f t="shared" si="0"/>
        <v/>
      </c>
      <c r="K19" s="27">
        <f t="shared" si="1"/>
        <v>0</v>
      </c>
      <c r="L19" s="27">
        <v>0</v>
      </c>
      <c r="M19" s="26" t="str">
        <f>IF(OR($I19="不记账",ROUND(N($G19),2)=0),"",IFERROR(INDEX(收入成本映射!$E$4:$E$34,MATCH($D19,收入成本映射!$B$4:$B$34,0)),""))</f>
        <v/>
      </c>
      <c r="N19" s="27" t="str">
        <f t="shared" si="2"/>
        <v/>
      </c>
      <c r="O19" s="27" t="str">
        <f t="shared" si="3"/>
        <v/>
      </c>
      <c r="P19" s="26" t="str">
        <f>IF($M19="","",IFERROR(INDEX(收入成本映射!$F$4:$F$34,MATCH($D19,收入成本映射!$B$4:$B$34,0)),""))</f>
        <v/>
      </c>
      <c r="Q19" s="27" t="str">
        <f t="shared" si="4"/>
        <v/>
      </c>
      <c r="R19" s="27" t="str">
        <f t="shared" si="5"/>
        <v/>
      </c>
      <c r="S19" s="26" t="str">
        <f t="shared" si="6"/>
        <v/>
      </c>
      <c r="T19" s="27" t="str">
        <f t="shared" si="7"/>
        <v/>
      </c>
      <c r="U19" s="27" t="str">
        <f t="shared" si="8"/>
        <v/>
      </c>
      <c r="V19" s="10" t="str">
        <f>IF($B19="","",IF($B19="01水果",IFERROR(INDEX(对接源_01水果!$H$5:$H$507,MATCH(ROW()-3,对接源_01水果!$Q$5:$Q$507,0)),""),IFERROR(INDEX(对接源_02物料!$H$5:$H$460,MATCH(ROW()-3-N(对接源_01水果!$T$1),对接源_02物料!$Q$5:$Q$460,0)),"")))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" ht="18" customHeight="1" spans="1:22">
      <c r="A20" s="10">
        <v>17</v>
      </c>
      <c r="B20" s="26" t="str">
        <f>IF(ROW()-3&lt;=N(对接源_01水果!$T$1),"01水果",IF(ROW()-3&lt;=N(对接源_01水果!$T$1)+N(对接源_02物料!$T$1),"02物料",""))</f>
        <v/>
      </c>
      <c r="C20" s="125" t="str">
        <f>IF($B20="","",IF($B20="01水果",IFERROR(INDEX(对接源_01水果!$B$5:$B$507,MATCH(ROW()-3,对接源_01水果!$Q$5:$Q$507,0)),""),IFERROR(INDEX(对接源_02物料!$B$5:$B$460,MATCH(ROW()-3-N(对接源_01水果!$T$1),对接源_02物料!$Q$5:$Q$460,0)),"")))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" s="26" t="str">
        <f>IF($B20="","",IF($B20="01水果",IFERROR(INDEX(对接源_01水果!$C$5:$C$507,MATCH(ROW()-3,对接源_01水果!$Q$5:$Q$507,0)),""),IFERROR(INDEX(对接源_02物料!$C$5:$C$460,MATCH(ROW()-3-N(对接源_01水果!$T$1),对接源_02物料!$Q$5:$Q$460,0)),"")))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" s="126" t="str">
        <f>IF($B20="","",IF($B20="01水果",IFERROR(INDEX(对接源_01水果!$D$5:$D$507,MATCH(ROW()-3,对接源_01水果!$Q$5:$Q$507,0)),""),IFERROR(INDEX(对接源_02物料!$D$5:$D$460,MATCH(ROW()-3-N(对接源_01水果!$T$1),对接源_02物料!$Q$5:$Q$460,0)),"")))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" s="26" t="str">
        <f>IF($B20="","",IF($B20="01水果",IFERROR(INDEX(对接源_01水果!$E$5:$E$507,MATCH(ROW()-3,对接源_01水果!$Q$5:$Q$507,0)),""),IFERROR(INDEX(对接源_02物料!$E$5:$E$460,MATCH(ROW()-3-N(对接源_01水果!$T$1),对接源_02物料!$Q$5:$Q$460,0)),"")))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" s="27" t="str">
        <f>IF($B20="","",IF($B20="01水果",IFERROR(INDEX(对接源_01水果!$F$5:$F$507,MATCH(ROW()-3,对接源_01水果!$Q$5:$Q$507,0)),""),IFERROR(INDEX(对接源_02物料!$F$5:$F$460,MATCH(ROW()-3-N(对接源_01水果!$T$1),对接源_02物料!$Q$5:$Q$460,0)),"")))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" s="27" t="str">
        <f>IF($B20="","",IF($B20="01水果",IFERROR(INDEX(对接源_01水果!$G$5:$G$507,MATCH(ROW()-3,对接源_01水果!$Q$5:$Q$507,0)),""),IFERROR(INDEX(对接源_02物料!$G$5:$G$460,MATCH(ROW()-3-N(对接源_01水果!$T$1),对接源_02物料!$Q$5:$Q$460,0)),"")))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" s="26" t="str">
        <f>IFERROR(INDEX(收入成本映射!$C$4:$C$34,MATCH($D20,收入成本映射!$B$4:$B$34,0)),"不记账")</f>
        <v>不记账</v>
      </c>
      <c r="J20" s="26" t="str">
        <f t="shared" si="0"/>
        <v/>
      </c>
      <c r="K20" s="27">
        <f t="shared" si="1"/>
        <v>0</v>
      </c>
      <c r="L20" s="27">
        <v>0</v>
      </c>
      <c r="M20" s="26" t="str">
        <f>IF(OR($I20="不记账",ROUND(N($G20),2)=0),"",IFERROR(INDEX(收入成本映射!$E$4:$E$34,MATCH($D20,收入成本映射!$B$4:$B$34,0)),""))</f>
        <v/>
      </c>
      <c r="N20" s="27" t="str">
        <f t="shared" si="2"/>
        <v/>
      </c>
      <c r="O20" s="27" t="str">
        <f t="shared" si="3"/>
        <v/>
      </c>
      <c r="P20" s="26" t="str">
        <f>IF($M20="","",IFERROR(INDEX(收入成本映射!$F$4:$F$34,MATCH($D20,收入成本映射!$B$4:$B$34,0)),""))</f>
        <v/>
      </c>
      <c r="Q20" s="27" t="str">
        <f t="shared" si="4"/>
        <v/>
      </c>
      <c r="R20" s="27" t="str">
        <f t="shared" si="5"/>
        <v/>
      </c>
      <c r="S20" s="26" t="str">
        <f t="shared" si="6"/>
        <v/>
      </c>
      <c r="T20" s="27" t="str">
        <f t="shared" si="7"/>
        <v/>
      </c>
      <c r="U20" s="27" t="str">
        <f t="shared" si="8"/>
        <v/>
      </c>
      <c r="V20" s="10" t="str">
        <f>IF($B20="","",IF($B20="01水果",IFERROR(INDEX(对接源_01水果!$H$5:$H$507,MATCH(ROW()-3,对接源_01水果!$Q$5:$Q$507,0)),""),IFERROR(INDEX(对接源_02物料!$H$5:$H$460,MATCH(ROW()-3-N(对接源_01水果!$T$1),对接源_02物料!$Q$5:$Q$460,0)),"")))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" ht="18" customHeight="1" spans="1:22">
      <c r="A21" s="10">
        <v>18</v>
      </c>
      <c r="B21" s="26" t="str">
        <f>IF(ROW()-3&lt;=N(对接源_01水果!$T$1),"01水果",IF(ROW()-3&lt;=N(对接源_01水果!$T$1)+N(对接源_02物料!$T$1),"02物料",""))</f>
        <v/>
      </c>
      <c r="C21" s="125" t="str">
        <f>IF($B21="","",IF($B21="01水果",IFERROR(INDEX(对接源_01水果!$B$5:$B$507,MATCH(ROW()-3,对接源_01水果!$Q$5:$Q$507,0)),""),IFERROR(INDEX(对接源_02物料!$B$5:$B$460,MATCH(ROW()-3-N(对接源_01水果!$T$1),对接源_02物料!$Q$5:$Q$460,0)),"")))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" s="26" t="str">
        <f>IF($B21="","",IF($B21="01水果",IFERROR(INDEX(对接源_01水果!$C$5:$C$507,MATCH(ROW()-3,对接源_01水果!$Q$5:$Q$507,0)),""),IFERROR(INDEX(对接源_02物料!$C$5:$C$460,MATCH(ROW()-3-N(对接源_01水果!$T$1),对接源_02物料!$Q$5:$Q$460,0)),"")))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" s="126" t="str">
        <f>IF($B21="","",IF($B21="01水果",IFERROR(INDEX(对接源_01水果!$D$5:$D$507,MATCH(ROW()-3,对接源_01水果!$Q$5:$Q$507,0)),""),IFERROR(INDEX(对接源_02物料!$D$5:$D$460,MATCH(ROW()-3-N(对接源_01水果!$T$1),对接源_02物料!$Q$5:$Q$460,0)),"")))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" s="26" t="str">
        <f>IF($B21="","",IF($B21="01水果",IFERROR(INDEX(对接源_01水果!$E$5:$E$507,MATCH(ROW()-3,对接源_01水果!$Q$5:$Q$507,0)),""),IFERROR(INDEX(对接源_02物料!$E$5:$E$460,MATCH(ROW()-3-N(对接源_01水果!$T$1),对接源_02物料!$Q$5:$Q$460,0)),"")))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" s="27" t="str">
        <f>IF($B21="","",IF($B21="01水果",IFERROR(INDEX(对接源_01水果!$F$5:$F$507,MATCH(ROW()-3,对接源_01水果!$Q$5:$Q$507,0)),""),IFERROR(INDEX(对接源_02物料!$F$5:$F$460,MATCH(ROW()-3-N(对接源_01水果!$T$1),对接源_02物料!$Q$5:$Q$460,0)),"")))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" s="27" t="str">
        <f>IF($B21="","",IF($B21="01水果",IFERROR(INDEX(对接源_01水果!$G$5:$G$507,MATCH(ROW()-3,对接源_01水果!$Q$5:$Q$507,0)),""),IFERROR(INDEX(对接源_02物料!$G$5:$G$460,MATCH(ROW()-3-N(对接源_01水果!$T$1),对接源_02物料!$Q$5:$Q$460,0)),"")))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" s="26" t="str">
        <f>IFERROR(INDEX(收入成本映射!$C$4:$C$34,MATCH($D21,收入成本映射!$B$4:$B$34,0)),"不记账")</f>
        <v>不记账</v>
      </c>
      <c r="J21" s="26" t="str">
        <f t="shared" si="0"/>
        <v/>
      </c>
      <c r="K21" s="27">
        <f t="shared" si="1"/>
        <v>0</v>
      </c>
      <c r="L21" s="27">
        <v>0</v>
      </c>
      <c r="M21" s="26" t="str">
        <f>IF(OR($I21="不记账",ROUND(N($G21),2)=0),"",IFERROR(INDEX(收入成本映射!$E$4:$E$34,MATCH($D21,收入成本映射!$B$4:$B$34,0)),""))</f>
        <v/>
      </c>
      <c r="N21" s="27" t="str">
        <f t="shared" si="2"/>
        <v/>
      </c>
      <c r="O21" s="27" t="str">
        <f t="shared" si="3"/>
        <v/>
      </c>
      <c r="P21" s="26" t="str">
        <f>IF($M21="","",IFERROR(INDEX(收入成本映射!$F$4:$F$34,MATCH($D21,收入成本映射!$B$4:$B$34,0)),""))</f>
        <v/>
      </c>
      <c r="Q21" s="27" t="str">
        <f t="shared" si="4"/>
        <v/>
      </c>
      <c r="R21" s="27" t="str">
        <f t="shared" si="5"/>
        <v/>
      </c>
      <c r="S21" s="26" t="str">
        <f t="shared" si="6"/>
        <v/>
      </c>
      <c r="T21" s="27" t="str">
        <f t="shared" si="7"/>
        <v/>
      </c>
      <c r="U21" s="27" t="str">
        <f t="shared" si="8"/>
        <v/>
      </c>
      <c r="V21" s="10" t="str">
        <f>IF($B21="","",IF($B21="01水果",IFERROR(INDEX(对接源_01水果!$H$5:$H$507,MATCH(ROW()-3,对接源_01水果!$Q$5:$Q$507,0)),""),IFERROR(INDEX(对接源_02物料!$H$5:$H$460,MATCH(ROW()-3-N(对接源_01水果!$T$1),对接源_02物料!$Q$5:$Q$460,0)),"")))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" ht="18" customHeight="1" spans="1:22">
      <c r="A22" s="10">
        <v>19</v>
      </c>
      <c r="B22" s="26" t="str">
        <f>IF(ROW()-3&lt;=N(对接源_01水果!$T$1),"01水果",IF(ROW()-3&lt;=N(对接源_01水果!$T$1)+N(对接源_02物料!$T$1),"02物料",""))</f>
        <v/>
      </c>
      <c r="C22" s="125" t="str">
        <f>IF($B22="","",IF($B22="01水果",IFERROR(INDEX(对接源_01水果!$B$5:$B$507,MATCH(ROW()-3,对接源_01水果!$Q$5:$Q$507,0)),""),IFERROR(INDEX(对接源_02物料!$B$5:$B$460,MATCH(ROW()-3-N(对接源_01水果!$T$1),对接源_02物料!$Q$5:$Q$460,0)),"")))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" s="26" t="str">
        <f>IF($B22="","",IF($B22="01水果",IFERROR(INDEX(对接源_01水果!$C$5:$C$507,MATCH(ROW()-3,对接源_01水果!$Q$5:$Q$507,0)),""),IFERROR(INDEX(对接源_02物料!$C$5:$C$460,MATCH(ROW()-3-N(对接源_01水果!$T$1),对接源_02物料!$Q$5:$Q$460,0)),"")))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" s="126" t="str">
        <f>IF($B22="","",IF($B22="01水果",IFERROR(INDEX(对接源_01水果!$D$5:$D$507,MATCH(ROW()-3,对接源_01水果!$Q$5:$Q$507,0)),""),IFERROR(INDEX(对接源_02物料!$D$5:$D$460,MATCH(ROW()-3-N(对接源_01水果!$T$1),对接源_02物料!$Q$5:$Q$460,0)),"")))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" s="26" t="str">
        <f>IF($B22="","",IF($B22="01水果",IFERROR(INDEX(对接源_01水果!$E$5:$E$507,MATCH(ROW()-3,对接源_01水果!$Q$5:$Q$507,0)),""),IFERROR(INDEX(对接源_02物料!$E$5:$E$460,MATCH(ROW()-3-N(对接源_01水果!$T$1),对接源_02物料!$Q$5:$Q$460,0)),"")))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" s="27" t="str">
        <f>IF($B22="","",IF($B22="01水果",IFERROR(INDEX(对接源_01水果!$F$5:$F$507,MATCH(ROW()-3,对接源_01水果!$Q$5:$Q$507,0)),""),IFERROR(INDEX(对接源_02物料!$F$5:$F$460,MATCH(ROW()-3-N(对接源_01水果!$T$1),对接源_02物料!$Q$5:$Q$460,0)),"")))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" s="27" t="str">
        <f>IF($B22="","",IF($B22="01水果",IFERROR(INDEX(对接源_01水果!$G$5:$G$507,MATCH(ROW()-3,对接源_01水果!$Q$5:$Q$507,0)),""),IFERROR(INDEX(对接源_02物料!$G$5:$G$460,MATCH(ROW()-3-N(对接源_01水果!$T$1),对接源_02物料!$Q$5:$Q$460,0)),"")))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" s="26" t="str">
        <f>IFERROR(INDEX(收入成本映射!$C$4:$C$34,MATCH($D22,收入成本映射!$B$4:$B$34,0)),"不记账")</f>
        <v>不记账</v>
      </c>
      <c r="J22" s="26" t="str">
        <f t="shared" si="0"/>
        <v/>
      </c>
      <c r="K22" s="27">
        <f t="shared" si="1"/>
        <v>0</v>
      </c>
      <c r="L22" s="27">
        <v>0</v>
      </c>
      <c r="M22" s="26" t="str">
        <f>IF(OR($I22="不记账",ROUND(N($G22),2)=0),"",IFERROR(INDEX(收入成本映射!$E$4:$E$34,MATCH($D22,收入成本映射!$B$4:$B$34,0)),""))</f>
        <v/>
      </c>
      <c r="N22" s="27" t="str">
        <f t="shared" si="2"/>
        <v/>
      </c>
      <c r="O22" s="27" t="str">
        <f t="shared" si="3"/>
        <v/>
      </c>
      <c r="P22" s="26" t="str">
        <f>IF($M22="","",IFERROR(INDEX(收入成本映射!$F$4:$F$34,MATCH($D22,收入成本映射!$B$4:$B$34,0)),""))</f>
        <v/>
      </c>
      <c r="Q22" s="27" t="str">
        <f t="shared" si="4"/>
        <v/>
      </c>
      <c r="R22" s="27" t="str">
        <f t="shared" si="5"/>
        <v/>
      </c>
      <c r="S22" s="26" t="str">
        <f t="shared" si="6"/>
        <v/>
      </c>
      <c r="T22" s="27" t="str">
        <f t="shared" si="7"/>
        <v/>
      </c>
      <c r="U22" s="27" t="str">
        <f t="shared" si="8"/>
        <v/>
      </c>
      <c r="V22" s="10" t="str">
        <f>IF($B22="","",IF($B22="01水果",IFERROR(INDEX(对接源_01水果!$H$5:$H$507,MATCH(ROW()-3,对接源_01水果!$Q$5:$Q$507,0)),""),IFERROR(INDEX(对接源_02物料!$H$5:$H$460,MATCH(ROW()-3-N(对接源_01水果!$T$1),对接源_02物料!$Q$5:$Q$460,0)),"")))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" ht="18" customHeight="1" spans="1:22">
      <c r="A23" s="10">
        <v>20</v>
      </c>
      <c r="B23" s="26" t="str">
        <f>IF(ROW()-3&lt;=N(对接源_01水果!$T$1),"01水果",IF(ROW()-3&lt;=N(对接源_01水果!$T$1)+N(对接源_02物料!$T$1),"02物料",""))</f>
        <v/>
      </c>
      <c r="C23" s="125" t="str">
        <f>IF($B23="","",IF($B23="01水果",IFERROR(INDEX(对接源_01水果!$B$5:$B$507,MATCH(ROW()-3,对接源_01水果!$Q$5:$Q$507,0)),""),IFERROR(INDEX(对接源_02物料!$B$5:$B$460,MATCH(ROW()-3-N(对接源_01水果!$T$1),对接源_02物料!$Q$5:$Q$460,0)),"")))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" s="26" t="str">
        <f>IF($B23="","",IF($B23="01水果",IFERROR(INDEX(对接源_01水果!$C$5:$C$507,MATCH(ROW()-3,对接源_01水果!$Q$5:$Q$507,0)),""),IFERROR(INDEX(对接源_02物料!$C$5:$C$460,MATCH(ROW()-3-N(对接源_01水果!$T$1),对接源_02物料!$Q$5:$Q$460,0)),"")))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" s="126" t="str">
        <f>IF($B23="","",IF($B23="01水果",IFERROR(INDEX(对接源_01水果!$D$5:$D$507,MATCH(ROW()-3,对接源_01水果!$Q$5:$Q$507,0)),""),IFERROR(INDEX(对接源_02物料!$D$5:$D$460,MATCH(ROW()-3-N(对接源_01水果!$T$1),对接源_02物料!$Q$5:$Q$460,0)),"")))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" s="26" t="str">
        <f>IF($B23="","",IF($B23="01水果",IFERROR(INDEX(对接源_01水果!$E$5:$E$507,MATCH(ROW()-3,对接源_01水果!$Q$5:$Q$507,0)),""),IFERROR(INDEX(对接源_02物料!$E$5:$E$460,MATCH(ROW()-3-N(对接源_01水果!$T$1),对接源_02物料!$Q$5:$Q$460,0)),"")))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" s="27" t="str">
        <f>IF($B23="","",IF($B23="01水果",IFERROR(INDEX(对接源_01水果!$F$5:$F$507,MATCH(ROW()-3,对接源_01水果!$Q$5:$Q$507,0)),""),IFERROR(INDEX(对接源_02物料!$F$5:$F$460,MATCH(ROW()-3-N(对接源_01水果!$T$1),对接源_02物料!$Q$5:$Q$460,0)),"")))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" s="27" t="str">
        <f>IF($B23="","",IF($B23="01水果",IFERROR(INDEX(对接源_01水果!$G$5:$G$507,MATCH(ROW()-3,对接源_01水果!$Q$5:$Q$507,0)),""),IFERROR(INDEX(对接源_02物料!$G$5:$G$460,MATCH(ROW()-3-N(对接源_01水果!$T$1),对接源_02物料!$Q$5:$Q$460,0)),"")))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" s="26" t="str">
        <f>IFERROR(INDEX(收入成本映射!$C$4:$C$34,MATCH($D23,收入成本映射!$B$4:$B$34,0)),"不记账")</f>
        <v>不记账</v>
      </c>
      <c r="J23" s="26" t="str">
        <f t="shared" si="0"/>
        <v/>
      </c>
      <c r="K23" s="27">
        <f t="shared" si="1"/>
        <v>0</v>
      </c>
      <c r="L23" s="27">
        <v>0</v>
      </c>
      <c r="M23" s="26" t="str">
        <f>IF(OR($I23="不记账",ROUND(N($G23),2)=0),"",IFERROR(INDEX(收入成本映射!$E$4:$E$34,MATCH($D23,收入成本映射!$B$4:$B$34,0)),""))</f>
        <v/>
      </c>
      <c r="N23" s="27" t="str">
        <f t="shared" si="2"/>
        <v/>
      </c>
      <c r="O23" s="27" t="str">
        <f t="shared" si="3"/>
        <v/>
      </c>
      <c r="P23" s="26" t="str">
        <f>IF($M23="","",IFERROR(INDEX(收入成本映射!$F$4:$F$34,MATCH($D23,收入成本映射!$B$4:$B$34,0)),""))</f>
        <v/>
      </c>
      <c r="Q23" s="27" t="str">
        <f t="shared" si="4"/>
        <v/>
      </c>
      <c r="R23" s="27" t="str">
        <f t="shared" si="5"/>
        <v/>
      </c>
      <c r="S23" s="26" t="str">
        <f t="shared" si="6"/>
        <v/>
      </c>
      <c r="T23" s="27" t="str">
        <f t="shared" si="7"/>
        <v/>
      </c>
      <c r="U23" s="27" t="str">
        <f t="shared" si="8"/>
        <v/>
      </c>
      <c r="V23" s="10" t="str">
        <f>IF($B23="","",IF($B23="01水果",IFERROR(INDEX(对接源_01水果!$H$5:$H$507,MATCH(ROW()-3,对接源_01水果!$Q$5:$Q$507,0)),""),IFERROR(INDEX(对接源_02物料!$H$5:$H$460,MATCH(ROW()-3-N(对接源_01水果!$T$1),对接源_02物料!$Q$5:$Q$460,0)),"")))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" ht="18" customHeight="1" spans="1:22">
      <c r="A24" s="10">
        <v>21</v>
      </c>
      <c r="B24" s="26" t="str">
        <f>IF(ROW()-3&lt;=N(对接源_01水果!$T$1),"01水果",IF(ROW()-3&lt;=N(对接源_01水果!$T$1)+N(对接源_02物料!$T$1),"02物料",""))</f>
        <v/>
      </c>
      <c r="C24" s="125" t="str">
        <f>IF($B24="","",IF($B24="01水果",IFERROR(INDEX(对接源_01水果!$B$5:$B$507,MATCH(ROW()-3,对接源_01水果!$Q$5:$Q$507,0)),""),IFERROR(INDEX(对接源_02物料!$B$5:$B$460,MATCH(ROW()-3-N(对接源_01水果!$T$1),对接源_02物料!$Q$5:$Q$460,0)),"")))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" s="26" t="str">
        <f>IF($B24="","",IF($B24="01水果",IFERROR(INDEX(对接源_01水果!$C$5:$C$507,MATCH(ROW()-3,对接源_01水果!$Q$5:$Q$507,0)),""),IFERROR(INDEX(对接源_02物料!$C$5:$C$460,MATCH(ROW()-3-N(对接源_01水果!$T$1),对接源_02物料!$Q$5:$Q$460,0)),"")))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" s="126" t="str">
        <f>IF($B24="","",IF($B24="01水果",IFERROR(INDEX(对接源_01水果!$D$5:$D$507,MATCH(ROW()-3,对接源_01水果!$Q$5:$Q$507,0)),""),IFERROR(INDEX(对接源_02物料!$D$5:$D$460,MATCH(ROW()-3-N(对接源_01水果!$T$1),对接源_02物料!$Q$5:$Q$460,0)),"")))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" s="26" t="str">
        <f>IF($B24="","",IF($B24="01水果",IFERROR(INDEX(对接源_01水果!$E$5:$E$507,MATCH(ROW()-3,对接源_01水果!$Q$5:$Q$507,0)),""),IFERROR(INDEX(对接源_02物料!$E$5:$E$460,MATCH(ROW()-3-N(对接源_01水果!$T$1),对接源_02物料!$Q$5:$Q$460,0)),"")))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" s="27" t="str">
        <f>IF($B24="","",IF($B24="01水果",IFERROR(INDEX(对接源_01水果!$F$5:$F$507,MATCH(ROW()-3,对接源_01水果!$Q$5:$Q$507,0)),""),IFERROR(INDEX(对接源_02物料!$F$5:$F$460,MATCH(ROW()-3-N(对接源_01水果!$T$1),对接源_02物料!$Q$5:$Q$460,0)),"")))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" s="27" t="str">
        <f>IF($B24="","",IF($B24="01水果",IFERROR(INDEX(对接源_01水果!$G$5:$G$507,MATCH(ROW()-3,对接源_01水果!$Q$5:$Q$507,0)),""),IFERROR(INDEX(对接源_02物料!$G$5:$G$460,MATCH(ROW()-3-N(对接源_01水果!$T$1),对接源_02物料!$Q$5:$Q$460,0)),"")))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" s="26" t="str">
        <f>IFERROR(INDEX(收入成本映射!$C$4:$C$34,MATCH($D24,收入成本映射!$B$4:$B$34,0)),"不记账")</f>
        <v>不记账</v>
      </c>
      <c r="J24" s="26" t="str">
        <f t="shared" si="0"/>
        <v/>
      </c>
      <c r="K24" s="27">
        <f t="shared" si="1"/>
        <v>0</v>
      </c>
      <c r="L24" s="27">
        <v>0</v>
      </c>
      <c r="M24" s="26" t="str">
        <f>IF(OR($I24="不记账",ROUND(N($G24),2)=0),"",IFERROR(INDEX(收入成本映射!$E$4:$E$34,MATCH($D24,收入成本映射!$B$4:$B$34,0)),""))</f>
        <v/>
      </c>
      <c r="N24" s="27" t="str">
        <f t="shared" si="2"/>
        <v/>
      </c>
      <c r="O24" s="27" t="str">
        <f t="shared" si="3"/>
        <v/>
      </c>
      <c r="P24" s="26" t="str">
        <f>IF($M24="","",IFERROR(INDEX(收入成本映射!$F$4:$F$34,MATCH($D24,收入成本映射!$B$4:$B$34,0)),""))</f>
        <v/>
      </c>
      <c r="Q24" s="27" t="str">
        <f t="shared" si="4"/>
        <v/>
      </c>
      <c r="R24" s="27" t="str">
        <f t="shared" si="5"/>
        <v/>
      </c>
      <c r="S24" s="26" t="str">
        <f t="shared" si="6"/>
        <v/>
      </c>
      <c r="T24" s="27" t="str">
        <f t="shared" si="7"/>
        <v/>
      </c>
      <c r="U24" s="27" t="str">
        <f t="shared" si="8"/>
        <v/>
      </c>
      <c r="V24" s="10" t="str">
        <f>IF($B24="","",IF($B24="01水果",IFERROR(INDEX(对接源_01水果!$H$5:$H$507,MATCH(ROW()-3,对接源_01水果!$Q$5:$Q$507,0)),""),IFERROR(INDEX(对接源_02物料!$H$5:$H$460,MATCH(ROW()-3-N(对接源_01水果!$T$1),对接源_02物料!$Q$5:$Q$460,0)),"")))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" ht="18" customHeight="1" spans="1:22">
      <c r="A25" s="10">
        <v>22</v>
      </c>
      <c r="B25" s="26" t="str">
        <f>IF(ROW()-3&lt;=N(对接源_01水果!$T$1),"01水果",IF(ROW()-3&lt;=N(对接源_01水果!$T$1)+N(对接源_02物料!$T$1),"02物料",""))</f>
        <v/>
      </c>
      <c r="C25" s="125" t="str">
        <f>IF($B25="","",IF($B25="01水果",IFERROR(INDEX(对接源_01水果!$B$5:$B$507,MATCH(ROW()-3,对接源_01水果!$Q$5:$Q$507,0)),""),IFERROR(INDEX(对接源_02物料!$B$5:$B$460,MATCH(ROW()-3-N(对接源_01水果!$T$1),对接源_02物料!$Q$5:$Q$460,0)),"")))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" s="26" t="str">
        <f>IF($B25="","",IF($B25="01水果",IFERROR(INDEX(对接源_01水果!$C$5:$C$507,MATCH(ROW()-3,对接源_01水果!$Q$5:$Q$507,0)),""),IFERROR(INDEX(对接源_02物料!$C$5:$C$460,MATCH(ROW()-3-N(对接源_01水果!$T$1),对接源_02物料!$Q$5:$Q$460,0)),"")))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" s="126" t="str">
        <f>IF($B25="","",IF($B25="01水果",IFERROR(INDEX(对接源_01水果!$D$5:$D$507,MATCH(ROW()-3,对接源_01水果!$Q$5:$Q$507,0)),""),IFERROR(INDEX(对接源_02物料!$D$5:$D$460,MATCH(ROW()-3-N(对接源_01水果!$T$1),对接源_02物料!$Q$5:$Q$460,0)),"")))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" s="26" t="str">
        <f>IF($B25="","",IF($B25="01水果",IFERROR(INDEX(对接源_01水果!$E$5:$E$507,MATCH(ROW()-3,对接源_01水果!$Q$5:$Q$507,0)),""),IFERROR(INDEX(对接源_02物料!$E$5:$E$460,MATCH(ROW()-3-N(对接源_01水果!$T$1),对接源_02物料!$Q$5:$Q$460,0)),"")))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" s="27" t="str">
        <f>IF($B25="","",IF($B25="01水果",IFERROR(INDEX(对接源_01水果!$F$5:$F$507,MATCH(ROW()-3,对接源_01水果!$Q$5:$Q$507,0)),""),IFERROR(INDEX(对接源_02物料!$F$5:$F$460,MATCH(ROW()-3-N(对接源_01水果!$T$1),对接源_02物料!$Q$5:$Q$460,0)),"")))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" s="27" t="str">
        <f>IF($B25="","",IF($B25="01水果",IFERROR(INDEX(对接源_01水果!$G$5:$G$507,MATCH(ROW()-3,对接源_01水果!$Q$5:$Q$507,0)),""),IFERROR(INDEX(对接源_02物料!$G$5:$G$460,MATCH(ROW()-3-N(对接源_01水果!$T$1),对接源_02物料!$Q$5:$Q$460,0)),"")))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" s="26" t="str">
        <f>IFERROR(INDEX(收入成本映射!$C$4:$C$34,MATCH($D25,收入成本映射!$B$4:$B$34,0)),"不记账")</f>
        <v>不记账</v>
      </c>
      <c r="J25" s="26" t="str">
        <f t="shared" si="0"/>
        <v/>
      </c>
      <c r="K25" s="27">
        <f t="shared" si="1"/>
        <v>0</v>
      </c>
      <c r="L25" s="27">
        <v>0</v>
      </c>
      <c r="M25" s="26" t="str">
        <f>IF(OR($I25="不记账",ROUND(N($G25),2)=0),"",IFERROR(INDEX(收入成本映射!$E$4:$E$34,MATCH($D25,收入成本映射!$B$4:$B$34,0)),""))</f>
        <v/>
      </c>
      <c r="N25" s="27" t="str">
        <f t="shared" si="2"/>
        <v/>
      </c>
      <c r="O25" s="27" t="str">
        <f t="shared" si="3"/>
        <v/>
      </c>
      <c r="P25" s="26" t="str">
        <f>IF($M25="","",IFERROR(INDEX(收入成本映射!$F$4:$F$34,MATCH($D25,收入成本映射!$B$4:$B$34,0)),""))</f>
        <v/>
      </c>
      <c r="Q25" s="27" t="str">
        <f t="shared" si="4"/>
        <v/>
      </c>
      <c r="R25" s="27" t="str">
        <f t="shared" si="5"/>
        <v/>
      </c>
      <c r="S25" s="26" t="str">
        <f t="shared" si="6"/>
        <v/>
      </c>
      <c r="T25" s="27" t="str">
        <f t="shared" si="7"/>
        <v/>
      </c>
      <c r="U25" s="27" t="str">
        <f t="shared" si="8"/>
        <v/>
      </c>
      <c r="V25" s="10" t="str">
        <f>IF($B25="","",IF($B25="01水果",IFERROR(INDEX(对接源_01水果!$H$5:$H$507,MATCH(ROW()-3,对接源_01水果!$Q$5:$Q$507,0)),""),IFERROR(INDEX(对接源_02物料!$H$5:$H$460,MATCH(ROW()-3-N(对接源_01水果!$T$1),对接源_02物料!$Q$5:$Q$460,0)),"")))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" ht="18" customHeight="1" spans="1:22">
      <c r="A26" s="10">
        <v>23</v>
      </c>
      <c r="B26" s="26" t="str">
        <f>IF(ROW()-3&lt;=N(对接源_01水果!$T$1),"01水果",IF(ROW()-3&lt;=N(对接源_01水果!$T$1)+N(对接源_02物料!$T$1),"02物料",""))</f>
        <v/>
      </c>
      <c r="C26" s="125" t="str">
        <f>IF($B26="","",IF($B26="01水果",IFERROR(INDEX(对接源_01水果!$B$5:$B$507,MATCH(ROW()-3,对接源_01水果!$Q$5:$Q$507,0)),""),IFERROR(INDEX(对接源_02物料!$B$5:$B$460,MATCH(ROW()-3-N(对接源_01水果!$T$1),对接源_02物料!$Q$5:$Q$460,0)),"")))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" s="26" t="str">
        <f>IF($B26="","",IF($B26="01水果",IFERROR(INDEX(对接源_01水果!$C$5:$C$507,MATCH(ROW()-3,对接源_01水果!$Q$5:$Q$507,0)),""),IFERROR(INDEX(对接源_02物料!$C$5:$C$460,MATCH(ROW()-3-N(对接源_01水果!$T$1),对接源_02物料!$Q$5:$Q$460,0)),"")))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" s="126" t="str">
        <f>IF($B26="","",IF($B26="01水果",IFERROR(INDEX(对接源_01水果!$D$5:$D$507,MATCH(ROW()-3,对接源_01水果!$Q$5:$Q$507,0)),""),IFERROR(INDEX(对接源_02物料!$D$5:$D$460,MATCH(ROW()-3-N(对接源_01水果!$T$1),对接源_02物料!$Q$5:$Q$460,0)),"")))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" s="26" t="str">
        <f>IF($B26="","",IF($B26="01水果",IFERROR(INDEX(对接源_01水果!$E$5:$E$507,MATCH(ROW()-3,对接源_01水果!$Q$5:$Q$507,0)),""),IFERROR(INDEX(对接源_02物料!$E$5:$E$460,MATCH(ROW()-3-N(对接源_01水果!$T$1),对接源_02物料!$Q$5:$Q$460,0)),"")))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" s="27" t="str">
        <f>IF($B26="","",IF($B26="01水果",IFERROR(INDEX(对接源_01水果!$F$5:$F$507,MATCH(ROW()-3,对接源_01水果!$Q$5:$Q$507,0)),""),IFERROR(INDEX(对接源_02物料!$F$5:$F$460,MATCH(ROW()-3-N(对接源_01水果!$T$1),对接源_02物料!$Q$5:$Q$460,0)),"")))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" s="27" t="str">
        <f>IF($B26="","",IF($B26="01水果",IFERROR(INDEX(对接源_01水果!$G$5:$G$507,MATCH(ROW()-3,对接源_01水果!$Q$5:$Q$507,0)),""),IFERROR(INDEX(对接源_02物料!$G$5:$G$460,MATCH(ROW()-3-N(对接源_01水果!$T$1),对接源_02物料!$Q$5:$Q$460,0)),"")))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" s="26" t="str">
        <f>IFERROR(INDEX(收入成本映射!$C$4:$C$34,MATCH($D26,收入成本映射!$B$4:$B$34,0)),"不记账")</f>
        <v>不记账</v>
      </c>
      <c r="J26" s="26" t="str">
        <f t="shared" si="0"/>
        <v/>
      </c>
      <c r="K26" s="27">
        <f t="shared" si="1"/>
        <v>0</v>
      </c>
      <c r="L26" s="27">
        <v>0</v>
      </c>
      <c r="M26" s="26" t="str">
        <f>IF(OR($I26="不记账",ROUND(N($G26),2)=0),"",IFERROR(INDEX(收入成本映射!$E$4:$E$34,MATCH($D26,收入成本映射!$B$4:$B$34,0)),""))</f>
        <v/>
      </c>
      <c r="N26" s="27" t="str">
        <f t="shared" si="2"/>
        <v/>
      </c>
      <c r="O26" s="27" t="str">
        <f t="shared" si="3"/>
        <v/>
      </c>
      <c r="P26" s="26" t="str">
        <f>IF($M26="","",IFERROR(INDEX(收入成本映射!$F$4:$F$34,MATCH($D26,收入成本映射!$B$4:$B$34,0)),""))</f>
        <v/>
      </c>
      <c r="Q26" s="27" t="str">
        <f t="shared" si="4"/>
        <v/>
      </c>
      <c r="R26" s="27" t="str">
        <f t="shared" si="5"/>
        <v/>
      </c>
      <c r="S26" s="26" t="str">
        <f t="shared" si="6"/>
        <v/>
      </c>
      <c r="T26" s="27" t="str">
        <f t="shared" si="7"/>
        <v/>
      </c>
      <c r="U26" s="27" t="str">
        <f t="shared" si="8"/>
        <v/>
      </c>
      <c r="V26" s="10" t="str">
        <f>IF($B26="","",IF($B26="01水果",IFERROR(INDEX(对接源_01水果!$H$5:$H$507,MATCH(ROW()-3,对接源_01水果!$Q$5:$Q$507,0)),""),IFERROR(INDEX(对接源_02物料!$H$5:$H$460,MATCH(ROW()-3-N(对接源_01水果!$T$1),对接源_02物料!$Q$5:$Q$460,0)),"")))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" ht="18" customHeight="1" spans="1:22">
      <c r="A27" s="10">
        <v>24</v>
      </c>
      <c r="B27" s="26" t="str">
        <f>IF(ROW()-3&lt;=N(对接源_01水果!$T$1),"01水果",IF(ROW()-3&lt;=N(对接源_01水果!$T$1)+N(对接源_02物料!$T$1),"02物料",""))</f>
        <v/>
      </c>
      <c r="C27" s="125" t="str">
        <f>IF($B27="","",IF($B27="01水果",IFERROR(INDEX(对接源_01水果!$B$5:$B$507,MATCH(ROW()-3,对接源_01水果!$Q$5:$Q$507,0)),""),IFERROR(INDEX(对接源_02物料!$B$5:$B$460,MATCH(ROW()-3-N(对接源_01水果!$T$1),对接源_02物料!$Q$5:$Q$460,0)),"")))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" s="26" t="str">
        <f>IF($B27="","",IF($B27="01水果",IFERROR(INDEX(对接源_01水果!$C$5:$C$507,MATCH(ROW()-3,对接源_01水果!$Q$5:$Q$507,0)),""),IFERROR(INDEX(对接源_02物料!$C$5:$C$460,MATCH(ROW()-3-N(对接源_01水果!$T$1),对接源_02物料!$Q$5:$Q$460,0)),"")))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" s="126" t="str">
        <f>IF($B27="","",IF($B27="01水果",IFERROR(INDEX(对接源_01水果!$D$5:$D$507,MATCH(ROW()-3,对接源_01水果!$Q$5:$Q$507,0)),""),IFERROR(INDEX(对接源_02物料!$D$5:$D$460,MATCH(ROW()-3-N(对接源_01水果!$T$1),对接源_02物料!$Q$5:$Q$460,0)),"")))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" s="26" t="str">
        <f>IF($B27="","",IF($B27="01水果",IFERROR(INDEX(对接源_01水果!$E$5:$E$507,MATCH(ROW()-3,对接源_01水果!$Q$5:$Q$507,0)),""),IFERROR(INDEX(对接源_02物料!$E$5:$E$460,MATCH(ROW()-3-N(对接源_01水果!$T$1),对接源_02物料!$Q$5:$Q$460,0)),"")))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" s="27" t="str">
        <f>IF($B27="","",IF($B27="01水果",IFERROR(INDEX(对接源_01水果!$F$5:$F$507,MATCH(ROW()-3,对接源_01水果!$Q$5:$Q$507,0)),""),IFERROR(INDEX(对接源_02物料!$F$5:$F$460,MATCH(ROW()-3-N(对接源_01水果!$T$1),对接源_02物料!$Q$5:$Q$460,0)),"")))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" s="27" t="str">
        <f>IF($B27="","",IF($B27="01水果",IFERROR(INDEX(对接源_01水果!$G$5:$G$507,MATCH(ROW()-3,对接源_01水果!$Q$5:$Q$507,0)),""),IFERROR(INDEX(对接源_02物料!$G$5:$G$460,MATCH(ROW()-3-N(对接源_01水果!$T$1),对接源_02物料!$Q$5:$Q$460,0)),"")))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" s="26" t="str">
        <f>IFERROR(INDEX(收入成本映射!$C$4:$C$34,MATCH($D27,收入成本映射!$B$4:$B$34,0)),"不记账")</f>
        <v>不记账</v>
      </c>
      <c r="J27" s="26" t="str">
        <f t="shared" si="0"/>
        <v/>
      </c>
      <c r="K27" s="27">
        <f t="shared" si="1"/>
        <v>0</v>
      </c>
      <c r="L27" s="27">
        <v>0</v>
      </c>
      <c r="M27" s="26" t="str">
        <f>IF(OR($I27="不记账",ROUND(N($G27),2)=0),"",IFERROR(INDEX(收入成本映射!$E$4:$E$34,MATCH($D27,收入成本映射!$B$4:$B$34,0)),""))</f>
        <v/>
      </c>
      <c r="N27" s="27" t="str">
        <f t="shared" si="2"/>
        <v/>
      </c>
      <c r="O27" s="27" t="str">
        <f t="shared" si="3"/>
        <v/>
      </c>
      <c r="P27" s="26" t="str">
        <f>IF($M27="","",IFERROR(INDEX(收入成本映射!$F$4:$F$34,MATCH($D27,收入成本映射!$B$4:$B$34,0)),""))</f>
        <v/>
      </c>
      <c r="Q27" s="27" t="str">
        <f t="shared" si="4"/>
        <v/>
      </c>
      <c r="R27" s="27" t="str">
        <f t="shared" si="5"/>
        <v/>
      </c>
      <c r="S27" s="26" t="str">
        <f t="shared" si="6"/>
        <v/>
      </c>
      <c r="T27" s="27" t="str">
        <f t="shared" si="7"/>
        <v/>
      </c>
      <c r="U27" s="27" t="str">
        <f t="shared" si="8"/>
        <v/>
      </c>
      <c r="V27" s="10" t="str">
        <f>IF($B27="","",IF($B27="01水果",IFERROR(INDEX(对接源_01水果!$H$5:$H$507,MATCH(ROW()-3,对接源_01水果!$Q$5:$Q$507,0)),""),IFERROR(INDEX(对接源_02物料!$H$5:$H$460,MATCH(ROW()-3-N(对接源_01水果!$T$1),对接源_02物料!$Q$5:$Q$460,0)),"")))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" ht="18" customHeight="1" spans="1:22">
      <c r="A28" s="10">
        <v>25</v>
      </c>
      <c r="B28" s="26" t="str">
        <f>IF(ROW()-3&lt;=N(对接源_01水果!$T$1),"01水果",IF(ROW()-3&lt;=N(对接源_01水果!$T$1)+N(对接源_02物料!$T$1),"02物料",""))</f>
        <v/>
      </c>
      <c r="C28" s="125" t="str">
        <f>IF($B28="","",IF($B28="01水果",IFERROR(INDEX(对接源_01水果!$B$5:$B$507,MATCH(ROW()-3,对接源_01水果!$Q$5:$Q$507,0)),""),IFERROR(INDEX(对接源_02物料!$B$5:$B$460,MATCH(ROW()-3-N(对接源_01水果!$T$1),对接源_02物料!$Q$5:$Q$460,0)),"")))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" s="26" t="str">
        <f>IF($B28="","",IF($B28="01水果",IFERROR(INDEX(对接源_01水果!$C$5:$C$507,MATCH(ROW()-3,对接源_01水果!$Q$5:$Q$507,0)),""),IFERROR(INDEX(对接源_02物料!$C$5:$C$460,MATCH(ROW()-3-N(对接源_01水果!$T$1),对接源_02物料!$Q$5:$Q$460,0)),"")))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" s="126" t="str">
        <f>IF($B28="","",IF($B28="01水果",IFERROR(INDEX(对接源_01水果!$D$5:$D$507,MATCH(ROW()-3,对接源_01水果!$Q$5:$Q$507,0)),""),IFERROR(INDEX(对接源_02物料!$D$5:$D$460,MATCH(ROW()-3-N(对接源_01水果!$T$1),对接源_02物料!$Q$5:$Q$460,0)),"")))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" s="26" t="str">
        <f>IF($B28="","",IF($B28="01水果",IFERROR(INDEX(对接源_01水果!$E$5:$E$507,MATCH(ROW()-3,对接源_01水果!$Q$5:$Q$507,0)),""),IFERROR(INDEX(对接源_02物料!$E$5:$E$460,MATCH(ROW()-3-N(对接源_01水果!$T$1),对接源_02物料!$Q$5:$Q$460,0)),"")))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" s="27" t="str">
        <f>IF($B28="","",IF($B28="01水果",IFERROR(INDEX(对接源_01水果!$F$5:$F$507,MATCH(ROW()-3,对接源_01水果!$Q$5:$Q$507,0)),""),IFERROR(INDEX(对接源_02物料!$F$5:$F$460,MATCH(ROW()-3-N(对接源_01水果!$T$1),对接源_02物料!$Q$5:$Q$460,0)),"")))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" s="27" t="str">
        <f>IF($B28="","",IF($B28="01水果",IFERROR(INDEX(对接源_01水果!$G$5:$G$507,MATCH(ROW()-3,对接源_01水果!$Q$5:$Q$507,0)),""),IFERROR(INDEX(对接源_02物料!$G$5:$G$460,MATCH(ROW()-3-N(对接源_01水果!$T$1),对接源_02物料!$Q$5:$Q$460,0)),"")))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" s="26" t="str">
        <f>IFERROR(INDEX(收入成本映射!$C$4:$C$34,MATCH($D28,收入成本映射!$B$4:$B$34,0)),"不记账")</f>
        <v>不记账</v>
      </c>
      <c r="J28" s="26" t="str">
        <f t="shared" si="0"/>
        <v/>
      </c>
      <c r="K28" s="27">
        <f t="shared" si="1"/>
        <v>0</v>
      </c>
      <c r="L28" s="27">
        <v>0</v>
      </c>
      <c r="M28" s="26" t="str">
        <f>IF(OR($I28="不记账",ROUND(N($G28),2)=0),"",IFERROR(INDEX(收入成本映射!$E$4:$E$34,MATCH($D28,收入成本映射!$B$4:$B$34,0)),""))</f>
        <v/>
      </c>
      <c r="N28" s="27" t="str">
        <f t="shared" si="2"/>
        <v/>
      </c>
      <c r="O28" s="27" t="str">
        <f t="shared" si="3"/>
        <v/>
      </c>
      <c r="P28" s="26" t="str">
        <f>IF($M28="","",IFERROR(INDEX(收入成本映射!$F$4:$F$34,MATCH($D28,收入成本映射!$B$4:$B$34,0)),""))</f>
        <v/>
      </c>
      <c r="Q28" s="27" t="str">
        <f t="shared" si="4"/>
        <v/>
      </c>
      <c r="R28" s="27" t="str">
        <f t="shared" si="5"/>
        <v/>
      </c>
      <c r="S28" s="26" t="str">
        <f t="shared" si="6"/>
        <v/>
      </c>
      <c r="T28" s="27" t="str">
        <f t="shared" si="7"/>
        <v/>
      </c>
      <c r="U28" s="27" t="str">
        <f t="shared" si="8"/>
        <v/>
      </c>
      <c r="V28" s="10" t="str">
        <f>IF($B28="","",IF($B28="01水果",IFERROR(INDEX(对接源_01水果!$H$5:$H$507,MATCH(ROW()-3,对接源_01水果!$Q$5:$Q$507,0)),""),IFERROR(INDEX(对接源_02物料!$H$5:$H$460,MATCH(ROW()-3-N(对接源_01水果!$T$1),对接源_02物料!$Q$5:$Q$460,0)),"")))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" ht="18" customHeight="1" spans="1:22">
      <c r="A29" s="10">
        <v>26</v>
      </c>
      <c r="B29" s="26" t="str">
        <f>IF(ROW()-3&lt;=N(对接源_01水果!$T$1),"01水果",IF(ROW()-3&lt;=N(对接源_01水果!$T$1)+N(对接源_02物料!$T$1),"02物料",""))</f>
        <v/>
      </c>
      <c r="C29" s="125" t="str">
        <f>IF($B29="","",IF($B29="01水果",IFERROR(INDEX(对接源_01水果!$B$5:$B$507,MATCH(ROW()-3,对接源_01水果!$Q$5:$Q$507,0)),""),IFERROR(INDEX(对接源_02物料!$B$5:$B$460,MATCH(ROW()-3-N(对接源_01水果!$T$1),对接源_02物料!$Q$5:$Q$460,0)),"")))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" s="26" t="str">
        <f>IF($B29="","",IF($B29="01水果",IFERROR(INDEX(对接源_01水果!$C$5:$C$507,MATCH(ROW()-3,对接源_01水果!$Q$5:$Q$507,0)),""),IFERROR(INDEX(对接源_02物料!$C$5:$C$460,MATCH(ROW()-3-N(对接源_01水果!$T$1),对接源_02物料!$Q$5:$Q$460,0)),"")))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" s="126" t="str">
        <f>IF($B29="","",IF($B29="01水果",IFERROR(INDEX(对接源_01水果!$D$5:$D$507,MATCH(ROW()-3,对接源_01水果!$Q$5:$Q$507,0)),""),IFERROR(INDEX(对接源_02物料!$D$5:$D$460,MATCH(ROW()-3-N(对接源_01水果!$T$1),对接源_02物料!$Q$5:$Q$460,0)),"")))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" s="26" t="str">
        <f>IF($B29="","",IF($B29="01水果",IFERROR(INDEX(对接源_01水果!$E$5:$E$507,MATCH(ROW()-3,对接源_01水果!$Q$5:$Q$507,0)),""),IFERROR(INDEX(对接源_02物料!$E$5:$E$460,MATCH(ROW()-3-N(对接源_01水果!$T$1),对接源_02物料!$Q$5:$Q$460,0)),"")))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" s="27" t="str">
        <f>IF($B29="","",IF($B29="01水果",IFERROR(INDEX(对接源_01水果!$F$5:$F$507,MATCH(ROW()-3,对接源_01水果!$Q$5:$Q$507,0)),""),IFERROR(INDEX(对接源_02物料!$F$5:$F$460,MATCH(ROW()-3-N(对接源_01水果!$T$1),对接源_02物料!$Q$5:$Q$460,0)),"")))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" s="27" t="str">
        <f>IF($B29="","",IF($B29="01水果",IFERROR(INDEX(对接源_01水果!$G$5:$G$507,MATCH(ROW()-3,对接源_01水果!$Q$5:$Q$507,0)),""),IFERROR(INDEX(对接源_02物料!$G$5:$G$460,MATCH(ROW()-3-N(对接源_01水果!$T$1),对接源_02物料!$Q$5:$Q$460,0)),"")))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" s="26" t="str">
        <f>IFERROR(INDEX(收入成本映射!$C$4:$C$34,MATCH($D29,收入成本映射!$B$4:$B$34,0)),"不记账")</f>
        <v>不记账</v>
      </c>
      <c r="J29" s="26" t="str">
        <f t="shared" si="0"/>
        <v/>
      </c>
      <c r="K29" s="27">
        <f t="shared" si="1"/>
        <v>0</v>
      </c>
      <c r="L29" s="27">
        <v>0</v>
      </c>
      <c r="M29" s="26" t="str">
        <f>IF(OR($I29="不记账",ROUND(N($G29),2)=0),"",IFERROR(INDEX(收入成本映射!$E$4:$E$34,MATCH($D29,收入成本映射!$B$4:$B$34,0)),""))</f>
        <v/>
      </c>
      <c r="N29" s="27" t="str">
        <f t="shared" si="2"/>
        <v/>
      </c>
      <c r="O29" s="27" t="str">
        <f t="shared" si="3"/>
        <v/>
      </c>
      <c r="P29" s="26" t="str">
        <f>IF($M29="","",IFERROR(INDEX(收入成本映射!$F$4:$F$34,MATCH($D29,收入成本映射!$B$4:$B$34,0)),""))</f>
        <v/>
      </c>
      <c r="Q29" s="27" t="str">
        <f t="shared" si="4"/>
        <v/>
      </c>
      <c r="R29" s="27" t="str">
        <f t="shared" si="5"/>
        <v/>
      </c>
      <c r="S29" s="26" t="str">
        <f t="shared" si="6"/>
        <v/>
      </c>
      <c r="T29" s="27" t="str">
        <f t="shared" si="7"/>
        <v/>
      </c>
      <c r="U29" s="27" t="str">
        <f t="shared" si="8"/>
        <v/>
      </c>
      <c r="V29" s="10" t="str">
        <f>IF($B29="","",IF($B29="01水果",IFERROR(INDEX(对接源_01水果!$H$5:$H$507,MATCH(ROW()-3,对接源_01水果!$Q$5:$Q$507,0)),""),IFERROR(INDEX(对接源_02物料!$H$5:$H$460,MATCH(ROW()-3-N(对接源_01水果!$T$1),对接源_02物料!$Q$5:$Q$460,0)),"")))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" ht="18" customHeight="1" spans="1:22">
      <c r="A30" s="10">
        <v>27</v>
      </c>
      <c r="B30" s="26" t="str">
        <f>IF(ROW()-3&lt;=N(对接源_01水果!$T$1),"01水果",IF(ROW()-3&lt;=N(对接源_01水果!$T$1)+N(对接源_02物料!$T$1),"02物料",""))</f>
        <v/>
      </c>
      <c r="C30" s="125" t="str">
        <f>IF($B30="","",IF($B30="01水果",IFERROR(INDEX(对接源_01水果!$B$5:$B$507,MATCH(ROW()-3,对接源_01水果!$Q$5:$Q$507,0)),""),IFERROR(INDEX(对接源_02物料!$B$5:$B$460,MATCH(ROW()-3-N(对接源_01水果!$T$1),对接源_02物料!$Q$5:$Q$460,0)),"")))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" s="26" t="str">
        <f>IF($B30="","",IF($B30="01水果",IFERROR(INDEX(对接源_01水果!$C$5:$C$507,MATCH(ROW()-3,对接源_01水果!$Q$5:$Q$507,0)),""),IFERROR(INDEX(对接源_02物料!$C$5:$C$460,MATCH(ROW()-3-N(对接源_01水果!$T$1),对接源_02物料!$Q$5:$Q$460,0)),"")))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" s="126" t="str">
        <f>IF($B30="","",IF($B30="01水果",IFERROR(INDEX(对接源_01水果!$D$5:$D$507,MATCH(ROW()-3,对接源_01水果!$Q$5:$Q$507,0)),""),IFERROR(INDEX(对接源_02物料!$D$5:$D$460,MATCH(ROW()-3-N(对接源_01水果!$T$1),对接源_02物料!$Q$5:$Q$460,0)),"")))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" s="26" t="str">
        <f>IF($B30="","",IF($B30="01水果",IFERROR(INDEX(对接源_01水果!$E$5:$E$507,MATCH(ROW()-3,对接源_01水果!$Q$5:$Q$507,0)),""),IFERROR(INDEX(对接源_02物料!$E$5:$E$460,MATCH(ROW()-3-N(对接源_01水果!$T$1),对接源_02物料!$Q$5:$Q$460,0)),"")))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" s="27" t="str">
        <f>IF($B30="","",IF($B30="01水果",IFERROR(INDEX(对接源_01水果!$F$5:$F$507,MATCH(ROW()-3,对接源_01水果!$Q$5:$Q$507,0)),""),IFERROR(INDEX(对接源_02物料!$F$5:$F$460,MATCH(ROW()-3-N(对接源_01水果!$T$1),对接源_02物料!$Q$5:$Q$460,0)),"")))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" s="27" t="str">
        <f>IF($B30="","",IF($B30="01水果",IFERROR(INDEX(对接源_01水果!$G$5:$G$507,MATCH(ROW()-3,对接源_01水果!$Q$5:$Q$507,0)),""),IFERROR(INDEX(对接源_02物料!$G$5:$G$460,MATCH(ROW()-3-N(对接源_01水果!$T$1),对接源_02物料!$Q$5:$Q$460,0)),"")))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" s="26" t="str">
        <f>IFERROR(INDEX(收入成本映射!$C$4:$C$34,MATCH($D30,收入成本映射!$B$4:$B$34,0)),"不记账")</f>
        <v>不记账</v>
      </c>
      <c r="J30" s="26" t="str">
        <f t="shared" si="0"/>
        <v/>
      </c>
      <c r="K30" s="27">
        <f t="shared" si="1"/>
        <v>0</v>
      </c>
      <c r="L30" s="27">
        <v>0</v>
      </c>
      <c r="M30" s="26" t="str">
        <f>IF(OR($I30="不记账",ROUND(N($G30),2)=0),"",IFERROR(INDEX(收入成本映射!$E$4:$E$34,MATCH($D30,收入成本映射!$B$4:$B$34,0)),""))</f>
        <v/>
      </c>
      <c r="N30" s="27" t="str">
        <f t="shared" si="2"/>
        <v/>
      </c>
      <c r="O30" s="27" t="str">
        <f t="shared" si="3"/>
        <v/>
      </c>
      <c r="P30" s="26" t="str">
        <f>IF($M30="","",IFERROR(INDEX(收入成本映射!$F$4:$F$34,MATCH($D30,收入成本映射!$B$4:$B$34,0)),""))</f>
        <v/>
      </c>
      <c r="Q30" s="27" t="str">
        <f t="shared" si="4"/>
        <v/>
      </c>
      <c r="R30" s="27" t="str">
        <f t="shared" si="5"/>
        <v/>
      </c>
      <c r="S30" s="26" t="str">
        <f t="shared" si="6"/>
        <v/>
      </c>
      <c r="T30" s="27" t="str">
        <f t="shared" si="7"/>
        <v/>
      </c>
      <c r="U30" s="27" t="str">
        <f t="shared" si="8"/>
        <v/>
      </c>
      <c r="V30" s="10" t="str">
        <f>IF($B30="","",IF($B30="01水果",IFERROR(INDEX(对接源_01水果!$H$5:$H$507,MATCH(ROW()-3,对接源_01水果!$Q$5:$Q$507,0)),""),IFERROR(INDEX(对接源_02物料!$H$5:$H$460,MATCH(ROW()-3-N(对接源_01水果!$T$1),对接源_02物料!$Q$5:$Q$460,0)),"")))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1" ht="18" customHeight="1" spans="1:22">
      <c r="A31" s="10">
        <v>28</v>
      </c>
      <c r="B31" s="26" t="str">
        <f>IF(ROW()-3&lt;=N(对接源_01水果!$T$1),"01水果",IF(ROW()-3&lt;=N(对接源_01水果!$T$1)+N(对接源_02物料!$T$1),"02物料",""))</f>
        <v/>
      </c>
      <c r="C31" s="125" t="str">
        <f>IF($B31="","",IF($B31="01水果",IFERROR(INDEX(对接源_01水果!$B$5:$B$507,MATCH(ROW()-3,对接源_01水果!$Q$5:$Q$507,0)),""),IFERROR(INDEX(对接源_02物料!$B$5:$B$460,MATCH(ROW()-3-N(对接源_01水果!$T$1),对接源_02物料!$Q$5:$Q$460,0)),"")))</f>
        <v/>
      </c>
      <c r="D31" s="26" t="str">
        <f>IF($B31="","",IF($B31="01水果",IFERROR(INDEX(对接源_01水果!$C$5:$C$507,MATCH(ROW()-3,对接源_01水果!$Q$5:$Q$507,0)),""),IFERROR(INDEX(对接源_02物料!$C$5:$C$460,MATCH(ROW()-3-N(对接源_01水果!$T$1),对接源_02物料!$Q$5:$Q$460,0)),"")))</f>
        <v/>
      </c>
      <c r="E31" s="126" t="str">
        <f>IF($B31="","",IF($B31="01水果",IFERROR(INDEX(对接源_01水果!$D$5:$D$507,MATCH(ROW()-3,对接源_01水果!$Q$5:$Q$507,0)),""),IFERROR(INDEX(对接源_02物料!$D$5:$D$460,MATCH(ROW()-3-N(对接源_01水果!$T$1),对接源_02物料!$Q$5:$Q$460,0)),"")))</f>
        <v/>
      </c>
      <c r="F31" s="26" t="str">
        <f>IF($B31="","",IF($B31="01水果",IFERROR(INDEX(对接源_01水果!$E$5:$E$507,MATCH(ROW()-3,对接源_01水果!$Q$5:$Q$507,0)),""),IFERROR(INDEX(对接源_02物料!$E$5:$E$460,MATCH(ROW()-3-N(对接源_01水果!$T$1),对接源_02物料!$Q$5:$Q$460,0)),"")))</f>
        <v/>
      </c>
      <c r="G31" s="27" t="str">
        <f>IF($B31="","",IF($B31="01水果",IFERROR(INDEX(对接源_01水果!$F$5:$F$507,MATCH(ROW()-3,对接源_01水果!$Q$5:$Q$507,0)),""),IFERROR(INDEX(对接源_02物料!$F$5:$F$460,MATCH(ROW()-3-N(对接源_01水果!$T$1),对接源_02物料!$Q$5:$Q$460,0)),"")))</f>
        <v/>
      </c>
      <c r="H31" s="27" t="str">
        <f>IF($B31="","",IF($B31="01水果",IFERROR(INDEX(对接源_01水果!$G$5:$G$507,MATCH(ROW()-3,对接源_01水果!$Q$5:$Q$507,0)),""),IFERROR(INDEX(对接源_02物料!$G$5:$G$460,MATCH(ROW()-3-N(对接源_01水果!$T$1),对接源_02物料!$Q$5:$Q$460,0)),"")))</f>
        <v/>
      </c>
      <c r="I31" s="26" t="str">
        <f>IFERROR(INDEX(收入成本映射!$C$4:$C$34,MATCH($D31,收入成本映射!$B$4:$B$34,0)),"不记账")</f>
        <v>不记账</v>
      </c>
      <c r="J31" s="26" t="str">
        <f t="shared" si="0"/>
        <v/>
      </c>
      <c r="K31" s="27">
        <f t="shared" si="1"/>
        <v>0</v>
      </c>
      <c r="L31" s="27">
        <v>0</v>
      </c>
      <c r="M31" s="26" t="str">
        <f>IF(OR($I31="不记账",ROUND(N($G31),2)=0),"",IFERROR(INDEX(收入成本映射!$E$4:$E$34,MATCH($D31,收入成本映射!$B$4:$B$34,0)),""))</f>
        <v/>
      </c>
      <c r="N31" s="27" t="str">
        <f t="shared" si="2"/>
        <v/>
      </c>
      <c r="O31" s="27" t="str">
        <f t="shared" si="3"/>
        <v/>
      </c>
      <c r="P31" s="26" t="str">
        <f>IF($M31="","",IFERROR(INDEX(收入成本映射!$F$4:$F$34,MATCH($D31,收入成本映射!$B$4:$B$34,0)),""))</f>
        <v/>
      </c>
      <c r="Q31" s="27" t="str">
        <f t="shared" si="4"/>
        <v/>
      </c>
      <c r="R31" s="27" t="str">
        <f t="shared" si="5"/>
        <v/>
      </c>
      <c r="S31" s="26" t="str">
        <f t="shared" si="6"/>
        <v/>
      </c>
      <c r="T31" s="27" t="str">
        <f t="shared" si="7"/>
        <v/>
      </c>
      <c r="U31" s="27" t="str">
        <f t="shared" si="8"/>
        <v/>
      </c>
      <c r="V31" s="10" t="str">
        <f>IF($B31="","",IF($B31="01水果",IFERROR(INDEX(对接源_01水果!$H$5:$H$507,MATCH(ROW()-3,对接源_01水果!$Q$5:$Q$507,0)),""),IFERROR(INDEX(对接源_02物料!$H$5:$H$460,MATCH(ROW()-3-N(对接源_01水果!$T$1),对接源_02物料!$Q$5:$Q$460,0)),"")))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2" ht="18" customHeight="1" spans="1:22">
      <c r="A32" s="10">
        <v>29</v>
      </c>
      <c r="B32" s="26" t="str">
        <f>IF(ROW()-3&lt;=N(对接源_01水果!$T$1),"01水果",IF(ROW()-3&lt;=N(对接源_01水果!$T$1)+N(对接源_02物料!$T$1),"02物料",""))</f>
        <v/>
      </c>
      <c r="C32" s="125" t="str">
        <f>IF($B32="","",IF($B32="01水果",IFERROR(INDEX(对接源_01水果!$B$5:$B$507,MATCH(ROW()-3,对接源_01水果!$Q$5:$Q$507,0)),""),IFERROR(INDEX(对接源_02物料!$B$5:$B$460,MATCH(ROW()-3-N(对接源_01水果!$T$1),对接源_02物料!$Q$5:$Q$460,0)),"")))</f>
        <v/>
      </c>
      <c r="D32" s="26" t="str">
        <f>IF($B32="","",IF($B32="01水果",IFERROR(INDEX(对接源_01水果!$C$5:$C$507,MATCH(ROW()-3,对接源_01水果!$Q$5:$Q$507,0)),""),IFERROR(INDEX(对接源_02物料!$C$5:$C$460,MATCH(ROW()-3-N(对接源_01水果!$T$1),对接源_02物料!$Q$5:$Q$460,0)),"")))</f>
        <v/>
      </c>
      <c r="E32" s="126" t="str">
        <f>IF($B32="","",IF($B32="01水果",IFERROR(INDEX(对接源_01水果!$D$5:$D$507,MATCH(ROW()-3,对接源_01水果!$Q$5:$Q$507,0)),""),IFERROR(INDEX(对接源_02物料!$D$5:$D$460,MATCH(ROW()-3-N(对接源_01水果!$T$1),对接源_02物料!$Q$5:$Q$460,0)),"")))</f>
        <v/>
      </c>
      <c r="F32" s="26" t="str">
        <f>IF($B32="","",IF($B32="01水果",IFERROR(INDEX(对接源_01水果!$E$5:$E$507,MATCH(ROW()-3,对接源_01水果!$Q$5:$Q$507,0)),""),IFERROR(INDEX(对接源_02物料!$E$5:$E$460,MATCH(ROW()-3-N(对接源_01水果!$T$1),对接源_02物料!$Q$5:$Q$460,0)),"")))</f>
        <v/>
      </c>
      <c r="G32" s="27" t="str">
        <f>IF($B32="","",IF($B32="01水果",IFERROR(INDEX(对接源_01水果!$F$5:$F$507,MATCH(ROW()-3,对接源_01水果!$Q$5:$Q$507,0)),""),IFERROR(INDEX(对接源_02物料!$F$5:$F$460,MATCH(ROW()-3-N(对接源_01水果!$T$1),对接源_02物料!$Q$5:$Q$460,0)),"")))</f>
        <v/>
      </c>
      <c r="H32" s="27" t="str">
        <f>IF($B32="","",IF($B32="01水果",IFERROR(INDEX(对接源_01水果!$G$5:$G$507,MATCH(ROW()-3,对接源_01水果!$Q$5:$Q$507,0)),""),IFERROR(INDEX(对接源_02物料!$G$5:$G$460,MATCH(ROW()-3-N(对接源_01水果!$T$1),对接源_02物料!$Q$5:$Q$460,0)),"")))</f>
        <v/>
      </c>
      <c r="I32" s="26" t="str">
        <f>IFERROR(INDEX(收入成本映射!$C$4:$C$34,MATCH($D32,收入成本映射!$B$4:$B$34,0)),"不记账")</f>
        <v>不记账</v>
      </c>
      <c r="J32" s="26" t="str">
        <f t="shared" si="0"/>
        <v/>
      </c>
      <c r="K32" s="27">
        <f t="shared" si="1"/>
        <v>0</v>
      </c>
      <c r="L32" s="27">
        <v>0</v>
      </c>
      <c r="M32" s="26" t="str">
        <f>IF(OR($I32="不记账",ROUND(N($G32),2)=0),"",IFERROR(INDEX(收入成本映射!$E$4:$E$34,MATCH($D32,收入成本映射!$B$4:$B$34,0)),""))</f>
        <v/>
      </c>
      <c r="N32" s="27" t="str">
        <f t="shared" si="2"/>
        <v/>
      </c>
      <c r="O32" s="27" t="str">
        <f t="shared" si="3"/>
        <v/>
      </c>
      <c r="P32" s="26" t="str">
        <f>IF($M32="","",IFERROR(INDEX(收入成本映射!$F$4:$F$34,MATCH($D32,收入成本映射!$B$4:$B$34,0)),""))</f>
        <v/>
      </c>
      <c r="Q32" s="27" t="str">
        <f t="shared" si="4"/>
        <v/>
      </c>
      <c r="R32" s="27" t="str">
        <f t="shared" si="5"/>
        <v/>
      </c>
      <c r="S32" s="26" t="str">
        <f t="shared" si="6"/>
        <v/>
      </c>
      <c r="T32" s="27" t="str">
        <f t="shared" si="7"/>
        <v/>
      </c>
      <c r="U32" s="27" t="str">
        <f t="shared" si="8"/>
        <v/>
      </c>
      <c r="V32" s="10" t="str">
        <f>IF($B32="","",IF($B32="01水果",IFERROR(INDEX(对接源_01水果!$H$5:$H$507,MATCH(ROW()-3,对接源_01水果!$Q$5:$Q$507,0)),""),IFERROR(INDEX(对接源_02物料!$H$5:$H$460,MATCH(ROW()-3-N(对接源_01水果!$T$1),对接源_02物料!$Q$5:$Q$460,0)),"")))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3" ht="18" customHeight="1" spans="1:22">
      <c r="A33" s="10">
        <v>30</v>
      </c>
      <c r="B33" s="26" t="str">
        <f>IF(ROW()-3&lt;=N(对接源_01水果!$T$1),"01水果",IF(ROW()-3&lt;=N(对接源_01水果!$T$1)+N(对接源_02物料!$T$1),"02物料",""))</f>
        <v/>
      </c>
      <c r="C33" s="125" t="str">
        <f>IF($B33="","",IF($B33="01水果",IFERROR(INDEX(对接源_01水果!$B$5:$B$507,MATCH(ROW()-3,对接源_01水果!$Q$5:$Q$507,0)),""),IFERROR(INDEX(对接源_02物料!$B$5:$B$460,MATCH(ROW()-3-N(对接源_01水果!$T$1),对接源_02物料!$Q$5:$Q$460,0)),"")))</f>
        <v/>
      </c>
      <c r="D33" s="26" t="str">
        <f>IF($B33="","",IF($B33="01水果",IFERROR(INDEX(对接源_01水果!$C$5:$C$507,MATCH(ROW()-3,对接源_01水果!$Q$5:$Q$507,0)),""),IFERROR(INDEX(对接源_02物料!$C$5:$C$460,MATCH(ROW()-3-N(对接源_01水果!$T$1),对接源_02物料!$Q$5:$Q$460,0)),"")))</f>
        <v/>
      </c>
      <c r="E33" s="126" t="str">
        <f>IF($B33="","",IF($B33="01水果",IFERROR(INDEX(对接源_01水果!$D$5:$D$507,MATCH(ROW()-3,对接源_01水果!$Q$5:$Q$507,0)),""),IFERROR(INDEX(对接源_02物料!$D$5:$D$460,MATCH(ROW()-3-N(对接源_01水果!$T$1),对接源_02物料!$Q$5:$Q$460,0)),"")))</f>
        <v/>
      </c>
      <c r="F33" s="26" t="str">
        <f>IF($B33="","",IF($B33="01水果",IFERROR(INDEX(对接源_01水果!$E$5:$E$507,MATCH(ROW()-3,对接源_01水果!$Q$5:$Q$507,0)),""),IFERROR(INDEX(对接源_02物料!$E$5:$E$460,MATCH(ROW()-3-N(对接源_01水果!$T$1),对接源_02物料!$Q$5:$Q$460,0)),"")))</f>
        <v/>
      </c>
      <c r="G33" s="27" t="str">
        <f>IF($B33="","",IF($B33="01水果",IFERROR(INDEX(对接源_01水果!$F$5:$F$507,MATCH(ROW()-3,对接源_01水果!$Q$5:$Q$507,0)),""),IFERROR(INDEX(对接源_02物料!$F$5:$F$460,MATCH(ROW()-3-N(对接源_01水果!$T$1),对接源_02物料!$Q$5:$Q$460,0)),"")))</f>
        <v/>
      </c>
      <c r="H33" s="27" t="str">
        <f>IF($B33="","",IF($B33="01水果",IFERROR(INDEX(对接源_01水果!$G$5:$G$507,MATCH(ROW()-3,对接源_01水果!$Q$5:$Q$507,0)),""),IFERROR(INDEX(对接源_02物料!$G$5:$G$460,MATCH(ROW()-3-N(对接源_01水果!$T$1),对接源_02物料!$Q$5:$Q$460,0)),"")))</f>
        <v/>
      </c>
      <c r="I33" s="26" t="str">
        <f>IFERROR(INDEX(收入成本映射!$C$4:$C$34,MATCH($D33,收入成本映射!$B$4:$B$34,0)),"不记账")</f>
        <v>不记账</v>
      </c>
      <c r="J33" s="26" t="str">
        <f t="shared" si="0"/>
        <v/>
      </c>
      <c r="K33" s="27">
        <f t="shared" si="1"/>
        <v>0</v>
      </c>
      <c r="L33" s="27">
        <v>0</v>
      </c>
      <c r="M33" s="26" t="str">
        <f>IF(OR($I33="不记账",ROUND(N($G33),2)=0),"",IFERROR(INDEX(收入成本映射!$E$4:$E$34,MATCH($D33,收入成本映射!$B$4:$B$34,0)),""))</f>
        <v/>
      </c>
      <c r="N33" s="27" t="str">
        <f t="shared" si="2"/>
        <v/>
      </c>
      <c r="O33" s="27" t="str">
        <f t="shared" si="3"/>
        <v/>
      </c>
      <c r="P33" s="26" t="str">
        <f>IF($M33="","",IFERROR(INDEX(收入成本映射!$F$4:$F$34,MATCH($D33,收入成本映射!$B$4:$B$34,0)),""))</f>
        <v/>
      </c>
      <c r="Q33" s="27" t="str">
        <f t="shared" si="4"/>
        <v/>
      </c>
      <c r="R33" s="27" t="str">
        <f t="shared" si="5"/>
        <v/>
      </c>
      <c r="S33" s="26" t="str">
        <f t="shared" si="6"/>
        <v/>
      </c>
      <c r="T33" s="27" t="str">
        <f t="shared" si="7"/>
        <v/>
      </c>
      <c r="U33" s="27" t="str">
        <f t="shared" si="8"/>
        <v/>
      </c>
      <c r="V33" s="10" t="str">
        <f>IF($B33="","",IF($B33="01水果",IFERROR(INDEX(对接源_01水果!$H$5:$H$507,MATCH(ROW()-3,对接源_01水果!$Q$5:$Q$507,0)),""),IFERROR(INDEX(对接源_02物料!$H$5:$H$460,MATCH(ROW()-3-N(对接源_01水果!$T$1),对接源_02物料!$Q$5:$Q$460,0)),"")))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4" ht="18" customHeight="1" spans="1:22">
      <c r="A34" s="10">
        <v>31</v>
      </c>
      <c r="B34" s="26" t="str">
        <f>IF(ROW()-3&lt;=N(对接源_01水果!$T$1),"01水果",IF(ROW()-3&lt;=N(对接源_01水果!$T$1)+N(对接源_02物料!$T$1),"02物料",""))</f>
        <v/>
      </c>
      <c r="C34" s="125" t="str">
        <f>IF($B34="","",IF($B34="01水果",IFERROR(INDEX(对接源_01水果!$B$5:$B$507,MATCH(ROW()-3,对接源_01水果!$Q$5:$Q$507,0)),""),IFERROR(INDEX(对接源_02物料!$B$5:$B$460,MATCH(ROW()-3-N(对接源_01水果!$T$1),对接源_02物料!$Q$5:$Q$460,0)),"")))</f>
        <v/>
      </c>
      <c r="D34" s="26" t="str">
        <f>IF($B34="","",IF($B34="01水果",IFERROR(INDEX(对接源_01水果!$C$5:$C$507,MATCH(ROW()-3,对接源_01水果!$Q$5:$Q$507,0)),""),IFERROR(INDEX(对接源_02物料!$C$5:$C$460,MATCH(ROW()-3-N(对接源_01水果!$T$1),对接源_02物料!$Q$5:$Q$460,0)),"")))</f>
        <v/>
      </c>
      <c r="E34" s="126" t="str">
        <f>IF($B34="","",IF($B34="01水果",IFERROR(INDEX(对接源_01水果!$D$5:$D$507,MATCH(ROW()-3,对接源_01水果!$Q$5:$Q$507,0)),""),IFERROR(INDEX(对接源_02物料!$D$5:$D$460,MATCH(ROW()-3-N(对接源_01水果!$T$1),对接源_02物料!$Q$5:$Q$460,0)),"")))</f>
        <v/>
      </c>
      <c r="F34" s="26" t="str">
        <f>IF($B34="","",IF($B34="01水果",IFERROR(INDEX(对接源_01水果!$E$5:$E$507,MATCH(ROW()-3,对接源_01水果!$Q$5:$Q$507,0)),""),IFERROR(INDEX(对接源_02物料!$E$5:$E$460,MATCH(ROW()-3-N(对接源_01水果!$T$1),对接源_02物料!$Q$5:$Q$460,0)),"")))</f>
        <v/>
      </c>
      <c r="G34" s="27" t="str">
        <f>IF($B34="","",IF($B34="01水果",IFERROR(INDEX(对接源_01水果!$F$5:$F$507,MATCH(ROW()-3,对接源_01水果!$Q$5:$Q$507,0)),""),IFERROR(INDEX(对接源_02物料!$F$5:$F$460,MATCH(ROW()-3-N(对接源_01水果!$T$1),对接源_02物料!$Q$5:$Q$460,0)),"")))</f>
        <v/>
      </c>
      <c r="H34" s="27" t="str">
        <f>IF($B34="","",IF($B34="01水果",IFERROR(INDEX(对接源_01水果!$G$5:$G$507,MATCH(ROW()-3,对接源_01水果!$Q$5:$Q$507,0)),""),IFERROR(INDEX(对接源_02物料!$G$5:$G$460,MATCH(ROW()-3-N(对接源_01水果!$T$1),对接源_02物料!$Q$5:$Q$460,0)),"")))</f>
        <v/>
      </c>
      <c r="I34" s="26" t="str">
        <f>IFERROR(INDEX(收入成本映射!$C$4:$C$34,MATCH($D34,收入成本映射!$B$4:$B$34,0)),"不记账")</f>
        <v>不记账</v>
      </c>
      <c r="J34" s="26" t="str">
        <f t="shared" si="0"/>
        <v/>
      </c>
      <c r="K34" s="27">
        <f t="shared" si="1"/>
        <v>0</v>
      </c>
      <c r="L34" s="27">
        <v>0</v>
      </c>
      <c r="M34" s="26" t="str">
        <f>IF(OR($I34="不记账",ROUND(N($G34),2)=0),"",IFERROR(INDEX(收入成本映射!$E$4:$E$34,MATCH($D34,收入成本映射!$B$4:$B$34,0)),""))</f>
        <v/>
      </c>
      <c r="N34" s="27" t="str">
        <f t="shared" si="2"/>
        <v/>
      </c>
      <c r="O34" s="27" t="str">
        <f t="shared" si="3"/>
        <v/>
      </c>
      <c r="P34" s="26" t="str">
        <f>IF($M34="","",IFERROR(INDEX(收入成本映射!$F$4:$F$34,MATCH($D34,收入成本映射!$B$4:$B$34,0)),""))</f>
        <v/>
      </c>
      <c r="Q34" s="27" t="str">
        <f t="shared" si="4"/>
        <v/>
      </c>
      <c r="R34" s="27" t="str">
        <f t="shared" si="5"/>
        <v/>
      </c>
      <c r="S34" s="26" t="str">
        <f t="shared" si="6"/>
        <v/>
      </c>
      <c r="T34" s="27" t="str">
        <f t="shared" si="7"/>
        <v/>
      </c>
      <c r="U34" s="27" t="str">
        <f t="shared" si="8"/>
        <v/>
      </c>
      <c r="V34" s="10" t="str">
        <f>IF($B34="","",IF($B34="01水果",IFERROR(INDEX(对接源_01水果!$H$5:$H$507,MATCH(ROW()-3,对接源_01水果!$Q$5:$Q$507,0)),""),IFERROR(INDEX(对接源_02物料!$H$5:$H$460,MATCH(ROW()-3-N(对接源_01水果!$T$1),对接源_02物料!$Q$5:$Q$460,0)),"")))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5" ht="18" customHeight="1" spans="1:22">
      <c r="A35" s="10">
        <v>32</v>
      </c>
      <c r="B35" s="26" t="str">
        <f>IF(ROW()-3&lt;=N(对接源_01水果!$T$1),"01水果",IF(ROW()-3&lt;=N(对接源_01水果!$T$1)+N(对接源_02物料!$T$1),"02物料",""))</f>
        <v/>
      </c>
      <c r="C35" s="125" t="str">
        <f>IF($B35="","",IF($B35="01水果",IFERROR(INDEX(对接源_01水果!$B$5:$B$507,MATCH(ROW()-3,对接源_01水果!$Q$5:$Q$507,0)),""),IFERROR(INDEX(对接源_02物料!$B$5:$B$460,MATCH(ROW()-3-N(对接源_01水果!$T$1),对接源_02物料!$Q$5:$Q$460,0)),"")))</f>
        <v/>
      </c>
      <c r="D35" s="26" t="str">
        <f>IF($B35="","",IF($B35="01水果",IFERROR(INDEX(对接源_01水果!$C$5:$C$507,MATCH(ROW()-3,对接源_01水果!$Q$5:$Q$507,0)),""),IFERROR(INDEX(对接源_02物料!$C$5:$C$460,MATCH(ROW()-3-N(对接源_01水果!$T$1),对接源_02物料!$Q$5:$Q$460,0)),"")))</f>
        <v/>
      </c>
      <c r="E35" s="126" t="str">
        <f>IF($B35="","",IF($B35="01水果",IFERROR(INDEX(对接源_01水果!$D$5:$D$507,MATCH(ROW()-3,对接源_01水果!$Q$5:$Q$507,0)),""),IFERROR(INDEX(对接源_02物料!$D$5:$D$460,MATCH(ROW()-3-N(对接源_01水果!$T$1),对接源_02物料!$Q$5:$Q$460,0)),"")))</f>
        <v/>
      </c>
      <c r="F35" s="26" t="str">
        <f>IF($B35="","",IF($B35="01水果",IFERROR(INDEX(对接源_01水果!$E$5:$E$507,MATCH(ROW()-3,对接源_01水果!$Q$5:$Q$507,0)),""),IFERROR(INDEX(对接源_02物料!$E$5:$E$460,MATCH(ROW()-3-N(对接源_01水果!$T$1),对接源_02物料!$Q$5:$Q$460,0)),"")))</f>
        <v/>
      </c>
      <c r="G35" s="27" t="str">
        <f>IF($B35="","",IF($B35="01水果",IFERROR(INDEX(对接源_01水果!$F$5:$F$507,MATCH(ROW()-3,对接源_01水果!$Q$5:$Q$507,0)),""),IFERROR(INDEX(对接源_02物料!$F$5:$F$460,MATCH(ROW()-3-N(对接源_01水果!$T$1),对接源_02物料!$Q$5:$Q$460,0)),"")))</f>
        <v/>
      </c>
      <c r="H35" s="27" t="str">
        <f>IF($B35="","",IF($B35="01水果",IFERROR(INDEX(对接源_01水果!$G$5:$G$507,MATCH(ROW()-3,对接源_01水果!$Q$5:$Q$507,0)),""),IFERROR(INDEX(对接源_02物料!$G$5:$G$460,MATCH(ROW()-3-N(对接源_01水果!$T$1),对接源_02物料!$Q$5:$Q$460,0)),"")))</f>
        <v/>
      </c>
      <c r="I35" s="26" t="str">
        <f>IFERROR(INDEX(收入成本映射!$C$4:$C$34,MATCH($D35,收入成本映射!$B$4:$B$34,0)),"不记账")</f>
        <v>不记账</v>
      </c>
      <c r="J35" s="26" t="str">
        <f t="shared" si="0"/>
        <v/>
      </c>
      <c r="K35" s="27">
        <f t="shared" si="1"/>
        <v>0</v>
      </c>
      <c r="L35" s="27">
        <v>0</v>
      </c>
      <c r="M35" s="26" t="str">
        <f>IF(OR($I35="不记账",ROUND(N($G35),2)=0),"",IFERROR(INDEX(收入成本映射!$E$4:$E$34,MATCH($D35,收入成本映射!$B$4:$B$34,0)),""))</f>
        <v/>
      </c>
      <c r="N35" s="27" t="str">
        <f t="shared" si="2"/>
        <v/>
      </c>
      <c r="O35" s="27" t="str">
        <f t="shared" si="3"/>
        <v/>
      </c>
      <c r="P35" s="26" t="str">
        <f>IF($M35="","",IFERROR(INDEX(收入成本映射!$F$4:$F$34,MATCH($D35,收入成本映射!$B$4:$B$34,0)),""))</f>
        <v/>
      </c>
      <c r="Q35" s="27" t="str">
        <f t="shared" si="4"/>
        <v/>
      </c>
      <c r="R35" s="27" t="str">
        <f t="shared" si="5"/>
        <v/>
      </c>
      <c r="S35" s="26" t="str">
        <f t="shared" si="6"/>
        <v/>
      </c>
      <c r="T35" s="27" t="str">
        <f t="shared" si="7"/>
        <v/>
      </c>
      <c r="U35" s="27" t="str">
        <f t="shared" si="8"/>
        <v/>
      </c>
      <c r="V35" s="10" t="str">
        <f>IF($B35="","",IF($B35="01水果",IFERROR(INDEX(对接源_01水果!$H$5:$H$507,MATCH(ROW()-3,对接源_01水果!$Q$5:$Q$507,0)),""),IFERROR(INDEX(对接源_02物料!$H$5:$H$460,MATCH(ROW()-3-N(对接源_01水果!$T$1),对接源_02物料!$Q$5:$Q$460,0)),"")))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6" ht="18" customHeight="1" spans="1:22">
      <c r="A36" s="10">
        <v>33</v>
      </c>
      <c r="B36" s="26" t="str">
        <f>IF(ROW()-3&lt;=N(对接源_01水果!$T$1),"01水果",IF(ROW()-3&lt;=N(对接源_01水果!$T$1)+N(对接源_02物料!$T$1),"02物料",""))</f>
        <v/>
      </c>
      <c r="C36" s="125" t="str">
        <f>IF($B36="","",IF($B36="01水果",IFERROR(INDEX(对接源_01水果!$B$5:$B$507,MATCH(ROW()-3,对接源_01水果!$Q$5:$Q$507,0)),""),IFERROR(INDEX(对接源_02物料!$B$5:$B$460,MATCH(ROW()-3-N(对接源_01水果!$T$1),对接源_02物料!$Q$5:$Q$460,0)),"")))</f>
        <v/>
      </c>
      <c r="D36" s="26" t="str">
        <f>IF($B36="","",IF($B36="01水果",IFERROR(INDEX(对接源_01水果!$C$5:$C$507,MATCH(ROW()-3,对接源_01水果!$Q$5:$Q$507,0)),""),IFERROR(INDEX(对接源_02物料!$C$5:$C$460,MATCH(ROW()-3-N(对接源_01水果!$T$1),对接源_02物料!$Q$5:$Q$460,0)),"")))</f>
        <v/>
      </c>
      <c r="E36" s="126" t="str">
        <f>IF($B36="","",IF($B36="01水果",IFERROR(INDEX(对接源_01水果!$D$5:$D$507,MATCH(ROW()-3,对接源_01水果!$Q$5:$Q$507,0)),""),IFERROR(INDEX(对接源_02物料!$D$5:$D$460,MATCH(ROW()-3-N(对接源_01水果!$T$1),对接源_02物料!$Q$5:$Q$460,0)),"")))</f>
        <v/>
      </c>
      <c r="F36" s="26" t="str">
        <f>IF($B36="","",IF($B36="01水果",IFERROR(INDEX(对接源_01水果!$E$5:$E$507,MATCH(ROW()-3,对接源_01水果!$Q$5:$Q$507,0)),""),IFERROR(INDEX(对接源_02物料!$E$5:$E$460,MATCH(ROW()-3-N(对接源_01水果!$T$1),对接源_02物料!$Q$5:$Q$460,0)),"")))</f>
        <v/>
      </c>
      <c r="G36" s="27" t="str">
        <f>IF($B36="","",IF($B36="01水果",IFERROR(INDEX(对接源_01水果!$F$5:$F$507,MATCH(ROW()-3,对接源_01水果!$Q$5:$Q$507,0)),""),IFERROR(INDEX(对接源_02物料!$F$5:$F$460,MATCH(ROW()-3-N(对接源_01水果!$T$1),对接源_02物料!$Q$5:$Q$460,0)),"")))</f>
        <v/>
      </c>
      <c r="H36" s="27" t="str">
        <f>IF($B36="","",IF($B36="01水果",IFERROR(INDEX(对接源_01水果!$G$5:$G$507,MATCH(ROW()-3,对接源_01水果!$Q$5:$Q$507,0)),""),IFERROR(INDEX(对接源_02物料!$G$5:$G$460,MATCH(ROW()-3-N(对接源_01水果!$T$1),对接源_02物料!$Q$5:$Q$460,0)),"")))</f>
        <v/>
      </c>
      <c r="I36" s="26" t="str">
        <f>IFERROR(INDEX(收入成本映射!$C$4:$C$34,MATCH($D36,收入成本映射!$B$4:$B$34,0)),"不记账")</f>
        <v>不记账</v>
      </c>
      <c r="J36" s="26" t="str">
        <f t="shared" si="0"/>
        <v/>
      </c>
      <c r="K36" s="27">
        <f t="shared" si="1"/>
        <v>0</v>
      </c>
      <c r="L36" s="27">
        <v>0</v>
      </c>
      <c r="M36" s="26" t="str">
        <f>IF(OR($I36="不记账",ROUND(N($G36),2)=0),"",IFERROR(INDEX(收入成本映射!$E$4:$E$34,MATCH($D36,收入成本映射!$B$4:$B$34,0)),""))</f>
        <v/>
      </c>
      <c r="N36" s="27" t="str">
        <f t="shared" si="2"/>
        <v/>
      </c>
      <c r="O36" s="27" t="str">
        <f t="shared" si="3"/>
        <v/>
      </c>
      <c r="P36" s="26" t="str">
        <f>IF($M36="","",IFERROR(INDEX(收入成本映射!$F$4:$F$34,MATCH($D36,收入成本映射!$B$4:$B$34,0)),""))</f>
        <v/>
      </c>
      <c r="Q36" s="27" t="str">
        <f t="shared" si="4"/>
        <v/>
      </c>
      <c r="R36" s="27" t="str">
        <f t="shared" si="5"/>
        <v/>
      </c>
      <c r="S36" s="26" t="str">
        <f t="shared" si="6"/>
        <v/>
      </c>
      <c r="T36" s="27" t="str">
        <f t="shared" si="7"/>
        <v/>
      </c>
      <c r="U36" s="27" t="str">
        <f t="shared" si="8"/>
        <v/>
      </c>
      <c r="V36" s="10" t="str">
        <f>IF($B36="","",IF($B36="01水果",IFERROR(INDEX(对接源_01水果!$H$5:$H$507,MATCH(ROW()-3,对接源_01水果!$Q$5:$Q$507,0)),""),IFERROR(INDEX(对接源_02物料!$H$5:$H$460,MATCH(ROW()-3-N(对接源_01水果!$T$1),对接源_02物料!$Q$5:$Q$460,0)),"")))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7" ht="18" customHeight="1" spans="1:22">
      <c r="A37" s="10">
        <v>34</v>
      </c>
      <c r="B37" s="26" t="str">
        <f>IF(ROW()-3&lt;=N(对接源_01水果!$T$1),"01水果",IF(ROW()-3&lt;=N(对接源_01水果!$T$1)+N(对接源_02物料!$T$1),"02物料",""))</f>
        <v/>
      </c>
      <c r="C37" s="125" t="str">
        <f>IF($B37="","",IF($B37="01水果",IFERROR(INDEX(对接源_01水果!$B$5:$B$507,MATCH(ROW()-3,对接源_01水果!$Q$5:$Q$507,0)),""),IFERROR(INDEX(对接源_02物料!$B$5:$B$460,MATCH(ROW()-3-N(对接源_01水果!$T$1),对接源_02物料!$Q$5:$Q$460,0)),"")))</f>
        <v/>
      </c>
      <c r="D37" s="26" t="str">
        <f>IF($B37="","",IF($B37="01水果",IFERROR(INDEX(对接源_01水果!$C$5:$C$507,MATCH(ROW()-3,对接源_01水果!$Q$5:$Q$507,0)),""),IFERROR(INDEX(对接源_02物料!$C$5:$C$460,MATCH(ROW()-3-N(对接源_01水果!$T$1),对接源_02物料!$Q$5:$Q$460,0)),"")))</f>
        <v/>
      </c>
      <c r="E37" s="126" t="str">
        <f>IF($B37="","",IF($B37="01水果",IFERROR(INDEX(对接源_01水果!$D$5:$D$507,MATCH(ROW()-3,对接源_01水果!$Q$5:$Q$507,0)),""),IFERROR(INDEX(对接源_02物料!$D$5:$D$460,MATCH(ROW()-3-N(对接源_01水果!$T$1),对接源_02物料!$Q$5:$Q$460,0)),"")))</f>
        <v/>
      </c>
      <c r="F37" s="26" t="str">
        <f>IF($B37="","",IF($B37="01水果",IFERROR(INDEX(对接源_01水果!$E$5:$E$507,MATCH(ROW()-3,对接源_01水果!$Q$5:$Q$507,0)),""),IFERROR(INDEX(对接源_02物料!$E$5:$E$460,MATCH(ROW()-3-N(对接源_01水果!$T$1),对接源_02物料!$Q$5:$Q$460,0)),"")))</f>
        <v/>
      </c>
      <c r="G37" s="27" t="str">
        <f>IF($B37="","",IF($B37="01水果",IFERROR(INDEX(对接源_01水果!$F$5:$F$507,MATCH(ROW()-3,对接源_01水果!$Q$5:$Q$507,0)),""),IFERROR(INDEX(对接源_02物料!$F$5:$F$460,MATCH(ROW()-3-N(对接源_01水果!$T$1),对接源_02物料!$Q$5:$Q$460,0)),"")))</f>
        <v/>
      </c>
      <c r="H37" s="27" t="str">
        <f>IF($B37="","",IF($B37="01水果",IFERROR(INDEX(对接源_01水果!$G$5:$G$507,MATCH(ROW()-3,对接源_01水果!$Q$5:$Q$507,0)),""),IFERROR(INDEX(对接源_02物料!$G$5:$G$460,MATCH(ROW()-3-N(对接源_01水果!$T$1),对接源_02物料!$Q$5:$Q$460,0)),"")))</f>
        <v/>
      </c>
      <c r="I37" s="26" t="str">
        <f>IFERROR(INDEX(收入成本映射!$C$4:$C$34,MATCH($D37,收入成本映射!$B$4:$B$34,0)),"不记账")</f>
        <v>不记账</v>
      </c>
      <c r="J37" s="26" t="str">
        <f t="shared" si="0"/>
        <v/>
      </c>
      <c r="K37" s="27">
        <f t="shared" si="1"/>
        <v>0</v>
      </c>
      <c r="L37" s="27">
        <v>0</v>
      </c>
      <c r="M37" s="26" t="str">
        <f>IF(OR($I37="不记账",ROUND(N($G37),2)=0),"",IFERROR(INDEX(收入成本映射!$E$4:$E$34,MATCH($D37,收入成本映射!$B$4:$B$34,0)),""))</f>
        <v/>
      </c>
      <c r="N37" s="27" t="str">
        <f t="shared" si="2"/>
        <v/>
      </c>
      <c r="O37" s="27" t="str">
        <f t="shared" si="3"/>
        <v/>
      </c>
      <c r="P37" s="26" t="str">
        <f>IF($M37="","",IFERROR(INDEX(收入成本映射!$F$4:$F$34,MATCH($D37,收入成本映射!$B$4:$B$34,0)),""))</f>
        <v/>
      </c>
      <c r="Q37" s="27" t="str">
        <f t="shared" si="4"/>
        <v/>
      </c>
      <c r="R37" s="27" t="str">
        <f t="shared" si="5"/>
        <v/>
      </c>
      <c r="S37" s="26" t="str">
        <f t="shared" si="6"/>
        <v/>
      </c>
      <c r="T37" s="27" t="str">
        <f t="shared" si="7"/>
        <v/>
      </c>
      <c r="U37" s="27" t="str">
        <f t="shared" si="8"/>
        <v/>
      </c>
      <c r="V37" s="10" t="str">
        <f>IF($B37="","",IF($B37="01水果",IFERROR(INDEX(对接源_01水果!$H$5:$H$507,MATCH(ROW()-3,对接源_01水果!$Q$5:$Q$507,0)),""),IFERROR(INDEX(对接源_02物料!$H$5:$H$460,MATCH(ROW()-3-N(对接源_01水果!$T$1),对接源_02物料!$Q$5:$Q$460,0)),"")))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8" ht="18" customHeight="1" spans="1:22">
      <c r="A38" s="10">
        <v>35</v>
      </c>
      <c r="B38" s="26" t="str">
        <f>IF(ROW()-3&lt;=N(对接源_01水果!$T$1),"01水果",IF(ROW()-3&lt;=N(对接源_01水果!$T$1)+N(对接源_02物料!$T$1),"02物料",""))</f>
        <v/>
      </c>
      <c r="C38" s="125" t="str">
        <f>IF($B38="","",IF($B38="01水果",IFERROR(INDEX(对接源_01水果!$B$5:$B$507,MATCH(ROW()-3,对接源_01水果!$Q$5:$Q$507,0)),""),IFERROR(INDEX(对接源_02物料!$B$5:$B$460,MATCH(ROW()-3-N(对接源_01水果!$T$1),对接源_02物料!$Q$5:$Q$460,0)),"")))</f>
        <v/>
      </c>
      <c r="D38" s="26" t="str">
        <f>IF($B38="","",IF($B38="01水果",IFERROR(INDEX(对接源_01水果!$C$5:$C$507,MATCH(ROW()-3,对接源_01水果!$Q$5:$Q$507,0)),""),IFERROR(INDEX(对接源_02物料!$C$5:$C$460,MATCH(ROW()-3-N(对接源_01水果!$T$1),对接源_02物料!$Q$5:$Q$460,0)),"")))</f>
        <v/>
      </c>
      <c r="E38" s="126" t="str">
        <f>IF($B38="","",IF($B38="01水果",IFERROR(INDEX(对接源_01水果!$D$5:$D$507,MATCH(ROW()-3,对接源_01水果!$Q$5:$Q$507,0)),""),IFERROR(INDEX(对接源_02物料!$D$5:$D$460,MATCH(ROW()-3-N(对接源_01水果!$T$1),对接源_02物料!$Q$5:$Q$460,0)),"")))</f>
        <v/>
      </c>
      <c r="F38" s="26" t="str">
        <f>IF($B38="","",IF($B38="01水果",IFERROR(INDEX(对接源_01水果!$E$5:$E$507,MATCH(ROW()-3,对接源_01水果!$Q$5:$Q$507,0)),""),IFERROR(INDEX(对接源_02物料!$E$5:$E$460,MATCH(ROW()-3-N(对接源_01水果!$T$1),对接源_02物料!$Q$5:$Q$460,0)),"")))</f>
        <v/>
      </c>
      <c r="G38" s="27" t="str">
        <f>IF($B38="","",IF($B38="01水果",IFERROR(INDEX(对接源_01水果!$F$5:$F$507,MATCH(ROW()-3,对接源_01水果!$Q$5:$Q$507,0)),""),IFERROR(INDEX(对接源_02物料!$F$5:$F$460,MATCH(ROW()-3-N(对接源_01水果!$T$1),对接源_02物料!$Q$5:$Q$460,0)),"")))</f>
        <v/>
      </c>
      <c r="H38" s="27" t="str">
        <f>IF($B38="","",IF($B38="01水果",IFERROR(INDEX(对接源_01水果!$G$5:$G$507,MATCH(ROW()-3,对接源_01水果!$Q$5:$Q$507,0)),""),IFERROR(INDEX(对接源_02物料!$G$5:$G$460,MATCH(ROW()-3-N(对接源_01水果!$T$1),对接源_02物料!$Q$5:$Q$460,0)),"")))</f>
        <v/>
      </c>
      <c r="I38" s="26" t="str">
        <f>IFERROR(INDEX(收入成本映射!$C$4:$C$34,MATCH($D38,收入成本映射!$B$4:$B$34,0)),"不记账")</f>
        <v>不记账</v>
      </c>
      <c r="J38" s="26" t="str">
        <f t="shared" si="0"/>
        <v/>
      </c>
      <c r="K38" s="27">
        <f t="shared" si="1"/>
        <v>0</v>
      </c>
      <c r="L38" s="27">
        <v>0</v>
      </c>
      <c r="M38" s="26" t="str">
        <f>IF(OR($I38="不记账",ROUND(N($G38),2)=0),"",IFERROR(INDEX(收入成本映射!$E$4:$E$34,MATCH($D38,收入成本映射!$B$4:$B$34,0)),""))</f>
        <v/>
      </c>
      <c r="N38" s="27" t="str">
        <f t="shared" si="2"/>
        <v/>
      </c>
      <c r="O38" s="27" t="str">
        <f t="shared" si="3"/>
        <v/>
      </c>
      <c r="P38" s="26" t="str">
        <f>IF($M38="","",IFERROR(INDEX(收入成本映射!$F$4:$F$34,MATCH($D38,收入成本映射!$B$4:$B$34,0)),""))</f>
        <v/>
      </c>
      <c r="Q38" s="27" t="str">
        <f t="shared" si="4"/>
        <v/>
      </c>
      <c r="R38" s="27" t="str">
        <f t="shared" si="5"/>
        <v/>
      </c>
      <c r="S38" s="26" t="str">
        <f t="shared" si="6"/>
        <v/>
      </c>
      <c r="T38" s="27" t="str">
        <f t="shared" si="7"/>
        <v/>
      </c>
      <c r="U38" s="27" t="str">
        <f t="shared" si="8"/>
        <v/>
      </c>
      <c r="V38" s="10" t="str">
        <f>IF($B38="","",IF($B38="01水果",IFERROR(INDEX(对接源_01水果!$H$5:$H$507,MATCH(ROW()-3,对接源_01水果!$Q$5:$Q$507,0)),""),IFERROR(INDEX(对接源_02物料!$H$5:$H$460,MATCH(ROW()-3-N(对接源_01水果!$T$1),对接源_02物料!$Q$5:$Q$460,0)),"")))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9" ht="18" customHeight="1" spans="1:22">
      <c r="A39" s="10">
        <v>36</v>
      </c>
      <c r="B39" s="26" t="str">
        <f>IF(ROW()-3&lt;=N(对接源_01水果!$T$1),"01水果",IF(ROW()-3&lt;=N(对接源_01水果!$T$1)+N(对接源_02物料!$T$1),"02物料",""))</f>
        <v/>
      </c>
      <c r="C39" s="125" t="str">
        <f>IF($B39="","",IF($B39="01水果",IFERROR(INDEX(对接源_01水果!$B$5:$B$507,MATCH(ROW()-3,对接源_01水果!$Q$5:$Q$507,0)),""),IFERROR(INDEX(对接源_02物料!$B$5:$B$460,MATCH(ROW()-3-N(对接源_01水果!$T$1),对接源_02物料!$Q$5:$Q$460,0)),"")))</f>
        <v/>
      </c>
      <c r="D39" s="26" t="str">
        <f>IF($B39="","",IF($B39="01水果",IFERROR(INDEX(对接源_01水果!$C$5:$C$507,MATCH(ROW()-3,对接源_01水果!$Q$5:$Q$507,0)),""),IFERROR(INDEX(对接源_02物料!$C$5:$C$460,MATCH(ROW()-3-N(对接源_01水果!$T$1),对接源_02物料!$Q$5:$Q$460,0)),"")))</f>
        <v/>
      </c>
      <c r="E39" s="126" t="str">
        <f>IF($B39="","",IF($B39="01水果",IFERROR(INDEX(对接源_01水果!$D$5:$D$507,MATCH(ROW()-3,对接源_01水果!$Q$5:$Q$507,0)),""),IFERROR(INDEX(对接源_02物料!$D$5:$D$460,MATCH(ROW()-3-N(对接源_01水果!$T$1),对接源_02物料!$Q$5:$Q$460,0)),"")))</f>
        <v/>
      </c>
      <c r="F39" s="26" t="str">
        <f>IF($B39="","",IF($B39="01水果",IFERROR(INDEX(对接源_01水果!$E$5:$E$507,MATCH(ROW()-3,对接源_01水果!$Q$5:$Q$507,0)),""),IFERROR(INDEX(对接源_02物料!$E$5:$E$460,MATCH(ROW()-3-N(对接源_01水果!$T$1),对接源_02物料!$Q$5:$Q$460,0)),"")))</f>
        <v/>
      </c>
      <c r="G39" s="27" t="str">
        <f>IF($B39="","",IF($B39="01水果",IFERROR(INDEX(对接源_01水果!$F$5:$F$507,MATCH(ROW()-3,对接源_01水果!$Q$5:$Q$507,0)),""),IFERROR(INDEX(对接源_02物料!$F$5:$F$460,MATCH(ROW()-3-N(对接源_01水果!$T$1),对接源_02物料!$Q$5:$Q$460,0)),"")))</f>
        <v/>
      </c>
      <c r="H39" s="27" t="str">
        <f>IF($B39="","",IF($B39="01水果",IFERROR(INDEX(对接源_01水果!$G$5:$G$507,MATCH(ROW()-3,对接源_01水果!$Q$5:$Q$507,0)),""),IFERROR(INDEX(对接源_02物料!$G$5:$G$460,MATCH(ROW()-3-N(对接源_01水果!$T$1),对接源_02物料!$Q$5:$Q$460,0)),"")))</f>
        <v/>
      </c>
      <c r="I39" s="26" t="str">
        <f>IFERROR(INDEX(收入成本映射!$C$4:$C$34,MATCH($D39,收入成本映射!$B$4:$B$34,0)),"不记账")</f>
        <v>不记账</v>
      </c>
      <c r="J39" s="26" t="str">
        <f t="shared" si="0"/>
        <v/>
      </c>
      <c r="K39" s="27">
        <f t="shared" si="1"/>
        <v>0</v>
      </c>
      <c r="L39" s="27">
        <v>0</v>
      </c>
      <c r="M39" s="26" t="str">
        <f>IF(OR($I39="不记账",ROUND(N($G39),2)=0),"",IFERROR(INDEX(收入成本映射!$E$4:$E$34,MATCH($D39,收入成本映射!$B$4:$B$34,0)),""))</f>
        <v/>
      </c>
      <c r="N39" s="27" t="str">
        <f t="shared" si="2"/>
        <v/>
      </c>
      <c r="O39" s="27" t="str">
        <f t="shared" si="3"/>
        <v/>
      </c>
      <c r="P39" s="26" t="str">
        <f>IF($M39="","",IFERROR(INDEX(收入成本映射!$F$4:$F$34,MATCH($D39,收入成本映射!$B$4:$B$34,0)),""))</f>
        <v/>
      </c>
      <c r="Q39" s="27" t="str">
        <f t="shared" si="4"/>
        <v/>
      </c>
      <c r="R39" s="27" t="str">
        <f t="shared" si="5"/>
        <v/>
      </c>
      <c r="S39" s="26" t="str">
        <f t="shared" si="6"/>
        <v/>
      </c>
      <c r="T39" s="27" t="str">
        <f t="shared" si="7"/>
        <v/>
      </c>
      <c r="U39" s="27" t="str">
        <f t="shared" si="8"/>
        <v/>
      </c>
      <c r="V39" s="10" t="str">
        <f>IF($B39="","",IF($B39="01水果",IFERROR(INDEX(对接源_01水果!$H$5:$H$507,MATCH(ROW()-3,对接源_01水果!$Q$5:$Q$507,0)),""),IFERROR(INDEX(对接源_02物料!$H$5:$H$460,MATCH(ROW()-3-N(对接源_01水果!$T$1),对接源_02物料!$Q$5:$Q$460,0)),"")))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0" ht="18" customHeight="1" spans="1:22">
      <c r="A40" s="10">
        <v>37</v>
      </c>
      <c r="B40" s="26" t="str">
        <f>IF(ROW()-3&lt;=N(对接源_01水果!$T$1),"01水果",IF(ROW()-3&lt;=N(对接源_01水果!$T$1)+N(对接源_02物料!$T$1),"02物料",""))</f>
        <v/>
      </c>
      <c r="C40" s="125" t="str">
        <f>IF($B40="","",IF($B40="01水果",IFERROR(INDEX(对接源_01水果!$B$5:$B$507,MATCH(ROW()-3,对接源_01水果!$Q$5:$Q$507,0)),""),IFERROR(INDEX(对接源_02物料!$B$5:$B$460,MATCH(ROW()-3-N(对接源_01水果!$T$1),对接源_02物料!$Q$5:$Q$460,0)),"")))</f>
        <v/>
      </c>
      <c r="D40" s="26" t="str">
        <f>IF($B40="","",IF($B40="01水果",IFERROR(INDEX(对接源_01水果!$C$5:$C$507,MATCH(ROW()-3,对接源_01水果!$Q$5:$Q$507,0)),""),IFERROR(INDEX(对接源_02物料!$C$5:$C$460,MATCH(ROW()-3-N(对接源_01水果!$T$1),对接源_02物料!$Q$5:$Q$460,0)),"")))</f>
        <v/>
      </c>
      <c r="E40" s="126" t="str">
        <f>IF($B40="","",IF($B40="01水果",IFERROR(INDEX(对接源_01水果!$D$5:$D$507,MATCH(ROW()-3,对接源_01水果!$Q$5:$Q$507,0)),""),IFERROR(INDEX(对接源_02物料!$D$5:$D$460,MATCH(ROW()-3-N(对接源_01水果!$T$1),对接源_02物料!$Q$5:$Q$460,0)),"")))</f>
        <v/>
      </c>
      <c r="F40" s="26" t="str">
        <f>IF($B40="","",IF($B40="01水果",IFERROR(INDEX(对接源_01水果!$E$5:$E$507,MATCH(ROW()-3,对接源_01水果!$Q$5:$Q$507,0)),""),IFERROR(INDEX(对接源_02物料!$E$5:$E$460,MATCH(ROW()-3-N(对接源_01水果!$T$1),对接源_02物料!$Q$5:$Q$460,0)),"")))</f>
        <v/>
      </c>
      <c r="G40" s="27" t="str">
        <f>IF($B40="","",IF($B40="01水果",IFERROR(INDEX(对接源_01水果!$F$5:$F$507,MATCH(ROW()-3,对接源_01水果!$Q$5:$Q$507,0)),""),IFERROR(INDEX(对接源_02物料!$F$5:$F$460,MATCH(ROW()-3-N(对接源_01水果!$T$1),对接源_02物料!$Q$5:$Q$460,0)),"")))</f>
        <v/>
      </c>
      <c r="H40" s="27" t="str">
        <f>IF($B40="","",IF($B40="01水果",IFERROR(INDEX(对接源_01水果!$G$5:$G$507,MATCH(ROW()-3,对接源_01水果!$Q$5:$Q$507,0)),""),IFERROR(INDEX(对接源_02物料!$G$5:$G$460,MATCH(ROW()-3-N(对接源_01水果!$T$1),对接源_02物料!$Q$5:$Q$460,0)),"")))</f>
        <v/>
      </c>
      <c r="I40" s="26" t="str">
        <f>IFERROR(INDEX(收入成本映射!$C$4:$C$34,MATCH($D40,收入成本映射!$B$4:$B$34,0)),"不记账")</f>
        <v>不记账</v>
      </c>
      <c r="J40" s="26" t="str">
        <f t="shared" si="0"/>
        <v/>
      </c>
      <c r="K40" s="27">
        <f t="shared" si="1"/>
        <v>0</v>
      </c>
      <c r="L40" s="27">
        <v>0</v>
      </c>
      <c r="M40" s="26" t="str">
        <f>IF(OR($I40="不记账",ROUND(N($G40),2)=0),"",IFERROR(INDEX(收入成本映射!$E$4:$E$34,MATCH($D40,收入成本映射!$B$4:$B$34,0)),""))</f>
        <v/>
      </c>
      <c r="N40" s="27" t="str">
        <f t="shared" si="2"/>
        <v/>
      </c>
      <c r="O40" s="27" t="str">
        <f t="shared" si="3"/>
        <v/>
      </c>
      <c r="P40" s="26" t="str">
        <f>IF($M40="","",IFERROR(INDEX(收入成本映射!$F$4:$F$34,MATCH($D40,收入成本映射!$B$4:$B$34,0)),""))</f>
        <v/>
      </c>
      <c r="Q40" s="27" t="str">
        <f t="shared" si="4"/>
        <v/>
      </c>
      <c r="R40" s="27" t="str">
        <f t="shared" si="5"/>
        <v/>
      </c>
      <c r="S40" s="26" t="str">
        <f t="shared" si="6"/>
        <v/>
      </c>
      <c r="T40" s="27" t="str">
        <f t="shared" si="7"/>
        <v/>
      </c>
      <c r="U40" s="27" t="str">
        <f t="shared" si="8"/>
        <v/>
      </c>
      <c r="V40" s="10" t="str">
        <f>IF($B40="","",IF($B40="01水果",IFERROR(INDEX(对接源_01水果!$H$5:$H$507,MATCH(ROW()-3,对接源_01水果!$Q$5:$Q$507,0)),""),IFERROR(INDEX(对接源_02物料!$H$5:$H$460,MATCH(ROW()-3-N(对接源_01水果!$T$1),对接源_02物料!$Q$5:$Q$460,0)),"")))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1" ht="18" customHeight="1" spans="1:22">
      <c r="A41" s="10">
        <v>38</v>
      </c>
      <c r="B41" s="26" t="str">
        <f>IF(ROW()-3&lt;=N(对接源_01水果!$T$1),"01水果",IF(ROW()-3&lt;=N(对接源_01水果!$T$1)+N(对接源_02物料!$T$1),"02物料",""))</f>
        <v/>
      </c>
      <c r="C41" s="125" t="str">
        <f>IF($B41="","",IF($B41="01水果",IFERROR(INDEX(对接源_01水果!$B$5:$B$507,MATCH(ROW()-3,对接源_01水果!$Q$5:$Q$507,0)),""),IFERROR(INDEX(对接源_02物料!$B$5:$B$460,MATCH(ROW()-3-N(对接源_01水果!$T$1),对接源_02物料!$Q$5:$Q$460,0)),"")))</f>
        <v/>
      </c>
      <c r="D41" s="26" t="str">
        <f>IF($B41="","",IF($B41="01水果",IFERROR(INDEX(对接源_01水果!$C$5:$C$507,MATCH(ROW()-3,对接源_01水果!$Q$5:$Q$507,0)),""),IFERROR(INDEX(对接源_02物料!$C$5:$C$460,MATCH(ROW()-3-N(对接源_01水果!$T$1),对接源_02物料!$Q$5:$Q$460,0)),"")))</f>
        <v/>
      </c>
      <c r="E41" s="126" t="str">
        <f>IF($B41="","",IF($B41="01水果",IFERROR(INDEX(对接源_01水果!$D$5:$D$507,MATCH(ROW()-3,对接源_01水果!$Q$5:$Q$507,0)),""),IFERROR(INDEX(对接源_02物料!$D$5:$D$460,MATCH(ROW()-3-N(对接源_01水果!$T$1),对接源_02物料!$Q$5:$Q$460,0)),"")))</f>
        <v/>
      </c>
      <c r="F41" s="26" t="str">
        <f>IF($B41="","",IF($B41="01水果",IFERROR(INDEX(对接源_01水果!$E$5:$E$507,MATCH(ROW()-3,对接源_01水果!$Q$5:$Q$507,0)),""),IFERROR(INDEX(对接源_02物料!$E$5:$E$460,MATCH(ROW()-3-N(对接源_01水果!$T$1),对接源_02物料!$Q$5:$Q$460,0)),"")))</f>
        <v/>
      </c>
      <c r="G41" s="27" t="str">
        <f>IF($B41="","",IF($B41="01水果",IFERROR(INDEX(对接源_01水果!$F$5:$F$507,MATCH(ROW()-3,对接源_01水果!$Q$5:$Q$507,0)),""),IFERROR(INDEX(对接源_02物料!$F$5:$F$460,MATCH(ROW()-3-N(对接源_01水果!$T$1),对接源_02物料!$Q$5:$Q$460,0)),"")))</f>
        <v/>
      </c>
      <c r="H41" s="27" t="str">
        <f>IF($B41="","",IF($B41="01水果",IFERROR(INDEX(对接源_01水果!$G$5:$G$507,MATCH(ROW()-3,对接源_01水果!$Q$5:$Q$507,0)),""),IFERROR(INDEX(对接源_02物料!$G$5:$G$460,MATCH(ROW()-3-N(对接源_01水果!$T$1),对接源_02物料!$Q$5:$Q$460,0)),"")))</f>
        <v/>
      </c>
      <c r="I41" s="26" t="str">
        <f>IFERROR(INDEX(收入成本映射!$C$4:$C$34,MATCH($D41,收入成本映射!$B$4:$B$34,0)),"不记账")</f>
        <v>不记账</v>
      </c>
      <c r="J41" s="26" t="str">
        <f t="shared" si="0"/>
        <v/>
      </c>
      <c r="K41" s="27">
        <f t="shared" si="1"/>
        <v>0</v>
      </c>
      <c r="L41" s="27">
        <v>0</v>
      </c>
      <c r="M41" s="26" t="str">
        <f>IF(OR($I41="不记账",ROUND(N($G41),2)=0),"",IFERROR(INDEX(收入成本映射!$E$4:$E$34,MATCH($D41,收入成本映射!$B$4:$B$34,0)),""))</f>
        <v/>
      </c>
      <c r="N41" s="27" t="str">
        <f t="shared" si="2"/>
        <v/>
      </c>
      <c r="O41" s="27" t="str">
        <f t="shared" si="3"/>
        <v/>
      </c>
      <c r="P41" s="26" t="str">
        <f>IF($M41="","",IFERROR(INDEX(收入成本映射!$F$4:$F$34,MATCH($D41,收入成本映射!$B$4:$B$34,0)),""))</f>
        <v/>
      </c>
      <c r="Q41" s="27" t="str">
        <f t="shared" si="4"/>
        <v/>
      </c>
      <c r="R41" s="27" t="str">
        <f t="shared" si="5"/>
        <v/>
      </c>
      <c r="S41" s="26" t="str">
        <f t="shared" si="6"/>
        <v/>
      </c>
      <c r="T41" s="27" t="str">
        <f t="shared" si="7"/>
        <v/>
      </c>
      <c r="U41" s="27" t="str">
        <f t="shared" si="8"/>
        <v/>
      </c>
      <c r="V41" s="10" t="str">
        <f>IF($B41="","",IF($B41="01水果",IFERROR(INDEX(对接源_01水果!$H$5:$H$507,MATCH(ROW()-3,对接源_01水果!$Q$5:$Q$507,0)),""),IFERROR(INDEX(对接源_02物料!$H$5:$H$460,MATCH(ROW()-3-N(对接源_01水果!$T$1),对接源_02物料!$Q$5:$Q$460,0)),"")))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2" ht="18" customHeight="1" spans="1:22">
      <c r="A42" s="10">
        <v>39</v>
      </c>
      <c r="B42" s="26" t="str">
        <f>IF(ROW()-3&lt;=N(对接源_01水果!$T$1),"01水果",IF(ROW()-3&lt;=N(对接源_01水果!$T$1)+N(对接源_02物料!$T$1),"02物料",""))</f>
        <v/>
      </c>
      <c r="C42" s="125" t="str">
        <f>IF($B42="","",IF($B42="01水果",IFERROR(INDEX(对接源_01水果!$B$5:$B$507,MATCH(ROW()-3,对接源_01水果!$Q$5:$Q$507,0)),""),IFERROR(INDEX(对接源_02物料!$B$5:$B$460,MATCH(ROW()-3-N(对接源_01水果!$T$1),对接源_02物料!$Q$5:$Q$460,0)),"")))</f>
        <v/>
      </c>
      <c r="D42" s="26" t="str">
        <f>IF($B42="","",IF($B42="01水果",IFERROR(INDEX(对接源_01水果!$C$5:$C$507,MATCH(ROW()-3,对接源_01水果!$Q$5:$Q$507,0)),""),IFERROR(INDEX(对接源_02物料!$C$5:$C$460,MATCH(ROW()-3-N(对接源_01水果!$T$1),对接源_02物料!$Q$5:$Q$460,0)),"")))</f>
        <v/>
      </c>
      <c r="E42" s="126" t="str">
        <f>IF($B42="","",IF($B42="01水果",IFERROR(INDEX(对接源_01水果!$D$5:$D$507,MATCH(ROW()-3,对接源_01水果!$Q$5:$Q$507,0)),""),IFERROR(INDEX(对接源_02物料!$D$5:$D$460,MATCH(ROW()-3-N(对接源_01水果!$T$1),对接源_02物料!$Q$5:$Q$460,0)),"")))</f>
        <v/>
      </c>
      <c r="F42" s="26" t="str">
        <f>IF($B42="","",IF($B42="01水果",IFERROR(INDEX(对接源_01水果!$E$5:$E$507,MATCH(ROW()-3,对接源_01水果!$Q$5:$Q$507,0)),""),IFERROR(INDEX(对接源_02物料!$E$5:$E$460,MATCH(ROW()-3-N(对接源_01水果!$T$1),对接源_02物料!$Q$5:$Q$460,0)),"")))</f>
        <v/>
      </c>
      <c r="G42" s="27" t="str">
        <f>IF($B42="","",IF($B42="01水果",IFERROR(INDEX(对接源_01水果!$F$5:$F$507,MATCH(ROW()-3,对接源_01水果!$Q$5:$Q$507,0)),""),IFERROR(INDEX(对接源_02物料!$F$5:$F$460,MATCH(ROW()-3-N(对接源_01水果!$T$1),对接源_02物料!$Q$5:$Q$460,0)),"")))</f>
        <v/>
      </c>
      <c r="H42" s="27" t="str">
        <f>IF($B42="","",IF($B42="01水果",IFERROR(INDEX(对接源_01水果!$G$5:$G$507,MATCH(ROW()-3,对接源_01水果!$Q$5:$Q$507,0)),""),IFERROR(INDEX(对接源_02物料!$G$5:$G$460,MATCH(ROW()-3-N(对接源_01水果!$T$1),对接源_02物料!$Q$5:$Q$460,0)),"")))</f>
        <v/>
      </c>
      <c r="I42" s="26" t="str">
        <f>IFERROR(INDEX(收入成本映射!$C$4:$C$34,MATCH($D42,收入成本映射!$B$4:$B$34,0)),"不记账")</f>
        <v>不记账</v>
      </c>
      <c r="J42" s="26" t="str">
        <f t="shared" si="0"/>
        <v/>
      </c>
      <c r="K42" s="27">
        <f t="shared" si="1"/>
        <v>0</v>
      </c>
      <c r="L42" s="27">
        <v>0</v>
      </c>
      <c r="M42" s="26" t="str">
        <f>IF(OR($I42="不记账",ROUND(N($G42),2)=0),"",IFERROR(INDEX(收入成本映射!$E$4:$E$34,MATCH($D42,收入成本映射!$B$4:$B$34,0)),""))</f>
        <v/>
      </c>
      <c r="N42" s="27" t="str">
        <f t="shared" si="2"/>
        <v/>
      </c>
      <c r="O42" s="27" t="str">
        <f t="shared" si="3"/>
        <v/>
      </c>
      <c r="P42" s="26" t="str">
        <f>IF($M42="","",IFERROR(INDEX(收入成本映射!$F$4:$F$34,MATCH($D42,收入成本映射!$B$4:$B$34,0)),""))</f>
        <v/>
      </c>
      <c r="Q42" s="27" t="str">
        <f t="shared" si="4"/>
        <v/>
      </c>
      <c r="R42" s="27" t="str">
        <f t="shared" si="5"/>
        <v/>
      </c>
      <c r="S42" s="26" t="str">
        <f t="shared" si="6"/>
        <v/>
      </c>
      <c r="T42" s="27" t="str">
        <f t="shared" si="7"/>
        <v/>
      </c>
      <c r="U42" s="27" t="str">
        <f t="shared" si="8"/>
        <v/>
      </c>
      <c r="V42" s="10" t="str">
        <f>IF($B42="","",IF($B42="01水果",IFERROR(INDEX(对接源_01水果!$H$5:$H$507,MATCH(ROW()-3,对接源_01水果!$Q$5:$Q$507,0)),""),IFERROR(INDEX(对接源_02物料!$H$5:$H$460,MATCH(ROW()-3-N(对接源_01水果!$T$1),对接源_02物料!$Q$5:$Q$460,0)),"")))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3" ht="18" customHeight="1" spans="1:22">
      <c r="A43" s="10">
        <v>40</v>
      </c>
      <c r="B43" s="26" t="str">
        <f>IF(ROW()-3&lt;=N(对接源_01水果!$T$1),"01水果",IF(ROW()-3&lt;=N(对接源_01水果!$T$1)+N(对接源_02物料!$T$1),"02物料",""))</f>
        <v/>
      </c>
      <c r="C43" s="125" t="str">
        <f>IF($B43="","",IF($B43="01水果",IFERROR(INDEX(对接源_01水果!$B$5:$B$507,MATCH(ROW()-3,对接源_01水果!$Q$5:$Q$507,0)),""),IFERROR(INDEX(对接源_02物料!$B$5:$B$460,MATCH(ROW()-3-N(对接源_01水果!$T$1),对接源_02物料!$Q$5:$Q$460,0)),"")))</f>
        <v/>
      </c>
      <c r="D43" s="26" t="str">
        <f>IF($B43="","",IF($B43="01水果",IFERROR(INDEX(对接源_01水果!$C$5:$C$507,MATCH(ROW()-3,对接源_01水果!$Q$5:$Q$507,0)),""),IFERROR(INDEX(对接源_02物料!$C$5:$C$460,MATCH(ROW()-3-N(对接源_01水果!$T$1),对接源_02物料!$Q$5:$Q$460,0)),"")))</f>
        <v/>
      </c>
      <c r="E43" s="126" t="str">
        <f>IF($B43="","",IF($B43="01水果",IFERROR(INDEX(对接源_01水果!$D$5:$D$507,MATCH(ROW()-3,对接源_01水果!$Q$5:$Q$507,0)),""),IFERROR(INDEX(对接源_02物料!$D$5:$D$460,MATCH(ROW()-3-N(对接源_01水果!$T$1),对接源_02物料!$Q$5:$Q$460,0)),"")))</f>
        <v/>
      </c>
      <c r="F43" s="26" t="str">
        <f>IF($B43="","",IF($B43="01水果",IFERROR(INDEX(对接源_01水果!$E$5:$E$507,MATCH(ROW()-3,对接源_01水果!$Q$5:$Q$507,0)),""),IFERROR(INDEX(对接源_02物料!$E$5:$E$460,MATCH(ROW()-3-N(对接源_01水果!$T$1),对接源_02物料!$Q$5:$Q$460,0)),"")))</f>
        <v/>
      </c>
      <c r="G43" s="27" t="str">
        <f>IF($B43="","",IF($B43="01水果",IFERROR(INDEX(对接源_01水果!$F$5:$F$507,MATCH(ROW()-3,对接源_01水果!$Q$5:$Q$507,0)),""),IFERROR(INDEX(对接源_02物料!$F$5:$F$460,MATCH(ROW()-3-N(对接源_01水果!$T$1),对接源_02物料!$Q$5:$Q$460,0)),"")))</f>
        <v/>
      </c>
      <c r="H43" s="27" t="str">
        <f>IF($B43="","",IF($B43="01水果",IFERROR(INDEX(对接源_01水果!$G$5:$G$507,MATCH(ROW()-3,对接源_01水果!$Q$5:$Q$507,0)),""),IFERROR(INDEX(对接源_02物料!$G$5:$G$460,MATCH(ROW()-3-N(对接源_01水果!$T$1),对接源_02物料!$Q$5:$Q$460,0)),"")))</f>
        <v/>
      </c>
      <c r="I43" s="26" t="str">
        <f>IFERROR(INDEX(收入成本映射!$C$4:$C$34,MATCH($D43,收入成本映射!$B$4:$B$34,0)),"不记账")</f>
        <v>不记账</v>
      </c>
      <c r="J43" s="26" t="str">
        <f t="shared" si="0"/>
        <v/>
      </c>
      <c r="K43" s="27">
        <f t="shared" si="1"/>
        <v>0</v>
      </c>
      <c r="L43" s="27">
        <v>0</v>
      </c>
      <c r="M43" s="26" t="str">
        <f>IF(OR($I43="不记账",ROUND(N($G43),2)=0),"",IFERROR(INDEX(收入成本映射!$E$4:$E$34,MATCH($D43,收入成本映射!$B$4:$B$34,0)),""))</f>
        <v/>
      </c>
      <c r="N43" s="27" t="str">
        <f t="shared" si="2"/>
        <v/>
      </c>
      <c r="O43" s="27" t="str">
        <f t="shared" si="3"/>
        <v/>
      </c>
      <c r="P43" s="26" t="str">
        <f>IF($M43="","",IFERROR(INDEX(收入成本映射!$F$4:$F$34,MATCH($D43,收入成本映射!$B$4:$B$34,0)),""))</f>
        <v/>
      </c>
      <c r="Q43" s="27" t="str">
        <f t="shared" si="4"/>
        <v/>
      </c>
      <c r="R43" s="27" t="str">
        <f t="shared" si="5"/>
        <v/>
      </c>
      <c r="S43" s="26" t="str">
        <f t="shared" si="6"/>
        <v/>
      </c>
      <c r="T43" s="27" t="str">
        <f t="shared" si="7"/>
        <v/>
      </c>
      <c r="U43" s="27" t="str">
        <f t="shared" si="8"/>
        <v/>
      </c>
      <c r="V43" s="10" t="str">
        <f>IF($B43="","",IF($B43="01水果",IFERROR(INDEX(对接源_01水果!$H$5:$H$507,MATCH(ROW()-3,对接源_01水果!$Q$5:$Q$507,0)),""),IFERROR(INDEX(对接源_02物料!$H$5:$H$460,MATCH(ROW()-3-N(对接源_01水果!$T$1),对接源_02物料!$Q$5:$Q$460,0)),"")))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4" ht="18" customHeight="1" spans="1:22">
      <c r="A44" s="10">
        <v>41</v>
      </c>
      <c r="B44" s="26" t="str">
        <f>IF(ROW()-3&lt;=N(对接源_01水果!$T$1),"01水果",IF(ROW()-3&lt;=N(对接源_01水果!$T$1)+N(对接源_02物料!$T$1),"02物料",""))</f>
        <v/>
      </c>
      <c r="C44" s="125" t="str">
        <f>IF($B44="","",IF($B44="01水果",IFERROR(INDEX(对接源_01水果!$B$5:$B$507,MATCH(ROW()-3,对接源_01水果!$Q$5:$Q$507,0)),""),IFERROR(INDEX(对接源_02物料!$B$5:$B$460,MATCH(ROW()-3-N(对接源_01水果!$T$1),对接源_02物料!$Q$5:$Q$460,0)),"")))</f>
        <v/>
      </c>
      <c r="D44" s="26" t="str">
        <f>IF($B44="","",IF($B44="01水果",IFERROR(INDEX(对接源_01水果!$C$5:$C$507,MATCH(ROW()-3,对接源_01水果!$Q$5:$Q$507,0)),""),IFERROR(INDEX(对接源_02物料!$C$5:$C$460,MATCH(ROW()-3-N(对接源_01水果!$T$1),对接源_02物料!$Q$5:$Q$460,0)),"")))</f>
        <v/>
      </c>
      <c r="E44" s="126" t="str">
        <f>IF($B44="","",IF($B44="01水果",IFERROR(INDEX(对接源_01水果!$D$5:$D$507,MATCH(ROW()-3,对接源_01水果!$Q$5:$Q$507,0)),""),IFERROR(INDEX(对接源_02物料!$D$5:$D$460,MATCH(ROW()-3-N(对接源_01水果!$T$1),对接源_02物料!$Q$5:$Q$460,0)),"")))</f>
        <v/>
      </c>
      <c r="F44" s="26" t="str">
        <f>IF($B44="","",IF($B44="01水果",IFERROR(INDEX(对接源_01水果!$E$5:$E$507,MATCH(ROW()-3,对接源_01水果!$Q$5:$Q$507,0)),""),IFERROR(INDEX(对接源_02物料!$E$5:$E$460,MATCH(ROW()-3-N(对接源_01水果!$T$1),对接源_02物料!$Q$5:$Q$460,0)),"")))</f>
        <v/>
      </c>
      <c r="G44" s="27" t="str">
        <f>IF($B44="","",IF($B44="01水果",IFERROR(INDEX(对接源_01水果!$F$5:$F$507,MATCH(ROW()-3,对接源_01水果!$Q$5:$Q$507,0)),""),IFERROR(INDEX(对接源_02物料!$F$5:$F$460,MATCH(ROW()-3-N(对接源_01水果!$T$1),对接源_02物料!$Q$5:$Q$460,0)),"")))</f>
        <v/>
      </c>
      <c r="H44" s="27" t="str">
        <f>IF($B44="","",IF($B44="01水果",IFERROR(INDEX(对接源_01水果!$G$5:$G$507,MATCH(ROW()-3,对接源_01水果!$Q$5:$Q$507,0)),""),IFERROR(INDEX(对接源_02物料!$G$5:$G$460,MATCH(ROW()-3-N(对接源_01水果!$T$1),对接源_02物料!$Q$5:$Q$460,0)),"")))</f>
        <v/>
      </c>
      <c r="I44" s="26" t="str">
        <f>IFERROR(INDEX(收入成本映射!$C$4:$C$34,MATCH($D44,收入成本映射!$B$4:$B$34,0)),"不记账")</f>
        <v>不记账</v>
      </c>
      <c r="J44" s="26" t="str">
        <f t="shared" si="0"/>
        <v/>
      </c>
      <c r="K44" s="27">
        <f t="shared" si="1"/>
        <v>0</v>
      </c>
      <c r="L44" s="27">
        <v>0</v>
      </c>
      <c r="M44" s="26" t="str">
        <f>IF(OR($I44="不记账",ROUND(N($G44),2)=0),"",IFERROR(INDEX(收入成本映射!$E$4:$E$34,MATCH($D44,收入成本映射!$B$4:$B$34,0)),""))</f>
        <v/>
      </c>
      <c r="N44" s="27" t="str">
        <f t="shared" si="2"/>
        <v/>
      </c>
      <c r="O44" s="27" t="str">
        <f t="shared" si="3"/>
        <v/>
      </c>
      <c r="P44" s="26" t="str">
        <f>IF($M44="","",IFERROR(INDEX(收入成本映射!$F$4:$F$34,MATCH($D44,收入成本映射!$B$4:$B$34,0)),""))</f>
        <v/>
      </c>
      <c r="Q44" s="27" t="str">
        <f t="shared" si="4"/>
        <v/>
      </c>
      <c r="R44" s="27" t="str">
        <f t="shared" si="5"/>
        <v/>
      </c>
      <c r="S44" s="26" t="str">
        <f t="shared" si="6"/>
        <v/>
      </c>
      <c r="T44" s="27" t="str">
        <f t="shared" si="7"/>
        <v/>
      </c>
      <c r="U44" s="27" t="str">
        <f t="shared" si="8"/>
        <v/>
      </c>
      <c r="V44" s="10" t="str">
        <f>IF($B44="","",IF($B44="01水果",IFERROR(INDEX(对接源_01水果!$H$5:$H$507,MATCH(ROW()-3,对接源_01水果!$Q$5:$Q$507,0)),""),IFERROR(INDEX(对接源_02物料!$H$5:$H$460,MATCH(ROW()-3-N(对接源_01水果!$T$1),对接源_02物料!$Q$5:$Q$460,0)),"")))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5" ht="18" customHeight="1" spans="1:22">
      <c r="A45" s="10">
        <v>42</v>
      </c>
      <c r="B45" s="26" t="str">
        <f>IF(ROW()-3&lt;=N(对接源_01水果!$T$1),"01水果",IF(ROW()-3&lt;=N(对接源_01水果!$T$1)+N(对接源_02物料!$T$1),"02物料",""))</f>
        <v/>
      </c>
      <c r="C45" s="125" t="str">
        <f>IF($B45="","",IF($B45="01水果",IFERROR(INDEX(对接源_01水果!$B$5:$B$507,MATCH(ROW()-3,对接源_01水果!$Q$5:$Q$507,0)),""),IFERROR(INDEX(对接源_02物料!$B$5:$B$460,MATCH(ROW()-3-N(对接源_01水果!$T$1),对接源_02物料!$Q$5:$Q$460,0)),"")))</f>
        <v/>
      </c>
      <c r="D45" s="26" t="str">
        <f>IF($B45="","",IF($B45="01水果",IFERROR(INDEX(对接源_01水果!$C$5:$C$507,MATCH(ROW()-3,对接源_01水果!$Q$5:$Q$507,0)),""),IFERROR(INDEX(对接源_02物料!$C$5:$C$460,MATCH(ROW()-3-N(对接源_01水果!$T$1),对接源_02物料!$Q$5:$Q$460,0)),"")))</f>
        <v/>
      </c>
      <c r="E45" s="126" t="str">
        <f>IF($B45="","",IF($B45="01水果",IFERROR(INDEX(对接源_01水果!$D$5:$D$507,MATCH(ROW()-3,对接源_01水果!$Q$5:$Q$507,0)),""),IFERROR(INDEX(对接源_02物料!$D$5:$D$460,MATCH(ROW()-3-N(对接源_01水果!$T$1),对接源_02物料!$Q$5:$Q$460,0)),"")))</f>
        <v/>
      </c>
      <c r="F45" s="26" t="str">
        <f>IF($B45="","",IF($B45="01水果",IFERROR(INDEX(对接源_01水果!$E$5:$E$507,MATCH(ROW()-3,对接源_01水果!$Q$5:$Q$507,0)),""),IFERROR(INDEX(对接源_02物料!$E$5:$E$460,MATCH(ROW()-3-N(对接源_01水果!$T$1),对接源_02物料!$Q$5:$Q$460,0)),"")))</f>
        <v/>
      </c>
      <c r="G45" s="27" t="str">
        <f>IF($B45="","",IF($B45="01水果",IFERROR(INDEX(对接源_01水果!$F$5:$F$507,MATCH(ROW()-3,对接源_01水果!$Q$5:$Q$507,0)),""),IFERROR(INDEX(对接源_02物料!$F$5:$F$460,MATCH(ROW()-3-N(对接源_01水果!$T$1),对接源_02物料!$Q$5:$Q$460,0)),"")))</f>
        <v/>
      </c>
      <c r="H45" s="27" t="str">
        <f>IF($B45="","",IF($B45="01水果",IFERROR(INDEX(对接源_01水果!$G$5:$G$507,MATCH(ROW()-3,对接源_01水果!$Q$5:$Q$507,0)),""),IFERROR(INDEX(对接源_02物料!$G$5:$G$460,MATCH(ROW()-3-N(对接源_01水果!$T$1),对接源_02物料!$Q$5:$Q$460,0)),"")))</f>
        <v/>
      </c>
      <c r="I45" s="26" t="str">
        <f>IFERROR(INDEX(收入成本映射!$C$4:$C$34,MATCH($D45,收入成本映射!$B$4:$B$34,0)),"不记账")</f>
        <v>不记账</v>
      </c>
      <c r="J45" s="26" t="str">
        <f t="shared" si="0"/>
        <v/>
      </c>
      <c r="K45" s="27">
        <f t="shared" si="1"/>
        <v>0</v>
      </c>
      <c r="L45" s="27">
        <v>0</v>
      </c>
      <c r="M45" s="26" t="str">
        <f>IF(OR($I45="不记账",ROUND(N($G45),2)=0),"",IFERROR(INDEX(收入成本映射!$E$4:$E$34,MATCH($D45,收入成本映射!$B$4:$B$34,0)),""))</f>
        <v/>
      </c>
      <c r="N45" s="27" t="str">
        <f t="shared" si="2"/>
        <v/>
      </c>
      <c r="O45" s="27" t="str">
        <f t="shared" si="3"/>
        <v/>
      </c>
      <c r="P45" s="26" t="str">
        <f>IF($M45="","",IFERROR(INDEX(收入成本映射!$F$4:$F$34,MATCH($D45,收入成本映射!$B$4:$B$34,0)),""))</f>
        <v/>
      </c>
      <c r="Q45" s="27" t="str">
        <f t="shared" si="4"/>
        <v/>
      </c>
      <c r="R45" s="27" t="str">
        <f t="shared" si="5"/>
        <v/>
      </c>
      <c r="S45" s="26" t="str">
        <f t="shared" si="6"/>
        <v/>
      </c>
      <c r="T45" s="27" t="str">
        <f t="shared" si="7"/>
        <v/>
      </c>
      <c r="U45" s="27" t="str">
        <f t="shared" si="8"/>
        <v/>
      </c>
      <c r="V45" s="10" t="str">
        <f>IF($B45="","",IF($B45="01水果",IFERROR(INDEX(对接源_01水果!$H$5:$H$507,MATCH(ROW()-3,对接源_01水果!$Q$5:$Q$507,0)),""),IFERROR(INDEX(对接源_02物料!$H$5:$H$460,MATCH(ROW()-3-N(对接源_01水果!$T$1),对接源_02物料!$Q$5:$Q$460,0)),"")))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6" ht="18" customHeight="1" spans="1:22">
      <c r="A46" s="10">
        <v>43</v>
      </c>
      <c r="B46" s="26" t="str">
        <f>IF(ROW()-3&lt;=N(对接源_01水果!$T$1),"01水果",IF(ROW()-3&lt;=N(对接源_01水果!$T$1)+N(对接源_02物料!$T$1),"02物料",""))</f>
        <v/>
      </c>
      <c r="C46" s="125" t="str">
        <f>IF($B46="","",IF($B46="01水果",IFERROR(INDEX(对接源_01水果!$B$5:$B$507,MATCH(ROW()-3,对接源_01水果!$Q$5:$Q$507,0)),""),IFERROR(INDEX(对接源_02物料!$B$5:$B$460,MATCH(ROW()-3-N(对接源_01水果!$T$1),对接源_02物料!$Q$5:$Q$460,0)),"")))</f>
        <v/>
      </c>
      <c r="D46" s="26" t="str">
        <f>IF($B46="","",IF($B46="01水果",IFERROR(INDEX(对接源_01水果!$C$5:$C$507,MATCH(ROW()-3,对接源_01水果!$Q$5:$Q$507,0)),""),IFERROR(INDEX(对接源_02物料!$C$5:$C$460,MATCH(ROW()-3-N(对接源_01水果!$T$1),对接源_02物料!$Q$5:$Q$460,0)),"")))</f>
        <v/>
      </c>
      <c r="E46" s="126" t="str">
        <f>IF($B46="","",IF($B46="01水果",IFERROR(INDEX(对接源_01水果!$D$5:$D$507,MATCH(ROW()-3,对接源_01水果!$Q$5:$Q$507,0)),""),IFERROR(INDEX(对接源_02物料!$D$5:$D$460,MATCH(ROW()-3-N(对接源_01水果!$T$1),对接源_02物料!$Q$5:$Q$460,0)),"")))</f>
        <v/>
      </c>
      <c r="F46" s="26" t="str">
        <f>IF($B46="","",IF($B46="01水果",IFERROR(INDEX(对接源_01水果!$E$5:$E$507,MATCH(ROW()-3,对接源_01水果!$Q$5:$Q$507,0)),""),IFERROR(INDEX(对接源_02物料!$E$5:$E$460,MATCH(ROW()-3-N(对接源_01水果!$T$1),对接源_02物料!$Q$5:$Q$460,0)),"")))</f>
        <v/>
      </c>
      <c r="G46" s="27" t="str">
        <f>IF($B46="","",IF($B46="01水果",IFERROR(INDEX(对接源_01水果!$F$5:$F$507,MATCH(ROW()-3,对接源_01水果!$Q$5:$Q$507,0)),""),IFERROR(INDEX(对接源_02物料!$F$5:$F$460,MATCH(ROW()-3-N(对接源_01水果!$T$1),对接源_02物料!$Q$5:$Q$460,0)),"")))</f>
        <v/>
      </c>
      <c r="H46" s="27" t="str">
        <f>IF($B46="","",IF($B46="01水果",IFERROR(INDEX(对接源_01水果!$G$5:$G$507,MATCH(ROW()-3,对接源_01水果!$Q$5:$Q$507,0)),""),IFERROR(INDEX(对接源_02物料!$G$5:$G$460,MATCH(ROW()-3-N(对接源_01水果!$T$1),对接源_02物料!$Q$5:$Q$460,0)),"")))</f>
        <v/>
      </c>
      <c r="I46" s="26" t="str">
        <f>IFERROR(INDEX(收入成本映射!$C$4:$C$34,MATCH($D46,收入成本映射!$B$4:$B$34,0)),"不记账")</f>
        <v>不记账</v>
      </c>
      <c r="J46" s="26" t="str">
        <f t="shared" si="0"/>
        <v/>
      </c>
      <c r="K46" s="27">
        <f t="shared" si="1"/>
        <v>0</v>
      </c>
      <c r="L46" s="27">
        <v>0</v>
      </c>
      <c r="M46" s="26" t="str">
        <f>IF(OR($I46="不记账",ROUND(N($G46),2)=0),"",IFERROR(INDEX(收入成本映射!$E$4:$E$34,MATCH($D46,收入成本映射!$B$4:$B$34,0)),""))</f>
        <v/>
      </c>
      <c r="N46" s="27" t="str">
        <f t="shared" si="2"/>
        <v/>
      </c>
      <c r="O46" s="27" t="str">
        <f t="shared" si="3"/>
        <v/>
      </c>
      <c r="P46" s="26" t="str">
        <f>IF($M46="","",IFERROR(INDEX(收入成本映射!$F$4:$F$34,MATCH($D46,收入成本映射!$B$4:$B$34,0)),""))</f>
        <v/>
      </c>
      <c r="Q46" s="27" t="str">
        <f t="shared" si="4"/>
        <v/>
      </c>
      <c r="R46" s="27" t="str">
        <f t="shared" si="5"/>
        <v/>
      </c>
      <c r="S46" s="26" t="str">
        <f t="shared" si="6"/>
        <v/>
      </c>
      <c r="T46" s="27" t="str">
        <f t="shared" si="7"/>
        <v/>
      </c>
      <c r="U46" s="27" t="str">
        <f t="shared" si="8"/>
        <v/>
      </c>
      <c r="V46" s="10" t="str">
        <f>IF($B46="","",IF($B46="01水果",IFERROR(INDEX(对接源_01水果!$H$5:$H$507,MATCH(ROW()-3,对接源_01水果!$Q$5:$Q$507,0)),""),IFERROR(INDEX(对接源_02物料!$H$5:$H$460,MATCH(ROW()-3-N(对接源_01水果!$T$1),对接源_02物料!$Q$5:$Q$460,0)),"")))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7" ht="18" customHeight="1" spans="1:22">
      <c r="A47" s="10">
        <v>44</v>
      </c>
      <c r="B47" s="26" t="str">
        <f>IF(ROW()-3&lt;=N(对接源_01水果!$T$1),"01水果",IF(ROW()-3&lt;=N(对接源_01水果!$T$1)+N(对接源_02物料!$T$1),"02物料",""))</f>
        <v/>
      </c>
      <c r="C47" s="125" t="str">
        <f>IF($B47="","",IF($B47="01水果",IFERROR(INDEX(对接源_01水果!$B$5:$B$507,MATCH(ROW()-3,对接源_01水果!$Q$5:$Q$507,0)),""),IFERROR(INDEX(对接源_02物料!$B$5:$B$460,MATCH(ROW()-3-N(对接源_01水果!$T$1),对接源_02物料!$Q$5:$Q$460,0)),"")))</f>
        <v/>
      </c>
      <c r="D47" s="26" t="str">
        <f>IF($B47="","",IF($B47="01水果",IFERROR(INDEX(对接源_01水果!$C$5:$C$507,MATCH(ROW()-3,对接源_01水果!$Q$5:$Q$507,0)),""),IFERROR(INDEX(对接源_02物料!$C$5:$C$460,MATCH(ROW()-3-N(对接源_01水果!$T$1),对接源_02物料!$Q$5:$Q$460,0)),"")))</f>
        <v/>
      </c>
      <c r="E47" s="126" t="str">
        <f>IF($B47="","",IF($B47="01水果",IFERROR(INDEX(对接源_01水果!$D$5:$D$507,MATCH(ROW()-3,对接源_01水果!$Q$5:$Q$507,0)),""),IFERROR(INDEX(对接源_02物料!$D$5:$D$460,MATCH(ROW()-3-N(对接源_01水果!$T$1),对接源_02物料!$Q$5:$Q$460,0)),"")))</f>
        <v/>
      </c>
      <c r="F47" s="26" t="str">
        <f>IF($B47="","",IF($B47="01水果",IFERROR(INDEX(对接源_01水果!$E$5:$E$507,MATCH(ROW()-3,对接源_01水果!$Q$5:$Q$507,0)),""),IFERROR(INDEX(对接源_02物料!$E$5:$E$460,MATCH(ROW()-3-N(对接源_01水果!$T$1),对接源_02物料!$Q$5:$Q$460,0)),"")))</f>
        <v/>
      </c>
      <c r="G47" s="27" t="str">
        <f>IF($B47="","",IF($B47="01水果",IFERROR(INDEX(对接源_01水果!$F$5:$F$507,MATCH(ROW()-3,对接源_01水果!$Q$5:$Q$507,0)),""),IFERROR(INDEX(对接源_02物料!$F$5:$F$460,MATCH(ROW()-3-N(对接源_01水果!$T$1),对接源_02物料!$Q$5:$Q$460,0)),"")))</f>
        <v/>
      </c>
      <c r="H47" s="27" t="str">
        <f>IF($B47="","",IF($B47="01水果",IFERROR(INDEX(对接源_01水果!$G$5:$G$507,MATCH(ROW()-3,对接源_01水果!$Q$5:$Q$507,0)),""),IFERROR(INDEX(对接源_02物料!$G$5:$G$460,MATCH(ROW()-3-N(对接源_01水果!$T$1),对接源_02物料!$Q$5:$Q$460,0)),"")))</f>
        <v/>
      </c>
      <c r="I47" s="26" t="str">
        <f>IFERROR(INDEX(收入成本映射!$C$4:$C$34,MATCH($D47,收入成本映射!$B$4:$B$34,0)),"不记账")</f>
        <v>不记账</v>
      </c>
      <c r="J47" s="26" t="str">
        <f t="shared" si="0"/>
        <v/>
      </c>
      <c r="K47" s="27">
        <f t="shared" si="1"/>
        <v>0</v>
      </c>
      <c r="L47" s="27">
        <v>0</v>
      </c>
      <c r="M47" s="26" t="str">
        <f>IF(OR($I47="不记账",ROUND(N($G47),2)=0),"",IFERROR(INDEX(收入成本映射!$E$4:$E$34,MATCH($D47,收入成本映射!$B$4:$B$34,0)),""))</f>
        <v/>
      </c>
      <c r="N47" s="27" t="str">
        <f t="shared" si="2"/>
        <v/>
      </c>
      <c r="O47" s="27" t="str">
        <f t="shared" si="3"/>
        <v/>
      </c>
      <c r="P47" s="26" t="str">
        <f>IF($M47="","",IFERROR(INDEX(收入成本映射!$F$4:$F$34,MATCH($D47,收入成本映射!$B$4:$B$34,0)),""))</f>
        <v/>
      </c>
      <c r="Q47" s="27" t="str">
        <f t="shared" si="4"/>
        <v/>
      </c>
      <c r="R47" s="27" t="str">
        <f t="shared" si="5"/>
        <v/>
      </c>
      <c r="S47" s="26" t="str">
        <f t="shared" si="6"/>
        <v/>
      </c>
      <c r="T47" s="27" t="str">
        <f t="shared" si="7"/>
        <v/>
      </c>
      <c r="U47" s="27" t="str">
        <f t="shared" si="8"/>
        <v/>
      </c>
      <c r="V47" s="10" t="str">
        <f>IF($B47="","",IF($B47="01水果",IFERROR(INDEX(对接源_01水果!$H$5:$H$507,MATCH(ROW()-3,对接源_01水果!$Q$5:$Q$507,0)),""),IFERROR(INDEX(对接源_02物料!$H$5:$H$460,MATCH(ROW()-3-N(对接源_01水果!$T$1),对接源_02物料!$Q$5:$Q$460,0)),"")))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8" ht="18" customHeight="1" spans="1:22">
      <c r="A48" s="10">
        <v>45</v>
      </c>
      <c r="B48" s="26" t="str">
        <f>IF(ROW()-3&lt;=N(对接源_01水果!$T$1),"01水果",IF(ROW()-3&lt;=N(对接源_01水果!$T$1)+N(对接源_02物料!$T$1),"02物料",""))</f>
        <v/>
      </c>
      <c r="C48" s="125" t="str">
        <f>IF($B48="","",IF($B48="01水果",IFERROR(INDEX(对接源_01水果!$B$5:$B$507,MATCH(ROW()-3,对接源_01水果!$Q$5:$Q$507,0)),""),IFERROR(INDEX(对接源_02物料!$B$5:$B$460,MATCH(ROW()-3-N(对接源_01水果!$T$1),对接源_02物料!$Q$5:$Q$460,0)),"")))</f>
        <v/>
      </c>
      <c r="D48" s="26" t="str">
        <f>IF($B48="","",IF($B48="01水果",IFERROR(INDEX(对接源_01水果!$C$5:$C$507,MATCH(ROW()-3,对接源_01水果!$Q$5:$Q$507,0)),""),IFERROR(INDEX(对接源_02物料!$C$5:$C$460,MATCH(ROW()-3-N(对接源_01水果!$T$1),对接源_02物料!$Q$5:$Q$460,0)),"")))</f>
        <v/>
      </c>
      <c r="E48" s="126" t="str">
        <f>IF($B48="","",IF($B48="01水果",IFERROR(INDEX(对接源_01水果!$D$5:$D$507,MATCH(ROW()-3,对接源_01水果!$Q$5:$Q$507,0)),""),IFERROR(INDEX(对接源_02物料!$D$5:$D$460,MATCH(ROW()-3-N(对接源_01水果!$T$1),对接源_02物料!$Q$5:$Q$460,0)),"")))</f>
        <v/>
      </c>
      <c r="F48" s="26" t="str">
        <f>IF($B48="","",IF($B48="01水果",IFERROR(INDEX(对接源_01水果!$E$5:$E$507,MATCH(ROW()-3,对接源_01水果!$Q$5:$Q$507,0)),""),IFERROR(INDEX(对接源_02物料!$E$5:$E$460,MATCH(ROW()-3-N(对接源_01水果!$T$1),对接源_02物料!$Q$5:$Q$460,0)),"")))</f>
        <v/>
      </c>
      <c r="G48" s="27" t="str">
        <f>IF($B48="","",IF($B48="01水果",IFERROR(INDEX(对接源_01水果!$F$5:$F$507,MATCH(ROW()-3,对接源_01水果!$Q$5:$Q$507,0)),""),IFERROR(INDEX(对接源_02物料!$F$5:$F$460,MATCH(ROW()-3-N(对接源_01水果!$T$1),对接源_02物料!$Q$5:$Q$460,0)),"")))</f>
        <v/>
      </c>
      <c r="H48" s="27" t="str">
        <f>IF($B48="","",IF($B48="01水果",IFERROR(INDEX(对接源_01水果!$G$5:$G$507,MATCH(ROW()-3,对接源_01水果!$Q$5:$Q$507,0)),""),IFERROR(INDEX(对接源_02物料!$G$5:$G$460,MATCH(ROW()-3-N(对接源_01水果!$T$1),对接源_02物料!$Q$5:$Q$460,0)),"")))</f>
        <v/>
      </c>
      <c r="I48" s="26" t="str">
        <f>IFERROR(INDEX(收入成本映射!$C$4:$C$34,MATCH($D48,收入成本映射!$B$4:$B$34,0)),"不记账")</f>
        <v>不记账</v>
      </c>
      <c r="J48" s="26" t="str">
        <f t="shared" si="0"/>
        <v/>
      </c>
      <c r="K48" s="27">
        <f t="shared" si="1"/>
        <v>0</v>
      </c>
      <c r="L48" s="27">
        <v>0</v>
      </c>
      <c r="M48" s="26" t="str">
        <f>IF(OR($I48="不记账",ROUND(N($G48),2)=0),"",IFERROR(INDEX(收入成本映射!$E$4:$E$34,MATCH($D48,收入成本映射!$B$4:$B$34,0)),""))</f>
        <v/>
      </c>
      <c r="N48" s="27" t="str">
        <f t="shared" si="2"/>
        <v/>
      </c>
      <c r="O48" s="27" t="str">
        <f t="shared" si="3"/>
        <v/>
      </c>
      <c r="P48" s="26" t="str">
        <f>IF($M48="","",IFERROR(INDEX(收入成本映射!$F$4:$F$34,MATCH($D48,收入成本映射!$B$4:$B$34,0)),""))</f>
        <v/>
      </c>
      <c r="Q48" s="27" t="str">
        <f t="shared" si="4"/>
        <v/>
      </c>
      <c r="R48" s="27" t="str">
        <f t="shared" si="5"/>
        <v/>
      </c>
      <c r="S48" s="26" t="str">
        <f t="shared" si="6"/>
        <v/>
      </c>
      <c r="T48" s="27" t="str">
        <f t="shared" si="7"/>
        <v/>
      </c>
      <c r="U48" s="27" t="str">
        <f t="shared" si="8"/>
        <v/>
      </c>
      <c r="V48" s="10" t="str">
        <f>IF($B48="","",IF($B48="01水果",IFERROR(INDEX(对接源_01水果!$H$5:$H$507,MATCH(ROW()-3,对接源_01水果!$Q$5:$Q$507,0)),""),IFERROR(INDEX(对接源_02物料!$H$5:$H$460,MATCH(ROW()-3-N(对接源_01水果!$T$1),对接源_02物料!$Q$5:$Q$460,0)),"")))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9" ht="18" customHeight="1" spans="1:22">
      <c r="A49" s="10">
        <v>46</v>
      </c>
      <c r="B49" s="26" t="str">
        <f>IF(ROW()-3&lt;=N(对接源_01水果!$T$1),"01水果",IF(ROW()-3&lt;=N(对接源_01水果!$T$1)+N(对接源_02物料!$T$1),"02物料",""))</f>
        <v/>
      </c>
      <c r="C49" s="125" t="str">
        <f>IF($B49="","",IF($B49="01水果",IFERROR(INDEX(对接源_01水果!$B$5:$B$507,MATCH(ROW()-3,对接源_01水果!$Q$5:$Q$507,0)),""),IFERROR(INDEX(对接源_02物料!$B$5:$B$460,MATCH(ROW()-3-N(对接源_01水果!$T$1),对接源_02物料!$Q$5:$Q$460,0)),"")))</f>
        <v/>
      </c>
      <c r="D49" s="26" t="str">
        <f>IF($B49="","",IF($B49="01水果",IFERROR(INDEX(对接源_01水果!$C$5:$C$507,MATCH(ROW()-3,对接源_01水果!$Q$5:$Q$507,0)),""),IFERROR(INDEX(对接源_02物料!$C$5:$C$460,MATCH(ROW()-3-N(对接源_01水果!$T$1),对接源_02物料!$Q$5:$Q$460,0)),"")))</f>
        <v/>
      </c>
      <c r="E49" s="126" t="str">
        <f>IF($B49="","",IF($B49="01水果",IFERROR(INDEX(对接源_01水果!$D$5:$D$507,MATCH(ROW()-3,对接源_01水果!$Q$5:$Q$507,0)),""),IFERROR(INDEX(对接源_02物料!$D$5:$D$460,MATCH(ROW()-3-N(对接源_01水果!$T$1),对接源_02物料!$Q$5:$Q$460,0)),"")))</f>
        <v/>
      </c>
      <c r="F49" s="26" t="str">
        <f>IF($B49="","",IF($B49="01水果",IFERROR(INDEX(对接源_01水果!$E$5:$E$507,MATCH(ROW()-3,对接源_01水果!$Q$5:$Q$507,0)),""),IFERROR(INDEX(对接源_02物料!$E$5:$E$460,MATCH(ROW()-3-N(对接源_01水果!$T$1),对接源_02物料!$Q$5:$Q$460,0)),"")))</f>
        <v/>
      </c>
      <c r="G49" s="27" t="str">
        <f>IF($B49="","",IF($B49="01水果",IFERROR(INDEX(对接源_01水果!$F$5:$F$507,MATCH(ROW()-3,对接源_01水果!$Q$5:$Q$507,0)),""),IFERROR(INDEX(对接源_02物料!$F$5:$F$460,MATCH(ROW()-3-N(对接源_01水果!$T$1),对接源_02物料!$Q$5:$Q$460,0)),"")))</f>
        <v/>
      </c>
      <c r="H49" s="27" t="str">
        <f>IF($B49="","",IF($B49="01水果",IFERROR(INDEX(对接源_01水果!$G$5:$G$507,MATCH(ROW()-3,对接源_01水果!$Q$5:$Q$507,0)),""),IFERROR(INDEX(对接源_02物料!$G$5:$G$460,MATCH(ROW()-3-N(对接源_01水果!$T$1),对接源_02物料!$Q$5:$Q$460,0)),"")))</f>
        <v/>
      </c>
      <c r="I49" s="26" t="str">
        <f>IFERROR(INDEX(收入成本映射!$C$4:$C$34,MATCH($D49,收入成本映射!$B$4:$B$34,0)),"不记账")</f>
        <v>不记账</v>
      </c>
      <c r="J49" s="26" t="str">
        <f t="shared" si="0"/>
        <v/>
      </c>
      <c r="K49" s="27">
        <f t="shared" si="1"/>
        <v>0</v>
      </c>
      <c r="L49" s="27">
        <v>0</v>
      </c>
      <c r="M49" s="26" t="str">
        <f>IF(OR($I49="不记账",ROUND(N($G49),2)=0),"",IFERROR(INDEX(收入成本映射!$E$4:$E$34,MATCH($D49,收入成本映射!$B$4:$B$34,0)),""))</f>
        <v/>
      </c>
      <c r="N49" s="27" t="str">
        <f t="shared" si="2"/>
        <v/>
      </c>
      <c r="O49" s="27" t="str">
        <f t="shared" si="3"/>
        <v/>
      </c>
      <c r="P49" s="26" t="str">
        <f>IF($M49="","",IFERROR(INDEX(收入成本映射!$F$4:$F$34,MATCH($D49,收入成本映射!$B$4:$B$34,0)),""))</f>
        <v/>
      </c>
      <c r="Q49" s="27" t="str">
        <f t="shared" si="4"/>
        <v/>
      </c>
      <c r="R49" s="27" t="str">
        <f t="shared" si="5"/>
        <v/>
      </c>
      <c r="S49" s="26" t="str">
        <f t="shared" si="6"/>
        <v/>
      </c>
      <c r="T49" s="27" t="str">
        <f t="shared" si="7"/>
        <v/>
      </c>
      <c r="U49" s="27" t="str">
        <f t="shared" si="8"/>
        <v/>
      </c>
      <c r="V49" s="10" t="str">
        <f>IF($B49="","",IF($B49="01水果",IFERROR(INDEX(对接源_01水果!$H$5:$H$507,MATCH(ROW()-3,对接源_01水果!$Q$5:$Q$507,0)),""),IFERROR(INDEX(对接源_02物料!$H$5:$H$460,MATCH(ROW()-3-N(对接源_01水果!$T$1),对接源_02物料!$Q$5:$Q$460,0)),"")))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0" ht="18" customHeight="1" spans="1:22">
      <c r="A50" s="10">
        <v>47</v>
      </c>
      <c r="B50" s="26" t="str">
        <f>IF(ROW()-3&lt;=N(对接源_01水果!$T$1),"01水果",IF(ROW()-3&lt;=N(对接源_01水果!$T$1)+N(对接源_02物料!$T$1),"02物料",""))</f>
        <v/>
      </c>
      <c r="C50" s="125" t="str">
        <f>IF($B50="","",IF($B50="01水果",IFERROR(INDEX(对接源_01水果!$B$5:$B$507,MATCH(ROW()-3,对接源_01水果!$Q$5:$Q$507,0)),""),IFERROR(INDEX(对接源_02物料!$B$5:$B$460,MATCH(ROW()-3-N(对接源_01水果!$T$1),对接源_02物料!$Q$5:$Q$460,0)),"")))</f>
        <v/>
      </c>
      <c r="D50" s="26" t="str">
        <f>IF($B50="","",IF($B50="01水果",IFERROR(INDEX(对接源_01水果!$C$5:$C$507,MATCH(ROW()-3,对接源_01水果!$Q$5:$Q$507,0)),""),IFERROR(INDEX(对接源_02物料!$C$5:$C$460,MATCH(ROW()-3-N(对接源_01水果!$T$1),对接源_02物料!$Q$5:$Q$460,0)),"")))</f>
        <v/>
      </c>
      <c r="E50" s="126" t="str">
        <f>IF($B50="","",IF($B50="01水果",IFERROR(INDEX(对接源_01水果!$D$5:$D$507,MATCH(ROW()-3,对接源_01水果!$Q$5:$Q$507,0)),""),IFERROR(INDEX(对接源_02物料!$D$5:$D$460,MATCH(ROW()-3-N(对接源_01水果!$T$1),对接源_02物料!$Q$5:$Q$460,0)),"")))</f>
        <v/>
      </c>
      <c r="F50" s="26" t="str">
        <f>IF($B50="","",IF($B50="01水果",IFERROR(INDEX(对接源_01水果!$E$5:$E$507,MATCH(ROW()-3,对接源_01水果!$Q$5:$Q$507,0)),""),IFERROR(INDEX(对接源_02物料!$E$5:$E$460,MATCH(ROW()-3-N(对接源_01水果!$T$1),对接源_02物料!$Q$5:$Q$460,0)),"")))</f>
        <v/>
      </c>
      <c r="G50" s="27" t="str">
        <f>IF($B50="","",IF($B50="01水果",IFERROR(INDEX(对接源_01水果!$F$5:$F$507,MATCH(ROW()-3,对接源_01水果!$Q$5:$Q$507,0)),""),IFERROR(INDEX(对接源_02物料!$F$5:$F$460,MATCH(ROW()-3-N(对接源_01水果!$T$1),对接源_02物料!$Q$5:$Q$460,0)),"")))</f>
        <v/>
      </c>
      <c r="H50" s="27" t="str">
        <f>IF($B50="","",IF($B50="01水果",IFERROR(INDEX(对接源_01水果!$G$5:$G$507,MATCH(ROW()-3,对接源_01水果!$Q$5:$Q$507,0)),""),IFERROR(INDEX(对接源_02物料!$G$5:$G$460,MATCH(ROW()-3-N(对接源_01水果!$T$1),对接源_02物料!$Q$5:$Q$460,0)),"")))</f>
        <v/>
      </c>
      <c r="I50" s="26" t="str">
        <f>IFERROR(INDEX(收入成本映射!$C$4:$C$34,MATCH($D50,收入成本映射!$B$4:$B$34,0)),"不记账")</f>
        <v>不记账</v>
      </c>
      <c r="J50" s="26" t="str">
        <f t="shared" si="0"/>
        <v/>
      </c>
      <c r="K50" s="27">
        <f t="shared" si="1"/>
        <v>0</v>
      </c>
      <c r="L50" s="27">
        <v>0</v>
      </c>
      <c r="M50" s="26" t="str">
        <f>IF(OR($I50="不记账",ROUND(N($G50),2)=0),"",IFERROR(INDEX(收入成本映射!$E$4:$E$34,MATCH($D50,收入成本映射!$B$4:$B$34,0)),""))</f>
        <v/>
      </c>
      <c r="N50" s="27" t="str">
        <f t="shared" si="2"/>
        <v/>
      </c>
      <c r="O50" s="27" t="str">
        <f t="shared" si="3"/>
        <v/>
      </c>
      <c r="P50" s="26" t="str">
        <f>IF($M50="","",IFERROR(INDEX(收入成本映射!$F$4:$F$34,MATCH($D50,收入成本映射!$B$4:$B$34,0)),""))</f>
        <v/>
      </c>
      <c r="Q50" s="27" t="str">
        <f t="shared" si="4"/>
        <v/>
      </c>
      <c r="R50" s="27" t="str">
        <f t="shared" si="5"/>
        <v/>
      </c>
      <c r="S50" s="26" t="str">
        <f t="shared" si="6"/>
        <v/>
      </c>
      <c r="T50" s="27" t="str">
        <f t="shared" si="7"/>
        <v/>
      </c>
      <c r="U50" s="27" t="str">
        <f t="shared" si="8"/>
        <v/>
      </c>
      <c r="V50" s="10" t="str">
        <f>IF($B50="","",IF($B50="01水果",IFERROR(INDEX(对接源_01水果!$H$5:$H$507,MATCH(ROW()-3,对接源_01水果!$Q$5:$Q$507,0)),""),IFERROR(INDEX(对接源_02物料!$H$5:$H$460,MATCH(ROW()-3-N(对接源_01水果!$T$1),对接源_02物料!$Q$5:$Q$460,0)),"")))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1" ht="18" customHeight="1" spans="1:22">
      <c r="A51" s="10">
        <v>48</v>
      </c>
      <c r="B51" s="26" t="str">
        <f>IF(ROW()-3&lt;=N(对接源_01水果!$T$1),"01水果",IF(ROW()-3&lt;=N(对接源_01水果!$T$1)+N(对接源_02物料!$T$1),"02物料",""))</f>
        <v/>
      </c>
      <c r="C51" s="125" t="str">
        <f>IF($B51="","",IF($B51="01水果",IFERROR(INDEX(对接源_01水果!$B$5:$B$507,MATCH(ROW()-3,对接源_01水果!$Q$5:$Q$507,0)),""),IFERROR(INDEX(对接源_02物料!$B$5:$B$460,MATCH(ROW()-3-N(对接源_01水果!$T$1),对接源_02物料!$Q$5:$Q$460,0)),"")))</f>
        <v/>
      </c>
      <c r="D51" s="26" t="str">
        <f>IF($B51="","",IF($B51="01水果",IFERROR(INDEX(对接源_01水果!$C$5:$C$507,MATCH(ROW()-3,对接源_01水果!$Q$5:$Q$507,0)),""),IFERROR(INDEX(对接源_02物料!$C$5:$C$460,MATCH(ROW()-3-N(对接源_01水果!$T$1),对接源_02物料!$Q$5:$Q$460,0)),"")))</f>
        <v/>
      </c>
      <c r="E51" s="126" t="str">
        <f>IF($B51="","",IF($B51="01水果",IFERROR(INDEX(对接源_01水果!$D$5:$D$507,MATCH(ROW()-3,对接源_01水果!$Q$5:$Q$507,0)),""),IFERROR(INDEX(对接源_02物料!$D$5:$D$460,MATCH(ROW()-3-N(对接源_01水果!$T$1),对接源_02物料!$Q$5:$Q$460,0)),"")))</f>
        <v/>
      </c>
      <c r="F51" s="26" t="str">
        <f>IF($B51="","",IF($B51="01水果",IFERROR(INDEX(对接源_01水果!$E$5:$E$507,MATCH(ROW()-3,对接源_01水果!$Q$5:$Q$507,0)),""),IFERROR(INDEX(对接源_02物料!$E$5:$E$460,MATCH(ROW()-3-N(对接源_01水果!$T$1),对接源_02物料!$Q$5:$Q$460,0)),"")))</f>
        <v/>
      </c>
      <c r="G51" s="27" t="str">
        <f>IF($B51="","",IF($B51="01水果",IFERROR(INDEX(对接源_01水果!$F$5:$F$507,MATCH(ROW()-3,对接源_01水果!$Q$5:$Q$507,0)),""),IFERROR(INDEX(对接源_02物料!$F$5:$F$460,MATCH(ROW()-3-N(对接源_01水果!$T$1),对接源_02物料!$Q$5:$Q$460,0)),"")))</f>
        <v/>
      </c>
      <c r="H51" s="27" t="str">
        <f>IF($B51="","",IF($B51="01水果",IFERROR(INDEX(对接源_01水果!$G$5:$G$507,MATCH(ROW()-3,对接源_01水果!$Q$5:$Q$507,0)),""),IFERROR(INDEX(对接源_02物料!$G$5:$G$460,MATCH(ROW()-3-N(对接源_01水果!$T$1),对接源_02物料!$Q$5:$Q$460,0)),"")))</f>
        <v/>
      </c>
      <c r="I51" s="26" t="str">
        <f>IFERROR(INDEX(收入成本映射!$C$4:$C$34,MATCH($D51,收入成本映射!$B$4:$B$34,0)),"不记账")</f>
        <v>不记账</v>
      </c>
      <c r="J51" s="26" t="str">
        <f t="shared" si="0"/>
        <v/>
      </c>
      <c r="K51" s="27">
        <f t="shared" si="1"/>
        <v>0</v>
      </c>
      <c r="L51" s="27">
        <v>0</v>
      </c>
      <c r="M51" s="26" t="str">
        <f>IF(OR($I51="不记账",ROUND(N($G51),2)=0),"",IFERROR(INDEX(收入成本映射!$E$4:$E$34,MATCH($D51,收入成本映射!$B$4:$B$34,0)),""))</f>
        <v/>
      </c>
      <c r="N51" s="27" t="str">
        <f t="shared" si="2"/>
        <v/>
      </c>
      <c r="O51" s="27" t="str">
        <f t="shared" si="3"/>
        <v/>
      </c>
      <c r="P51" s="26" t="str">
        <f>IF($M51="","",IFERROR(INDEX(收入成本映射!$F$4:$F$34,MATCH($D51,收入成本映射!$B$4:$B$34,0)),""))</f>
        <v/>
      </c>
      <c r="Q51" s="27" t="str">
        <f t="shared" si="4"/>
        <v/>
      </c>
      <c r="R51" s="27" t="str">
        <f t="shared" si="5"/>
        <v/>
      </c>
      <c r="S51" s="26" t="str">
        <f t="shared" si="6"/>
        <v/>
      </c>
      <c r="T51" s="27" t="str">
        <f t="shared" si="7"/>
        <v/>
      </c>
      <c r="U51" s="27" t="str">
        <f t="shared" si="8"/>
        <v/>
      </c>
      <c r="V51" s="10" t="str">
        <f>IF($B51="","",IF($B51="01水果",IFERROR(INDEX(对接源_01水果!$H$5:$H$507,MATCH(ROW()-3,对接源_01水果!$Q$5:$Q$507,0)),""),IFERROR(INDEX(对接源_02物料!$H$5:$H$460,MATCH(ROW()-3-N(对接源_01水果!$T$1),对接源_02物料!$Q$5:$Q$460,0)),"")))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2" ht="18" customHeight="1" spans="1:22">
      <c r="A52" s="10">
        <v>49</v>
      </c>
      <c r="B52" s="26" t="str">
        <f>IF(ROW()-3&lt;=N(对接源_01水果!$T$1),"01水果",IF(ROW()-3&lt;=N(对接源_01水果!$T$1)+N(对接源_02物料!$T$1),"02物料",""))</f>
        <v/>
      </c>
      <c r="C52" s="125" t="str">
        <f>IF($B52="","",IF($B52="01水果",IFERROR(INDEX(对接源_01水果!$B$5:$B$507,MATCH(ROW()-3,对接源_01水果!$Q$5:$Q$507,0)),""),IFERROR(INDEX(对接源_02物料!$B$5:$B$460,MATCH(ROW()-3-N(对接源_01水果!$T$1),对接源_02物料!$Q$5:$Q$460,0)),"")))</f>
        <v/>
      </c>
      <c r="D52" s="26" t="str">
        <f>IF($B52="","",IF($B52="01水果",IFERROR(INDEX(对接源_01水果!$C$5:$C$507,MATCH(ROW()-3,对接源_01水果!$Q$5:$Q$507,0)),""),IFERROR(INDEX(对接源_02物料!$C$5:$C$460,MATCH(ROW()-3-N(对接源_01水果!$T$1),对接源_02物料!$Q$5:$Q$460,0)),"")))</f>
        <v/>
      </c>
      <c r="E52" s="126" t="str">
        <f>IF($B52="","",IF($B52="01水果",IFERROR(INDEX(对接源_01水果!$D$5:$D$507,MATCH(ROW()-3,对接源_01水果!$Q$5:$Q$507,0)),""),IFERROR(INDEX(对接源_02物料!$D$5:$D$460,MATCH(ROW()-3-N(对接源_01水果!$T$1),对接源_02物料!$Q$5:$Q$460,0)),"")))</f>
        <v/>
      </c>
      <c r="F52" s="26" t="str">
        <f>IF($B52="","",IF($B52="01水果",IFERROR(INDEX(对接源_01水果!$E$5:$E$507,MATCH(ROW()-3,对接源_01水果!$Q$5:$Q$507,0)),""),IFERROR(INDEX(对接源_02物料!$E$5:$E$460,MATCH(ROW()-3-N(对接源_01水果!$T$1),对接源_02物料!$Q$5:$Q$460,0)),"")))</f>
        <v/>
      </c>
      <c r="G52" s="27" t="str">
        <f>IF($B52="","",IF($B52="01水果",IFERROR(INDEX(对接源_01水果!$F$5:$F$507,MATCH(ROW()-3,对接源_01水果!$Q$5:$Q$507,0)),""),IFERROR(INDEX(对接源_02物料!$F$5:$F$460,MATCH(ROW()-3-N(对接源_01水果!$T$1),对接源_02物料!$Q$5:$Q$460,0)),"")))</f>
        <v/>
      </c>
      <c r="H52" s="27" t="str">
        <f>IF($B52="","",IF($B52="01水果",IFERROR(INDEX(对接源_01水果!$G$5:$G$507,MATCH(ROW()-3,对接源_01水果!$Q$5:$Q$507,0)),""),IFERROR(INDEX(对接源_02物料!$G$5:$G$460,MATCH(ROW()-3-N(对接源_01水果!$T$1),对接源_02物料!$Q$5:$Q$460,0)),"")))</f>
        <v/>
      </c>
      <c r="I52" s="26" t="str">
        <f>IFERROR(INDEX(收入成本映射!$C$4:$C$34,MATCH($D52,收入成本映射!$B$4:$B$34,0)),"不记账")</f>
        <v>不记账</v>
      </c>
      <c r="J52" s="26" t="str">
        <f t="shared" si="0"/>
        <v/>
      </c>
      <c r="K52" s="27">
        <f t="shared" si="1"/>
        <v>0</v>
      </c>
      <c r="L52" s="27">
        <v>0</v>
      </c>
      <c r="M52" s="26" t="str">
        <f>IF(OR($I52="不记账",ROUND(N($G52),2)=0),"",IFERROR(INDEX(收入成本映射!$E$4:$E$34,MATCH($D52,收入成本映射!$B$4:$B$34,0)),""))</f>
        <v/>
      </c>
      <c r="N52" s="27" t="str">
        <f t="shared" si="2"/>
        <v/>
      </c>
      <c r="O52" s="27" t="str">
        <f t="shared" si="3"/>
        <v/>
      </c>
      <c r="P52" s="26" t="str">
        <f>IF($M52="","",IFERROR(INDEX(收入成本映射!$F$4:$F$34,MATCH($D52,收入成本映射!$B$4:$B$34,0)),""))</f>
        <v/>
      </c>
      <c r="Q52" s="27" t="str">
        <f t="shared" si="4"/>
        <v/>
      </c>
      <c r="R52" s="27" t="str">
        <f t="shared" si="5"/>
        <v/>
      </c>
      <c r="S52" s="26" t="str">
        <f t="shared" si="6"/>
        <v/>
      </c>
      <c r="T52" s="27" t="str">
        <f t="shared" si="7"/>
        <v/>
      </c>
      <c r="U52" s="27" t="str">
        <f t="shared" si="8"/>
        <v/>
      </c>
      <c r="V52" s="10" t="str">
        <f>IF($B52="","",IF($B52="01水果",IFERROR(INDEX(对接源_01水果!$H$5:$H$507,MATCH(ROW()-3,对接源_01水果!$Q$5:$Q$507,0)),""),IFERROR(INDEX(对接源_02物料!$H$5:$H$460,MATCH(ROW()-3-N(对接源_01水果!$T$1),对接源_02物料!$Q$5:$Q$460,0)),"")))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3" ht="18" customHeight="1" spans="1:22">
      <c r="A53" s="10">
        <v>50</v>
      </c>
      <c r="B53" s="26" t="str">
        <f>IF(ROW()-3&lt;=N(对接源_01水果!$T$1),"01水果",IF(ROW()-3&lt;=N(对接源_01水果!$T$1)+N(对接源_02物料!$T$1),"02物料",""))</f>
        <v/>
      </c>
      <c r="C53" s="125" t="str">
        <f>IF($B53="","",IF($B53="01水果",IFERROR(INDEX(对接源_01水果!$B$5:$B$507,MATCH(ROW()-3,对接源_01水果!$Q$5:$Q$507,0)),""),IFERROR(INDEX(对接源_02物料!$B$5:$B$460,MATCH(ROW()-3-N(对接源_01水果!$T$1),对接源_02物料!$Q$5:$Q$460,0)),"")))</f>
        <v/>
      </c>
      <c r="D53" s="26" t="str">
        <f>IF($B53="","",IF($B53="01水果",IFERROR(INDEX(对接源_01水果!$C$5:$C$507,MATCH(ROW()-3,对接源_01水果!$Q$5:$Q$507,0)),""),IFERROR(INDEX(对接源_02物料!$C$5:$C$460,MATCH(ROW()-3-N(对接源_01水果!$T$1),对接源_02物料!$Q$5:$Q$460,0)),"")))</f>
        <v/>
      </c>
      <c r="E53" s="126" t="str">
        <f>IF($B53="","",IF($B53="01水果",IFERROR(INDEX(对接源_01水果!$D$5:$D$507,MATCH(ROW()-3,对接源_01水果!$Q$5:$Q$507,0)),""),IFERROR(INDEX(对接源_02物料!$D$5:$D$460,MATCH(ROW()-3-N(对接源_01水果!$T$1),对接源_02物料!$Q$5:$Q$460,0)),"")))</f>
        <v/>
      </c>
      <c r="F53" s="26" t="str">
        <f>IF($B53="","",IF($B53="01水果",IFERROR(INDEX(对接源_01水果!$E$5:$E$507,MATCH(ROW()-3,对接源_01水果!$Q$5:$Q$507,0)),""),IFERROR(INDEX(对接源_02物料!$E$5:$E$460,MATCH(ROW()-3-N(对接源_01水果!$T$1),对接源_02物料!$Q$5:$Q$460,0)),"")))</f>
        <v/>
      </c>
      <c r="G53" s="27" t="str">
        <f>IF($B53="","",IF($B53="01水果",IFERROR(INDEX(对接源_01水果!$F$5:$F$507,MATCH(ROW()-3,对接源_01水果!$Q$5:$Q$507,0)),""),IFERROR(INDEX(对接源_02物料!$F$5:$F$460,MATCH(ROW()-3-N(对接源_01水果!$T$1),对接源_02物料!$Q$5:$Q$460,0)),"")))</f>
        <v/>
      </c>
      <c r="H53" s="27" t="str">
        <f>IF($B53="","",IF($B53="01水果",IFERROR(INDEX(对接源_01水果!$G$5:$G$507,MATCH(ROW()-3,对接源_01水果!$Q$5:$Q$507,0)),""),IFERROR(INDEX(对接源_02物料!$G$5:$G$460,MATCH(ROW()-3-N(对接源_01水果!$T$1),对接源_02物料!$Q$5:$Q$460,0)),"")))</f>
        <v/>
      </c>
      <c r="I53" s="26" t="str">
        <f>IFERROR(INDEX(收入成本映射!$C$4:$C$34,MATCH($D53,收入成本映射!$B$4:$B$34,0)),"不记账")</f>
        <v>不记账</v>
      </c>
      <c r="J53" s="26" t="str">
        <f t="shared" si="0"/>
        <v/>
      </c>
      <c r="K53" s="27">
        <f t="shared" si="1"/>
        <v>0</v>
      </c>
      <c r="L53" s="27">
        <v>0</v>
      </c>
      <c r="M53" s="26" t="str">
        <f>IF(OR($I53="不记账",ROUND(N($G53),2)=0),"",IFERROR(INDEX(收入成本映射!$E$4:$E$34,MATCH($D53,收入成本映射!$B$4:$B$34,0)),""))</f>
        <v/>
      </c>
      <c r="N53" s="27" t="str">
        <f t="shared" si="2"/>
        <v/>
      </c>
      <c r="O53" s="27" t="str">
        <f t="shared" si="3"/>
        <v/>
      </c>
      <c r="P53" s="26" t="str">
        <f>IF($M53="","",IFERROR(INDEX(收入成本映射!$F$4:$F$34,MATCH($D53,收入成本映射!$B$4:$B$34,0)),""))</f>
        <v/>
      </c>
      <c r="Q53" s="27" t="str">
        <f t="shared" si="4"/>
        <v/>
      </c>
      <c r="R53" s="27" t="str">
        <f t="shared" si="5"/>
        <v/>
      </c>
      <c r="S53" s="26" t="str">
        <f t="shared" si="6"/>
        <v/>
      </c>
      <c r="T53" s="27" t="str">
        <f t="shared" si="7"/>
        <v/>
      </c>
      <c r="U53" s="27" t="str">
        <f t="shared" si="8"/>
        <v/>
      </c>
      <c r="V53" s="10" t="str">
        <f>IF($B53="","",IF($B53="01水果",IFERROR(INDEX(对接源_01水果!$H$5:$H$507,MATCH(ROW()-3,对接源_01水果!$Q$5:$Q$507,0)),""),IFERROR(INDEX(对接源_02物料!$H$5:$H$460,MATCH(ROW()-3-N(对接源_01水果!$T$1),对接源_02物料!$Q$5:$Q$460,0)),"")))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4" ht="18" customHeight="1" spans="1:22">
      <c r="A54" s="10">
        <v>51</v>
      </c>
      <c r="B54" s="26" t="str">
        <f>IF(ROW()-3&lt;=N(对接源_01水果!$T$1),"01水果",IF(ROW()-3&lt;=N(对接源_01水果!$T$1)+N(对接源_02物料!$T$1),"02物料",""))</f>
        <v/>
      </c>
      <c r="C54" s="125" t="str">
        <f>IF($B54="","",IF($B54="01水果",IFERROR(INDEX(对接源_01水果!$B$5:$B$507,MATCH(ROW()-3,对接源_01水果!$Q$5:$Q$507,0)),""),IFERROR(INDEX(对接源_02物料!$B$5:$B$460,MATCH(ROW()-3-N(对接源_01水果!$T$1),对接源_02物料!$Q$5:$Q$460,0)),"")))</f>
        <v/>
      </c>
      <c r="D54" s="26" t="str">
        <f>IF($B54="","",IF($B54="01水果",IFERROR(INDEX(对接源_01水果!$C$5:$C$507,MATCH(ROW()-3,对接源_01水果!$Q$5:$Q$507,0)),""),IFERROR(INDEX(对接源_02物料!$C$5:$C$460,MATCH(ROW()-3-N(对接源_01水果!$T$1),对接源_02物料!$Q$5:$Q$460,0)),"")))</f>
        <v/>
      </c>
      <c r="E54" s="126" t="str">
        <f>IF($B54="","",IF($B54="01水果",IFERROR(INDEX(对接源_01水果!$D$5:$D$507,MATCH(ROW()-3,对接源_01水果!$Q$5:$Q$507,0)),""),IFERROR(INDEX(对接源_02物料!$D$5:$D$460,MATCH(ROW()-3-N(对接源_01水果!$T$1),对接源_02物料!$Q$5:$Q$460,0)),"")))</f>
        <v/>
      </c>
      <c r="F54" s="26" t="str">
        <f>IF($B54="","",IF($B54="01水果",IFERROR(INDEX(对接源_01水果!$E$5:$E$507,MATCH(ROW()-3,对接源_01水果!$Q$5:$Q$507,0)),""),IFERROR(INDEX(对接源_02物料!$E$5:$E$460,MATCH(ROW()-3-N(对接源_01水果!$T$1),对接源_02物料!$Q$5:$Q$460,0)),"")))</f>
        <v/>
      </c>
      <c r="G54" s="27" t="str">
        <f>IF($B54="","",IF($B54="01水果",IFERROR(INDEX(对接源_01水果!$F$5:$F$507,MATCH(ROW()-3,对接源_01水果!$Q$5:$Q$507,0)),""),IFERROR(INDEX(对接源_02物料!$F$5:$F$460,MATCH(ROW()-3-N(对接源_01水果!$T$1),对接源_02物料!$Q$5:$Q$460,0)),"")))</f>
        <v/>
      </c>
      <c r="H54" s="27" t="str">
        <f>IF($B54="","",IF($B54="01水果",IFERROR(INDEX(对接源_01水果!$G$5:$G$507,MATCH(ROW()-3,对接源_01水果!$Q$5:$Q$507,0)),""),IFERROR(INDEX(对接源_02物料!$G$5:$G$460,MATCH(ROW()-3-N(对接源_01水果!$T$1),对接源_02物料!$Q$5:$Q$460,0)),"")))</f>
        <v/>
      </c>
      <c r="I54" s="26" t="str">
        <f>IFERROR(INDEX(收入成本映射!$C$4:$C$34,MATCH($D54,收入成本映射!$B$4:$B$34,0)),"不记账")</f>
        <v>不记账</v>
      </c>
      <c r="J54" s="26" t="str">
        <f t="shared" si="0"/>
        <v/>
      </c>
      <c r="K54" s="27">
        <f t="shared" si="1"/>
        <v>0</v>
      </c>
      <c r="L54" s="27">
        <v>0</v>
      </c>
      <c r="M54" s="26" t="str">
        <f>IF(OR($I54="不记账",ROUND(N($G54),2)=0),"",IFERROR(INDEX(收入成本映射!$E$4:$E$34,MATCH($D54,收入成本映射!$B$4:$B$34,0)),""))</f>
        <v/>
      </c>
      <c r="N54" s="27" t="str">
        <f t="shared" si="2"/>
        <v/>
      </c>
      <c r="O54" s="27" t="str">
        <f t="shared" si="3"/>
        <v/>
      </c>
      <c r="P54" s="26" t="str">
        <f>IF($M54="","",IFERROR(INDEX(收入成本映射!$F$4:$F$34,MATCH($D54,收入成本映射!$B$4:$B$34,0)),""))</f>
        <v/>
      </c>
      <c r="Q54" s="27" t="str">
        <f t="shared" si="4"/>
        <v/>
      </c>
      <c r="R54" s="27" t="str">
        <f t="shared" si="5"/>
        <v/>
      </c>
      <c r="S54" s="26" t="str">
        <f t="shared" si="6"/>
        <v/>
      </c>
      <c r="T54" s="27" t="str">
        <f t="shared" si="7"/>
        <v/>
      </c>
      <c r="U54" s="27" t="str">
        <f t="shared" si="8"/>
        <v/>
      </c>
      <c r="V54" s="10" t="str">
        <f>IF($B54="","",IF($B54="01水果",IFERROR(INDEX(对接源_01水果!$H$5:$H$507,MATCH(ROW()-3,对接源_01水果!$Q$5:$Q$507,0)),""),IFERROR(INDEX(对接源_02物料!$H$5:$H$460,MATCH(ROW()-3-N(对接源_01水果!$T$1),对接源_02物料!$Q$5:$Q$460,0)),"")))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5" ht="18" customHeight="1" spans="1:22">
      <c r="A55" s="10">
        <v>52</v>
      </c>
      <c r="B55" s="26" t="str">
        <f>IF(ROW()-3&lt;=N(对接源_01水果!$T$1),"01水果",IF(ROW()-3&lt;=N(对接源_01水果!$T$1)+N(对接源_02物料!$T$1),"02物料",""))</f>
        <v/>
      </c>
      <c r="C55" s="125" t="str">
        <f>IF($B55="","",IF($B55="01水果",IFERROR(INDEX(对接源_01水果!$B$5:$B$507,MATCH(ROW()-3,对接源_01水果!$Q$5:$Q$507,0)),""),IFERROR(INDEX(对接源_02物料!$B$5:$B$460,MATCH(ROW()-3-N(对接源_01水果!$T$1),对接源_02物料!$Q$5:$Q$460,0)),"")))</f>
        <v/>
      </c>
      <c r="D55" s="26" t="str">
        <f>IF($B55="","",IF($B55="01水果",IFERROR(INDEX(对接源_01水果!$C$5:$C$507,MATCH(ROW()-3,对接源_01水果!$Q$5:$Q$507,0)),""),IFERROR(INDEX(对接源_02物料!$C$5:$C$460,MATCH(ROW()-3-N(对接源_01水果!$T$1),对接源_02物料!$Q$5:$Q$460,0)),"")))</f>
        <v/>
      </c>
      <c r="E55" s="126" t="str">
        <f>IF($B55="","",IF($B55="01水果",IFERROR(INDEX(对接源_01水果!$D$5:$D$507,MATCH(ROW()-3,对接源_01水果!$Q$5:$Q$507,0)),""),IFERROR(INDEX(对接源_02物料!$D$5:$D$460,MATCH(ROW()-3-N(对接源_01水果!$T$1),对接源_02物料!$Q$5:$Q$460,0)),"")))</f>
        <v/>
      </c>
      <c r="F55" s="26" t="str">
        <f>IF($B55="","",IF($B55="01水果",IFERROR(INDEX(对接源_01水果!$E$5:$E$507,MATCH(ROW()-3,对接源_01水果!$Q$5:$Q$507,0)),""),IFERROR(INDEX(对接源_02物料!$E$5:$E$460,MATCH(ROW()-3-N(对接源_01水果!$T$1),对接源_02物料!$Q$5:$Q$460,0)),"")))</f>
        <v/>
      </c>
      <c r="G55" s="27" t="str">
        <f>IF($B55="","",IF($B55="01水果",IFERROR(INDEX(对接源_01水果!$F$5:$F$507,MATCH(ROW()-3,对接源_01水果!$Q$5:$Q$507,0)),""),IFERROR(INDEX(对接源_02物料!$F$5:$F$460,MATCH(ROW()-3-N(对接源_01水果!$T$1),对接源_02物料!$Q$5:$Q$460,0)),"")))</f>
        <v/>
      </c>
      <c r="H55" s="27" t="str">
        <f>IF($B55="","",IF($B55="01水果",IFERROR(INDEX(对接源_01水果!$G$5:$G$507,MATCH(ROW()-3,对接源_01水果!$Q$5:$Q$507,0)),""),IFERROR(INDEX(对接源_02物料!$G$5:$G$460,MATCH(ROW()-3-N(对接源_01水果!$T$1),对接源_02物料!$Q$5:$Q$460,0)),"")))</f>
        <v/>
      </c>
      <c r="I55" s="26" t="str">
        <f>IFERROR(INDEX(收入成本映射!$C$4:$C$34,MATCH($D55,收入成本映射!$B$4:$B$34,0)),"不记账")</f>
        <v>不记账</v>
      </c>
      <c r="J55" s="26" t="str">
        <f t="shared" si="0"/>
        <v/>
      </c>
      <c r="K55" s="27">
        <f t="shared" si="1"/>
        <v>0</v>
      </c>
      <c r="L55" s="27">
        <v>0</v>
      </c>
      <c r="M55" s="26" t="str">
        <f>IF(OR($I55="不记账",ROUND(N($G55),2)=0),"",IFERROR(INDEX(收入成本映射!$E$4:$E$34,MATCH($D55,收入成本映射!$B$4:$B$34,0)),""))</f>
        <v/>
      </c>
      <c r="N55" s="27" t="str">
        <f t="shared" si="2"/>
        <v/>
      </c>
      <c r="O55" s="27" t="str">
        <f t="shared" si="3"/>
        <v/>
      </c>
      <c r="P55" s="26" t="str">
        <f>IF($M55="","",IFERROR(INDEX(收入成本映射!$F$4:$F$34,MATCH($D55,收入成本映射!$B$4:$B$34,0)),""))</f>
        <v/>
      </c>
      <c r="Q55" s="27" t="str">
        <f t="shared" si="4"/>
        <v/>
      </c>
      <c r="R55" s="27" t="str">
        <f t="shared" si="5"/>
        <v/>
      </c>
      <c r="S55" s="26" t="str">
        <f t="shared" si="6"/>
        <v/>
      </c>
      <c r="T55" s="27" t="str">
        <f t="shared" si="7"/>
        <v/>
      </c>
      <c r="U55" s="27" t="str">
        <f t="shared" si="8"/>
        <v/>
      </c>
      <c r="V55" s="10" t="str">
        <f>IF($B55="","",IF($B55="01水果",IFERROR(INDEX(对接源_01水果!$H$5:$H$507,MATCH(ROW()-3,对接源_01水果!$Q$5:$Q$507,0)),""),IFERROR(INDEX(对接源_02物料!$H$5:$H$460,MATCH(ROW()-3-N(对接源_01水果!$T$1),对接源_02物料!$Q$5:$Q$460,0)),"")))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6" ht="18" customHeight="1" spans="1:22">
      <c r="A56" s="10">
        <v>53</v>
      </c>
      <c r="B56" s="26" t="str">
        <f>IF(ROW()-3&lt;=N(对接源_01水果!$T$1),"01水果",IF(ROW()-3&lt;=N(对接源_01水果!$T$1)+N(对接源_02物料!$T$1),"02物料",""))</f>
        <v/>
      </c>
      <c r="C56" s="125" t="str">
        <f>IF($B56="","",IF($B56="01水果",IFERROR(INDEX(对接源_01水果!$B$5:$B$507,MATCH(ROW()-3,对接源_01水果!$Q$5:$Q$507,0)),""),IFERROR(INDEX(对接源_02物料!$B$5:$B$460,MATCH(ROW()-3-N(对接源_01水果!$T$1),对接源_02物料!$Q$5:$Q$460,0)),"")))</f>
        <v/>
      </c>
      <c r="D56" s="26" t="str">
        <f>IF($B56="","",IF($B56="01水果",IFERROR(INDEX(对接源_01水果!$C$5:$C$507,MATCH(ROW()-3,对接源_01水果!$Q$5:$Q$507,0)),""),IFERROR(INDEX(对接源_02物料!$C$5:$C$460,MATCH(ROW()-3-N(对接源_01水果!$T$1),对接源_02物料!$Q$5:$Q$460,0)),"")))</f>
        <v/>
      </c>
      <c r="E56" s="126" t="str">
        <f>IF($B56="","",IF($B56="01水果",IFERROR(INDEX(对接源_01水果!$D$5:$D$507,MATCH(ROW()-3,对接源_01水果!$Q$5:$Q$507,0)),""),IFERROR(INDEX(对接源_02物料!$D$5:$D$460,MATCH(ROW()-3-N(对接源_01水果!$T$1),对接源_02物料!$Q$5:$Q$460,0)),"")))</f>
        <v/>
      </c>
      <c r="F56" s="26" t="str">
        <f>IF($B56="","",IF($B56="01水果",IFERROR(INDEX(对接源_01水果!$E$5:$E$507,MATCH(ROW()-3,对接源_01水果!$Q$5:$Q$507,0)),""),IFERROR(INDEX(对接源_02物料!$E$5:$E$460,MATCH(ROW()-3-N(对接源_01水果!$T$1),对接源_02物料!$Q$5:$Q$460,0)),"")))</f>
        <v/>
      </c>
      <c r="G56" s="27" t="str">
        <f>IF($B56="","",IF($B56="01水果",IFERROR(INDEX(对接源_01水果!$F$5:$F$507,MATCH(ROW()-3,对接源_01水果!$Q$5:$Q$507,0)),""),IFERROR(INDEX(对接源_02物料!$F$5:$F$460,MATCH(ROW()-3-N(对接源_01水果!$T$1),对接源_02物料!$Q$5:$Q$460,0)),"")))</f>
        <v/>
      </c>
      <c r="H56" s="27" t="str">
        <f>IF($B56="","",IF($B56="01水果",IFERROR(INDEX(对接源_01水果!$G$5:$G$507,MATCH(ROW()-3,对接源_01水果!$Q$5:$Q$507,0)),""),IFERROR(INDEX(对接源_02物料!$G$5:$G$460,MATCH(ROW()-3-N(对接源_01水果!$T$1),对接源_02物料!$Q$5:$Q$460,0)),"")))</f>
        <v/>
      </c>
      <c r="I56" s="26" t="str">
        <f>IFERROR(INDEX(收入成本映射!$C$4:$C$34,MATCH($D56,收入成本映射!$B$4:$B$34,0)),"不记账")</f>
        <v>不记账</v>
      </c>
      <c r="J56" s="26" t="str">
        <f t="shared" si="0"/>
        <v/>
      </c>
      <c r="K56" s="27">
        <f t="shared" si="1"/>
        <v>0</v>
      </c>
      <c r="L56" s="27">
        <v>0</v>
      </c>
      <c r="M56" s="26" t="str">
        <f>IF(OR($I56="不记账",ROUND(N($G56),2)=0),"",IFERROR(INDEX(收入成本映射!$E$4:$E$34,MATCH($D56,收入成本映射!$B$4:$B$34,0)),""))</f>
        <v/>
      </c>
      <c r="N56" s="27" t="str">
        <f t="shared" si="2"/>
        <v/>
      </c>
      <c r="O56" s="27" t="str">
        <f t="shared" si="3"/>
        <v/>
      </c>
      <c r="P56" s="26" t="str">
        <f>IF($M56="","",IFERROR(INDEX(收入成本映射!$F$4:$F$34,MATCH($D56,收入成本映射!$B$4:$B$34,0)),""))</f>
        <v/>
      </c>
      <c r="Q56" s="27" t="str">
        <f t="shared" si="4"/>
        <v/>
      </c>
      <c r="R56" s="27" t="str">
        <f t="shared" si="5"/>
        <v/>
      </c>
      <c r="S56" s="26" t="str">
        <f t="shared" si="6"/>
        <v/>
      </c>
      <c r="T56" s="27" t="str">
        <f t="shared" si="7"/>
        <v/>
      </c>
      <c r="U56" s="27" t="str">
        <f t="shared" si="8"/>
        <v/>
      </c>
      <c r="V56" s="10" t="str">
        <f>IF($B56="","",IF($B56="01水果",IFERROR(INDEX(对接源_01水果!$H$5:$H$507,MATCH(ROW()-3,对接源_01水果!$Q$5:$Q$507,0)),""),IFERROR(INDEX(对接源_02物料!$H$5:$H$460,MATCH(ROW()-3-N(对接源_01水果!$T$1),对接源_02物料!$Q$5:$Q$460,0)),"")))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7" ht="18" customHeight="1" spans="1:22">
      <c r="A57" s="10">
        <v>54</v>
      </c>
      <c r="B57" s="26" t="str">
        <f>IF(ROW()-3&lt;=N(对接源_01水果!$T$1),"01水果",IF(ROW()-3&lt;=N(对接源_01水果!$T$1)+N(对接源_02物料!$T$1),"02物料",""))</f>
        <v/>
      </c>
      <c r="C57" s="125" t="str">
        <f>IF($B57="","",IF($B57="01水果",IFERROR(INDEX(对接源_01水果!$B$5:$B$507,MATCH(ROW()-3,对接源_01水果!$Q$5:$Q$507,0)),""),IFERROR(INDEX(对接源_02物料!$B$5:$B$460,MATCH(ROW()-3-N(对接源_01水果!$T$1),对接源_02物料!$Q$5:$Q$460,0)),"")))</f>
        <v/>
      </c>
      <c r="D57" s="26" t="str">
        <f>IF($B57="","",IF($B57="01水果",IFERROR(INDEX(对接源_01水果!$C$5:$C$507,MATCH(ROW()-3,对接源_01水果!$Q$5:$Q$507,0)),""),IFERROR(INDEX(对接源_02物料!$C$5:$C$460,MATCH(ROW()-3-N(对接源_01水果!$T$1),对接源_02物料!$Q$5:$Q$460,0)),"")))</f>
        <v/>
      </c>
      <c r="E57" s="126" t="str">
        <f>IF($B57="","",IF($B57="01水果",IFERROR(INDEX(对接源_01水果!$D$5:$D$507,MATCH(ROW()-3,对接源_01水果!$Q$5:$Q$507,0)),""),IFERROR(INDEX(对接源_02物料!$D$5:$D$460,MATCH(ROW()-3-N(对接源_01水果!$T$1),对接源_02物料!$Q$5:$Q$460,0)),"")))</f>
        <v/>
      </c>
      <c r="F57" s="26" t="str">
        <f>IF($B57="","",IF($B57="01水果",IFERROR(INDEX(对接源_01水果!$E$5:$E$507,MATCH(ROW()-3,对接源_01水果!$Q$5:$Q$507,0)),""),IFERROR(INDEX(对接源_02物料!$E$5:$E$460,MATCH(ROW()-3-N(对接源_01水果!$T$1),对接源_02物料!$Q$5:$Q$460,0)),"")))</f>
        <v/>
      </c>
      <c r="G57" s="27" t="str">
        <f>IF($B57="","",IF($B57="01水果",IFERROR(INDEX(对接源_01水果!$F$5:$F$507,MATCH(ROW()-3,对接源_01水果!$Q$5:$Q$507,0)),""),IFERROR(INDEX(对接源_02物料!$F$5:$F$460,MATCH(ROW()-3-N(对接源_01水果!$T$1),对接源_02物料!$Q$5:$Q$460,0)),"")))</f>
        <v/>
      </c>
      <c r="H57" s="27" t="str">
        <f>IF($B57="","",IF($B57="01水果",IFERROR(INDEX(对接源_01水果!$G$5:$G$507,MATCH(ROW()-3,对接源_01水果!$Q$5:$Q$507,0)),""),IFERROR(INDEX(对接源_02物料!$G$5:$G$460,MATCH(ROW()-3-N(对接源_01水果!$T$1),对接源_02物料!$Q$5:$Q$460,0)),"")))</f>
        <v/>
      </c>
      <c r="I57" s="26" t="str">
        <f>IFERROR(INDEX(收入成本映射!$C$4:$C$34,MATCH($D57,收入成本映射!$B$4:$B$34,0)),"不记账")</f>
        <v>不记账</v>
      </c>
      <c r="J57" s="26" t="str">
        <f t="shared" si="0"/>
        <v/>
      </c>
      <c r="K57" s="27">
        <f t="shared" si="1"/>
        <v>0</v>
      </c>
      <c r="L57" s="27">
        <v>0</v>
      </c>
      <c r="M57" s="26" t="str">
        <f>IF(OR($I57="不记账",ROUND(N($G57),2)=0),"",IFERROR(INDEX(收入成本映射!$E$4:$E$34,MATCH($D57,收入成本映射!$B$4:$B$34,0)),""))</f>
        <v/>
      </c>
      <c r="N57" s="27" t="str">
        <f t="shared" si="2"/>
        <v/>
      </c>
      <c r="O57" s="27" t="str">
        <f t="shared" si="3"/>
        <v/>
      </c>
      <c r="P57" s="26" t="str">
        <f>IF($M57="","",IFERROR(INDEX(收入成本映射!$F$4:$F$34,MATCH($D57,收入成本映射!$B$4:$B$34,0)),""))</f>
        <v/>
      </c>
      <c r="Q57" s="27" t="str">
        <f t="shared" si="4"/>
        <v/>
      </c>
      <c r="R57" s="27" t="str">
        <f t="shared" si="5"/>
        <v/>
      </c>
      <c r="S57" s="26" t="str">
        <f t="shared" si="6"/>
        <v/>
      </c>
      <c r="T57" s="27" t="str">
        <f t="shared" si="7"/>
        <v/>
      </c>
      <c r="U57" s="27" t="str">
        <f t="shared" si="8"/>
        <v/>
      </c>
      <c r="V57" s="10" t="str">
        <f>IF($B57="","",IF($B57="01水果",IFERROR(INDEX(对接源_01水果!$H$5:$H$507,MATCH(ROW()-3,对接源_01水果!$Q$5:$Q$507,0)),""),IFERROR(INDEX(对接源_02物料!$H$5:$H$460,MATCH(ROW()-3-N(对接源_01水果!$T$1),对接源_02物料!$Q$5:$Q$460,0)),"")))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8" ht="18" customHeight="1" spans="1:22">
      <c r="A58" s="10">
        <v>55</v>
      </c>
      <c r="B58" s="26" t="str">
        <f>IF(ROW()-3&lt;=N(对接源_01水果!$T$1),"01水果",IF(ROW()-3&lt;=N(对接源_01水果!$T$1)+N(对接源_02物料!$T$1),"02物料",""))</f>
        <v/>
      </c>
      <c r="C58" s="125" t="str">
        <f>IF($B58="","",IF($B58="01水果",IFERROR(INDEX(对接源_01水果!$B$5:$B$507,MATCH(ROW()-3,对接源_01水果!$Q$5:$Q$507,0)),""),IFERROR(INDEX(对接源_02物料!$B$5:$B$460,MATCH(ROW()-3-N(对接源_01水果!$T$1),对接源_02物料!$Q$5:$Q$460,0)),"")))</f>
        <v/>
      </c>
      <c r="D58" s="26" t="str">
        <f>IF($B58="","",IF($B58="01水果",IFERROR(INDEX(对接源_01水果!$C$5:$C$507,MATCH(ROW()-3,对接源_01水果!$Q$5:$Q$507,0)),""),IFERROR(INDEX(对接源_02物料!$C$5:$C$460,MATCH(ROW()-3-N(对接源_01水果!$T$1),对接源_02物料!$Q$5:$Q$460,0)),"")))</f>
        <v/>
      </c>
      <c r="E58" s="126" t="str">
        <f>IF($B58="","",IF($B58="01水果",IFERROR(INDEX(对接源_01水果!$D$5:$D$507,MATCH(ROW()-3,对接源_01水果!$Q$5:$Q$507,0)),""),IFERROR(INDEX(对接源_02物料!$D$5:$D$460,MATCH(ROW()-3-N(对接源_01水果!$T$1),对接源_02物料!$Q$5:$Q$460,0)),"")))</f>
        <v/>
      </c>
      <c r="F58" s="26" t="str">
        <f>IF($B58="","",IF($B58="01水果",IFERROR(INDEX(对接源_01水果!$E$5:$E$507,MATCH(ROW()-3,对接源_01水果!$Q$5:$Q$507,0)),""),IFERROR(INDEX(对接源_02物料!$E$5:$E$460,MATCH(ROW()-3-N(对接源_01水果!$T$1),对接源_02物料!$Q$5:$Q$460,0)),"")))</f>
        <v/>
      </c>
      <c r="G58" s="27" t="str">
        <f>IF($B58="","",IF($B58="01水果",IFERROR(INDEX(对接源_01水果!$F$5:$F$507,MATCH(ROW()-3,对接源_01水果!$Q$5:$Q$507,0)),""),IFERROR(INDEX(对接源_02物料!$F$5:$F$460,MATCH(ROW()-3-N(对接源_01水果!$T$1),对接源_02物料!$Q$5:$Q$460,0)),"")))</f>
        <v/>
      </c>
      <c r="H58" s="27" t="str">
        <f>IF($B58="","",IF($B58="01水果",IFERROR(INDEX(对接源_01水果!$G$5:$G$507,MATCH(ROW()-3,对接源_01水果!$Q$5:$Q$507,0)),""),IFERROR(INDEX(对接源_02物料!$G$5:$G$460,MATCH(ROW()-3-N(对接源_01水果!$T$1),对接源_02物料!$Q$5:$Q$460,0)),"")))</f>
        <v/>
      </c>
      <c r="I58" s="26" t="str">
        <f>IFERROR(INDEX(收入成本映射!$C$4:$C$34,MATCH($D58,收入成本映射!$B$4:$B$34,0)),"不记账")</f>
        <v>不记账</v>
      </c>
      <c r="J58" s="26" t="str">
        <f t="shared" si="0"/>
        <v/>
      </c>
      <c r="K58" s="27">
        <f t="shared" si="1"/>
        <v>0</v>
      </c>
      <c r="L58" s="27">
        <v>0</v>
      </c>
      <c r="M58" s="26" t="str">
        <f>IF(OR($I58="不记账",ROUND(N($G58),2)=0),"",IFERROR(INDEX(收入成本映射!$E$4:$E$34,MATCH($D58,收入成本映射!$B$4:$B$34,0)),""))</f>
        <v/>
      </c>
      <c r="N58" s="27" t="str">
        <f t="shared" si="2"/>
        <v/>
      </c>
      <c r="O58" s="27" t="str">
        <f t="shared" si="3"/>
        <v/>
      </c>
      <c r="P58" s="26" t="str">
        <f>IF($M58="","",IFERROR(INDEX(收入成本映射!$F$4:$F$34,MATCH($D58,收入成本映射!$B$4:$B$34,0)),""))</f>
        <v/>
      </c>
      <c r="Q58" s="27" t="str">
        <f t="shared" si="4"/>
        <v/>
      </c>
      <c r="R58" s="27" t="str">
        <f t="shared" si="5"/>
        <v/>
      </c>
      <c r="S58" s="26" t="str">
        <f t="shared" si="6"/>
        <v/>
      </c>
      <c r="T58" s="27" t="str">
        <f t="shared" si="7"/>
        <v/>
      </c>
      <c r="U58" s="27" t="str">
        <f t="shared" si="8"/>
        <v/>
      </c>
      <c r="V58" s="10" t="str">
        <f>IF($B58="","",IF($B58="01水果",IFERROR(INDEX(对接源_01水果!$H$5:$H$507,MATCH(ROW()-3,对接源_01水果!$Q$5:$Q$507,0)),""),IFERROR(INDEX(对接源_02物料!$H$5:$H$460,MATCH(ROW()-3-N(对接源_01水果!$T$1),对接源_02物料!$Q$5:$Q$460,0)),"")))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9" ht="18" customHeight="1" spans="1:22">
      <c r="A59" s="10">
        <v>56</v>
      </c>
      <c r="B59" s="26" t="str">
        <f>IF(ROW()-3&lt;=N(对接源_01水果!$T$1),"01水果",IF(ROW()-3&lt;=N(对接源_01水果!$T$1)+N(对接源_02物料!$T$1),"02物料",""))</f>
        <v/>
      </c>
      <c r="C59" s="125" t="str">
        <f>IF($B59="","",IF($B59="01水果",IFERROR(INDEX(对接源_01水果!$B$5:$B$507,MATCH(ROW()-3,对接源_01水果!$Q$5:$Q$507,0)),""),IFERROR(INDEX(对接源_02物料!$B$5:$B$460,MATCH(ROW()-3-N(对接源_01水果!$T$1),对接源_02物料!$Q$5:$Q$460,0)),"")))</f>
        <v/>
      </c>
      <c r="D59" s="26" t="str">
        <f>IF($B59="","",IF($B59="01水果",IFERROR(INDEX(对接源_01水果!$C$5:$C$507,MATCH(ROW()-3,对接源_01水果!$Q$5:$Q$507,0)),""),IFERROR(INDEX(对接源_02物料!$C$5:$C$460,MATCH(ROW()-3-N(对接源_01水果!$T$1),对接源_02物料!$Q$5:$Q$460,0)),"")))</f>
        <v/>
      </c>
      <c r="E59" s="126" t="str">
        <f>IF($B59="","",IF($B59="01水果",IFERROR(INDEX(对接源_01水果!$D$5:$D$507,MATCH(ROW()-3,对接源_01水果!$Q$5:$Q$507,0)),""),IFERROR(INDEX(对接源_02物料!$D$5:$D$460,MATCH(ROW()-3-N(对接源_01水果!$T$1),对接源_02物料!$Q$5:$Q$460,0)),"")))</f>
        <v/>
      </c>
      <c r="F59" s="26" t="str">
        <f>IF($B59="","",IF($B59="01水果",IFERROR(INDEX(对接源_01水果!$E$5:$E$507,MATCH(ROW()-3,对接源_01水果!$Q$5:$Q$507,0)),""),IFERROR(INDEX(对接源_02物料!$E$5:$E$460,MATCH(ROW()-3-N(对接源_01水果!$T$1),对接源_02物料!$Q$5:$Q$460,0)),"")))</f>
        <v/>
      </c>
      <c r="G59" s="27" t="str">
        <f>IF($B59="","",IF($B59="01水果",IFERROR(INDEX(对接源_01水果!$F$5:$F$507,MATCH(ROW()-3,对接源_01水果!$Q$5:$Q$507,0)),""),IFERROR(INDEX(对接源_02物料!$F$5:$F$460,MATCH(ROW()-3-N(对接源_01水果!$T$1),对接源_02物料!$Q$5:$Q$460,0)),"")))</f>
        <v/>
      </c>
      <c r="H59" s="27" t="str">
        <f>IF($B59="","",IF($B59="01水果",IFERROR(INDEX(对接源_01水果!$G$5:$G$507,MATCH(ROW()-3,对接源_01水果!$Q$5:$Q$507,0)),""),IFERROR(INDEX(对接源_02物料!$G$5:$G$460,MATCH(ROW()-3-N(对接源_01水果!$T$1),对接源_02物料!$Q$5:$Q$460,0)),"")))</f>
        <v/>
      </c>
      <c r="I59" s="26" t="str">
        <f>IFERROR(INDEX(收入成本映射!$C$4:$C$34,MATCH($D59,收入成本映射!$B$4:$B$34,0)),"不记账")</f>
        <v>不记账</v>
      </c>
      <c r="J59" s="26" t="str">
        <f t="shared" si="0"/>
        <v/>
      </c>
      <c r="K59" s="27">
        <f t="shared" si="1"/>
        <v>0</v>
      </c>
      <c r="L59" s="27">
        <v>0</v>
      </c>
      <c r="M59" s="26" t="str">
        <f>IF(OR($I59="不记账",ROUND(N($G59),2)=0),"",IFERROR(INDEX(收入成本映射!$E$4:$E$34,MATCH($D59,收入成本映射!$B$4:$B$34,0)),""))</f>
        <v/>
      </c>
      <c r="N59" s="27" t="str">
        <f t="shared" si="2"/>
        <v/>
      </c>
      <c r="O59" s="27" t="str">
        <f t="shared" si="3"/>
        <v/>
      </c>
      <c r="P59" s="26" t="str">
        <f>IF($M59="","",IFERROR(INDEX(收入成本映射!$F$4:$F$34,MATCH($D59,收入成本映射!$B$4:$B$34,0)),""))</f>
        <v/>
      </c>
      <c r="Q59" s="27" t="str">
        <f t="shared" si="4"/>
        <v/>
      </c>
      <c r="R59" s="27" t="str">
        <f t="shared" si="5"/>
        <v/>
      </c>
      <c r="S59" s="26" t="str">
        <f t="shared" si="6"/>
        <v/>
      </c>
      <c r="T59" s="27" t="str">
        <f t="shared" si="7"/>
        <v/>
      </c>
      <c r="U59" s="27" t="str">
        <f t="shared" si="8"/>
        <v/>
      </c>
      <c r="V59" s="10" t="str">
        <f>IF($B59="","",IF($B59="01水果",IFERROR(INDEX(对接源_01水果!$H$5:$H$507,MATCH(ROW()-3,对接源_01水果!$Q$5:$Q$507,0)),""),IFERROR(INDEX(对接源_02物料!$H$5:$H$460,MATCH(ROW()-3-N(对接源_01水果!$T$1),对接源_02物料!$Q$5:$Q$460,0)),"")))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0" ht="18" customHeight="1" spans="1:22">
      <c r="A60" s="10">
        <v>57</v>
      </c>
      <c r="B60" s="26" t="str">
        <f>IF(ROW()-3&lt;=N(对接源_01水果!$T$1),"01水果",IF(ROW()-3&lt;=N(对接源_01水果!$T$1)+N(对接源_02物料!$T$1),"02物料",""))</f>
        <v/>
      </c>
      <c r="C60" s="125" t="str">
        <f>IF($B60="","",IF($B60="01水果",IFERROR(INDEX(对接源_01水果!$B$5:$B$507,MATCH(ROW()-3,对接源_01水果!$Q$5:$Q$507,0)),""),IFERROR(INDEX(对接源_02物料!$B$5:$B$460,MATCH(ROW()-3-N(对接源_01水果!$T$1),对接源_02物料!$Q$5:$Q$460,0)),"")))</f>
        <v/>
      </c>
      <c r="D60" s="26" t="str">
        <f>IF($B60="","",IF($B60="01水果",IFERROR(INDEX(对接源_01水果!$C$5:$C$507,MATCH(ROW()-3,对接源_01水果!$Q$5:$Q$507,0)),""),IFERROR(INDEX(对接源_02物料!$C$5:$C$460,MATCH(ROW()-3-N(对接源_01水果!$T$1),对接源_02物料!$Q$5:$Q$460,0)),"")))</f>
        <v/>
      </c>
      <c r="E60" s="126" t="str">
        <f>IF($B60="","",IF($B60="01水果",IFERROR(INDEX(对接源_01水果!$D$5:$D$507,MATCH(ROW()-3,对接源_01水果!$Q$5:$Q$507,0)),""),IFERROR(INDEX(对接源_02物料!$D$5:$D$460,MATCH(ROW()-3-N(对接源_01水果!$T$1),对接源_02物料!$Q$5:$Q$460,0)),"")))</f>
        <v/>
      </c>
      <c r="F60" s="26" t="str">
        <f>IF($B60="","",IF($B60="01水果",IFERROR(INDEX(对接源_01水果!$E$5:$E$507,MATCH(ROW()-3,对接源_01水果!$Q$5:$Q$507,0)),""),IFERROR(INDEX(对接源_02物料!$E$5:$E$460,MATCH(ROW()-3-N(对接源_01水果!$T$1),对接源_02物料!$Q$5:$Q$460,0)),"")))</f>
        <v/>
      </c>
      <c r="G60" s="27" t="str">
        <f>IF($B60="","",IF($B60="01水果",IFERROR(INDEX(对接源_01水果!$F$5:$F$507,MATCH(ROW()-3,对接源_01水果!$Q$5:$Q$507,0)),""),IFERROR(INDEX(对接源_02物料!$F$5:$F$460,MATCH(ROW()-3-N(对接源_01水果!$T$1),对接源_02物料!$Q$5:$Q$460,0)),"")))</f>
        <v/>
      </c>
      <c r="H60" s="27" t="str">
        <f>IF($B60="","",IF($B60="01水果",IFERROR(INDEX(对接源_01水果!$G$5:$G$507,MATCH(ROW()-3,对接源_01水果!$Q$5:$Q$507,0)),""),IFERROR(INDEX(对接源_02物料!$G$5:$G$460,MATCH(ROW()-3-N(对接源_01水果!$T$1),对接源_02物料!$Q$5:$Q$460,0)),"")))</f>
        <v/>
      </c>
      <c r="I60" s="26" t="str">
        <f>IFERROR(INDEX(收入成本映射!$C$4:$C$34,MATCH($D60,收入成本映射!$B$4:$B$34,0)),"不记账")</f>
        <v>不记账</v>
      </c>
      <c r="J60" s="26" t="str">
        <f t="shared" si="0"/>
        <v/>
      </c>
      <c r="K60" s="27">
        <f t="shared" si="1"/>
        <v>0</v>
      </c>
      <c r="L60" s="27">
        <v>0</v>
      </c>
      <c r="M60" s="26" t="str">
        <f>IF(OR($I60="不记账",ROUND(N($G60),2)=0),"",IFERROR(INDEX(收入成本映射!$E$4:$E$34,MATCH($D60,收入成本映射!$B$4:$B$34,0)),""))</f>
        <v/>
      </c>
      <c r="N60" s="27" t="str">
        <f t="shared" si="2"/>
        <v/>
      </c>
      <c r="O60" s="27" t="str">
        <f t="shared" si="3"/>
        <v/>
      </c>
      <c r="P60" s="26" t="str">
        <f>IF($M60="","",IFERROR(INDEX(收入成本映射!$F$4:$F$34,MATCH($D60,收入成本映射!$B$4:$B$34,0)),""))</f>
        <v/>
      </c>
      <c r="Q60" s="27" t="str">
        <f t="shared" si="4"/>
        <v/>
      </c>
      <c r="R60" s="27" t="str">
        <f t="shared" si="5"/>
        <v/>
      </c>
      <c r="S60" s="26" t="str">
        <f t="shared" si="6"/>
        <v/>
      </c>
      <c r="T60" s="27" t="str">
        <f t="shared" si="7"/>
        <v/>
      </c>
      <c r="U60" s="27" t="str">
        <f t="shared" si="8"/>
        <v/>
      </c>
      <c r="V60" s="10" t="str">
        <f>IF($B60="","",IF($B60="01水果",IFERROR(INDEX(对接源_01水果!$H$5:$H$507,MATCH(ROW()-3,对接源_01水果!$Q$5:$Q$507,0)),""),IFERROR(INDEX(对接源_02物料!$H$5:$H$460,MATCH(ROW()-3-N(对接源_01水果!$T$1),对接源_02物料!$Q$5:$Q$460,0)),"")))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1" ht="18" customHeight="1" spans="1:22">
      <c r="A61" s="10">
        <v>58</v>
      </c>
      <c r="B61" s="26" t="str">
        <f>IF(ROW()-3&lt;=N(对接源_01水果!$T$1),"01水果",IF(ROW()-3&lt;=N(对接源_01水果!$T$1)+N(对接源_02物料!$T$1),"02物料",""))</f>
        <v/>
      </c>
      <c r="C61" s="125" t="str">
        <f>IF($B61="","",IF($B61="01水果",IFERROR(INDEX(对接源_01水果!$B$5:$B$507,MATCH(ROW()-3,对接源_01水果!$Q$5:$Q$507,0)),""),IFERROR(INDEX(对接源_02物料!$B$5:$B$460,MATCH(ROW()-3-N(对接源_01水果!$T$1),对接源_02物料!$Q$5:$Q$460,0)),"")))</f>
        <v/>
      </c>
      <c r="D61" s="26" t="str">
        <f>IF($B61="","",IF($B61="01水果",IFERROR(INDEX(对接源_01水果!$C$5:$C$507,MATCH(ROW()-3,对接源_01水果!$Q$5:$Q$507,0)),""),IFERROR(INDEX(对接源_02物料!$C$5:$C$460,MATCH(ROW()-3-N(对接源_01水果!$T$1),对接源_02物料!$Q$5:$Q$460,0)),"")))</f>
        <v/>
      </c>
      <c r="E61" s="126" t="str">
        <f>IF($B61="","",IF($B61="01水果",IFERROR(INDEX(对接源_01水果!$D$5:$D$507,MATCH(ROW()-3,对接源_01水果!$Q$5:$Q$507,0)),""),IFERROR(INDEX(对接源_02物料!$D$5:$D$460,MATCH(ROW()-3-N(对接源_01水果!$T$1),对接源_02物料!$Q$5:$Q$460,0)),"")))</f>
        <v/>
      </c>
      <c r="F61" s="26" t="str">
        <f>IF($B61="","",IF($B61="01水果",IFERROR(INDEX(对接源_01水果!$E$5:$E$507,MATCH(ROW()-3,对接源_01水果!$Q$5:$Q$507,0)),""),IFERROR(INDEX(对接源_02物料!$E$5:$E$460,MATCH(ROW()-3-N(对接源_01水果!$T$1),对接源_02物料!$Q$5:$Q$460,0)),"")))</f>
        <v/>
      </c>
      <c r="G61" s="27" t="str">
        <f>IF($B61="","",IF($B61="01水果",IFERROR(INDEX(对接源_01水果!$F$5:$F$507,MATCH(ROW()-3,对接源_01水果!$Q$5:$Q$507,0)),""),IFERROR(INDEX(对接源_02物料!$F$5:$F$460,MATCH(ROW()-3-N(对接源_01水果!$T$1),对接源_02物料!$Q$5:$Q$460,0)),"")))</f>
        <v/>
      </c>
      <c r="H61" s="27" t="str">
        <f>IF($B61="","",IF($B61="01水果",IFERROR(INDEX(对接源_01水果!$G$5:$G$507,MATCH(ROW()-3,对接源_01水果!$Q$5:$Q$507,0)),""),IFERROR(INDEX(对接源_02物料!$G$5:$G$460,MATCH(ROW()-3-N(对接源_01水果!$T$1),对接源_02物料!$Q$5:$Q$460,0)),"")))</f>
        <v/>
      </c>
      <c r="I61" s="26" t="str">
        <f>IFERROR(INDEX(收入成本映射!$C$4:$C$34,MATCH($D61,收入成本映射!$B$4:$B$34,0)),"不记账")</f>
        <v>不记账</v>
      </c>
      <c r="J61" s="26" t="str">
        <f t="shared" si="0"/>
        <v/>
      </c>
      <c r="K61" s="27">
        <f t="shared" si="1"/>
        <v>0</v>
      </c>
      <c r="L61" s="27">
        <v>0</v>
      </c>
      <c r="M61" s="26" t="str">
        <f>IF(OR($I61="不记账",ROUND(N($G61),2)=0),"",IFERROR(INDEX(收入成本映射!$E$4:$E$34,MATCH($D61,收入成本映射!$B$4:$B$34,0)),""))</f>
        <v/>
      </c>
      <c r="N61" s="27" t="str">
        <f t="shared" si="2"/>
        <v/>
      </c>
      <c r="O61" s="27" t="str">
        <f t="shared" si="3"/>
        <v/>
      </c>
      <c r="P61" s="26" t="str">
        <f>IF($M61="","",IFERROR(INDEX(收入成本映射!$F$4:$F$34,MATCH($D61,收入成本映射!$B$4:$B$34,0)),""))</f>
        <v/>
      </c>
      <c r="Q61" s="27" t="str">
        <f t="shared" si="4"/>
        <v/>
      </c>
      <c r="R61" s="27" t="str">
        <f t="shared" si="5"/>
        <v/>
      </c>
      <c r="S61" s="26" t="str">
        <f t="shared" si="6"/>
        <v/>
      </c>
      <c r="T61" s="27" t="str">
        <f t="shared" si="7"/>
        <v/>
      </c>
      <c r="U61" s="27" t="str">
        <f t="shared" si="8"/>
        <v/>
      </c>
      <c r="V61" s="10" t="str">
        <f>IF($B61="","",IF($B61="01水果",IFERROR(INDEX(对接源_01水果!$H$5:$H$507,MATCH(ROW()-3,对接源_01水果!$Q$5:$Q$507,0)),""),IFERROR(INDEX(对接源_02物料!$H$5:$H$460,MATCH(ROW()-3-N(对接源_01水果!$T$1),对接源_02物料!$Q$5:$Q$460,0)),"")))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2" ht="18" customHeight="1" spans="1:22">
      <c r="A62" s="10">
        <v>59</v>
      </c>
      <c r="B62" s="26" t="str">
        <f>IF(ROW()-3&lt;=N(对接源_01水果!$T$1),"01水果",IF(ROW()-3&lt;=N(对接源_01水果!$T$1)+N(对接源_02物料!$T$1),"02物料",""))</f>
        <v/>
      </c>
      <c r="C62" s="125" t="str">
        <f>IF($B62="","",IF($B62="01水果",IFERROR(INDEX(对接源_01水果!$B$5:$B$507,MATCH(ROW()-3,对接源_01水果!$Q$5:$Q$507,0)),""),IFERROR(INDEX(对接源_02物料!$B$5:$B$460,MATCH(ROW()-3-N(对接源_01水果!$T$1),对接源_02物料!$Q$5:$Q$460,0)),"")))</f>
        <v/>
      </c>
      <c r="D62" s="26" t="str">
        <f>IF($B62="","",IF($B62="01水果",IFERROR(INDEX(对接源_01水果!$C$5:$C$507,MATCH(ROW()-3,对接源_01水果!$Q$5:$Q$507,0)),""),IFERROR(INDEX(对接源_02物料!$C$5:$C$460,MATCH(ROW()-3-N(对接源_01水果!$T$1),对接源_02物料!$Q$5:$Q$460,0)),"")))</f>
        <v/>
      </c>
      <c r="E62" s="126" t="str">
        <f>IF($B62="","",IF($B62="01水果",IFERROR(INDEX(对接源_01水果!$D$5:$D$507,MATCH(ROW()-3,对接源_01水果!$Q$5:$Q$507,0)),""),IFERROR(INDEX(对接源_02物料!$D$5:$D$460,MATCH(ROW()-3-N(对接源_01水果!$T$1),对接源_02物料!$Q$5:$Q$460,0)),"")))</f>
        <v/>
      </c>
      <c r="F62" s="26" t="str">
        <f>IF($B62="","",IF($B62="01水果",IFERROR(INDEX(对接源_01水果!$E$5:$E$507,MATCH(ROW()-3,对接源_01水果!$Q$5:$Q$507,0)),""),IFERROR(INDEX(对接源_02物料!$E$5:$E$460,MATCH(ROW()-3-N(对接源_01水果!$T$1),对接源_02物料!$Q$5:$Q$460,0)),"")))</f>
        <v/>
      </c>
      <c r="G62" s="27" t="str">
        <f>IF($B62="","",IF($B62="01水果",IFERROR(INDEX(对接源_01水果!$F$5:$F$507,MATCH(ROW()-3,对接源_01水果!$Q$5:$Q$507,0)),""),IFERROR(INDEX(对接源_02物料!$F$5:$F$460,MATCH(ROW()-3-N(对接源_01水果!$T$1),对接源_02物料!$Q$5:$Q$460,0)),"")))</f>
        <v/>
      </c>
      <c r="H62" s="27" t="str">
        <f>IF($B62="","",IF($B62="01水果",IFERROR(INDEX(对接源_01水果!$G$5:$G$507,MATCH(ROW()-3,对接源_01水果!$Q$5:$Q$507,0)),""),IFERROR(INDEX(对接源_02物料!$G$5:$G$460,MATCH(ROW()-3-N(对接源_01水果!$T$1),对接源_02物料!$Q$5:$Q$460,0)),"")))</f>
        <v/>
      </c>
      <c r="I62" s="26" t="str">
        <f>IFERROR(INDEX(收入成本映射!$C$4:$C$34,MATCH($D62,收入成本映射!$B$4:$B$34,0)),"不记账")</f>
        <v>不记账</v>
      </c>
      <c r="J62" s="26" t="str">
        <f t="shared" si="0"/>
        <v/>
      </c>
      <c r="K62" s="27">
        <f t="shared" si="1"/>
        <v>0</v>
      </c>
      <c r="L62" s="27">
        <v>0</v>
      </c>
      <c r="M62" s="26" t="str">
        <f>IF(OR($I62="不记账",ROUND(N($G62),2)=0),"",IFERROR(INDEX(收入成本映射!$E$4:$E$34,MATCH($D62,收入成本映射!$B$4:$B$34,0)),""))</f>
        <v/>
      </c>
      <c r="N62" s="27" t="str">
        <f t="shared" si="2"/>
        <v/>
      </c>
      <c r="O62" s="27" t="str">
        <f t="shared" si="3"/>
        <v/>
      </c>
      <c r="P62" s="26" t="str">
        <f>IF($M62="","",IFERROR(INDEX(收入成本映射!$F$4:$F$34,MATCH($D62,收入成本映射!$B$4:$B$34,0)),""))</f>
        <v/>
      </c>
      <c r="Q62" s="27" t="str">
        <f t="shared" si="4"/>
        <v/>
      </c>
      <c r="R62" s="27" t="str">
        <f t="shared" si="5"/>
        <v/>
      </c>
      <c r="S62" s="26" t="str">
        <f t="shared" si="6"/>
        <v/>
      </c>
      <c r="T62" s="27" t="str">
        <f t="shared" si="7"/>
        <v/>
      </c>
      <c r="U62" s="27" t="str">
        <f t="shared" si="8"/>
        <v/>
      </c>
      <c r="V62" s="10" t="str">
        <f>IF($B62="","",IF($B62="01水果",IFERROR(INDEX(对接源_01水果!$H$5:$H$507,MATCH(ROW()-3,对接源_01水果!$Q$5:$Q$507,0)),""),IFERROR(INDEX(对接源_02物料!$H$5:$H$460,MATCH(ROW()-3-N(对接源_01水果!$T$1),对接源_02物料!$Q$5:$Q$460,0)),"")))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3" ht="18" customHeight="1" spans="1:22">
      <c r="A63" s="10">
        <v>60</v>
      </c>
      <c r="B63" s="26" t="str">
        <f>IF(ROW()-3&lt;=N(对接源_01水果!$T$1),"01水果",IF(ROW()-3&lt;=N(对接源_01水果!$T$1)+N(对接源_02物料!$T$1),"02物料",""))</f>
        <v/>
      </c>
      <c r="C63" s="125" t="str">
        <f>IF($B63="","",IF($B63="01水果",IFERROR(INDEX(对接源_01水果!$B$5:$B$507,MATCH(ROW()-3,对接源_01水果!$Q$5:$Q$507,0)),""),IFERROR(INDEX(对接源_02物料!$B$5:$B$460,MATCH(ROW()-3-N(对接源_01水果!$T$1),对接源_02物料!$Q$5:$Q$460,0)),"")))</f>
        <v/>
      </c>
      <c r="D63" s="26" t="str">
        <f>IF($B63="","",IF($B63="01水果",IFERROR(INDEX(对接源_01水果!$C$5:$C$507,MATCH(ROW()-3,对接源_01水果!$Q$5:$Q$507,0)),""),IFERROR(INDEX(对接源_02物料!$C$5:$C$460,MATCH(ROW()-3-N(对接源_01水果!$T$1),对接源_02物料!$Q$5:$Q$460,0)),"")))</f>
        <v/>
      </c>
      <c r="E63" s="126" t="str">
        <f>IF($B63="","",IF($B63="01水果",IFERROR(INDEX(对接源_01水果!$D$5:$D$507,MATCH(ROW()-3,对接源_01水果!$Q$5:$Q$507,0)),""),IFERROR(INDEX(对接源_02物料!$D$5:$D$460,MATCH(ROW()-3-N(对接源_01水果!$T$1),对接源_02物料!$Q$5:$Q$460,0)),"")))</f>
        <v/>
      </c>
      <c r="F63" s="26" t="str">
        <f>IF($B63="","",IF($B63="01水果",IFERROR(INDEX(对接源_01水果!$E$5:$E$507,MATCH(ROW()-3,对接源_01水果!$Q$5:$Q$507,0)),""),IFERROR(INDEX(对接源_02物料!$E$5:$E$460,MATCH(ROW()-3-N(对接源_01水果!$T$1),对接源_02物料!$Q$5:$Q$460,0)),"")))</f>
        <v/>
      </c>
      <c r="G63" s="27" t="str">
        <f>IF($B63="","",IF($B63="01水果",IFERROR(INDEX(对接源_01水果!$F$5:$F$507,MATCH(ROW()-3,对接源_01水果!$Q$5:$Q$507,0)),""),IFERROR(INDEX(对接源_02物料!$F$5:$F$460,MATCH(ROW()-3-N(对接源_01水果!$T$1),对接源_02物料!$Q$5:$Q$460,0)),"")))</f>
        <v/>
      </c>
      <c r="H63" s="27" t="str">
        <f>IF($B63="","",IF($B63="01水果",IFERROR(INDEX(对接源_01水果!$G$5:$G$507,MATCH(ROW()-3,对接源_01水果!$Q$5:$Q$507,0)),""),IFERROR(INDEX(对接源_02物料!$G$5:$G$460,MATCH(ROW()-3-N(对接源_01水果!$T$1),对接源_02物料!$Q$5:$Q$460,0)),"")))</f>
        <v/>
      </c>
      <c r="I63" s="26" t="str">
        <f>IFERROR(INDEX(收入成本映射!$C$4:$C$34,MATCH($D63,收入成本映射!$B$4:$B$34,0)),"不记账")</f>
        <v>不记账</v>
      </c>
      <c r="J63" s="26" t="str">
        <f t="shared" si="0"/>
        <v/>
      </c>
      <c r="K63" s="27">
        <f t="shared" si="1"/>
        <v>0</v>
      </c>
      <c r="L63" s="27">
        <v>0</v>
      </c>
      <c r="M63" s="26" t="str">
        <f>IF(OR($I63="不记账",ROUND(N($G63),2)=0),"",IFERROR(INDEX(收入成本映射!$E$4:$E$34,MATCH($D63,收入成本映射!$B$4:$B$34,0)),""))</f>
        <v/>
      </c>
      <c r="N63" s="27" t="str">
        <f t="shared" si="2"/>
        <v/>
      </c>
      <c r="O63" s="27" t="str">
        <f t="shared" si="3"/>
        <v/>
      </c>
      <c r="P63" s="26" t="str">
        <f>IF($M63="","",IFERROR(INDEX(收入成本映射!$F$4:$F$34,MATCH($D63,收入成本映射!$B$4:$B$34,0)),""))</f>
        <v/>
      </c>
      <c r="Q63" s="27" t="str">
        <f t="shared" si="4"/>
        <v/>
      </c>
      <c r="R63" s="27" t="str">
        <f t="shared" si="5"/>
        <v/>
      </c>
      <c r="S63" s="26" t="str">
        <f t="shared" si="6"/>
        <v/>
      </c>
      <c r="T63" s="27" t="str">
        <f t="shared" si="7"/>
        <v/>
      </c>
      <c r="U63" s="27" t="str">
        <f t="shared" si="8"/>
        <v/>
      </c>
      <c r="V63" s="10" t="str">
        <f>IF($B63="","",IF($B63="01水果",IFERROR(INDEX(对接源_01水果!$H$5:$H$507,MATCH(ROW()-3,对接源_01水果!$Q$5:$Q$507,0)),""),IFERROR(INDEX(对接源_02物料!$H$5:$H$460,MATCH(ROW()-3-N(对接源_01水果!$T$1),对接源_02物料!$Q$5:$Q$460,0)),"")))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4" ht="18" customHeight="1" spans="1:22">
      <c r="A64" s="10">
        <v>61</v>
      </c>
      <c r="B64" s="26" t="str">
        <f>IF(ROW()-3&lt;=N(对接源_01水果!$T$1),"01水果",IF(ROW()-3&lt;=N(对接源_01水果!$T$1)+N(对接源_02物料!$T$1),"02物料",""))</f>
        <v/>
      </c>
      <c r="C64" s="125" t="str">
        <f>IF($B64="","",IF($B64="01水果",IFERROR(INDEX(对接源_01水果!$B$5:$B$507,MATCH(ROW()-3,对接源_01水果!$Q$5:$Q$507,0)),""),IFERROR(INDEX(对接源_02物料!$B$5:$B$460,MATCH(ROW()-3-N(对接源_01水果!$T$1),对接源_02物料!$Q$5:$Q$460,0)),"")))</f>
        <v/>
      </c>
      <c r="D64" s="26" t="str">
        <f>IF($B64="","",IF($B64="01水果",IFERROR(INDEX(对接源_01水果!$C$5:$C$507,MATCH(ROW()-3,对接源_01水果!$Q$5:$Q$507,0)),""),IFERROR(INDEX(对接源_02物料!$C$5:$C$460,MATCH(ROW()-3-N(对接源_01水果!$T$1),对接源_02物料!$Q$5:$Q$460,0)),"")))</f>
        <v/>
      </c>
      <c r="E64" s="126" t="str">
        <f>IF($B64="","",IF($B64="01水果",IFERROR(INDEX(对接源_01水果!$D$5:$D$507,MATCH(ROW()-3,对接源_01水果!$Q$5:$Q$507,0)),""),IFERROR(INDEX(对接源_02物料!$D$5:$D$460,MATCH(ROW()-3-N(对接源_01水果!$T$1),对接源_02物料!$Q$5:$Q$460,0)),"")))</f>
        <v/>
      </c>
      <c r="F64" s="26" t="str">
        <f>IF($B64="","",IF($B64="01水果",IFERROR(INDEX(对接源_01水果!$E$5:$E$507,MATCH(ROW()-3,对接源_01水果!$Q$5:$Q$507,0)),""),IFERROR(INDEX(对接源_02物料!$E$5:$E$460,MATCH(ROW()-3-N(对接源_01水果!$T$1),对接源_02物料!$Q$5:$Q$460,0)),"")))</f>
        <v/>
      </c>
      <c r="G64" s="27" t="str">
        <f>IF($B64="","",IF($B64="01水果",IFERROR(INDEX(对接源_01水果!$F$5:$F$507,MATCH(ROW()-3,对接源_01水果!$Q$5:$Q$507,0)),""),IFERROR(INDEX(对接源_02物料!$F$5:$F$460,MATCH(ROW()-3-N(对接源_01水果!$T$1),对接源_02物料!$Q$5:$Q$460,0)),"")))</f>
        <v/>
      </c>
      <c r="H64" s="27" t="str">
        <f>IF($B64="","",IF($B64="01水果",IFERROR(INDEX(对接源_01水果!$G$5:$G$507,MATCH(ROW()-3,对接源_01水果!$Q$5:$Q$507,0)),""),IFERROR(INDEX(对接源_02物料!$G$5:$G$460,MATCH(ROW()-3-N(对接源_01水果!$T$1),对接源_02物料!$Q$5:$Q$460,0)),"")))</f>
        <v/>
      </c>
      <c r="I64" s="26" t="str">
        <f>IFERROR(INDEX(收入成本映射!$C$4:$C$34,MATCH($D64,收入成本映射!$B$4:$B$34,0)),"不记账")</f>
        <v>不记账</v>
      </c>
      <c r="J64" s="26" t="str">
        <f t="shared" si="0"/>
        <v/>
      </c>
      <c r="K64" s="27">
        <f t="shared" si="1"/>
        <v>0</v>
      </c>
      <c r="L64" s="27">
        <v>0</v>
      </c>
      <c r="M64" s="26" t="str">
        <f>IF(OR($I64="不记账",ROUND(N($G64),2)=0),"",IFERROR(INDEX(收入成本映射!$E$4:$E$34,MATCH($D64,收入成本映射!$B$4:$B$34,0)),""))</f>
        <v/>
      </c>
      <c r="N64" s="27" t="str">
        <f t="shared" si="2"/>
        <v/>
      </c>
      <c r="O64" s="27" t="str">
        <f t="shared" si="3"/>
        <v/>
      </c>
      <c r="P64" s="26" t="str">
        <f>IF($M64="","",IFERROR(INDEX(收入成本映射!$F$4:$F$34,MATCH($D64,收入成本映射!$B$4:$B$34,0)),""))</f>
        <v/>
      </c>
      <c r="Q64" s="27" t="str">
        <f t="shared" si="4"/>
        <v/>
      </c>
      <c r="R64" s="27" t="str">
        <f t="shared" si="5"/>
        <v/>
      </c>
      <c r="S64" s="26" t="str">
        <f t="shared" si="6"/>
        <v/>
      </c>
      <c r="T64" s="27" t="str">
        <f t="shared" si="7"/>
        <v/>
      </c>
      <c r="U64" s="27" t="str">
        <f t="shared" si="8"/>
        <v/>
      </c>
      <c r="V64" s="10" t="str">
        <f>IF($B64="","",IF($B64="01水果",IFERROR(INDEX(对接源_01水果!$H$5:$H$507,MATCH(ROW()-3,对接源_01水果!$Q$5:$Q$507,0)),""),IFERROR(INDEX(对接源_02物料!$H$5:$H$460,MATCH(ROW()-3-N(对接源_01水果!$T$1),对接源_02物料!$Q$5:$Q$460,0)),"")))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5" ht="18" customHeight="1" spans="1:22">
      <c r="A65" s="10">
        <v>62</v>
      </c>
      <c r="B65" s="26" t="str">
        <f>IF(ROW()-3&lt;=N(对接源_01水果!$T$1),"01水果",IF(ROW()-3&lt;=N(对接源_01水果!$T$1)+N(对接源_02物料!$T$1),"02物料",""))</f>
        <v/>
      </c>
      <c r="C65" s="125" t="str">
        <f>IF($B65="","",IF($B65="01水果",IFERROR(INDEX(对接源_01水果!$B$5:$B$507,MATCH(ROW()-3,对接源_01水果!$Q$5:$Q$507,0)),""),IFERROR(INDEX(对接源_02物料!$B$5:$B$460,MATCH(ROW()-3-N(对接源_01水果!$T$1),对接源_02物料!$Q$5:$Q$460,0)),"")))</f>
        <v/>
      </c>
      <c r="D65" s="26" t="str">
        <f>IF($B65="","",IF($B65="01水果",IFERROR(INDEX(对接源_01水果!$C$5:$C$507,MATCH(ROW()-3,对接源_01水果!$Q$5:$Q$507,0)),""),IFERROR(INDEX(对接源_02物料!$C$5:$C$460,MATCH(ROW()-3-N(对接源_01水果!$T$1),对接源_02物料!$Q$5:$Q$460,0)),"")))</f>
        <v/>
      </c>
      <c r="E65" s="126" t="str">
        <f>IF($B65="","",IF($B65="01水果",IFERROR(INDEX(对接源_01水果!$D$5:$D$507,MATCH(ROW()-3,对接源_01水果!$Q$5:$Q$507,0)),""),IFERROR(INDEX(对接源_02物料!$D$5:$D$460,MATCH(ROW()-3-N(对接源_01水果!$T$1),对接源_02物料!$Q$5:$Q$460,0)),"")))</f>
        <v/>
      </c>
      <c r="F65" s="26" t="str">
        <f>IF($B65="","",IF($B65="01水果",IFERROR(INDEX(对接源_01水果!$E$5:$E$507,MATCH(ROW()-3,对接源_01水果!$Q$5:$Q$507,0)),""),IFERROR(INDEX(对接源_02物料!$E$5:$E$460,MATCH(ROW()-3-N(对接源_01水果!$T$1),对接源_02物料!$Q$5:$Q$460,0)),"")))</f>
        <v/>
      </c>
      <c r="G65" s="27" t="str">
        <f>IF($B65="","",IF($B65="01水果",IFERROR(INDEX(对接源_01水果!$F$5:$F$507,MATCH(ROW()-3,对接源_01水果!$Q$5:$Q$507,0)),""),IFERROR(INDEX(对接源_02物料!$F$5:$F$460,MATCH(ROW()-3-N(对接源_01水果!$T$1),对接源_02物料!$Q$5:$Q$460,0)),"")))</f>
        <v/>
      </c>
      <c r="H65" s="27" t="str">
        <f>IF($B65="","",IF($B65="01水果",IFERROR(INDEX(对接源_01水果!$G$5:$G$507,MATCH(ROW()-3,对接源_01水果!$Q$5:$Q$507,0)),""),IFERROR(INDEX(对接源_02物料!$G$5:$G$460,MATCH(ROW()-3-N(对接源_01水果!$T$1),对接源_02物料!$Q$5:$Q$460,0)),"")))</f>
        <v/>
      </c>
      <c r="I65" s="26" t="str">
        <f>IFERROR(INDEX(收入成本映射!$C$4:$C$34,MATCH($D65,收入成本映射!$B$4:$B$34,0)),"不记账")</f>
        <v>不记账</v>
      </c>
      <c r="J65" s="26" t="str">
        <f t="shared" si="0"/>
        <v/>
      </c>
      <c r="K65" s="27">
        <f t="shared" si="1"/>
        <v>0</v>
      </c>
      <c r="L65" s="27">
        <v>0</v>
      </c>
      <c r="M65" s="26" t="str">
        <f>IF(OR($I65="不记账",ROUND(N($G65),2)=0),"",IFERROR(INDEX(收入成本映射!$E$4:$E$34,MATCH($D65,收入成本映射!$B$4:$B$34,0)),""))</f>
        <v/>
      </c>
      <c r="N65" s="27" t="str">
        <f t="shared" si="2"/>
        <v/>
      </c>
      <c r="O65" s="27" t="str">
        <f t="shared" si="3"/>
        <v/>
      </c>
      <c r="P65" s="26" t="str">
        <f>IF($M65="","",IFERROR(INDEX(收入成本映射!$F$4:$F$34,MATCH($D65,收入成本映射!$B$4:$B$34,0)),""))</f>
        <v/>
      </c>
      <c r="Q65" s="27" t="str">
        <f t="shared" si="4"/>
        <v/>
      </c>
      <c r="R65" s="27" t="str">
        <f t="shared" si="5"/>
        <v/>
      </c>
      <c r="S65" s="26" t="str">
        <f t="shared" si="6"/>
        <v/>
      </c>
      <c r="T65" s="27" t="str">
        <f t="shared" si="7"/>
        <v/>
      </c>
      <c r="U65" s="27" t="str">
        <f t="shared" si="8"/>
        <v/>
      </c>
      <c r="V65" s="10" t="str">
        <f>IF($B65="","",IF($B65="01水果",IFERROR(INDEX(对接源_01水果!$H$5:$H$507,MATCH(ROW()-3,对接源_01水果!$Q$5:$Q$507,0)),""),IFERROR(INDEX(对接源_02物料!$H$5:$H$460,MATCH(ROW()-3-N(对接源_01水果!$T$1),对接源_02物料!$Q$5:$Q$460,0)),"")))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6" ht="18" customHeight="1" spans="1:22">
      <c r="A66" s="10">
        <v>63</v>
      </c>
      <c r="B66" s="26" t="str">
        <f>IF(ROW()-3&lt;=N(对接源_01水果!$T$1),"01水果",IF(ROW()-3&lt;=N(对接源_01水果!$T$1)+N(对接源_02物料!$T$1),"02物料",""))</f>
        <v/>
      </c>
      <c r="C66" s="125" t="str">
        <f>IF($B66="","",IF($B66="01水果",IFERROR(INDEX(对接源_01水果!$B$5:$B$507,MATCH(ROW()-3,对接源_01水果!$Q$5:$Q$507,0)),""),IFERROR(INDEX(对接源_02物料!$B$5:$B$460,MATCH(ROW()-3-N(对接源_01水果!$T$1),对接源_02物料!$Q$5:$Q$460,0)),"")))</f>
        <v/>
      </c>
      <c r="D66" s="26" t="str">
        <f>IF($B66="","",IF($B66="01水果",IFERROR(INDEX(对接源_01水果!$C$5:$C$507,MATCH(ROW()-3,对接源_01水果!$Q$5:$Q$507,0)),""),IFERROR(INDEX(对接源_02物料!$C$5:$C$460,MATCH(ROW()-3-N(对接源_01水果!$T$1),对接源_02物料!$Q$5:$Q$460,0)),"")))</f>
        <v/>
      </c>
      <c r="E66" s="126" t="str">
        <f>IF($B66="","",IF($B66="01水果",IFERROR(INDEX(对接源_01水果!$D$5:$D$507,MATCH(ROW()-3,对接源_01水果!$Q$5:$Q$507,0)),""),IFERROR(INDEX(对接源_02物料!$D$5:$D$460,MATCH(ROW()-3-N(对接源_01水果!$T$1),对接源_02物料!$Q$5:$Q$460,0)),"")))</f>
        <v/>
      </c>
      <c r="F66" s="26" t="str">
        <f>IF($B66="","",IF($B66="01水果",IFERROR(INDEX(对接源_01水果!$E$5:$E$507,MATCH(ROW()-3,对接源_01水果!$Q$5:$Q$507,0)),""),IFERROR(INDEX(对接源_02物料!$E$5:$E$460,MATCH(ROW()-3-N(对接源_01水果!$T$1),对接源_02物料!$Q$5:$Q$460,0)),"")))</f>
        <v/>
      </c>
      <c r="G66" s="27" t="str">
        <f>IF($B66="","",IF($B66="01水果",IFERROR(INDEX(对接源_01水果!$F$5:$F$507,MATCH(ROW()-3,对接源_01水果!$Q$5:$Q$507,0)),""),IFERROR(INDEX(对接源_02物料!$F$5:$F$460,MATCH(ROW()-3-N(对接源_01水果!$T$1),对接源_02物料!$Q$5:$Q$460,0)),"")))</f>
        <v/>
      </c>
      <c r="H66" s="27" t="str">
        <f>IF($B66="","",IF($B66="01水果",IFERROR(INDEX(对接源_01水果!$G$5:$G$507,MATCH(ROW()-3,对接源_01水果!$Q$5:$Q$507,0)),""),IFERROR(INDEX(对接源_02物料!$G$5:$G$460,MATCH(ROW()-3-N(对接源_01水果!$T$1),对接源_02物料!$Q$5:$Q$460,0)),"")))</f>
        <v/>
      </c>
      <c r="I66" s="26" t="str">
        <f>IFERROR(INDEX(收入成本映射!$C$4:$C$34,MATCH($D66,收入成本映射!$B$4:$B$34,0)),"不记账")</f>
        <v>不记账</v>
      </c>
      <c r="J66" s="26" t="str">
        <f t="shared" si="0"/>
        <v/>
      </c>
      <c r="K66" s="27">
        <f t="shared" si="1"/>
        <v>0</v>
      </c>
      <c r="L66" s="27">
        <v>0</v>
      </c>
      <c r="M66" s="26" t="str">
        <f>IF(OR($I66="不记账",ROUND(N($G66),2)=0),"",IFERROR(INDEX(收入成本映射!$E$4:$E$34,MATCH($D66,收入成本映射!$B$4:$B$34,0)),""))</f>
        <v/>
      </c>
      <c r="N66" s="27" t="str">
        <f t="shared" si="2"/>
        <v/>
      </c>
      <c r="O66" s="27" t="str">
        <f t="shared" si="3"/>
        <v/>
      </c>
      <c r="P66" s="26" t="str">
        <f>IF($M66="","",IFERROR(INDEX(收入成本映射!$F$4:$F$34,MATCH($D66,收入成本映射!$B$4:$B$34,0)),""))</f>
        <v/>
      </c>
      <c r="Q66" s="27" t="str">
        <f t="shared" si="4"/>
        <v/>
      </c>
      <c r="R66" s="27" t="str">
        <f t="shared" si="5"/>
        <v/>
      </c>
      <c r="S66" s="26" t="str">
        <f t="shared" si="6"/>
        <v/>
      </c>
      <c r="T66" s="27" t="str">
        <f t="shared" si="7"/>
        <v/>
      </c>
      <c r="U66" s="27" t="str">
        <f t="shared" si="8"/>
        <v/>
      </c>
      <c r="V66" s="10" t="str">
        <f>IF($B66="","",IF($B66="01水果",IFERROR(INDEX(对接源_01水果!$H$5:$H$507,MATCH(ROW()-3,对接源_01水果!$Q$5:$Q$507,0)),""),IFERROR(INDEX(对接源_02物料!$H$5:$H$460,MATCH(ROW()-3-N(对接源_01水果!$T$1),对接源_02物料!$Q$5:$Q$460,0)),"")))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7" ht="18" customHeight="1" spans="1:22">
      <c r="A67" s="10">
        <v>64</v>
      </c>
      <c r="B67" s="26" t="str">
        <f>IF(ROW()-3&lt;=N(对接源_01水果!$T$1),"01水果",IF(ROW()-3&lt;=N(对接源_01水果!$T$1)+N(对接源_02物料!$T$1),"02物料",""))</f>
        <v/>
      </c>
      <c r="C67" s="125" t="str">
        <f>IF($B67="","",IF($B67="01水果",IFERROR(INDEX(对接源_01水果!$B$5:$B$507,MATCH(ROW()-3,对接源_01水果!$Q$5:$Q$507,0)),""),IFERROR(INDEX(对接源_02物料!$B$5:$B$460,MATCH(ROW()-3-N(对接源_01水果!$T$1),对接源_02物料!$Q$5:$Q$460,0)),"")))</f>
        <v/>
      </c>
      <c r="D67" s="26" t="str">
        <f>IF($B67="","",IF($B67="01水果",IFERROR(INDEX(对接源_01水果!$C$5:$C$507,MATCH(ROW()-3,对接源_01水果!$Q$5:$Q$507,0)),""),IFERROR(INDEX(对接源_02物料!$C$5:$C$460,MATCH(ROW()-3-N(对接源_01水果!$T$1),对接源_02物料!$Q$5:$Q$460,0)),"")))</f>
        <v/>
      </c>
      <c r="E67" s="126" t="str">
        <f>IF($B67="","",IF($B67="01水果",IFERROR(INDEX(对接源_01水果!$D$5:$D$507,MATCH(ROW()-3,对接源_01水果!$Q$5:$Q$507,0)),""),IFERROR(INDEX(对接源_02物料!$D$5:$D$460,MATCH(ROW()-3-N(对接源_01水果!$T$1),对接源_02物料!$Q$5:$Q$460,0)),"")))</f>
        <v/>
      </c>
      <c r="F67" s="26" t="str">
        <f>IF($B67="","",IF($B67="01水果",IFERROR(INDEX(对接源_01水果!$E$5:$E$507,MATCH(ROW()-3,对接源_01水果!$Q$5:$Q$507,0)),""),IFERROR(INDEX(对接源_02物料!$E$5:$E$460,MATCH(ROW()-3-N(对接源_01水果!$T$1),对接源_02物料!$Q$5:$Q$460,0)),"")))</f>
        <v/>
      </c>
      <c r="G67" s="27" t="str">
        <f>IF($B67="","",IF($B67="01水果",IFERROR(INDEX(对接源_01水果!$F$5:$F$507,MATCH(ROW()-3,对接源_01水果!$Q$5:$Q$507,0)),""),IFERROR(INDEX(对接源_02物料!$F$5:$F$460,MATCH(ROW()-3-N(对接源_01水果!$T$1),对接源_02物料!$Q$5:$Q$460,0)),"")))</f>
        <v/>
      </c>
      <c r="H67" s="27" t="str">
        <f>IF($B67="","",IF($B67="01水果",IFERROR(INDEX(对接源_01水果!$G$5:$G$507,MATCH(ROW()-3,对接源_01水果!$Q$5:$Q$507,0)),""),IFERROR(INDEX(对接源_02物料!$G$5:$G$460,MATCH(ROW()-3-N(对接源_01水果!$T$1),对接源_02物料!$Q$5:$Q$460,0)),"")))</f>
        <v/>
      </c>
      <c r="I67" s="26" t="str">
        <f>IFERROR(INDEX(收入成本映射!$C$4:$C$34,MATCH($D67,收入成本映射!$B$4:$B$34,0)),"不记账")</f>
        <v>不记账</v>
      </c>
      <c r="J67" s="26" t="str">
        <f t="shared" si="0"/>
        <v/>
      </c>
      <c r="K67" s="27">
        <f t="shared" si="1"/>
        <v>0</v>
      </c>
      <c r="L67" s="27">
        <v>0</v>
      </c>
      <c r="M67" s="26" t="str">
        <f>IF(OR($I67="不记账",ROUND(N($G67),2)=0),"",IFERROR(INDEX(收入成本映射!$E$4:$E$34,MATCH($D67,收入成本映射!$B$4:$B$34,0)),""))</f>
        <v/>
      </c>
      <c r="N67" s="27" t="str">
        <f t="shared" si="2"/>
        <v/>
      </c>
      <c r="O67" s="27" t="str">
        <f t="shared" si="3"/>
        <v/>
      </c>
      <c r="P67" s="26" t="str">
        <f>IF($M67="","",IFERROR(INDEX(收入成本映射!$F$4:$F$34,MATCH($D67,收入成本映射!$B$4:$B$34,0)),""))</f>
        <v/>
      </c>
      <c r="Q67" s="27" t="str">
        <f t="shared" si="4"/>
        <v/>
      </c>
      <c r="R67" s="27" t="str">
        <f t="shared" si="5"/>
        <v/>
      </c>
      <c r="S67" s="26" t="str">
        <f t="shared" si="6"/>
        <v/>
      </c>
      <c r="T67" s="27" t="str">
        <f t="shared" si="7"/>
        <v/>
      </c>
      <c r="U67" s="27" t="str">
        <f t="shared" si="8"/>
        <v/>
      </c>
      <c r="V67" s="10" t="str">
        <f>IF($B67="","",IF($B67="01水果",IFERROR(INDEX(对接源_01水果!$H$5:$H$507,MATCH(ROW()-3,对接源_01水果!$Q$5:$Q$507,0)),""),IFERROR(INDEX(对接源_02物料!$H$5:$H$460,MATCH(ROW()-3-N(对接源_01水果!$T$1),对接源_02物料!$Q$5:$Q$460,0)),"")))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8" ht="18" customHeight="1" spans="1:22">
      <c r="A68" s="10">
        <v>65</v>
      </c>
      <c r="B68" s="26" t="str">
        <f>IF(ROW()-3&lt;=N(对接源_01水果!$T$1),"01水果",IF(ROW()-3&lt;=N(对接源_01水果!$T$1)+N(对接源_02物料!$T$1),"02物料",""))</f>
        <v/>
      </c>
      <c r="C68" s="125" t="str">
        <f>IF($B68="","",IF($B68="01水果",IFERROR(INDEX(对接源_01水果!$B$5:$B$507,MATCH(ROW()-3,对接源_01水果!$Q$5:$Q$507,0)),""),IFERROR(INDEX(对接源_02物料!$B$5:$B$460,MATCH(ROW()-3-N(对接源_01水果!$T$1),对接源_02物料!$Q$5:$Q$460,0)),"")))</f>
        <v/>
      </c>
      <c r="D68" s="26" t="str">
        <f>IF($B68="","",IF($B68="01水果",IFERROR(INDEX(对接源_01水果!$C$5:$C$507,MATCH(ROW()-3,对接源_01水果!$Q$5:$Q$507,0)),""),IFERROR(INDEX(对接源_02物料!$C$5:$C$460,MATCH(ROW()-3-N(对接源_01水果!$T$1),对接源_02物料!$Q$5:$Q$460,0)),"")))</f>
        <v/>
      </c>
      <c r="E68" s="126" t="str">
        <f>IF($B68="","",IF($B68="01水果",IFERROR(INDEX(对接源_01水果!$D$5:$D$507,MATCH(ROW()-3,对接源_01水果!$Q$5:$Q$507,0)),""),IFERROR(INDEX(对接源_02物料!$D$5:$D$460,MATCH(ROW()-3-N(对接源_01水果!$T$1),对接源_02物料!$Q$5:$Q$460,0)),"")))</f>
        <v/>
      </c>
      <c r="F68" s="26" t="str">
        <f>IF($B68="","",IF($B68="01水果",IFERROR(INDEX(对接源_01水果!$E$5:$E$507,MATCH(ROW()-3,对接源_01水果!$Q$5:$Q$507,0)),""),IFERROR(INDEX(对接源_02物料!$E$5:$E$460,MATCH(ROW()-3-N(对接源_01水果!$T$1),对接源_02物料!$Q$5:$Q$460,0)),"")))</f>
        <v/>
      </c>
      <c r="G68" s="27" t="str">
        <f>IF($B68="","",IF($B68="01水果",IFERROR(INDEX(对接源_01水果!$F$5:$F$507,MATCH(ROW()-3,对接源_01水果!$Q$5:$Q$507,0)),""),IFERROR(INDEX(对接源_02物料!$F$5:$F$460,MATCH(ROW()-3-N(对接源_01水果!$T$1),对接源_02物料!$Q$5:$Q$460,0)),"")))</f>
        <v/>
      </c>
      <c r="H68" s="27" t="str">
        <f>IF($B68="","",IF($B68="01水果",IFERROR(INDEX(对接源_01水果!$G$5:$G$507,MATCH(ROW()-3,对接源_01水果!$Q$5:$Q$507,0)),""),IFERROR(INDEX(对接源_02物料!$G$5:$G$460,MATCH(ROW()-3-N(对接源_01水果!$T$1),对接源_02物料!$Q$5:$Q$460,0)),"")))</f>
        <v/>
      </c>
      <c r="I68" s="26" t="str">
        <f>IFERROR(INDEX(收入成本映射!$C$4:$C$34,MATCH($D68,收入成本映射!$B$4:$B$34,0)),"不记账")</f>
        <v>不记账</v>
      </c>
      <c r="J68" s="26" t="str">
        <f t="shared" ref="J68:J131" si="9">IF($B68="","","0%")</f>
        <v/>
      </c>
      <c r="K68" s="27">
        <f t="shared" ref="K68:K131" si="10">IF($I68="不记账",0,ROUND(N($G68),2))</f>
        <v>0</v>
      </c>
      <c r="L68" s="27">
        <v>0</v>
      </c>
      <c r="M68" s="26" t="str">
        <f>IF(OR($I68="不记账",ROUND(N($G68),2)=0),"",IFERROR(INDEX(收入成本映射!$E$4:$E$34,MATCH($D68,收入成本映射!$B$4:$B$34,0)),""))</f>
        <v/>
      </c>
      <c r="N68" s="27" t="str">
        <f t="shared" ref="N68:N131" si="11">IF($M68="","",ROUND(N($G68),2))</f>
        <v/>
      </c>
      <c r="O68" s="27" t="str">
        <f t="shared" ref="O68:O131" si="12">IF($M68="","",0)</f>
        <v/>
      </c>
      <c r="P68" s="26" t="str">
        <f>IF($M68="","",IFERROR(INDEX(收入成本映射!$F$4:$F$34,MATCH($D68,收入成本映射!$B$4:$B$34,0)),""))</f>
        <v/>
      </c>
      <c r="Q68" s="27" t="str">
        <f t="shared" ref="Q68:Q131" si="13">IF($P68="","",0)</f>
        <v/>
      </c>
      <c r="R68" s="27" t="str">
        <f t="shared" ref="R68:R131" si="14">IF($P68="","",ROUND(N($G68),2))</f>
        <v/>
      </c>
      <c r="S68" s="26" t="str">
        <f t="shared" ref="S68:S131" si="15">""</f>
        <v/>
      </c>
      <c r="T68" s="27" t="str">
        <f t="shared" ref="T68:T131" si="16">IF($S68="","",0)</f>
        <v/>
      </c>
      <c r="U68" s="27" t="str">
        <f t="shared" ref="U68:U131" si="17">IF($S68="","",0)</f>
        <v/>
      </c>
      <c r="V68" s="10" t="str">
        <f>IF($B68="","",IF($B68="01水果",IFERROR(INDEX(对接源_01水果!$H$5:$H$507,MATCH(ROW()-3,对接源_01水果!$Q$5:$Q$507,0)),""),IFERROR(INDEX(对接源_02物料!$H$5:$H$460,MATCH(ROW()-3-N(对接源_01水果!$T$1),对接源_02物料!$Q$5:$Q$460,0)),"")))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9" ht="18" customHeight="1" spans="1:22">
      <c r="A69" s="10">
        <v>66</v>
      </c>
      <c r="B69" s="26" t="str">
        <f>IF(ROW()-3&lt;=N(对接源_01水果!$T$1),"01水果",IF(ROW()-3&lt;=N(对接源_01水果!$T$1)+N(对接源_02物料!$T$1),"02物料",""))</f>
        <v/>
      </c>
      <c r="C69" s="125" t="str">
        <f>IF($B69="","",IF($B69="01水果",IFERROR(INDEX(对接源_01水果!$B$5:$B$507,MATCH(ROW()-3,对接源_01水果!$Q$5:$Q$507,0)),""),IFERROR(INDEX(对接源_02物料!$B$5:$B$460,MATCH(ROW()-3-N(对接源_01水果!$T$1),对接源_02物料!$Q$5:$Q$460,0)),"")))</f>
        <v/>
      </c>
      <c r="D69" s="26" t="str">
        <f>IF($B69="","",IF($B69="01水果",IFERROR(INDEX(对接源_01水果!$C$5:$C$507,MATCH(ROW()-3,对接源_01水果!$Q$5:$Q$507,0)),""),IFERROR(INDEX(对接源_02物料!$C$5:$C$460,MATCH(ROW()-3-N(对接源_01水果!$T$1),对接源_02物料!$Q$5:$Q$460,0)),"")))</f>
        <v/>
      </c>
      <c r="E69" s="126" t="str">
        <f>IF($B69="","",IF($B69="01水果",IFERROR(INDEX(对接源_01水果!$D$5:$D$507,MATCH(ROW()-3,对接源_01水果!$Q$5:$Q$507,0)),""),IFERROR(INDEX(对接源_02物料!$D$5:$D$460,MATCH(ROW()-3-N(对接源_01水果!$T$1),对接源_02物料!$Q$5:$Q$460,0)),"")))</f>
        <v/>
      </c>
      <c r="F69" s="26" t="str">
        <f>IF($B69="","",IF($B69="01水果",IFERROR(INDEX(对接源_01水果!$E$5:$E$507,MATCH(ROW()-3,对接源_01水果!$Q$5:$Q$507,0)),""),IFERROR(INDEX(对接源_02物料!$E$5:$E$460,MATCH(ROW()-3-N(对接源_01水果!$T$1),对接源_02物料!$Q$5:$Q$460,0)),"")))</f>
        <v/>
      </c>
      <c r="G69" s="27" t="str">
        <f>IF($B69="","",IF($B69="01水果",IFERROR(INDEX(对接源_01水果!$F$5:$F$507,MATCH(ROW()-3,对接源_01水果!$Q$5:$Q$507,0)),""),IFERROR(INDEX(对接源_02物料!$F$5:$F$460,MATCH(ROW()-3-N(对接源_01水果!$T$1),对接源_02物料!$Q$5:$Q$460,0)),"")))</f>
        <v/>
      </c>
      <c r="H69" s="27" t="str">
        <f>IF($B69="","",IF($B69="01水果",IFERROR(INDEX(对接源_01水果!$G$5:$G$507,MATCH(ROW()-3,对接源_01水果!$Q$5:$Q$507,0)),""),IFERROR(INDEX(对接源_02物料!$G$5:$G$460,MATCH(ROW()-3-N(对接源_01水果!$T$1),对接源_02物料!$Q$5:$Q$460,0)),"")))</f>
        <v/>
      </c>
      <c r="I69" s="26" t="str">
        <f>IFERROR(INDEX(收入成本映射!$C$4:$C$34,MATCH($D69,收入成本映射!$B$4:$B$34,0)),"不记账")</f>
        <v>不记账</v>
      </c>
      <c r="J69" s="26" t="str">
        <f t="shared" si="9"/>
        <v/>
      </c>
      <c r="K69" s="27">
        <f t="shared" si="10"/>
        <v>0</v>
      </c>
      <c r="L69" s="27">
        <v>0</v>
      </c>
      <c r="M69" s="26" t="str">
        <f>IF(OR($I69="不记账",ROUND(N($G69),2)=0),"",IFERROR(INDEX(收入成本映射!$E$4:$E$34,MATCH($D69,收入成本映射!$B$4:$B$34,0)),""))</f>
        <v/>
      </c>
      <c r="N69" s="27" t="str">
        <f t="shared" si="11"/>
        <v/>
      </c>
      <c r="O69" s="27" t="str">
        <f t="shared" si="12"/>
        <v/>
      </c>
      <c r="P69" s="26" t="str">
        <f>IF($M69="","",IFERROR(INDEX(收入成本映射!$F$4:$F$34,MATCH($D69,收入成本映射!$B$4:$B$34,0)),""))</f>
        <v/>
      </c>
      <c r="Q69" s="27" t="str">
        <f t="shared" si="13"/>
        <v/>
      </c>
      <c r="R69" s="27" t="str">
        <f t="shared" si="14"/>
        <v/>
      </c>
      <c r="S69" s="26" t="str">
        <f t="shared" si="15"/>
        <v/>
      </c>
      <c r="T69" s="27" t="str">
        <f t="shared" si="16"/>
        <v/>
      </c>
      <c r="U69" s="27" t="str">
        <f t="shared" si="17"/>
        <v/>
      </c>
      <c r="V69" s="10" t="str">
        <f>IF($B69="","",IF($B69="01水果",IFERROR(INDEX(对接源_01水果!$H$5:$H$507,MATCH(ROW()-3,对接源_01水果!$Q$5:$Q$507,0)),""),IFERROR(INDEX(对接源_02物料!$H$5:$H$460,MATCH(ROW()-3-N(对接源_01水果!$T$1),对接源_02物料!$Q$5:$Q$460,0)),"")))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0" ht="18" customHeight="1" spans="1:22">
      <c r="A70" s="10">
        <v>67</v>
      </c>
      <c r="B70" s="26" t="str">
        <f>IF(ROW()-3&lt;=N(对接源_01水果!$T$1),"01水果",IF(ROW()-3&lt;=N(对接源_01水果!$T$1)+N(对接源_02物料!$T$1),"02物料",""))</f>
        <v/>
      </c>
      <c r="C70" s="125" t="str">
        <f>IF($B70="","",IF($B70="01水果",IFERROR(INDEX(对接源_01水果!$B$5:$B$507,MATCH(ROW()-3,对接源_01水果!$Q$5:$Q$507,0)),""),IFERROR(INDEX(对接源_02物料!$B$5:$B$460,MATCH(ROW()-3-N(对接源_01水果!$T$1),对接源_02物料!$Q$5:$Q$460,0)),"")))</f>
        <v/>
      </c>
      <c r="D70" s="26" t="str">
        <f>IF($B70="","",IF($B70="01水果",IFERROR(INDEX(对接源_01水果!$C$5:$C$507,MATCH(ROW()-3,对接源_01水果!$Q$5:$Q$507,0)),""),IFERROR(INDEX(对接源_02物料!$C$5:$C$460,MATCH(ROW()-3-N(对接源_01水果!$T$1),对接源_02物料!$Q$5:$Q$460,0)),"")))</f>
        <v/>
      </c>
      <c r="E70" s="126" t="str">
        <f>IF($B70="","",IF($B70="01水果",IFERROR(INDEX(对接源_01水果!$D$5:$D$507,MATCH(ROW()-3,对接源_01水果!$Q$5:$Q$507,0)),""),IFERROR(INDEX(对接源_02物料!$D$5:$D$460,MATCH(ROW()-3-N(对接源_01水果!$T$1),对接源_02物料!$Q$5:$Q$460,0)),"")))</f>
        <v/>
      </c>
      <c r="F70" s="26" t="str">
        <f>IF($B70="","",IF($B70="01水果",IFERROR(INDEX(对接源_01水果!$E$5:$E$507,MATCH(ROW()-3,对接源_01水果!$Q$5:$Q$507,0)),""),IFERROR(INDEX(对接源_02物料!$E$5:$E$460,MATCH(ROW()-3-N(对接源_01水果!$T$1),对接源_02物料!$Q$5:$Q$460,0)),"")))</f>
        <v/>
      </c>
      <c r="G70" s="27" t="str">
        <f>IF($B70="","",IF($B70="01水果",IFERROR(INDEX(对接源_01水果!$F$5:$F$507,MATCH(ROW()-3,对接源_01水果!$Q$5:$Q$507,0)),""),IFERROR(INDEX(对接源_02物料!$F$5:$F$460,MATCH(ROW()-3-N(对接源_01水果!$T$1),对接源_02物料!$Q$5:$Q$460,0)),"")))</f>
        <v/>
      </c>
      <c r="H70" s="27" t="str">
        <f>IF($B70="","",IF($B70="01水果",IFERROR(INDEX(对接源_01水果!$G$5:$G$507,MATCH(ROW()-3,对接源_01水果!$Q$5:$Q$507,0)),""),IFERROR(INDEX(对接源_02物料!$G$5:$G$460,MATCH(ROW()-3-N(对接源_01水果!$T$1),对接源_02物料!$Q$5:$Q$460,0)),"")))</f>
        <v/>
      </c>
      <c r="I70" s="26" t="str">
        <f>IFERROR(INDEX(收入成本映射!$C$4:$C$34,MATCH($D70,收入成本映射!$B$4:$B$34,0)),"不记账")</f>
        <v>不记账</v>
      </c>
      <c r="J70" s="26" t="str">
        <f t="shared" si="9"/>
        <v/>
      </c>
      <c r="K70" s="27">
        <f t="shared" si="10"/>
        <v>0</v>
      </c>
      <c r="L70" s="27">
        <v>0</v>
      </c>
      <c r="M70" s="26" t="str">
        <f>IF(OR($I70="不记账",ROUND(N($G70),2)=0),"",IFERROR(INDEX(收入成本映射!$E$4:$E$34,MATCH($D70,收入成本映射!$B$4:$B$34,0)),""))</f>
        <v/>
      </c>
      <c r="N70" s="27" t="str">
        <f t="shared" si="11"/>
        <v/>
      </c>
      <c r="O70" s="27" t="str">
        <f t="shared" si="12"/>
        <v/>
      </c>
      <c r="P70" s="26" t="str">
        <f>IF($M70="","",IFERROR(INDEX(收入成本映射!$F$4:$F$34,MATCH($D70,收入成本映射!$B$4:$B$34,0)),""))</f>
        <v/>
      </c>
      <c r="Q70" s="27" t="str">
        <f t="shared" si="13"/>
        <v/>
      </c>
      <c r="R70" s="27" t="str">
        <f t="shared" si="14"/>
        <v/>
      </c>
      <c r="S70" s="26" t="str">
        <f t="shared" si="15"/>
        <v/>
      </c>
      <c r="T70" s="27" t="str">
        <f t="shared" si="16"/>
        <v/>
      </c>
      <c r="U70" s="27" t="str">
        <f t="shared" si="17"/>
        <v/>
      </c>
      <c r="V70" s="10" t="str">
        <f>IF($B70="","",IF($B70="01水果",IFERROR(INDEX(对接源_01水果!$H$5:$H$507,MATCH(ROW()-3,对接源_01水果!$Q$5:$Q$507,0)),""),IFERROR(INDEX(对接源_02物料!$H$5:$H$460,MATCH(ROW()-3-N(对接源_01水果!$T$1),对接源_02物料!$Q$5:$Q$460,0)),"")))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1" ht="18" customHeight="1" spans="1:22">
      <c r="A71" s="10">
        <v>68</v>
      </c>
      <c r="B71" s="26" t="str">
        <f>IF(ROW()-3&lt;=N(对接源_01水果!$T$1),"01水果",IF(ROW()-3&lt;=N(对接源_01水果!$T$1)+N(对接源_02物料!$T$1),"02物料",""))</f>
        <v/>
      </c>
      <c r="C71" s="125" t="str">
        <f>IF($B71="","",IF($B71="01水果",IFERROR(INDEX(对接源_01水果!$B$5:$B$507,MATCH(ROW()-3,对接源_01水果!$Q$5:$Q$507,0)),""),IFERROR(INDEX(对接源_02物料!$B$5:$B$460,MATCH(ROW()-3-N(对接源_01水果!$T$1),对接源_02物料!$Q$5:$Q$460,0)),"")))</f>
        <v/>
      </c>
      <c r="D71" s="26" t="str">
        <f>IF($B71="","",IF($B71="01水果",IFERROR(INDEX(对接源_01水果!$C$5:$C$507,MATCH(ROW()-3,对接源_01水果!$Q$5:$Q$507,0)),""),IFERROR(INDEX(对接源_02物料!$C$5:$C$460,MATCH(ROW()-3-N(对接源_01水果!$T$1),对接源_02物料!$Q$5:$Q$460,0)),"")))</f>
        <v/>
      </c>
      <c r="E71" s="126" t="str">
        <f>IF($B71="","",IF($B71="01水果",IFERROR(INDEX(对接源_01水果!$D$5:$D$507,MATCH(ROW()-3,对接源_01水果!$Q$5:$Q$507,0)),""),IFERROR(INDEX(对接源_02物料!$D$5:$D$460,MATCH(ROW()-3-N(对接源_01水果!$T$1),对接源_02物料!$Q$5:$Q$460,0)),"")))</f>
        <v/>
      </c>
      <c r="F71" s="26" t="str">
        <f>IF($B71="","",IF($B71="01水果",IFERROR(INDEX(对接源_01水果!$E$5:$E$507,MATCH(ROW()-3,对接源_01水果!$Q$5:$Q$507,0)),""),IFERROR(INDEX(对接源_02物料!$E$5:$E$460,MATCH(ROW()-3-N(对接源_01水果!$T$1),对接源_02物料!$Q$5:$Q$460,0)),"")))</f>
        <v/>
      </c>
      <c r="G71" s="27" t="str">
        <f>IF($B71="","",IF($B71="01水果",IFERROR(INDEX(对接源_01水果!$F$5:$F$507,MATCH(ROW()-3,对接源_01水果!$Q$5:$Q$507,0)),""),IFERROR(INDEX(对接源_02物料!$F$5:$F$460,MATCH(ROW()-3-N(对接源_01水果!$T$1),对接源_02物料!$Q$5:$Q$460,0)),"")))</f>
        <v/>
      </c>
      <c r="H71" s="27" t="str">
        <f>IF($B71="","",IF($B71="01水果",IFERROR(INDEX(对接源_01水果!$G$5:$G$507,MATCH(ROW()-3,对接源_01水果!$Q$5:$Q$507,0)),""),IFERROR(INDEX(对接源_02物料!$G$5:$G$460,MATCH(ROW()-3-N(对接源_01水果!$T$1),对接源_02物料!$Q$5:$Q$460,0)),"")))</f>
        <v/>
      </c>
      <c r="I71" s="26" t="str">
        <f>IFERROR(INDEX(收入成本映射!$C$4:$C$34,MATCH($D71,收入成本映射!$B$4:$B$34,0)),"不记账")</f>
        <v>不记账</v>
      </c>
      <c r="J71" s="26" t="str">
        <f t="shared" si="9"/>
        <v/>
      </c>
      <c r="K71" s="27">
        <f t="shared" si="10"/>
        <v>0</v>
      </c>
      <c r="L71" s="27">
        <v>0</v>
      </c>
      <c r="M71" s="26" t="str">
        <f>IF(OR($I71="不记账",ROUND(N($G71),2)=0),"",IFERROR(INDEX(收入成本映射!$E$4:$E$34,MATCH($D71,收入成本映射!$B$4:$B$34,0)),""))</f>
        <v/>
      </c>
      <c r="N71" s="27" t="str">
        <f t="shared" si="11"/>
        <v/>
      </c>
      <c r="O71" s="27" t="str">
        <f t="shared" si="12"/>
        <v/>
      </c>
      <c r="P71" s="26" t="str">
        <f>IF($M71="","",IFERROR(INDEX(收入成本映射!$F$4:$F$34,MATCH($D71,收入成本映射!$B$4:$B$34,0)),""))</f>
        <v/>
      </c>
      <c r="Q71" s="27" t="str">
        <f t="shared" si="13"/>
        <v/>
      </c>
      <c r="R71" s="27" t="str">
        <f t="shared" si="14"/>
        <v/>
      </c>
      <c r="S71" s="26" t="str">
        <f t="shared" si="15"/>
        <v/>
      </c>
      <c r="T71" s="27" t="str">
        <f t="shared" si="16"/>
        <v/>
      </c>
      <c r="U71" s="27" t="str">
        <f t="shared" si="17"/>
        <v/>
      </c>
      <c r="V71" s="10" t="str">
        <f>IF($B71="","",IF($B71="01水果",IFERROR(INDEX(对接源_01水果!$H$5:$H$507,MATCH(ROW()-3,对接源_01水果!$Q$5:$Q$507,0)),""),IFERROR(INDEX(对接源_02物料!$H$5:$H$460,MATCH(ROW()-3-N(对接源_01水果!$T$1),对接源_02物料!$Q$5:$Q$460,0)),"")))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2" ht="18" customHeight="1" spans="1:22">
      <c r="A72" s="10">
        <v>69</v>
      </c>
      <c r="B72" s="26" t="str">
        <f>IF(ROW()-3&lt;=N(对接源_01水果!$T$1),"01水果",IF(ROW()-3&lt;=N(对接源_01水果!$T$1)+N(对接源_02物料!$T$1),"02物料",""))</f>
        <v/>
      </c>
      <c r="C72" s="125" t="str">
        <f>IF($B72="","",IF($B72="01水果",IFERROR(INDEX(对接源_01水果!$B$5:$B$507,MATCH(ROW()-3,对接源_01水果!$Q$5:$Q$507,0)),""),IFERROR(INDEX(对接源_02物料!$B$5:$B$460,MATCH(ROW()-3-N(对接源_01水果!$T$1),对接源_02物料!$Q$5:$Q$460,0)),"")))</f>
        <v/>
      </c>
      <c r="D72" s="26" t="str">
        <f>IF($B72="","",IF($B72="01水果",IFERROR(INDEX(对接源_01水果!$C$5:$C$507,MATCH(ROW()-3,对接源_01水果!$Q$5:$Q$507,0)),""),IFERROR(INDEX(对接源_02物料!$C$5:$C$460,MATCH(ROW()-3-N(对接源_01水果!$T$1),对接源_02物料!$Q$5:$Q$460,0)),"")))</f>
        <v/>
      </c>
      <c r="E72" s="126" t="str">
        <f>IF($B72="","",IF($B72="01水果",IFERROR(INDEX(对接源_01水果!$D$5:$D$507,MATCH(ROW()-3,对接源_01水果!$Q$5:$Q$507,0)),""),IFERROR(INDEX(对接源_02物料!$D$5:$D$460,MATCH(ROW()-3-N(对接源_01水果!$T$1),对接源_02物料!$Q$5:$Q$460,0)),"")))</f>
        <v/>
      </c>
      <c r="F72" s="26" t="str">
        <f>IF($B72="","",IF($B72="01水果",IFERROR(INDEX(对接源_01水果!$E$5:$E$507,MATCH(ROW()-3,对接源_01水果!$Q$5:$Q$507,0)),""),IFERROR(INDEX(对接源_02物料!$E$5:$E$460,MATCH(ROW()-3-N(对接源_01水果!$T$1),对接源_02物料!$Q$5:$Q$460,0)),"")))</f>
        <v/>
      </c>
      <c r="G72" s="27" t="str">
        <f>IF($B72="","",IF($B72="01水果",IFERROR(INDEX(对接源_01水果!$F$5:$F$507,MATCH(ROW()-3,对接源_01水果!$Q$5:$Q$507,0)),""),IFERROR(INDEX(对接源_02物料!$F$5:$F$460,MATCH(ROW()-3-N(对接源_01水果!$T$1),对接源_02物料!$Q$5:$Q$460,0)),"")))</f>
        <v/>
      </c>
      <c r="H72" s="27" t="str">
        <f>IF($B72="","",IF($B72="01水果",IFERROR(INDEX(对接源_01水果!$G$5:$G$507,MATCH(ROW()-3,对接源_01水果!$Q$5:$Q$507,0)),""),IFERROR(INDEX(对接源_02物料!$G$5:$G$460,MATCH(ROW()-3-N(对接源_01水果!$T$1),对接源_02物料!$Q$5:$Q$460,0)),"")))</f>
        <v/>
      </c>
      <c r="I72" s="26" t="str">
        <f>IFERROR(INDEX(收入成本映射!$C$4:$C$34,MATCH($D72,收入成本映射!$B$4:$B$34,0)),"不记账")</f>
        <v>不记账</v>
      </c>
      <c r="J72" s="26" t="str">
        <f t="shared" si="9"/>
        <v/>
      </c>
      <c r="K72" s="27">
        <f t="shared" si="10"/>
        <v>0</v>
      </c>
      <c r="L72" s="27">
        <v>0</v>
      </c>
      <c r="M72" s="26" t="str">
        <f>IF(OR($I72="不记账",ROUND(N($G72),2)=0),"",IFERROR(INDEX(收入成本映射!$E$4:$E$34,MATCH($D72,收入成本映射!$B$4:$B$34,0)),""))</f>
        <v/>
      </c>
      <c r="N72" s="27" t="str">
        <f t="shared" si="11"/>
        <v/>
      </c>
      <c r="O72" s="27" t="str">
        <f t="shared" si="12"/>
        <v/>
      </c>
      <c r="P72" s="26" t="str">
        <f>IF($M72="","",IFERROR(INDEX(收入成本映射!$F$4:$F$34,MATCH($D72,收入成本映射!$B$4:$B$34,0)),""))</f>
        <v/>
      </c>
      <c r="Q72" s="27" t="str">
        <f t="shared" si="13"/>
        <v/>
      </c>
      <c r="R72" s="27" t="str">
        <f t="shared" si="14"/>
        <v/>
      </c>
      <c r="S72" s="26" t="str">
        <f t="shared" si="15"/>
        <v/>
      </c>
      <c r="T72" s="27" t="str">
        <f t="shared" si="16"/>
        <v/>
      </c>
      <c r="U72" s="27" t="str">
        <f t="shared" si="17"/>
        <v/>
      </c>
      <c r="V72" s="10" t="str">
        <f>IF($B72="","",IF($B72="01水果",IFERROR(INDEX(对接源_01水果!$H$5:$H$507,MATCH(ROW()-3,对接源_01水果!$Q$5:$Q$507,0)),""),IFERROR(INDEX(对接源_02物料!$H$5:$H$460,MATCH(ROW()-3-N(对接源_01水果!$T$1),对接源_02物料!$Q$5:$Q$460,0)),"")))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3" ht="18" customHeight="1" spans="1:22">
      <c r="A73" s="10">
        <v>70</v>
      </c>
      <c r="B73" s="26" t="str">
        <f>IF(ROW()-3&lt;=N(对接源_01水果!$T$1),"01水果",IF(ROW()-3&lt;=N(对接源_01水果!$T$1)+N(对接源_02物料!$T$1),"02物料",""))</f>
        <v/>
      </c>
      <c r="C73" s="125" t="str">
        <f>IF($B73="","",IF($B73="01水果",IFERROR(INDEX(对接源_01水果!$B$5:$B$507,MATCH(ROW()-3,对接源_01水果!$Q$5:$Q$507,0)),""),IFERROR(INDEX(对接源_02物料!$B$5:$B$460,MATCH(ROW()-3-N(对接源_01水果!$T$1),对接源_02物料!$Q$5:$Q$460,0)),"")))</f>
        <v/>
      </c>
      <c r="D73" s="26" t="str">
        <f>IF($B73="","",IF($B73="01水果",IFERROR(INDEX(对接源_01水果!$C$5:$C$507,MATCH(ROW()-3,对接源_01水果!$Q$5:$Q$507,0)),""),IFERROR(INDEX(对接源_02物料!$C$5:$C$460,MATCH(ROW()-3-N(对接源_01水果!$T$1),对接源_02物料!$Q$5:$Q$460,0)),"")))</f>
        <v/>
      </c>
      <c r="E73" s="126" t="str">
        <f>IF($B73="","",IF($B73="01水果",IFERROR(INDEX(对接源_01水果!$D$5:$D$507,MATCH(ROW()-3,对接源_01水果!$Q$5:$Q$507,0)),""),IFERROR(INDEX(对接源_02物料!$D$5:$D$460,MATCH(ROW()-3-N(对接源_01水果!$T$1),对接源_02物料!$Q$5:$Q$460,0)),"")))</f>
        <v/>
      </c>
      <c r="F73" s="26" t="str">
        <f>IF($B73="","",IF($B73="01水果",IFERROR(INDEX(对接源_01水果!$E$5:$E$507,MATCH(ROW()-3,对接源_01水果!$Q$5:$Q$507,0)),""),IFERROR(INDEX(对接源_02物料!$E$5:$E$460,MATCH(ROW()-3-N(对接源_01水果!$T$1),对接源_02物料!$Q$5:$Q$460,0)),"")))</f>
        <v/>
      </c>
      <c r="G73" s="27" t="str">
        <f>IF($B73="","",IF($B73="01水果",IFERROR(INDEX(对接源_01水果!$F$5:$F$507,MATCH(ROW()-3,对接源_01水果!$Q$5:$Q$507,0)),""),IFERROR(INDEX(对接源_02物料!$F$5:$F$460,MATCH(ROW()-3-N(对接源_01水果!$T$1),对接源_02物料!$Q$5:$Q$460,0)),"")))</f>
        <v/>
      </c>
      <c r="H73" s="27" t="str">
        <f>IF($B73="","",IF($B73="01水果",IFERROR(INDEX(对接源_01水果!$G$5:$G$507,MATCH(ROW()-3,对接源_01水果!$Q$5:$Q$507,0)),""),IFERROR(INDEX(对接源_02物料!$G$5:$G$460,MATCH(ROW()-3-N(对接源_01水果!$T$1),对接源_02物料!$Q$5:$Q$460,0)),"")))</f>
        <v/>
      </c>
      <c r="I73" s="26" t="str">
        <f>IFERROR(INDEX(收入成本映射!$C$4:$C$34,MATCH($D73,收入成本映射!$B$4:$B$34,0)),"不记账")</f>
        <v>不记账</v>
      </c>
      <c r="J73" s="26" t="str">
        <f t="shared" si="9"/>
        <v/>
      </c>
      <c r="K73" s="27">
        <f t="shared" si="10"/>
        <v>0</v>
      </c>
      <c r="L73" s="27">
        <v>0</v>
      </c>
      <c r="M73" s="26" t="str">
        <f>IF(OR($I73="不记账",ROUND(N($G73),2)=0),"",IFERROR(INDEX(收入成本映射!$E$4:$E$34,MATCH($D73,收入成本映射!$B$4:$B$34,0)),""))</f>
        <v/>
      </c>
      <c r="N73" s="27" t="str">
        <f t="shared" si="11"/>
        <v/>
      </c>
      <c r="O73" s="27" t="str">
        <f t="shared" si="12"/>
        <v/>
      </c>
      <c r="P73" s="26" t="str">
        <f>IF($M73="","",IFERROR(INDEX(收入成本映射!$F$4:$F$34,MATCH($D73,收入成本映射!$B$4:$B$34,0)),""))</f>
        <v/>
      </c>
      <c r="Q73" s="27" t="str">
        <f t="shared" si="13"/>
        <v/>
      </c>
      <c r="R73" s="27" t="str">
        <f t="shared" si="14"/>
        <v/>
      </c>
      <c r="S73" s="26" t="str">
        <f t="shared" si="15"/>
        <v/>
      </c>
      <c r="T73" s="27" t="str">
        <f t="shared" si="16"/>
        <v/>
      </c>
      <c r="U73" s="27" t="str">
        <f t="shared" si="17"/>
        <v/>
      </c>
      <c r="V73" s="10" t="str">
        <f>IF($B73="","",IF($B73="01水果",IFERROR(INDEX(对接源_01水果!$H$5:$H$507,MATCH(ROW()-3,对接源_01水果!$Q$5:$Q$507,0)),""),IFERROR(INDEX(对接源_02物料!$H$5:$H$460,MATCH(ROW()-3-N(对接源_01水果!$T$1),对接源_02物料!$Q$5:$Q$460,0)),"")))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4" ht="18" customHeight="1" spans="1:22">
      <c r="A74" s="10">
        <v>71</v>
      </c>
      <c r="B74" s="26" t="str">
        <f>IF(ROW()-3&lt;=N(对接源_01水果!$T$1),"01水果",IF(ROW()-3&lt;=N(对接源_01水果!$T$1)+N(对接源_02物料!$T$1),"02物料",""))</f>
        <v/>
      </c>
      <c r="C74" s="125" t="str">
        <f>IF($B74="","",IF($B74="01水果",IFERROR(INDEX(对接源_01水果!$B$5:$B$507,MATCH(ROW()-3,对接源_01水果!$Q$5:$Q$507,0)),""),IFERROR(INDEX(对接源_02物料!$B$5:$B$460,MATCH(ROW()-3-N(对接源_01水果!$T$1),对接源_02物料!$Q$5:$Q$460,0)),"")))</f>
        <v/>
      </c>
      <c r="D74" s="26" t="str">
        <f>IF($B74="","",IF($B74="01水果",IFERROR(INDEX(对接源_01水果!$C$5:$C$507,MATCH(ROW()-3,对接源_01水果!$Q$5:$Q$507,0)),""),IFERROR(INDEX(对接源_02物料!$C$5:$C$460,MATCH(ROW()-3-N(对接源_01水果!$T$1),对接源_02物料!$Q$5:$Q$460,0)),"")))</f>
        <v/>
      </c>
      <c r="E74" s="126" t="str">
        <f>IF($B74="","",IF($B74="01水果",IFERROR(INDEX(对接源_01水果!$D$5:$D$507,MATCH(ROW()-3,对接源_01水果!$Q$5:$Q$507,0)),""),IFERROR(INDEX(对接源_02物料!$D$5:$D$460,MATCH(ROW()-3-N(对接源_01水果!$T$1),对接源_02物料!$Q$5:$Q$460,0)),"")))</f>
        <v/>
      </c>
      <c r="F74" s="26" t="str">
        <f>IF($B74="","",IF($B74="01水果",IFERROR(INDEX(对接源_01水果!$E$5:$E$507,MATCH(ROW()-3,对接源_01水果!$Q$5:$Q$507,0)),""),IFERROR(INDEX(对接源_02物料!$E$5:$E$460,MATCH(ROW()-3-N(对接源_01水果!$T$1),对接源_02物料!$Q$5:$Q$460,0)),"")))</f>
        <v/>
      </c>
      <c r="G74" s="27" t="str">
        <f>IF($B74="","",IF($B74="01水果",IFERROR(INDEX(对接源_01水果!$F$5:$F$507,MATCH(ROW()-3,对接源_01水果!$Q$5:$Q$507,0)),""),IFERROR(INDEX(对接源_02物料!$F$5:$F$460,MATCH(ROW()-3-N(对接源_01水果!$T$1),对接源_02物料!$Q$5:$Q$460,0)),"")))</f>
        <v/>
      </c>
      <c r="H74" s="27" t="str">
        <f>IF($B74="","",IF($B74="01水果",IFERROR(INDEX(对接源_01水果!$G$5:$G$507,MATCH(ROW()-3,对接源_01水果!$Q$5:$Q$507,0)),""),IFERROR(INDEX(对接源_02物料!$G$5:$G$460,MATCH(ROW()-3-N(对接源_01水果!$T$1),对接源_02物料!$Q$5:$Q$460,0)),"")))</f>
        <v/>
      </c>
      <c r="I74" s="26" t="str">
        <f>IFERROR(INDEX(收入成本映射!$C$4:$C$34,MATCH($D74,收入成本映射!$B$4:$B$34,0)),"不记账")</f>
        <v>不记账</v>
      </c>
      <c r="J74" s="26" t="str">
        <f t="shared" si="9"/>
        <v/>
      </c>
      <c r="K74" s="27">
        <f t="shared" si="10"/>
        <v>0</v>
      </c>
      <c r="L74" s="27">
        <v>0</v>
      </c>
      <c r="M74" s="26" t="str">
        <f>IF(OR($I74="不记账",ROUND(N($G74),2)=0),"",IFERROR(INDEX(收入成本映射!$E$4:$E$34,MATCH($D74,收入成本映射!$B$4:$B$34,0)),""))</f>
        <v/>
      </c>
      <c r="N74" s="27" t="str">
        <f t="shared" si="11"/>
        <v/>
      </c>
      <c r="O74" s="27" t="str">
        <f t="shared" si="12"/>
        <v/>
      </c>
      <c r="P74" s="26" t="str">
        <f>IF($M74="","",IFERROR(INDEX(收入成本映射!$F$4:$F$34,MATCH($D74,收入成本映射!$B$4:$B$34,0)),""))</f>
        <v/>
      </c>
      <c r="Q74" s="27" t="str">
        <f t="shared" si="13"/>
        <v/>
      </c>
      <c r="R74" s="27" t="str">
        <f t="shared" si="14"/>
        <v/>
      </c>
      <c r="S74" s="26" t="str">
        <f t="shared" si="15"/>
        <v/>
      </c>
      <c r="T74" s="27" t="str">
        <f t="shared" si="16"/>
        <v/>
      </c>
      <c r="U74" s="27" t="str">
        <f t="shared" si="17"/>
        <v/>
      </c>
      <c r="V74" s="10" t="str">
        <f>IF($B74="","",IF($B74="01水果",IFERROR(INDEX(对接源_01水果!$H$5:$H$507,MATCH(ROW()-3,对接源_01水果!$Q$5:$Q$507,0)),""),IFERROR(INDEX(对接源_02物料!$H$5:$H$460,MATCH(ROW()-3-N(对接源_01水果!$T$1),对接源_02物料!$Q$5:$Q$460,0)),"")))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5" ht="18" customHeight="1" spans="1:22">
      <c r="A75" s="10">
        <v>72</v>
      </c>
      <c r="B75" s="26" t="str">
        <f>IF(ROW()-3&lt;=N(对接源_01水果!$T$1),"01水果",IF(ROW()-3&lt;=N(对接源_01水果!$T$1)+N(对接源_02物料!$T$1),"02物料",""))</f>
        <v/>
      </c>
      <c r="C75" s="125" t="str">
        <f>IF($B75="","",IF($B75="01水果",IFERROR(INDEX(对接源_01水果!$B$5:$B$507,MATCH(ROW()-3,对接源_01水果!$Q$5:$Q$507,0)),""),IFERROR(INDEX(对接源_02物料!$B$5:$B$460,MATCH(ROW()-3-N(对接源_01水果!$T$1),对接源_02物料!$Q$5:$Q$460,0)),"")))</f>
        <v/>
      </c>
      <c r="D75" s="26" t="str">
        <f>IF($B75="","",IF($B75="01水果",IFERROR(INDEX(对接源_01水果!$C$5:$C$507,MATCH(ROW()-3,对接源_01水果!$Q$5:$Q$507,0)),""),IFERROR(INDEX(对接源_02物料!$C$5:$C$460,MATCH(ROW()-3-N(对接源_01水果!$T$1),对接源_02物料!$Q$5:$Q$460,0)),"")))</f>
        <v/>
      </c>
      <c r="E75" s="126" t="str">
        <f>IF($B75="","",IF($B75="01水果",IFERROR(INDEX(对接源_01水果!$D$5:$D$507,MATCH(ROW()-3,对接源_01水果!$Q$5:$Q$507,0)),""),IFERROR(INDEX(对接源_02物料!$D$5:$D$460,MATCH(ROW()-3-N(对接源_01水果!$T$1),对接源_02物料!$Q$5:$Q$460,0)),"")))</f>
        <v/>
      </c>
      <c r="F75" s="26" t="str">
        <f>IF($B75="","",IF($B75="01水果",IFERROR(INDEX(对接源_01水果!$E$5:$E$507,MATCH(ROW()-3,对接源_01水果!$Q$5:$Q$507,0)),""),IFERROR(INDEX(对接源_02物料!$E$5:$E$460,MATCH(ROW()-3-N(对接源_01水果!$T$1),对接源_02物料!$Q$5:$Q$460,0)),"")))</f>
        <v/>
      </c>
      <c r="G75" s="27" t="str">
        <f>IF($B75="","",IF($B75="01水果",IFERROR(INDEX(对接源_01水果!$F$5:$F$507,MATCH(ROW()-3,对接源_01水果!$Q$5:$Q$507,0)),""),IFERROR(INDEX(对接源_02物料!$F$5:$F$460,MATCH(ROW()-3-N(对接源_01水果!$T$1),对接源_02物料!$Q$5:$Q$460,0)),"")))</f>
        <v/>
      </c>
      <c r="H75" s="27" t="str">
        <f>IF($B75="","",IF($B75="01水果",IFERROR(INDEX(对接源_01水果!$G$5:$G$507,MATCH(ROW()-3,对接源_01水果!$Q$5:$Q$507,0)),""),IFERROR(INDEX(对接源_02物料!$G$5:$G$460,MATCH(ROW()-3-N(对接源_01水果!$T$1),对接源_02物料!$Q$5:$Q$460,0)),"")))</f>
        <v/>
      </c>
      <c r="I75" s="26" t="str">
        <f>IFERROR(INDEX(收入成本映射!$C$4:$C$34,MATCH($D75,收入成本映射!$B$4:$B$34,0)),"不记账")</f>
        <v>不记账</v>
      </c>
      <c r="J75" s="26" t="str">
        <f t="shared" si="9"/>
        <v/>
      </c>
      <c r="K75" s="27">
        <f t="shared" si="10"/>
        <v>0</v>
      </c>
      <c r="L75" s="27">
        <v>0</v>
      </c>
      <c r="M75" s="26" t="str">
        <f>IF(OR($I75="不记账",ROUND(N($G75),2)=0),"",IFERROR(INDEX(收入成本映射!$E$4:$E$34,MATCH($D75,收入成本映射!$B$4:$B$34,0)),""))</f>
        <v/>
      </c>
      <c r="N75" s="27" t="str">
        <f t="shared" si="11"/>
        <v/>
      </c>
      <c r="O75" s="27" t="str">
        <f t="shared" si="12"/>
        <v/>
      </c>
      <c r="P75" s="26" t="str">
        <f>IF($M75="","",IFERROR(INDEX(收入成本映射!$F$4:$F$34,MATCH($D75,收入成本映射!$B$4:$B$34,0)),""))</f>
        <v/>
      </c>
      <c r="Q75" s="27" t="str">
        <f t="shared" si="13"/>
        <v/>
      </c>
      <c r="R75" s="27" t="str">
        <f t="shared" si="14"/>
        <v/>
      </c>
      <c r="S75" s="26" t="str">
        <f t="shared" si="15"/>
        <v/>
      </c>
      <c r="T75" s="27" t="str">
        <f t="shared" si="16"/>
        <v/>
      </c>
      <c r="U75" s="27" t="str">
        <f t="shared" si="17"/>
        <v/>
      </c>
      <c r="V75" s="10" t="str">
        <f>IF($B75="","",IF($B75="01水果",IFERROR(INDEX(对接源_01水果!$H$5:$H$507,MATCH(ROW()-3,对接源_01水果!$Q$5:$Q$507,0)),""),IFERROR(INDEX(对接源_02物料!$H$5:$H$460,MATCH(ROW()-3-N(对接源_01水果!$T$1),对接源_02物料!$Q$5:$Q$460,0)),"")))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6" ht="18" customHeight="1" spans="1:22">
      <c r="A76" s="10">
        <v>73</v>
      </c>
      <c r="B76" s="26" t="str">
        <f>IF(ROW()-3&lt;=N(对接源_01水果!$T$1),"01水果",IF(ROW()-3&lt;=N(对接源_01水果!$T$1)+N(对接源_02物料!$T$1),"02物料",""))</f>
        <v/>
      </c>
      <c r="C76" s="125" t="str">
        <f>IF($B76="","",IF($B76="01水果",IFERROR(INDEX(对接源_01水果!$B$5:$B$507,MATCH(ROW()-3,对接源_01水果!$Q$5:$Q$507,0)),""),IFERROR(INDEX(对接源_02物料!$B$5:$B$460,MATCH(ROW()-3-N(对接源_01水果!$T$1),对接源_02物料!$Q$5:$Q$460,0)),"")))</f>
        <v/>
      </c>
      <c r="D76" s="26" t="str">
        <f>IF($B76="","",IF($B76="01水果",IFERROR(INDEX(对接源_01水果!$C$5:$C$507,MATCH(ROW()-3,对接源_01水果!$Q$5:$Q$507,0)),""),IFERROR(INDEX(对接源_02物料!$C$5:$C$460,MATCH(ROW()-3-N(对接源_01水果!$T$1),对接源_02物料!$Q$5:$Q$460,0)),"")))</f>
        <v/>
      </c>
      <c r="E76" s="126" t="str">
        <f>IF($B76="","",IF($B76="01水果",IFERROR(INDEX(对接源_01水果!$D$5:$D$507,MATCH(ROW()-3,对接源_01水果!$Q$5:$Q$507,0)),""),IFERROR(INDEX(对接源_02物料!$D$5:$D$460,MATCH(ROW()-3-N(对接源_01水果!$T$1),对接源_02物料!$Q$5:$Q$460,0)),"")))</f>
        <v/>
      </c>
      <c r="F76" s="26" t="str">
        <f>IF($B76="","",IF($B76="01水果",IFERROR(INDEX(对接源_01水果!$E$5:$E$507,MATCH(ROW()-3,对接源_01水果!$Q$5:$Q$507,0)),""),IFERROR(INDEX(对接源_02物料!$E$5:$E$460,MATCH(ROW()-3-N(对接源_01水果!$T$1),对接源_02物料!$Q$5:$Q$460,0)),"")))</f>
        <v/>
      </c>
      <c r="G76" s="27" t="str">
        <f>IF($B76="","",IF($B76="01水果",IFERROR(INDEX(对接源_01水果!$F$5:$F$507,MATCH(ROW()-3,对接源_01水果!$Q$5:$Q$507,0)),""),IFERROR(INDEX(对接源_02物料!$F$5:$F$460,MATCH(ROW()-3-N(对接源_01水果!$T$1),对接源_02物料!$Q$5:$Q$460,0)),"")))</f>
        <v/>
      </c>
      <c r="H76" s="27" t="str">
        <f>IF($B76="","",IF($B76="01水果",IFERROR(INDEX(对接源_01水果!$G$5:$G$507,MATCH(ROW()-3,对接源_01水果!$Q$5:$Q$507,0)),""),IFERROR(INDEX(对接源_02物料!$G$5:$G$460,MATCH(ROW()-3-N(对接源_01水果!$T$1),对接源_02物料!$Q$5:$Q$460,0)),"")))</f>
        <v/>
      </c>
      <c r="I76" s="26" t="str">
        <f>IFERROR(INDEX(收入成本映射!$C$4:$C$34,MATCH($D76,收入成本映射!$B$4:$B$34,0)),"不记账")</f>
        <v>不记账</v>
      </c>
      <c r="J76" s="26" t="str">
        <f t="shared" si="9"/>
        <v/>
      </c>
      <c r="K76" s="27">
        <f t="shared" si="10"/>
        <v>0</v>
      </c>
      <c r="L76" s="27">
        <v>0</v>
      </c>
      <c r="M76" s="26" t="str">
        <f>IF(OR($I76="不记账",ROUND(N($G76),2)=0),"",IFERROR(INDEX(收入成本映射!$E$4:$E$34,MATCH($D76,收入成本映射!$B$4:$B$34,0)),""))</f>
        <v/>
      </c>
      <c r="N76" s="27" t="str">
        <f t="shared" si="11"/>
        <v/>
      </c>
      <c r="O76" s="27" t="str">
        <f t="shared" si="12"/>
        <v/>
      </c>
      <c r="P76" s="26" t="str">
        <f>IF($M76="","",IFERROR(INDEX(收入成本映射!$F$4:$F$34,MATCH($D76,收入成本映射!$B$4:$B$34,0)),""))</f>
        <v/>
      </c>
      <c r="Q76" s="27" t="str">
        <f t="shared" si="13"/>
        <v/>
      </c>
      <c r="R76" s="27" t="str">
        <f t="shared" si="14"/>
        <v/>
      </c>
      <c r="S76" s="26" t="str">
        <f t="shared" si="15"/>
        <v/>
      </c>
      <c r="T76" s="27" t="str">
        <f t="shared" si="16"/>
        <v/>
      </c>
      <c r="U76" s="27" t="str">
        <f t="shared" si="17"/>
        <v/>
      </c>
      <c r="V76" s="10" t="str">
        <f>IF($B76="","",IF($B76="01水果",IFERROR(INDEX(对接源_01水果!$H$5:$H$507,MATCH(ROW()-3,对接源_01水果!$Q$5:$Q$507,0)),""),IFERROR(INDEX(对接源_02物料!$H$5:$H$460,MATCH(ROW()-3-N(对接源_01水果!$T$1),对接源_02物料!$Q$5:$Q$460,0)),"")))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7" ht="18" customHeight="1" spans="1:22">
      <c r="A77" s="10">
        <v>74</v>
      </c>
      <c r="B77" s="26" t="str">
        <f>IF(ROW()-3&lt;=N(对接源_01水果!$T$1),"01水果",IF(ROW()-3&lt;=N(对接源_01水果!$T$1)+N(对接源_02物料!$T$1),"02物料",""))</f>
        <v/>
      </c>
      <c r="C77" s="125" t="str">
        <f>IF($B77="","",IF($B77="01水果",IFERROR(INDEX(对接源_01水果!$B$5:$B$507,MATCH(ROW()-3,对接源_01水果!$Q$5:$Q$507,0)),""),IFERROR(INDEX(对接源_02物料!$B$5:$B$460,MATCH(ROW()-3-N(对接源_01水果!$T$1),对接源_02物料!$Q$5:$Q$460,0)),"")))</f>
        <v/>
      </c>
      <c r="D77" s="26" t="str">
        <f>IF($B77="","",IF($B77="01水果",IFERROR(INDEX(对接源_01水果!$C$5:$C$507,MATCH(ROW()-3,对接源_01水果!$Q$5:$Q$507,0)),""),IFERROR(INDEX(对接源_02物料!$C$5:$C$460,MATCH(ROW()-3-N(对接源_01水果!$T$1),对接源_02物料!$Q$5:$Q$460,0)),"")))</f>
        <v/>
      </c>
      <c r="E77" s="126" t="str">
        <f>IF($B77="","",IF($B77="01水果",IFERROR(INDEX(对接源_01水果!$D$5:$D$507,MATCH(ROW()-3,对接源_01水果!$Q$5:$Q$507,0)),""),IFERROR(INDEX(对接源_02物料!$D$5:$D$460,MATCH(ROW()-3-N(对接源_01水果!$T$1),对接源_02物料!$Q$5:$Q$460,0)),"")))</f>
        <v/>
      </c>
      <c r="F77" s="26" t="str">
        <f>IF($B77="","",IF($B77="01水果",IFERROR(INDEX(对接源_01水果!$E$5:$E$507,MATCH(ROW()-3,对接源_01水果!$Q$5:$Q$507,0)),""),IFERROR(INDEX(对接源_02物料!$E$5:$E$460,MATCH(ROW()-3-N(对接源_01水果!$T$1),对接源_02物料!$Q$5:$Q$460,0)),"")))</f>
        <v/>
      </c>
      <c r="G77" s="27" t="str">
        <f>IF($B77="","",IF($B77="01水果",IFERROR(INDEX(对接源_01水果!$F$5:$F$507,MATCH(ROW()-3,对接源_01水果!$Q$5:$Q$507,0)),""),IFERROR(INDEX(对接源_02物料!$F$5:$F$460,MATCH(ROW()-3-N(对接源_01水果!$T$1),对接源_02物料!$Q$5:$Q$460,0)),"")))</f>
        <v/>
      </c>
      <c r="H77" s="27" t="str">
        <f>IF($B77="","",IF($B77="01水果",IFERROR(INDEX(对接源_01水果!$G$5:$G$507,MATCH(ROW()-3,对接源_01水果!$Q$5:$Q$507,0)),""),IFERROR(INDEX(对接源_02物料!$G$5:$G$460,MATCH(ROW()-3-N(对接源_01水果!$T$1),对接源_02物料!$Q$5:$Q$460,0)),"")))</f>
        <v/>
      </c>
      <c r="I77" s="26" t="str">
        <f>IFERROR(INDEX(收入成本映射!$C$4:$C$34,MATCH($D77,收入成本映射!$B$4:$B$34,0)),"不记账")</f>
        <v>不记账</v>
      </c>
      <c r="J77" s="26" t="str">
        <f t="shared" si="9"/>
        <v/>
      </c>
      <c r="K77" s="27">
        <f t="shared" si="10"/>
        <v>0</v>
      </c>
      <c r="L77" s="27">
        <v>0</v>
      </c>
      <c r="M77" s="26" t="str">
        <f>IF(OR($I77="不记账",ROUND(N($G77),2)=0),"",IFERROR(INDEX(收入成本映射!$E$4:$E$34,MATCH($D77,收入成本映射!$B$4:$B$34,0)),""))</f>
        <v/>
      </c>
      <c r="N77" s="27" t="str">
        <f t="shared" si="11"/>
        <v/>
      </c>
      <c r="O77" s="27" t="str">
        <f t="shared" si="12"/>
        <v/>
      </c>
      <c r="P77" s="26" t="str">
        <f>IF($M77="","",IFERROR(INDEX(收入成本映射!$F$4:$F$34,MATCH($D77,收入成本映射!$B$4:$B$34,0)),""))</f>
        <v/>
      </c>
      <c r="Q77" s="27" t="str">
        <f t="shared" si="13"/>
        <v/>
      </c>
      <c r="R77" s="27" t="str">
        <f t="shared" si="14"/>
        <v/>
      </c>
      <c r="S77" s="26" t="str">
        <f t="shared" si="15"/>
        <v/>
      </c>
      <c r="T77" s="27" t="str">
        <f t="shared" si="16"/>
        <v/>
      </c>
      <c r="U77" s="27" t="str">
        <f t="shared" si="17"/>
        <v/>
      </c>
      <c r="V77" s="10" t="str">
        <f>IF($B77="","",IF($B77="01水果",IFERROR(INDEX(对接源_01水果!$H$5:$H$507,MATCH(ROW()-3,对接源_01水果!$Q$5:$Q$507,0)),""),IFERROR(INDEX(对接源_02物料!$H$5:$H$460,MATCH(ROW()-3-N(对接源_01水果!$T$1),对接源_02物料!$Q$5:$Q$460,0)),"")))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8" ht="18" customHeight="1" spans="1:22">
      <c r="A78" s="10">
        <v>75</v>
      </c>
      <c r="B78" s="26" t="str">
        <f>IF(ROW()-3&lt;=N(对接源_01水果!$T$1),"01水果",IF(ROW()-3&lt;=N(对接源_01水果!$T$1)+N(对接源_02物料!$T$1),"02物料",""))</f>
        <v/>
      </c>
      <c r="C78" s="125" t="str">
        <f>IF($B78="","",IF($B78="01水果",IFERROR(INDEX(对接源_01水果!$B$5:$B$507,MATCH(ROW()-3,对接源_01水果!$Q$5:$Q$507,0)),""),IFERROR(INDEX(对接源_02物料!$B$5:$B$460,MATCH(ROW()-3-N(对接源_01水果!$T$1),对接源_02物料!$Q$5:$Q$460,0)),"")))</f>
        <v/>
      </c>
      <c r="D78" s="26" t="str">
        <f>IF($B78="","",IF($B78="01水果",IFERROR(INDEX(对接源_01水果!$C$5:$C$507,MATCH(ROW()-3,对接源_01水果!$Q$5:$Q$507,0)),""),IFERROR(INDEX(对接源_02物料!$C$5:$C$460,MATCH(ROW()-3-N(对接源_01水果!$T$1),对接源_02物料!$Q$5:$Q$460,0)),"")))</f>
        <v/>
      </c>
      <c r="E78" s="126" t="str">
        <f>IF($B78="","",IF($B78="01水果",IFERROR(INDEX(对接源_01水果!$D$5:$D$507,MATCH(ROW()-3,对接源_01水果!$Q$5:$Q$507,0)),""),IFERROR(INDEX(对接源_02物料!$D$5:$D$460,MATCH(ROW()-3-N(对接源_01水果!$T$1),对接源_02物料!$Q$5:$Q$460,0)),"")))</f>
        <v/>
      </c>
      <c r="F78" s="26" t="str">
        <f>IF($B78="","",IF($B78="01水果",IFERROR(INDEX(对接源_01水果!$E$5:$E$507,MATCH(ROW()-3,对接源_01水果!$Q$5:$Q$507,0)),""),IFERROR(INDEX(对接源_02物料!$E$5:$E$460,MATCH(ROW()-3-N(对接源_01水果!$T$1),对接源_02物料!$Q$5:$Q$460,0)),"")))</f>
        <v/>
      </c>
      <c r="G78" s="27" t="str">
        <f>IF($B78="","",IF($B78="01水果",IFERROR(INDEX(对接源_01水果!$F$5:$F$507,MATCH(ROW()-3,对接源_01水果!$Q$5:$Q$507,0)),""),IFERROR(INDEX(对接源_02物料!$F$5:$F$460,MATCH(ROW()-3-N(对接源_01水果!$T$1),对接源_02物料!$Q$5:$Q$460,0)),"")))</f>
        <v/>
      </c>
      <c r="H78" s="27" t="str">
        <f>IF($B78="","",IF($B78="01水果",IFERROR(INDEX(对接源_01水果!$G$5:$G$507,MATCH(ROW()-3,对接源_01水果!$Q$5:$Q$507,0)),""),IFERROR(INDEX(对接源_02物料!$G$5:$G$460,MATCH(ROW()-3-N(对接源_01水果!$T$1),对接源_02物料!$Q$5:$Q$460,0)),"")))</f>
        <v/>
      </c>
      <c r="I78" s="26" t="str">
        <f>IFERROR(INDEX(收入成本映射!$C$4:$C$34,MATCH($D78,收入成本映射!$B$4:$B$34,0)),"不记账")</f>
        <v>不记账</v>
      </c>
      <c r="J78" s="26" t="str">
        <f t="shared" si="9"/>
        <v/>
      </c>
      <c r="K78" s="27">
        <f t="shared" si="10"/>
        <v>0</v>
      </c>
      <c r="L78" s="27">
        <v>0</v>
      </c>
      <c r="M78" s="26" t="str">
        <f>IF(OR($I78="不记账",ROUND(N($G78),2)=0),"",IFERROR(INDEX(收入成本映射!$E$4:$E$34,MATCH($D78,收入成本映射!$B$4:$B$34,0)),""))</f>
        <v/>
      </c>
      <c r="N78" s="27" t="str">
        <f t="shared" si="11"/>
        <v/>
      </c>
      <c r="O78" s="27" t="str">
        <f t="shared" si="12"/>
        <v/>
      </c>
      <c r="P78" s="26" t="str">
        <f>IF($M78="","",IFERROR(INDEX(收入成本映射!$F$4:$F$34,MATCH($D78,收入成本映射!$B$4:$B$34,0)),""))</f>
        <v/>
      </c>
      <c r="Q78" s="27" t="str">
        <f t="shared" si="13"/>
        <v/>
      </c>
      <c r="R78" s="27" t="str">
        <f t="shared" si="14"/>
        <v/>
      </c>
      <c r="S78" s="26" t="str">
        <f t="shared" si="15"/>
        <v/>
      </c>
      <c r="T78" s="27" t="str">
        <f t="shared" si="16"/>
        <v/>
      </c>
      <c r="U78" s="27" t="str">
        <f t="shared" si="17"/>
        <v/>
      </c>
      <c r="V78" s="10" t="str">
        <f>IF($B78="","",IF($B78="01水果",IFERROR(INDEX(对接源_01水果!$H$5:$H$507,MATCH(ROW()-3,对接源_01水果!$Q$5:$Q$507,0)),""),IFERROR(INDEX(对接源_02物料!$H$5:$H$460,MATCH(ROW()-3-N(对接源_01水果!$T$1),对接源_02物料!$Q$5:$Q$460,0)),"")))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9" ht="18" customHeight="1" spans="1:22">
      <c r="A79" s="10">
        <v>76</v>
      </c>
      <c r="B79" s="26" t="str">
        <f>IF(ROW()-3&lt;=N(对接源_01水果!$T$1),"01水果",IF(ROW()-3&lt;=N(对接源_01水果!$T$1)+N(对接源_02物料!$T$1),"02物料",""))</f>
        <v/>
      </c>
      <c r="C79" s="125" t="str">
        <f>IF($B79="","",IF($B79="01水果",IFERROR(INDEX(对接源_01水果!$B$5:$B$507,MATCH(ROW()-3,对接源_01水果!$Q$5:$Q$507,0)),""),IFERROR(INDEX(对接源_02物料!$B$5:$B$460,MATCH(ROW()-3-N(对接源_01水果!$T$1),对接源_02物料!$Q$5:$Q$460,0)),"")))</f>
        <v/>
      </c>
      <c r="D79" s="26" t="str">
        <f>IF($B79="","",IF($B79="01水果",IFERROR(INDEX(对接源_01水果!$C$5:$C$507,MATCH(ROW()-3,对接源_01水果!$Q$5:$Q$507,0)),""),IFERROR(INDEX(对接源_02物料!$C$5:$C$460,MATCH(ROW()-3-N(对接源_01水果!$T$1),对接源_02物料!$Q$5:$Q$460,0)),"")))</f>
        <v/>
      </c>
      <c r="E79" s="126" t="str">
        <f>IF($B79="","",IF($B79="01水果",IFERROR(INDEX(对接源_01水果!$D$5:$D$507,MATCH(ROW()-3,对接源_01水果!$Q$5:$Q$507,0)),""),IFERROR(INDEX(对接源_02物料!$D$5:$D$460,MATCH(ROW()-3-N(对接源_01水果!$T$1),对接源_02物料!$Q$5:$Q$460,0)),"")))</f>
        <v/>
      </c>
      <c r="F79" s="26" t="str">
        <f>IF($B79="","",IF($B79="01水果",IFERROR(INDEX(对接源_01水果!$E$5:$E$507,MATCH(ROW()-3,对接源_01水果!$Q$5:$Q$507,0)),""),IFERROR(INDEX(对接源_02物料!$E$5:$E$460,MATCH(ROW()-3-N(对接源_01水果!$T$1),对接源_02物料!$Q$5:$Q$460,0)),"")))</f>
        <v/>
      </c>
      <c r="G79" s="27" t="str">
        <f>IF($B79="","",IF($B79="01水果",IFERROR(INDEX(对接源_01水果!$F$5:$F$507,MATCH(ROW()-3,对接源_01水果!$Q$5:$Q$507,0)),""),IFERROR(INDEX(对接源_02物料!$F$5:$F$460,MATCH(ROW()-3-N(对接源_01水果!$T$1),对接源_02物料!$Q$5:$Q$460,0)),"")))</f>
        <v/>
      </c>
      <c r="H79" s="27" t="str">
        <f>IF($B79="","",IF($B79="01水果",IFERROR(INDEX(对接源_01水果!$G$5:$G$507,MATCH(ROW()-3,对接源_01水果!$Q$5:$Q$507,0)),""),IFERROR(INDEX(对接源_02物料!$G$5:$G$460,MATCH(ROW()-3-N(对接源_01水果!$T$1),对接源_02物料!$Q$5:$Q$460,0)),"")))</f>
        <v/>
      </c>
      <c r="I79" s="26" t="str">
        <f>IFERROR(INDEX(收入成本映射!$C$4:$C$34,MATCH($D79,收入成本映射!$B$4:$B$34,0)),"不记账")</f>
        <v>不记账</v>
      </c>
      <c r="J79" s="26" t="str">
        <f t="shared" si="9"/>
        <v/>
      </c>
      <c r="K79" s="27">
        <f t="shared" si="10"/>
        <v>0</v>
      </c>
      <c r="L79" s="27">
        <v>0</v>
      </c>
      <c r="M79" s="26" t="str">
        <f>IF(OR($I79="不记账",ROUND(N($G79),2)=0),"",IFERROR(INDEX(收入成本映射!$E$4:$E$34,MATCH($D79,收入成本映射!$B$4:$B$34,0)),""))</f>
        <v/>
      </c>
      <c r="N79" s="27" t="str">
        <f t="shared" si="11"/>
        <v/>
      </c>
      <c r="O79" s="27" t="str">
        <f t="shared" si="12"/>
        <v/>
      </c>
      <c r="P79" s="26" t="str">
        <f>IF($M79="","",IFERROR(INDEX(收入成本映射!$F$4:$F$34,MATCH($D79,收入成本映射!$B$4:$B$34,0)),""))</f>
        <v/>
      </c>
      <c r="Q79" s="27" t="str">
        <f t="shared" si="13"/>
        <v/>
      </c>
      <c r="R79" s="27" t="str">
        <f t="shared" si="14"/>
        <v/>
      </c>
      <c r="S79" s="26" t="str">
        <f t="shared" si="15"/>
        <v/>
      </c>
      <c r="T79" s="27" t="str">
        <f t="shared" si="16"/>
        <v/>
      </c>
      <c r="U79" s="27" t="str">
        <f t="shared" si="17"/>
        <v/>
      </c>
      <c r="V79" s="10" t="str">
        <f>IF($B79="","",IF($B79="01水果",IFERROR(INDEX(对接源_01水果!$H$5:$H$507,MATCH(ROW()-3,对接源_01水果!$Q$5:$Q$507,0)),""),IFERROR(INDEX(对接源_02物料!$H$5:$H$460,MATCH(ROW()-3-N(对接源_01水果!$T$1),对接源_02物料!$Q$5:$Q$460,0)),"")))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0" ht="18" customHeight="1" spans="1:22">
      <c r="A80" s="10">
        <v>77</v>
      </c>
      <c r="B80" s="26" t="str">
        <f>IF(ROW()-3&lt;=N(对接源_01水果!$T$1),"01水果",IF(ROW()-3&lt;=N(对接源_01水果!$T$1)+N(对接源_02物料!$T$1),"02物料",""))</f>
        <v/>
      </c>
      <c r="C80" s="125" t="str">
        <f>IF($B80="","",IF($B80="01水果",IFERROR(INDEX(对接源_01水果!$B$5:$B$507,MATCH(ROW()-3,对接源_01水果!$Q$5:$Q$507,0)),""),IFERROR(INDEX(对接源_02物料!$B$5:$B$460,MATCH(ROW()-3-N(对接源_01水果!$T$1),对接源_02物料!$Q$5:$Q$460,0)),"")))</f>
        <v/>
      </c>
      <c r="D80" s="26" t="str">
        <f>IF($B80="","",IF($B80="01水果",IFERROR(INDEX(对接源_01水果!$C$5:$C$507,MATCH(ROW()-3,对接源_01水果!$Q$5:$Q$507,0)),""),IFERROR(INDEX(对接源_02物料!$C$5:$C$460,MATCH(ROW()-3-N(对接源_01水果!$T$1),对接源_02物料!$Q$5:$Q$460,0)),"")))</f>
        <v/>
      </c>
      <c r="E80" s="126" t="str">
        <f>IF($B80="","",IF($B80="01水果",IFERROR(INDEX(对接源_01水果!$D$5:$D$507,MATCH(ROW()-3,对接源_01水果!$Q$5:$Q$507,0)),""),IFERROR(INDEX(对接源_02物料!$D$5:$D$460,MATCH(ROW()-3-N(对接源_01水果!$T$1),对接源_02物料!$Q$5:$Q$460,0)),"")))</f>
        <v/>
      </c>
      <c r="F80" s="26" t="str">
        <f>IF($B80="","",IF($B80="01水果",IFERROR(INDEX(对接源_01水果!$E$5:$E$507,MATCH(ROW()-3,对接源_01水果!$Q$5:$Q$507,0)),""),IFERROR(INDEX(对接源_02物料!$E$5:$E$460,MATCH(ROW()-3-N(对接源_01水果!$T$1),对接源_02物料!$Q$5:$Q$460,0)),"")))</f>
        <v/>
      </c>
      <c r="G80" s="27" t="str">
        <f>IF($B80="","",IF($B80="01水果",IFERROR(INDEX(对接源_01水果!$F$5:$F$507,MATCH(ROW()-3,对接源_01水果!$Q$5:$Q$507,0)),""),IFERROR(INDEX(对接源_02物料!$F$5:$F$460,MATCH(ROW()-3-N(对接源_01水果!$T$1),对接源_02物料!$Q$5:$Q$460,0)),"")))</f>
        <v/>
      </c>
      <c r="H80" s="27" t="str">
        <f>IF($B80="","",IF($B80="01水果",IFERROR(INDEX(对接源_01水果!$G$5:$G$507,MATCH(ROW()-3,对接源_01水果!$Q$5:$Q$507,0)),""),IFERROR(INDEX(对接源_02物料!$G$5:$G$460,MATCH(ROW()-3-N(对接源_01水果!$T$1),对接源_02物料!$Q$5:$Q$460,0)),"")))</f>
        <v/>
      </c>
      <c r="I80" s="26" t="str">
        <f>IFERROR(INDEX(收入成本映射!$C$4:$C$34,MATCH($D80,收入成本映射!$B$4:$B$34,0)),"不记账")</f>
        <v>不记账</v>
      </c>
      <c r="J80" s="26" t="str">
        <f t="shared" si="9"/>
        <v/>
      </c>
      <c r="K80" s="27">
        <f t="shared" si="10"/>
        <v>0</v>
      </c>
      <c r="L80" s="27">
        <v>0</v>
      </c>
      <c r="M80" s="26" t="str">
        <f>IF(OR($I80="不记账",ROUND(N($G80),2)=0),"",IFERROR(INDEX(收入成本映射!$E$4:$E$34,MATCH($D80,收入成本映射!$B$4:$B$34,0)),""))</f>
        <v/>
      </c>
      <c r="N80" s="27" t="str">
        <f t="shared" si="11"/>
        <v/>
      </c>
      <c r="O80" s="27" t="str">
        <f t="shared" si="12"/>
        <v/>
      </c>
      <c r="P80" s="26" t="str">
        <f>IF($M80="","",IFERROR(INDEX(收入成本映射!$F$4:$F$34,MATCH($D80,收入成本映射!$B$4:$B$34,0)),""))</f>
        <v/>
      </c>
      <c r="Q80" s="27" t="str">
        <f t="shared" si="13"/>
        <v/>
      </c>
      <c r="R80" s="27" t="str">
        <f t="shared" si="14"/>
        <v/>
      </c>
      <c r="S80" s="26" t="str">
        <f t="shared" si="15"/>
        <v/>
      </c>
      <c r="T80" s="27" t="str">
        <f t="shared" si="16"/>
        <v/>
      </c>
      <c r="U80" s="27" t="str">
        <f t="shared" si="17"/>
        <v/>
      </c>
      <c r="V80" s="10" t="str">
        <f>IF($B80="","",IF($B80="01水果",IFERROR(INDEX(对接源_01水果!$H$5:$H$507,MATCH(ROW()-3,对接源_01水果!$Q$5:$Q$507,0)),""),IFERROR(INDEX(对接源_02物料!$H$5:$H$460,MATCH(ROW()-3-N(对接源_01水果!$T$1),对接源_02物料!$Q$5:$Q$460,0)),"")))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1" ht="18" customHeight="1" spans="1:22">
      <c r="A81" s="10">
        <v>78</v>
      </c>
      <c r="B81" s="26" t="str">
        <f>IF(ROW()-3&lt;=N(对接源_01水果!$T$1),"01水果",IF(ROW()-3&lt;=N(对接源_01水果!$T$1)+N(对接源_02物料!$T$1),"02物料",""))</f>
        <v/>
      </c>
      <c r="C81" s="125" t="str">
        <f>IF($B81="","",IF($B81="01水果",IFERROR(INDEX(对接源_01水果!$B$5:$B$507,MATCH(ROW()-3,对接源_01水果!$Q$5:$Q$507,0)),""),IFERROR(INDEX(对接源_02物料!$B$5:$B$460,MATCH(ROW()-3-N(对接源_01水果!$T$1),对接源_02物料!$Q$5:$Q$460,0)),"")))</f>
        <v/>
      </c>
      <c r="D81" s="26" t="str">
        <f>IF($B81="","",IF($B81="01水果",IFERROR(INDEX(对接源_01水果!$C$5:$C$507,MATCH(ROW()-3,对接源_01水果!$Q$5:$Q$507,0)),""),IFERROR(INDEX(对接源_02物料!$C$5:$C$460,MATCH(ROW()-3-N(对接源_01水果!$T$1),对接源_02物料!$Q$5:$Q$460,0)),"")))</f>
        <v/>
      </c>
      <c r="E81" s="126" t="str">
        <f>IF($B81="","",IF($B81="01水果",IFERROR(INDEX(对接源_01水果!$D$5:$D$507,MATCH(ROW()-3,对接源_01水果!$Q$5:$Q$507,0)),""),IFERROR(INDEX(对接源_02物料!$D$5:$D$460,MATCH(ROW()-3-N(对接源_01水果!$T$1),对接源_02物料!$Q$5:$Q$460,0)),"")))</f>
        <v/>
      </c>
      <c r="F81" s="26" t="str">
        <f>IF($B81="","",IF($B81="01水果",IFERROR(INDEX(对接源_01水果!$E$5:$E$507,MATCH(ROW()-3,对接源_01水果!$Q$5:$Q$507,0)),""),IFERROR(INDEX(对接源_02物料!$E$5:$E$460,MATCH(ROW()-3-N(对接源_01水果!$T$1),对接源_02物料!$Q$5:$Q$460,0)),"")))</f>
        <v/>
      </c>
      <c r="G81" s="27" t="str">
        <f>IF($B81="","",IF($B81="01水果",IFERROR(INDEX(对接源_01水果!$F$5:$F$507,MATCH(ROW()-3,对接源_01水果!$Q$5:$Q$507,0)),""),IFERROR(INDEX(对接源_02物料!$F$5:$F$460,MATCH(ROW()-3-N(对接源_01水果!$T$1),对接源_02物料!$Q$5:$Q$460,0)),"")))</f>
        <v/>
      </c>
      <c r="H81" s="27" t="str">
        <f>IF($B81="","",IF($B81="01水果",IFERROR(INDEX(对接源_01水果!$G$5:$G$507,MATCH(ROW()-3,对接源_01水果!$Q$5:$Q$507,0)),""),IFERROR(INDEX(对接源_02物料!$G$5:$G$460,MATCH(ROW()-3-N(对接源_01水果!$T$1),对接源_02物料!$Q$5:$Q$460,0)),"")))</f>
        <v/>
      </c>
      <c r="I81" s="26" t="str">
        <f>IFERROR(INDEX(收入成本映射!$C$4:$C$34,MATCH($D81,收入成本映射!$B$4:$B$34,0)),"不记账")</f>
        <v>不记账</v>
      </c>
      <c r="J81" s="26" t="str">
        <f t="shared" si="9"/>
        <v/>
      </c>
      <c r="K81" s="27">
        <f t="shared" si="10"/>
        <v>0</v>
      </c>
      <c r="L81" s="27">
        <v>0</v>
      </c>
      <c r="M81" s="26" t="str">
        <f>IF(OR($I81="不记账",ROUND(N($G81),2)=0),"",IFERROR(INDEX(收入成本映射!$E$4:$E$34,MATCH($D81,收入成本映射!$B$4:$B$34,0)),""))</f>
        <v/>
      </c>
      <c r="N81" s="27" t="str">
        <f t="shared" si="11"/>
        <v/>
      </c>
      <c r="O81" s="27" t="str">
        <f t="shared" si="12"/>
        <v/>
      </c>
      <c r="P81" s="26" t="str">
        <f>IF($M81="","",IFERROR(INDEX(收入成本映射!$F$4:$F$34,MATCH($D81,收入成本映射!$B$4:$B$34,0)),""))</f>
        <v/>
      </c>
      <c r="Q81" s="27" t="str">
        <f t="shared" si="13"/>
        <v/>
      </c>
      <c r="R81" s="27" t="str">
        <f t="shared" si="14"/>
        <v/>
      </c>
      <c r="S81" s="26" t="str">
        <f t="shared" si="15"/>
        <v/>
      </c>
      <c r="T81" s="27" t="str">
        <f t="shared" si="16"/>
        <v/>
      </c>
      <c r="U81" s="27" t="str">
        <f t="shared" si="17"/>
        <v/>
      </c>
      <c r="V81" s="10" t="str">
        <f>IF($B81="","",IF($B81="01水果",IFERROR(INDEX(对接源_01水果!$H$5:$H$507,MATCH(ROW()-3,对接源_01水果!$Q$5:$Q$507,0)),""),IFERROR(INDEX(对接源_02物料!$H$5:$H$460,MATCH(ROW()-3-N(对接源_01水果!$T$1),对接源_02物料!$Q$5:$Q$460,0)),"")))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2" ht="18" customHeight="1" spans="1:22">
      <c r="A82" s="10">
        <v>79</v>
      </c>
      <c r="B82" s="26" t="str">
        <f>IF(ROW()-3&lt;=N(对接源_01水果!$T$1),"01水果",IF(ROW()-3&lt;=N(对接源_01水果!$T$1)+N(对接源_02物料!$T$1),"02物料",""))</f>
        <v/>
      </c>
      <c r="C82" s="125" t="str">
        <f>IF($B82="","",IF($B82="01水果",IFERROR(INDEX(对接源_01水果!$B$5:$B$507,MATCH(ROW()-3,对接源_01水果!$Q$5:$Q$507,0)),""),IFERROR(INDEX(对接源_02物料!$B$5:$B$460,MATCH(ROW()-3-N(对接源_01水果!$T$1),对接源_02物料!$Q$5:$Q$460,0)),"")))</f>
        <v/>
      </c>
      <c r="D82" s="26" t="str">
        <f>IF($B82="","",IF($B82="01水果",IFERROR(INDEX(对接源_01水果!$C$5:$C$507,MATCH(ROW()-3,对接源_01水果!$Q$5:$Q$507,0)),""),IFERROR(INDEX(对接源_02物料!$C$5:$C$460,MATCH(ROW()-3-N(对接源_01水果!$T$1),对接源_02物料!$Q$5:$Q$460,0)),"")))</f>
        <v/>
      </c>
      <c r="E82" s="126" t="str">
        <f>IF($B82="","",IF($B82="01水果",IFERROR(INDEX(对接源_01水果!$D$5:$D$507,MATCH(ROW()-3,对接源_01水果!$Q$5:$Q$507,0)),""),IFERROR(INDEX(对接源_02物料!$D$5:$D$460,MATCH(ROW()-3-N(对接源_01水果!$T$1),对接源_02物料!$Q$5:$Q$460,0)),"")))</f>
        <v/>
      </c>
      <c r="F82" s="26" t="str">
        <f>IF($B82="","",IF($B82="01水果",IFERROR(INDEX(对接源_01水果!$E$5:$E$507,MATCH(ROW()-3,对接源_01水果!$Q$5:$Q$507,0)),""),IFERROR(INDEX(对接源_02物料!$E$5:$E$460,MATCH(ROW()-3-N(对接源_01水果!$T$1),对接源_02物料!$Q$5:$Q$460,0)),"")))</f>
        <v/>
      </c>
      <c r="G82" s="27" t="str">
        <f>IF($B82="","",IF($B82="01水果",IFERROR(INDEX(对接源_01水果!$F$5:$F$507,MATCH(ROW()-3,对接源_01水果!$Q$5:$Q$507,0)),""),IFERROR(INDEX(对接源_02物料!$F$5:$F$460,MATCH(ROW()-3-N(对接源_01水果!$T$1),对接源_02物料!$Q$5:$Q$460,0)),"")))</f>
        <v/>
      </c>
      <c r="H82" s="27" t="str">
        <f>IF($B82="","",IF($B82="01水果",IFERROR(INDEX(对接源_01水果!$G$5:$G$507,MATCH(ROW()-3,对接源_01水果!$Q$5:$Q$507,0)),""),IFERROR(INDEX(对接源_02物料!$G$5:$G$460,MATCH(ROW()-3-N(对接源_01水果!$T$1),对接源_02物料!$Q$5:$Q$460,0)),"")))</f>
        <v/>
      </c>
      <c r="I82" s="26" t="str">
        <f>IFERROR(INDEX(收入成本映射!$C$4:$C$34,MATCH($D82,收入成本映射!$B$4:$B$34,0)),"不记账")</f>
        <v>不记账</v>
      </c>
      <c r="J82" s="26" t="str">
        <f t="shared" si="9"/>
        <v/>
      </c>
      <c r="K82" s="27">
        <f t="shared" si="10"/>
        <v>0</v>
      </c>
      <c r="L82" s="27">
        <v>0</v>
      </c>
      <c r="M82" s="26" t="str">
        <f>IF(OR($I82="不记账",ROUND(N($G82),2)=0),"",IFERROR(INDEX(收入成本映射!$E$4:$E$34,MATCH($D82,收入成本映射!$B$4:$B$34,0)),""))</f>
        <v/>
      </c>
      <c r="N82" s="27" t="str">
        <f t="shared" si="11"/>
        <v/>
      </c>
      <c r="O82" s="27" t="str">
        <f t="shared" si="12"/>
        <v/>
      </c>
      <c r="P82" s="26" t="str">
        <f>IF($M82="","",IFERROR(INDEX(收入成本映射!$F$4:$F$34,MATCH($D82,收入成本映射!$B$4:$B$34,0)),""))</f>
        <v/>
      </c>
      <c r="Q82" s="27" t="str">
        <f t="shared" si="13"/>
        <v/>
      </c>
      <c r="R82" s="27" t="str">
        <f t="shared" si="14"/>
        <v/>
      </c>
      <c r="S82" s="26" t="str">
        <f t="shared" si="15"/>
        <v/>
      </c>
      <c r="T82" s="27" t="str">
        <f t="shared" si="16"/>
        <v/>
      </c>
      <c r="U82" s="27" t="str">
        <f t="shared" si="17"/>
        <v/>
      </c>
      <c r="V82" s="10" t="str">
        <f>IF($B82="","",IF($B82="01水果",IFERROR(INDEX(对接源_01水果!$H$5:$H$507,MATCH(ROW()-3,对接源_01水果!$Q$5:$Q$507,0)),""),IFERROR(INDEX(对接源_02物料!$H$5:$H$460,MATCH(ROW()-3-N(对接源_01水果!$T$1),对接源_02物料!$Q$5:$Q$460,0)),"")))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3" ht="18" customHeight="1" spans="1:22">
      <c r="A83" s="10">
        <v>80</v>
      </c>
      <c r="B83" s="26" t="str">
        <f>IF(ROW()-3&lt;=N(对接源_01水果!$T$1),"01水果",IF(ROW()-3&lt;=N(对接源_01水果!$T$1)+N(对接源_02物料!$T$1),"02物料",""))</f>
        <v/>
      </c>
      <c r="C83" s="125" t="str">
        <f>IF($B83="","",IF($B83="01水果",IFERROR(INDEX(对接源_01水果!$B$5:$B$507,MATCH(ROW()-3,对接源_01水果!$Q$5:$Q$507,0)),""),IFERROR(INDEX(对接源_02物料!$B$5:$B$460,MATCH(ROW()-3-N(对接源_01水果!$T$1),对接源_02物料!$Q$5:$Q$460,0)),"")))</f>
        <v/>
      </c>
      <c r="D83" s="26" t="str">
        <f>IF($B83="","",IF($B83="01水果",IFERROR(INDEX(对接源_01水果!$C$5:$C$507,MATCH(ROW()-3,对接源_01水果!$Q$5:$Q$507,0)),""),IFERROR(INDEX(对接源_02物料!$C$5:$C$460,MATCH(ROW()-3-N(对接源_01水果!$T$1),对接源_02物料!$Q$5:$Q$460,0)),"")))</f>
        <v/>
      </c>
      <c r="E83" s="126" t="str">
        <f>IF($B83="","",IF($B83="01水果",IFERROR(INDEX(对接源_01水果!$D$5:$D$507,MATCH(ROW()-3,对接源_01水果!$Q$5:$Q$507,0)),""),IFERROR(INDEX(对接源_02物料!$D$5:$D$460,MATCH(ROW()-3-N(对接源_01水果!$T$1),对接源_02物料!$Q$5:$Q$460,0)),"")))</f>
        <v/>
      </c>
      <c r="F83" s="26" t="str">
        <f>IF($B83="","",IF($B83="01水果",IFERROR(INDEX(对接源_01水果!$E$5:$E$507,MATCH(ROW()-3,对接源_01水果!$Q$5:$Q$507,0)),""),IFERROR(INDEX(对接源_02物料!$E$5:$E$460,MATCH(ROW()-3-N(对接源_01水果!$T$1),对接源_02物料!$Q$5:$Q$460,0)),"")))</f>
        <v/>
      </c>
      <c r="G83" s="27" t="str">
        <f>IF($B83="","",IF($B83="01水果",IFERROR(INDEX(对接源_01水果!$F$5:$F$507,MATCH(ROW()-3,对接源_01水果!$Q$5:$Q$507,0)),""),IFERROR(INDEX(对接源_02物料!$F$5:$F$460,MATCH(ROW()-3-N(对接源_01水果!$T$1),对接源_02物料!$Q$5:$Q$460,0)),"")))</f>
        <v/>
      </c>
      <c r="H83" s="27" t="str">
        <f>IF($B83="","",IF($B83="01水果",IFERROR(INDEX(对接源_01水果!$G$5:$G$507,MATCH(ROW()-3,对接源_01水果!$Q$5:$Q$507,0)),""),IFERROR(INDEX(对接源_02物料!$G$5:$G$460,MATCH(ROW()-3-N(对接源_01水果!$T$1),对接源_02物料!$Q$5:$Q$460,0)),"")))</f>
        <v/>
      </c>
      <c r="I83" s="26" t="str">
        <f>IFERROR(INDEX(收入成本映射!$C$4:$C$34,MATCH($D83,收入成本映射!$B$4:$B$34,0)),"不记账")</f>
        <v>不记账</v>
      </c>
      <c r="J83" s="26" t="str">
        <f t="shared" si="9"/>
        <v/>
      </c>
      <c r="K83" s="27">
        <f t="shared" si="10"/>
        <v>0</v>
      </c>
      <c r="L83" s="27">
        <v>0</v>
      </c>
      <c r="M83" s="26" t="str">
        <f>IF(OR($I83="不记账",ROUND(N($G83),2)=0),"",IFERROR(INDEX(收入成本映射!$E$4:$E$34,MATCH($D83,收入成本映射!$B$4:$B$34,0)),""))</f>
        <v/>
      </c>
      <c r="N83" s="27" t="str">
        <f t="shared" si="11"/>
        <v/>
      </c>
      <c r="O83" s="27" t="str">
        <f t="shared" si="12"/>
        <v/>
      </c>
      <c r="P83" s="26" t="str">
        <f>IF($M83="","",IFERROR(INDEX(收入成本映射!$F$4:$F$34,MATCH($D83,收入成本映射!$B$4:$B$34,0)),""))</f>
        <v/>
      </c>
      <c r="Q83" s="27" t="str">
        <f t="shared" si="13"/>
        <v/>
      </c>
      <c r="R83" s="27" t="str">
        <f t="shared" si="14"/>
        <v/>
      </c>
      <c r="S83" s="26" t="str">
        <f t="shared" si="15"/>
        <v/>
      </c>
      <c r="T83" s="27" t="str">
        <f t="shared" si="16"/>
        <v/>
      </c>
      <c r="U83" s="27" t="str">
        <f t="shared" si="17"/>
        <v/>
      </c>
      <c r="V83" s="10" t="str">
        <f>IF($B83="","",IF($B83="01水果",IFERROR(INDEX(对接源_01水果!$H$5:$H$507,MATCH(ROW()-3,对接源_01水果!$Q$5:$Q$507,0)),""),IFERROR(INDEX(对接源_02物料!$H$5:$H$460,MATCH(ROW()-3-N(对接源_01水果!$T$1),对接源_02物料!$Q$5:$Q$460,0)),"")))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4" ht="18" customHeight="1" spans="1:22">
      <c r="A84" s="10">
        <v>81</v>
      </c>
      <c r="B84" s="26" t="str">
        <f>IF(ROW()-3&lt;=N(对接源_01水果!$T$1),"01水果",IF(ROW()-3&lt;=N(对接源_01水果!$T$1)+N(对接源_02物料!$T$1),"02物料",""))</f>
        <v/>
      </c>
      <c r="C84" s="125" t="str">
        <f>IF($B84="","",IF($B84="01水果",IFERROR(INDEX(对接源_01水果!$B$5:$B$507,MATCH(ROW()-3,对接源_01水果!$Q$5:$Q$507,0)),""),IFERROR(INDEX(对接源_02物料!$B$5:$B$460,MATCH(ROW()-3-N(对接源_01水果!$T$1),对接源_02物料!$Q$5:$Q$460,0)),"")))</f>
        <v/>
      </c>
      <c r="D84" s="26" t="str">
        <f>IF($B84="","",IF($B84="01水果",IFERROR(INDEX(对接源_01水果!$C$5:$C$507,MATCH(ROW()-3,对接源_01水果!$Q$5:$Q$507,0)),""),IFERROR(INDEX(对接源_02物料!$C$5:$C$460,MATCH(ROW()-3-N(对接源_01水果!$T$1),对接源_02物料!$Q$5:$Q$460,0)),"")))</f>
        <v/>
      </c>
      <c r="E84" s="126" t="str">
        <f>IF($B84="","",IF($B84="01水果",IFERROR(INDEX(对接源_01水果!$D$5:$D$507,MATCH(ROW()-3,对接源_01水果!$Q$5:$Q$507,0)),""),IFERROR(INDEX(对接源_02物料!$D$5:$D$460,MATCH(ROW()-3-N(对接源_01水果!$T$1),对接源_02物料!$Q$5:$Q$460,0)),"")))</f>
        <v/>
      </c>
      <c r="F84" s="26" t="str">
        <f>IF($B84="","",IF($B84="01水果",IFERROR(INDEX(对接源_01水果!$E$5:$E$507,MATCH(ROW()-3,对接源_01水果!$Q$5:$Q$507,0)),""),IFERROR(INDEX(对接源_02物料!$E$5:$E$460,MATCH(ROW()-3-N(对接源_01水果!$T$1),对接源_02物料!$Q$5:$Q$460,0)),"")))</f>
        <v/>
      </c>
      <c r="G84" s="27" t="str">
        <f>IF($B84="","",IF($B84="01水果",IFERROR(INDEX(对接源_01水果!$F$5:$F$507,MATCH(ROW()-3,对接源_01水果!$Q$5:$Q$507,0)),""),IFERROR(INDEX(对接源_02物料!$F$5:$F$460,MATCH(ROW()-3-N(对接源_01水果!$T$1),对接源_02物料!$Q$5:$Q$460,0)),"")))</f>
        <v/>
      </c>
      <c r="H84" s="27" t="str">
        <f>IF($B84="","",IF($B84="01水果",IFERROR(INDEX(对接源_01水果!$G$5:$G$507,MATCH(ROW()-3,对接源_01水果!$Q$5:$Q$507,0)),""),IFERROR(INDEX(对接源_02物料!$G$5:$G$460,MATCH(ROW()-3-N(对接源_01水果!$T$1),对接源_02物料!$Q$5:$Q$460,0)),"")))</f>
        <v/>
      </c>
      <c r="I84" s="26" t="str">
        <f>IFERROR(INDEX(收入成本映射!$C$4:$C$34,MATCH($D84,收入成本映射!$B$4:$B$34,0)),"不记账")</f>
        <v>不记账</v>
      </c>
      <c r="J84" s="26" t="str">
        <f t="shared" si="9"/>
        <v/>
      </c>
      <c r="K84" s="27">
        <f t="shared" si="10"/>
        <v>0</v>
      </c>
      <c r="L84" s="27">
        <v>0</v>
      </c>
      <c r="M84" s="26" t="str">
        <f>IF(OR($I84="不记账",ROUND(N($G84),2)=0),"",IFERROR(INDEX(收入成本映射!$E$4:$E$34,MATCH($D84,收入成本映射!$B$4:$B$34,0)),""))</f>
        <v/>
      </c>
      <c r="N84" s="27" t="str">
        <f t="shared" si="11"/>
        <v/>
      </c>
      <c r="O84" s="27" t="str">
        <f t="shared" si="12"/>
        <v/>
      </c>
      <c r="P84" s="26" t="str">
        <f>IF($M84="","",IFERROR(INDEX(收入成本映射!$F$4:$F$34,MATCH($D84,收入成本映射!$B$4:$B$34,0)),""))</f>
        <v/>
      </c>
      <c r="Q84" s="27" t="str">
        <f t="shared" si="13"/>
        <v/>
      </c>
      <c r="R84" s="27" t="str">
        <f t="shared" si="14"/>
        <v/>
      </c>
      <c r="S84" s="26" t="str">
        <f t="shared" si="15"/>
        <v/>
      </c>
      <c r="T84" s="27" t="str">
        <f t="shared" si="16"/>
        <v/>
      </c>
      <c r="U84" s="27" t="str">
        <f t="shared" si="17"/>
        <v/>
      </c>
      <c r="V84" s="10" t="str">
        <f>IF($B84="","",IF($B84="01水果",IFERROR(INDEX(对接源_01水果!$H$5:$H$507,MATCH(ROW()-3,对接源_01水果!$Q$5:$Q$507,0)),""),IFERROR(INDEX(对接源_02物料!$H$5:$H$460,MATCH(ROW()-3-N(对接源_01水果!$T$1),对接源_02物料!$Q$5:$Q$460,0)),"")))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5" ht="18" customHeight="1" spans="1:22">
      <c r="A85" s="10">
        <v>82</v>
      </c>
      <c r="B85" s="26" t="str">
        <f>IF(ROW()-3&lt;=N(对接源_01水果!$T$1),"01水果",IF(ROW()-3&lt;=N(对接源_01水果!$T$1)+N(对接源_02物料!$T$1),"02物料",""))</f>
        <v/>
      </c>
      <c r="C85" s="125" t="str">
        <f>IF($B85="","",IF($B85="01水果",IFERROR(INDEX(对接源_01水果!$B$5:$B$507,MATCH(ROW()-3,对接源_01水果!$Q$5:$Q$507,0)),""),IFERROR(INDEX(对接源_02物料!$B$5:$B$460,MATCH(ROW()-3-N(对接源_01水果!$T$1),对接源_02物料!$Q$5:$Q$460,0)),"")))</f>
        <v/>
      </c>
      <c r="D85" s="26" t="str">
        <f>IF($B85="","",IF($B85="01水果",IFERROR(INDEX(对接源_01水果!$C$5:$C$507,MATCH(ROW()-3,对接源_01水果!$Q$5:$Q$507,0)),""),IFERROR(INDEX(对接源_02物料!$C$5:$C$460,MATCH(ROW()-3-N(对接源_01水果!$T$1),对接源_02物料!$Q$5:$Q$460,0)),"")))</f>
        <v/>
      </c>
      <c r="E85" s="126" t="str">
        <f>IF($B85="","",IF($B85="01水果",IFERROR(INDEX(对接源_01水果!$D$5:$D$507,MATCH(ROW()-3,对接源_01水果!$Q$5:$Q$507,0)),""),IFERROR(INDEX(对接源_02物料!$D$5:$D$460,MATCH(ROW()-3-N(对接源_01水果!$T$1),对接源_02物料!$Q$5:$Q$460,0)),"")))</f>
        <v/>
      </c>
      <c r="F85" s="26" t="str">
        <f>IF($B85="","",IF($B85="01水果",IFERROR(INDEX(对接源_01水果!$E$5:$E$507,MATCH(ROW()-3,对接源_01水果!$Q$5:$Q$507,0)),""),IFERROR(INDEX(对接源_02物料!$E$5:$E$460,MATCH(ROW()-3-N(对接源_01水果!$T$1),对接源_02物料!$Q$5:$Q$460,0)),"")))</f>
        <v/>
      </c>
      <c r="G85" s="27" t="str">
        <f>IF($B85="","",IF($B85="01水果",IFERROR(INDEX(对接源_01水果!$F$5:$F$507,MATCH(ROW()-3,对接源_01水果!$Q$5:$Q$507,0)),""),IFERROR(INDEX(对接源_02物料!$F$5:$F$460,MATCH(ROW()-3-N(对接源_01水果!$T$1),对接源_02物料!$Q$5:$Q$460,0)),"")))</f>
        <v/>
      </c>
      <c r="H85" s="27" t="str">
        <f>IF($B85="","",IF($B85="01水果",IFERROR(INDEX(对接源_01水果!$G$5:$G$507,MATCH(ROW()-3,对接源_01水果!$Q$5:$Q$507,0)),""),IFERROR(INDEX(对接源_02物料!$G$5:$G$460,MATCH(ROW()-3-N(对接源_01水果!$T$1),对接源_02物料!$Q$5:$Q$460,0)),"")))</f>
        <v/>
      </c>
      <c r="I85" s="26" t="str">
        <f>IFERROR(INDEX(收入成本映射!$C$4:$C$34,MATCH($D85,收入成本映射!$B$4:$B$34,0)),"不记账")</f>
        <v>不记账</v>
      </c>
      <c r="J85" s="26" t="str">
        <f t="shared" si="9"/>
        <v/>
      </c>
      <c r="K85" s="27">
        <f t="shared" si="10"/>
        <v>0</v>
      </c>
      <c r="L85" s="27">
        <v>0</v>
      </c>
      <c r="M85" s="26" t="str">
        <f>IF(OR($I85="不记账",ROUND(N($G85),2)=0),"",IFERROR(INDEX(收入成本映射!$E$4:$E$34,MATCH($D85,收入成本映射!$B$4:$B$34,0)),""))</f>
        <v/>
      </c>
      <c r="N85" s="27" t="str">
        <f t="shared" si="11"/>
        <v/>
      </c>
      <c r="O85" s="27" t="str">
        <f t="shared" si="12"/>
        <v/>
      </c>
      <c r="P85" s="26" t="str">
        <f>IF($M85="","",IFERROR(INDEX(收入成本映射!$F$4:$F$34,MATCH($D85,收入成本映射!$B$4:$B$34,0)),""))</f>
        <v/>
      </c>
      <c r="Q85" s="27" t="str">
        <f t="shared" si="13"/>
        <v/>
      </c>
      <c r="R85" s="27" t="str">
        <f t="shared" si="14"/>
        <v/>
      </c>
      <c r="S85" s="26" t="str">
        <f t="shared" si="15"/>
        <v/>
      </c>
      <c r="T85" s="27" t="str">
        <f t="shared" si="16"/>
        <v/>
      </c>
      <c r="U85" s="27" t="str">
        <f t="shared" si="17"/>
        <v/>
      </c>
      <c r="V85" s="10" t="str">
        <f>IF($B85="","",IF($B85="01水果",IFERROR(INDEX(对接源_01水果!$H$5:$H$507,MATCH(ROW()-3,对接源_01水果!$Q$5:$Q$507,0)),""),IFERROR(INDEX(对接源_02物料!$H$5:$H$460,MATCH(ROW()-3-N(对接源_01水果!$T$1),对接源_02物料!$Q$5:$Q$460,0)),"")))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6" ht="18" customHeight="1" spans="1:22">
      <c r="A86" s="10">
        <v>83</v>
      </c>
      <c r="B86" s="26" t="str">
        <f>IF(ROW()-3&lt;=N(对接源_01水果!$T$1),"01水果",IF(ROW()-3&lt;=N(对接源_01水果!$T$1)+N(对接源_02物料!$T$1),"02物料",""))</f>
        <v/>
      </c>
      <c r="C86" s="125" t="str">
        <f>IF($B86="","",IF($B86="01水果",IFERROR(INDEX(对接源_01水果!$B$5:$B$507,MATCH(ROW()-3,对接源_01水果!$Q$5:$Q$507,0)),""),IFERROR(INDEX(对接源_02物料!$B$5:$B$460,MATCH(ROW()-3-N(对接源_01水果!$T$1),对接源_02物料!$Q$5:$Q$460,0)),"")))</f>
        <v/>
      </c>
      <c r="D86" s="26" t="str">
        <f>IF($B86="","",IF($B86="01水果",IFERROR(INDEX(对接源_01水果!$C$5:$C$507,MATCH(ROW()-3,对接源_01水果!$Q$5:$Q$507,0)),""),IFERROR(INDEX(对接源_02物料!$C$5:$C$460,MATCH(ROW()-3-N(对接源_01水果!$T$1),对接源_02物料!$Q$5:$Q$460,0)),"")))</f>
        <v/>
      </c>
      <c r="E86" s="126" t="str">
        <f>IF($B86="","",IF($B86="01水果",IFERROR(INDEX(对接源_01水果!$D$5:$D$507,MATCH(ROW()-3,对接源_01水果!$Q$5:$Q$507,0)),""),IFERROR(INDEX(对接源_02物料!$D$5:$D$460,MATCH(ROW()-3-N(对接源_01水果!$T$1),对接源_02物料!$Q$5:$Q$460,0)),"")))</f>
        <v/>
      </c>
      <c r="F86" s="26" t="str">
        <f>IF($B86="","",IF($B86="01水果",IFERROR(INDEX(对接源_01水果!$E$5:$E$507,MATCH(ROW()-3,对接源_01水果!$Q$5:$Q$507,0)),""),IFERROR(INDEX(对接源_02物料!$E$5:$E$460,MATCH(ROW()-3-N(对接源_01水果!$T$1),对接源_02物料!$Q$5:$Q$460,0)),"")))</f>
        <v/>
      </c>
      <c r="G86" s="27" t="str">
        <f>IF($B86="","",IF($B86="01水果",IFERROR(INDEX(对接源_01水果!$F$5:$F$507,MATCH(ROW()-3,对接源_01水果!$Q$5:$Q$507,0)),""),IFERROR(INDEX(对接源_02物料!$F$5:$F$460,MATCH(ROW()-3-N(对接源_01水果!$T$1),对接源_02物料!$Q$5:$Q$460,0)),"")))</f>
        <v/>
      </c>
      <c r="H86" s="27" t="str">
        <f>IF($B86="","",IF($B86="01水果",IFERROR(INDEX(对接源_01水果!$G$5:$G$507,MATCH(ROW()-3,对接源_01水果!$Q$5:$Q$507,0)),""),IFERROR(INDEX(对接源_02物料!$G$5:$G$460,MATCH(ROW()-3-N(对接源_01水果!$T$1),对接源_02物料!$Q$5:$Q$460,0)),"")))</f>
        <v/>
      </c>
      <c r="I86" s="26" t="str">
        <f>IFERROR(INDEX(收入成本映射!$C$4:$C$34,MATCH($D86,收入成本映射!$B$4:$B$34,0)),"不记账")</f>
        <v>不记账</v>
      </c>
      <c r="J86" s="26" t="str">
        <f t="shared" si="9"/>
        <v/>
      </c>
      <c r="K86" s="27">
        <f t="shared" si="10"/>
        <v>0</v>
      </c>
      <c r="L86" s="27">
        <v>0</v>
      </c>
      <c r="M86" s="26" t="str">
        <f>IF(OR($I86="不记账",ROUND(N($G86),2)=0),"",IFERROR(INDEX(收入成本映射!$E$4:$E$34,MATCH($D86,收入成本映射!$B$4:$B$34,0)),""))</f>
        <v/>
      </c>
      <c r="N86" s="27" t="str">
        <f t="shared" si="11"/>
        <v/>
      </c>
      <c r="O86" s="27" t="str">
        <f t="shared" si="12"/>
        <v/>
      </c>
      <c r="P86" s="26" t="str">
        <f>IF($M86="","",IFERROR(INDEX(收入成本映射!$F$4:$F$34,MATCH($D86,收入成本映射!$B$4:$B$34,0)),""))</f>
        <v/>
      </c>
      <c r="Q86" s="27" t="str">
        <f t="shared" si="13"/>
        <v/>
      </c>
      <c r="R86" s="27" t="str">
        <f t="shared" si="14"/>
        <v/>
      </c>
      <c r="S86" s="26" t="str">
        <f t="shared" si="15"/>
        <v/>
      </c>
      <c r="T86" s="27" t="str">
        <f t="shared" si="16"/>
        <v/>
      </c>
      <c r="U86" s="27" t="str">
        <f t="shared" si="17"/>
        <v/>
      </c>
      <c r="V86" s="10" t="str">
        <f>IF($B86="","",IF($B86="01水果",IFERROR(INDEX(对接源_01水果!$H$5:$H$507,MATCH(ROW()-3,对接源_01水果!$Q$5:$Q$507,0)),""),IFERROR(INDEX(对接源_02物料!$H$5:$H$460,MATCH(ROW()-3-N(对接源_01水果!$T$1),对接源_02物料!$Q$5:$Q$460,0)),"")))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7" ht="18" customHeight="1" spans="1:22">
      <c r="A87" s="10">
        <v>84</v>
      </c>
      <c r="B87" s="26" t="str">
        <f>IF(ROW()-3&lt;=N(对接源_01水果!$T$1),"01水果",IF(ROW()-3&lt;=N(对接源_01水果!$T$1)+N(对接源_02物料!$T$1),"02物料",""))</f>
        <v/>
      </c>
      <c r="C87" s="125" t="str">
        <f>IF($B87="","",IF($B87="01水果",IFERROR(INDEX(对接源_01水果!$B$5:$B$507,MATCH(ROW()-3,对接源_01水果!$Q$5:$Q$507,0)),""),IFERROR(INDEX(对接源_02物料!$B$5:$B$460,MATCH(ROW()-3-N(对接源_01水果!$T$1),对接源_02物料!$Q$5:$Q$460,0)),"")))</f>
        <v/>
      </c>
      <c r="D87" s="26" t="str">
        <f>IF($B87="","",IF($B87="01水果",IFERROR(INDEX(对接源_01水果!$C$5:$C$507,MATCH(ROW()-3,对接源_01水果!$Q$5:$Q$507,0)),""),IFERROR(INDEX(对接源_02物料!$C$5:$C$460,MATCH(ROW()-3-N(对接源_01水果!$T$1),对接源_02物料!$Q$5:$Q$460,0)),"")))</f>
        <v/>
      </c>
      <c r="E87" s="126" t="str">
        <f>IF($B87="","",IF($B87="01水果",IFERROR(INDEX(对接源_01水果!$D$5:$D$507,MATCH(ROW()-3,对接源_01水果!$Q$5:$Q$507,0)),""),IFERROR(INDEX(对接源_02物料!$D$5:$D$460,MATCH(ROW()-3-N(对接源_01水果!$T$1),对接源_02物料!$Q$5:$Q$460,0)),"")))</f>
        <v/>
      </c>
      <c r="F87" s="26" t="str">
        <f>IF($B87="","",IF($B87="01水果",IFERROR(INDEX(对接源_01水果!$E$5:$E$507,MATCH(ROW()-3,对接源_01水果!$Q$5:$Q$507,0)),""),IFERROR(INDEX(对接源_02物料!$E$5:$E$460,MATCH(ROW()-3-N(对接源_01水果!$T$1),对接源_02物料!$Q$5:$Q$460,0)),"")))</f>
        <v/>
      </c>
      <c r="G87" s="27" t="str">
        <f>IF($B87="","",IF($B87="01水果",IFERROR(INDEX(对接源_01水果!$F$5:$F$507,MATCH(ROW()-3,对接源_01水果!$Q$5:$Q$507,0)),""),IFERROR(INDEX(对接源_02物料!$F$5:$F$460,MATCH(ROW()-3-N(对接源_01水果!$T$1),对接源_02物料!$Q$5:$Q$460,0)),"")))</f>
        <v/>
      </c>
      <c r="H87" s="27" t="str">
        <f>IF($B87="","",IF($B87="01水果",IFERROR(INDEX(对接源_01水果!$G$5:$G$507,MATCH(ROW()-3,对接源_01水果!$Q$5:$Q$507,0)),""),IFERROR(INDEX(对接源_02物料!$G$5:$G$460,MATCH(ROW()-3-N(对接源_01水果!$T$1),对接源_02物料!$Q$5:$Q$460,0)),"")))</f>
        <v/>
      </c>
      <c r="I87" s="26" t="str">
        <f>IFERROR(INDEX(收入成本映射!$C$4:$C$34,MATCH($D87,收入成本映射!$B$4:$B$34,0)),"不记账")</f>
        <v>不记账</v>
      </c>
      <c r="J87" s="26" t="str">
        <f t="shared" si="9"/>
        <v/>
      </c>
      <c r="K87" s="27">
        <f t="shared" si="10"/>
        <v>0</v>
      </c>
      <c r="L87" s="27">
        <v>0</v>
      </c>
      <c r="M87" s="26" t="str">
        <f>IF(OR($I87="不记账",ROUND(N($G87),2)=0),"",IFERROR(INDEX(收入成本映射!$E$4:$E$34,MATCH($D87,收入成本映射!$B$4:$B$34,0)),""))</f>
        <v/>
      </c>
      <c r="N87" s="27" t="str">
        <f t="shared" si="11"/>
        <v/>
      </c>
      <c r="O87" s="27" t="str">
        <f t="shared" si="12"/>
        <v/>
      </c>
      <c r="P87" s="26" t="str">
        <f>IF($M87="","",IFERROR(INDEX(收入成本映射!$F$4:$F$34,MATCH($D87,收入成本映射!$B$4:$B$34,0)),""))</f>
        <v/>
      </c>
      <c r="Q87" s="27" t="str">
        <f t="shared" si="13"/>
        <v/>
      </c>
      <c r="R87" s="27" t="str">
        <f t="shared" si="14"/>
        <v/>
      </c>
      <c r="S87" s="26" t="str">
        <f t="shared" si="15"/>
        <v/>
      </c>
      <c r="T87" s="27" t="str">
        <f t="shared" si="16"/>
        <v/>
      </c>
      <c r="U87" s="27" t="str">
        <f t="shared" si="17"/>
        <v/>
      </c>
      <c r="V87" s="10" t="str">
        <f>IF($B87="","",IF($B87="01水果",IFERROR(INDEX(对接源_01水果!$H$5:$H$507,MATCH(ROW()-3,对接源_01水果!$Q$5:$Q$507,0)),""),IFERROR(INDEX(对接源_02物料!$H$5:$H$460,MATCH(ROW()-3-N(对接源_01水果!$T$1),对接源_02物料!$Q$5:$Q$460,0)),"")))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8" ht="18" customHeight="1" spans="1:22">
      <c r="A88" s="10">
        <v>85</v>
      </c>
      <c r="B88" s="26" t="str">
        <f>IF(ROW()-3&lt;=N(对接源_01水果!$T$1),"01水果",IF(ROW()-3&lt;=N(对接源_01水果!$T$1)+N(对接源_02物料!$T$1),"02物料",""))</f>
        <v/>
      </c>
      <c r="C88" s="125" t="str">
        <f>IF($B88="","",IF($B88="01水果",IFERROR(INDEX(对接源_01水果!$B$5:$B$507,MATCH(ROW()-3,对接源_01水果!$Q$5:$Q$507,0)),""),IFERROR(INDEX(对接源_02物料!$B$5:$B$460,MATCH(ROW()-3-N(对接源_01水果!$T$1),对接源_02物料!$Q$5:$Q$460,0)),"")))</f>
        <v/>
      </c>
      <c r="D88" s="26" t="str">
        <f>IF($B88="","",IF($B88="01水果",IFERROR(INDEX(对接源_01水果!$C$5:$C$507,MATCH(ROW()-3,对接源_01水果!$Q$5:$Q$507,0)),""),IFERROR(INDEX(对接源_02物料!$C$5:$C$460,MATCH(ROW()-3-N(对接源_01水果!$T$1),对接源_02物料!$Q$5:$Q$460,0)),"")))</f>
        <v/>
      </c>
      <c r="E88" s="126" t="str">
        <f>IF($B88="","",IF($B88="01水果",IFERROR(INDEX(对接源_01水果!$D$5:$D$507,MATCH(ROW()-3,对接源_01水果!$Q$5:$Q$507,0)),""),IFERROR(INDEX(对接源_02物料!$D$5:$D$460,MATCH(ROW()-3-N(对接源_01水果!$T$1),对接源_02物料!$Q$5:$Q$460,0)),"")))</f>
        <v/>
      </c>
      <c r="F88" s="26" t="str">
        <f>IF($B88="","",IF($B88="01水果",IFERROR(INDEX(对接源_01水果!$E$5:$E$507,MATCH(ROW()-3,对接源_01水果!$Q$5:$Q$507,0)),""),IFERROR(INDEX(对接源_02物料!$E$5:$E$460,MATCH(ROW()-3-N(对接源_01水果!$T$1),对接源_02物料!$Q$5:$Q$460,0)),"")))</f>
        <v/>
      </c>
      <c r="G88" s="27" t="str">
        <f>IF($B88="","",IF($B88="01水果",IFERROR(INDEX(对接源_01水果!$F$5:$F$507,MATCH(ROW()-3,对接源_01水果!$Q$5:$Q$507,0)),""),IFERROR(INDEX(对接源_02物料!$F$5:$F$460,MATCH(ROW()-3-N(对接源_01水果!$T$1),对接源_02物料!$Q$5:$Q$460,0)),"")))</f>
        <v/>
      </c>
      <c r="H88" s="27" t="str">
        <f>IF($B88="","",IF($B88="01水果",IFERROR(INDEX(对接源_01水果!$G$5:$G$507,MATCH(ROW()-3,对接源_01水果!$Q$5:$Q$507,0)),""),IFERROR(INDEX(对接源_02物料!$G$5:$G$460,MATCH(ROW()-3-N(对接源_01水果!$T$1),对接源_02物料!$Q$5:$Q$460,0)),"")))</f>
        <v/>
      </c>
      <c r="I88" s="26" t="str">
        <f>IFERROR(INDEX(收入成本映射!$C$4:$C$34,MATCH($D88,收入成本映射!$B$4:$B$34,0)),"不记账")</f>
        <v>不记账</v>
      </c>
      <c r="J88" s="26" t="str">
        <f t="shared" si="9"/>
        <v/>
      </c>
      <c r="K88" s="27">
        <f t="shared" si="10"/>
        <v>0</v>
      </c>
      <c r="L88" s="27">
        <v>0</v>
      </c>
      <c r="M88" s="26" t="str">
        <f>IF(OR($I88="不记账",ROUND(N($G88),2)=0),"",IFERROR(INDEX(收入成本映射!$E$4:$E$34,MATCH($D88,收入成本映射!$B$4:$B$34,0)),""))</f>
        <v/>
      </c>
      <c r="N88" s="27" t="str">
        <f t="shared" si="11"/>
        <v/>
      </c>
      <c r="O88" s="27" t="str">
        <f t="shared" si="12"/>
        <v/>
      </c>
      <c r="P88" s="26" t="str">
        <f>IF($M88="","",IFERROR(INDEX(收入成本映射!$F$4:$F$34,MATCH($D88,收入成本映射!$B$4:$B$34,0)),""))</f>
        <v/>
      </c>
      <c r="Q88" s="27" t="str">
        <f t="shared" si="13"/>
        <v/>
      </c>
      <c r="R88" s="27" t="str">
        <f t="shared" si="14"/>
        <v/>
      </c>
      <c r="S88" s="26" t="str">
        <f t="shared" si="15"/>
        <v/>
      </c>
      <c r="T88" s="27" t="str">
        <f t="shared" si="16"/>
        <v/>
      </c>
      <c r="U88" s="27" t="str">
        <f t="shared" si="17"/>
        <v/>
      </c>
      <c r="V88" s="10" t="str">
        <f>IF($B88="","",IF($B88="01水果",IFERROR(INDEX(对接源_01水果!$H$5:$H$507,MATCH(ROW()-3,对接源_01水果!$Q$5:$Q$507,0)),""),IFERROR(INDEX(对接源_02物料!$H$5:$H$460,MATCH(ROW()-3-N(对接源_01水果!$T$1),对接源_02物料!$Q$5:$Q$460,0)),"")))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9" ht="18" customHeight="1" spans="1:22">
      <c r="A89" s="10">
        <v>86</v>
      </c>
      <c r="B89" s="26" t="str">
        <f>IF(ROW()-3&lt;=N(对接源_01水果!$T$1),"01水果",IF(ROW()-3&lt;=N(对接源_01水果!$T$1)+N(对接源_02物料!$T$1),"02物料",""))</f>
        <v/>
      </c>
      <c r="C89" s="125" t="str">
        <f>IF($B89="","",IF($B89="01水果",IFERROR(INDEX(对接源_01水果!$B$5:$B$507,MATCH(ROW()-3,对接源_01水果!$Q$5:$Q$507,0)),""),IFERROR(INDEX(对接源_02物料!$B$5:$B$460,MATCH(ROW()-3-N(对接源_01水果!$T$1),对接源_02物料!$Q$5:$Q$460,0)),"")))</f>
        <v/>
      </c>
      <c r="D89" s="26" t="str">
        <f>IF($B89="","",IF($B89="01水果",IFERROR(INDEX(对接源_01水果!$C$5:$C$507,MATCH(ROW()-3,对接源_01水果!$Q$5:$Q$507,0)),""),IFERROR(INDEX(对接源_02物料!$C$5:$C$460,MATCH(ROW()-3-N(对接源_01水果!$T$1),对接源_02物料!$Q$5:$Q$460,0)),"")))</f>
        <v/>
      </c>
      <c r="E89" s="126" t="str">
        <f>IF($B89="","",IF($B89="01水果",IFERROR(INDEX(对接源_01水果!$D$5:$D$507,MATCH(ROW()-3,对接源_01水果!$Q$5:$Q$507,0)),""),IFERROR(INDEX(对接源_02物料!$D$5:$D$460,MATCH(ROW()-3-N(对接源_01水果!$T$1),对接源_02物料!$Q$5:$Q$460,0)),"")))</f>
        <v/>
      </c>
      <c r="F89" s="26" t="str">
        <f>IF($B89="","",IF($B89="01水果",IFERROR(INDEX(对接源_01水果!$E$5:$E$507,MATCH(ROW()-3,对接源_01水果!$Q$5:$Q$507,0)),""),IFERROR(INDEX(对接源_02物料!$E$5:$E$460,MATCH(ROW()-3-N(对接源_01水果!$T$1),对接源_02物料!$Q$5:$Q$460,0)),"")))</f>
        <v/>
      </c>
      <c r="G89" s="27" t="str">
        <f>IF($B89="","",IF($B89="01水果",IFERROR(INDEX(对接源_01水果!$F$5:$F$507,MATCH(ROW()-3,对接源_01水果!$Q$5:$Q$507,0)),""),IFERROR(INDEX(对接源_02物料!$F$5:$F$460,MATCH(ROW()-3-N(对接源_01水果!$T$1),对接源_02物料!$Q$5:$Q$460,0)),"")))</f>
        <v/>
      </c>
      <c r="H89" s="27" t="str">
        <f>IF($B89="","",IF($B89="01水果",IFERROR(INDEX(对接源_01水果!$G$5:$G$507,MATCH(ROW()-3,对接源_01水果!$Q$5:$Q$507,0)),""),IFERROR(INDEX(对接源_02物料!$G$5:$G$460,MATCH(ROW()-3-N(对接源_01水果!$T$1),对接源_02物料!$Q$5:$Q$460,0)),"")))</f>
        <v/>
      </c>
      <c r="I89" s="26" t="str">
        <f>IFERROR(INDEX(收入成本映射!$C$4:$C$34,MATCH($D89,收入成本映射!$B$4:$B$34,0)),"不记账")</f>
        <v>不记账</v>
      </c>
      <c r="J89" s="26" t="str">
        <f t="shared" si="9"/>
        <v/>
      </c>
      <c r="K89" s="27">
        <f t="shared" si="10"/>
        <v>0</v>
      </c>
      <c r="L89" s="27">
        <v>0</v>
      </c>
      <c r="M89" s="26" t="str">
        <f>IF(OR($I89="不记账",ROUND(N($G89),2)=0),"",IFERROR(INDEX(收入成本映射!$E$4:$E$34,MATCH($D89,收入成本映射!$B$4:$B$34,0)),""))</f>
        <v/>
      </c>
      <c r="N89" s="27" t="str">
        <f t="shared" si="11"/>
        <v/>
      </c>
      <c r="O89" s="27" t="str">
        <f t="shared" si="12"/>
        <v/>
      </c>
      <c r="P89" s="26" t="str">
        <f>IF($M89="","",IFERROR(INDEX(收入成本映射!$F$4:$F$34,MATCH($D89,收入成本映射!$B$4:$B$34,0)),""))</f>
        <v/>
      </c>
      <c r="Q89" s="27" t="str">
        <f t="shared" si="13"/>
        <v/>
      </c>
      <c r="R89" s="27" t="str">
        <f t="shared" si="14"/>
        <v/>
      </c>
      <c r="S89" s="26" t="str">
        <f t="shared" si="15"/>
        <v/>
      </c>
      <c r="T89" s="27" t="str">
        <f t="shared" si="16"/>
        <v/>
      </c>
      <c r="U89" s="27" t="str">
        <f t="shared" si="17"/>
        <v/>
      </c>
      <c r="V89" s="10" t="str">
        <f>IF($B89="","",IF($B89="01水果",IFERROR(INDEX(对接源_01水果!$H$5:$H$507,MATCH(ROW()-3,对接源_01水果!$Q$5:$Q$507,0)),""),IFERROR(INDEX(对接源_02物料!$H$5:$H$460,MATCH(ROW()-3-N(对接源_01水果!$T$1),对接源_02物料!$Q$5:$Q$460,0)),"")))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0" ht="18" customHeight="1" spans="1:22">
      <c r="A90" s="10">
        <v>87</v>
      </c>
      <c r="B90" s="26" t="str">
        <f>IF(ROW()-3&lt;=N(对接源_01水果!$T$1),"01水果",IF(ROW()-3&lt;=N(对接源_01水果!$T$1)+N(对接源_02物料!$T$1),"02物料",""))</f>
        <v/>
      </c>
      <c r="C90" s="125" t="str">
        <f>IF($B90="","",IF($B90="01水果",IFERROR(INDEX(对接源_01水果!$B$5:$B$507,MATCH(ROW()-3,对接源_01水果!$Q$5:$Q$507,0)),""),IFERROR(INDEX(对接源_02物料!$B$5:$B$460,MATCH(ROW()-3-N(对接源_01水果!$T$1),对接源_02物料!$Q$5:$Q$460,0)),"")))</f>
        <v/>
      </c>
      <c r="D90" s="26" t="str">
        <f>IF($B90="","",IF($B90="01水果",IFERROR(INDEX(对接源_01水果!$C$5:$C$507,MATCH(ROW()-3,对接源_01水果!$Q$5:$Q$507,0)),""),IFERROR(INDEX(对接源_02物料!$C$5:$C$460,MATCH(ROW()-3-N(对接源_01水果!$T$1),对接源_02物料!$Q$5:$Q$460,0)),"")))</f>
        <v/>
      </c>
      <c r="E90" s="126" t="str">
        <f>IF($B90="","",IF($B90="01水果",IFERROR(INDEX(对接源_01水果!$D$5:$D$507,MATCH(ROW()-3,对接源_01水果!$Q$5:$Q$507,0)),""),IFERROR(INDEX(对接源_02物料!$D$5:$D$460,MATCH(ROW()-3-N(对接源_01水果!$T$1),对接源_02物料!$Q$5:$Q$460,0)),"")))</f>
        <v/>
      </c>
      <c r="F90" s="26" t="str">
        <f>IF($B90="","",IF($B90="01水果",IFERROR(INDEX(对接源_01水果!$E$5:$E$507,MATCH(ROW()-3,对接源_01水果!$Q$5:$Q$507,0)),""),IFERROR(INDEX(对接源_02物料!$E$5:$E$460,MATCH(ROW()-3-N(对接源_01水果!$T$1),对接源_02物料!$Q$5:$Q$460,0)),"")))</f>
        <v/>
      </c>
      <c r="G90" s="27" t="str">
        <f>IF($B90="","",IF($B90="01水果",IFERROR(INDEX(对接源_01水果!$F$5:$F$507,MATCH(ROW()-3,对接源_01水果!$Q$5:$Q$507,0)),""),IFERROR(INDEX(对接源_02物料!$F$5:$F$460,MATCH(ROW()-3-N(对接源_01水果!$T$1),对接源_02物料!$Q$5:$Q$460,0)),"")))</f>
        <v/>
      </c>
      <c r="H90" s="27" t="str">
        <f>IF($B90="","",IF($B90="01水果",IFERROR(INDEX(对接源_01水果!$G$5:$G$507,MATCH(ROW()-3,对接源_01水果!$Q$5:$Q$507,0)),""),IFERROR(INDEX(对接源_02物料!$G$5:$G$460,MATCH(ROW()-3-N(对接源_01水果!$T$1),对接源_02物料!$Q$5:$Q$460,0)),"")))</f>
        <v/>
      </c>
      <c r="I90" s="26" t="str">
        <f>IFERROR(INDEX(收入成本映射!$C$4:$C$34,MATCH($D90,收入成本映射!$B$4:$B$34,0)),"不记账")</f>
        <v>不记账</v>
      </c>
      <c r="J90" s="26" t="str">
        <f t="shared" si="9"/>
        <v/>
      </c>
      <c r="K90" s="27">
        <f t="shared" si="10"/>
        <v>0</v>
      </c>
      <c r="L90" s="27">
        <v>0</v>
      </c>
      <c r="M90" s="26" t="str">
        <f>IF(OR($I90="不记账",ROUND(N($G90),2)=0),"",IFERROR(INDEX(收入成本映射!$E$4:$E$34,MATCH($D90,收入成本映射!$B$4:$B$34,0)),""))</f>
        <v/>
      </c>
      <c r="N90" s="27" t="str">
        <f t="shared" si="11"/>
        <v/>
      </c>
      <c r="O90" s="27" t="str">
        <f t="shared" si="12"/>
        <v/>
      </c>
      <c r="P90" s="26" t="str">
        <f>IF($M90="","",IFERROR(INDEX(收入成本映射!$F$4:$F$34,MATCH($D90,收入成本映射!$B$4:$B$34,0)),""))</f>
        <v/>
      </c>
      <c r="Q90" s="27" t="str">
        <f t="shared" si="13"/>
        <v/>
      </c>
      <c r="R90" s="27" t="str">
        <f t="shared" si="14"/>
        <v/>
      </c>
      <c r="S90" s="26" t="str">
        <f t="shared" si="15"/>
        <v/>
      </c>
      <c r="T90" s="27" t="str">
        <f t="shared" si="16"/>
        <v/>
      </c>
      <c r="U90" s="27" t="str">
        <f t="shared" si="17"/>
        <v/>
      </c>
      <c r="V90" s="10" t="str">
        <f>IF($B90="","",IF($B90="01水果",IFERROR(INDEX(对接源_01水果!$H$5:$H$507,MATCH(ROW()-3,对接源_01水果!$Q$5:$Q$507,0)),""),IFERROR(INDEX(对接源_02物料!$H$5:$H$460,MATCH(ROW()-3-N(对接源_01水果!$T$1),对接源_02物料!$Q$5:$Q$460,0)),"")))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1" ht="18" customHeight="1" spans="1:22">
      <c r="A91" s="10">
        <v>88</v>
      </c>
      <c r="B91" s="26" t="str">
        <f>IF(ROW()-3&lt;=N(对接源_01水果!$T$1),"01水果",IF(ROW()-3&lt;=N(对接源_01水果!$T$1)+N(对接源_02物料!$T$1),"02物料",""))</f>
        <v/>
      </c>
      <c r="C91" s="125" t="str">
        <f>IF($B91="","",IF($B91="01水果",IFERROR(INDEX(对接源_01水果!$B$5:$B$507,MATCH(ROW()-3,对接源_01水果!$Q$5:$Q$507,0)),""),IFERROR(INDEX(对接源_02物料!$B$5:$B$460,MATCH(ROW()-3-N(对接源_01水果!$T$1),对接源_02物料!$Q$5:$Q$460,0)),"")))</f>
        <v/>
      </c>
      <c r="D91" s="26" t="str">
        <f>IF($B91="","",IF($B91="01水果",IFERROR(INDEX(对接源_01水果!$C$5:$C$507,MATCH(ROW()-3,对接源_01水果!$Q$5:$Q$507,0)),""),IFERROR(INDEX(对接源_02物料!$C$5:$C$460,MATCH(ROW()-3-N(对接源_01水果!$T$1),对接源_02物料!$Q$5:$Q$460,0)),"")))</f>
        <v/>
      </c>
      <c r="E91" s="126" t="str">
        <f>IF($B91="","",IF($B91="01水果",IFERROR(INDEX(对接源_01水果!$D$5:$D$507,MATCH(ROW()-3,对接源_01水果!$Q$5:$Q$507,0)),""),IFERROR(INDEX(对接源_02物料!$D$5:$D$460,MATCH(ROW()-3-N(对接源_01水果!$T$1),对接源_02物料!$Q$5:$Q$460,0)),"")))</f>
        <v/>
      </c>
      <c r="F91" s="26" t="str">
        <f>IF($B91="","",IF($B91="01水果",IFERROR(INDEX(对接源_01水果!$E$5:$E$507,MATCH(ROW()-3,对接源_01水果!$Q$5:$Q$507,0)),""),IFERROR(INDEX(对接源_02物料!$E$5:$E$460,MATCH(ROW()-3-N(对接源_01水果!$T$1),对接源_02物料!$Q$5:$Q$460,0)),"")))</f>
        <v/>
      </c>
      <c r="G91" s="27" t="str">
        <f>IF($B91="","",IF($B91="01水果",IFERROR(INDEX(对接源_01水果!$F$5:$F$507,MATCH(ROW()-3,对接源_01水果!$Q$5:$Q$507,0)),""),IFERROR(INDEX(对接源_02物料!$F$5:$F$460,MATCH(ROW()-3-N(对接源_01水果!$T$1),对接源_02物料!$Q$5:$Q$460,0)),"")))</f>
        <v/>
      </c>
      <c r="H91" s="27" t="str">
        <f>IF($B91="","",IF($B91="01水果",IFERROR(INDEX(对接源_01水果!$G$5:$G$507,MATCH(ROW()-3,对接源_01水果!$Q$5:$Q$507,0)),""),IFERROR(INDEX(对接源_02物料!$G$5:$G$460,MATCH(ROW()-3-N(对接源_01水果!$T$1),对接源_02物料!$Q$5:$Q$460,0)),"")))</f>
        <v/>
      </c>
      <c r="I91" s="26" t="str">
        <f>IFERROR(INDEX(收入成本映射!$C$4:$C$34,MATCH($D91,收入成本映射!$B$4:$B$34,0)),"不记账")</f>
        <v>不记账</v>
      </c>
      <c r="J91" s="26" t="str">
        <f t="shared" si="9"/>
        <v/>
      </c>
      <c r="K91" s="27">
        <f t="shared" si="10"/>
        <v>0</v>
      </c>
      <c r="L91" s="27">
        <v>0</v>
      </c>
      <c r="M91" s="26" t="str">
        <f>IF(OR($I91="不记账",ROUND(N($G91),2)=0),"",IFERROR(INDEX(收入成本映射!$E$4:$E$34,MATCH($D91,收入成本映射!$B$4:$B$34,0)),""))</f>
        <v/>
      </c>
      <c r="N91" s="27" t="str">
        <f t="shared" si="11"/>
        <v/>
      </c>
      <c r="O91" s="27" t="str">
        <f t="shared" si="12"/>
        <v/>
      </c>
      <c r="P91" s="26" t="str">
        <f>IF($M91="","",IFERROR(INDEX(收入成本映射!$F$4:$F$34,MATCH($D91,收入成本映射!$B$4:$B$34,0)),""))</f>
        <v/>
      </c>
      <c r="Q91" s="27" t="str">
        <f t="shared" si="13"/>
        <v/>
      </c>
      <c r="R91" s="27" t="str">
        <f t="shared" si="14"/>
        <v/>
      </c>
      <c r="S91" s="26" t="str">
        <f t="shared" si="15"/>
        <v/>
      </c>
      <c r="T91" s="27" t="str">
        <f t="shared" si="16"/>
        <v/>
      </c>
      <c r="U91" s="27" t="str">
        <f t="shared" si="17"/>
        <v/>
      </c>
      <c r="V91" s="10" t="str">
        <f>IF($B91="","",IF($B91="01水果",IFERROR(INDEX(对接源_01水果!$H$5:$H$507,MATCH(ROW()-3,对接源_01水果!$Q$5:$Q$507,0)),""),IFERROR(INDEX(对接源_02物料!$H$5:$H$460,MATCH(ROW()-3-N(对接源_01水果!$T$1),对接源_02物料!$Q$5:$Q$460,0)),"")))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2" ht="18" customHeight="1" spans="1:22">
      <c r="A92" s="10">
        <v>89</v>
      </c>
      <c r="B92" s="26" t="str">
        <f>IF(ROW()-3&lt;=N(对接源_01水果!$T$1),"01水果",IF(ROW()-3&lt;=N(对接源_01水果!$T$1)+N(对接源_02物料!$T$1),"02物料",""))</f>
        <v/>
      </c>
      <c r="C92" s="125" t="str">
        <f>IF($B92="","",IF($B92="01水果",IFERROR(INDEX(对接源_01水果!$B$5:$B$507,MATCH(ROW()-3,对接源_01水果!$Q$5:$Q$507,0)),""),IFERROR(INDEX(对接源_02物料!$B$5:$B$460,MATCH(ROW()-3-N(对接源_01水果!$T$1),对接源_02物料!$Q$5:$Q$460,0)),"")))</f>
        <v/>
      </c>
      <c r="D92" s="26" t="str">
        <f>IF($B92="","",IF($B92="01水果",IFERROR(INDEX(对接源_01水果!$C$5:$C$507,MATCH(ROW()-3,对接源_01水果!$Q$5:$Q$507,0)),""),IFERROR(INDEX(对接源_02物料!$C$5:$C$460,MATCH(ROW()-3-N(对接源_01水果!$T$1),对接源_02物料!$Q$5:$Q$460,0)),"")))</f>
        <v/>
      </c>
      <c r="E92" s="126" t="str">
        <f>IF($B92="","",IF($B92="01水果",IFERROR(INDEX(对接源_01水果!$D$5:$D$507,MATCH(ROW()-3,对接源_01水果!$Q$5:$Q$507,0)),""),IFERROR(INDEX(对接源_02物料!$D$5:$D$460,MATCH(ROW()-3-N(对接源_01水果!$T$1),对接源_02物料!$Q$5:$Q$460,0)),"")))</f>
        <v/>
      </c>
      <c r="F92" s="26" t="str">
        <f>IF($B92="","",IF($B92="01水果",IFERROR(INDEX(对接源_01水果!$E$5:$E$507,MATCH(ROW()-3,对接源_01水果!$Q$5:$Q$507,0)),""),IFERROR(INDEX(对接源_02物料!$E$5:$E$460,MATCH(ROW()-3-N(对接源_01水果!$T$1),对接源_02物料!$Q$5:$Q$460,0)),"")))</f>
        <v/>
      </c>
      <c r="G92" s="27" t="str">
        <f>IF($B92="","",IF($B92="01水果",IFERROR(INDEX(对接源_01水果!$F$5:$F$507,MATCH(ROW()-3,对接源_01水果!$Q$5:$Q$507,0)),""),IFERROR(INDEX(对接源_02物料!$F$5:$F$460,MATCH(ROW()-3-N(对接源_01水果!$T$1),对接源_02物料!$Q$5:$Q$460,0)),"")))</f>
        <v/>
      </c>
      <c r="H92" s="27" t="str">
        <f>IF($B92="","",IF($B92="01水果",IFERROR(INDEX(对接源_01水果!$G$5:$G$507,MATCH(ROW()-3,对接源_01水果!$Q$5:$Q$507,0)),""),IFERROR(INDEX(对接源_02物料!$G$5:$G$460,MATCH(ROW()-3-N(对接源_01水果!$T$1),对接源_02物料!$Q$5:$Q$460,0)),"")))</f>
        <v/>
      </c>
      <c r="I92" s="26" t="str">
        <f>IFERROR(INDEX(收入成本映射!$C$4:$C$34,MATCH($D92,收入成本映射!$B$4:$B$34,0)),"不记账")</f>
        <v>不记账</v>
      </c>
      <c r="J92" s="26" t="str">
        <f t="shared" si="9"/>
        <v/>
      </c>
      <c r="K92" s="27">
        <f t="shared" si="10"/>
        <v>0</v>
      </c>
      <c r="L92" s="27">
        <v>0</v>
      </c>
      <c r="M92" s="26" t="str">
        <f>IF(OR($I92="不记账",ROUND(N($G92),2)=0),"",IFERROR(INDEX(收入成本映射!$E$4:$E$34,MATCH($D92,收入成本映射!$B$4:$B$34,0)),""))</f>
        <v/>
      </c>
      <c r="N92" s="27" t="str">
        <f t="shared" si="11"/>
        <v/>
      </c>
      <c r="O92" s="27" t="str">
        <f t="shared" si="12"/>
        <v/>
      </c>
      <c r="P92" s="26" t="str">
        <f>IF($M92="","",IFERROR(INDEX(收入成本映射!$F$4:$F$34,MATCH($D92,收入成本映射!$B$4:$B$34,0)),""))</f>
        <v/>
      </c>
      <c r="Q92" s="27" t="str">
        <f t="shared" si="13"/>
        <v/>
      </c>
      <c r="R92" s="27" t="str">
        <f t="shared" si="14"/>
        <v/>
      </c>
      <c r="S92" s="26" t="str">
        <f t="shared" si="15"/>
        <v/>
      </c>
      <c r="T92" s="27" t="str">
        <f t="shared" si="16"/>
        <v/>
      </c>
      <c r="U92" s="27" t="str">
        <f t="shared" si="17"/>
        <v/>
      </c>
      <c r="V92" s="10" t="str">
        <f>IF($B92="","",IF($B92="01水果",IFERROR(INDEX(对接源_01水果!$H$5:$H$507,MATCH(ROW()-3,对接源_01水果!$Q$5:$Q$507,0)),""),IFERROR(INDEX(对接源_02物料!$H$5:$H$460,MATCH(ROW()-3-N(对接源_01水果!$T$1),对接源_02物料!$Q$5:$Q$460,0)),"")))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3" ht="18" customHeight="1" spans="1:22">
      <c r="A93" s="10">
        <v>90</v>
      </c>
      <c r="B93" s="26" t="str">
        <f>IF(ROW()-3&lt;=N(对接源_01水果!$T$1),"01水果",IF(ROW()-3&lt;=N(对接源_01水果!$T$1)+N(对接源_02物料!$T$1),"02物料",""))</f>
        <v/>
      </c>
      <c r="C93" s="125" t="str">
        <f>IF($B93="","",IF($B93="01水果",IFERROR(INDEX(对接源_01水果!$B$5:$B$507,MATCH(ROW()-3,对接源_01水果!$Q$5:$Q$507,0)),""),IFERROR(INDEX(对接源_02物料!$B$5:$B$460,MATCH(ROW()-3-N(对接源_01水果!$T$1),对接源_02物料!$Q$5:$Q$460,0)),"")))</f>
        <v/>
      </c>
      <c r="D93" s="26" t="str">
        <f>IF($B93="","",IF($B93="01水果",IFERROR(INDEX(对接源_01水果!$C$5:$C$507,MATCH(ROW()-3,对接源_01水果!$Q$5:$Q$507,0)),""),IFERROR(INDEX(对接源_02物料!$C$5:$C$460,MATCH(ROW()-3-N(对接源_01水果!$T$1),对接源_02物料!$Q$5:$Q$460,0)),"")))</f>
        <v/>
      </c>
      <c r="E93" s="126" t="str">
        <f>IF($B93="","",IF($B93="01水果",IFERROR(INDEX(对接源_01水果!$D$5:$D$507,MATCH(ROW()-3,对接源_01水果!$Q$5:$Q$507,0)),""),IFERROR(INDEX(对接源_02物料!$D$5:$D$460,MATCH(ROW()-3-N(对接源_01水果!$T$1),对接源_02物料!$Q$5:$Q$460,0)),"")))</f>
        <v/>
      </c>
      <c r="F93" s="26" t="str">
        <f>IF($B93="","",IF($B93="01水果",IFERROR(INDEX(对接源_01水果!$E$5:$E$507,MATCH(ROW()-3,对接源_01水果!$Q$5:$Q$507,0)),""),IFERROR(INDEX(对接源_02物料!$E$5:$E$460,MATCH(ROW()-3-N(对接源_01水果!$T$1),对接源_02物料!$Q$5:$Q$460,0)),"")))</f>
        <v/>
      </c>
      <c r="G93" s="27" t="str">
        <f>IF($B93="","",IF($B93="01水果",IFERROR(INDEX(对接源_01水果!$F$5:$F$507,MATCH(ROW()-3,对接源_01水果!$Q$5:$Q$507,0)),""),IFERROR(INDEX(对接源_02物料!$F$5:$F$460,MATCH(ROW()-3-N(对接源_01水果!$T$1),对接源_02物料!$Q$5:$Q$460,0)),"")))</f>
        <v/>
      </c>
      <c r="H93" s="27" t="str">
        <f>IF($B93="","",IF($B93="01水果",IFERROR(INDEX(对接源_01水果!$G$5:$G$507,MATCH(ROW()-3,对接源_01水果!$Q$5:$Q$507,0)),""),IFERROR(INDEX(对接源_02物料!$G$5:$G$460,MATCH(ROW()-3-N(对接源_01水果!$T$1),对接源_02物料!$Q$5:$Q$460,0)),"")))</f>
        <v/>
      </c>
      <c r="I93" s="26" t="str">
        <f>IFERROR(INDEX(收入成本映射!$C$4:$C$34,MATCH($D93,收入成本映射!$B$4:$B$34,0)),"不记账")</f>
        <v>不记账</v>
      </c>
      <c r="J93" s="26" t="str">
        <f t="shared" si="9"/>
        <v/>
      </c>
      <c r="K93" s="27">
        <f t="shared" si="10"/>
        <v>0</v>
      </c>
      <c r="L93" s="27">
        <v>0</v>
      </c>
      <c r="M93" s="26" t="str">
        <f>IF(OR($I93="不记账",ROUND(N($G93),2)=0),"",IFERROR(INDEX(收入成本映射!$E$4:$E$34,MATCH($D93,收入成本映射!$B$4:$B$34,0)),""))</f>
        <v/>
      </c>
      <c r="N93" s="27" t="str">
        <f t="shared" si="11"/>
        <v/>
      </c>
      <c r="O93" s="27" t="str">
        <f t="shared" si="12"/>
        <v/>
      </c>
      <c r="P93" s="26" t="str">
        <f>IF($M93="","",IFERROR(INDEX(收入成本映射!$F$4:$F$34,MATCH($D93,收入成本映射!$B$4:$B$34,0)),""))</f>
        <v/>
      </c>
      <c r="Q93" s="27" t="str">
        <f t="shared" si="13"/>
        <v/>
      </c>
      <c r="R93" s="27" t="str">
        <f t="shared" si="14"/>
        <v/>
      </c>
      <c r="S93" s="26" t="str">
        <f t="shared" si="15"/>
        <v/>
      </c>
      <c r="T93" s="27" t="str">
        <f t="shared" si="16"/>
        <v/>
      </c>
      <c r="U93" s="27" t="str">
        <f t="shared" si="17"/>
        <v/>
      </c>
      <c r="V93" s="10" t="str">
        <f>IF($B93="","",IF($B93="01水果",IFERROR(INDEX(对接源_01水果!$H$5:$H$507,MATCH(ROW()-3,对接源_01水果!$Q$5:$Q$507,0)),""),IFERROR(INDEX(对接源_02物料!$H$5:$H$460,MATCH(ROW()-3-N(对接源_01水果!$T$1),对接源_02物料!$Q$5:$Q$460,0)),"")))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4" ht="18" customHeight="1" spans="1:22">
      <c r="A94" s="10">
        <v>91</v>
      </c>
      <c r="B94" s="26" t="str">
        <f>IF(ROW()-3&lt;=N(对接源_01水果!$T$1),"01水果",IF(ROW()-3&lt;=N(对接源_01水果!$T$1)+N(对接源_02物料!$T$1),"02物料",""))</f>
        <v/>
      </c>
      <c r="C94" s="125" t="str">
        <f>IF($B94="","",IF($B94="01水果",IFERROR(INDEX(对接源_01水果!$B$5:$B$507,MATCH(ROW()-3,对接源_01水果!$Q$5:$Q$507,0)),""),IFERROR(INDEX(对接源_02物料!$B$5:$B$460,MATCH(ROW()-3-N(对接源_01水果!$T$1),对接源_02物料!$Q$5:$Q$460,0)),"")))</f>
        <v/>
      </c>
      <c r="D94" s="26" t="str">
        <f>IF($B94="","",IF($B94="01水果",IFERROR(INDEX(对接源_01水果!$C$5:$C$507,MATCH(ROW()-3,对接源_01水果!$Q$5:$Q$507,0)),""),IFERROR(INDEX(对接源_02物料!$C$5:$C$460,MATCH(ROW()-3-N(对接源_01水果!$T$1),对接源_02物料!$Q$5:$Q$460,0)),"")))</f>
        <v/>
      </c>
      <c r="E94" s="126" t="str">
        <f>IF($B94="","",IF($B94="01水果",IFERROR(INDEX(对接源_01水果!$D$5:$D$507,MATCH(ROW()-3,对接源_01水果!$Q$5:$Q$507,0)),""),IFERROR(INDEX(对接源_02物料!$D$5:$D$460,MATCH(ROW()-3-N(对接源_01水果!$T$1),对接源_02物料!$Q$5:$Q$460,0)),"")))</f>
        <v/>
      </c>
      <c r="F94" s="26" t="str">
        <f>IF($B94="","",IF($B94="01水果",IFERROR(INDEX(对接源_01水果!$E$5:$E$507,MATCH(ROW()-3,对接源_01水果!$Q$5:$Q$507,0)),""),IFERROR(INDEX(对接源_02物料!$E$5:$E$460,MATCH(ROW()-3-N(对接源_01水果!$T$1),对接源_02物料!$Q$5:$Q$460,0)),"")))</f>
        <v/>
      </c>
      <c r="G94" s="27" t="str">
        <f>IF($B94="","",IF($B94="01水果",IFERROR(INDEX(对接源_01水果!$F$5:$F$507,MATCH(ROW()-3,对接源_01水果!$Q$5:$Q$507,0)),""),IFERROR(INDEX(对接源_02物料!$F$5:$F$460,MATCH(ROW()-3-N(对接源_01水果!$T$1),对接源_02物料!$Q$5:$Q$460,0)),"")))</f>
        <v/>
      </c>
      <c r="H94" s="27" t="str">
        <f>IF($B94="","",IF($B94="01水果",IFERROR(INDEX(对接源_01水果!$G$5:$G$507,MATCH(ROW()-3,对接源_01水果!$Q$5:$Q$507,0)),""),IFERROR(INDEX(对接源_02物料!$G$5:$G$460,MATCH(ROW()-3-N(对接源_01水果!$T$1),对接源_02物料!$Q$5:$Q$460,0)),"")))</f>
        <v/>
      </c>
      <c r="I94" s="26" t="str">
        <f>IFERROR(INDEX(收入成本映射!$C$4:$C$34,MATCH($D94,收入成本映射!$B$4:$B$34,0)),"不记账")</f>
        <v>不记账</v>
      </c>
      <c r="J94" s="26" t="str">
        <f t="shared" si="9"/>
        <v/>
      </c>
      <c r="K94" s="27">
        <f t="shared" si="10"/>
        <v>0</v>
      </c>
      <c r="L94" s="27">
        <v>0</v>
      </c>
      <c r="M94" s="26" t="str">
        <f>IF(OR($I94="不记账",ROUND(N($G94),2)=0),"",IFERROR(INDEX(收入成本映射!$E$4:$E$34,MATCH($D94,收入成本映射!$B$4:$B$34,0)),""))</f>
        <v/>
      </c>
      <c r="N94" s="27" t="str">
        <f t="shared" si="11"/>
        <v/>
      </c>
      <c r="O94" s="27" t="str">
        <f t="shared" si="12"/>
        <v/>
      </c>
      <c r="P94" s="26" t="str">
        <f>IF($M94="","",IFERROR(INDEX(收入成本映射!$F$4:$F$34,MATCH($D94,收入成本映射!$B$4:$B$34,0)),""))</f>
        <v/>
      </c>
      <c r="Q94" s="27" t="str">
        <f t="shared" si="13"/>
        <v/>
      </c>
      <c r="R94" s="27" t="str">
        <f t="shared" si="14"/>
        <v/>
      </c>
      <c r="S94" s="26" t="str">
        <f t="shared" si="15"/>
        <v/>
      </c>
      <c r="T94" s="27" t="str">
        <f t="shared" si="16"/>
        <v/>
      </c>
      <c r="U94" s="27" t="str">
        <f t="shared" si="17"/>
        <v/>
      </c>
      <c r="V94" s="10" t="str">
        <f>IF($B94="","",IF($B94="01水果",IFERROR(INDEX(对接源_01水果!$H$5:$H$507,MATCH(ROW()-3,对接源_01水果!$Q$5:$Q$507,0)),""),IFERROR(INDEX(对接源_02物料!$H$5:$H$460,MATCH(ROW()-3-N(对接源_01水果!$T$1),对接源_02物料!$Q$5:$Q$460,0)),"")))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5" ht="18" customHeight="1" spans="1:22">
      <c r="A95" s="10">
        <v>92</v>
      </c>
      <c r="B95" s="26" t="str">
        <f>IF(ROW()-3&lt;=N(对接源_01水果!$T$1),"01水果",IF(ROW()-3&lt;=N(对接源_01水果!$T$1)+N(对接源_02物料!$T$1),"02物料",""))</f>
        <v/>
      </c>
      <c r="C95" s="125" t="str">
        <f>IF($B95="","",IF($B95="01水果",IFERROR(INDEX(对接源_01水果!$B$5:$B$507,MATCH(ROW()-3,对接源_01水果!$Q$5:$Q$507,0)),""),IFERROR(INDEX(对接源_02物料!$B$5:$B$460,MATCH(ROW()-3-N(对接源_01水果!$T$1),对接源_02物料!$Q$5:$Q$460,0)),"")))</f>
        <v/>
      </c>
      <c r="D95" s="26" t="str">
        <f>IF($B95="","",IF($B95="01水果",IFERROR(INDEX(对接源_01水果!$C$5:$C$507,MATCH(ROW()-3,对接源_01水果!$Q$5:$Q$507,0)),""),IFERROR(INDEX(对接源_02物料!$C$5:$C$460,MATCH(ROW()-3-N(对接源_01水果!$T$1),对接源_02物料!$Q$5:$Q$460,0)),"")))</f>
        <v/>
      </c>
      <c r="E95" s="126" t="str">
        <f>IF($B95="","",IF($B95="01水果",IFERROR(INDEX(对接源_01水果!$D$5:$D$507,MATCH(ROW()-3,对接源_01水果!$Q$5:$Q$507,0)),""),IFERROR(INDEX(对接源_02物料!$D$5:$D$460,MATCH(ROW()-3-N(对接源_01水果!$T$1),对接源_02物料!$Q$5:$Q$460,0)),"")))</f>
        <v/>
      </c>
      <c r="F95" s="26" t="str">
        <f>IF($B95="","",IF($B95="01水果",IFERROR(INDEX(对接源_01水果!$E$5:$E$507,MATCH(ROW()-3,对接源_01水果!$Q$5:$Q$507,0)),""),IFERROR(INDEX(对接源_02物料!$E$5:$E$460,MATCH(ROW()-3-N(对接源_01水果!$T$1),对接源_02物料!$Q$5:$Q$460,0)),"")))</f>
        <v/>
      </c>
      <c r="G95" s="27" t="str">
        <f>IF($B95="","",IF($B95="01水果",IFERROR(INDEX(对接源_01水果!$F$5:$F$507,MATCH(ROW()-3,对接源_01水果!$Q$5:$Q$507,0)),""),IFERROR(INDEX(对接源_02物料!$F$5:$F$460,MATCH(ROW()-3-N(对接源_01水果!$T$1),对接源_02物料!$Q$5:$Q$460,0)),"")))</f>
        <v/>
      </c>
      <c r="H95" s="27" t="str">
        <f>IF($B95="","",IF($B95="01水果",IFERROR(INDEX(对接源_01水果!$G$5:$G$507,MATCH(ROW()-3,对接源_01水果!$Q$5:$Q$507,0)),""),IFERROR(INDEX(对接源_02物料!$G$5:$G$460,MATCH(ROW()-3-N(对接源_01水果!$T$1),对接源_02物料!$Q$5:$Q$460,0)),"")))</f>
        <v/>
      </c>
      <c r="I95" s="26" t="str">
        <f>IFERROR(INDEX(收入成本映射!$C$4:$C$34,MATCH($D95,收入成本映射!$B$4:$B$34,0)),"不记账")</f>
        <v>不记账</v>
      </c>
      <c r="J95" s="26" t="str">
        <f t="shared" si="9"/>
        <v/>
      </c>
      <c r="K95" s="27">
        <f t="shared" si="10"/>
        <v>0</v>
      </c>
      <c r="L95" s="27">
        <v>0</v>
      </c>
      <c r="M95" s="26" t="str">
        <f>IF(OR($I95="不记账",ROUND(N($G95),2)=0),"",IFERROR(INDEX(收入成本映射!$E$4:$E$34,MATCH($D95,收入成本映射!$B$4:$B$34,0)),""))</f>
        <v/>
      </c>
      <c r="N95" s="27" t="str">
        <f t="shared" si="11"/>
        <v/>
      </c>
      <c r="O95" s="27" t="str">
        <f t="shared" si="12"/>
        <v/>
      </c>
      <c r="P95" s="26" t="str">
        <f>IF($M95="","",IFERROR(INDEX(收入成本映射!$F$4:$F$34,MATCH($D95,收入成本映射!$B$4:$B$34,0)),""))</f>
        <v/>
      </c>
      <c r="Q95" s="27" t="str">
        <f t="shared" si="13"/>
        <v/>
      </c>
      <c r="R95" s="27" t="str">
        <f t="shared" si="14"/>
        <v/>
      </c>
      <c r="S95" s="26" t="str">
        <f t="shared" si="15"/>
        <v/>
      </c>
      <c r="T95" s="27" t="str">
        <f t="shared" si="16"/>
        <v/>
      </c>
      <c r="U95" s="27" t="str">
        <f t="shared" si="17"/>
        <v/>
      </c>
      <c r="V95" s="10" t="str">
        <f>IF($B95="","",IF($B95="01水果",IFERROR(INDEX(对接源_01水果!$H$5:$H$507,MATCH(ROW()-3,对接源_01水果!$Q$5:$Q$507,0)),""),IFERROR(INDEX(对接源_02物料!$H$5:$H$460,MATCH(ROW()-3-N(对接源_01水果!$T$1),对接源_02物料!$Q$5:$Q$460,0)),"")))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6" ht="18" customHeight="1" spans="1:22">
      <c r="A96" s="10">
        <v>93</v>
      </c>
      <c r="B96" s="26" t="str">
        <f>IF(ROW()-3&lt;=N(对接源_01水果!$T$1),"01水果",IF(ROW()-3&lt;=N(对接源_01水果!$T$1)+N(对接源_02物料!$T$1),"02物料",""))</f>
        <v/>
      </c>
      <c r="C96" s="125" t="str">
        <f>IF($B96="","",IF($B96="01水果",IFERROR(INDEX(对接源_01水果!$B$5:$B$507,MATCH(ROW()-3,对接源_01水果!$Q$5:$Q$507,0)),""),IFERROR(INDEX(对接源_02物料!$B$5:$B$460,MATCH(ROW()-3-N(对接源_01水果!$T$1),对接源_02物料!$Q$5:$Q$460,0)),"")))</f>
        <v/>
      </c>
      <c r="D96" s="26" t="str">
        <f>IF($B96="","",IF($B96="01水果",IFERROR(INDEX(对接源_01水果!$C$5:$C$507,MATCH(ROW()-3,对接源_01水果!$Q$5:$Q$507,0)),""),IFERROR(INDEX(对接源_02物料!$C$5:$C$460,MATCH(ROW()-3-N(对接源_01水果!$T$1),对接源_02物料!$Q$5:$Q$460,0)),"")))</f>
        <v/>
      </c>
      <c r="E96" s="126" t="str">
        <f>IF($B96="","",IF($B96="01水果",IFERROR(INDEX(对接源_01水果!$D$5:$D$507,MATCH(ROW()-3,对接源_01水果!$Q$5:$Q$507,0)),""),IFERROR(INDEX(对接源_02物料!$D$5:$D$460,MATCH(ROW()-3-N(对接源_01水果!$T$1),对接源_02物料!$Q$5:$Q$460,0)),"")))</f>
        <v/>
      </c>
      <c r="F96" s="26" t="str">
        <f>IF($B96="","",IF($B96="01水果",IFERROR(INDEX(对接源_01水果!$E$5:$E$507,MATCH(ROW()-3,对接源_01水果!$Q$5:$Q$507,0)),""),IFERROR(INDEX(对接源_02物料!$E$5:$E$460,MATCH(ROW()-3-N(对接源_01水果!$T$1),对接源_02物料!$Q$5:$Q$460,0)),"")))</f>
        <v/>
      </c>
      <c r="G96" s="27" t="str">
        <f>IF($B96="","",IF($B96="01水果",IFERROR(INDEX(对接源_01水果!$F$5:$F$507,MATCH(ROW()-3,对接源_01水果!$Q$5:$Q$507,0)),""),IFERROR(INDEX(对接源_02物料!$F$5:$F$460,MATCH(ROW()-3-N(对接源_01水果!$T$1),对接源_02物料!$Q$5:$Q$460,0)),"")))</f>
        <v/>
      </c>
      <c r="H96" s="27" t="str">
        <f>IF($B96="","",IF($B96="01水果",IFERROR(INDEX(对接源_01水果!$G$5:$G$507,MATCH(ROW()-3,对接源_01水果!$Q$5:$Q$507,0)),""),IFERROR(INDEX(对接源_02物料!$G$5:$G$460,MATCH(ROW()-3-N(对接源_01水果!$T$1),对接源_02物料!$Q$5:$Q$460,0)),"")))</f>
        <v/>
      </c>
      <c r="I96" s="26" t="str">
        <f>IFERROR(INDEX(收入成本映射!$C$4:$C$34,MATCH($D96,收入成本映射!$B$4:$B$34,0)),"不记账")</f>
        <v>不记账</v>
      </c>
      <c r="J96" s="26" t="str">
        <f t="shared" si="9"/>
        <v/>
      </c>
      <c r="K96" s="27">
        <f t="shared" si="10"/>
        <v>0</v>
      </c>
      <c r="L96" s="27">
        <v>0</v>
      </c>
      <c r="M96" s="26" t="str">
        <f>IF(OR($I96="不记账",ROUND(N($G96),2)=0),"",IFERROR(INDEX(收入成本映射!$E$4:$E$34,MATCH($D96,收入成本映射!$B$4:$B$34,0)),""))</f>
        <v/>
      </c>
      <c r="N96" s="27" t="str">
        <f t="shared" si="11"/>
        <v/>
      </c>
      <c r="O96" s="27" t="str">
        <f t="shared" si="12"/>
        <v/>
      </c>
      <c r="P96" s="26" t="str">
        <f>IF($M96="","",IFERROR(INDEX(收入成本映射!$F$4:$F$34,MATCH($D96,收入成本映射!$B$4:$B$34,0)),""))</f>
        <v/>
      </c>
      <c r="Q96" s="27" t="str">
        <f t="shared" si="13"/>
        <v/>
      </c>
      <c r="R96" s="27" t="str">
        <f t="shared" si="14"/>
        <v/>
      </c>
      <c r="S96" s="26" t="str">
        <f t="shared" si="15"/>
        <v/>
      </c>
      <c r="T96" s="27" t="str">
        <f t="shared" si="16"/>
        <v/>
      </c>
      <c r="U96" s="27" t="str">
        <f t="shared" si="17"/>
        <v/>
      </c>
      <c r="V96" s="10" t="str">
        <f>IF($B96="","",IF($B96="01水果",IFERROR(INDEX(对接源_01水果!$H$5:$H$507,MATCH(ROW()-3,对接源_01水果!$Q$5:$Q$507,0)),""),IFERROR(INDEX(对接源_02物料!$H$5:$H$460,MATCH(ROW()-3-N(对接源_01水果!$T$1),对接源_02物料!$Q$5:$Q$460,0)),"")))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7" ht="18" customHeight="1" spans="1:22">
      <c r="A97" s="10">
        <v>94</v>
      </c>
      <c r="B97" s="26" t="str">
        <f>IF(ROW()-3&lt;=N(对接源_01水果!$T$1),"01水果",IF(ROW()-3&lt;=N(对接源_01水果!$T$1)+N(对接源_02物料!$T$1),"02物料",""))</f>
        <v/>
      </c>
      <c r="C97" s="125" t="str">
        <f>IF($B97="","",IF($B97="01水果",IFERROR(INDEX(对接源_01水果!$B$5:$B$507,MATCH(ROW()-3,对接源_01水果!$Q$5:$Q$507,0)),""),IFERROR(INDEX(对接源_02物料!$B$5:$B$460,MATCH(ROW()-3-N(对接源_01水果!$T$1),对接源_02物料!$Q$5:$Q$460,0)),"")))</f>
        <v/>
      </c>
      <c r="D97" s="26" t="str">
        <f>IF($B97="","",IF($B97="01水果",IFERROR(INDEX(对接源_01水果!$C$5:$C$507,MATCH(ROW()-3,对接源_01水果!$Q$5:$Q$507,0)),""),IFERROR(INDEX(对接源_02物料!$C$5:$C$460,MATCH(ROW()-3-N(对接源_01水果!$T$1),对接源_02物料!$Q$5:$Q$460,0)),"")))</f>
        <v/>
      </c>
      <c r="E97" s="126" t="str">
        <f>IF($B97="","",IF($B97="01水果",IFERROR(INDEX(对接源_01水果!$D$5:$D$507,MATCH(ROW()-3,对接源_01水果!$Q$5:$Q$507,0)),""),IFERROR(INDEX(对接源_02物料!$D$5:$D$460,MATCH(ROW()-3-N(对接源_01水果!$T$1),对接源_02物料!$Q$5:$Q$460,0)),"")))</f>
        <v/>
      </c>
      <c r="F97" s="26" t="str">
        <f>IF($B97="","",IF($B97="01水果",IFERROR(INDEX(对接源_01水果!$E$5:$E$507,MATCH(ROW()-3,对接源_01水果!$Q$5:$Q$507,0)),""),IFERROR(INDEX(对接源_02物料!$E$5:$E$460,MATCH(ROW()-3-N(对接源_01水果!$T$1),对接源_02物料!$Q$5:$Q$460,0)),"")))</f>
        <v/>
      </c>
      <c r="G97" s="27" t="str">
        <f>IF($B97="","",IF($B97="01水果",IFERROR(INDEX(对接源_01水果!$F$5:$F$507,MATCH(ROW()-3,对接源_01水果!$Q$5:$Q$507,0)),""),IFERROR(INDEX(对接源_02物料!$F$5:$F$460,MATCH(ROW()-3-N(对接源_01水果!$T$1),对接源_02物料!$Q$5:$Q$460,0)),"")))</f>
        <v/>
      </c>
      <c r="H97" s="27" t="str">
        <f>IF($B97="","",IF($B97="01水果",IFERROR(INDEX(对接源_01水果!$G$5:$G$507,MATCH(ROW()-3,对接源_01水果!$Q$5:$Q$507,0)),""),IFERROR(INDEX(对接源_02物料!$G$5:$G$460,MATCH(ROW()-3-N(对接源_01水果!$T$1),对接源_02物料!$Q$5:$Q$460,0)),"")))</f>
        <v/>
      </c>
      <c r="I97" s="26" t="str">
        <f>IFERROR(INDEX(收入成本映射!$C$4:$C$34,MATCH($D97,收入成本映射!$B$4:$B$34,0)),"不记账")</f>
        <v>不记账</v>
      </c>
      <c r="J97" s="26" t="str">
        <f t="shared" si="9"/>
        <v/>
      </c>
      <c r="K97" s="27">
        <f t="shared" si="10"/>
        <v>0</v>
      </c>
      <c r="L97" s="27">
        <v>0</v>
      </c>
      <c r="M97" s="26" t="str">
        <f>IF(OR($I97="不记账",ROUND(N($G97),2)=0),"",IFERROR(INDEX(收入成本映射!$E$4:$E$34,MATCH($D97,收入成本映射!$B$4:$B$34,0)),""))</f>
        <v/>
      </c>
      <c r="N97" s="27" t="str">
        <f t="shared" si="11"/>
        <v/>
      </c>
      <c r="O97" s="27" t="str">
        <f t="shared" si="12"/>
        <v/>
      </c>
      <c r="P97" s="26" t="str">
        <f>IF($M97="","",IFERROR(INDEX(收入成本映射!$F$4:$F$34,MATCH($D97,收入成本映射!$B$4:$B$34,0)),""))</f>
        <v/>
      </c>
      <c r="Q97" s="27" t="str">
        <f t="shared" si="13"/>
        <v/>
      </c>
      <c r="R97" s="27" t="str">
        <f t="shared" si="14"/>
        <v/>
      </c>
      <c r="S97" s="26" t="str">
        <f t="shared" si="15"/>
        <v/>
      </c>
      <c r="T97" s="27" t="str">
        <f t="shared" si="16"/>
        <v/>
      </c>
      <c r="U97" s="27" t="str">
        <f t="shared" si="17"/>
        <v/>
      </c>
      <c r="V97" s="10" t="str">
        <f>IF($B97="","",IF($B97="01水果",IFERROR(INDEX(对接源_01水果!$H$5:$H$507,MATCH(ROW()-3,对接源_01水果!$Q$5:$Q$507,0)),""),IFERROR(INDEX(对接源_02物料!$H$5:$H$460,MATCH(ROW()-3-N(对接源_01水果!$T$1),对接源_02物料!$Q$5:$Q$460,0)),"")))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8" ht="18" customHeight="1" spans="1:22">
      <c r="A98" s="10">
        <v>95</v>
      </c>
      <c r="B98" s="26" t="str">
        <f>IF(ROW()-3&lt;=N(对接源_01水果!$T$1),"01水果",IF(ROW()-3&lt;=N(对接源_01水果!$T$1)+N(对接源_02物料!$T$1),"02物料",""))</f>
        <v/>
      </c>
      <c r="C98" s="125" t="str">
        <f>IF($B98="","",IF($B98="01水果",IFERROR(INDEX(对接源_01水果!$B$5:$B$507,MATCH(ROW()-3,对接源_01水果!$Q$5:$Q$507,0)),""),IFERROR(INDEX(对接源_02物料!$B$5:$B$460,MATCH(ROW()-3-N(对接源_01水果!$T$1),对接源_02物料!$Q$5:$Q$460,0)),"")))</f>
        <v/>
      </c>
      <c r="D98" s="26" t="str">
        <f>IF($B98="","",IF($B98="01水果",IFERROR(INDEX(对接源_01水果!$C$5:$C$507,MATCH(ROW()-3,对接源_01水果!$Q$5:$Q$507,0)),""),IFERROR(INDEX(对接源_02物料!$C$5:$C$460,MATCH(ROW()-3-N(对接源_01水果!$T$1),对接源_02物料!$Q$5:$Q$460,0)),"")))</f>
        <v/>
      </c>
      <c r="E98" s="126" t="str">
        <f>IF($B98="","",IF($B98="01水果",IFERROR(INDEX(对接源_01水果!$D$5:$D$507,MATCH(ROW()-3,对接源_01水果!$Q$5:$Q$507,0)),""),IFERROR(INDEX(对接源_02物料!$D$5:$D$460,MATCH(ROW()-3-N(对接源_01水果!$T$1),对接源_02物料!$Q$5:$Q$460,0)),"")))</f>
        <v/>
      </c>
      <c r="F98" s="26" t="str">
        <f>IF($B98="","",IF($B98="01水果",IFERROR(INDEX(对接源_01水果!$E$5:$E$507,MATCH(ROW()-3,对接源_01水果!$Q$5:$Q$507,0)),""),IFERROR(INDEX(对接源_02物料!$E$5:$E$460,MATCH(ROW()-3-N(对接源_01水果!$T$1),对接源_02物料!$Q$5:$Q$460,0)),"")))</f>
        <v/>
      </c>
      <c r="G98" s="27" t="str">
        <f>IF($B98="","",IF($B98="01水果",IFERROR(INDEX(对接源_01水果!$F$5:$F$507,MATCH(ROW()-3,对接源_01水果!$Q$5:$Q$507,0)),""),IFERROR(INDEX(对接源_02物料!$F$5:$F$460,MATCH(ROW()-3-N(对接源_01水果!$T$1),对接源_02物料!$Q$5:$Q$460,0)),"")))</f>
        <v/>
      </c>
      <c r="H98" s="27" t="str">
        <f>IF($B98="","",IF($B98="01水果",IFERROR(INDEX(对接源_01水果!$G$5:$G$507,MATCH(ROW()-3,对接源_01水果!$Q$5:$Q$507,0)),""),IFERROR(INDEX(对接源_02物料!$G$5:$G$460,MATCH(ROW()-3-N(对接源_01水果!$T$1),对接源_02物料!$Q$5:$Q$460,0)),"")))</f>
        <v/>
      </c>
      <c r="I98" s="26" t="str">
        <f>IFERROR(INDEX(收入成本映射!$C$4:$C$34,MATCH($D98,收入成本映射!$B$4:$B$34,0)),"不记账")</f>
        <v>不记账</v>
      </c>
      <c r="J98" s="26" t="str">
        <f t="shared" si="9"/>
        <v/>
      </c>
      <c r="K98" s="27">
        <f t="shared" si="10"/>
        <v>0</v>
      </c>
      <c r="L98" s="27">
        <v>0</v>
      </c>
      <c r="M98" s="26" t="str">
        <f>IF(OR($I98="不记账",ROUND(N($G98),2)=0),"",IFERROR(INDEX(收入成本映射!$E$4:$E$34,MATCH($D98,收入成本映射!$B$4:$B$34,0)),""))</f>
        <v/>
      </c>
      <c r="N98" s="27" t="str">
        <f t="shared" si="11"/>
        <v/>
      </c>
      <c r="O98" s="27" t="str">
        <f t="shared" si="12"/>
        <v/>
      </c>
      <c r="P98" s="26" t="str">
        <f>IF($M98="","",IFERROR(INDEX(收入成本映射!$F$4:$F$34,MATCH($D98,收入成本映射!$B$4:$B$34,0)),""))</f>
        <v/>
      </c>
      <c r="Q98" s="27" t="str">
        <f t="shared" si="13"/>
        <v/>
      </c>
      <c r="R98" s="27" t="str">
        <f t="shared" si="14"/>
        <v/>
      </c>
      <c r="S98" s="26" t="str">
        <f t="shared" si="15"/>
        <v/>
      </c>
      <c r="T98" s="27" t="str">
        <f t="shared" si="16"/>
        <v/>
      </c>
      <c r="U98" s="27" t="str">
        <f t="shared" si="17"/>
        <v/>
      </c>
      <c r="V98" s="10" t="str">
        <f>IF($B98="","",IF($B98="01水果",IFERROR(INDEX(对接源_01水果!$H$5:$H$507,MATCH(ROW()-3,对接源_01水果!$Q$5:$Q$507,0)),""),IFERROR(INDEX(对接源_02物料!$H$5:$H$460,MATCH(ROW()-3-N(对接源_01水果!$T$1),对接源_02物料!$Q$5:$Q$460,0)),"")))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9" ht="18" customHeight="1" spans="1:22">
      <c r="A99" s="10">
        <v>96</v>
      </c>
      <c r="B99" s="26" t="str">
        <f>IF(ROW()-3&lt;=N(对接源_01水果!$T$1),"01水果",IF(ROW()-3&lt;=N(对接源_01水果!$T$1)+N(对接源_02物料!$T$1),"02物料",""))</f>
        <v/>
      </c>
      <c r="C99" s="125" t="str">
        <f>IF($B99="","",IF($B99="01水果",IFERROR(INDEX(对接源_01水果!$B$5:$B$507,MATCH(ROW()-3,对接源_01水果!$Q$5:$Q$507,0)),""),IFERROR(INDEX(对接源_02物料!$B$5:$B$460,MATCH(ROW()-3-N(对接源_01水果!$T$1),对接源_02物料!$Q$5:$Q$460,0)),"")))</f>
        <v/>
      </c>
      <c r="D99" s="26" t="str">
        <f>IF($B99="","",IF($B99="01水果",IFERROR(INDEX(对接源_01水果!$C$5:$C$507,MATCH(ROW()-3,对接源_01水果!$Q$5:$Q$507,0)),""),IFERROR(INDEX(对接源_02物料!$C$5:$C$460,MATCH(ROW()-3-N(对接源_01水果!$T$1),对接源_02物料!$Q$5:$Q$460,0)),"")))</f>
        <v/>
      </c>
      <c r="E99" s="126" t="str">
        <f>IF($B99="","",IF($B99="01水果",IFERROR(INDEX(对接源_01水果!$D$5:$D$507,MATCH(ROW()-3,对接源_01水果!$Q$5:$Q$507,0)),""),IFERROR(INDEX(对接源_02物料!$D$5:$D$460,MATCH(ROW()-3-N(对接源_01水果!$T$1),对接源_02物料!$Q$5:$Q$460,0)),"")))</f>
        <v/>
      </c>
      <c r="F99" s="26" t="str">
        <f>IF($B99="","",IF($B99="01水果",IFERROR(INDEX(对接源_01水果!$E$5:$E$507,MATCH(ROW()-3,对接源_01水果!$Q$5:$Q$507,0)),""),IFERROR(INDEX(对接源_02物料!$E$5:$E$460,MATCH(ROW()-3-N(对接源_01水果!$T$1),对接源_02物料!$Q$5:$Q$460,0)),"")))</f>
        <v/>
      </c>
      <c r="G99" s="27" t="str">
        <f>IF($B99="","",IF($B99="01水果",IFERROR(INDEX(对接源_01水果!$F$5:$F$507,MATCH(ROW()-3,对接源_01水果!$Q$5:$Q$507,0)),""),IFERROR(INDEX(对接源_02物料!$F$5:$F$460,MATCH(ROW()-3-N(对接源_01水果!$T$1),对接源_02物料!$Q$5:$Q$460,0)),"")))</f>
        <v/>
      </c>
      <c r="H99" s="27" t="str">
        <f>IF($B99="","",IF($B99="01水果",IFERROR(INDEX(对接源_01水果!$G$5:$G$507,MATCH(ROW()-3,对接源_01水果!$Q$5:$Q$507,0)),""),IFERROR(INDEX(对接源_02物料!$G$5:$G$460,MATCH(ROW()-3-N(对接源_01水果!$T$1),对接源_02物料!$Q$5:$Q$460,0)),"")))</f>
        <v/>
      </c>
      <c r="I99" s="26" t="str">
        <f>IFERROR(INDEX(收入成本映射!$C$4:$C$34,MATCH($D99,收入成本映射!$B$4:$B$34,0)),"不记账")</f>
        <v>不记账</v>
      </c>
      <c r="J99" s="26" t="str">
        <f t="shared" si="9"/>
        <v/>
      </c>
      <c r="K99" s="27">
        <f t="shared" si="10"/>
        <v>0</v>
      </c>
      <c r="L99" s="27">
        <v>0</v>
      </c>
      <c r="M99" s="26" t="str">
        <f>IF(OR($I99="不记账",ROUND(N($G99),2)=0),"",IFERROR(INDEX(收入成本映射!$E$4:$E$34,MATCH($D99,收入成本映射!$B$4:$B$34,0)),""))</f>
        <v/>
      </c>
      <c r="N99" s="27" t="str">
        <f t="shared" si="11"/>
        <v/>
      </c>
      <c r="O99" s="27" t="str">
        <f t="shared" si="12"/>
        <v/>
      </c>
      <c r="P99" s="26" t="str">
        <f>IF($M99="","",IFERROR(INDEX(收入成本映射!$F$4:$F$34,MATCH($D99,收入成本映射!$B$4:$B$34,0)),""))</f>
        <v/>
      </c>
      <c r="Q99" s="27" t="str">
        <f t="shared" si="13"/>
        <v/>
      </c>
      <c r="R99" s="27" t="str">
        <f t="shared" si="14"/>
        <v/>
      </c>
      <c r="S99" s="26" t="str">
        <f t="shared" si="15"/>
        <v/>
      </c>
      <c r="T99" s="27" t="str">
        <f t="shared" si="16"/>
        <v/>
      </c>
      <c r="U99" s="27" t="str">
        <f t="shared" si="17"/>
        <v/>
      </c>
      <c r="V99" s="10" t="str">
        <f>IF($B99="","",IF($B99="01水果",IFERROR(INDEX(对接源_01水果!$H$5:$H$507,MATCH(ROW()-3,对接源_01水果!$Q$5:$Q$507,0)),""),IFERROR(INDEX(对接源_02物料!$H$5:$H$460,MATCH(ROW()-3-N(对接源_01水果!$T$1),对接源_02物料!$Q$5:$Q$460,0)),"")))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0" ht="18" customHeight="1" spans="1:22">
      <c r="A100" s="10">
        <v>97</v>
      </c>
      <c r="B100" s="26" t="str">
        <f>IF(ROW()-3&lt;=N(对接源_01水果!$T$1),"01水果",IF(ROW()-3&lt;=N(对接源_01水果!$T$1)+N(对接源_02物料!$T$1),"02物料",""))</f>
        <v/>
      </c>
      <c r="C100" s="125" t="str">
        <f>IF($B100="","",IF($B100="01水果",IFERROR(INDEX(对接源_01水果!$B$5:$B$507,MATCH(ROW()-3,对接源_01水果!$Q$5:$Q$507,0)),""),IFERROR(INDEX(对接源_02物料!$B$5:$B$460,MATCH(ROW()-3-N(对接源_01水果!$T$1),对接源_02物料!$Q$5:$Q$460,0)),"")))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0" s="26" t="str">
        <f>IF($B100="","",IF($B100="01水果",IFERROR(INDEX(对接源_01水果!$C$5:$C$507,MATCH(ROW()-3,对接源_01水果!$Q$5:$Q$507,0)),""),IFERROR(INDEX(对接源_02物料!$C$5:$C$460,MATCH(ROW()-3-N(对接源_01水果!$T$1),对接源_02物料!$Q$5:$Q$460,0)),"")))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0" s="126" t="str">
        <f>IF($B100="","",IF($B100="01水果",IFERROR(INDEX(对接源_01水果!$D$5:$D$507,MATCH(ROW()-3,对接源_01水果!$Q$5:$Q$507,0)),""),IFERROR(INDEX(对接源_02物料!$D$5:$D$460,MATCH(ROW()-3-N(对接源_01水果!$T$1),对接源_02物料!$Q$5:$Q$460,0)),"")))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0" s="26" t="str">
        <f>IF($B100="","",IF($B100="01水果",IFERROR(INDEX(对接源_01水果!$E$5:$E$507,MATCH(ROW()-3,对接源_01水果!$Q$5:$Q$507,0)),""),IFERROR(INDEX(对接源_02物料!$E$5:$E$460,MATCH(ROW()-3-N(对接源_01水果!$T$1),对接源_02物料!$Q$5:$Q$460,0)),"")))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0" s="27" t="str">
        <f>IF($B100="","",IF($B100="01水果",IFERROR(INDEX(对接源_01水果!$F$5:$F$507,MATCH(ROW()-3,对接源_01水果!$Q$5:$Q$507,0)),""),IFERROR(INDEX(对接源_02物料!$F$5:$F$460,MATCH(ROW()-3-N(对接源_01水果!$T$1),对接源_02物料!$Q$5:$Q$460,0)),"")))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0" s="27" t="str">
        <f>IF($B100="","",IF($B100="01水果",IFERROR(INDEX(对接源_01水果!$G$5:$G$507,MATCH(ROW()-3,对接源_01水果!$Q$5:$Q$507,0)),""),IFERROR(INDEX(对接源_02物料!$G$5:$G$460,MATCH(ROW()-3-N(对接源_01水果!$T$1),对接源_02物料!$Q$5:$Q$460,0)),"")))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0" s="26" t="str">
        <f>IFERROR(INDEX(收入成本映射!$C$4:$C$34,MATCH($D100,收入成本映射!$B$4:$B$34,0)),"不记账")</f>
        <v>不记账</v>
      </c>
      <c r="J100" s="26" t="str">
        <f t="shared" si="9"/>
        <v/>
      </c>
      <c r="K100" s="27">
        <f t="shared" si="10"/>
        <v>0</v>
      </c>
      <c r="L100" s="27">
        <v>0</v>
      </c>
      <c r="M100" s="26" t="str">
        <f>IF(OR($I100="不记账",ROUND(N($G100),2)=0),"",IFERROR(INDEX(收入成本映射!$E$4:$E$34,MATCH($D100,收入成本映射!$B$4:$B$34,0)),""))</f>
        <v/>
      </c>
      <c r="N100" s="27" t="str">
        <f t="shared" si="11"/>
        <v/>
      </c>
      <c r="O100" s="27" t="str">
        <f t="shared" si="12"/>
        <v/>
      </c>
      <c r="P100" s="26" t="str">
        <f>IF($M100="","",IFERROR(INDEX(收入成本映射!$F$4:$F$34,MATCH($D100,收入成本映射!$B$4:$B$34,0)),""))</f>
        <v/>
      </c>
      <c r="Q100" s="27" t="str">
        <f t="shared" si="13"/>
        <v/>
      </c>
      <c r="R100" s="27" t="str">
        <f t="shared" si="14"/>
        <v/>
      </c>
      <c r="S100" s="26" t="str">
        <f t="shared" si="15"/>
        <v/>
      </c>
      <c r="T100" s="27" t="str">
        <f t="shared" si="16"/>
        <v/>
      </c>
      <c r="U100" s="27" t="str">
        <f t="shared" si="17"/>
        <v/>
      </c>
      <c r="V100" s="10" t="str">
        <f>IF($B100="","",IF($B100="01水果",IFERROR(INDEX(对接源_01水果!$H$5:$H$507,MATCH(ROW()-3,对接源_01水果!$Q$5:$Q$507,0)),""),IFERROR(INDEX(对接源_02物料!$H$5:$H$460,MATCH(ROW()-3-N(对接源_01水果!$T$1),对接源_02物料!$Q$5:$Q$460,0)),"")))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1" ht="18" customHeight="1" spans="1:22">
      <c r="A101" s="10">
        <v>98</v>
      </c>
      <c r="B101" s="26" t="str">
        <f>IF(ROW()-3&lt;=N(对接源_01水果!$T$1),"01水果",IF(ROW()-3&lt;=N(对接源_01水果!$T$1)+N(对接源_02物料!$T$1),"02物料",""))</f>
        <v/>
      </c>
      <c r="C101" s="125" t="str">
        <f>IF($B101="","",IF($B101="01水果",IFERROR(INDEX(对接源_01水果!$B$5:$B$507,MATCH(ROW()-3,对接源_01水果!$Q$5:$Q$507,0)),""),IFERROR(INDEX(对接源_02物料!$B$5:$B$460,MATCH(ROW()-3-N(对接源_01水果!$T$1),对接源_02物料!$Q$5:$Q$460,0)),"")))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1" s="26" t="str">
        <f>IF($B101="","",IF($B101="01水果",IFERROR(INDEX(对接源_01水果!$C$5:$C$507,MATCH(ROW()-3,对接源_01水果!$Q$5:$Q$507,0)),""),IFERROR(INDEX(对接源_02物料!$C$5:$C$460,MATCH(ROW()-3-N(对接源_01水果!$T$1),对接源_02物料!$Q$5:$Q$460,0)),"")))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1" s="126" t="str">
        <f>IF($B101="","",IF($B101="01水果",IFERROR(INDEX(对接源_01水果!$D$5:$D$507,MATCH(ROW()-3,对接源_01水果!$Q$5:$Q$507,0)),""),IFERROR(INDEX(对接源_02物料!$D$5:$D$460,MATCH(ROW()-3-N(对接源_01水果!$T$1),对接源_02物料!$Q$5:$Q$460,0)),"")))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1" s="26" t="str">
        <f>IF($B101="","",IF($B101="01水果",IFERROR(INDEX(对接源_01水果!$E$5:$E$507,MATCH(ROW()-3,对接源_01水果!$Q$5:$Q$507,0)),""),IFERROR(INDEX(对接源_02物料!$E$5:$E$460,MATCH(ROW()-3-N(对接源_01水果!$T$1),对接源_02物料!$Q$5:$Q$460,0)),"")))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1" s="27" t="str">
        <f>IF($B101="","",IF($B101="01水果",IFERROR(INDEX(对接源_01水果!$F$5:$F$507,MATCH(ROW()-3,对接源_01水果!$Q$5:$Q$507,0)),""),IFERROR(INDEX(对接源_02物料!$F$5:$F$460,MATCH(ROW()-3-N(对接源_01水果!$T$1),对接源_02物料!$Q$5:$Q$460,0)),"")))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1" s="27" t="str">
        <f>IF($B101="","",IF($B101="01水果",IFERROR(INDEX(对接源_01水果!$G$5:$G$507,MATCH(ROW()-3,对接源_01水果!$Q$5:$Q$507,0)),""),IFERROR(INDEX(对接源_02物料!$G$5:$G$460,MATCH(ROW()-3-N(对接源_01水果!$T$1),对接源_02物料!$Q$5:$Q$460,0)),"")))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1" s="26" t="str">
        <f>IFERROR(INDEX(收入成本映射!$C$4:$C$34,MATCH($D101,收入成本映射!$B$4:$B$34,0)),"不记账")</f>
        <v>不记账</v>
      </c>
      <c r="J101" s="26" t="str">
        <f t="shared" si="9"/>
        <v/>
      </c>
      <c r="K101" s="27">
        <f t="shared" si="10"/>
        <v>0</v>
      </c>
      <c r="L101" s="27">
        <v>0</v>
      </c>
      <c r="M101" s="26" t="str">
        <f>IF(OR($I101="不记账",ROUND(N($G101),2)=0),"",IFERROR(INDEX(收入成本映射!$E$4:$E$34,MATCH($D101,收入成本映射!$B$4:$B$34,0)),""))</f>
        <v/>
      </c>
      <c r="N101" s="27" t="str">
        <f t="shared" si="11"/>
        <v/>
      </c>
      <c r="O101" s="27" t="str">
        <f t="shared" si="12"/>
        <v/>
      </c>
      <c r="P101" s="26" t="str">
        <f>IF($M101="","",IFERROR(INDEX(收入成本映射!$F$4:$F$34,MATCH($D101,收入成本映射!$B$4:$B$34,0)),""))</f>
        <v/>
      </c>
      <c r="Q101" s="27" t="str">
        <f t="shared" si="13"/>
        <v/>
      </c>
      <c r="R101" s="27" t="str">
        <f t="shared" si="14"/>
        <v/>
      </c>
      <c r="S101" s="26" t="str">
        <f t="shared" si="15"/>
        <v/>
      </c>
      <c r="T101" s="27" t="str">
        <f t="shared" si="16"/>
        <v/>
      </c>
      <c r="U101" s="27" t="str">
        <f t="shared" si="17"/>
        <v/>
      </c>
      <c r="V101" s="10" t="str">
        <f>IF($B101="","",IF($B101="01水果",IFERROR(INDEX(对接源_01水果!$H$5:$H$507,MATCH(ROW()-3,对接源_01水果!$Q$5:$Q$507,0)),""),IFERROR(INDEX(对接源_02物料!$H$5:$H$460,MATCH(ROW()-3-N(对接源_01水果!$T$1),对接源_02物料!$Q$5:$Q$460,0)),"")))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2" ht="18" customHeight="1" spans="1:22">
      <c r="A102" s="10">
        <v>99</v>
      </c>
      <c r="B102" s="26" t="str">
        <f>IF(ROW()-3&lt;=N(对接源_01水果!$T$1),"01水果",IF(ROW()-3&lt;=N(对接源_01水果!$T$1)+N(对接源_02物料!$T$1),"02物料",""))</f>
        <v/>
      </c>
      <c r="C102" s="125" t="str">
        <f>IF($B102="","",IF($B102="01水果",IFERROR(INDEX(对接源_01水果!$B$5:$B$507,MATCH(ROW()-3,对接源_01水果!$Q$5:$Q$507,0)),""),IFERROR(INDEX(对接源_02物料!$B$5:$B$460,MATCH(ROW()-3-N(对接源_01水果!$T$1),对接源_02物料!$Q$5:$Q$460,0)),"")))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2" s="26" t="str">
        <f>IF($B102="","",IF($B102="01水果",IFERROR(INDEX(对接源_01水果!$C$5:$C$507,MATCH(ROW()-3,对接源_01水果!$Q$5:$Q$507,0)),""),IFERROR(INDEX(对接源_02物料!$C$5:$C$460,MATCH(ROW()-3-N(对接源_01水果!$T$1),对接源_02物料!$Q$5:$Q$460,0)),"")))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2" s="126" t="str">
        <f>IF($B102="","",IF($B102="01水果",IFERROR(INDEX(对接源_01水果!$D$5:$D$507,MATCH(ROW()-3,对接源_01水果!$Q$5:$Q$507,0)),""),IFERROR(INDEX(对接源_02物料!$D$5:$D$460,MATCH(ROW()-3-N(对接源_01水果!$T$1),对接源_02物料!$Q$5:$Q$460,0)),"")))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2" s="26" t="str">
        <f>IF($B102="","",IF($B102="01水果",IFERROR(INDEX(对接源_01水果!$E$5:$E$507,MATCH(ROW()-3,对接源_01水果!$Q$5:$Q$507,0)),""),IFERROR(INDEX(对接源_02物料!$E$5:$E$460,MATCH(ROW()-3-N(对接源_01水果!$T$1),对接源_02物料!$Q$5:$Q$460,0)),"")))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2" s="27" t="str">
        <f>IF($B102="","",IF($B102="01水果",IFERROR(INDEX(对接源_01水果!$F$5:$F$507,MATCH(ROW()-3,对接源_01水果!$Q$5:$Q$507,0)),""),IFERROR(INDEX(对接源_02物料!$F$5:$F$460,MATCH(ROW()-3-N(对接源_01水果!$T$1),对接源_02物料!$Q$5:$Q$460,0)),"")))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2" s="27" t="str">
        <f>IF($B102="","",IF($B102="01水果",IFERROR(INDEX(对接源_01水果!$G$5:$G$507,MATCH(ROW()-3,对接源_01水果!$Q$5:$Q$507,0)),""),IFERROR(INDEX(对接源_02物料!$G$5:$G$460,MATCH(ROW()-3-N(对接源_01水果!$T$1),对接源_02物料!$Q$5:$Q$460,0)),"")))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2" s="26" t="str">
        <f>IFERROR(INDEX(收入成本映射!$C$4:$C$34,MATCH($D102,收入成本映射!$B$4:$B$34,0)),"不记账")</f>
        <v>不记账</v>
      </c>
      <c r="J102" s="26" t="str">
        <f t="shared" si="9"/>
        <v/>
      </c>
      <c r="K102" s="27">
        <f t="shared" si="10"/>
        <v>0</v>
      </c>
      <c r="L102" s="27">
        <v>0</v>
      </c>
      <c r="M102" s="26" t="str">
        <f>IF(OR($I102="不记账",ROUND(N($G102),2)=0),"",IFERROR(INDEX(收入成本映射!$E$4:$E$34,MATCH($D102,收入成本映射!$B$4:$B$34,0)),""))</f>
        <v/>
      </c>
      <c r="N102" s="27" t="str">
        <f t="shared" si="11"/>
        <v/>
      </c>
      <c r="O102" s="27" t="str">
        <f t="shared" si="12"/>
        <v/>
      </c>
      <c r="P102" s="26" t="str">
        <f>IF($M102="","",IFERROR(INDEX(收入成本映射!$F$4:$F$34,MATCH($D102,收入成本映射!$B$4:$B$34,0)),""))</f>
        <v/>
      </c>
      <c r="Q102" s="27" t="str">
        <f t="shared" si="13"/>
        <v/>
      </c>
      <c r="R102" s="27" t="str">
        <f t="shared" si="14"/>
        <v/>
      </c>
      <c r="S102" s="26" t="str">
        <f t="shared" si="15"/>
        <v/>
      </c>
      <c r="T102" s="27" t="str">
        <f t="shared" si="16"/>
        <v/>
      </c>
      <c r="U102" s="27" t="str">
        <f t="shared" si="17"/>
        <v/>
      </c>
      <c r="V102" s="10" t="str">
        <f>IF($B102="","",IF($B102="01水果",IFERROR(INDEX(对接源_01水果!$H$5:$H$507,MATCH(ROW()-3,对接源_01水果!$Q$5:$Q$507,0)),""),IFERROR(INDEX(对接源_02物料!$H$5:$H$460,MATCH(ROW()-3-N(对接源_01水果!$T$1),对接源_02物料!$Q$5:$Q$460,0)),"")))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3" ht="18" customHeight="1" spans="1:22">
      <c r="A103" s="10">
        <v>100</v>
      </c>
      <c r="B103" s="26" t="str">
        <f>IF(ROW()-3&lt;=N(对接源_01水果!$T$1),"01水果",IF(ROW()-3&lt;=N(对接源_01水果!$T$1)+N(对接源_02物料!$T$1),"02物料",""))</f>
        <v/>
      </c>
      <c r="C103" s="125" t="str">
        <f>IF($B103="","",IF($B103="01水果",IFERROR(INDEX(对接源_01水果!$B$5:$B$507,MATCH(ROW()-3,对接源_01水果!$Q$5:$Q$507,0)),""),IFERROR(INDEX(对接源_02物料!$B$5:$B$460,MATCH(ROW()-3-N(对接源_01水果!$T$1),对接源_02物料!$Q$5:$Q$460,0)),"")))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3" s="26" t="str">
        <f>IF($B103="","",IF($B103="01水果",IFERROR(INDEX(对接源_01水果!$C$5:$C$507,MATCH(ROW()-3,对接源_01水果!$Q$5:$Q$507,0)),""),IFERROR(INDEX(对接源_02物料!$C$5:$C$460,MATCH(ROW()-3-N(对接源_01水果!$T$1),对接源_02物料!$Q$5:$Q$460,0)),"")))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3" s="126" t="str">
        <f>IF($B103="","",IF($B103="01水果",IFERROR(INDEX(对接源_01水果!$D$5:$D$507,MATCH(ROW()-3,对接源_01水果!$Q$5:$Q$507,0)),""),IFERROR(INDEX(对接源_02物料!$D$5:$D$460,MATCH(ROW()-3-N(对接源_01水果!$T$1),对接源_02物料!$Q$5:$Q$460,0)),"")))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3" s="26" t="str">
        <f>IF($B103="","",IF($B103="01水果",IFERROR(INDEX(对接源_01水果!$E$5:$E$507,MATCH(ROW()-3,对接源_01水果!$Q$5:$Q$507,0)),""),IFERROR(INDEX(对接源_02物料!$E$5:$E$460,MATCH(ROW()-3-N(对接源_01水果!$T$1),对接源_02物料!$Q$5:$Q$460,0)),"")))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3" s="27" t="str">
        <f>IF($B103="","",IF($B103="01水果",IFERROR(INDEX(对接源_01水果!$F$5:$F$507,MATCH(ROW()-3,对接源_01水果!$Q$5:$Q$507,0)),""),IFERROR(INDEX(对接源_02物料!$F$5:$F$460,MATCH(ROW()-3-N(对接源_01水果!$T$1),对接源_02物料!$Q$5:$Q$460,0)),"")))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3" s="27" t="str">
        <f>IF($B103="","",IF($B103="01水果",IFERROR(INDEX(对接源_01水果!$G$5:$G$507,MATCH(ROW()-3,对接源_01水果!$Q$5:$Q$507,0)),""),IFERROR(INDEX(对接源_02物料!$G$5:$G$460,MATCH(ROW()-3-N(对接源_01水果!$T$1),对接源_02物料!$Q$5:$Q$460,0)),"")))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3" s="26" t="str">
        <f>IFERROR(INDEX(收入成本映射!$C$4:$C$34,MATCH($D103,收入成本映射!$B$4:$B$34,0)),"不记账")</f>
        <v>不记账</v>
      </c>
      <c r="J103" s="26" t="str">
        <f t="shared" si="9"/>
        <v/>
      </c>
      <c r="K103" s="27">
        <f t="shared" si="10"/>
        <v>0</v>
      </c>
      <c r="L103" s="27">
        <v>0</v>
      </c>
      <c r="M103" s="26" t="str">
        <f>IF(OR($I103="不记账",ROUND(N($G103),2)=0),"",IFERROR(INDEX(收入成本映射!$E$4:$E$34,MATCH($D103,收入成本映射!$B$4:$B$34,0)),""))</f>
        <v/>
      </c>
      <c r="N103" s="27" t="str">
        <f t="shared" si="11"/>
        <v/>
      </c>
      <c r="O103" s="27" t="str">
        <f t="shared" si="12"/>
        <v/>
      </c>
      <c r="P103" s="26" t="str">
        <f>IF($M103="","",IFERROR(INDEX(收入成本映射!$F$4:$F$34,MATCH($D103,收入成本映射!$B$4:$B$34,0)),""))</f>
        <v/>
      </c>
      <c r="Q103" s="27" t="str">
        <f t="shared" si="13"/>
        <v/>
      </c>
      <c r="R103" s="27" t="str">
        <f t="shared" si="14"/>
        <v/>
      </c>
      <c r="S103" s="26" t="str">
        <f t="shared" si="15"/>
        <v/>
      </c>
      <c r="T103" s="27" t="str">
        <f t="shared" si="16"/>
        <v/>
      </c>
      <c r="U103" s="27" t="str">
        <f t="shared" si="17"/>
        <v/>
      </c>
      <c r="V103" s="10" t="str">
        <f>IF($B103="","",IF($B103="01水果",IFERROR(INDEX(对接源_01水果!$H$5:$H$507,MATCH(ROW()-3,对接源_01水果!$Q$5:$Q$507,0)),""),IFERROR(INDEX(对接源_02物料!$H$5:$H$460,MATCH(ROW()-3-N(对接源_01水果!$T$1),对接源_02物料!$Q$5:$Q$460,0)),"")))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4" ht="18" customHeight="1" spans="1:22">
      <c r="A104" s="10">
        <v>101</v>
      </c>
      <c r="B104" s="26" t="str">
        <f>IF(ROW()-3&lt;=N(对接源_01水果!$T$1),"01水果",IF(ROW()-3&lt;=N(对接源_01水果!$T$1)+N(对接源_02物料!$T$1),"02物料",""))</f>
        <v/>
      </c>
      <c r="C104" s="125" t="str">
        <f>IF($B104="","",IF($B104="01水果",IFERROR(INDEX(对接源_01水果!$B$5:$B$507,MATCH(ROW()-3,对接源_01水果!$Q$5:$Q$507,0)),""),IFERROR(INDEX(对接源_02物料!$B$5:$B$460,MATCH(ROW()-3-N(对接源_01水果!$T$1),对接源_02物料!$Q$5:$Q$460,0)),"")))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4" s="26" t="str">
        <f>IF($B104="","",IF($B104="01水果",IFERROR(INDEX(对接源_01水果!$C$5:$C$507,MATCH(ROW()-3,对接源_01水果!$Q$5:$Q$507,0)),""),IFERROR(INDEX(对接源_02物料!$C$5:$C$460,MATCH(ROW()-3-N(对接源_01水果!$T$1),对接源_02物料!$Q$5:$Q$460,0)),"")))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4" s="126" t="str">
        <f>IF($B104="","",IF($B104="01水果",IFERROR(INDEX(对接源_01水果!$D$5:$D$507,MATCH(ROW()-3,对接源_01水果!$Q$5:$Q$507,0)),""),IFERROR(INDEX(对接源_02物料!$D$5:$D$460,MATCH(ROW()-3-N(对接源_01水果!$T$1),对接源_02物料!$Q$5:$Q$460,0)),"")))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4" s="26" t="str">
        <f>IF($B104="","",IF($B104="01水果",IFERROR(INDEX(对接源_01水果!$E$5:$E$507,MATCH(ROW()-3,对接源_01水果!$Q$5:$Q$507,0)),""),IFERROR(INDEX(对接源_02物料!$E$5:$E$460,MATCH(ROW()-3-N(对接源_01水果!$T$1),对接源_02物料!$Q$5:$Q$460,0)),"")))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4" s="27" t="str">
        <f>IF($B104="","",IF($B104="01水果",IFERROR(INDEX(对接源_01水果!$F$5:$F$507,MATCH(ROW()-3,对接源_01水果!$Q$5:$Q$507,0)),""),IFERROR(INDEX(对接源_02物料!$F$5:$F$460,MATCH(ROW()-3-N(对接源_01水果!$T$1),对接源_02物料!$Q$5:$Q$460,0)),"")))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4" s="27" t="str">
        <f>IF($B104="","",IF($B104="01水果",IFERROR(INDEX(对接源_01水果!$G$5:$G$507,MATCH(ROW()-3,对接源_01水果!$Q$5:$Q$507,0)),""),IFERROR(INDEX(对接源_02物料!$G$5:$G$460,MATCH(ROW()-3-N(对接源_01水果!$T$1),对接源_02物料!$Q$5:$Q$460,0)),"")))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4" s="26" t="str">
        <f>IFERROR(INDEX(收入成本映射!$C$4:$C$34,MATCH($D104,收入成本映射!$B$4:$B$34,0)),"不记账")</f>
        <v>不记账</v>
      </c>
      <c r="J104" s="26" t="str">
        <f t="shared" si="9"/>
        <v/>
      </c>
      <c r="K104" s="27">
        <f t="shared" si="10"/>
        <v>0</v>
      </c>
      <c r="L104" s="27">
        <v>0</v>
      </c>
      <c r="M104" s="26" t="str">
        <f>IF(OR($I104="不记账",ROUND(N($G104),2)=0),"",IFERROR(INDEX(收入成本映射!$E$4:$E$34,MATCH($D104,收入成本映射!$B$4:$B$34,0)),""))</f>
        <v/>
      </c>
      <c r="N104" s="27" t="str">
        <f t="shared" si="11"/>
        <v/>
      </c>
      <c r="O104" s="27" t="str">
        <f t="shared" si="12"/>
        <v/>
      </c>
      <c r="P104" s="26" t="str">
        <f>IF($M104="","",IFERROR(INDEX(收入成本映射!$F$4:$F$34,MATCH($D104,收入成本映射!$B$4:$B$34,0)),""))</f>
        <v/>
      </c>
      <c r="Q104" s="27" t="str">
        <f t="shared" si="13"/>
        <v/>
      </c>
      <c r="R104" s="27" t="str">
        <f t="shared" si="14"/>
        <v/>
      </c>
      <c r="S104" s="26" t="str">
        <f t="shared" si="15"/>
        <v/>
      </c>
      <c r="T104" s="27" t="str">
        <f t="shared" si="16"/>
        <v/>
      </c>
      <c r="U104" s="27" t="str">
        <f t="shared" si="17"/>
        <v/>
      </c>
      <c r="V104" s="10" t="str">
        <f>IF($B104="","",IF($B104="01水果",IFERROR(INDEX(对接源_01水果!$H$5:$H$507,MATCH(ROW()-3,对接源_01水果!$Q$5:$Q$507,0)),""),IFERROR(INDEX(对接源_02物料!$H$5:$H$460,MATCH(ROW()-3-N(对接源_01水果!$T$1),对接源_02物料!$Q$5:$Q$460,0)),"")))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5" ht="18" customHeight="1" spans="1:22">
      <c r="A105" s="10">
        <v>102</v>
      </c>
      <c r="B105" s="26" t="str">
        <f>IF(ROW()-3&lt;=N(对接源_01水果!$T$1),"01水果",IF(ROW()-3&lt;=N(对接源_01水果!$T$1)+N(对接源_02物料!$T$1),"02物料",""))</f>
        <v/>
      </c>
      <c r="C105" s="125" t="str">
        <f>IF($B105="","",IF($B105="01水果",IFERROR(INDEX(对接源_01水果!$B$5:$B$507,MATCH(ROW()-3,对接源_01水果!$Q$5:$Q$507,0)),""),IFERROR(INDEX(对接源_02物料!$B$5:$B$460,MATCH(ROW()-3-N(对接源_01水果!$T$1),对接源_02物料!$Q$5:$Q$460,0)),"")))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5" s="26" t="str">
        <f>IF($B105="","",IF($B105="01水果",IFERROR(INDEX(对接源_01水果!$C$5:$C$507,MATCH(ROW()-3,对接源_01水果!$Q$5:$Q$507,0)),""),IFERROR(INDEX(对接源_02物料!$C$5:$C$460,MATCH(ROW()-3-N(对接源_01水果!$T$1),对接源_02物料!$Q$5:$Q$460,0)),"")))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5" s="126" t="str">
        <f>IF($B105="","",IF($B105="01水果",IFERROR(INDEX(对接源_01水果!$D$5:$D$507,MATCH(ROW()-3,对接源_01水果!$Q$5:$Q$507,0)),""),IFERROR(INDEX(对接源_02物料!$D$5:$D$460,MATCH(ROW()-3-N(对接源_01水果!$T$1),对接源_02物料!$Q$5:$Q$460,0)),"")))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5" s="26" t="str">
        <f>IF($B105="","",IF($B105="01水果",IFERROR(INDEX(对接源_01水果!$E$5:$E$507,MATCH(ROW()-3,对接源_01水果!$Q$5:$Q$507,0)),""),IFERROR(INDEX(对接源_02物料!$E$5:$E$460,MATCH(ROW()-3-N(对接源_01水果!$T$1),对接源_02物料!$Q$5:$Q$460,0)),"")))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5" s="27" t="str">
        <f>IF($B105="","",IF($B105="01水果",IFERROR(INDEX(对接源_01水果!$F$5:$F$507,MATCH(ROW()-3,对接源_01水果!$Q$5:$Q$507,0)),""),IFERROR(INDEX(对接源_02物料!$F$5:$F$460,MATCH(ROW()-3-N(对接源_01水果!$T$1),对接源_02物料!$Q$5:$Q$460,0)),"")))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5" s="27" t="str">
        <f>IF($B105="","",IF($B105="01水果",IFERROR(INDEX(对接源_01水果!$G$5:$G$507,MATCH(ROW()-3,对接源_01水果!$Q$5:$Q$507,0)),""),IFERROR(INDEX(对接源_02物料!$G$5:$G$460,MATCH(ROW()-3-N(对接源_01水果!$T$1),对接源_02物料!$Q$5:$Q$460,0)),"")))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5" s="26" t="str">
        <f>IFERROR(INDEX(收入成本映射!$C$4:$C$34,MATCH($D105,收入成本映射!$B$4:$B$34,0)),"不记账")</f>
        <v>不记账</v>
      </c>
      <c r="J105" s="26" t="str">
        <f t="shared" si="9"/>
        <v/>
      </c>
      <c r="K105" s="27">
        <f t="shared" si="10"/>
        <v>0</v>
      </c>
      <c r="L105" s="27">
        <v>0</v>
      </c>
      <c r="M105" s="26" t="str">
        <f>IF(OR($I105="不记账",ROUND(N($G105),2)=0),"",IFERROR(INDEX(收入成本映射!$E$4:$E$34,MATCH($D105,收入成本映射!$B$4:$B$34,0)),""))</f>
        <v/>
      </c>
      <c r="N105" s="27" t="str">
        <f t="shared" si="11"/>
        <v/>
      </c>
      <c r="O105" s="27" t="str">
        <f t="shared" si="12"/>
        <v/>
      </c>
      <c r="P105" s="26" t="str">
        <f>IF($M105="","",IFERROR(INDEX(收入成本映射!$F$4:$F$34,MATCH($D105,收入成本映射!$B$4:$B$34,0)),""))</f>
        <v/>
      </c>
      <c r="Q105" s="27" t="str">
        <f t="shared" si="13"/>
        <v/>
      </c>
      <c r="R105" s="27" t="str">
        <f t="shared" si="14"/>
        <v/>
      </c>
      <c r="S105" s="26" t="str">
        <f t="shared" si="15"/>
        <v/>
      </c>
      <c r="T105" s="27" t="str">
        <f t="shared" si="16"/>
        <v/>
      </c>
      <c r="U105" s="27" t="str">
        <f t="shared" si="17"/>
        <v/>
      </c>
      <c r="V105" s="10" t="str">
        <f>IF($B105="","",IF($B105="01水果",IFERROR(INDEX(对接源_01水果!$H$5:$H$507,MATCH(ROW()-3,对接源_01水果!$Q$5:$Q$507,0)),""),IFERROR(INDEX(对接源_02物料!$H$5:$H$460,MATCH(ROW()-3-N(对接源_01水果!$T$1),对接源_02物料!$Q$5:$Q$460,0)),"")))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6" ht="18" customHeight="1" spans="1:22">
      <c r="A106" s="10">
        <v>103</v>
      </c>
      <c r="B106" s="26" t="str">
        <f>IF(ROW()-3&lt;=N(对接源_01水果!$T$1),"01水果",IF(ROW()-3&lt;=N(对接源_01水果!$T$1)+N(对接源_02物料!$T$1),"02物料",""))</f>
        <v/>
      </c>
      <c r="C106" s="125" t="str">
        <f>IF($B106="","",IF($B106="01水果",IFERROR(INDEX(对接源_01水果!$B$5:$B$507,MATCH(ROW()-3,对接源_01水果!$Q$5:$Q$507,0)),""),IFERROR(INDEX(对接源_02物料!$B$5:$B$460,MATCH(ROW()-3-N(对接源_01水果!$T$1),对接源_02物料!$Q$5:$Q$460,0)),"")))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6" s="26" t="str">
        <f>IF($B106="","",IF($B106="01水果",IFERROR(INDEX(对接源_01水果!$C$5:$C$507,MATCH(ROW()-3,对接源_01水果!$Q$5:$Q$507,0)),""),IFERROR(INDEX(对接源_02物料!$C$5:$C$460,MATCH(ROW()-3-N(对接源_01水果!$T$1),对接源_02物料!$Q$5:$Q$460,0)),"")))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6" s="126" t="str">
        <f>IF($B106="","",IF($B106="01水果",IFERROR(INDEX(对接源_01水果!$D$5:$D$507,MATCH(ROW()-3,对接源_01水果!$Q$5:$Q$507,0)),""),IFERROR(INDEX(对接源_02物料!$D$5:$D$460,MATCH(ROW()-3-N(对接源_01水果!$T$1),对接源_02物料!$Q$5:$Q$460,0)),"")))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6" s="26" t="str">
        <f>IF($B106="","",IF($B106="01水果",IFERROR(INDEX(对接源_01水果!$E$5:$E$507,MATCH(ROW()-3,对接源_01水果!$Q$5:$Q$507,0)),""),IFERROR(INDEX(对接源_02物料!$E$5:$E$460,MATCH(ROW()-3-N(对接源_01水果!$T$1),对接源_02物料!$Q$5:$Q$460,0)),"")))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6" s="27" t="str">
        <f>IF($B106="","",IF($B106="01水果",IFERROR(INDEX(对接源_01水果!$F$5:$F$507,MATCH(ROW()-3,对接源_01水果!$Q$5:$Q$507,0)),""),IFERROR(INDEX(对接源_02物料!$F$5:$F$460,MATCH(ROW()-3-N(对接源_01水果!$T$1),对接源_02物料!$Q$5:$Q$460,0)),"")))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6" s="27" t="str">
        <f>IF($B106="","",IF($B106="01水果",IFERROR(INDEX(对接源_01水果!$G$5:$G$507,MATCH(ROW()-3,对接源_01水果!$Q$5:$Q$507,0)),""),IFERROR(INDEX(对接源_02物料!$G$5:$G$460,MATCH(ROW()-3-N(对接源_01水果!$T$1),对接源_02物料!$Q$5:$Q$460,0)),"")))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6" s="26" t="str">
        <f>IFERROR(INDEX(收入成本映射!$C$4:$C$34,MATCH($D106,收入成本映射!$B$4:$B$34,0)),"不记账")</f>
        <v>不记账</v>
      </c>
      <c r="J106" s="26" t="str">
        <f t="shared" si="9"/>
        <v/>
      </c>
      <c r="K106" s="27">
        <f t="shared" si="10"/>
        <v>0</v>
      </c>
      <c r="L106" s="27">
        <v>0</v>
      </c>
      <c r="M106" s="26" t="str">
        <f>IF(OR($I106="不记账",ROUND(N($G106),2)=0),"",IFERROR(INDEX(收入成本映射!$E$4:$E$34,MATCH($D106,收入成本映射!$B$4:$B$34,0)),""))</f>
        <v/>
      </c>
      <c r="N106" s="27" t="str">
        <f t="shared" si="11"/>
        <v/>
      </c>
      <c r="O106" s="27" t="str">
        <f t="shared" si="12"/>
        <v/>
      </c>
      <c r="P106" s="26" t="str">
        <f>IF($M106="","",IFERROR(INDEX(收入成本映射!$F$4:$F$34,MATCH($D106,收入成本映射!$B$4:$B$34,0)),""))</f>
        <v/>
      </c>
      <c r="Q106" s="27" t="str">
        <f t="shared" si="13"/>
        <v/>
      </c>
      <c r="R106" s="27" t="str">
        <f t="shared" si="14"/>
        <v/>
      </c>
      <c r="S106" s="26" t="str">
        <f t="shared" si="15"/>
        <v/>
      </c>
      <c r="T106" s="27" t="str">
        <f t="shared" si="16"/>
        <v/>
      </c>
      <c r="U106" s="27" t="str">
        <f t="shared" si="17"/>
        <v/>
      </c>
      <c r="V106" s="10" t="str">
        <f>IF($B106="","",IF($B106="01水果",IFERROR(INDEX(对接源_01水果!$H$5:$H$507,MATCH(ROW()-3,对接源_01水果!$Q$5:$Q$507,0)),""),IFERROR(INDEX(对接源_02物料!$H$5:$H$460,MATCH(ROW()-3-N(对接源_01水果!$T$1),对接源_02物料!$Q$5:$Q$460,0)),"")))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7" ht="18" customHeight="1" spans="1:22">
      <c r="A107" s="10">
        <v>104</v>
      </c>
      <c r="B107" s="26" t="str">
        <f>IF(ROW()-3&lt;=N(对接源_01水果!$T$1),"01水果",IF(ROW()-3&lt;=N(对接源_01水果!$T$1)+N(对接源_02物料!$T$1),"02物料",""))</f>
        <v/>
      </c>
      <c r="C107" s="125" t="str">
        <f>IF($B107="","",IF($B107="01水果",IFERROR(INDEX(对接源_01水果!$B$5:$B$507,MATCH(ROW()-3,对接源_01水果!$Q$5:$Q$507,0)),""),IFERROR(INDEX(对接源_02物料!$B$5:$B$460,MATCH(ROW()-3-N(对接源_01水果!$T$1),对接源_02物料!$Q$5:$Q$460,0)),"")))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7" s="26" t="str">
        <f>IF($B107="","",IF($B107="01水果",IFERROR(INDEX(对接源_01水果!$C$5:$C$507,MATCH(ROW()-3,对接源_01水果!$Q$5:$Q$507,0)),""),IFERROR(INDEX(对接源_02物料!$C$5:$C$460,MATCH(ROW()-3-N(对接源_01水果!$T$1),对接源_02物料!$Q$5:$Q$460,0)),"")))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7" s="126" t="str">
        <f>IF($B107="","",IF($B107="01水果",IFERROR(INDEX(对接源_01水果!$D$5:$D$507,MATCH(ROW()-3,对接源_01水果!$Q$5:$Q$507,0)),""),IFERROR(INDEX(对接源_02物料!$D$5:$D$460,MATCH(ROW()-3-N(对接源_01水果!$T$1),对接源_02物料!$Q$5:$Q$460,0)),"")))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7" s="26" t="str">
        <f>IF($B107="","",IF($B107="01水果",IFERROR(INDEX(对接源_01水果!$E$5:$E$507,MATCH(ROW()-3,对接源_01水果!$Q$5:$Q$507,0)),""),IFERROR(INDEX(对接源_02物料!$E$5:$E$460,MATCH(ROW()-3-N(对接源_01水果!$T$1),对接源_02物料!$Q$5:$Q$460,0)),"")))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7" s="27" t="str">
        <f>IF($B107="","",IF($B107="01水果",IFERROR(INDEX(对接源_01水果!$F$5:$F$507,MATCH(ROW()-3,对接源_01水果!$Q$5:$Q$507,0)),""),IFERROR(INDEX(对接源_02物料!$F$5:$F$460,MATCH(ROW()-3-N(对接源_01水果!$T$1),对接源_02物料!$Q$5:$Q$460,0)),"")))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7" s="27" t="str">
        <f>IF($B107="","",IF($B107="01水果",IFERROR(INDEX(对接源_01水果!$G$5:$G$507,MATCH(ROW()-3,对接源_01水果!$Q$5:$Q$507,0)),""),IFERROR(INDEX(对接源_02物料!$G$5:$G$460,MATCH(ROW()-3-N(对接源_01水果!$T$1),对接源_02物料!$Q$5:$Q$460,0)),"")))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7" s="26" t="str">
        <f>IFERROR(INDEX(收入成本映射!$C$4:$C$34,MATCH($D107,收入成本映射!$B$4:$B$34,0)),"不记账")</f>
        <v>不记账</v>
      </c>
      <c r="J107" s="26" t="str">
        <f t="shared" si="9"/>
        <v/>
      </c>
      <c r="K107" s="27">
        <f t="shared" si="10"/>
        <v>0</v>
      </c>
      <c r="L107" s="27">
        <v>0</v>
      </c>
      <c r="M107" s="26" t="str">
        <f>IF(OR($I107="不记账",ROUND(N($G107),2)=0),"",IFERROR(INDEX(收入成本映射!$E$4:$E$34,MATCH($D107,收入成本映射!$B$4:$B$34,0)),""))</f>
        <v/>
      </c>
      <c r="N107" s="27" t="str">
        <f t="shared" si="11"/>
        <v/>
      </c>
      <c r="O107" s="27" t="str">
        <f t="shared" si="12"/>
        <v/>
      </c>
      <c r="P107" s="26" t="str">
        <f>IF($M107="","",IFERROR(INDEX(收入成本映射!$F$4:$F$34,MATCH($D107,收入成本映射!$B$4:$B$34,0)),""))</f>
        <v/>
      </c>
      <c r="Q107" s="27" t="str">
        <f t="shared" si="13"/>
        <v/>
      </c>
      <c r="R107" s="27" t="str">
        <f t="shared" si="14"/>
        <v/>
      </c>
      <c r="S107" s="26" t="str">
        <f t="shared" si="15"/>
        <v/>
      </c>
      <c r="T107" s="27" t="str">
        <f t="shared" si="16"/>
        <v/>
      </c>
      <c r="U107" s="27" t="str">
        <f t="shared" si="17"/>
        <v/>
      </c>
      <c r="V107" s="10" t="str">
        <f>IF($B107="","",IF($B107="01水果",IFERROR(INDEX(对接源_01水果!$H$5:$H$507,MATCH(ROW()-3,对接源_01水果!$Q$5:$Q$507,0)),""),IFERROR(INDEX(对接源_02物料!$H$5:$H$460,MATCH(ROW()-3-N(对接源_01水果!$T$1),对接源_02物料!$Q$5:$Q$460,0)),"")))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8" ht="18" customHeight="1" spans="1:22">
      <c r="A108" s="10">
        <v>105</v>
      </c>
      <c r="B108" s="26" t="str">
        <f>IF(ROW()-3&lt;=N(对接源_01水果!$T$1),"01水果",IF(ROW()-3&lt;=N(对接源_01水果!$T$1)+N(对接源_02物料!$T$1),"02物料",""))</f>
        <v/>
      </c>
      <c r="C108" s="125" t="str">
        <f>IF($B108="","",IF($B108="01水果",IFERROR(INDEX(对接源_01水果!$B$5:$B$507,MATCH(ROW()-3,对接源_01水果!$Q$5:$Q$507,0)),""),IFERROR(INDEX(对接源_02物料!$B$5:$B$460,MATCH(ROW()-3-N(对接源_01水果!$T$1),对接源_02物料!$Q$5:$Q$460,0)),"")))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8" s="26" t="str">
        <f>IF($B108="","",IF($B108="01水果",IFERROR(INDEX(对接源_01水果!$C$5:$C$507,MATCH(ROW()-3,对接源_01水果!$Q$5:$Q$507,0)),""),IFERROR(INDEX(对接源_02物料!$C$5:$C$460,MATCH(ROW()-3-N(对接源_01水果!$T$1),对接源_02物料!$Q$5:$Q$460,0)),"")))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8" s="126" t="str">
        <f>IF($B108="","",IF($B108="01水果",IFERROR(INDEX(对接源_01水果!$D$5:$D$507,MATCH(ROW()-3,对接源_01水果!$Q$5:$Q$507,0)),""),IFERROR(INDEX(对接源_02物料!$D$5:$D$460,MATCH(ROW()-3-N(对接源_01水果!$T$1),对接源_02物料!$Q$5:$Q$460,0)),"")))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8" s="26" t="str">
        <f>IF($B108="","",IF($B108="01水果",IFERROR(INDEX(对接源_01水果!$E$5:$E$507,MATCH(ROW()-3,对接源_01水果!$Q$5:$Q$507,0)),""),IFERROR(INDEX(对接源_02物料!$E$5:$E$460,MATCH(ROW()-3-N(对接源_01水果!$T$1),对接源_02物料!$Q$5:$Q$460,0)),"")))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8" s="27" t="str">
        <f>IF($B108="","",IF($B108="01水果",IFERROR(INDEX(对接源_01水果!$F$5:$F$507,MATCH(ROW()-3,对接源_01水果!$Q$5:$Q$507,0)),""),IFERROR(INDEX(对接源_02物料!$F$5:$F$460,MATCH(ROW()-3-N(对接源_01水果!$T$1),对接源_02物料!$Q$5:$Q$460,0)),"")))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8" s="27" t="str">
        <f>IF($B108="","",IF($B108="01水果",IFERROR(INDEX(对接源_01水果!$G$5:$G$507,MATCH(ROW()-3,对接源_01水果!$Q$5:$Q$507,0)),""),IFERROR(INDEX(对接源_02物料!$G$5:$G$460,MATCH(ROW()-3-N(对接源_01水果!$T$1),对接源_02物料!$Q$5:$Q$460,0)),"")))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8" s="26" t="str">
        <f>IFERROR(INDEX(收入成本映射!$C$4:$C$34,MATCH($D108,收入成本映射!$B$4:$B$34,0)),"不记账")</f>
        <v>不记账</v>
      </c>
      <c r="J108" s="26" t="str">
        <f t="shared" si="9"/>
        <v/>
      </c>
      <c r="K108" s="27">
        <f t="shared" si="10"/>
        <v>0</v>
      </c>
      <c r="L108" s="27">
        <v>0</v>
      </c>
      <c r="M108" s="26" t="str">
        <f>IF(OR($I108="不记账",ROUND(N($G108),2)=0),"",IFERROR(INDEX(收入成本映射!$E$4:$E$34,MATCH($D108,收入成本映射!$B$4:$B$34,0)),""))</f>
        <v/>
      </c>
      <c r="N108" s="27" t="str">
        <f t="shared" si="11"/>
        <v/>
      </c>
      <c r="O108" s="27" t="str">
        <f t="shared" si="12"/>
        <v/>
      </c>
      <c r="P108" s="26" t="str">
        <f>IF($M108="","",IFERROR(INDEX(收入成本映射!$F$4:$F$34,MATCH($D108,收入成本映射!$B$4:$B$34,0)),""))</f>
        <v/>
      </c>
      <c r="Q108" s="27" t="str">
        <f t="shared" si="13"/>
        <v/>
      </c>
      <c r="R108" s="27" t="str">
        <f t="shared" si="14"/>
        <v/>
      </c>
      <c r="S108" s="26" t="str">
        <f t="shared" si="15"/>
        <v/>
      </c>
      <c r="T108" s="27" t="str">
        <f t="shared" si="16"/>
        <v/>
      </c>
      <c r="U108" s="27" t="str">
        <f t="shared" si="17"/>
        <v/>
      </c>
      <c r="V108" s="10" t="str">
        <f>IF($B108="","",IF($B108="01水果",IFERROR(INDEX(对接源_01水果!$H$5:$H$507,MATCH(ROW()-3,对接源_01水果!$Q$5:$Q$507,0)),""),IFERROR(INDEX(对接源_02物料!$H$5:$H$460,MATCH(ROW()-3-N(对接源_01水果!$T$1),对接源_02物料!$Q$5:$Q$460,0)),"")))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9" ht="18" customHeight="1" spans="1:22">
      <c r="A109" s="10">
        <v>106</v>
      </c>
      <c r="B109" s="26" t="str">
        <f>IF(ROW()-3&lt;=N(对接源_01水果!$T$1),"01水果",IF(ROW()-3&lt;=N(对接源_01水果!$T$1)+N(对接源_02物料!$T$1),"02物料",""))</f>
        <v/>
      </c>
      <c r="C109" s="125" t="str">
        <f>IF($B109="","",IF($B109="01水果",IFERROR(INDEX(对接源_01水果!$B$5:$B$507,MATCH(ROW()-3,对接源_01水果!$Q$5:$Q$507,0)),""),IFERROR(INDEX(对接源_02物料!$B$5:$B$460,MATCH(ROW()-3-N(对接源_01水果!$T$1),对接源_02物料!$Q$5:$Q$460,0)),"")))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9" s="26" t="str">
        <f>IF($B109="","",IF($B109="01水果",IFERROR(INDEX(对接源_01水果!$C$5:$C$507,MATCH(ROW()-3,对接源_01水果!$Q$5:$Q$507,0)),""),IFERROR(INDEX(对接源_02物料!$C$5:$C$460,MATCH(ROW()-3-N(对接源_01水果!$T$1),对接源_02物料!$Q$5:$Q$460,0)),"")))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9" s="126" t="str">
        <f>IF($B109="","",IF($B109="01水果",IFERROR(INDEX(对接源_01水果!$D$5:$D$507,MATCH(ROW()-3,对接源_01水果!$Q$5:$Q$507,0)),""),IFERROR(INDEX(对接源_02物料!$D$5:$D$460,MATCH(ROW()-3-N(对接源_01水果!$T$1),对接源_02物料!$Q$5:$Q$460,0)),"")))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9" s="26" t="str">
        <f>IF($B109="","",IF($B109="01水果",IFERROR(INDEX(对接源_01水果!$E$5:$E$507,MATCH(ROW()-3,对接源_01水果!$Q$5:$Q$507,0)),""),IFERROR(INDEX(对接源_02物料!$E$5:$E$460,MATCH(ROW()-3-N(对接源_01水果!$T$1),对接源_02物料!$Q$5:$Q$460,0)),"")))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9" s="27" t="str">
        <f>IF($B109="","",IF($B109="01水果",IFERROR(INDEX(对接源_01水果!$F$5:$F$507,MATCH(ROW()-3,对接源_01水果!$Q$5:$Q$507,0)),""),IFERROR(INDEX(对接源_02物料!$F$5:$F$460,MATCH(ROW()-3-N(对接源_01水果!$T$1),对接源_02物料!$Q$5:$Q$460,0)),"")))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9" s="27" t="str">
        <f>IF($B109="","",IF($B109="01水果",IFERROR(INDEX(对接源_01水果!$G$5:$G$507,MATCH(ROW()-3,对接源_01水果!$Q$5:$Q$507,0)),""),IFERROR(INDEX(对接源_02物料!$G$5:$G$460,MATCH(ROW()-3-N(对接源_01水果!$T$1),对接源_02物料!$Q$5:$Q$460,0)),"")))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9" s="26" t="str">
        <f>IFERROR(INDEX(收入成本映射!$C$4:$C$34,MATCH($D109,收入成本映射!$B$4:$B$34,0)),"不记账")</f>
        <v>不记账</v>
      </c>
      <c r="J109" s="26" t="str">
        <f t="shared" si="9"/>
        <v/>
      </c>
      <c r="K109" s="27">
        <f t="shared" si="10"/>
        <v>0</v>
      </c>
      <c r="L109" s="27">
        <v>0</v>
      </c>
      <c r="M109" s="26" t="str">
        <f>IF(OR($I109="不记账",ROUND(N($G109),2)=0),"",IFERROR(INDEX(收入成本映射!$E$4:$E$34,MATCH($D109,收入成本映射!$B$4:$B$34,0)),""))</f>
        <v/>
      </c>
      <c r="N109" s="27" t="str">
        <f t="shared" si="11"/>
        <v/>
      </c>
      <c r="O109" s="27" t="str">
        <f t="shared" si="12"/>
        <v/>
      </c>
      <c r="P109" s="26" t="str">
        <f>IF($M109="","",IFERROR(INDEX(收入成本映射!$F$4:$F$34,MATCH($D109,收入成本映射!$B$4:$B$34,0)),""))</f>
        <v/>
      </c>
      <c r="Q109" s="27" t="str">
        <f t="shared" si="13"/>
        <v/>
      </c>
      <c r="R109" s="27" t="str">
        <f t="shared" si="14"/>
        <v/>
      </c>
      <c r="S109" s="26" t="str">
        <f t="shared" si="15"/>
        <v/>
      </c>
      <c r="T109" s="27" t="str">
        <f t="shared" si="16"/>
        <v/>
      </c>
      <c r="U109" s="27" t="str">
        <f t="shared" si="17"/>
        <v/>
      </c>
      <c r="V109" s="10" t="str">
        <f>IF($B109="","",IF($B109="01水果",IFERROR(INDEX(对接源_01水果!$H$5:$H$507,MATCH(ROW()-3,对接源_01水果!$Q$5:$Q$507,0)),""),IFERROR(INDEX(对接源_02物料!$H$5:$H$460,MATCH(ROW()-3-N(对接源_01水果!$T$1),对接源_02物料!$Q$5:$Q$460,0)),"")))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0" ht="18" customHeight="1" spans="1:22">
      <c r="A110" s="10">
        <v>107</v>
      </c>
      <c r="B110" s="26" t="str">
        <f>IF(ROW()-3&lt;=N(对接源_01水果!$T$1),"01水果",IF(ROW()-3&lt;=N(对接源_01水果!$T$1)+N(对接源_02物料!$T$1),"02物料",""))</f>
        <v/>
      </c>
      <c r="C110" s="125" t="str">
        <f>IF($B110="","",IF($B110="01水果",IFERROR(INDEX(对接源_01水果!$B$5:$B$507,MATCH(ROW()-3,对接源_01水果!$Q$5:$Q$507,0)),""),IFERROR(INDEX(对接源_02物料!$B$5:$B$460,MATCH(ROW()-3-N(对接源_01水果!$T$1),对接源_02物料!$Q$5:$Q$460,0)),"")))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0" s="26" t="str">
        <f>IF($B110="","",IF($B110="01水果",IFERROR(INDEX(对接源_01水果!$C$5:$C$507,MATCH(ROW()-3,对接源_01水果!$Q$5:$Q$507,0)),""),IFERROR(INDEX(对接源_02物料!$C$5:$C$460,MATCH(ROW()-3-N(对接源_01水果!$T$1),对接源_02物料!$Q$5:$Q$460,0)),"")))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0" s="126" t="str">
        <f>IF($B110="","",IF($B110="01水果",IFERROR(INDEX(对接源_01水果!$D$5:$D$507,MATCH(ROW()-3,对接源_01水果!$Q$5:$Q$507,0)),""),IFERROR(INDEX(对接源_02物料!$D$5:$D$460,MATCH(ROW()-3-N(对接源_01水果!$T$1),对接源_02物料!$Q$5:$Q$460,0)),"")))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0" s="26" t="str">
        <f>IF($B110="","",IF($B110="01水果",IFERROR(INDEX(对接源_01水果!$E$5:$E$507,MATCH(ROW()-3,对接源_01水果!$Q$5:$Q$507,0)),""),IFERROR(INDEX(对接源_02物料!$E$5:$E$460,MATCH(ROW()-3-N(对接源_01水果!$T$1),对接源_02物料!$Q$5:$Q$460,0)),"")))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0" s="27" t="str">
        <f>IF($B110="","",IF($B110="01水果",IFERROR(INDEX(对接源_01水果!$F$5:$F$507,MATCH(ROW()-3,对接源_01水果!$Q$5:$Q$507,0)),""),IFERROR(INDEX(对接源_02物料!$F$5:$F$460,MATCH(ROW()-3-N(对接源_01水果!$T$1),对接源_02物料!$Q$5:$Q$460,0)),"")))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0" s="27" t="str">
        <f>IF($B110="","",IF($B110="01水果",IFERROR(INDEX(对接源_01水果!$G$5:$G$507,MATCH(ROW()-3,对接源_01水果!$Q$5:$Q$507,0)),""),IFERROR(INDEX(对接源_02物料!$G$5:$G$460,MATCH(ROW()-3-N(对接源_01水果!$T$1),对接源_02物料!$Q$5:$Q$460,0)),"")))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0" s="26" t="str">
        <f>IFERROR(INDEX(收入成本映射!$C$4:$C$34,MATCH($D110,收入成本映射!$B$4:$B$34,0)),"不记账")</f>
        <v>不记账</v>
      </c>
      <c r="J110" s="26" t="str">
        <f t="shared" si="9"/>
        <v/>
      </c>
      <c r="K110" s="27">
        <f t="shared" si="10"/>
        <v>0</v>
      </c>
      <c r="L110" s="27">
        <v>0</v>
      </c>
      <c r="M110" s="26" t="str">
        <f>IF(OR($I110="不记账",ROUND(N($G110),2)=0),"",IFERROR(INDEX(收入成本映射!$E$4:$E$34,MATCH($D110,收入成本映射!$B$4:$B$34,0)),""))</f>
        <v/>
      </c>
      <c r="N110" s="27" t="str">
        <f t="shared" si="11"/>
        <v/>
      </c>
      <c r="O110" s="27" t="str">
        <f t="shared" si="12"/>
        <v/>
      </c>
      <c r="P110" s="26" t="str">
        <f>IF($M110="","",IFERROR(INDEX(收入成本映射!$F$4:$F$34,MATCH($D110,收入成本映射!$B$4:$B$34,0)),""))</f>
        <v/>
      </c>
      <c r="Q110" s="27" t="str">
        <f t="shared" si="13"/>
        <v/>
      </c>
      <c r="R110" s="27" t="str">
        <f t="shared" si="14"/>
        <v/>
      </c>
      <c r="S110" s="26" t="str">
        <f t="shared" si="15"/>
        <v/>
      </c>
      <c r="T110" s="27" t="str">
        <f t="shared" si="16"/>
        <v/>
      </c>
      <c r="U110" s="27" t="str">
        <f t="shared" si="17"/>
        <v/>
      </c>
      <c r="V110" s="10" t="str">
        <f>IF($B110="","",IF($B110="01水果",IFERROR(INDEX(对接源_01水果!$H$5:$H$507,MATCH(ROW()-3,对接源_01水果!$Q$5:$Q$507,0)),""),IFERROR(INDEX(对接源_02物料!$H$5:$H$460,MATCH(ROW()-3-N(对接源_01水果!$T$1),对接源_02物料!$Q$5:$Q$460,0)),"")))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1" ht="18" customHeight="1" spans="1:22">
      <c r="A111" s="10">
        <v>108</v>
      </c>
      <c r="B111" s="26" t="str">
        <f>IF(ROW()-3&lt;=N(对接源_01水果!$T$1),"01水果",IF(ROW()-3&lt;=N(对接源_01水果!$T$1)+N(对接源_02物料!$T$1),"02物料",""))</f>
        <v/>
      </c>
      <c r="C111" s="125" t="str">
        <f>IF($B111="","",IF($B111="01水果",IFERROR(INDEX(对接源_01水果!$B$5:$B$507,MATCH(ROW()-3,对接源_01水果!$Q$5:$Q$507,0)),""),IFERROR(INDEX(对接源_02物料!$B$5:$B$460,MATCH(ROW()-3-N(对接源_01水果!$T$1),对接源_02物料!$Q$5:$Q$460,0)),"")))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1" s="26" t="str">
        <f>IF($B111="","",IF($B111="01水果",IFERROR(INDEX(对接源_01水果!$C$5:$C$507,MATCH(ROW()-3,对接源_01水果!$Q$5:$Q$507,0)),""),IFERROR(INDEX(对接源_02物料!$C$5:$C$460,MATCH(ROW()-3-N(对接源_01水果!$T$1),对接源_02物料!$Q$5:$Q$460,0)),"")))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1" s="126" t="str">
        <f>IF($B111="","",IF($B111="01水果",IFERROR(INDEX(对接源_01水果!$D$5:$D$507,MATCH(ROW()-3,对接源_01水果!$Q$5:$Q$507,0)),""),IFERROR(INDEX(对接源_02物料!$D$5:$D$460,MATCH(ROW()-3-N(对接源_01水果!$T$1),对接源_02物料!$Q$5:$Q$460,0)),"")))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1" s="26" t="str">
        <f>IF($B111="","",IF($B111="01水果",IFERROR(INDEX(对接源_01水果!$E$5:$E$507,MATCH(ROW()-3,对接源_01水果!$Q$5:$Q$507,0)),""),IFERROR(INDEX(对接源_02物料!$E$5:$E$460,MATCH(ROW()-3-N(对接源_01水果!$T$1),对接源_02物料!$Q$5:$Q$460,0)),"")))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1" s="27" t="str">
        <f>IF($B111="","",IF($B111="01水果",IFERROR(INDEX(对接源_01水果!$F$5:$F$507,MATCH(ROW()-3,对接源_01水果!$Q$5:$Q$507,0)),""),IFERROR(INDEX(对接源_02物料!$F$5:$F$460,MATCH(ROW()-3-N(对接源_01水果!$T$1),对接源_02物料!$Q$5:$Q$460,0)),"")))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1" s="27" t="str">
        <f>IF($B111="","",IF($B111="01水果",IFERROR(INDEX(对接源_01水果!$G$5:$G$507,MATCH(ROW()-3,对接源_01水果!$Q$5:$Q$507,0)),""),IFERROR(INDEX(对接源_02物料!$G$5:$G$460,MATCH(ROW()-3-N(对接源_01水果!$T$1),对接源_02物料!$Q$5:$Q$460,0)),"")))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1" s="26" t="str">
        <f>IFERROR(INDEX(收入成本映射!$C$4:$C$34,MATCH($D111,收入成本映射!$B$4:$B$34,0)),"不记账")</f>
        <v>不记账</v>
      </c>
      <c r="J111" s="26" t="str">
        <f t="shared" si="9"/>
        <v/>
      </c>
      <c r="K111" s="27">
        <f t="shared" si="10"/>
        <v>0</v>
      </c>
      <c r="L111" s="27">
        <v>0</v>
      </c>
      <c r="M111" s="26" t="str">
        <f>IF(OR($I111="不记账",ROUND(N($G111),2)=0),"",IFERROR(INDEX(收入成本映射!$E$4:$E$34,MATCH($D111,收入成本映射!$B$4:$B$34,0)),""))</f>
        <v/>
      </c>
      <c r="N111" s="27" t="str">
        <f t="shared" si="11"/>
        <v/>
      </c>
      <c r="O111" s="27" t="str">
        <f t="shared" si="12"/>
        <v/>
      </c>
      <c r="P111" s="26" t="str">
        <f>IF($M111="","",IFERROR(INDEX(收入成本映射!$F$4:$F$34,MATCH($D111,收入成本映射!$B$4:$B$34,0)),""))</f>
        <v/>
      </c>
      <c r="Q111" s="27" t="str">
        <f t="shared" si="13"/>
        <v/>
      </c>
      <c r="R111" s="27" t="str">
        <f t="shared" si="14"/>
        <v/>
      </c>
      <c r="S111" s="26" t="str">
        <f t="shared" si="15"/>
        <v/>
      </c>
      <c r="T111" s="27" t="str">
        <f t="shared" si="16"/>
        <v/>
      </c>
      <c r="U111" s="27" t="str">
        <f t="shared" si="17"/>
        <v/>
      </c>
      <c r="V111" s="10" t="str">
        <f>IF($B111="","",IF($B111="01水果",IFERROR(INDEX(对接源_01水果!$H$5:$H$507,MATCH(ROW()-3,对接源_01水果!$Q$5:$Q$507,0)),""),IFERROR(INDEX(对接源_02物料!$H$5:$H$460,MATCH(ROW()-3-N(对接源_01水果!$T$1),对接源_02物料!$Q$5:$Q$460,0)),"")))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2" ht="18" customHeight="1" spans="1:22">
      <c r="A112" s="10">
        <v>109</v>
      </c>
      <c r="B112" s="26" t="str">
        <f>IF(ROW()-3&lt;=N(对接源_01水果!$T$1),"01水果",IF(ROW()-3&lt;=N(对接源_01水果!$T$1)+N(对接源_02物料!$T$1),"02物料",""))</f>
        <v/>
      </c>
      <c r="C112" s="125" t="str">
        <f>IF($B112="","",IF($B112="01水果",IFERROR(INDEX(对接源_01水果!$B$5:$B$507,MATCH(ROW()-3,对接源_01水果!$Q$5:$Q$507,0)),""),IFERROR(INDEX(对接源_02物料!$B$5:$B$460,MATCH(ROW()-3-N(对接源_01水果!$T$1),对接源_02物料!$Q$5:$Q$460,0)),"")))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2" s="26" t="str">
        <f>IF($B112="","",IF($B112="01水果",IFERROR(INDEX(对接源_01水果!$C$5:$C$507,MATCH(ROW()-3,对接源_01水果!$Q$5:$Q$507,0)),""),IFERROR(INDEX(对接源_02物料!$C$5:$C$460,MATCH(ROW()-3-N(对接源_01水果!$T$1),对接源_02物料!$Q$5:$Q$460,0)),"")))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2" s="126" t="str">
        <f>IF($B112="","",IF($B112="01水果",IFERROR(INDEX(对接源_01水果!$D$5:$D$507,MATCH(ROW()-3,对接源_01水果!$Q$5:$Q$507,0)),""),IFERROR(INDEX(对接源_02物料!$D$5:$D$460,MATCH(ROW()-3-N(对接源_01水果!$T$1),对接源_02物料!$Q$5:$Q$460,0)),"")))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2" s="26" t="str">
        <f>IF($B112="","",IF($B112="01水果",IFERROR(INDEX(对接源_01水果!$E$5:$E$507,MATCH(ROW()-3,对接源_01水果!$Q$5:$Q$507,0)),""),IFERROR(INDEX(对接源_02物料!$E$5:$E$460,MATCH(ROW()-3-N(对接源_01水果!$T$1),对接源_02物料!$Q$5:$Q$460,0)),"")))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2" s="27" t="str">
        <f>IF($B112="","",IF($B112="01水果",IFERROR(INDEX(对接源_01水果!$F$5:$F$507,MATCH(ROW()-3,对接源_01水果!$Q$5:$Q$507,0)),""),IFERROR(INDEX(对接源_02物料!$F$5:$F$460,MATCH(ROW()-3-N(对接源_01水果!$T$1),对接源_02物料!$Q$5:$Q$460,0)),"")))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2" s="27" t="str">
        <f>IF($B112="","",IF($B112="01水果",IFERROR(INDEX(对接源_01水果!$G$5:$G$507,MATCH(ROW()-3,对接源_01水果!$Q$5:$Q$507,0)),""),IFERROR(INDEX(对接源_02物料!$G$5:$G$460,MATCH(ROW()-3-N(对接源_01水果!$T$1),对接源_02物料!$Q$5:$Q$460,0)),"")))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2" s="26" t="str">
        <f>IFERROR(INDEX(收入成本映射!$C$4:$C$34,MATCH($D112,收入成本映射!$B$4:$B$34,0)),"不记账")</f>
        <v>不记账</v>
      </c>
      <c r="J112" s="26" t="str">
        <f t="shared" si="9"/>
        <v/>
      </c>
      <c r="K112" s="27">
        <f t="shared" si="10"/>
        <v>0</v>
      </c>
      <c r="L112" s="27">
        <v>0</v>
      </c>
      <c r="M112" s="26" t="str">
        <f>IF(OR($I112="不记账",ROUND(N($G112),2)=0),"",IFERROR(INDEX(收入成本映射!$E$4:$E$34,MATCH($D112,收入成本映射!$B$4:$B$34,0)),""))</f>
        <v/>
      </c>
      <c r="N112" s="27" t="str">
        <f t="shared" si="11"/>
        <v/>
      </c>
      <c r="O112" s="27" t="str">
        <f t="shared" si="12"/>
        <v/>
      </c>
      <c r="P112" s="26" t="str">
        <f>IF($M112="","",IFERROR(INDEX(收入成本映射!$F$4:$F$34,MATCH($D112,收入成本映射!$B$4:$B$34,0)),""))</f>
        <v/>
      </c>
      <c r="Q112" s="27" t="str">
        <f t="shared" si="13"/>
        <v/>
      </c>
      <c r="R112" s="27" t="str">
        <f t="shared" si="14"/>
        <v/>
      </c>
      <c r="S112" s="26" t="str">
        <f t="shared" si="15"/>
        <v/>
      </c>
      <c r="T112" s="27" t="str">
        <f t="shared" si="16"/>
        <v/>
      </c>
      <c r="U112" s="27" t="str">
        <f t="shared" si="17"/>
        <v/>
      </c>
      <c r="V112" s="10" t="str">
        <f>IF($B112="","",IF($B112="01水果",IFERROR(INDEX(对接源_01水果!$H$5:$H$507,MATCH(ROW()-3,对接源_01水果!$Q$5:$Q$507,0)),""),IFERROR(INDEX(对接源_02物料!$H$5:$H$460,MATCH(ROW()-3-N(对接源_01水果!$T$1),对接源_02物料!$Q$5:$Q$460,0)),"")))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3" ht="18" customHeight="1" spans="1:22">
      <c r="A113" s="10">
        <v>110</v>
      </c>
      <c r="B113" s="26" t="str">
        <f>IF(ROW()-3&lt;=N(对接源_01水果!$T$1),"01水果",IF(ROW()-3&lt;=N(对接源_01水果!$T$1)+N(对接源_02物料!$T$1),"02物料",""))</f>
        <v/>
      </c>
      <c r="C113" s="125" t="str">
        <f>IF($B113="","",IF($B113="01水果",IFERROR(INDEX(对接源_01水果!$B$5:$B$507,MATCH(ROW()-3,对接源_01水果!$Q$5:$Q$507,0)),""),IFERROR(INDEX(对接源_02物料!$B$5:$B$460,MATCH(ROW()-3-N(对接源_01水果!$T$1),对接源_02物料!$Q$5:$Q$460,0)),"")))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3" s="26" t="str">
        <f>IF($B113="","",IF($B113="01水果",IFERROR(INDEX(对接源_01水果!$C$5:$C$507,MATCH(ROW()-3,对接源_01水果!$Q$5:$Q$507,0)),""),IFERROR(INDEX(对接源_02物料!$C$5:$C$460,MATCH(ROW()-3-N(对接源_01水果!$T$1),对接源_02物料!$Q$5:$Q$460,0)),"")))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3" s="126" t="str">
        <f>IF($B113="","",IF($B113="01水果",IFERROR(INDEX(对接源_01水果!$D$5:$D$507,MATCH(ROW()-3,对接源_01水果!$Q$5:$Q$507,0)),""),IFERROR(INDEX(对接源_02物料!$D$5:$D$460,MATCH(ROW()-3-N(对接源_01水果!$T$1),对接源_02物料!$Q$5:$Q$460,0)),"")))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3" s="26" t="str">
        <f>IF($B113="","",IF($B113="01水果",IFERROR(INDEX(对接源_01水果!$E$5:$E$507,MATCH(ROW()-3,对接源_01水果!$Q$5:$Q$507,0)),""),IFERROR(INDEX(对接源_02物料!$E$5:$E$460,MATCH(ROW()-3-N(对接源_01水果!$T$1),对接源_02物料!$Q$5:$Q$460,0)),"")))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3" s="27" t="str">
        <f>IF($B113="","",IF($B113="01水果",IFERROR(INDEX(对接源_01水果!$F$5:$F$507,MATCH(ROW()-3,对接源_01水果!$Q$5:$Q$507,0)),""),IFERROR(INDEX(对接源_02物料!$F$5:$F$460,MATCH(ROW()-3-N(对接源_01水果!$T$1),对接源_02物料!$Q$5:$Q$460,0)),"")))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3" s="27" t="str">
        <f>IF($B113="","",IF($B113="01水果",IFERROR(INDEX(对接源_01水果!$G$5:$G$507,MATCH(ROW()-3,对接源_01水果!$Q$5:$Q$507,0)),""),IFERROR(INDEX(对接源_02物料!$G$5:$G$460,MATCH(ROW()-3-N(对接源_01水果!$T$1),对接源_02物料!$Q$5:$Q$460,0)),"")))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3" s="26" t="str">
        <f>IFERROR(INDEX(收入成本映射!$C$4:$C$34,MATCH($D113,收入成本映射!$B$4:$B$34,0)),"不记账")</f>
        <v>不记账</v>
      </c>
      <c r="J113" s="26" t="str">
        <f t="shared" si="9"/>
        <v/>
      </c>
      <c r="K113" s="27">
        <f t="shared" si="10"/>
        <v>0</v>
      </c>
      <c r="L113" s="27">
        <v>0</v>
      </c>
      <c r="M113" s="26" t="str">
        <f>IF(OR($I113="不记账",ROUND(N($G113),2)=0),"",IFERROR(INDEX(收入成本映射!$E$4:$E$34,MATCH($D113,收入成本映射!$B$4:$B$34,0)),""))</f>
        <v/>
      </c>
      <c r="N113" s="27" t="str">
        <f t="shared" si="11"/>
        <v/>
      </c>
      <c r="O113" s="27" t="str">
        <f t="shared" si="12"/>
        <v/>
      </c>
      <c r="P113" s="26" t="str">
        <f>IF($M113="","",IFERROR(INDEX(收入成本映射!$F$4:$F$34,MATCH($D113,收入成本映射!$B$4:$B$34,0)),""))</f>
        <v/>
      </c>
      <c r="Q113" s="27" t="str">
        <f t="shared" si="13"/>
        <v/>
      </c>
      <c r="R113" s="27" t="str">
        <f t="shared" si="14"/>
        <v/>
      </c>
      <c r="S113" s="26" t="str">
        <f t="shared" si="15"/>
        <v/>
      </c>
      <c r="T113" s="27" t="str">
        <f t="shared" si="16"/>
        <v/>
      </c>
      <c r="U113" s="27" t="str">
        <f t="shared" si="17"/>
        <v/>
      </c>
      <c r="V113" s="10" t="str">
        <f>IF($B113="","",IF($B113="01水果",IFERROR(INDEX(对接源_01水果!$H$5:$H$507,MATCH(ROW()-3,对接源_01水果!$Q$5:$Q$507,0)),""),IFERROR(INDEX(对接源_02物料!$H$5:$H$460,MATCH(ROW()-3-N(对接源_01水果!$T$1),对接源_02物料!$Q$5:$Q$460,0)),"")))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4" ht="18" customHeight="1" spans="1:22">
      <c r="A114" s="10">
        <v>111</v>
      </c>
      <c r="B114" s="26" t="str">
        <f>IF(ROW()-3&lt;=N(对接源_01水果!$T$1),"01水果",IF(ROW()-3&lt;=N(对接源_01水果!$T$1)+N(对接源_02物料!$T$1),"02物料",""))</f>
        <v/>
      </c>
      <c r="C114" s="125" t="str">
        <f>IF($B114="","",IF($B114="01水果",IFERROR(INDEX(对接源_01水果!$B$5:$B$507,MATCH(ROW()-3,对接源_01水果!$Q$5:$Q$507,0)),""),IFERROR(INDEX(对接源_02物料!$B$5:$B$460,MATCH(ROW()-3-N(对接源_01水果!$T$1),对接源_02物料!$Q$5:$Q$460,0)),"")))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4" s="26" t="str">
        <f>IF($B114="","",IF($B114="01水果",IFERROR(INDEX(对接源_01水果!$C$5:$C$507,MATCH(ROW()-3,对接源_01水果!$Q$5:$Q$507,0)),""),IFERROR(INDEX(对接源_02物料!$C$5:$C$460,MATCH(ROW()-3-N(对接源_01水果!$T$1),对接源_02物料!$Q$5:$Q$460,0)),"")))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4" s="126" t="str">
        <f>IF($B114="","",IF($B114="01水果",IFERROR(INDEX(对接源_01水果!$D$5:$D$507,MATCH(ROW()-3,对接源_01水果!$Q$5:$Q$507,0)),""),IFERROR(INDEX(对接源_02物料!$D$5:$D$460,MATCH(ROW()-3-N(对接源_01水果!$T$1),对接源_02物料!$Q$5:$Q$460,0)),"")))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4" s="26" t="str">
        <f>IF($B114="","",IF($B114="01水果",IFERROR(INDEX(对接源_01水果!$E$5:$E$507,MATCH(ROW()-3,对接源_01水果!$Q$5:$Q$507,0)),""),IFERROR(INDEX(对接源_02物料!$E$5:$E$460,MATCH(ROW()-3-N(对接源_01水果!$T$1),对接源_02物料!$Q$5:$Q$460,0)),"")))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4" s="27" t="str">
        <f>IF($B114="","",IF($B114="01水果",IFERROR(INDEX(对接源_01水果!$F$5:$F$507,MATCH(ROW()-3,对接源_01水果!$Q$5:$Q$507,0)),""),IFERROR(INDEX(对接源_02物料!$F$5:$F$460,MATCH(ROW()-3-N(对接源_01水果!$T$1),对接源_02物料!$Q$5:$Q$460,0)),"")))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4" s="27" t="str">
        <f>IF($B114="","",IF($B114="01水果",IFERROR(INDEX(对接源_01水果!$G$5:$G$507,MATCH(ROW()-3,对接源_01水果!$Q$5:$Q$507,0)),""),IFERROR(INDEX(对接源_02物料!$G$5:$G$460,MATCH(ROW()-3-N(对接源_01水果!$T$1),对接源_02物料!$Q$5:$Q$460,0)),"")))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4" s="26" t="str">
        <f>IFERROR(INDEX(收入成本映射!$C$4:$C$34,MATCH($D114,收入成本映射!$B$4:$B$34,0)),"不记账")</f>
        <v>不记账</v>
      </c>
      <c r="J114" s="26" t="str">
        <f t="shared" si="9"/>
        <v/>
      </c>
      <c r="K114" s="27">
        <f t="shared" si="10"/>
        <v>0</v>
      </c>
      <c r="L114" s="27">
        <v>0</v>
      </c>
      <c r="M114" s="26" t="str">
        <f>IF(OR($I114="不记账",ROUND(N($G114),2)=0),"",IFERROR(INDEX(收入成本映射!$E$4:$E$34,MATCH($D114,收入成本映射!$B$4:$B$34,0)),""))</f>
        <v/>
      </c>
      <c r="N114" s="27" t="str">
        <f t="shared" si="11"/>
        <v/>
      </c>
      <c r="O114" s="27" t="str">
        <f t="shared" si="12"/>
        <v/>
      </c>
      <c r="P114" s="26" t="str">
        <f>IF($M114="","",IFERROR(INDEX(收入成本映射!$F$4:$F$34,MATCH($D114,收入成本映射!$B$4:$B$34,0)),""))</f>
        <v/>
      </c>
      <c r="Q114" s="27" t="str">
        <f t="shared" si="13"/>
        <v/>
      </c>
      <c r="R114" s="27" t="str">
        <f t="shared" si="14"/>
        <v/>
      </c>
      <c r="S114" s="26" t="str">
        <f t="shared" si="15"/>
        <v/>
      </c>
      <c r="T114" s="27" t="str">
        <f t="shared" si="16"/>
        <v/>
      </c>
      <c r="U114" s="27" t="str">
        <f t="shared" si="17"/>
        <v/>
      </c>
      <c r="V114" s="10" t="str">
        <f>IF($B114="","",IF($B114="01水果",IFERROR(INDEX(对接源_01水果!$H$5:$H$507,MATCH(ROW()-3,对接源_01水果!$Q$5:$Q$507,0)),""),IFERROR(INDEX(对接源_02物料!$H$5:$H$460,MATCH(ROW()-3-N(对接源_01水果!$T$1),对接源_02物料!$Q$5:$Q$460,0)),"")))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5" ht="18" customHeight="1" spans="1:22">
      <c r="A115" s="10">
        <v>112</v>
      </c>
      <c r="B115" s="26" t="str">
        <f>IF(ROW()-3&lt;=N(对接源_01水果!$T$1),"01水果",IF(ROW()-3&lt;=N(对接源_01水果!$T$1)+N(对接源_02物料!$T$1),"02物料",""))</f>
        <v/>
      </c>
      <c r="C115" s="125" t="str">
        <f>IF($B115="","",IF($B115="01水果",IFERROR(INDEX(对接源_01水果!$B$5:$B$507,MATCH(ROW()-3,对接源_01水果!$Q$5:$Q$507,0)),""),IFERROR(INDEX(对接源_02物料!$B$5:$B$460,MATCH(ROW()-3-N(对接源_01水果!$T$1),对接源_02物料!$Q$5:$Q$460,0)),"")))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5" s="26" t="str">
        <f>IF($B115="","",IF($B115="01水果",IFERROR(INDEX(对接源_01水果!$C$5:$C$507,MATCH(ROW()-3,对接源_01水果!$Q$5:$Q$507,0)),""),IFERROR(INDEX(对接源_02物料!$C$5:$C$460,MATCH(ROW()-3-N(对接源_01水果!$T$1),对接源_02物料!$Q$5:$Q$460,0)),"")))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5" s="126" t="str">
        <f>IF($B115="","",IF($B115="01水果",IFERROR(INDEX(对接源_01水果!$D$5:$D$507,MATCH(ROW()-3,对接源_01水果!$Q$5:$Q$507,0)),""),IFERROR(INDEX(对接源_02物料!$D$5:$D$460,MATCH(ROW()-3-N(对接源_01水果!$T$1),对接源_02物料!$Q$5:$Q$460,0)),"")))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5" s="26" t="str">
        <f>IF($B115="","",IF($B115="01水果",IFERROR(INDEX(对接源_01水果!$E$5:$E$507,MATCH(ROW()-3,对接源_01水果!$Q$5:$Q$507,0)),""),IFERROR(INDEX(对接源_02物料!$E$5:$E$460,MATCH(ROW()-3-N(对接源_01水果!$T$1),对接源_02物料!$Q$5:$Q$460,0)),"")))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5" s="27" t="str">
        <f>IF($B115="","",IF($B115="01水果",IFERROR(INDEX(对接源_01水果!$F$5:$F$507,MATCH(ROW()-3,对接源_01水果!$Q$5:$Q$507,0)),""),IFERROR(INDEX(对接源_02物料!$F$5:$F$460,MATCH(ROW()-3-N(对接源_01水果!$T$1),对接源_02物料!$Q$5:$Q$460,0)),"")))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5" s="27" t="str">
        <f>IF($B115="","",IF($B115="01水果",IFERROR(INDEX(对接源_01水果!$G$5:$G$507,MATCH(ROW()-3,对接源_01水果!$Q$5:$Q$507,0)),""),IFERROR(INDEX(对接源_02物料!$G$5:$G$460,MATCH(ROW()-3-N(对接源_01水果!$T$1),对接源_02物料!$Q$5:$Q$460,0)),"")))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5" s="26" t="str">
        <f>IFERROR(INDEX(收入成本映射!$C$4:$C$34,MATCH($D115,收入成本映射!$B$4:$B$34,0)),"不记账")</f>
        <v>不记账</v>
      </c>
      <c r="J115" s="26" t="str">
        <f t="shared" si="9"/>
        <v/>
      </c>
      <c r="K115" s="27">
        <f t="shared" si="10"/>
        <v>0</v>
      </c>
      <c r="L115" s="27">
        <v>0</v>
      </c>
      <c r="M115" s="26" t="str">
        <f>IF(OR($I115="不记账",ROUND(N($G115),2)=0),"",IFERROR(INDEX(收入成本映射!$E$4:$E$34,MATCH($D115,收入成本映射!$B$4:$B$34,0)),""))</f>
        <v/>
      </c>
      <c r="N115" s="27" t="str">
        <f t="shared" si="11"/>
        <v/>
      </c>
      <c r="O115" s="27" t="str">
        <f t="shared" si="12"/>
        <v/>
      </c>
      <c r="P115" s="26" t="str">
        <f>IF($M115="","",IFERROR(INDEX(收入成本映射!$F$4:$F$34,MATCH($D115,收入成本映射!$B$4:$B$34,0)),""))</f>
        <v/>
      </c>
      <c r="Q115" s="27" t="str">
        <f t="shared" si="13"/>
        <v/>
      </c>
      <c r="R115" s="27" t="str">
        <f t="shared" si="14"/>
        <v/>
      </c>
      <c r="S115" s="26" t="str">
        <f t="shared" si="15"/>
        <v/>
      </c>
      <c r="T115" s="27" t="str">
        <f t="shared" si="16"/>
        <v/>
      </c>
      <c r="U115" s="27" t="str">
        <f t="shared" si="17"/>
        <v/>
      </c>
      <c r="V115" s="10" t="str">
        <f>IF($B115="","",IF($B115="01水果",IFERROR(INDEX(对接源_01水果!$H$5:$H$507,MATCH(ROW()-3,对接源_01水果!$Q$5:$Q$507,0)),""),IFERROR(INDEX(对接源_02物料!$H$5:$H$460,MATCH(ROW()-3-N(对接源_01水果!$T$1),对接源_02物料!$Q$5:$Q$460,0)),"")))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6" ht="18" customHeight="1" spans="1:22">
      <c r="A116" s="10">
        <v>113</v>
      </c>
      <c r="B116" s="26" t="str">
        <f>IF(ROW()-3&lt;=N(对接源_01水果!$T$1),"01水果",IF(ROW()-3&lt;=N(对接源_01水果!$T$1)+N(对接源_02物料!$T$1),"02物料",""))</f>
        <v/>
      </c>
      <c r="C116" s="125" t="str">
        <f>IF($B116="","",IF($B116="01水果",IFERROR(INDEX(对接源_01水果!$B$5:$B$507,MATCH(ROW()-3,对接源_01水果!$Q$5:$Q$507,0)),""),IFERROR(INDEX(对接源_02物料!$B$5:$B$460,MATCH(ROW()-3-N(对接源_01水果!$T$1),对接源_02物料!$Q$5:$Q$460,0)),"")))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6" s="26" t="str">
        <f>IF($B116="","",IF($B116="01水果",IFERROR(INDEX(对接源_01水果!$C$5:$C$507,MATCH(ROW()-3,对接源_01水果!$Q$5:$Q$507,0)),""),IFERROR(INDEX(对接源_02物料!$C$5:$C$460,MATCH(ROW()-3-N(对接源_01水果!$T$1),对接源_02物料!$Q$5:$Q$460,0)),"")))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6" s="126" t="str">
        <f>IF($B116="","",IF($B116="01水果",IFERROR(INDEX(对接源_01水果!$D$5:$D$507,MATCH(ROW()-3,对接源_01水果!$Q$5:$Q$507,0)),""),IFERROR(INDEX(对接源_02物料!$D$5:$D$460,MATCH(ROW()-3-N(对接源_01水果!$T$1),对接源_02物料!$Q$5:$Q$460,0)),"")))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6" s="26" t="str">
        <f>IF($B116="","",IF($B116="01水果",IFERROR(INDEX(对接源_01水果!$E$5:$E$507,MATCH(ROW()-3,对接源_01水果!$Q$5:$Q$507,0)),""),IFERROR(INDEX(对接源_02物料!$E$5:$E$460,MATCH(ROW()-3-N(对接源_01水果!$T$1),对接源_02物料!$Q$5:$Q$460,0)),"")))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6" s="27" t="str">
        <f>IF($B116="","",IF($B116="01水果",IFERROR(INDEX(对接源_01水果!$F$5:$F$507,MATCH(ROW()-3,对接源_01水果!$Q$5:$Q$507,0)),""),IFERROR(INDEX(对接源_02物料!$F$5:$F$460,MATCH(ROW()-3-N(对接源_01水果!$T$1),对接源_02物料!$Q$5:$Q$460,0)),"")))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6" s="27" t="str">
        <f>IF($B116="","",IF($B116="01水果",IFERROR(INDEX(对接源_01水果!$G$5:$G$507,MATCH(ROW()-3,对接源_01水果!$Q$5:$Q$507,0)),""),IFERROR(INDEX(对接源_02物料!$G$5:$G$460,MATCH(ROW()-3-N(对接源_01水果!$T$1),对接源_02物料!$Q$5:$Q$460,0)),"")))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6" s="26" t="str">
        <f>IFERROR(INDEX(收入成本映射!$C$4:$C$34,MATCH($D116,收入成本映射!$B$4:$B$34,0)),"不记账")</f>
        <v>不记账</v>
      </c>
      <c r="J116" s="26" t="str">
        <f t="shared" si="9"/>
        <v/>
      </c>
      <c r="K116" s="27">
        <f t="shared" si="10"/>
        <v>0</v>
      </c>
      <c r="L116" s="27">
        <v>0</v>
      </c>
      <c r="M116" s="26" t="str">
        <f>IF(OR($I116="不记账",ROUND(N($G116),2)=0),"",IFERROR(INDEX(收入成本映射!$E$4:$E$34,MATCH($D116,收入成本映射!$B$4:$B$34,0)),""))</f>
        <v/>
      </c>
      <c r="N116" s="27" t="str">
        <f t="shared" si="11"/>
        <v/>
      </c>
      <c r="O116" s="27" t="str">
        <f t="shared" si="12"/>
        <v/>
      </c>
      <c r="P116" s="26" t="str">
        <f>IF($M116="","",IFERROR(INDEX(收入成本映射!$F$4:$F$34,MATCH($D116,收入成本映射!$B$4:$B$34,0)),""))</f>
        <v/>
      </c>
      <c r="Q116" s="27" t="str">
        <f t="shared" si="13"/>
        <v/>
      </c>
      <c r="R116" s="27" t="str">
        <f t="shared" si="14"/>
        <v/>
      </c>
      <c r="S116" s="26" t="str">
        <f t="shared" si="15"/>
        <v/>
      </c>
      <c r="T116" s="27" t="str">
        <f t="shared" si="16"/>
        <v/>
      </c>
      <c r="U116" s="27" t="str">
        <f t="shared" si="17"/>
        <v/>
      </c>
      <c r="V116" s="10" t="str">
        <f>IF($B116="","",IF($B116="01水果",IFERROR(INDEX(对接源_01水果!$H$5:$H$507,MATCH(ROW()-3,对接源_01水果!$Q$5:$Q$507,0)),""),IFERROR(INDEX(对接源_02物料!$H$5:$H$460,MATCH(ROW()-3-N(对接源_01水果!$T$1),对接源_02物料!$Q$5:$Q$460,0)),"")))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7" ht="18" customHeight="1" spans="1:22">
      <c r="A117" s="10">
        <v>114</v>
      </c>
      <c r="B117" s="26" t="str">
        <f>IF(ROW()-3&lt;=N(对接源_01水果!$T$1),"01水果",IF(ROW()-3&lt;=N(对接源_01水果!$T$1)+N(对接源_02物料!$T$1),"02物料",""))</f>
        <v/>
      </c>
      <c r="C117" s="125" t="str">
        <f>IF($B117="","",IF($B117="01水果",IFERROR(INDEX(对接源_01水果!$B$5:$B$507,MATCH(ROW()-3,对接源_01水果!$Q$5:$Q$507,0)),""),IFERROR(INDEX(对接源_02物料!$B$5:$B$460,MATCH(ROW()-3-N(对接源_01水果!$T$1),对接源_02物料!$Q$5:$Q$460,0)),"")))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7" s="26" t="str">
        <f>IF($B117="","",IF($B117="01水果",IFERROR(INDEX(对接源_01水果!$C$5:$C$507,MATCH(ROW()-3,对接源_01水果!$Q$5:$Q$507,0)),""),IFERROR(INDEX(对接源_02物料!$C$5:$C$460,MATCH(ROW()-3-N(对接源_01水果!$T$1),对接源_02物料!$Q$5:$Q$460,0)),"")))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7" s="126" t="str">
        <f>IF($B117="","",IF($B117="01水果",IFERROR(INDEX(对接源_01水果!$D$5:$D$507,MATCH(ROW()-3,对接源_01水果!$Q$5:$Q$507,0)),""),IFERROR(INDEX(对接源_02物料!$D$5:$D$460,MATCH(ROW()-3-N(对接源_01水果!$T$1),对接源_02物料!$Q$5:$Q$460,0)),"")))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7" s="26" t="str">
        <f>IF($B117="","",IF($B117="01水果",IFERROR(INDEX(对接源_01水果!$E$5:$E$507,MATCH(ROW()-3,对接源_01水果!$Q$5:$Q$507,0)),""),IFERROR(INDEX(对接源_02物料!$E$5:$E$460,MATCH(ROW()-3-N(对接源_01水果!$T$1),对接源_02物料!$Q$5:$Q$460,0)),"")))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7" s="27" t="str">
        <f>IF($B117="","",IF($B117="01水果",IFERROR(INDEX(对接源_01水果!$F$5:$F$507,MATCH(ROW()-3,对接源_01水果!$Q$5:$Q$507,0)),""),IFERROR(INDEX(对接源_02物料!$F$5:$F$460,MATCH(ROW()-3-N(对接源_01水果!$T$1),对接源_02物料!$Q$5:$Q$460,0)),"")))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7" s="27" t="str">
        <f>IF($B117="","",IF($B117="01水果",IFERROR(INDEX(对接源_01水果!$G$5:$G$507,MATCH(ROW()-3,对接源_01水果!$Q$5:$Q$507,0)),""),IFERROR(INDEX(对接源_02物料!$G$5:$G$460,MATCH(ROW()-3-N(对接源_01水果!$T$1),对接源_02物料!$Q$5:$Q$460,0)),"")))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7" s="26" t="str">
        <f>IFERROR(INDEX(收入成本映射!$C$4:$C$34,MATCH($D117,收入成本映射!$B$4:$B$34,0)),"不记账")</f>
        <v>不记账</v>
      </c>
      <c r="J117" s="26" t="str">
        <f t="shared" si="9"/>
        <v/>
      </c>
      <c r="K117" s="27">
        <f t="shared" si="10"/>
        <v>0</v>
      </c>
      <c r="L117" s="27">
        <v>0</v>
      </c>
      <c r="M117" s="26" t="str">
        <f>IF(OR($I117="不记账",ROUND(N($G117),2)=0),"",IFERROR(INDEX(收入成本映射!$E$4:$E$34,MATCH($D117,收入成本映射!$B$4:$B$34,0)),""))</f>
        <v/>
      </c>
      <c r="N117" s="27" t="str">
        <f t="shared" si="11"/>
        <v/>
      </c>
      <c r="O117" s="27" t="str">
        <f t="shared" si="12"/>
        <v/>
      </c>
      <c r="P117" s="26" t="str">
        <f>IF($M117="","",IFERROR(INDEX(收入成本映射!$F$4:$F$34,MATCH($D117,收入成本映射!$B$4:$B$34,0)),""))</f>
        <v/>
      </c>
      <c r="Q117" s="27" t="str">
        <f t="shared" si="13"/>
        <v/>
      </c>
      <c r="R117" s="27" t="str">
        <f t="shared" si="14"/>
        <v/>
      </c>
      <c r="S117" s="26" t="str">
        <f t="shared" si="15"/>
        <v/>
      </c>
      <c r="T117" s="27" t="str">
        <f t="shared" si="16"/>
        <v/>
      </c>
      <c r="U117" s="27" t="str">
        <f t="shared" si="17"/>
        <v/>
      </c>
      <c r="V117" s="10" t="str">
        <f>IF($B117="","",IF($B117="01水果",IFERROR(INDEX(对接源_01水果!$H$5:$H$507,MATCH(ROW()-3,对接源_01水果!$Q$5:$Q$507,0)),""),IFERROR(INDEX(对接源_02物料!$H$5:$H$460,MATCH(ROW()-3-N(对接源_01水果!$T$1),对接源_02物料!$Q$5:$Q$460,0)),"")))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8" ht="18" customHeight="1" spans="1:22">
      <c r="A118" s="10">
        <v>115</v>
      </c>
      <c r="B118" s="26" t="str">
        <f>IF(ROW()-3&lt;=N(对接源_01水果!$T$1),"01水果",IF(ROW()-3&lt;=N(对接源_01水果!$T$1)+N(对接源_02物料!$T$1),"02物料",""))</f>
        <v/>
      </c>
      <c r="C118" s="125" t="str">
        <f>IF($B118="","",IF($B118="01水果",IFERROR(INDEX(对接源_01水果!$B$5:$B$507,MATCH(ROW()-3,对接源_01水果!$Q$5:$Q$507,0)),""),IFERROR(INDEX(对接源_02物料!$B$5:$B$460,MATCH(ROW()-3-N(对接源_01水果!$T$1),对接源_02物料!$Q$5:$Q$460,0)),"")))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8" s="26" t="str">
        <f>IF($B118="","",IF($B118="01水果",IFERROR(INDEX(对接源_01水果!$C$5:$C$507,MATCH(ROW()-3,对接源_01水果!$Q$5:$Q$507,0)),""),IFERROR(INDEX(对接源_02物料!$C$5:$C$460,MATCH(ROW()-3-N(对接源_01水果!$T$1),对接源_02物料!$Q$5:$Q$460,0)),"")))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8" s="126" t="str">
        <f>IF($B118="","",IF($B118="01水果",IFERROR(INDEX(对接源_01水果!$D$5:$D$507,MATCH(ROW()-3,对接源_01水果!$Q$5:$Q$507,0)),""),IFERROR(INDEX(对接源_02物料!$D$5:$D$460,MATCH(ROW()-3-N(对接源_01水果!$T$1),对接源_02物料!$Q$5:$Q$460,0)),"")))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8" s="26" t="str">
        <f>IF($B118="","",IF($B118="01水果",IFERROR(INDEX(对接源_01水果!$E$5:$E$507,MATCH(ROW()-3,对接源_01水果!$Q$5:$Q$507,0)),""),IFERROR(INDEX(对接源_02物料!$E$5:$E$460,MATCH(ROW()-3-N(对接源_01水果!$T$1),对接源_02物料!$Q$5:$Q$460,0)),"")))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8" s="27" t="str">
        <f>IF($B118="","",IF($B118="01水果",IFERROR(INDEX(对接源_01水果!$F$5:$F$507,MATCH(ROW()-3,对接源_01水果!$Q$5:$Q$507,0)),""),IFERROR(INDEX(对接源_02物料!$F$5:$F$460,MATCH(ROW()-3-N(对接源_01水果!$T$1),对接源_02物料!$Q$5:$Q$460,0)),"")))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8" s="27" t="str">
        <f>IF($B118="","",IF($B118="01水果",IFERROR(INDEX(对接源_01水果!$G$5:$G$507,MATCH(ROW()-3,对接源_01水果!$Q$5:$Q$507,0)),""),IFERROR(INDEX(对接源_02物料!$G$5:$G$460,MATCH(ROW()-3-N(对接源_01水果!$T$1),对接源_02物料!$Q$5:$Q$460,0)),"")))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8" s="26" t="str">
        <f>IFERROR(INDEX(收入成本映射!$C$4:$C$34,MATCH($D118,收入成本映射!$B$4:$B$34,0)),"不记账")</f>
        <v>不记账</v>
      </c>
      <c r="J118" s="26" t="str">
        <f t="shared" si="9"/>
        <v/>
      </c>
      <c r="K118" s="27">
        <f t="shared" si="10"/>
        <v>0</v>
      </c>
      <c r="L118" s="27">
        <v>0</v>
      </c>
      <c r="M118" s="26" t="str">
        <f>IF(OR($I118="不记账",ROUND(N($G118),2)=0),"",IFERROR(INDEX(收入成本映射!$E$4:$E$34,MATCH($D118,收入成本映射!$B$4:$B$34,0)),""))</f>
        <v/>
      </c>
      <c r="N118" s="27" t="str">
        <f t="shared" si="11"/>
        <v/>
      </c>
      <c r="O118" s="27" t="str">
        <f t="shared" si="12"/>
        <v/>
      </c>
      <c r="P118" s="26" t="str">
        <f>IF($M118="","",IFERROR(INDEX(收入成本映射!$F$4:$F$34,MATCH($D118,收入成本映射!$B$4:$B$34,0)),""))</f>
        <v/>
      </c>
      <c r="Q118" s="27" t="str">
        <f t="shared" si="13"/>
        <v/>
      </c>
      <c r="R118" s="27" t="str">
        <f t="shared" si="14"/>
        <v/>
      </c>
      <c r="S118" s="26" t="str">
        <f t="shared" si="15"/>
        <v/>
      </c>
      <c r="T118" s="27" t="str">
        <f t="shared" si="16"/>
        <v/>
      </c>
      <c r="U118" s="27" t="str">
        <f t="shared" si="17"/>
        <v/>
      </c>
      <c r="V118" s="10" t="str">
        <f>IF($B118="","",IF($B118="01水果",IFERROR(INDEX(对接源_01水果!$H$5:$H$507,MATCH(ROW()-3,对接源_01水果!$Q$5:$Q$507,0)),""),IFERROR(INDEX(对接源_02物料!$H$5:$H$460,MATCH(ROW()-3-N(对接源_01水果!$T$1),对接源_02物料!$Q$5:$Q$460,0)),"")))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9" ht="18" customHeight="1" spans="1:22">
      <c r="A119" s="10">
        <v>116</v>
      </c>
      <c r="B119" s="26" t="str">
        <f>IF(ROW()-3&lt;=N(对接源_01水果!$T$1),"01水果",IF(ROW()-3&lt;=N(对接源_01水果!$T$1)+N(对接源_02物料!$T$1),"02物料",""))</f>
        <v/>
      </c>
      <c r="C119" s="125" t="str">
        <f>IF($B119="","",IF($B119="01水果",IFERROR(INDEX(对接源_01水果!$B$5:$B$507,MATCH(ROW()-3,对接源_01水果!$Q$5:$Q$507,0)),""),IFERROR(INDEX(对接源_02物料!$B$5:$B$460,MATCH(ROW()-3-N(对接源_01水果!$T$1),对接源_02物料!$Q$5:$Q$460,0)),"")))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9" s="26" t="str">
        <f>IF($B119="","",IF($B119="01水果",IFERROR(INDEX(对接源_01水果!$C$5:$C$507,MATCH(ROW()-3,对接源_01水果!$Q$5:$Q$507,0)),""),IFERROR(INDEX(对接源_02物料!$C$5:$C$460,MATCH(ROW()-3-N(对接源_01水果!$T$1),对接源_02物料!$Q$5:$Q$460,0)),"")))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9" s="126" t="str">
        <f>IF($B119="","",IF($B119="01水果",IFERROR(INDEX(对接源_01水果!$D$5:$D$507,MATCH(ROW()-3,对接源_01水果!$Q$5:$Q$507,0)),""),IFERROR(INDEX(对接源_02物料!$D$5:$D$460,MATCH(ROW()-3-N(对接源_01水果!$T$1),对接源_02物料!$Q$5:$Q$460,0)),"")))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9" s="26" t="str">
        <f>IF($B119="","",IF($B119="01水果",IFERROR(INDEX(对接源_01水果!$E$5:$E$507,MATCH(ROW()-3,对接源_01水果!$Q$5:$Q$507,0)),""),IFERROR(INDEX(对接源_02物料!$E$5:$E$460,MATCH(ROW()-3-N(对接源_01水果!$T$1),对接源_02物料!$Q$5:$Q$460,0)),"")))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9" s="27" t="str">
        <f>IF($B119="","",IF($B119="01水果",IFERROR(INDEX(对接源_01水果!$F$5:$F$507,MATCH(ROW()-3,对接源_01水果!$Q$5:$Q$507,0)),""),IFERROR(INDEX(对接源_02物料!$F$5:$F$460,MATCH(ROW()-3-N(对接源_01水果!$T$1),对接源_02物料!$Q$5:$Q$460,0)),"")))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9" s="27" t="str">
        <f>IF($B119="","",IF($B119="01水果",IFERROR(INDEX(对接源_01水果!$G$5:$G$507,MATCH(ROW()-3,对接源_01水果!$Q$5:$Q$507,0)),""),IFERROR(INDEX(对接源_02物料!$G$5:$G$460,MATCH(ROW()-3-N(对接源_01水果!$T$1),对接源_02物料!$Q$5:$Q$460,0)),"")))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9" s="26" t="str">
        <f>IFERROR(INDEX(收入成本映射!$C$4:$C$34,MATCH($D119,收入成本映射!$B$4:$B$34,0)),"不记账")</f>
        <v>不记账</v>
      </c>
      <c r="J119" s="26" t="str">
        <f t="shared" si="9"/>
        <v/>
      </c>
      <c r="K119" s="27">
        <f t="shared" si="10"/>
        <v>0</v>
      </c>
      <c r="L119" s="27">
        <v>0</v>
      </c>
      <c r="M119" s="26" t="str">
        <f>IF(OR($I119="不记账",ROUND(N($G119),2)=0),"",IFERROR(INDEX(收入成本映射!$E$4:$E$34,MATCH($D119,收入成本映射!$B$4:$B$34,0)),""))</f>
        <v/>
      </c>
      <c r="N119" s="27" t="str">
        <f t="shared" si="11"/>
        <v/>
      </c>
      <c r="O119" s="27" t="str">
        <f t="shared" si="12"/>
        <v/>
      </c>
      <c r="P119" s="26" t="str">
        <f>IF($M119="","",IFERROR(INDEX(收入成本映射!$F$4:$F$34,MATCH($D119,收入成本映射!$B$4:$B$34,0)),""))</f>
        <v/>
      </c>
      <c r="Q119" s="27" t="str">
        <f t="shared" si="13"/>
        <v/>
      </c>
      <c r="R119" s="27" t="str">
        <f t="shared" si="14"/>
        <v/>
      </c>
      <c r="S119" s="26" t="str">
        <f t="shared" si="15"/>
        <v/>
      </c>
      <c r="T119" s="27" t="str">
        <f t="shared" si="16"/>
        <v/>
      </c>
      <c r="U119" s="27" t="str">
        <f t="shared" si="17"/>
        <v/>
      </c>
      <c r="V119" s="10" t="str">
        <f>IF($B119="","",IF($B119="01水果",IFERROR(INDEX(对接源_01水果!$H$5:$H$507,MATCH(ROW()-3,对接源_01水果!$Q$5:$Q$507,0)),""),IFERROR(INDEX(对接源_02物料!$H$5:$H$460,MATCH(ROW()-3-N(对接源_01水果!$T$1),对接源_02物料!$Q$5:$Q$460,0)),"")))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0" ht="18" customHeight="1" spans="1:22">
      <c r="A120" s="10">
        <v>117</v>
      </c>
      <c r="B120" s="26" t="str">
        <f>IF(ROW()-3&lt;=N(对接源_01水果!$T$1),"01水果",IF(ROW()-3&lt;=N(对接源_01水果!$T$1)+N(对接源_02物料!$T$1),"02物料",""))</f>
        <v/>
      </c>
      <c r="C120" s="125" t="str">
        <f>IF($B120="","",IF($B120="01水果",IFERROR(INDEX(对接源_01水果!$B$5:$B$507,MATCH(ROW()-3,对接源_01水果!$Q$5:$Q$507,0)),""),IFERROR(INDEX(对接源_02物料!$B$5:$B$460,MATCH(ROW()-3-N(对接源_01水果!$T$1),对接源_02物料!$Q$5:$Q$460,0)),"")))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0" s="26" t="str">
        <f>IF($B120="","",IF($B120="01水果",IFERROR(INDEX(对接源_01水果!$C$5:$C$507,MATCH(ROW()-3,对接源_01水果!$Q$5:$Q$507,0)),""),IFERROR(INDEX(对接源_02物料!$C$5:$C$460,MATCH(ROW()-3-N(对接源_01水果!$T$1),对接源_02物料!$Q$5:$Q$460,0)),"")))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0" s="126" t="str">
        <f>IF($B120="","",IF($B120="01水果",IFERROR(INDEX(对接源_01水果!$D$5:$D$507,MATCH(ROW()-3,对接源_01水果!$Q$5:$Q$507,0)),""),IFERROR(INDEX(对接源_02物料!$D$5:$D$460,MATCH(ROW()-3-N(对接源_01水果!$T$1),对接源_02物料!$Q$5:$Q$460,0)),"")))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0" s="26" t="str">
        <f>IF($B120="","",IF($B120="01水果",IFERROR(INDEX(对接源_01水果!$E$5:$E$507,MATCH(ROW()-3,对接源_01水果!$Q$5:$Q$507,0)),""),IFERROR(INDEX(对接源_02物料!$E$5:$E$460,MATCH(ROW()-3-N(对接源_01水果!$T$1),对接源_02物料!$Q$5:$Q$460,0)),"")))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0" s="27" t="str">
        <f>IF($B120="","",IF($B120="01水果",IFERROR(INDEX(对接源_01水果!$F$5:$F$507,MATCH(ROW()-3,对接源_01水果!$Q$5:$Q$507,0)),""),IFERROR(INDEX(对接源_02物料!$F$5:$F$460,MATCH(ROW()-3-N(对接源_01水果!$T$1),对接源_02物料!$Q$5:$Q$460,0)),"")))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0" s="27" t="str">
        <f>IF($B120="","",IF($B120="01水果",IFERROR(INDEX(对接源_01水果!$G$5:$G$507,MATCH(ROW()-3,对接源_01水果!$Q$5:$Q$507,0)),""),IFERROR(INDEX(对接源_02物料!$G$5:$G$460,MATCH(ROW()-3-N(对接源_01水果!$T$1),对接源_02物料!$Q$5:$Q$460,0)),"")))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0" s="26" t="str">
        <f>IFERROR(INDEX(收入成本映射!$C$4:$C$34,MATCH($D120,收入成本映射!$B$4:$B$34,0)),"不记账")</f>
        <v>不记账</v>
      </c>
      <c r="J120" s="26" t="str">
        <f t="shared" si="9"/>
        <v/>
      </c>
      <c r="K120" s="27">
        <f t="shared" si="10"/>
        <v>0</v>
      </c>
      <c r="L120" s="27">
        <v>0</v>
      </c>
      <c r="M120" s="26" t="str">
        <f>IF(OR($I120="不记账",ROUND(N($G120),2)=0),"",IFERROR(INDEX(收入成本映射!$E$4:$E$34,MATCH($D120,收入成本映射!$B$4:$B$34,0)),""))</f>
        <v/>
      </c>
      <c r="N120" s="27" t="str">
        <f t="shared" si="11"/>
        <v/>
      </c>
      <c r="O120" s="27" t="str">
        <f t="shared" si="12"/>
        <v/>
      </c>
      <c r="P120" s="26" t="str">
        <f>IF($M120="","",IFERROR(INDEX(收入成本映射!$F$4:$F$34,MATCH($D120,收入成本映射!$B$4:$B$34,0)),""))</f>
        <v/>
      </c>
      <c r="Q120" s="27" t="str">
        <f t="shared" si="13"/>
        <v/>
      </c>
      <c r="R120" s="27" t="str">
        <f t="shared" si="14"/>
        <v/>
      </c>
      <c r="S120" s="26" t="str">
        <f t="shared" si="15"/>
        <v/>
      </c>
      <c r="T120" s="27" t="str">
        <f t="shared" si="16"/>
        <v/>
      </c>
      <c r="U120" s="27" t="str">
        <f t="shared" si="17"/>
        <v/>
      </c>
      <c r="V120" s="10" t="str">
        <f>IF($B120="","",IF($B120="01水果",IFERROR(INDEX(对接源_01水果!$H$5:$H$507,MATCH(ROW()-3,对接源_01水果!$Q$5:$Q$507,0)),""),IFERROR(INDEX(对接源_02物料!$H$5:$H$460,MATCH(ROW()-3-N(对接源_01水果!$T$1),对接源_02物料!$Q$5:$Q$460,0)),"")))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1" ht="18" customHeight="1" spans="1:22">
      <c r="A121" s="10">
        <v>118</v>
      </c>
      <c r="B121" s="26" t="str">
        <f>IF(ROW()-3&lt;=N(对接源_01水果!$T$1),"01水果",IF(ROW()-3&lt;=N(对接源_01水果!$T$1)+N(对接源_02物料!$T$1),"02物料",""))</f>
        <v/>
      </c>
      <c r="C121" s="125" t="str">
        <f>IF($B121="","",IF($B121="01水果",IFERROR(INDEX(对接源_01水果!$B$5:$B$507,MATCH(ROW()-3,对接源_01水果!$Q$5:$Q$507,0)),""),IFERROR(INDEX(对接源_02物料!$B$5:$B$460,MATCH(ROW()-3-N(对接源_01水果!$T$1),对接源_02物料!$Q$5:$Q$460,0)),"")))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1" s="26" t="str">
        <f>IF($B121="","",IF($B121="01水果",IFERROR(INDEX(对接源_01水果!$C$5:$C$507,MATCH(ROW()-3,对接源_01水果!$Q$5:$Q$507,0)),""),IFERROR(INDEX(对接源_02物料!$C$5:$C$460,MATCH(ROW()-3-N(对接源_01水果!$T$1),对接源_02物料!$Q$5:$Q$460,0)),"")))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1" s="126" t="str">
        <f>IF($B121="","",IF($B121="01水果",IFERROR(INDEX(对接源_01水果!$D$5:$D$507,MATCH(ROW()-3,对接源_01水果!$Q$5:$Q$507,0)),""),IFERROR(INDEX(对接源_02物料!$D$5:$D$460,MATCH(ROW()-3-N(对接源_01水果!$T$1),对接源_02物料!$Q$5:$Q$460,0)),"")))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1" s="26" t="str">
        <f>IF($B121="","",IF($B121="01水果",IFERROR(INDEX(对接源_01水果!$E$5:$E$507,MATCH(ROW()-3,对接源_01水果!$Q$5:$Q$507,0)),""),IFERROR(INDEX(对接源_02物料!$E$5:$E$460,MATCH(ROW()-3-N(对接源_01水果!$T$1),对接源_02物料!$Q$5:$Q$460,0)),"")))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1" s="27" t="str">
        <f>IF($B121="","",IF($B121="01水果",IFERROR(INDEX(对接源_01水果!$F$5:$F$507,MATCH(ROW()-3,对接源_01水果!$Q$5:$Q$507,0)),""),IFERROR(INDEX(对接源_02物料!$F$5:$F$460,MATCH(ROW()-3-N(对接源_01水果!$T$1),对接源_02物料!$Q$5:$Q$460,0)),"")))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1" s="27" t="str">
        <f>IF($B121="","",IF($B121="01水果",IFERROR(INDEX(对接源_01水果!$G$5:$G$507,MATCH(ROW()-3,对接源_01水果!$Q$5:$Q$507,0)),""),IFERROR(INDEX(对接源_02物料!$G$5:$G$460,MATCH(ROW()-3-N(对接源_01水果!$T$1),对接源_02物料!$Q$5:$Q$460,0)),"")))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1" s="26" t="str">
        <f>IFERROR(INDEX(收入成本映射!$C$4:$C$34,MATCH($D121,收入成本映射!$B$4:$B$34,0)),"不记账")</f>
        <v>不记账</v>
      </c>
      <c r="J121" s="26" t="str">
        <f t="shared" si="9"/>
        <v/>
      </c>
      <c r="K121" s="27">
        <f t="shared" si="10"/>
        <v>0</v>
      </c>
      <c r="L121" s="27">
        <v>0</v>
      </c>
      <c r="M121" s="26" t="str">
        <f>IF(OR($I121="不记账",ROUND(N($G121),2)=0),"",IFERROR(INDEX(收入成本映射!$E$4:$E$34,MATCH($D121,收入成本映射!$B$4:$B$34,0)),""))</f>
        <v/>
      </c>
      <c r="N121" s="27" t="str">
        <f t="shared" si="11"/>
        <v/>
      </c>
      <c r="O121" s="27" t="str">
        <f t="shared" si="12"/>
        <v/>
      </c>
      <c r="P121" s="26" t="str">
        <f>IF($M121="","",IFERROR(INDEX(收入成本映射!$F$4:$F$34,MATCH($D121,收入成本映射!$B$4:$B$34,0)),""))</f>
        <v/>
      </c>
      <c r="Q121" s="27" t="str">
        <f t="shared" si="13"/>
        <v/>
      </c>
      <c r="R121" s="27" t="str">
        <f t="shared" si="14"/>
        <v/>
      </c>
      <c r="S121" s="26" t="str">
        <f t="shared" si="15"/>
        <v/>
      </c>
      <c r="T121" s="27" t="str">
        <f t="shared" si="16"/>
        <v/>
      </c>
      <c r="U121" s="27" t="str">
        <f t="shared" si="17"/>
        <v/>
      </c>
      <c r="V121" s="10" t="str">
        <f>IF($B121="","",IF($B121="01水果",IFERROR(INDEX(对接源_01水果!$H$5:$H$507,MATCH(ROW()-3,对接源_01水果!$Q$5:$Q$507,0)),""),IFERROR(INDEX(对接源_02物料!$H$5:$H$460,MATCH(ROW()-3-N(对接源_01水果!$T$1),对接源_02物料!$Q$5:$Q$460,0)),"")))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2" ht="18" customHeight="1" spans="1:22">
      <c r="A122" s="10">
        <v>119</v>
      </c>
      <c r="B122" s="26" t="str">
        <f>IF(ROW()-3&lt;=N(对接源_01水果!$T$1),"01水果",IF(ROW()-3&lt;=N(对接源_01水果!$T$1)+N(对接源_02物料!$T$1),"02物料",""))</f>
        <v/>
      </c>
      <c r="C122" s="125" t="str">
        <f>IF($B122="","",IF($B122="01水果",IFERROR(INDEX(对接源_01水果!$B$5:$B$507,MATCH(ROW()-3,对接源_01水果!$Q$5:$Q$507,0)),""),IFERROR(INDEX(对接源_02物料!$B$5:$B$460,MATCH(ROW()-3-N(对接源_01水果!$T$1),对接源_02物料!$Q$5:$Q$460,0)),"")))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2" s="26" t="str">
        <f>IF($B122="","",IF($B122="01水果",IFERROR(INDEX(对接源_01水果!$C$5:$C$507,MATCH(ROW()-3,对接源_01水果!$Q$5:$Q$507,0)),""),IFERROR(INDEX(对接源_02物料!$C$5:$C$460,MATCH(ROW()-3-N(对接源_01水果!$T$1),对接源_02物料!$Q$5:$Q$460,0)),"")))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2" s="126" t="str">
        <f>IF($B122="","",IF($B122="01水果",IFERROR(INDEX(对接源_01水果!$D$5:$D$507,MATCH(ROW()-3,对接源_01水果!$Q$5:$Q$507,0)),""),IFERROR(INDEX(对接源_02物料!$D$5:$D$460,MATCH(ROW()-3-N(对接源_01水果!$T$1),对接源_02物料!$Q$5:$Q$460,0)),"")))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2" s="26" t="str">
        <f>IF($B122="","",IF($B122="01水果",IFERROR(INDEX(对接源_01水果!$E$5:$E$507,MATCH(ROW()-3,对接源_01水果!$Q$5:$Q$507,0)),""),IFERROR(INDEX(对接源_02物料!$E$5:$E$460,MATCH(ROW()-3-N(对接源_01水果!$T$1),对接源_02物料!$Q$5:$Q$460,0)),"")))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2" s="27" t="str">
        <f>IF($B122="","",IF($B122="01水果",IFERROR(INDEX(对接源_01水果!$F$5:$F$507,MATCH(ROW()-3,对接源_01水果!$Q$5:$Q$507,0)),""),IFERROR(INDEX(对接源_02物料!$F$5:$F$460,MATCH(ROW()-3-N(对接源_01水果!$T$1),对接源_02物料!$Q$5:$Q$460,0)),"")))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2" s="27" t="str">
        <f>IF($B122="","",IF($B122="01水果",IFERROR(INDEX(对接源_01水果!$G$5:$G$507,MATCH(ROW()-3,对接源_01水果!$Q$5:$Q$507,0)),""),IFERROR(INDEX(对接源_02物料!$G$5:$G$460,MATCH(ROW()-3-N(对接源_01水果!$T$1),对接源_02物料!$Q$5:$Q$460,0)),"")))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2" s="26" t="str">
        <f>IFERROR(INDEX(收入成本映射!$C$4:$C$34,MATCH($D122,收入成本映射!$B$4:$B$34,0)),"不记账")</f>
        <v>不记账</v>
      </c>
      <c r="J122" s="26" t="str">
        <f t="shared" si="9"/>
        <v/>
      </c>
      <c r="K122" s="27">
        <f t="shared" si="10"/>
        <v>0</v>
      </c>
      <c r="L122" s="27">
        <v>0</v>
      </c>
      <c r="M122" s="26" t="str">
        <f>IF(OR($I122="不记账",ROUND(N($G122),2)=0),"",IFERROR(INDEX(收入成本映射!$E$4:$E$34,MATCH($D122,收入成本映射!$B$4:$B$34,0)),""))</f>
        <v/>
      </c>
      <c r="N122" s="27" t="str">
        <f t="shared" si="11"/>
        <v/>
      </c>
      <c r="O122" s="27" t="str">
        <f t="shared" si="12"/>
        <v/>
      </c>
      <c r="P122" s="26" t="str">
        <f>IF($M122="","",IFERROR(INDEX(收入成本映射!$F$4:$F$34,MATCH($D122,收入成本映射!$B$4:$B$34,0)),""))</f>
        <v/>
      </c>
      <c r="Q122" s="27" t="str">
        <f t="shared" si="13"/>
        <v/>
      </c>
      <c r="R122" s="27" t="str">
        <f t="shared" si="14"/>
        <v/>
      </c>
      <c r="S122" s="26" t="str">
        <f t="shared" si="15"/>
        <v/>
      </c>
      <c r="T122" s="27" t="str">
        <f t="shared" si="16"/>
        <v/>
      </c>
      <c r="U122" s="27" t="str">
        <f t="shared" si="17"/>
        <v/>
      </c>
      <c r="V122" s="10" t="str">
        <f>IF($B122="","",IF($B122="01水果",IFERROR(INDEX(对接源_01水果!$H$5:$H$507,MATCH(ROW()-3,对接源_01水果!$Q$5:$Q$507,0)),""),IFERROR(INDEX(对接源_02物料!$H$5:$H$460,MATCH(ROW()-3-N(对接源_01水果!$T$1),对接源_02物料!$Q$5:$Q$460,0)),"")))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3" ht="18" customHeight="1" spans="1:22">
      <c r="A123" s="10">
        <v>120</v>
      </c>
      <c r="B123" s="26" t="str">
        <f>IF(ROW()-3&lt;=N(对接源_01水果!$T$1),"01水果",IF(ROW()-3&lt;=N(对接源_01水果!$T$1)+N(对接源_02物料!$T$1),"02物料",""))</f>
        <v/>
      </c>
      <c r="C123" s="125" t="str">
        <f>IF($B123="","",IF($B123="01水果",IFERROR(INDEX(对接源_01水果!$B$5:$B$507,MATCH(ROW()-3,对接源_01水果!$Q$5:$Q$507,0)),""),IFERROR(INDEX(对接源_02物料!$B$5:$B$460,MATCH(ROW()-3-N(对接源_01水果!$T$1),对接源_02物料!$Q$5:$Q$460,0)),"")))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3" s="26" t="str">
        <f>IF($B123="","",IF($B123="01水果",IFERROR(INDEX(对接源_01水果!$C$5:$C$507,MATCH(ROW()-3,对接源_01水果!$Q$5:$Q$507,0)),""),IFERROR(INDEX(对接源_02物料!$C$5:$C$460,MATCH(ROW()-3-N(对接源_01水果!$T$1),对接源_02物料!$Q$5:$Q$460,0)),"")))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3" s="126" t="str">
        <f>IF($B123="","",IF($B123="01水果",IFERROR(INDEX(对接源_01水果!$D$5:$D$507,MATCH(ROW()-3,对接源_01水果!$Q$5:$Q$507,0)),""),IFERROR(INDEX(对接源_02物料!$D$5:$D$460,MATCH(ROW()-3-N(对接源_01水果!$T$1),对接源_02物料!$Q$5:$Q$460,0)),"")))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3" s="26" t="str">
        <f>IF($B123="","",IF($B123="01水果",IFERROR(INDEX(对接源_01水果!$E$5:$E$507,MATCH(ROW()-3,对接源_01水果!$Q$5:$Q$507,0)),""),IFERROR(INDEX(对接源_02物料!$E$5:$E$460,MATCH(ROW()-3-N(对接源_01水果!$T$1),对接源_02物料!$Q$5:$Q$460,0)),"")))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3" s="27" t="str">
        <f>IF($B123="","",IF($B123="01水果",IFERROR(INDEX(对接源_01水果!$F$5:$F$507,MATCH(ROW()-3,对接源_01水果!$Q$5:$Q$507,0)),""),IFERROR(INDEX(对接源_02物料!$F$5:$F$460,MATCH(ROW()-3-N(对接源_01水果!$T$1),对接源_02物料!$Q$5:$Q$460,0)),"")))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3" s="27" t="str">
        <f>IF($B123="","",IF($B123="01水果",IFERROR(INDEX(对接源_01水果!$G$5:$G$507,MATCH(ROW()-3,对接源_01水果!$Q$5:$Q$507,0)),""),IFERROR(INDEX(对接源_02物料!$G$5:$G$460,MATCH(ROW()-3-N(对接源_01水果!$T$1),对接源_02物料!$Q$5:$Q$460,0)),"")))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3" s="26" t="str">
        <f>IFERROR(INDEX(收入成本映射!$C$4:$C$34,MATCH($D123,收入成本映射!$B$4:$B$34,0)),"不记账")</f>
        <v>不记账</v>
      </c>
      <c r="J123" s="26" t="str">
        <f t="shared" si="9"/>
        <v/>
      </c>
      <c r="K123" s="27">
        <f t="shared" si="10"/>
        <v>0</v>
      </c>
      <c r="L123" s="27">
        <v>0</v>
      </c>
      <c r="M123" s="26" t="str">
        <f>IF(OR($I123="不记账",ROUND(N($G123),2)=0),"",IFERROR(INDEX(收入成本映射!$E$4:$E$34,MATCH($D123,收入成本映射!$B$4:$B$34,0)),""))</f>
        <v/>
      </c>
      <c r="N123" s="27" t="str">
        <f t="shared" si="11"/>
        <v/>
      </c>
      <c r="O123" s="27" t="str">
        <f t="shared" si="12"/>
        <v/>
      </c>
      <c r="P123" s="26" t="str">
        <f>IF($M123="","",IFERROR(INDEX(收入成本映射!$F$4:$F$34,MATCH($D123,收入成本映射!$B$4:$B$34,0)),""))</f>
        <v/>
      </c>
      <c r="Q123" s="27" t="str">
        <f t="shared" si="13"/>
        <v/>
      </c>
      <c r="R123" s="27" t="str">
        <f t="shared" si="14"/>
        <v/>
      </c>
      <c r="S123" s="26" t="str">
        <f t="shared" si="15"/>
        <v/>
      </c>
      <c r="T123" s="27" t="str">
        <f t="shared" si="16"/>
        <v/>
      </c>
      <c r="U123" s="27" t="str">
        <f t="shared" si="17"/>
        <v/>
      </c>
      <c r="V123" s="10" t="str">
        <f>IF($B123="","",IF($B123="01水果",IFERROR(INDEX(对接源_01水果!$H$5:$H$507,MATCH(ROW()-3,对接源_01水果!$Q$5:$Q$507,0)),""),IFERROR(INDEX(对接源_02物料!$H$5:$H$460,MATCH(ROW()-3-N(对接源_01水果!$T$1),对接源_02物料!$Q$5:$Q$460,0)),"")))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4" ht="18" customHeight="1" spans="1:22">
      <c r="A124" s="10">
        <v>121</v>
      </c>
      <c r="B124" s="26" t="str">
        <f>IF(ROW()-3&lt;=N(对接源_01水果!$T$1),"01水果",IF(ROW()-3&lt;=N(对接源_01水果!$T$1)+N(对接源_02物料!$T$1),"02物料",""))</f>
        <v/>
      </c>
      <c r="C124" s="125" t="str">
        <f>IF($B124="","",IF($B124="01水果",IFERROR(INDEX(对接源_01水果!$B$5:$B$507,MATCH(ROW()-3,对接源_01水果!$Q$5:$Q$507,0)),""),IFERROR(INDEX(对接源_02物料!$B$5:$B$460,MATCH(ROW()-3-N(对接源_01水果!$T$1),对接源_02物料!$Q$5:$Q$460,0)),"")))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4" s="26" t="str">
        <f>IF($B124="","",IF($B124="01水果",IFERROR(INDEX(对接源_01水果!$C$5:$C$507,MATCH(ROW()-3,对接源_01水果!$Q$5:$Q$507,0)),""),IFERROR(INDEX(对接源_02物料!$C$5:$C$460,MATCH(ROW()-3-N(对接源_01水果!$T$1),对接源_02物料!$Q$5:$Q$460,0)),"")))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4" s="126" t="str">
        <f>IF($B124="","",IF($B124="01水果",IFERROR(INDEX(对接源_01水果!$D$5:$D$507,MATCH(ROW()-3,对接源_01水果!$Q$5:$Q$507,0)),""),IFERROR(INDEX(对接源_02物料!$D$5:$D$460,MATCH(ROW()-3-N(对接源_01水果!$T$1),对接源_02物料!$Q$5:$Q$460,0)),"")))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4" s="26" t="str">
        <f>IF($B124="","",IF($B124="01水果",IFERROR(INDEX(对接源_01水果!$E$5:$E$507,MATCH(ROW()-3,对接源_01水果!$Q$5:$Q$507,0)),""),IFERROR(INDEX(对接源_02物料!$E$5:$E$460,MATCH(ROW()-3-N(对接源_01水果!$T$1),对接源_02物料!$Q$5:$Q$460,0)),"")))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4" s="27" t="str">
        <f>IF($B124="","",IF($B124="01水果",IFERROR(INDEX(对接源_01水果!$F$5:$F$507,MATCH(ROW()-3,对接源_01水果!$Q$5:$Q$507,0)),""),IFERROR(INDEX(对接源_02物料!$F$5:$F$460,MATCH(ROW()-3-N(对接源_01水果!$T$1),对接源_02物料!$Q$5:$Q$460,0)),"")))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4" s="27" t="str">
        <f>IF($B124="","",IF($B124="01水果",IFERROR(INDEX(对接源_01水果!$G$5:$G$507,MATCH(ROW()-3,对接源_01水果!$Q$5:$Q$507,0)),""),IFERROR(INDEX(对接源_02物料!$G$5:$G$460,MATCH(ROW()-3-N(对接源_01水果!$T$1),对接源_02物料!$Q$5:$Q$460,0)),"")))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4" s="26" t="str">
        <f>IFERROR(INDEX(收入成本映射!$C$4:$C$34,MATCH($D124,收入成本映射!$B$4:$B$34,0)),"不记账")</f>
        <v>不记账</v>
      </c>
      <c r="J124" s="26" t="str">
        <f t="shared" si="9"/>
        <v/>
      </c>
      <c r="K124" s="27">
        <f t="shared" si="10"/>
        <v>0</v>
      </c>
      <c r="L124" s="27">
        <v>0</v>
      </c>
      <c r="M124" s="26" t="str">
        <f>IF(OR($I124="不记账",ROUND(N($G124),2)=0),"",IFERROR(INDEX(收入成本映射!$E$4:$E$34,MATCH($D124,收入成本映射!$B$4:$B$34,0)),""))</f>
        <v/>
      </c>
      <c r="N124" s="27" t="str">
        <f t="shared" si="11"/>
        <v/>
      </c>
      <c r="O124" s="27" t="str">
        <f t="shared" si="12"/>
        <v/>
      </c>
      <c r="P124" s="26" t="str">
        <f>IF($M124="","",IFERROR(INDEX(收入成本映射!$F$4:$F$34,MATCH($D124,收入成本映射!$B$4:$B$34,0)),""))</f>
        <v/>
      </c>
      <c r="Q124" s="27" t="str">
        <f t="shared" si="13"/>
        <v/>
      </c>
      <c r="R124" s="27" t="str">
        <f t="shared" si="14"/>
        <v/>
      </c>
      <c r="S124" s="26" t="str">
        <f t="shared" si="15"/>
        <v/>
      </c>
      <c r="T124" s="27" t="str">
        <f t="shared" si="16"/>
        <v/>
      </c>
      <c r="U124" s="27" t="str">
        <f t="shared" si="17"/>
        <v/>
      </c>
      <c r="V124" s="10" t="str">
        <f>IF($B124="","",IF($B124="01水果",IFERROR(INDEX(对接源_01水果!$H$5:$H$507,MATCH(ROW()-3,对接源_01水果!$Q$5:$Q$507,0)),""),IFERROR(INDEX(对接源_02物料!$H$5:$H$460,MATCH(ROW()-3-N(对接源_01水果!$T$1),对接源_02物料!$Q$5:$Q$460,0)),"")))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5" ht="18" customHeight="1" spans="1:22">
      <c r="A125" s="10">
        <v>122</v>
      </c>
      <c r="B125" s="26" t="str">
        <f>IF(ROW()-3&lt;=N(对接源_01水果!$T$1),"01水果",IF(ROW()-3&lt;=N(对接源_01水果!$T$1)+N(对接源_02物料!$T$1),"02物料",""))</f>
        <v/>
      </c>
      <c r="C125" s="125" t="str">
        <f>IF($B125="","",IF($B125="01水果",IFERROR(INDEX(对接源_01水果!$B$5:$B$507,MATCH(ROW()-3,对接源_01水果!$Q$5:$Q$507,0)),""),IFERROR(INDEX(对接源_02物料!$B$5:$B$460,MATCH(ROW()-3-N(对接源_01水果!$T$1),对接源_02物料!$Q$5:$Q$460,0)),"")))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5" s="26" t="str">
        <f>IF($B125="","",IF($B125="01水果",IFERROR(INDEX(对接源_01水果!$C$5:$C$507,MATCH(ROW()-3,对接源_01水果!$Q$5:$Q$507,0)),""),IFERROR(INDEX(对接源_02物料!$C$5:$C$460,MATCH(ROW()-3-N(对接源_01水果!$T$1),对接源_02物料!$Q$5:$Q$460,0)),"")))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5" s="126" t="str">
        <f>IF($B125="","",IF($B125="01水果",IFERROR(INDEX(对接源_01水果!$D$5:$D$507,MATCH(ROW()-3,对接源_01水果!$Q$5:$Q$507,0)),""),IFERROR(INDEX(对接源_02物料!$D$5:$D$460,MATCH(ROW()-3-N(对接源_01水果!$T$1),对接源_02物料!$Q$5:$Q$460,0)),"")))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5" s="26" t="str">
        <f>IF($B125="","",IF($B125="01水果",IFERROR(INDEX(对接源_01水果!$E$5:$E$507,MATCH(ROW()-3,对接源_01水果!$Q$5:$Q$507,0)),""),IFERROR(INDEX(对接源_02物料!$E$5:$E$460,MATCH(ROW()-3-N(对接源_01水果!$T$1),对接源_02物料!$Q$5:$Q$460,0)),"")))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5" s="27" t="str">
        <f>IF($B125="","",IF($B125="01水果",IFERROR(INDEX(对接源_01水果!$F$5:$F$507,MATCH(ROW()-3,对接源_01水果!$Q$5:$Q$507,0)),""),IFERROR(INDEX(对接源_02物料!$F$5:$F$460,MATCH(ROW()-3-N(对接源_01水果!$T$1),对接源_02物料!$Q$5:$Q$460,0)),"")))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5" s="27" t="str">
        <f>IF($B125="","",IF($B125="01水果",IFERROR(INDEX(对接源_01水果!$G$5:$G$507,MATCH(ROW()-3,对接源_01水果!$Q$5:$Q$507,0)),""),IFERROR(INDEX(对接源_02物料!$G$5:$G$460,MATCH(ROW()-3-N(对接源_01水果!$T$1),对接源_02物料!$Q$5:$Q$460,0)),"")))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5" s="26" t="str">
        <f>IFERROR(INDEX(收入成本映射!$C$4:$C$34,MATCH($D125,收入成本映射!$B$4:$B$34,0)),"不记账")</f>
        <v>不记账</v>
      </c>
      <c r="J125" s="26" t="str">
        <f t="shared" si="9"/>
        <v/>
      </c>
      <c r="K125" s="27">
        <f t="shared" si="10"/>
        <v>0</v>
      </c>
      <c r="L125" s="27">
        <v>0</v>
      </c>
      <c r="M125" s="26" t="str">
        <f>IF(OR($I125="不记账",ROUND(N($G125),2)=0),"",IFERROR(INDEX(收入成本映射!$E$4:$E$34,MATCH($D125,收入成本映射!$B$4:$B$34,0)),""))</f>
        <v/>
      </c>
      <c r="N125" s="27" t="str">
        <f t="shared" si="11"/>
        <v/>
      </c>
      <c r="O125" s="27" t="str">
        <f t="shared" si="12"/>
        <v/>
      </c>
      <c r="P125" s="26" t="str">
        <f>IF($M125="","",IFERROR(INDEX(收入成本映射!$F$4:$F$34,MATCH($D125,收入成本映射!$B$4:$B$34,0)),""))</f>
        <v/>
      </c>
      <c r="Q125" s="27" t="str">
        <f t="shared" si="13"/>
        <v/>
      </c>
      <c r="R125" s="27" t="str">
        <f t="shared" si="14"/>
        <v/>
      </c>
      <c r="S125" s="26" t="str">
        <f t="shared" si="15"/>
        <v/>
      </c>
      <c r="T125" s="27" t="str">
        <f t="shared" si="16"/>
        <v/>
      </c>
      <c r="U125" s="27" t="str">
        <f t="shared" si="17"/>
        <v/>
      </c>
      <c r="V125" s="10" t="str">
        <f>IF($B125="","",IF($B125="01水果",IFERROR(INDEX(对接源_01水果!$H$5:$H$507,MATCH(ROW()-3,对接源_01水果!$Q$5:$Q$507,0)),""),IFERROR(INDEX(对接源_02物料!$H$5:$H$460,MATCH(ROW()-3-N(对接源_01水果!$T$1),对接源_02物料!$Q$5:$Q$460,0)),"")))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6" ht="18" customHeight="1" spans="1:22">
      <c r="A126" s="10">
        <v>123</v>
      </c>
      <c r="B126" s="26" t="str">
        <f>IF(ROW()-3&lt;=N(对接源_01水果!$T$1),"01水果",IF(ROW()-3&lt;=N(对接源_01水果!$T$1)+N(对接源_02物料!$T$1),"02物料",""))</f>
        <v/>
      </c>
      <c r="C126" s="125" t="str">
        <f>IF($B126="","",IF($B126="01水果",IFERROR(INDEX(对接源_01水果!$B$5:$B$507,MATCH(ROW()-3,对接源_01水果!$Q$5:$Q$507,0)),""),IFERROR(INDEX(对接源_02物料!$B$5:$B$460,MATCH(ROW()-3-N(对接源_01水果!$T$1),对接源_02物料!$Q$5:$Q$460,0)),"")))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6" s="26" t="str">
        <f>IF($B126="","",IF($B126="01水果",IFERROR(INDEX(对接源_01水果!$C$5:$C$507,MATCH(ROW()-3,对接源_01水果!$Q$5:$Q$507,0)),""),IFERROR(INDEX(对接源_02物料!$C$5:$C$460,MATCH(ROW()-3-N(对接源_01水果!$T$1),对接源_02物料!$Q$5:$Q$460,0)),"")))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6" s="126" t="str">
        <f>IF($B126="","",IF($B126="01水果",IFERROR(INDEX(对接源_01水果!$D$5:$D$507,MATCH(ROW()-3,对接源_01水果!$Q$5:$Q$507,0)),""),IFERROR(INDEX(对接源_02物料!$D$5:$D$460,MATCH(ROW()-3-N(对接源_01水果!$T$1),对接源_02物料!$Q$5:$Q$460,0)),"")))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6" s="26" t="str">
        <f>IF($B126="","",IF($B126="01水果",IFERROR(INDEX(对接源_01水果!$E$5:$E$507,MATCH(ROW()-3,对接源_01水果!$Q$5:$Q$507,0)),""),IFERROR(INDEX(对接源_02物料!$E$5:$E$460,MATCH(ROW()-3-N(对接源_01水果!$T$1),对接源_02物料!$Q$5:$Q$460,0)),"")))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6" s="27" t="str">
        <f>IF($B126="","",IF($B126="01水果",IFERROR(INDEX(对接源_01水果!$F$5:$F$507,MATCH(ROW()-3,对接源_01水果!$Q$5:$Q$507,0)),""),IFERROR(INDEX(对接源_02物料!$F$5:$F$460,MATCH(ROW()-3-N(对接源_01水果!$T$1),对接源_02物料!$Q$5:$Q$460,0)),"")))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6" s="27" t="str">
        <f>IF($B126="","",IF($B126="01水果",IFERROR(INDEX(对接源_01水果!$G$5:$G$507,MATCH(ROW()-3,对接源_01水果!$Q$5:$Q$507,0)),""),IFERROR(INDEX(对接源_02物料!$G$5:$G$460,MATCH(ROW()-3-N(对接源_01水果!$T$1),对接源_02物料!$Q$5:$Q$460,0)),"")))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6" s="26" t="str">
        <f>IFERROR(INDEX(收入成本映射!$C$4:$C$34,MATCH($D126,收入成本映射!$B$4:$B$34,0)),"不记账")</f>
        <v>不记账</v>
      </c>
      <c r="J126" s="26" t="str">
        <f t="shared" si="9"/>
        <v/>
      </c>
      <c r="K126" s="27">
        <f t="shared" si="10"/>
        <v>0</v>
      </c>
      <c r="L126" s="27">
        <v>0</v>
      </c>
      <c r="M126" s="26" t="str">
        <f>IF(OR($I126="不记账",ROUND(N($G126),2)=0),"",IFERROR(INDEX(收入成本映射!$E$4:$E$34,MATCH($D126,收入成本映射!$B$4:$B$34,0)),""))</f>
        <v/>
      </c>
      <c r="N126" s="27" t="str">
        <f t="shared" si="11"/>
        <v/>
      </c>
      <c r="O126" s="27" t="str">
        <f t="shared" si="12"/>
        <v/>
      </c>
      <c r="P126" s="26" t="str">
        <f>IF($M126="","",IFERROR(INDEX(收入成本映射!$F$4:$F$34,MATCH($D126,收入成本映射!$B$4:$B$34,0)),""))</f>
        <v/>
      </c>
      <c r="Q126" s="27" t="str">
        <f t="shared" si="13"/>
        <v/>
      </c>
      <c r="R126" s="27" t="str">
        <f t="shared" si="14"/>
        <v/>
      </c>
      <c r="S126" s="26" t="str">
        <f t="shared" si="15"/>
        <v/>
      </c>
      <c r="T126" s="27" t="str">
        <f t="shared" si="16"/>
        <v/>
      </c>
      <c r="U126" s="27" t="str">
        <f t="shared" si="17"/>
        <v/>
      </c>
      <c r="V126" s="10" t="str">
        <f>IF($B126="","",IF($B126="01水果",IFERROR(INDEX(对接源_01水果!$H$5:$H$507,MATCH(ROW()-3,对接源_01水果!$Q$5:$Q$507,0)),""),IFERROR(INDEX(对接源_02物料!$H$5:$H$460,MATCH(ROW()-3-N(对接源_01水果!$T$1),对接源_02物料!$Q$5:$Q$460,0)),"")))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7" ht="18" customHeight="1" spans="1:22">
      <c r="A127" s="10">
        <v>124</v>
      </c>
      <c r="B127" s="26" t="str">
        <f>IF(ROW()-3&lt;=N(对接源_01水果!$T$1),"01水果",IF(ROW()-3&lt;=N(对接源_01水果!$T$1)+N(对接源_02物料!$T$1),"02物料",""))</f>
        <v/>
      </c>
      <c r="C127" s="125" t="str">
        <f>IF($B127="","",IF($B127="01水果",IFERROR(INDEX(对接源_01水果!$B$5:$B$507,MATCH(ROW()-3,对接源_01水果!$Q$5:$Q$507,0)),""),IFERROR(INDEX(对接源_02物料!$B$5:$B$460,MATCH(ROW()-3-N(对接源_01水果!$T$1),对接源_02物料!$Q$5:$Q$460,0)),"")))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7" s="26" t="str">
        <f>IF($B127="","",IF($B127="01水果",IFERROR(INDEX(对接源_01水果!$C$5:$C$507,MATCH(ROW()-3,对接源_01水果!$Q$5:$Q$507,0)),""),IFERROR(INDEX(对接源_02物料!$C$5:$C$460,MATCH(ROW()-3-N(对接源_01水果!$T$1),对接源_02物料!$Q$5:$Q$460,0)),"")))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7" s="126" t="str">
        <f>IF($B127="","",IF($B127="01水果",IFERROR(INDEX(对接源_01水果!$D$5:$D$507,MATCH(ROW()-3,对接源_01水果!$Q$5:$Q$507,0)),""),IFERROR(INDEX(对接源_02物料!$D$5:$D$460,MATCH(ROW()-3-N(对接源_01水果!$T$1),对接源_02物料!$Q$5:$Q$460,0)),"")))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7" s="26" t="str">
        <f>IF($B127="","",IF($B127="01水果",IFERROR(INDEX(对接源_01水果!$E$5:$E$507,MATCH(ROW()-3,对接源_01水果!$Q$5:$Q$507,0)),""),IFERROR(INDEX(对接源_02物料!$E$5:$E$460,MATCH(ROW()-3-N(对接源_01水果!$T$1),对接源_02物料!$Q$5:$Q$460,0)),"")))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7" s="27" t="str">
        <f>IF($B127="","",IF($B127="01水果",IFERROR(INDEX(对接源_01水果!$F$5:$F$507,MATCH(ROW()-3,对接源_01水果!$Q$5:$Q$507,0)),""),IFERROR(INDEX(对接源_02物料!$F$5:$F$460,MATCH(ROW()-3-N(对接源_01水果!$T$1),对接源_02物料!$Q$5:$Q$460,0)),"")))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7" s="27" t="str">
        <f>IF($B127="","",IF($B127="01水果",IFERROR(INDEX(对接源_01水果!$G$5:$G$507,MATCH(ROW()-3,对接源_01水果!$Q$5:$Q$507,0)),""),IFERROR(INDEX(对接源_02物料!$G$5:$G$460,MATCH(ROW()-3-N(对接源_01水果!$T$1),对接源_02物料!$Q$5:$Q$460,0)),"")))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7" s="26" t="str">
        <f>IFERROR(INDEX(收入成本映射!$C$4:$C$34,MATCH($D127,收入成本映射!$B$4:$B$34,0)),"不记账")</f>
        <v>不记账</v>
      </c>
      <c r="J127" s="26" t="str">
        <f t="shared" si="9"/>
        <v/>
      </c>
      <c r="K127" s="27">
        <f t="shared" si="10"/>
        <v>0</v>
      </c>
      <c r="L127" s="27">
        <v>0</v>
      </c>
      <c r="M127" s="26" t="str">
        <f>IF(OR($I127="不记账",ROUND(N($G127),2)=0),"",IFERROR(INDEX(收入成本映射!$E$4:$E$34,MATCH($D127,收入成本映射!$B$4:$B$34,0)),""))</f>
        <v/>
      </c>
      <c r="N127" s="27" t="str">
        <f t="shared" si="11"/>
        <v/>
      </c>
      <c r="O127" s="27" t="str">
        <f t="shared" si="12"/>
        <v/>
      </c>
      <c r="P127" s="26" t="str">
        <f>IF($M127="","",IFERROR(INDEX(收入成本映射!$F$4:$F$34,MATCH($D127,收入成本映射!$B$4:$B$34,0)),""))</f>
        <v/>
      </c>
      <c r="Q127" s="27" t="str">
        <f t="shared" si="13"/>
        <v/>
      </c>
      <c r="R127" s="27" t="str">
        <f t="shared" si="14"/>
        <v/>
      </c>
      <c r="S127" s="26" t="str">
        <f t="shared" si="15"/>
        <v/>
      </c>
      <c r="T127" s="27" t="str">
        <f t="shared" si="16"/>
        <v/>
      </c>
      <c r="U127" s="27" t="str">
        <f t="shared" si="17"/>
        <v/>
      </c>
      <c r="V127" s="10" t="str">
        <f>IF($B127="","",IF($B127="01水果",IFERROR(INDEX(对接源_01水果!$H$5:$H$507,MATCH(ROW()-3,对接源_01水果!$Q$5:$Q$507,0)),""),IFERROR(INDEX(对接源_02物料!$H$5:$H$460,MATCH(ROW()-3-N(对接源_01水果!$T$1),对接源_02物料!$Q$5:$Q$460,0)),"")))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8" ht="18" customHeight="1" spans="1:22">
      <c r="A128" s="10">
        <v>125</v>
      </c>
      <c r="B128" s="26" t="str">
        <f>IF(ROW()-3&lt;=N(对接源_01水果!$T$1),"01水果",IF(ROW()-3&lt;=N(对接源_01水果!$T$1)+N(对接源_02物料!$T$1),"02物料",""))</f>
        <v/>
      </c>
      <c r="C128" s="125" t="str">
        <f>IF($B128="","",IF($B128="01水果",IFERROR(INDEX(对接源_01水果!$B$5:$B$507,MATCH(ROW()-3,对接源_01水果!$Q$5:$Q$507,0)),""),IFERROR(INDEX(对接源_02物料!$B$5:$B$460,MATCH(ROW()-3-N(对接源_01水果!$T$1),对接源_02物料!$Q$5:$Q$460,0)),"")))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8" s="26" t="str">
        <f>IF($B128="","",IF($B128="01水果",IFERROR(INDEX(对接源_01水果!$C$5:$C$507,MATCH(ROW()-3,对接源_01水果!$Q$5:$Q$507,0)),""),IFERROR(INDEX(对接源_02物料!$C$5:$C$460,MATCH(ROW()-3-N(对接源_01水果!$T$1),对接源_02物料!$Q$5:$Q$460,0)),"")))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8" s="126" t="str">
        <f>IF($B128="","",IF($B128="01水果",IFERROR(INDEX(对接源_01水果!$D$5:$D$507,MATCH(ROW()-3,对接源_01水果!$Q$5:$Q$507,0)),""),IFERROR(INDEX(对接源_02物料!$D$5:$D$460,MATCH(ROW()-3-N(对接源_01水果!$T$1),对接源_02物料!$Q$5:$Q$460,0)),"")))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8" s="26" t="str">
        <f>IF($B128="","",IF($B128="01水果",IFERROR(INDEX(对接源_01水果!$E$5:$E$507,MATCH(ROW()-3,对接源_01水果!$Q$5:$Q$507,0)),""),IFERROR(INDEX(对接源_02物料!$E$5:$E$460,MATCH(ROW()-3-N(对接源_01水果!$T$1),对接源_02物料!$Q$5:$Q$460,0)),"")))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8" s="27" t="str">
        <f>IF($B128="","",IF($B128="01水果",IFERROR(INDEX(对接源_01水果!$F$5:$F$507,MATCH(ROW()-3,对接源_01水果!$Q$5:$Q$507,0)),""),IFERROR(INDEX(对接源_02物料!$F$5:$F$460,MATCH(ROW()-3-N(对接源_01水果!$T$1),对接源_02物料!$Q$5:$Q$460,0)),"")))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8" s="27" t="str">
        <f>IF($B128="","",IF($B128="01水果",IFERROR(INDEX(对接源_01水果!$G$5:$G$507,MATCH(ROW()-3,对接源_01水果!$Q$5:$Q$507,0)),""),IFERROR(INDEX(对接源_02物料!$G$5:$G$460,MATCH(ROW()-3-N(对接源_01水果!$T$1),对接源_02物料!$Q$5:$Q$460,0)),"")))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8" s="26" t="str">
        <f>IFERROR(INDEX(收入成本映射!$C$4:$C$34,MATCH($D128,收入成本映射!$B$4:$B$34,0)),"不记账")</f>
        <v>不记账</v>
      </c>
      <c r="J128" s="26" t="str">
        <f t="shared" si="9"/>
        <v/>
      </c>
      <c r="K128" s="27">
        <f t="shared" si="10"/>
        <v>0</v>
      </c>
      <c r="L128" s="27">
        <v>0</v>
      </c>
      <c r="M128" s="26" t="str">
        <f>IF(OR($I128="不记账",ROUND(N($G128),2)=0),"",IFERROR(INDEX(收入成本映射!$E$4:$E$34,MATCH($D128,收入成本映射!$B$4:$B$34,0)),""))</f>
        <v/>
      </c>
      <c r="N128" s="27" t="str">
        <f t="shared" si="11"/>
        <v/>
      </c>
      <c r="O128" s="27" t="str">
        <f t="shared" si="12"/>
        <v/>
      </c>
      <c r="P128" s="26" t="str">
        <f>IF($M128="","",IFERROR(INDEX(收入成本映射!$F$4:$F$34,MATCH($D128,收入成本映射!$B$4:$B$34,0)),""))</f>
        <v/>
      </c>
      <c r="Q128" s="27" t="str">
        <f t="shared" si="13"/>
        <v/>
      </c>
      <c r="R128" s="27" t="str">
        <f t="shared" si="14"/>
        <v/>
      </c>
      <c r="S128" s="26" t="str">
        <f t="shared" si="15"/>
        <v/>
      </c>
      <c r="T128" s="27" t="str">
        <f t="shared" si="16"/>
        <v/>
      </c>
      <c r="U128" s="27" t="str">
        <f t="shared" si="17"/>
        <v/>
      </c>
      <c r="V128" s="10" t="str">
        <f>IF($B128="","",IF($B128="01水果",IFERROR(INDEX(对接源_01水果!$H$5:$H$507,MATCH(ROW()-3,对接源_01水果!$Q$5:$Q$507,0)),""),IFERROR(INDEX(对接源_02物料!$H$5:$H$460,MATCH(ROW()-3-N(对接源_01水果!$T$1),对接源_02物料!$Q$5:$Q$460,0)),"")))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9" ht="18" customHeight="1" spans="1:22">
      <c r="A129" s="10">
        <v>126</v>
      </c>
      <c r="B129" s="26" t="str">
        <f>IF(ROW()-3&lt;=N(对接源_01水果!$T$1),"01水果",IF(ROW()-3&lt;=N(对接源_01水果!$T$1)+N(对接源_02物料!$T$1),"02物料",""))</f>
        <v/>
      </c>
      <c r="C129" s="125" t="str">
        <f>IF($B129="","",IF($B129="01水果",IFERROR(INDEX(对接源_01水果!$B$5:$B$507,MATCH(ROW()-3,对接源_01水果!$Q$5:$Q$507,0)),""),IFERROR(INDEX(对接源_02物料!$B$5:$B$460,MATCH(ROW()-3-N(对接源_01水果!$T$1),对接源_02物料!$Q$5:$Q$460,0)),"")))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9" s="26" t="str">
        <f>IF($B129="","",IF($B129="01水果",IFERROR(INDEX(对接源_01水果!$C$5:$C$507,MATCH(ROW()-3,对接源_01水果!$Q$5:$Q$507,0)),""),IFERROR(INDEX(对接源_02物料!$C$5:$C$460,MATCH(ROW()-3-N(对接源_01水果!$T$1),对接源_02物料!$Q$5:$Q$460,0)),"")))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9" s="126" t="str">
        <f>IF($B129="","",IF($B129="01水果",IFERROR(INDEX(对接源_01水果!$D$5:$D$507,MATCH(ROW()-3,对接源_01水果!$Q$5:$Q$507,0)),""),IFERROR(INDEX(对接源_02物料!$D$5:$D$460,MATCH(ROW()-3-N(对接源_01水果!$T$1),对接源_02物料!$Q$5:$Q$460,0)),"")))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9" s="26" t="str">
        <f>IF($B129="","",IF($B129="01水果",IFERROR(INDEX(对接源_01水果!$E$5:$E$507,MATCH(ROW()-3,对接源_01水果!$Q$5:$Q$507,0)),""),IFERROR(INDEX(对接源_02物料!$E$5:$E$460,MATCH(ROW()-3-N(对接源_01水果!$T$1),对接源_02物料!$Q$5:$Q$460,0)),"")))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9" s="27" t="str">
        <f>IF($B129="","",IF($B129="01水果",IFERROR(INDEX(对接源_01水果!$F$5:$F$507,MATCH(ROW()-3,对接源_01水果!$Q$5:$Q$507,0)),""),IFERROR(INDEX(对接源_02物料!$F$5:$F$460,MATCH(ROW()-3-N(对接源_01水果!$T$1),对接源_02物料!$Q$5:$Q$460,0)),"")))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9" s="27" t="str">
        <f>IF($B129="","",IF($B129="01水果",IFERROR(INDEX(对接源_01水果!$G$5:$G$507,MATCH(ROW()-3,对接源_01水果!$Q$5:$Q$507,0)),""),IFERROR(INDEX(对接源_02物料!$G$5:$G$460,MATCH(ROW()-3-N(对接源_01水果!$T$1),对接源_02物料!$Q$5:$Q$460,0)),"")))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9" s="26" t="str">
        <f>IFERROR(INDEX(收入成本映射!$C$4:$C$34,MATCH($D129,收入成本映射!$B$4:$B$34,0)),"不记账")</f>
        <v>不记账</v>
      </c>
      <c r="J129" s="26" t="str">
        <f t="shared" si="9"/>
        <v/>
      </c>
      <c r="K129" s="27">
        <f t="shared" si="10"/>
        <v>0</v>
      </c>
      <c r="L129" s="27">
        <v>0</v>
      </c>
      <c r="M129" s="26" t="str">
        <f>IF(OR($I129="不记账",ROUND(N($G129),2)=0),"",IFERROR(INDEX(收入成本映射!$E$4:$E$34,MATCH($D129,收入成本映射!$B$4:$B$34,0)),""))</f>
        <v/>
      </c>
      <c r="N129" s="27" t="str">
        <f t="shared" si="11"/>
        <v/>
      </c>
      <c r="O129" s="27" t="str">
        <f t="shared" si="12"/>
        <v/>
      </c>
      <c r="P129" s="26" t="str">
        <f>IF($M129="","",IFERROR(INDEX(收入成本映射!$F$4:$F$34,MATCH($D129,收入成本映射!$B$4:$B$34,0)),""))</f>
        <v/>
      </c>
      <c r="Q129" s="27" t="str">
        <f t="shared" si="13"/>
        <v/>
      </c>
      <c r="R129" s="27" t="str">
        <f t="shared" si="14"/>
        <v/>
      </c>
      <c r="S129" s="26" t="str">
        <f t="shared" si="15"/>
        <v/>
      </c>
      <c r="T129" s="27" t="str">
        <f t="shared" si="16"/>
        <v/>
      </c>
      <c r="U129" s="27" t="str">
        <f t="shared" si="17"/>
        <v/>
      </c>
      <c r="V129" s="10" t="str">
        <f>IF($B129="","",IF($B129="01水果",IFERROR(INDEX(对接源_01水果!$H$5:$H$507,MATCH(ROW()-3,对接源_01水果!$Q$5:$Q$507,0)),""),IFERROR(INDEX(对接源_02物料!$H$5:$H$460,MATCH(ROW()-3-N(对接源_01水果!$T$1),对接源_02物料!$Q$5:$Q$460,0)),"")))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0" ht="18" customHeight="1" spans="1:22">
      <c r="A130" s="10">
        <v>127</v>
      </c>
      <c r="B130" s="26" t="str">
        <f>IF(ROW()-3&lt;=N(对接源_01水果!$T$1),"01水果",IF(ROW()-3&lt;=N(对接源_01水果!$T$1)+N(对接源_02物料!$T$1),"02物料",""))</f>
        <v/>
      </c>
      <c r="C130" s="125" t="str">
        <f>IF($B130="","",IF($B130="01水果",IFERROR(INDEX(对接源_01水果!$B$5:$B$507,MATCH(ROW()-3,对接源_01水果!$Q$5:$Q$507,0)),""),IFERROR(INDEX(对接源_02物料!$B$5:$B$460,MATCH(ROW()-3-N(对接源_01水果!$T$1),对接源_02物料!$Q$5:$Q$460,0)),"")))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0" s="26" t="str">
        <f>IF($B130="","",IF($B130="01水果",IFERROR(INDEX(对接源_01水果!$C$5:$C$507,MATCH(ROW()-3,对接源_01水果!$Q$5:$Q$507,0)),""),IFERROR(INDEX(对接源_02物料!$C$5:$C$460,MATCH(ROW()-3-N(对接源_01水果!$T$1),对接源_02物料!$Q$5:$Q$460,0)),"")))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0" s="126" t="str">
        <f>IF($B130="","",IF($B130="01水果",IFERROR(INDEX(对接源_01水果!$D$5:$D$507,MATCH(ROW()-3,对接源_01水果!$Q$5:$Q$507,0)),""),IFERROR(INDEX(对接源_02物料!$D$5:$D$460,MATCH(ROW()-3-N(对接源_01水果!$T$1),对接源_02物料!$Q$5:$Q$460,0)),"")))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0" s="26" t="str">
        <f>IF($B130="","",IF($B130="01水果",IFERROR(INDEX(对接源_01水果!$E$5:$E$507,MATCH(ROW()-3,对接源_01水果!$Q$5:$Q$507,0)),""),IFERROR(INDEX(对接源_02物料!$E$5:$E$460,MATCH(ROW()-3-N(对接源_01水果!$T$1),对接源_02物料!$Q$5:$Q$460,0)),"")))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0" s="27" t="str">
        <f>IF($B130="","",IF($B130="01水果",IFERROR(INDEX(对接源_01水果!$F$5:$F$507,MATCH(ROW()-3,对接源_01水果!$Q$5:$Q$507,0)),""),IFERROR(INDEX(对接源_02物料!$F$5:$F$460,MATCH(ROW()-3-N(对接源_01水果!$T$1),对接源_02物料!$Q$5:$Q$460,0)),"")))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0" s="27" t="str">
        <f>IF($B130="","",IF($B130="01水果",IFERROR(INDEX(对接源_01水果!$G$5:$G$507,MATCH(ROW()-3,对接源_01水果!$Q$5:$Q$507,0)),""),IFERROR(INDEX(对接源_02物料!$G$5:$G$460,MATCH(ROW()-3-N(对接源_01水果!$T$1),对接源_02物料!$Q$5:$Q$460,0)),"")))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0" s="26" t="str">
        <f>IFERROR(INDEX(收入成本映射!$C$4:$C$34,MATCH($D130,收入成本映射!$B$4:$B$34,0)),"不记账")</f>
        <v>不记账</v>
      </c>
      <c r="J130" s="26" t="str">
        <f t="shared" si="9"/>
        <v/>
      </c>
      <c r="K130" s="27">
        <f t="shared" si="10"/>
        <v>0</v>
      </c>
      <c r="L130" s="27">
        <v>0</v>
      </c>
      <c r="M130" s="26" t="str">
        <f>IF(OR($I130="不记账",ROUND(N($G130),2)=0),"",IFERROR(INDEX(收入成本映射!$E$4:$E$34,MATCH($D130,收入成本映射!$B$4:$B$34,0)),""))</f>
        <v/>
      </c>
      <c r="N130" s="27" t="str">
        <f t="shared" si="11"/>
        <v/>
      </c>
      <c r="O130" s="27" t="str">
        <f t="shared" si="12"/>
        <v/>
      </c>
      <c r="P130" s="26" t="str">
        <f>IF($M130="","",IFERROR(INDEX(收入成本映射!$F$4:$F$34,MATCH($D130,收入成本映射!$B$4:$B$34,0)),""))</f>
        <v/>
      </c>
      <c r="Q130" s="27" t="str">
        <f t="shared" si="13"/>
        <v/>
      </c>
      <c r="R130" s="27" t="str">
        <f t="shared" si="14"/>
        <v/>
      </c>
      <c r="S130" s="26" t="str">
        <f t="shared" si="15"/>
        <v/>
      </c>
      <c r="T130" s="27" t="str">
        <f t="shared" si="16"/>
        <v/>
      </c>
      <c r="U130" s="27" t="str">
        <f t="shared" si="17"/>
        <v/>
      </c>
      <c r="V130" s="10" t="str">
        <f>IF($B130="","",IF($B130="01水果",IFERROR(INDEX(对接源_01水果!$H$5:$H$507,MATCH(ROW()-3,对接源_01水果!$Q$5:$Q$507,0)),""),IFERROR(INDEX(对接源_02物料!$H$5:$H$460,MATCH(ROW()-3-N(对接源_01水果!$T$1),对接源_02物料!$Q$5:$Q$460,0)),"")))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1" ht="18" customHeight="1" spans="1:22">
      <c r="A131" s="10">
        <v>128</v>
      </c>
      <c r="B131" s="26" t="str">
        <f>IF(ROW()-3&lt;=N(对接源_01水果!$T$1),"01水果",IF(ROW()-3&lt;=N(对接源_01水果!$T$1)+N(对接源_02物料!$T$1),"02物料",""))</f>
        <v/>
      </c>
      <c r="C131" s="125" t="str">
        <f>IF($B131="","",IF($B131="01水果",IFERROR(INDEX(对接源_01水果!$B$5:$B$507,MATCH(ROW()-3,对接源_01水果!$Q$5:$Q$507,0)),""),IFERROR(INDEX(对接源_02物料!$B$5:$B$460,MATCH(ROW()-3-N(对接源_01水果!$T$1),对接源_02物料!$Q$5:$Q$460,0)),"")))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1" s="26" t="str">
        <f>IF($B131="","",IF($B131="01水果",IFERROR(INDEX(对接源_01水果!$C$5:$C$507,MATCH(ROW()-3,对接源_01水果!$Q$5:$Q$507,0)),""),IFERROR(INDEX(对接源_02物料!$C$5:$C$460,MATCH(ROW()-3-N(对接源_01水果!$T$1),对接源_02物料!$Q$5:$Q$460,0)),"")))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1" s="126" t="str">
        <f>IF($B131="","",IF($B131="01水果",IFERROR(INDEX(对接源_01水果!$D$5:$D$507,MATCH(ROW()-3,对接源_01水果!$Q$5:$Q$507,0)),""),IFERROR(INDEX(对接源_02物料!$D$5:$D$460,MATCH(ROW()-3-N(对接源_01水果!$T$1),对接源_02物料!$Q$5:$Q$460,0)),"")))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1" s="26" t="str">
        <f>IF($B131="","",IF($B131="01水果",IFERROR(INDEX(对接源_01水果!$E$5:$E$507,MATCH(ROW()-3,对接源_01水果!$Q$5:$Q$507,0)),""),IFERROR(INDEX(对接源_02物料!$E$5:$E$460,MATCH(ROW()-3-N(对接源_01水果!$T$1),对接源_02物料!$Q$5:$Q$460,0)),"")))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1" s="27" t="str">
        <f>IF($B131="","",IF($B131="01水果",IFERROR(INDEX(对接源_01水果!$F$5:$F$507,MATCH(ROW()-3,对接源_01水果!$Q$5:$Q$507,0)),""),IFERROR(INDEX(对接源_02物料!$F$5:$F$460,MATCH(ROW()-3-N(对接源_01水果!$T$1),对接源_02物料!$Q$5:$Q$460,0)),"")))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1" s="27" t="str">
        <f>IF($B131="","",IF($B131="01水果",IFERROR(INDEX(对接源_01水果!$G$5:$G$507,MATCH(ROW()-3,对接源_01水果!$Q$5:$Q$507,0)),""),IFERROR(INDEX(对接源_02物料!$G$5:$G$460,MATCH(ROW()-3-N(对接源_01水果!$T$1),对接源_02物料!$Q$5:$Q$460,0)),"")))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1" s="26" t="str">
        <f>IFERROR(INDEX(收入成本映射!$C$4:$C$34,MATCH($D131,收入成本映射!$B$4:$B$34,0)),"不记账")</f>
        <v>不记账</v>
      </c>
      <c r="J131" s="26" t="str">
        <f t="shared" si="9"/>
        <v/>
      </c>
      <c r="K131" s="27">
        <f t="shared" si="10"/>
        <v>0</v>
      </c>
      <c r="L131" s="27">
        <v>0</v>
      </c>
      <c r="M131" s="26" t="str">
        <f>IF(OR($I131="不记账",ROUND(N($G131),2)=0),"",IFERROR(INDEX(收入成本映射!$E$4:$E$34,MATCH($D131,收入成本映射!$B$4:$B$34,0)),""))</f>
        <v/>
      </c>
      <c r="N131" s="27" t="str">
        <f t="shared" si="11"/>
        <v/>
      </c>
      <c r="O131" s="27" t="str">
        <f t="shared" si="12"/>
        <v/>
      </c>
      <c r="P131" s="26" t="str">
        <f>IF($M131="","",IFERROR(INDEX(收入成本映射!$F$4:$F$34,MATCH($D131,收入成本映射!$B$4:$B$34,0)),""))</f>
        <v/>
      </c>
      <c r="Q131" s="27" t="str">
        <f t="shared" si="13"/>
        <v/>
      </c>
      <c r="R131" s="27" t="str">
        <f t="shared" si="14"/>
        <v/>
      </c>
      <c r="S131" s="26" t="str">
        <f t="shared" si="15"/>
        <v/>
      </c>
      <c r="T131" s="27" t="str">
        <f t="shared" si="16"/>
        <v/>
      </c>
      <c r="U131" s="27" t="str">
        <f t="shared" si="17"/>
        <v/>
      </c>
      <c r="V131" s="10" t="str">
        <f>IF($B131="","",IF($B131="01水果",IFERROR(INDEX(对接源_01水果!$H$5:$H$507,MATCH(ROW()-3,对接源_01水果!$Q$5:$Q$507,0)),""),IFERROR(INDEX(对接源_02物料!$H$5:$H$460,MATCH(ROW()-3-N(对接源_01水果!$T$1),对接源_02物料!$Q$5:$Q$460,0)),"")))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2" ht="18" customHeight="1" spans="1:22">
      <c r="A132" s="10">
        <v>129</v>
      </c>
      <c r="B132" s="26" t="str">
        <f>IF(ROW()-3&lt;=N(对接源_01水果!$T$1),"01水果",IF(ROW()-3&lt;=N(对接源_01水果!$T$1)+N(对接源_02物料!$T$1),"02物料",""))</f>
        <v/>
      </c>
      <c r="C132" s="125" t="str">
        <f>IF($B132="","",IF($B132="01水果",IFERROR(INDEX(对接源_01水果!$B$5:$B$507,MATCH(ROW()-3,对接源_01水果!$Q$5:$Q$507,0)),""),IFERROR(INDEX(对接源_02物料!$B$5:$B$460,MATCH(ROW()-3-N(对接源_01水果!$T$1),对接源_02物料!$Q$5:$Q$460,0)),"")))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2" s="26" t="str">
        <f>IF($B132="","",IF($B132="01水果",IFERROR(INDEX(对接源_01水果!$C$5:$C$507,MATCH(ROW()-3,对接源_01水果!$Q$5:$Q$507,0)),""),IFERROR(INDEX(对接源_02物料!$C$5:$C$460,MATCH(ROW()-3-N(对接源_01水果!$T$1),对接源_02物料!$Q$5:$Q$460,0)),"")))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2" s="126" t="str">
        <f>IF($B132="","",IF($B132="01水果",IFERROR(INDEX(对接源_01水果!$D$5:$D$507,MATCH(ROW()-3,对接源_01水果!$Q$5:$Q$507,0)),""),IFERROR(INDEX(对接源_02物料!$D$5:$D$460,MATCH(ROW()-3-N(对接源_01水果!$T$1),对接源_02物料!$Q$5:$Q$460,0)),"")))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2" s="26" t="str">
        <f>IF($B132="","",IF($B132="01水果",IFERROR(INDEX(对接源_01水果!$E$5:$E$507,MATCH(ROW()-3,对接源_01水果!$Q$5:$Q$507,0)),""),IFERROR(INDEX(对接源_02物料!$E$5:$E$460,MATCH(ROW()-3-N(对接源_01水果!$T$1),对接源_02物料!$Q$5:$Q$460,0)),"")))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2" s="27" t="str">
        <f>IF($B132="","",IF($B132="01水果",IFERROR(INDEX(对接源_01水果!$F$5:$F$507,MATCH(ROW()-3,对接源_01水果!$Q$5:$Q$507,0)),""),IFERROR(INDEX(对接源_02物料!$F$5:$F$460,MATCH(ROW()-3-N(对接源_01水果!$T$1),对接源_02物料!$Q$5:$Q$460,0)),"")))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2" s="27" t="str">
        <f>IF($B132="","",IF($B132="01水果",IFERROR(INDEX(对接源_01水果!$G$5:$G$507,MATCH(ROW()-3,对接源_01水果!$Q$5:$Q$507,0)),""),IFERROR(INDEX(对接源_02物料!$G$5:$G$460,MATCH(ROW()-3-N(对接源_01水果!$T$1),对接源_02物料!$Q$5:$Q$460,0)),"")))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2" s="26" t="str">
        <f>IFERROR(INDEX(收入成本映射!$C$4:$C$34,MATCH($D132,收入成本映射!$B$4:$B$34,0)),"不记账")</f>
        <v>不记账</v>
      </c>
      <c r="J132" s="26" t="str">
        <f t="shared" ref="J132:J195" si="18">IF($B132="","","0%")</f>
        <v/>
      </c>
      <c r="K132" s="27">
        <f t="shared" ref="K132:K195" si="19">IF($I132="不记账",0,ROUND(N($G132),2))</f>
        <v>0</v>
      </c>
      <c r="L132" s="27">
        <v>0</v>
      </c>
      <c r="M132" s="26" t="str">
        <f>IF(OR($I132="不记账",ROUND(N($G132),2)=0),"",IFERROR(INDEX(收入成本映射!$E$4:$E$34,MATCH($D132,收入成本映射!$B$4:$B$34,0)),""))</f>
        <v/>
      </c>
      <c r="N132" s="27" t="str">
        <f t="shared" ref="N132:N195" si="20">IF($M132="","",ROUND(N($G132),2))</f>
        <v/>
      </c>
      <c r="O132" s="27" t="str">
        <f t="shared" ref="O132:O195" si="21">IF($M132="","",0)</f>
        <v/>
      </c>
      <c r="P132" s="26" t="str">
        <f>IF($M132="","",IFERROR(INDEX(收入成本映射!$F$4:$F$34,MATCH($D132,收入成本映射!$B$4:$B$34,0)),""))</f>
        <v/>
      </c>
      <c r="Q132" s="27" t="str">
        <f t="shared" ref="Q132:Q195" si="22">IF($P132="","",0)</f>
        <v/>
      </c>
      <c r="R132" s="27" t="str">
        <f t="shared" ref="R132:R195" si="23">IF($P132="","",ROUND(N($G132),2))</f>
        <v/>
      </c>
      <c r="S132" s="26" t="str">
        <f t="shared" ref="S132:S195" si="24">""</f>
        <v/>
      </c>
      <c r="T132" s="27" t="str">
        <f t="shared" ref="T132:T195" si="25">IF($S132="","",0)</f>
        <v/>
      </c>
      <c r="U132" s="27" t="str">
        <f t="shared" ref="U132:U195" si="26">IF($S132="","",0)</f>
        <v/>
      </c>
      <c r="V132" s="10" t="str">
        <f>IF($B132="","",IF($B132="01水果",IFERROR(INDEX(对接源_01水果!$H$5:$H$507,MATCH(ROW()-3,对接源_01水果!$Q$5:$Q$507,0)),""),IFERROR(INDEX(对接源_02物料!$H$5:$H$460,MATCH(ROW()-3-N(对接源_01水果!$T$1),对接源_02物料!$Q$5:$Q$460,0)),"")))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3" ht="18" customHeight="1" spans="1:22">
      <c r="A133" s="10">
        <v>130</v>
      </c>
      <c r="B133" s="26" t="str">
        <f>IF(ROW()-3&lt;=N(对接源_01水果!$T$1),"01水果",IF(ROW()-3&lt;=N(对接源_01水果!$T$1)+N(对接源_02物料!$T$1),"02物料",""))</f>
        <v/>
      </c>
      <c r="C133" s="125" t="str">
        <f>IF($B133="","",IF($B133="01水果",IFERROR(INDEX(对接源_01水果!$B$5:$B$507,MATCH(ROW()-3,对接源_01水果!$Q$5:$Q$507,0)),""),IFERROR(INDEX(对接源_02物料!$B$5:$B$460,MATCH(ROW()-3-N(对接源_01水果!$T$1),对接源_02物料!$Q$5:$Q$460,0)),"")))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3" s="26" t="str">
        <f>IF($B133="","",IF($B133="01水果",IFERROR(INDEX(对接源_01水果!$C$5:$C$507,MATCH(ROW()-3,对接源_01水果!$Q$5:$Q$507,0)),""),IFERROR(INDEX(对接源_02物料!$C$5:$C$460,MATCH(ROW()-3-N(对接源_01水果!$T$1),对接源_02物料!$Q$5:$Q$460,0)),"")))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3" s="126" t="str">
        <f>IF($B133="","",IF($B133="01水果",IFERROR(INDEX(对接源_01水果!$D$5:$D$507,MATCH(ROW()-3,对接源_01水果!$Q$5:$Q$507,0)),""),IFERROR(INDEX(对接源_02物料!$D$5:$D$460,MATCH(ROW()-3-N(对接源_01水果!$T$1),对接源_02物料!$Q$5:$Q$460,0)),"")))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3" s="26" t="str">
        <f>IF($B133="","",IF($B133="01水果",IFERROR(INDEX(对接源_01水果!$E$5:$E$507,MATCH(ROW()-3,对接源_01水果!$Q$5:$Q$507,0)),""),IFERROR(INDEX(对接源_02物料!$E$5:$E$460,MATCH(ROW()-3-N(对接源_01水果!$T$1),对接源_02物料!$Q$5:$Q$460,0)),"")))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3" s="27" t="str">
        <f>IF($B133="","",IF($B133="01水果",IFERROR(INDEX(对接源_01水果!$F$5:$F$507,MATCH(ROW()-3,对接源_01水果!$Q$5:$Q$507,0)),""),IFERROR(INDEX(对接源_02物料!$F$5:$F$460,MATCH(ROW()-3-N(对接源_01水果!$T$1),对接源_02物料!$Q$5:$Q$460,0)),"")))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3" s="27" t="str">
        <f>IF($B133="","",IF($B133="01水果",IFERROR(INDEX(对接源_01水果!$G$5:$G$507,MATCH(ROW()-3,对接源_01水果!$Q$5:$Q$507,0)),""),IFERROR(INDEX(对接源_02物料!$G$5:$G$460,MATCH(ROW()-3-N(对接源_01水果!$T$1),对接源_02物料!$Q$5:$Q$460,0)),"")))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3" s="26" t="str">
        <f>IFERROR(INDEX(收入成本映射!$C$4:$C$34,MATCH($D133,收入成本映射!$B$4:$B$34,0)),"不记账")</f>
        <v>不记账</v>
      </c>
      <c r="J133" s="26" t="str">
        <f t="shared" si="18"/>
        <v/>
      </c>
      <c r="K133" s="27">
        <f t="shared" si="19"/>
        <v>0</v>
      </c>
      <c r="L133" s="27">
        <v>0</v>
      </c>
      <c r="M133" s="26" t="str">
        <f>IF(OR($I133="不记账",ROUND(N($G133),2)=0),"",IFERROR(INDEX(收入成本映射!$E$4:$E$34,MATCH($D133,收入成本映射!$B$4:$B$34,0)),""))</f>
        <v/>
      </c>
      <c r="N133" s="27" t="str">
        <f t="shared" si="20"/>
        <v/>
      </c>
      <c r="O133" s="27" t="str">
        <f t="shared" si="21"/>
        <v/>
      </c>
      <c r="P133" s="26" t="str">
        <f>IF($M133="","",IFERROR(INDEX(收入成本映射!$F$4:$F$34,MATCH($D133,收入成本映射!$B$4:$B$34,0)),""))</f>
        <v/>
      </c>
      <c r="Q133" s="27" t="str">
        <f t="shared" si="22"/>
        <v/>
      </c>
      <c r="R133" s="27" t="str">
        <f t="shared" si="23"/>
        <v/>
      </c>
      <c r="S133" s="26" t="str">
        <f t="shared" si="24"/>
        <v/>
      </c>
      <c r="T133" s="27" t="str">
        <f t="shared" si="25"/>
        <v/>
      </c>
      <c r="U133" s="27" t="str">
        <f t="shared" si="26"/>
        <v/>
      </c>
      <c r="V133" s="10" t="str">
        <f>IF($B133="","",IF($B133="01水果",IFERROR(INDEX(对接源_01水果!$H$5:$H$507,MATCH(ROW()-3,对接源_01水果!$Q$5:$Q$507,0)),""),IFERROR(INDEX(对接源_02物料!$H$5:$H$460,MATCH(ROW()-3-N(对接源_01水果!$T$1),对接源_02物料!$Q$5:$Q$460,0)),"")))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4" ht="18" customHeight="1" spans="1:22">
      <c r="A134" s="10">
        <v>131</v>
      </c>
      <c r="B134" s="26" t="str">
        <f>IF(ROW()-3&lt;=N(对接源_01水果!$T$1),"01水果",IF(ROW()-3&lt;=N(对接源_01水果!$T$1)+N(对接源_02物料!$T$1),"02物料",""))</f>
        <v/>
      </c>
      <c r="C134" s="125" t="str">
        <f>IF($B134="","",IF($B134="01水果",IFERROR(INDEX(对接源_01水果!$B$5:$B$507,MATCH(ROW()-3,对接源_01水果!$Q$5:$Q$507,0)),""),IFERROR(INDEX(对接源_02物料!$B$5:$B$460,MATCH(ROW()-3-N(对接源_01水果!$T$1),对接源_02物料!$Q$5:$Q$460,0)),"")))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4" s="26" t="str">
        <f>IF($B134="","",IF($B134="01水果",IFERROR(INDEX(对接源_01水果!$C$5:$C$507,MATCH(ROW()-3,对接源_01水果!$Q$5:$Q$507,0)),""),IFERROR(INDEX(对接源_02物料!$C$5:$C$460,MATCH(ROW()-3-N(对接源_01水果!$T$1),对接源_02物料!$Q$5:$Q$460,0)),"")))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4" s="126" t="str">
        <f>IF($B134="","",IF($B134="01水果",IFERROR(INDEX(对接源_01水果!$D$5:$D$507,MATCH(ROW()-3,对接源_01水果!$Q$5:$Q$507,0)),""),IFERROR(INDEX(对接源_02物料!$D$5:$D$460,MATCH(ROW()-3-N(对接源_01水果!$T$1),对接源_02物料!$Q$5:$Q$460,0)),"")))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4" s="26" t="str">
        <f>IF($B134="","",IF($B134="01水果",IFERROR(INDEX(对接源_01水果!$E$5:$E$507,MATCH(ROW()-3,对接源_01水果!$Q$5:$Q$507,0)),""),IFERROR(INDEX(对接源_02物料!$E$5:$E$460,MATCH(ROW()-3-N(对接源_01水果!$T$1),对接源_02物料!$Q$5:$Q$460,0)),"")))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4" s="27" t="str">
        <f>IF($B134="","",IF($B134="01水果",IFERROR(INDEX(对接源_01水果!$F$5:$F$507,MATCH(ROW()-3,对接源_01水果!$Q$5:$Q$507,0)),""),IFERROR(INDEX(对接源_02物料!$F$5:$F$460,MATCH(ROW()-3-N(对接源_01水果!$T$1),对接源_02物料!$Q$5:$Q$460,0)),"")))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4" s="27" t="str">
        <f>IF($B134="","",IF($B134="01水果",IFERROR(INDEX(对接源_01水果!$G$5:$G$507,MATCH(ROW()-3,对接源_01水果!$Q$5:$Q$507,0)),""),IFERROR(INDEX(对接源_02物料!$G$5:$G$460,MATCH(ROW()-3-N(对接源_01水果!$T$1),对接源_02物料!$Q$5:$Q$460,0)),"")))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4" s="26" t="str">
        <f>IFERROR(INDEX(收入成本映射!$C$4:$C$34,MATCH($D134,收入成本映射!$B$4:$B$34,0)),"不记账")</f>
        <v>不记账</v>
      </c>
      <c r="J134" s="26" t="str">
        <f t="shared" si="18"/>
        <v/>
      </c>
      <c r="K134" s="27">
        <f t="shared" si="19"/>
        <v>0</v>
      </c>
      <c r="L134" s="27">
        <v>0</v>
      </c>
      <c r="M134" s="26" t="str">
        <f>IF(OR($I134="不记账",ROUND(N($G134),2)=0),"",IFERROR(INDEX(收入成本映射!$E$4:$E$34,MATCH($D134,收入成本映射!$B$4:$B$34,0)),""))</f>
        <v/>
      </c>
      <c r="N134" s="27" t="str">
        <f t="shared" si="20"/>
        <v/>
      </c>
      <c r="O134" s="27" t="str">
        <f t="shared" si="21"/>
        <v/>
      </c>
      <c r="P134" s="26" t="str">
        <f>IF($M134="","",IFERROR(INDEX(收入成本映射!$F$4:$F$34,MATCH($D134,收入成本映射!$B$4:$B$34,0)),""))</f>
        <v/>
      </c>
      <c r="Q134" s="27" t="str">
        <f t="shared" si="22"/>
        <v/>
      </c>
      <c r="R134" s="27" t="str">
        <f t="shared" si="23"/>
        <v/>
      </c>
      <c r="S134" s="26" t="str">
        <f t="shared" si="24"/>
        <v/>
      </c>
      <c r="T134" s="27" t="str">
        <f t="shared" si="25"/>
        <v/>
      </c>
      <c r="U134" s="27" t="str">
        <f t="shared" si="26"/>
        <v/>
      </c>
      <c r="V134" s="10" t="str">
        <f>IF($B134="","",IF($B134="01水果",IFERROR(INDEX(对接源_01水果!$H$5:$H$507,MATCH(ROW()-3,对接源_01水果!$Q$5:$Q$507,0)),""),IFERROR(INDEX(对接源_02物料!$H$5:$H$460,MATCH(ROW()-3-N(对接源_01水果!$T$1),对接源_02物料!$Q$5:$Q$460,0)),"")))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5" ht="18" customHeight="1" spans="1:22">
      <c r="A135" s="10">
        <v>132</v>
      </c>
      <c r="B135" s="26" t="str">
        <f>IF(ROW()-3&lt;=N(对接源_01水果!$T$1),"01水果",IF(ROW()-3&lt;=N(对接源_01水果!$T$1)+N(对接源_02物料!$T$1),"02物料",""))</f>
        <v/>
      </c>
      <c r="C135" s="125" t="str">
        <f>IF($B135="","",IF($B135="01水果",IFERROR(INDEX(对接源_01水果!$B$5:$B$507,MATCH(ROW()-3,对接源_01水果!$Q$5:$Q$507,0)),""),IFERROR(INDEX(对接源_02物料!$B$5:$B$460,MATCH(ROW()-3-N(对接源_01水果!$T$1),对接源_02物料!$Q$5:$Q$460,0)),"")))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5" s="26" t="str">
        <f>IF($B135="","",IF($B135="01水果",IFERROR(INDEX(对接源_01水果!$C$5:$C$507,MATCH(ROW()-3,对接源_01水果!$Q$5:$Q$507,0)),""),IFERROR(INDEX(对接源_02物料!$C$5:$C$460,MATCH(ROW()-3-N(对接源_01水果!$T$1),对接源_02物料!$Q$5:$Q$460,0)),"")))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5" s="126" t="str">
        <f>IF($B135="","",IF($B135="01水果",IFERROR(INDEX(对接源_01水果!$D$5:$D$507,MATCH(ROW()-3,对接源_01水果!$Q$5:$Q$507,0)),""),IFERROR(INDEX(对接源_02物料!$D$5:$D$460,MATCH(ROW()-3-N(对接源_01水果!$T$1),对接源_02物料!$Q$5:$Q$460,0)),"")))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5" s="26" t="str">
        <f>IF($B135="","",IF($B135="01水果",IFERROR(INDEX(对接源_01水果!$E$5:$E$507,MATCH(ROW()-3,对接源_01水果!$Q$5:$Q$507,0)),""),IFERROR(INDEX(对接源_02物料!$E$5:$E$460,MATCH(ROW()-3-N(对接源_01水果!$T$1),对接源_02物料!$Q$5:$Q$460,0)),"")))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5" s="27" t="str">
        <f>IF($B135="","",IF($B135="01水果",IFERROR(INDEX(对接源_01水果!$F$5:$F$507,MATCH(ROW()-3,对接源_01水果!$Q$5:$Q$507,0)),""),IFERROR(INDEX(对接源_02物料!$F$5:$F$460,MATCH(ROW()-3-N(对接源_01水果!$T$1),对接源_02物料!$Q$5:$Q$460,0)),"")))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5" s="27" t="str">
        <f>IF($B135="","",IF($B135="01水果",IFERROR(INDEX(对接源_01水果!$G$5:$G$507,MATCH(ROW()-3,对接源_01水果!$Q$5:$Q$507,0)),""),IFERROR(INDEX(对接源_02物料!$G$5:$G$460,MATCH(ROW()-3-N(对接源_01水果!$T$1),对接源_02物料!$Q$5:$Q$460,0)),"")))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5" s="26" t="str">
        <f>IFERROR(INDEX(收入成本映射!$C$4:$C$34,MATCH($D135,收入成本映射!$B$4:$B$34,0)),"不记账")</f>
        <v>不记账</v>
      </c>
      <c r="J135" s="26" t="str">
        <f t="shared" si="18"/>
        <v/>
      </c>
      <c r="K135" s="27">
        <f t="shared" si="19"/>
        <v>0</v>
      </c>
      <c r="L135" s="27">
        <v>0</v>
      </c>
      <c r="M135" s="26" t="str">
        <f>IF(OR($I135="不记账",ROUND(N($G135),2)=0),"",IFERROR(INDEX(收入成本映射!$E$4:$E$34,MATCH($D135,收入成本映射!$B$4:$B$34,0)),""))</f>
        <v/>
      </c>
      <c r="N135" s="27" t="str">
        <f t="shared" si="20"/>
        <v/>
      </c>
      <c r="O135" s="27" t="str">
        <f t="shared" si="21"/>
        <v/>
      </c>
      <c r="P135" s="26" t="str">
        <f>IF($M135="","",IFERROR(INDEX(收入成本映射!$F$4:$F$34,MATCH($D135,收入成本映射!$B$4:$B$34,0)),""))</f>
        <v/>
      </c>
      <c r="Q135" s="27" t="str">
        <f t="shared" si="22"/>
        <v/>
      </c>
      <c r="R135" s="27" t="str">
        <f t="shared" si="23"/>
        <v/>
      </c>
      <c r="S135" s="26" t="str">
        <f t="shared" si="24"/>
        <v/>
      </c>
      <c r="T135" s="27" t="str">
        <f t="shared" si="25"/>
        <v/>
      </c>
      <c r="U135" s="27" t="str">
        <f t="shared" si="26"/>
        <v/>
      </c>
      <c r="V135" s="10" t="str">
        <f>IF($B135="","",IF($B135="01水果",IFERROR(INDEX(对接源_01水果!$H$5:$H$507,MATCH(ROW()-3,对接源_01水果!$Q$5:$Q$507,0)),""),IFERROR(INDEX(对接源_02物料!$H$5:$H$460,MATCH(ROW()-3-N(对接源_01水果!$T$1),对接源_02物料!$Q$5:$Q$460,0)),"")))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6" ht="18" customHeight="1" spans="1:22">
      <c r="A136" s="10">
        <v>133</v>
      </c>
      <c r="B136" s="26" t="str">
        <f>IF(ROW()-3&lt;=N(对接源_01水果!$T$1),"01水果",IF(ROW()-3&lt;=N(对接源_01水果!$T$1)+N(对接源_02物料!$T$1),"02物料",""))</f>
        <v/>
      </c>
      <c r="C136" s="125" t="str">
        <f>IF($B136="","",IF($B136="01水果",IFERROR(INDEX(对接源_01水果!$B$5:$B$507,MATCH(ROW()-3,对接源_01水果!$Q$5:$Q$507,0)),""),IFERROR(INDEX(对接源_02物料!$B$5:$B$460,MATCH(ROW()-3-N(对接源_01水果!$T$1),对接源_02物料!$Q$5:$Q$460,0)),"")))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6" s="26" t="str">
        <f>IF($B136="","",IF($B136="01水果",IFERROR(INDEX(对接源_01水果!$C$5:$C$507,MATCH(ROW()-3,对接源_01水果!$Q$5:$Q$507,0)),""),IFERROR(INDEX(对接源_02物料!$C$5:$C$460,MATCH(ROW()-3-N(对接源_01水果!$T$1),对接源_02物料!$Q$5:$Q$460,0)),"")))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6" s="126" t="str">
        <f>IF($B136="","",IF($B136="01水果",IFERROR(INDEX(对接源_01水果!$D$5:$D$507,MATCH(ROW()-3,对接源_01水果!$Q$5:$Q$507,0)),""),IFERROR(INDEX(对接源_02物料!$D$5:$D$460,MATCH(ROW()-3-N(对接源_01水果!$T$1),对接源_02物料!$Q$5:$Q$460,0)),"")))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6" s="26" t="str">
        <f>IF($B136="","",IF($B136="01水果",IFERROR(INDEX(对接源_01水果!$E$5:$E$507,MATCH(ROW()-3,对接源_01水果!$Q$5:$Q$507,0)),""),IFERROR(INDEX(对接源_02物料!$E$5:$E$460,MATCH(ROW()-3-N(对接源_01水果!$T$1),对接源_02物料!$Q$5:$Q$460,0)),"")))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6" s="27" t="str">
        <f>IF($B136="","",IF($B136="01水果",IFERROR(INDEX(对接源_01水果!$F$5:$F$507,MATCH(ROW()-3,对接源_01水果!$Q$5:$Q$507,0)),""),IFERROR(INDEX(对接源_02物料!$F$5:$F$460,MATCH(ROW()-3-N(对接源_01水果!$T$1),对接源_02物料!$Q$5:$Q$460,0)),"")))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6" s="27" t="str">
        <f>IF($B136="","",IF($B136="01水果",IFERROR(INDEX(对接源_01水果!$G$5:$G$507,MATCH(ROW()-3,对接源_01水果!$Q$5:$Q$507,0)),""),IFERROR(INDEX(对接源_02物料!$G$5:$G$460,MATCH(ROW()-3-N(对接源_01水果!$T$1),对接源_02物料!$Q$5:$Q$460,0)),"")))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6" s="26" t="str">
        <f>IFERROR(INDEX(收入成本映射!$C$4:$C$34,MATCH($D136,收入成本映射!$B$4:$B$34,0)),"不记账")</f>
        <v>不记账</v>
      </c>
      <c r="J136" s="26" t="str">
        <f t="shared" si="18"/>
        <v/>
      </c>
      <c r="K136" s="27">
        <f t="shared" si="19"/>
        <v>0</v>
      </c>
      <c r="L136" s="27">
        <v>0</v>
      </c>
      <c r="M136" s="26" t="str">
        <f>IF(OR($I136="不记账",ROUND(N($G136),2)=0),"",IFERROR(INDEX(收入成本映射!$E$4:$E$34,MATCH($D136,收入成本映射!$B$4:$B$34,0)),""))</f>
        <v/>
      </c>
      <c r="N136" s="27" t="str">
        <f t="shared" si="20"/>
        <v/>
      </c>
      <c r="O136" s="27" t="str">
        <f t="shared" si="21"/>
        <v/>
      </c>
      <c r="P136" s="26" t="str">
        <f>IF($M136="","",IFERROR(INDEX(收入成本映射!$F$4:$F$34,MATCH($D136,收入成本映射!$B$4:$B$34,0)),""))</f>
        <v/>
      </c>
      <c r="Q136" s="27" t="str">
        <f t="shared" si="22"/>
        <v/>
      </c>
      <c r="R136" s="27" t="str">
        <f t="shared" si="23"/>
        <v/>
      </c>
      <c r="S136" s="26" t="str">
        <f t="shared" si="24"/>
        <v/>
      </c>
      <c r="T136" s="27" t="str">
        <f t="shared" si="25"/>
        <v/>
      </c>
      <c r="U136" s="27" t="str">
        <f t="shared" si="26"/>
        <v/>
      </c>
      <c r="V136" s="10" t="str">
        <f>IF($B136="","",IF($B136="01水果",IFERROR(INDEX(对接源_01水果!$H$5:$H$507,MATCH(ROW()-3,对接源_01水果!$Q$5:$Q$507,0)),""),IFERROR(INDEX(对接源_02物料!$H$5:$H$460,MATCH(ROW()-3-N(对接源_01水果!$T$1),对接源_02物料!$Q$5:$Q$460,0)),"")))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7" ht="18" customHeight="1" spans="1:22">
      <c r="A137" s="10">
        <v>134</v>
      </c>
      <c r="B137" s="26" t="str">
        <f>IF(ROW()-3&lt;=N(对接源_01水果!$T$1),"01水果",IF(ROW()-3&lt;=N(对接源_01水果!$T$1)+N(对接源_02物料!$T$1),"02物料",""))</f>
        <v/>
      </c>
      <c r="C137" s="125" t="str">
        <f>IF($B137="","",IF($B137="01水果",IFERROR(INDEX(对接源_01水果!$B$5:$B$507,MATCH(ROW()-3,对接源_01水果!$Q$5:$Q$507,0)),""),IFERROR(INDEX(对接源_02物料!$B$5:$B$460,MATCH(ROW()-3-N(对接源_01水果!$T$1),对接源_02物料!$Q$5:$Q$460,0)),"")))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7" s="26" t="str">
        <f>IF($B137="","",IF($B137="01水果",IFERROR(INDEX(对接源_01水果!$C$5:$C$507,MATCH(ROW()-3,对接源_01水果!$Q$5:$Q$507,0)),""),IFERROR(INDEX(对接源_02物料!$C$5:$C$460,MATCH(ROW()-3-N(对接源_01水果!$T$1),对接源_02物料!$Q$5:$Q$460,0)),"")))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7" s="126" t="str">
        <f>IF($B137="","",IF($B137="01水果",IFERROR(INDEX(对接源_01水果!$D$5:$D$507,MATCH(ROW()-3,对接源_01水果!$Q$5:$Q$507,0)),""),IFERROR(INDEX(对接源_02物料!$D$5:$D$460,MATCH(ROW()-3-N(对接源_01水果!$T$1),对接源_02物料!$Q$5:$Q$460,0)),"")))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7" s="26" t="str">
        <f>IF($B137="","",IF($B137="01水果",IFERROR(INDEX(对接源_01水果!$E$5:$E$507,MATCH(ROW()-3,对接源_01水果!$Q$5:$Q$507,0)),""),IFERROR(INDEX(对接源_02物料!$E$5:$E$460,MATCH(ROW()-3-N(对接源_01水果!$T$1),对接源_02物料!$Q$5:$Q$460,0)),"")))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7" s="27" t="str">
        <f>IF($B137="","",IF($B137="01水果",IFERROR(INDEX(对接源_01水果!$F$5:$F$507,MATCH(ROW()-3,对接源_01水果!$Q$5:$Q$507,0)),""),IFERROR(INDEX(对接源_02物料!$F$5:$F$460,MATCH(ROW()-3-N(对接源_01水果!$T$1),对接源_02物料!$Q$5:$Q$460,0)),"")))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7" s="27" t="str">
        <f>IF($B137="","",IF($B137="01水果",IFERROR(INDEX(对接源_01水果!$G$5:$G$507,MATCH(ROW()-3,对接源_01水果!$Q$5:$Q$507,0)),""),IFERROR(INDEX(对接源_02物料!$G$5:$G$460,MATCH(ROW()-3-N(对接源_01水果!$T$1),对接源_02物料!$Q$5:$Q$460,0)),"")))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7" s="26" t="str">
        <f>IFERROR(INDEX(收入成本映射!$C$4:$C$34,MATCH($D137,收入成本映射!$B$4:$B$34,0)),"不记账")</f>
        <v>不记账</v>
      </c>
      <c r="J137" s="26" t="str">
        <f t="shared" si="18"/>
        <v/>
      </c>
      <c r="K137" s="27">
        <f t="shared" si="19"/>
        <v>0</v>
      </c>
      <c r="L137" s="27">
        <v>0</v>
      </c>
      <c r="M137" s="26" t="str">
        <f>IF(OR($I137="不记账",ROUND(N($G137),2)=0),"",IFERROR(INDEX(收入成本映射!$E$4:$E$34,MATCH($D137,收入成本映射!$B$4:$B$34,0)),""))</f>
        <v/>
      </c>
      <c r="N137" s="27" t="str">
        <f t="shared" si="20"/>
        <v/>
      </c>
      <c r="O137" s="27" t="str">
        <f t="shared" si="21"/>
        <v/>
      </c>
      <c r="P137" s="26" t="str">
        <f>IF($M137="","",IFERROR(INDEX(收入成本映射!$F$4:$F$34,MATCH($D137,收入成本映射!$B$4:$B$34,0)),""))</f>
        <v/>
      </c>
      <c r="Q137" s="27" t="str">
        <f t="shared" si="22"/>
        <v/>
      </c>
      <c r="R137" s="27" t="str">
        <f t="shared" si="23"/>
        <v/>
      </c>
      <c r="S137" s="26" t="str">
        <f t="shared" si="24"/>
        <v/>
      </c>
      <c r="T137" s="27" t="str">
        <f t="shared" si="25"/>
        <v/>
      </c>
      <c r="U137" s="27" t="str">
        <f t="shared" si="26"/>
        <v/>
      </c>
      <c r="V137" s="10" t="str">
        <f>IF($B137="","",IF($B137="01水果",IFERROR(INDEX(对接源_01水果!$H$5:$H$507,MATCH(ROW()-3,对接源_01水果!$Q$5:$Q$507,0)),""),IFERROR(INDEX(对接源_02物料!$H$5:$H$460,MATCH(ROW()-3-N(对接源_01水果!$T$1),对接源_02物料!$Q$5:$Q$460,0)),"")))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8" ht="18" customHeight="1" spans="1:22">
      <c r="A138" s="10">
        <v>135</v>
      </c>
      <c r="B138" s="26" t="str">
        <f>IF(ROW()-3&lt;=N(对接源_01水果!$T$1),"01水果",IF(ROW()-3&lt;=N(对接源_01水果!$T$1)+N(对接源_02物料!$T$1),"02物料",""))</f>
        <v/>
      </c>
      <c r="C138" s="125" t="str">
        <f>IF($B138="","",IF($B138="01水果",IFERROR(INDEX(对接源_01水果!$B$5:$B$507,MATCH(ROW()-3,对接源_01水果!$Q$5:$Q$507,0)),""),IFERROR(INDEX(对接源_02物料!$B$5:$B$460,MATCH(ROW()-3-N(对接源_01水果!$T$1),对接源_02物料!$Q$5:$Q$460,0)),"")))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8" s="26" t="str">
        <f>IF($B138="","",IF($B138="01水果",IFERROR(INDEX(对接源_01水果!$C$5:$C$507,MATCH(ROW()-3,对接源_01水果!$Q$5:$Q$507,0)),""),IFERROR(INDEX(对接源_02物料!$C$5:$C$460,MATCH(ROW()-3-N(对接源_01水果!$T$1),对接源_02物料!$Q$5:$Q$460,0)),"")))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8" s="126" t="str">
        <f>IF($B138="","",IF($B138="01水果",IFERROR(INDEX(对接源_01水果!$D$5:$D$507,MATCH(ROW()-3,对接源_01水果!$Q$5:$Q$507,0)),""),IFERROR(INDEX(对接源_02物料!$D$5:$D$460,MATCH(ROW()-3-N(对接源_01水果!$T$1),对接源_02物料!$Q$5:$Q$460,0)),"")))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8" s="26" t="str">
        <f>IF($B138="","",IF($B138="01水果",IFERROR(INDEX(对接源_01水果!$E$5:$E$507,MATCH(ROW()-3,对接源_01水果!$Q$5:$Q$507,0)),""),IFERROR(INDEX(对接源_02物料!$E$5:$E$460,MATCH(ROW()-3-N(对接源_01水果!$T$1),对接源_02物料!$Q$5:$Q$460,0)),"")))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8" s="27" t="str">
        <f>IF($B138="","",IF($B138="01水果",IFERROR(INDEX(对接源_01水果!$F$5:$F$507,MATCH(ROW()-3,对接源_01水果!$Q$5:$Q$507,0)),""),IFERROR(INDEX(对接源_02物料!$F$5:$F$460,MATCH(ROW()-3-N(对接源_01水果!$T$1),对接源_02物料!$Q$5:$Q$460,0)),"")))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8" s="27" t="str">
        <f>IF($B138="","",IF($B138="01水果",IFERROR(INDEX(对接源_01水果!$G$5:$G$507,MATCH(ROW()-3,对接源_01水果!$Q$5:$Q$507,0)),""),IFERROR(INDEX(对接源_02物料!$G$5:$G$460,MATCH(ROW()-3-N(对接源_01水果!$T$1),对接源_02物料!$Q$5:$Q$460,0)),"")))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8" s="26" t="str">
        <f>IFERROR(INDEX(收入成本映射!$C$4:$C$34,MATCH($D138,收入成本映射!$B$4:$B$34,0)),"不记账")</f>
        <v>不记账</v>
      </c>
      <c r="J138" s="26" t="str">
        <f t="shared" si="18"/>
        <v/>
      </c>
      <c r="K138" s="27">
        <f t="shared" si="19"/>
        <v>0</v>
      </c>
      <c r="L138" s="27">
        <v>0</v>
      </c>
      <c r="M138" s="26" t="str">
        <f>IF(OR($I138="不记账",ROUND(N($G138),2)=0),"",IFERROR(INDEX(收入成本映射!$E$4:$E$34,MATCH($D138,收入成本映射!$B$4:$B$34,0)),""))</f>
        <v/>
      </c>
      <c r="N138" s="27" t="str">
        <f t="shared" si="20"/>
        <v/>
      </c>
      <c r="O138" s="27" t="str">
        <f t="shared" si="21"/>
        <v/>
      </c>
      <c r="P138" s="26" t="str">
        <f>IF($M138="","",IFERROR(INDEX(收入成本映射!$F$4:$F$34,MATCH($D138,收入成本映射!$B$4:$B$34,0)),""))</f>
        <v/>
      </c>
      <c r="Q138" s="27" t="str">
        <f t="shared" si="22"/>
        <v/>
      </c>
      <c r="R138" s="27" t="str">
        <f t="shared" si="23"/>
        <v/>
      </c>
      <c r="S138" s="26" t="str">
        <f t="shared" si="24"/>
        <v/>
      </c>
      <c r="T138" s="27" t="str">
        <f t="shared" si="25"/>
        <v/>
      </c>
      <c r="U138" s="27" t="str">
        <f t="shared" si="26"/>
        <v/>
      </c>
      <c r="V138" s="10" t="str">
        <f>IF($B138="","",IF($B138="01水果",IFERROR(INDEX(对接源_01水果!$H$5:$H$507,MATCH(ROW()-3,对接源_01水果!$Q$5:$Q$507,0)),""),IFERROR(INDEX(对接源_02物料!$H$5:$H$460,MATCH(ROW()-3-N(对接源_01水果!$T$1),对接源_02物料!$Q$5:$Q$460,0)),"")))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9" ht="18" customHeight="1" spans="1:22">
      <c r="A139" s="10">
        <v>136</v>
      </c>
      <c r="B139" s="26" t="str">
        <f>IF(ROW()-3&lt;=N(对接源_01水果!$T$1),"01水果",IF(ROW()-3&lt;=N(对接源_01水果!$T$1)+N(对接源_02物料!$T$1),"02物料",""))</f>
        <v/>
      </c>
      <c r="C139" s="125" t="str">
        <f>IF($B139="","",IF($B139="01水果",IFERROR(INDEX(对接源_01水果!$B$5:$B$507,MATCH(ROW()-3,对接源_01水果!$Q$5:$Q$507,0)),""),IFERROR(INDEX(对接源_02物料!$B$5:$B$460,MATCH(ROW()-3-N(对接源_01水果!$T$1),对接源_02物料!$Q$5:$Q$460,0)),"")))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9" s="26" t="str">
        <f>IF($B139="","",IF($B139="01水果",IFERROR(INDEX(对接源_01水果!$C$5:$C$507,MATCH(ROW()-3,对接源_01水果!$Q$5:$Q$507,0)),""),IFERROR(INDEX(对接源_02物料!$C$5:$C$460,MATCH(ROW()-3-N(对接源_01水果!$T$1),对接源_02物料!$Q$5:$Q$460,0)),"")))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9" s="126" t="str">
        <f>IF($B139="","",IF($B139="01水果",IFERROR(INDEX(对接源_01水果!$D$5:$D$507,MATCH(ROW()-3,对接源_01水果!$Q$5:$Q$507,0)),""),IFERROR(INDEX(对接源_02物料!$D$5:$D$460,MATCH(ROW()-3-N(对接源_01水果!$T$1),对接源_02物料!$Q$5:$Q$460,0)),"")))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9" s="26" t="str">
        <f>IF($B139="","",IF($B139="01水果",IFERROR(INDEX(对接源_01水果!$E$5:$E$507,MATCH(ROW()-3,对接源_01水果!$Q$5:$Q$507,0)),""),IFERROR(INDEX(对接源_02物料!$E$5:$E$460,MATCH(ROW()-3-N(对接源_01水果!$T$1),对接源_02物料!$Q$5:$Q$460,0)),"")))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9" s="27" t="str">
        <f>IF($B139="","",IF($B139="01水果",IFERROR(INDEX(对接源_01水果!$F$5:$F$507,MATCH(ROW()-3,对接源_01水果!$Q$5:$Q$507,0)),""),IFERROR(INDEX(对接源_02物料!$F$5:$F$460,MATCH(ROW()-3-N(对接源_01水果!$T$1),对接源_02物料!$Q$5:$Q$460,0)),"")))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9" s="27" t="str">
        <f>IF($B139="","",IF($B139="01水果",IFERROR(INDEX(对接源_01水果!$G$5:$G$507,MATCH(ROW()-3,对接源_01水果!$Q$5:$Q$507,0)),""),IFERROR(INDEX(对接源_02物料!$G$5:$G$460,MATCH(ROW()-3-N(对接源_01水果!$T$1),对接源_02物料!$Q$5:$Q$460,0)),"")))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9" s="26" t="str">
        <f>IFERROR(INDEX(收入成本映射!$C$4:$C$34,MATCH($D139,收入成本映射!$B$4:$B$34,0)),"不记账")</f>
        <v>不记账</v>
      </c>
      <c r="J139" s="26" t="str">
        <f t="shared" si="18"/>
        <v/>
      </c>
      <c r="K139" s="27">
        <f t="shared" si="19"/>
        <v>0</v>
      </c>
      <c r="L139" s="27">
        <v>0</v>
      </c>
      <c r="M139" s="26" t="str">
        <f>IF(OR($I139="不记账",ROUND(N($G139),2)=0),"",IFERROR(INDEX(收入成本映射!$E$4:$E$34,MATCH($D139,收入成本映射!$B$4:$B$34,0)),""))</f>
        <v/>
      </c>
      <c r="N139" s="27" t="str">
        <f t="shared" si="20"/>
        <v/>
      </c>
      <c r="O139" s="27" t="str">
        <f t="shared" si="21"/>
        <v/>
      </c>
      <c r="P139" s="26" t="str">
        <f>IF($M139="","",IFERROR(INDEX(收入成本映射!$F$4:$F$34,MATCH($D139,收入成本映射!$B$4:$B$34,0)),""))</f>
        <v/>
      </c>
      <c r="Q139" s="27" t="str">
        <f t="shared" si="22"/>
        <v/>
      </c>
      <c r="R139" s="27" t="str">
        <f t="shared" si="23"/>
        <v/>
      </c>
      <c r="S139" s="26" t="str">
        <f t="shared" si="24"/>
        <v/>
      </c>
      <c r="T139" s="27" t="str">
        <f t="shared" si="25"/>
        <v/>
      </c>
      <c r="U139" s="27" t="str">
        <f t="shared" si="26"/>
        <v/>
      </c>
      <c r="V139" s="10" t="str">
        <f>IF($B139="","",IF($B139="01水果",IFERROR(INDEX(对接源_01水果!$H$5:$H$507,MATCH(ROW()-3,对接源_01水果!$Q$5:$Q$507,0)),""),IFERROR(INDEX(对接源_02物料!$H$5:$H$460,MATCH(ROW()-3-N(对接源_01水果!$T$1),对接源_02物料!$Q$5:$Q$460,0)),"")))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0" ht="18" customHeight="1" spans="1:22">
      <c r="A140" s="10">
        <v>137</v>
      </c>
      <c r="B140" s="26" t="str">
        <f>IF(ROW()-3&lt;=N(对接源_01水果!$T$1),"01水果",IF(ROW()-3&lt;=N(对接源_01水果!$T$1)+N(对接源_02物料!$T$1),"02物料",""))</f>
        <v/>
      </c>
      <c r="C140" s="125" t="str">
        <f>IF($B140="","",IF($B140="01水果",IFERROR(INDEX(对接源_01水果!$B$5:$B$507,MATCH(ROW()-3,对接源_01水果!$Q$5:$Q$507,0)),""),IFERROR(INDEX(对接源_02物料!$B$5:$B$460,MATCH(ROW()-3-N(对接源_01水果!$T$1),对接源_02物料!$Q$5:$Q$460,0)),"")))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0" s="26" t="str">
        <f>IF($B140="","",IF($B140="01水果",IFERROR(INDEX(对接源_01水果!$C$5:$C$507,MATCH(ROW()-3,对接源_01水果!$Q$5:$Q$507,0)),""),IFERROR(INDEX(对接源_02物料!$C$5:$C$460,MATCH(ROW()-3-N(对接源_01水果!$T$1),对接源_02物料!$Q$5:$Q$460,0)),"")))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0" s="126" t="str">
        <f>IF($B140="","",IF($B140="01水果",IFERROR(INDEX(对接源_01水果!$D$5:$D$507,MATCH(ROW()-3,对接源_01水果!$Q$5:$Q$507,0)),""),IFERROR(INDEX(对接源_02物料!$D$5:$D$460,MATCH(ROW()-3-N(对接源_01水果!$T$1),对接源_02物料!$Q$5:$Q$460,0)),"")))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0" s="26" t="str">
        <f>IF($B140="","",IF($B140="01水果",IFERROR(INDEX(对接源_01水果!$E$5:$E$507,MATCH(ROW()-3,对接源_01水果!$Q$5:$Q$507,0)),""),IFERROR(INDEX(对接源_02物料!$E$5:$E$460,MATCH(ROW()-3-N(对接源_01水果!$T$1),对接源_02物料!$Q$5:$Q$460,0)),"")))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0" s="27" t="str">
        <f>IF($B140="","",IF($B140="01水果",IFERROR(INDEX(对接源_01水果!$F$5:$F$507,MATCH(ROW()-3,对接源_01水果!$Q$5:$Q$507,0)),""),IFERROR(INDEX(对接源_02物料!$F$5:$F$460,MATCH(ROW()-3-N(对接源_01水果!$T$1),对接源_02物料!$Q$5:$Q$460,0)),"")))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0" s="27" t="str">
        <f>IF($B140="","",IF($B140="01水果",IFERROR(INDEX(对接源_01水果!$G$5:$G$507,MATCH(ROW()-3,对接源_01水果!$Q$5:$Q$507,0)),""),IFERROR(INDEX(对接源_02物料!$G$5:$G$460,MATCH(ROW()-3-N(对接源_01水果!$T$1),对接源_02物料!$Q$5:$Q$460,0)),"")))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0" s="26" t="str">
        <f>IFERROR(INDEX(收入成本映射!$C$4:$C$34,MATCH($D140,收入成本映射!$B$4:$B$34,0)),"不记账")</f>
        <v>不记账</v>
      </c>
      <c r="J140" s="26" t="str">
        <f t="shared" si="18"/>
        <v/>
      </c>
      <c r="K140" s="27">
        <f t="shared" si="19"/>
        <v>0</v>
      </c>
      <c r="L140" s="27">
        <v>0</v>
      </c>
      <c r="M140" s="26" t="str">
        <f>IF(OR($I140="不记账",ROUND(N($G140),2)=0),"",IFERROR(INDEX(收入成本映射!$E$4:$E$34,MATCH($D140,收入成本映射!$B$4:$B$34,0)),""))</f>
        <v/>
      </c>
      <c r="N140" s="27" t="str">
        <f t="shared" si="20"/>
        <v/>
      </c>
      <c r="O140" s="27" t="str">
        <f t="shared" si="21"/>
        <v/>
      </c>
      <c r="P140" s="26" t="str">
        <f>IF($M140="","",IFERROR(INDEX(收入成本映射!$F$4:$F$34,MATCH($D140,收入成本映射!$B$4:$B$34,0)),""))</f>
        <v/>
      </c>
      <c r="Q140" s="27" t="str">
        <f t="shared" si="22"/>
        <v/>
      </c>
      <c r="R140" s="27" t="str">
        <f t="shared" si="23"/>
        <v/>
      </c>
      <c r="S140" s="26" t="str">
        <f t="shared" si="24"/>
        <v/>
      </c>
      <c r="T140" s="27" t="str">
        <f t="shared" si="25"/>
        <v/>
      </c>
      <c r="U140" s="27" t="str">
        <f t="shared" si="26"/>
        <v/>
      </c>
      <c r="V140" s="10" t="str">
        <f>IF($B140="","",IF($B140="01水果",IFERROR(INDEX(对接源_01水果!$H$5:$H$507,MATCH(ROW()-3,对接源_01水果!$Q$5:$Q$507,0)),""),IFERROR(INDEX(对接源_02物料!$H$5:$H$460,MATCH(ROW()-3-N(对接源_01水果!$T$1),对接源_02物料!$Q$5:$Q$460,0)),"")))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1" ht="18" customHeight="1" spans="1:22">
      <c r="A141" s="10">
        <v>138</v>
      </c>
      <c r="B141" s="26" t="str">
        <f>IF(ROW()-3&lt;=N(对接源_01水果!$T$1),"01水果",IF(ROW()-3&lt;=N(对接源_01水果!$T$1)+N(对接源_02物料!$T$1),"02物料",""))</f>
        <v/>
      </c>
      <c r="C141" s="125" t="str">
        <f>IF($B141="","",IF($B141="01水果",IFERROR(INDEX(对接源_01水果!$B$5:$B$507,MATCH(ROW()-3,对接源_01水果!$Q$5:$Q$507,0)),""),IFERROR(INDEX(对接源_02物料!$B$5:$B$460,MATCH(ROW()-3-N(对接源_01水果!$T$1),对接源_02物料!$Q$5:$Q$460,0)),"")))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1" s="26" t="str">
        <f>IF($B141="","",IF($B141="01水果",IFERROR(INDEX(对接源_01水果!$C$5:$C$507,MATCH(ROW()-3,对接源_01水果!$Q$5:$Q$507,0)),""),IFERROR(INDEX(对接源_02物料!$C$5:$C$460,MATCH(ROW()-3-N(对接源_01水果!$T$1),对接源_02物料!$Q$5:$Q$460,0)),"")))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1" s="126" t="str">
        <f>IF($B141="","",IF($B141="01水果",IFERROR(INDEX(对接源_01水果!$D$5:$D$507,MATCH(ROW()-3,对接源_01水果!$Q$5:$Q$507,0)),""),IFERROR(INDEX(对接源_02物料!$D$5:$D$460,MATCH(ROW()-3-N(对接源_01水果!$T$1),对接源_02物料!$Q$5:$Q$460,0)),"")))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1" s="26" t="str">
        <f>IF($B141="","",IF($B141="01水果",IFERROR(INDEX(对接源_01水果!$E$5:$E$507,MATCH(ROW()-3,对接源_01水果!$Q$5:$Q$507,0)),""),IFERROR(INDEX(对接源_02物料!$E$5:$E$460,MATCH(ROW()-3-N(对接源_01水果!$T$1),对接源_02物料!$Q$5:$Q$460,0)),"")))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1" s="27" t="str">
        <f>IF($B141="","",IF($B141="01水果",IFERROR(INDEX(对接源_01水果!$F$5:$F$507,MATCH(ROW()-3,对接源_01水果!$Q$5:$Q$507,0)),""),IFERROR(INDEX(对接源_02物料!$F$5:$F$460,MATCH(ROW()-3-N(对接源_01水果!$T$1),对接源_02物料!$Q$5:$Q$460,0)),"")))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1" s="27" t="str">
        <f>IF($B141="","",IF($B141="01水果",IFERROR(INDEX(对接源_01水果!$G$5:$G$507,MATCH(ROW()-3,对接源_01水果!$Q$5:$Q$507,0)),""),IFERROR(INDEX(对接源_02物料!$G$5:$G$460,MATCH(ROW()-3-N(对接源_01水果!$T$1),对接源_02物料!$Q$5:$Q$460,0)),"")))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1" s="26" t="str">
        <f>IFERROR(INDEX(收入成本映射!$C$4:$C$34,MATCH($D141,收入成本映射!$B$4:$B$34,0)),"不记账")</f>
        <v>不记账</v>
      </c>
      <c r="J141" s="26" t="str">
        <f t="shared" si="18"/>
        <v/>
      </c>
      <c r="K141" s="27">
        <f t="shared" si="19"/>
        <v>0</v>
      </c>
      <c r="L141" s="27">
        <v>0</v>
      </c>
      <c r="M141" s="26" t="str">
        <f>IF(OR($I141="不记账",ROUND(N($G141),2)=0),"",IFERROR(INDEX(收入成本映射!$E$4:$E$34,MATCH($D141,收入成本映射!$B$4:$B$34,0)),""))</f>
        <v/>
      </c>
      <c r="N141" s="27" t="str">
        <f t="shared" si="20"/>
        <v/>
      </c>
      <c r="O141" s="27" t="str">
        <f t="shared" si="21"/>
        <v/>
      </c>
      <c r="P141" s="26" t="str">
        <f>IF($M141="","",IFERROR(INDEX(收入成本映射!$F$4:$F$34,MATCH($D141,收入成本映射!$B$4:$B$34,0)),""))</f>
        <v/>
      </c>
      <c r="Q141" s="27" t="str">
        <f t="shared" si="22"/>
        <v/>
      </c>
      <c r="R141" s="27" t="str">
        <f t="shared" si="23"/>
        <v/>
      </c>
      <c r="S141" s="26" t="str">
        <f t="shared" si="24"/>
        <v/>
      </c>
      <c r="T141" s="27" t="str">
        <f t="shared" si="25"/>
        <v/>
      </c>
      <c r="U141" s="27" t="str">
        <f t="shared" si="26"/>
        <v/>
      </c>
      <c r="V141" s="10" t="str">
        <f>IF($B141="","",IF($B141="01水果",IFERROR(INDEX(对接源_01水果!$H$5:$H$507,MATCH(ROW()-3,对接源_01水果!$Q$5:$Q$507,0)),""),IFERROR(INDEX(对接源_02物料!$H$5:$H$460,MATCH(ROW()-3-N(对接源_01水果!$T$1),对接源_02物料!$Q$5:$Q$460,0)),"")))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2" ht="18" customHeight="1" spans="1:22">
      <c r="A142" s="10">
        <v>139</v>
      </c>
      <c r="B142" s="26" t="str">
        <f>IF(ROW()-3&lt;=N(对接源_01水果!$T$1),"01水果",IF(ROW()-3&lt;=N(对接源_01水果!$T$1)+N(对接源_02物料!$T$1),"02物料",""))</f>
        <v/>
      </c>
      <c r="C142" s="125" t="str">
        <f>IF($B142="","",IF($B142="01水果",IFERROR(INDEX(对接源_01水果!$B$5:$B$507,MATCH(ROW()-3,对接源_01水果!$Q$5:$Q$507,0)),""),IFERROR(INDEX(对接源_02物料!$B$5:$B$460,MATCH(ROW()-3-N(对接源_01水果!$T$1),对接源_02物料!$Q$5:$Q$460,0)),"")))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2" s="26" t="str">
        <f>IF($B142="","",IF($B142="01水果",IFERROR(INDEX(对接源_01水果!$C$5:$C$507,MATCH(ROW()-3,对接源_01水果!$Q$5:$Q$507,0)),""),IFERROR(INDEX(对接源_02物料!$C$5:$C$460,MATCH(ROW()-3-N(对接源_01水果!$T$1),对接源_02物料!$Q$5:$Q$460,0)),"")))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2" s="126" t="str">
        <f>IF($B142="","",IF($B142="01水果",IFERROR(INDEX(对接源_01水果!$D$5:$D$507,MATCH(ROW()-3,对接源_01水果!$Q$5:$Q$507,0)),""),IFERROR(INDEX(对接源_02物料!$D$5:$D$460,MATCH(ROW()-3-N(对接源_01水果!$T$1),对接源_02物料!$Q$5:$Q$460,0)),"")))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2" s="26" t="str">
        <f>IF($B142="","",IF($B142="01水果",IFERROR(INDEX(对接源_01水果!$E$5:$E$507,MATCH(ROW()-3,对接源_01水果!$Q$5:$Q$507,0)),""),IFERROR(INDEX(对接源_02物料!$E$5:$E$460,MATCH(ROW()-3-N(对接源_01水果!$T$1),对接源_02物料!$Q$5:$Q$460,0)),"")))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2" s="27" t="str">
        <f>IF($B142="","",IF($B142="01水果",IFERROR(INDEX(对接源_01水果!$F$5:$F$507,MATCH(ROW()-3,对接源_01水果!$Q$5:$Q$507,0)),""),IFERROR(INDEX(对接源_02物料!$F$5:$F$460,MATCH(ROW()-3-N(对接源_01水果!$T$1),对接源_02物料!$Q$5:$Q$460,0)),"")))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2" s="27" t="str">
        <f>IF($B142="","",IF($B142="01水果",IFERROR(INDEX(对接源_01水果!$G$5:$G$507,MATCH(ROW()-3,对接源_01水果!$Q$5:$Q$507,0)),""),IFERROR(INDEX(对接源_02物料!$G$5:$G$460,MATCH(ROW()-3-N(对接源_01水果!$T$1),对接源_02物料!$Q$5:$Q$460,0)),"")))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2" s="26" t="str">
        <f>IFERROR(INDEX(收入成本映射!$C$4:$C$34,MATCH($D142,收入成本映射!$B$4:$B$34,0)),"不记账")</f>
        <v>不记账</v>
      </c>
      <c r="J142" s="26" t="str">
        <f t="shared" si="18"/>
        <v/>
      </c>
      <c r="K142" s="27">
        <f t="shared" si="19"/>
        <v>0</v>
      </c>
      <c r="L142" s="27">
        <v>0</v>
      </c>
      <c r="M142" s="26" t="str">
        <f>IF(OR($I142="不记账",ROUND(N($G142),2)=0),"",IFERROR(INDEX(收入成本映射!$E$4:$E$34,MATCH($D142,收入成本映射!$B$4:$B$34,0)),""))</f>
        <v/>
      </c>
      <c r="N142" s="27" t="str">
        <f t="shared" si="20"/>
        <v/>
      </c>
      <c r="O142" s="27" t="str">
        <f t="shared" si="21"/>
        <v/>
      </c>
      <c r="P142" s="26" t="str">
        <f>IF($M142="","",IFERROR(INDEX(收入成本映射!$F$4:$F$34,MATCH($D142,收入成本映射!$B$4:$B$34,0)),""))</f>
        <v/>
      </c>
      <c r="Q142" s="27" t="str">
        <f t="shared" si="22"/>
        <v/>
      </c>
      <c r="R142" s="27" t="str">
        <f t="shared" si="23"/>
        <v/>
      </c>
      <c r="S142" s="26" t="str">
        <f t="shared" si="24"/>
        <v/>
      </c>
      <c r="T142" s="27" t="str">
        <f t="shared" si="25"/>
        <v/>
      </c>
      <c r="U142" s="27" t="str">
        <f t="shared" si="26"/>
        <v/>
      </c>
      <c r="V142" s="10" t="str">
        <f>IF($B142="","",IF($B142="01水果",IFERROR(INDEX(对接源_01水果!$H$5:$H$507,MATCH(ROW()-3,对接源_01水果!$Q$5:$Q$507,0)),""),IFERROR(INDEX(对接源_02物料!$H$5:$H$460,MATCH(ROW()-3-N(对接源_01水果!$T$1),对接源_02物料!$Q$5:$Q$460,0)),"")))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3" ht="18" customHeight="1" spans="1:22">
      <c r="A143" s="10">
        <v>140</v>
      </c>
      <c r="B143" s="26" t="str">
        <f>IF(ROW()-3&lt;=N(对接源_01水果!$T$1),"01水果",IF(ROW()-3&lt;=N(对接源_01水果!$T$1)+N(对接源_02物料!$T$1),"02物料",""))</f>
        <v/>
      </c>
      <c r="C143" s="125" t="str">
        <f>IF($B143="","",IF($B143="01水果",IFERROR(INDEX(对接源_01水果!$B$5:$B$507,MATCH(ROW()-3,对接源_01水果!$Q$5:$Q$507,0)),""),IFERROR(INDEX(对接源_02物料!$B$5:$B$460,MATCH(ROW()-3-N(对接源_01水果!$T$1),对接源_02物料!$Q$5:$Q$460,0)),"")))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3" s="26" t="str">
        <f>IF($B143="","",IF($B143="01水果",IFERROR(INDEX(对接源_01水果!$C$5:$C$507,MATCH(ROW()-3,对接源_01水果!$Q$5:$Q$507,0)),""),IFERROR(INDEX(对接源_02物料!$C$5:$C$460,MATCH(ROW()-3-N(对接源_01水果!$T$1),对接源_02物料!$Q$5:$Q$460,0)),"")))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3" s="126" t="str">
        <f>IF($B143="","",IF($B143="01水果",IFERROR(INDEX(对接源_01水果!$D$5:$D$507,MATCH(ROW()-3,对接源_01水果!$Q$5:$Q$507,0)),""),IFERROR(INDEX(对接源_02物料!$D$5:$D$460,MATCH(ROW()-3-N(对接源_01水果!$T$1),对接源_02物料!$Q$5:$Q$460,0)),"")))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3" s="26" t="str">
        <f>IF($B143="","",IF($B143="01水果",IFERROR(INDEX(对接源_01水果!$E$5:$E$507,MATCH(ROW()-3,对接源_01水果!$Q$5:$Q$507,0)),""),IFERROR(INDEX(对接源_02物料!$E$5:$E$460,MATCH(ROW()-3-N(对接源_01水果!$T$1),对接源_02物料!$Q$5:$Q$460,0)),"")))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3" s="27" t="str">
        <f>IF($B143="","",IF($B143="01水果",IFERROR(INDEX(对接源_01水果!$F$5:$F$507,MATCH(ROW()-3,对接源_01水果!$Q$5:$Q$507,0)),""),IFERROR(INDEX(对接源_02物料!$F$5:$F$460,MATCH(ROW()-3-N(对接源_01水果!$T$1),对接源_02物料!$Q$5:$Q$460,0)),"")))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3" s="27" t="str">
        <f>IF($B143="","",IF($B143="01水果",IFERROR(INDEX(对接源_01水果!$G$5:$G$507,MATCH(ROW()-3,对接源_01水果!$Q$5:$Q$507,0)),""),IFERROR(INDEX(对接源_02物料!$G$5:$G$460,MATCH(ROW()-3-N(对接源_01水果!$T$1),对接源_02物料!$Q$5:$Q$460,0)),"")))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3" s="26" t="str">
        <f>IFERROR(INDEX(收入成本映射!$C$4:$C$34,MATCH($D143,收入成本映射!$B$4:$B$34,0)),"不记账")</f>
        <v>不记账</v>
      </c>
      <c r="J143" s="26" t="str">
        <f t="shared" si="18"/>
        <v/>
      </c>
      <c r="K143" s="27">
        <f t="shared" si="19"/>
        <v>0</v>
      </c>
      <c r="L143" s="27">
        <v>0</v>
      </c>
      <c r="M143" s="26" t="str">
        <f>IF(OR($I143="不记账",ROUND(N($G143),2)=0),"",IFERROR(INDEX(收入成本映射!$E$4:$E$34,MATCH($D143,收入成本映射!$B$4:$B$34,0)),""))</f>
        <v/>
      </c>
      <c r="N143" s="27" t="str">
        <f t="shared" si="20"/>
        <v/>
      </c>
      <c r="O143" s="27" t="str">
        <f t="shared" si="21"/>
        <v/>
      </c>
      <c r="P143" s="26" t="str">
        <f>IF($M143="","",IFERROR(INDEX(收入成本映射!$F$4:$F$34,MATCH($D143,收入成本映射!$B$4:$B$34,0)),""))</f>
        <v/>
      </c>
      <c r="Q143" s="27" t="str">
        <f t="shared" si="22"/>
        <v/>
      </c>
      <c r="R143" s="27" t="str">
        <f t="shared" si="23"/>
        <v/>
      </c>
      <c r="S143" s="26" t="str">
        <f t="shared" si="24"/>
        <v/>
      </c>
      <c r="T143" s="27" t="str">
        <f t="shared" si="25"/>
        <v/>
      </c>
      <c r="U143" s="27" t="str">
        <f t="shared" si="26"/>
        <v/>
      </c>
      <c r="V143" s="10" t="str">
        <f>IF($B143="","",IF($B143="01水果",IFERROR(INDEX(对接源_01水果!$H$5:$H$507,MATCH(ROW()-3,对接源_01水果!$Q$5:$Q$507,0)),""),IFERROR(INDEX(对接源_02物料!$H$5:$H$460,MATCH(ROW()-3-N(对接源_01水果!$T$1),对接源_02物料!$Q$5:$Q$460,0)),"")))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4" ht="18" customHeight="1" spans="1:22">
      <c r="A144" s="10">
        <v>141</v>
      </c>
      <c r="B144" s="26" t="str">
        <f>IF(ROW()-3&lt;=N(对接源_01水果!$T$1),"01水果",IF(ROW()-3&lt;=N(对接源_01水果!$T$1)+N(对接源_02物料!$T$1),"02物料",""))</f>
        <v/>
      </c>
      <c r="C144" s="125" t="str">
        <f>IF($B144="","",IF($B144="01水果",IFERROR(INDEX(对接源_01水果!$B$5:$B$507,MATCH(ROW()-3,对接源_01水果!$Q$5:$Q$507,0)),""),IFERROR(INDEX(对接源_02物料!$B$5:$B$460,MATCH(ROW()-3-N(对接源_01水果!$T$1),对接源_02物料!$Q$5:$Q$460,0)),"")))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4" s="26" t="str">
        <f>IF($B144="","",IF($B144="01水果",IFERROR(INDEX(对接源_01水果!$C$5:$C$507,MATCH(ROW()-3,对接源_01水果!$Q$5:$Q$507,0)),""),IFERROR(INDEX(对接源_02物料!$C$5:$C$460,MATCH(ROW()-3-N(对接源_01水果!$T$1),对接源_02物料!$Q$5:$Q$460,0)),"")))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4" s="126" t="str">
        <f>IF($B144="","",IF($B144="01水果",IFERROR(INDEX(对接源_01水果!$D$5:$D$507,MATCH(ROW()-3,对接源_01水果!$Q$5:$Q$507,0)),""),IFERROR(INDEX(对接源_02物料!$D$5:$D$460,MATCH(ROW()-3-N(对接源_01水果!$T$1),对接源_02物料!$Q$5:$Q$460,0)),"")))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4" s="26" t="str">
        <f>IF($B144="","",IF($B144="01水果",IFERROR(INDEX(对接源_01水果!$E$5:$E$507,MATCH(ROW()-3,对接源_01水果!$Q$5:$Q$507,0)),""),IFERROR(INDEX(对接源_02物料!$E$5:$E$460,MATCH(ROW()-3-N(对接源_01水果!$T$1),对接源_02物料!$Q$5:$Q$460,0)),"")))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4" s="27" t="str">
        <f>IF($B144="","",IF($B144="01水果",IFERROR(INDEX(对接源_01水果!$F$5:$F$507,MATCH(ROW()-3,对接源_01水果!$Q$5:$Q$507,0)),""),IFERROR(INDEX(对接源_02物料!$F$5:$F$460,MATCH(ROW()-3-N(对接源_01水果!$T$1),对接源_02物料!$Q$5:$Q$460,0)),"")))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4" s="27" t="str">
        <f>IF($B144="","",IF($B144="01水果",IFERROR(INDEX(对接源_01水果!$G$5:$G$507,MATCH(ROW()-3,对接源_01水果!$Q$5:$Q$507,0)),""),IFERROR(INDEX(对接源_02物料!$G$5:$G$460,MATCH(ROW()-3-N(对接源_01水果!$T$1),对接源_02物料!$Q$5:$Q$460,0)),"")))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4" s="26" t="str">
        <f>IFERROR(INDEX(收入成本映射!$C$4:$C$34,MATCH($D144,收入成本映射!$B$4:$B$34,0)),"不记账")</f>
        <v>不记账</v>
      </c>
      <c r="J144" s="26" t="str">
        <f t="shared" si="18"/>
        <v/>
      </c>
      <c r="K144" s="27">
        <f t="shared" si="19"/>
        <v>0</v>
      </c>
      <c r="L144" s="27">
        <v>0</v>
      </c>
      <c r="M144" s="26" t="str">
        <f>IF(OR($I144="不记账",ROUND(N($G144),2)=0),"",IFERROR(INDEX(收入成本映射!$E$4:$E$34,MATCH($D144,收入成本映射!$B$4:$B$34,0)),""))</f>
        <v/>
      </c>
      <c r="N144" s="27" t="str">
        <f t="shared" si="20"/>
        <v/>
      </c>
      <c r="O144" s="27" t="str">
        <f t="shared" si="21"/>
        <v/>
      </c>
      <c r="P144" s="26" t="str">
        <f>IF($M144="","",IFERROR(INDEX(收入成本映射!$F$4:$F$34,MATCH($D144,收入成本映射!$B$4:$B$34,0)),""))</f>
        <v/>
      </c>
      <c r="Q144" s="27" t="str">
        <f t="shared" si="22"/>
        <v/>
      </c>
      <c r="R144" s="27" t="str">
        <f t="shared" si="23"/>
        <v/>
      </c>
      <c r="S144" s="26" t="str">
        <f t="shared" si="24"/>
        <v/>
      </c>
      <c r="T144" s="27" t="str">
        <f t="shared" si="25"/>
        <v/>
      </c>
      <c r="U144" s="27" t="str">
        <f t="shared" si="26"/>
        <v/>
      </c>
      <c r="V144" s="10" t="str">
        <f>IF($B144="","",IF($B144="01水果",IFERROR(INDEX(对接源_01水果!$H$5:$H$507,MATCH(ROW()-3,对接源_01水果!$Q$5:$Q$507,0)),""),IFERROR(INDEX(对接源_02物料!$H$5:$H$460,MATCH(ROW()-3-N(对接源_01水果!$T$1),对接源_02物料!$Q$5:$Q$460,0)),"")))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5" ht="18" customHeight="1" spans="1:22">
      <c r="A145" s="10">
        <v>142</v>
      </c>
      <c r="B145" s="26" t="str">
        <f>IF(ROW()-3&lt;=N(对接源_01水果!$T$1),"01水果",IF(ROW()-3&lt;=N(对接源_01水果!$T$1)+N(对接源_02物料!$T$1),"02物料",""))</f>
        <v/>
      </c>
      <c r="C145" s="125" t="str">
        <f>IF($B145="","",IF($B145="01水果",IFERROR(INDEX(对接源_01水果!$B$5:$B$507,MATCH(ROW()-3,对接源_01水果!$Q$5:$Q$507,0)),""),IFERROR(INDEX(对接源_02物料!$B$5:$B$460,MATCH(ROW()-3-N(对接源_01水果!$T$1),对接源_02物料!$Q$5:$Q$460,0)),"")))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5" s="26" t="str">
        <f>IF($B145="","",IF($B145="01水果",IFERROR(INDEX(对接源_01水果!$C$5:$C$507,MATCH(ROW()-3,对接源_01水果!$Q$5:$Q$507,0)),""),IFERROR(INDEX(对接源_02物料!$C$5:$C$460,MATCH(ROW()-3-N(对接源_01水果!$T$1),对接源_02物料!$Q$5:$Q$460,0)),"")))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5" s="126" t="str">
        <f>IF($B145="","",IF($B145="01水果",IFERROR(INDEX(对接源_01水果!$D$5:$D$507,MATCH(ROW()-3,对接源_01水果!$Q$5:$Q$507,0)),""),IFERROR(INDEX(对接源_02物料!$D$5:$D$460,MATCH(ROW()-3-N(对接源_01水果!$T$1),对接源_02物料!$Q$5:$Q$460,0)),"")))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5" s="26" t="str">
        <f>IF($B145="","",IF($B145="01水果",IFERROR(INDEX(对接源_01水果!$E$5:$E$507,MATCH(ROW()-3,对接源_01水果!$Q$5:$Q$507,0)),""),IFERROR(INDEX(对接源_02物料!$E$5:$E$460,MATCH(ROW()-3-N(对接源_01水果!$T$1),对接源_02物料!$Q$5:$Q$460,0)),"")))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5" s="27" t="str">
        <f>IF($B145="","",IF($B145="01水果",IFERROR(INDEX(对接源_01水果!$F$5:$F$507,MATCH(ROW()-3,对接源_01水果!$Q$5:$Q$507,0)),""),IFERROR(INDEX(对接源_02物料!$F$5:$F$460,MATCH(ROW()-3-N(对接源_01水果!$T$1),对接源_02物料!$Q$5:$Q$460,0)),"")))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5" s="27" t="str">
        <f>IF($B145="","",IF($B145="01水果",IFERROR(INDEX(对接源_01水果!$G$5:$G$507,MATCH(ROW()-3,对接源_01水果!$Q$5:$Q$507,0)),""),IFERROR(INDEX(对接源_02物料!$G$5:$G$460,MATCH(ROW()-3-N(对接源_01水果!$T$1),对接源_02物料!$Q$5:$Q$460,0)),"")))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5" s="26" t="str">
        <f>IFERROR(INDEX(收入成本映射!$C$4:$C$34,MATCH($D145,收入成本映射!$B$4:$B$34,0)),"不记账")</f>
        <v>不记账</v>
      </c>
      <c r="J145" s="26" t="str">
        <f t="shared" si="18"/>
        <v/>
      </c>
      <c r="K145" s="27">
        <f t="shared" si="19"/>
        <v>0</v>
      </c>
      <c r="L145" s="27">
        <v>0</v>
      </c>
      <c r="M145" s="26" t="str">
        <f>IF(OR($I145="不记账",ROUND(N($G145),2)=0),"",IFERROR(INDEX(收入成本映射!$E$4:$E$34,MATCH($D145,收入成本映射!$B$4:$B$34,0)),""))</f>
        <v/>
      </c>
      <c r="N145" s="27" t="str">
        <f t="shared" si="20"/>
        <v/>
      </c>
      <c r="O145" s="27" t="str">
        <f t="shared" si="21"/>
        <v/>
      </c>
      <c r="P145" s="26" t="str">
        <f>IF($M145="","",IFERROR(INDEX(收入成本映射!$F$4:$F$34,MATCH($D145,收入成本映射!$B$4:$B$34,0)),""))</f>
        <v/>
      </c>
      <c r="Q145" s="27" t="str">
        <f t="shared" si="22"/>
        <v/>
      </c>
      <c r="R145" s="27" t="str">
        <f t="shared" si="23"/>
        <v/>
      </c>
      <c r="S145" s="26" t="str">
        <f t="shared" si="24"/>
        <v/>
      </c>
      <c r="T145" s="27" t="str">
        <f t="shared" si="25"/>
        <v/>
      </c>
      <c r="U145" s="27" t="str">
        <f t="shared" si="26"/>
        <v/>
      </c>
      <c r="V145" s="10" t="str">
        <f>IF($B145="","",IF($B145="01水果",IFERROR(INDEX(对接源_01水果!$H$5:$H$507,MATCH(ROW()-3,对接源_01水果!$Q$5:$Q$507,0)),""),IFERROR(INDEX(对接源_02物料!$H$5:$H$460,MATCH(ROW()-3-N(对接源_01水果!$T$1),对接源_02物料!$Q$5:$Q$460,0)),"")))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6" ht="18" customHeight="1" spans="1:22">
      <c r="A146" s="10">
        <v>143</v>
      </c>
      <c r="B146" s="26" t="str">
        <f>IF(ROW()-3&lt;=N(对接源_01水果!$T$1),"01水果",IF(ROW()-3&lt;=N(对接源_01水果!$T$1)+N(对接源_02物料!$T$1),"02物料",""))</f>
        <v/>
      </c>
      <c r="C146" s="125" t="str">
        <f>IF($B146="","",IF($B146="01水果",IFERROR(INDEX(对接源_01水果!$B$5:$B$507,MATCH(ROW()-3,对接源_01水果!$Q$5:$Q$507,0)),""),IFERROR(INDEX(对接源_02物料!$B$5:$B$460,MATCH(ROW()-3-N(对接源_01水果!$T$1),对接源_02物料!$Q$5:$Q$460,0)),"")))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6" s="26" t="str">
        <f>IF($B146="","",IF($B146="01水果",IFERROR(INDEX(对接源_01水果!$C$5:$C$507,MATCH(ROW()-3,对接源_01水果!$Q$5:$Q$507,0)),""),IFERROR(INDEX(对接源_02物料!$C$5:$C$460,MATCH(ROW()-3-N(对接源_01水果!$T$1),对接源_02物料!$Q$5:$Q$460,0)),"")))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6" s="126" t="str">
        <f>IF($B146="","",IF($B146="01水果",IFERROR(INDEX(对接源_01水果!$D$5:$D$507,MATCH(ROW()-3,对接源_01水果!$Q$5:$Q$507,0)),""),IFERROR(INDEX(对接源_02物料!$D$5:$D$460,MATCH(ROW()-3-N(对接源_01水果!$T$1),对接源_02物料!$Q$5:$Q$460,0)),"")))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6" s="26" t="str">
        <f>IF($B146="","",IF($B146="01水果",IFERROR(INDEX(对接源_01水果!$E$5:$E$507,MATCH(ROW()-3,对接源_01水果!$Q$5:$Q$507,0)),""),IFERROR(INDEX(对接源_02物料!$E$5:$E$460,MATCH(ROW()-3-N(对接源_01水果!$T$1),对接源_02物料!$Q$5:$Q$460,0)),"")))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6" s="27" t="str">
        <f>IF($B146="","",IF($B146="01水果",IFERROR(INDEX(对接源_01水果!$F$5:$F$507,MATCH(ROW()-3,对接源_01水果!$Q$5:$Q$507,0)),""),IFERROR(INDEX(对接源_02物料!$F$5:$F$460,MATCH(ROW()-3-N(对接源_01水果!$T$1),对接源_02物料!$Q$5:$Q$460,0)),"")))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6" s="27" t="str">
        <f>IF($B146="","",IF($B146="01水果",IFERROR(INDEX(对接源_01水果!$G$5:$G$507,MATCH(ROW()-3,对接源_01水果!$Q$5:$Q$507,0)),""),IFERROR(INDEX(对接源_02物料!$G$5:$G$460,MATCH(ROW()-3-N(对接源_01水果!$T$1),对接源_02物料!$Q$5:$Q$460,0)),"")))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6" s="26" t="str">
        <f>IFERROR(INDEX(收入成本映射!$C$4:$C$34,MATCH($D146,收入成本映射!$B$4:$B$34,0)),"不记账")</f>
        <v>不记账</v>
      </c>
      <c r="J146" s="26" t="str">
        <f t="shared" si="18"/>
        <v/>
      </c>
      <c r="K146" s="27">
        <f t="shared" si="19"/>
        <v>0</v>
      </c>
      <c r="L146" s="27">
        <v>0</v>
      </c>
      <c r="M146" s="26" t="str">
        <f>IF(OR($I146="不记账",ROUND(N($G146),2)=0),"",IFERROR(INDEX(收入成本映射!$E$4:$E$34,MATCH($D146,收入成本映射!$B$4:$B$34,0)),""))</f>
        <v/>
      </c>
      <c r="N146" s="27" t="str">
        <f t="shared" si="20"/>
        <v/>
      </c>
      <c r="O146" s="27" t="str">
        <f t="shared" si="21"/>
        <v/>
      </c>
      <c r="P146" s="26" t="str">
        <f>IF($M146="","",IFERROR(INDEX(收入成本映射!$F$4:$F$34,MATCH($D146,收入成本映射!$B$4:$B$34,0)),""))</f>
        <v/>
      </c>
      <c r="Q146" s="27" t="str">
        <f t="shared" si="22"/>
        <v/>
      </c>
      <c r="R146" s="27" t="str">
        <f t="shared" si="23"/>
        <v/>
      </c>
      <c r="S146" s="26" t="str">
        <f t="shared" si="24"/>
        <v/>
      </c>
      <c r="T146" s="27" t="str">
        <f t="shared" si="25"/>
        <v/>
      </c>
      <c r="U146" s="27" t="str">
        <f t="shared" si="26"/>
        <v/>
      </c>
      <c r="V146" s="10" t="str">
        <f>IF($B146="","",IF($B146="01水果",IFERROR(INDEX(对接源_01水果!$H$5:$H$507,MATCH(ROW()-3,对接源_01水果!$Q$5:$Q$507,0)),""),IFERROR(INDEX(对接源_02物料!$H$5:$H$460,MATCH(ROW()-3-N(对接源_01水果!$T$1),对接源_02物料!$Q$5:$Q$460,0)),"")))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7" ht="18" customHeight="1" spans="1:22">
      <c r="A147" s="10">
        <v>144</v>
      </c>
      <c r="B147" s="26" t="str">
        <f>IF(ROW()-3&lt;=N(对接源_01水果!$T$1),"01水果",IF(ROW()-3&lt;=N(对接源_01水果!$T$1)+N(对接源_02物料!$T$1),"02物料",""))</f>
        <v/>
      </c>
      <c r="C147" s="125" t="str">
        <f>IF($B147="","",IF($B147="01水果",IFERROR(INDEX(对接源_01水果!$B$5:$B$507,MATCH(ROW()-3,对接源_01水果!$Q$5:$Q$507,0)),""),IFERROR(INDEX(对接源_02物料!$B$5:$B$460,MATCH(ROW()-3-N(对接源_01水果!$T$1),对接源_02物料!$Q$5:$Q$460,0)),"")))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7" s="26" t="str">
        <f>IF($B147="","",IF($B147="01水果",IFERROR(INDEX(对接源_01水果!$C$5:$C$507,MATCH(ROW()-3,对接源_01水果!$Q$5:$Q$507,0)),""),IFERROR(INDEX(对接源_02物料!$C$5:$C$460,MATCH(ROW()-3-N(对接源_01水果!$T$1),对接源_02物料!$Q$5:$Q$460,0)),"")))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7" s="126" t="str">
        <f>IF($B147="","",IF($B147="01水果",IFERROR(INDEX(对接源_01水果!$D$5:$D$507,MATCH(ROW()-3,对接源_01水果!$Q$5:$Q$507,0)),""),IFERROR(INDEX(对接源_02物料!$D$5:$D$460,MATCH(ROW()-3-N(对接源_01水果!$T$1),对接源_02物料!$Q$5:$Q$460,0)),"")))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7" s="26" t="str">
        <f>IF($B147="","",IF($B147="01水果",IFERROR(INDEX(对接源_01水果!$E$5:$E$507,MATCH(ROW()-3,对接源_01水果!$Q$5:$Q$507,0)),""),IFERROR(INDEX(对接源_02物料!$E$5:$E$460,MATCH(ROW()-3-N(对接源_01水果!$T$1),对接源_02物料!$Q$5:$Q$460,0)),"")))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7" s="27" t="str">
        <f>IF($B147="","",IF($B147="01水果",IFERROR(INDEX(对接源_01水果!$F$5:$F$507,MATCH(ROW()-3,对接源_01水果!$Q$5:$Q$507,0)),""),IFERROR(INDEX(对接源_02物料!$F$5:$F$460,MATCH(ROW()-3-N(对接源_01水果!$T$1),对接源_02物料!$Q$5:$Q$460,0)),"")))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7" s="27" t="str">
        <f>IF($B147="","",IF($B147="01水果",IFERROR(INDEX(对接源_01水果!$G$5:$G$507,MATCH(ROW()-3,对接源_01水果!$Q$5:$Q$507,0)),""),IFERROR(INDEX(对接源_02物料!$G$5:$G$460,MATCH(ROW()-3-N(对接源_01水果!$T$1),对接源_02物料!$Q$5:$Q$460,0)),"")))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7" s="26" t="str">
        <f>IFERROR(INDEX(收入成本映射!$C$4:$C$34,MATCH($D147,收入成本映射!$B$4:$B$34,0)),"不记账")</f>
        <v>不记账</v>
      </c>
      <c r="J147" s="26" t="str">
        <f t="shared" si="18"/>
        <v/>
      </c>
      <c r="K147" s="27">
        <f t="shared" si="19"/>
        <v>0</v>
      </c>
      <c r="L147" s="27">
        <v>0</v>
      </c>
      <c r="M147" s="26" t="str">
        <f>IF(OR($I147="不记账",ROUND(N($G147),2)=0),"",IFERROR(INDEX(收入成本映射!$E$4:$E$34,MATCH($D147,收入成本映射!$B$4:$B$34,0)),""))</f>
        <v/>
      </c>
      <c r="N147" s="27" t="str">
        <f t="shared" si="20"/>
        <v/>
      </c>
      <c r="O147" s="27" t="str">
        <f t="shared" si="21"/>
        <v/>
      </c>
      <c r="P147" s="26" t="str">
        <f>IF($M147="","",IFERROR(INDEX(收入成本映射!$F$4:$F$34,MATCH($D147,收入成本映射!$B$4:$B$34,0)),""))</f>
        <v/>
      </c>
      <c r="Q147" s="27" t="str">
        <f t="shared" si="22"/>
        <v/>
      </c>
      <c r="R147" s="27" t="str">
        <f t="shared" si="23"/>
        <v/>
      </c>
      <c r="S147" s="26" t="str">
        <f t="shared" si="24"/>
        <v/>
      </c>
      <c r="T147" s="27" t="str">
        <f t="shared" si="25"/>
        <v/>
      </c>
      <c r="U147" s="27" t="str">
        <f t="shared" si="26"/>
        <v/>
      </c>
      <c r="V147" s="10" t="str">
        <f>IF($B147="","",IF($B147="01水果",IFERROR(INDEX(对接源_01水果!$H$5:$H$507,MATCH(ROW()-3,对接源_01水果!$Q$5:$Q$507,0)),""),IFERROR(INDEX(对接源_02物料!$H$5:$H$460,MATCH(ROW()-3-N(对接源_01水果!$T$1),对接源_02物料!$Q$5:$Q$460,0)),"")))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8" ht="18" customHeight="1" spans="1:22">
      <c r="A148" s="10">
        <v>145</v>
      </c>
      <c r="B148" s="26" t="str">
        <f>IF(ROW()-3&lt;=N(对接源_01水果!$T$1),"01水果",IF(ROW()-3&lt;=N(对接源_01水果!$T$1)+N(对接源_02物料!$T$1),"02物料",""))</f>
        <v/>
      </c>
      <c r="C148" s="125" t="str">
        <f>IF($B148="","",IF($B148="01水果",IFERROR(INDEX(对接源_01水果!$B$5:$B$507,MATCH(ROW()-3,对接源_01水果!$Q$5:$Q$507,0)),""),IFERROR(INDEX(对接源_02物料!$B$5:$B$460,MATCH(ROW()-3-N(对接源_01水果!$T$1),对接源_02物料!$Q$5:$Q$460,0)),"")))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8" s="26" t="str">
        <f>IF($B148="","",IF($B148="01水果",IFERROR(INDEX(对接源_01水果!$C$5:$C$507,MATCH(ROW()-3,对接源_01水果!$Q$5:$Q$507,0)),""),IFERROR(INDEX(对接源_02物料!$C$5:$C$460,MATCH(ROW()-3-N(对接源_01水果!$T$1),对接源_02物料!$Q$5:$Q$460,0)),"")))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8" s="126" t="str">
        <f>IF($B148="","",IF($B148="01水果",IFERROR(INDEX(对接源_01水果!$D$5:$D$507,MATCH(ROW()-3,对接源_01水果!$Q$5:$Q$507,0)),""),IFERROR(INDEX(对接源_02物料!$D$5:$D$460,MATCH(ROW()-3-N(对接源_01水果!$T$1),对接源_02物料!$Q$5:$Q$460,0)),"")))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8" s="26" t="str">
        <f>IF($B148="","",IF($B148="01水果",IFERROR(INDEX(对接源_01水果!$E$5:$E$507,MATCH(ROW()-3,对接源_01水果!$Q$5:$Q$507,0)),""),IFERROR(INDEX(对接源_02物料!$E$5:$E$460,MATCH(ROW()-3-N(对接源_01水果!$T$1),对接源_02物料!$Q$5:$Q$460,0)),"")))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8" s="27" t="str">
        <f>IF($B148="","",IF($B148="01水果",IFERROR(INDEX(对接源_01水果!$F$5:$F$507,MATCH(ROW()-3,对接源_01水果!$Q$5:$Q$507,0)),""),IFERROR(INDEX(对接源_02物料!$F$5:$F$460,MATCH(ROW()-3-N(对接源_01水果!$T$1),对接源_02物料!$Q$5:$Q$460,0)),"")))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8" s="27" t="str">
        <f>IF($B148="","",IF($B148="01水果",IFERROR(INDEX(对接源_01水果!$G$5:$G$507,MATCH(ROW()-3,对接源_01水果!$Q$5:$Q$507,0)),""),IFERROR(INDEX(对接源_02物料!$G$5:$G$460,MATCH(ROW()-3-N(对接源_01水果!$T$1),对接源_02物料!$Q$5:$Q$460,0)),"")))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8" s="26" t="str">
        <f>IFERROR(INDEX(收入成本映射!$C$4:$C$34,MATCH($D148,收入成本映射!$B$4:$B$34,0)),"不记账")</f>
        <v>不记账</v>
      </c>
      <c r="J148" s="26" t="str">
        <f t="shared" si="18"/>
        <v/>
      </c>
      <c r="K148" s="27">
        <f t="shared" si="19"/>
        <v>0</v>
      </c>
      <c r="L148" s="27">
        <v>0</v>
      </c>
      <c r="M148" s="26" t="str">
        <f>IF(OR($I148="不记账",ROUND(N($G148),2)=0),"",IFERROR(INDEX(收入成本映射!$E$4:$E$34,MATCH($D148,收入成本映射!$B$4:$B$34,0)),""))</f>
        <v/>
      </c>
      <c r="N148" s="27" t="str">
        <f t="shared" si="20"/>
        <v/>
      </c>
      <c r="O148" s="27" t="str">
        <f t="shared" si="21"/>
        <v/>
      </c>
      <c r="P148" s="26" t="str">
        <f>IF($M148="","",IFERROR(INDEX(收入成本映射!$F$4:$F$34,MATCH($D148,收入成本映射!$B$4:$B$34,0)),""))</f>
        <v/>
      </c>
      <c r="Q148" s="27" t="str">
        <f t="shared" si="22"/>
        <v/>
      </c>
      <c r="R148" s="27" t="str">
        <f t="shared" si="23"/>
        <v/>
      </c>
      <c r="S148" s="26" t="str">
        <f t="shared" si="24"/>
        <v/>
      </c>
      <c r="T148" s="27" t="str">
        <f t="shared" si="25"/>
        <v/>
      </c>
      <c r="U148" s="27" t="str">
        <f t="shared" si="26"/>
        <v/>
      </c>
      <c r="V148" s="10" t="str">
        <f>IF($B148="","",IF($B148="01水果",IFERROR(INDEX(对接源_01水果!$H$5:$H$507,MATCH(ROW()-3,对接源_01水果!$Q$5:$Q$507,0)),""),IFERROR(INDEX(对接源_02物料!$H$5:$H$460,MATCH(ROW()-3-N(对接源_01水果!$T$1),对接源_02物料!$Q$5:$Q$460,0)),"")))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9" ht="18" customHeight="1" spans="1:22">
      <c r="A149" s="10">
        <v>146</v>
      </c>
      <c r="B149" s="26" t="str">
        <f>IF(ROW()-3&lt;=N(对接源_01水果!$T$1),"01水果",IF(ROW()-3&lt;=N(对接源_01水果!$T$1)+N(对接源_02物料!$T$1),"02物料",""))</f>
        <v/>
      </c>
      <c r="C149" s="125" t="str">
        <f>IF($B149="","",IF($B149="01水果",IFERROR(INDEX(对接源_01水果!$B$5:$B$507,MATCH(ROW()-3,对接源_01水果!$Q$5:$Q$507,0)),""),IFERROR(INDEX(对接源_02物料!$B$5:$B$460,MATCH(ROW()-3-N(对接源_01水果!$T$1),对接源_02物料!$Q$5:$Q$460,0)),"")))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9" s="26" t="str">
        <f>IF($B149="","",IF($B149="01水果",IFERROR(INDEX(对接源_01水果!$C$5:$C$507,MATCH(ROW()-3,对接源_01水果!$Q$5:$Q$507,0)),""),IFERROR(INDEX(对接源_02物料!$C$5:$C$460,MATCH(ROW()-3-N(对接源_01水果!$T$1),对接源_02物料!$Q$5:$Q$460,0)),"")))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9" s="126" t="str">
        <f>IF($B149="","",IF($B149="01水果",IFERROR(INDEX(对接源_01水果!$D$5:$D$507,MATCH(ROW()-3,对接源_01水果!$Q$5:$Q$507,0)),""),IFERROR(INDEX(对接源_02物料!$D$5:$D$460,MATCH(ROW()-3-N(对接源_01水果!$T$1),对接源_02物料!$Q$5:$Q$460,0)),"")))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9" s="26" t="str">
        <f>IF($B149="","",IF($B149="01水果",IFERROR(INDEX(对接源_01水果!$E$5:$E$507,MATCH(ROW()-3,对接源_01水果!$Q$5:$Q$507,0)),""),IFERROR(INDEX(对接源_02物料!$E$5:$E$460,MATCH(ROW()-3-N(对接源_01水果!$T$1),对接源_02物料!$Q$5:$Q$460,0)),"")))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9" s="27" t="str">
        <f>IF($B149="","",IF($B149="01水果",IFERROR(INDEX(对接源_01水果!$F$5:$F$507,MATCH(ROW()-3,对接源_01水果!$Q$5:$Q$507,0)),""),IFERROR(INDEX(对接源_02物料!$F$5:$F$460,MATCH(ROW()-3-N(对接源_01水果!$T$1),对接源_02物料!$Q$5:$Q$460,0)),"")))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9" s="27" t="str">
        <f>IF($B149="","",IF($B149="01水果",IFERROR(INDEX(对接源_01水果!$G$5:$G$507,MATCH(ROW()-3,对接源_01水果!$Q$5:$Q$507,0)),""),IFERROR(INDEX(对接源_02物料!$G$5:$G$460,MATCH(ROW()-3-N(对接源_01水果!$T$1),对接源_02物料!$Q$5:$Q$460,0)),"")))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9" s="26" t="str">
        <f>IFERROR(INDEX(收入成本映射!$C$4:$C$34,MATCH($D149,收入成本映射!$B$4:$B$34,0)),"不记账")</f>
        <v>不记账</v>
      </c>
      <c r="J149" s="26" t="str">
        <f t="shared" si="18"/>
        <v/>
      </c>
      <c r="K149" s="27">
        <f t="shared" si="19"/>
        <v>0</v>
      </c>
      <c r="L149" s="27">
        <v>0</v>
      </c>
      <c r="M149" s="26" t="str">
        <f>IF(OR($I149="不记账",ROUND(N($G149),2)=0),"",IFERROR(INDEX(收入成本映射!$E$4:$E$34,MATCH($D149,收入成本映射!$B$4:$B$34,0)),""))</f>
        <v/>
      </c>
      <c r="N149" s="27" t="str">
        <f t="shared" si="20"/>
        <v/>
      </c>
      <c r="O149" s="27" t="str">
        <f t="shared" si="21"/>
        <v/>
      </c>
      <c r="P149" s="26" t="str">
        <f>IF($M149="","",IFERROR(INDEX(收入成本映射!$F$4:$F$34,MATCH($D149,收入成本映射!$B$4:$B$34,0)),""))</f>
        <v/>
      </c>
      <c r="Q149" s="27" t="str">
        <f t="shared" si="22"/>
        <v/>
      </c>
      <c r="R149" s="27" t="str">
        <f t="shared" si="23"/>
        <v/>
      </c>
      <c r="S149" s="26" t="str">
        <f t="shared" si="24"/>
        <v/>
      </c>
      <c r="T149" s="27" t="str">
        <f t="shared" si="25"/>
        <v/>
      </c>
      <c r="U149" s="27" t="str">
        <f t="shared" si="26"/>
        <v/>
      </c>
      <c r="V149" s="10" t="str">
        <f>IF($B149="","",IF($B149="01水果",IFERROR(INDEX(对接源_01水果!$H$5:$H$507,MATCH(ROW()-3,对接源_01水果!$Q$5:$Q$507,0)),""),IFERROR(INDEX(对接源_02物料!$H$5:$H$460,MATCH(ROW()-3-N(对接源_01水果!$T$1),对接源_02物料!$Q$5:$Q$460,0)),"")))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0" ht="18" customHeight="1" spans="1:22">
      <c r="A150" s="10">
        <v>147</v>
      </c>
      <c r="B150" s="26" t="str">
        <f>IF(ROW()-3&lt;=N(对接源_01水果!$T$1),"01水果",IF(ROW()-3&lt;=N(对接源_01水果!$T$1)+N(对接源_02物料!$T$1),"02物料",""))</f>
        <v/>
      </c>
      <c r="C150" s="125" t="str">
        <f>IF($B150="","",IF($B150="01水果",IFERROR(INDEX(对接源_01水果!$B$5:$B$507,MATCH(ROW()-3,对接源_01水果!$Q$5:$Q$507,0)),""),IFERROR(INDEX(对接源_02物料!$B$5:$B$460,MATCH(ROW()-3-N(对接源_01水果!$T$1),对接源_02物料!$Q$5:$Q$460,0)),"")))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0" s="26" t="str">
        <f>IF($B150="","",IF($B150="01水果",IFERROR(INDEX(对接源_01水果!$C$5:$C$507,MATCH(ROW()-3,对接源_01水果!$Q$5:$Q$507,0)),""),IFERROR(INDEX(对接源_02物料!$C$5:$C$460,MATCH(ROW()-3-N(对接源_01水果!$T$1),对接源_02物料!$Q$5:$Q$460,0)),"")))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0" s="126" t="str">
        <f>IF($B150="","",IF($B150="01水果",IFERROR(INDEX(对接源_01水果!$D$5:$D$507,MATCH(ROW()-3,对接源_01水果!$Q$5:$Q$507,0)),""),IFERROR(INDEX(对接源_02物料!$D$5:$D$460,MATCH(ROW()-3-N(对接源_01水果!$T$1),对接源_02物料!$Q$5:$Q$460,0)),"")))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0" s="26" t="str">
        <f>IF($B150="","",IF($B150="01水果",IFERROR(INDEX(对接源_01水果!$E$5:$E$507,MATCH(ROW()-3,对接源_01水果!$Q$5:$Q$507,0)),""),IFERROR(INDEX(对接源_02物料!$E$5:$E$460,MATCH(ROW()-3-N(对接源_01水果!$T$1),对接源_02物料!$Q$5:$Q$460,0)),"")))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0" s="27" t="str">
        <f>IF($B150="","",IF($B150="01水果",IFERROR(INDEX(对接源_01水果!$F$5:$F$507,MATCH(ROW()-3,对接源_01水果!$Q$5:$Q$507,0)),""),IFERROR(INDEX(对接源_02物料!$F$5:$F$460,MATCH(ROW()-3-N(对接源_01水果!$T$1),对接源_02物料!$Q$5:$Q$460,0)),"")))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0" s="27" t="str">
        <f>IF($B150="","",IF($B150="01水果",IFERROR(INDEX(对接源_01水果!$G$5:$G$507,MATCH(ROW()-3,对接源_01水果!$Q$5:$Q$507,0)),""),IFERROR(INDEX(对接源_02物料!$G$5:$G$460,MATCH(ROW()-3-N(对接源_01水果!$T$1),对接源_02物料!$Q$5:$Q$460,0)),"")))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0" s="26" t="str">
        <f>IFERROR(INDEX(收入成本映射!$C$4:$C$34,MATCH($D150,收入成本映射!$B$4:$B$34,0)),"不记账")</f>
        <v>不记账</v>
      </c>
      <c r="J150" s="26" t="str">
        <f t="shared" si="18"/>
        <v/>
      </c>
      <c r="K150" s="27">
        <f t="shared" si="19"/>
        <v>0</v>
      </c>
      <c r="L150" s="27">
        <v>0</v>
      </c>
      <c r="M150" s="26" t="str">
        <f>IF(OR($I150="不记账",ROUND(N($G150),2)=0),"",IFERROR(INDEX(收入成本映射!$E$4:$E$34,MATCH($D150,收入成本映射!$B$4:$B$34,0)),""))</f>
        <v/>
      </c>
      <c r="N150" s="27" t="str">
        <f t="shared" si="20"/>
        <v/>
      </c>
      <c r="O150" s="27" t="str">
        <f t="shared" si="21"/>
        <v/>
      </c>
      <c r="P150" s="26" t="str">
        <f>IF($M150="","",IFERROR(INDEX(收入成本映射!$F$4:$F$34,MATCH($D150,收入成本映射!$B$4:$B$34,0)),""))</f>
        <v/>
      </c>
      <c r="Q150" s="27" t="str">
        <f t="shared" si="22"/>
        <v/>
      </c>
      <c r="R150" s="27" t="str">
        <f t="shared" si="23"/>
        <v/>
      </c>
      <c r="S150" s="26" t="str">
        <f t="shared" si="24"/>
        <v/>
      </c>
      <c r="T150" s="27" t="str">
        <f t="shared" si="25"/>
        <v/>
      </c>
      <c r="U150" s="27" t="str">
        <f t="shared" si="26"/>
        <v/>
      </c>
      <c r="V150" s="10" t="str">
        <f>IF($B150="","",IF($B150="01水果",IFERROR(INDEX(对接源_01水果!$H$5:$H$507,MATCH(ROW()-3,对接源_01水果!$Q$5:$Q$507,0)),""),IFERROR(INDEX(对接源_02物料!$H$5:$H$460,MATCH(ROW()-3-N(对接源_01水果!$T$1),对接源_02物料!$Q$5:$Q$460,0)),"")))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1" ht="18" customHeight="1" spans="1:22">
      <c r="A151" s="10">
        <v>148</v>
      </c>
      <c r="B151" s="26" t="str">
        <f>IF(ROW()-3&lt;=N(对接源_01水果!$T$1),"01水果",IF(ROW()-3&lt;=N(对接源_01水果!$T$1)+N(对接源_02物料!$T$1),"02物料",""))</f>
        <v/>
      </c>
      <c r="C151" s="125" t="str">
        <f>IF($B151="","",IF($B151="01水果",IFERROR(INDEX(对接源_01水果!$B$5:$B$507,MATCH(ROW()-3,对接源_01水果!$Q$5:$Q$507,0)),""),IFERROR(INDEX(对接源_02物料!$B$5:$B$460,MATCH(ROW()-3-N(对接源_01水果!$T$1),对接源_02物料!$Q$5:$Q$460,0)),"")))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1" s="26" t="str">
        <f>IF($B151="","",IF($B151="01水果",IFERROR(INDEX(对接源_01水果!$C$5:$C$507,MATCH(ROW()-3,对接源_01水果!$Q$5:$Q$507,0)),""),IFERROR(INDEX(对接源_02物料!$C$5:$C$460,MATCH(ROW()-3-N(对接源_01水果!$T$1),对接源_02物料!$Q$5:$Q$460,0)),"")))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1" s="126" t="str">
        <f>IF($B151="","",IF($B151="01水果",IFERROR(INDEX(对接源_01水果!$D$5:$D$507,MATCH(ROW()-3,对接源_01水果!$Q$5:$Q$507,0)),""),IFERROR(INDEX(对接源_02物料!$D$5:$D$460,MATCH(ROW()-3-N(对接源_01水果!$T$1),对接源_02物料!$Q$5:$Q$460,0)),"")))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1" s="26" t="str">
        <f>IF($B151="","",IF($B151="01水果",IFERROR(INDEX(对接源_01水果!$E$5:$E$507,MATCH(ROW()-3,对接源_01水果!$Q$5:$Q$507,0)),""),IFERROR(INDEX(对接源_02物料!$E$5:$E$460,MATCH(ROW()-3-N(对接源_01水果!$T$1),对接源_02物料!$Q$5:$Q$460,0)),"")))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1" s="27" t="str">
        <f>IF($B151="","",IF($B151="01水果",IFERROR(INDEX(对接源_01水果!$F$5:$F$507,MATCH(ROW()-3,对接源_01水果!$Q$5:$Q$507,0)),""),IFERROR(INDEX(对接源_02物料!$F$5:$F$460,MATCH(ROW()-3-N(对接源_01水果!$T$1),对接源_02物料!$Q$5:$Q$460,0)),"")))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1" s="27" t="str">
        <f>IF($B151="","",IF($B151="01水果",IFERROR(INDEX(对接源_01水果!$G$5:$G$507,MATCH(ROW()-3,对接源_01水果!$Q$5:$Q$507,0)),""),IFERROR(INDEX(对接源_02物料!$G$5:$G$460,MATCH(ROW()-3-N(对接源_01水果!$T$1),对接源_02物料!$Q$5:$Q$460,0)),"")))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1" s="26" t="str">
        <f>IFERROR(INDEX(收入成本映射!$C$4:$C$34,MATCH($D151,收入成本映射!$B$4:$B$34,0)),"不记账")</f>
        <v>不记账</v>
      </c>
      <c r="J151" s="26" t="str">
        <f t="shared" si="18"/>
        <v/>
      </c>
      <c r="K151" s="27">
        <f t="shared" si="19"/>
        <v>0</v>
      </c>
      <c r="L151" s="27">
        <v>0</v>
      </c>
      <c r="M151" s="26" t="str">
        <f>IF(OR($I151="不记账",ROUND(N($G151),2)=0),"",IFERROR(INDEX(收入成本映射!$E$4:$E$34,MATCH($D151,收入成本映射!$B$4:$B$34,0)),""))</f>
        <v/>
      </c>
      <c r="N151" s="27" t="str">
        <f t="shared" si="20"/>
        <v/>
      </c>
      <c r="O151" s="27" t="str">
        <f t="shared" si="21"/>
        <v/>
      </c>
      <c r="P151" s="26" t="str">
        <f>IF($M151="","",IFERROR(INDEX(收入成本映射!$F$4:$F$34,MATCH($D151,收入成本映射!$B$4:$B$34,0)),""))</f>
        <v/>
      </c>
      <c r="Q151" s="27" t="str">
        <f t="shared" si="22"/>
        <v/>
      </c>
      <c r="R151" s="27" t="str">
        <f t="shared" si="23"/>
        <v/>
      </c>
      <c r="S151" s="26" t="str">
        <f t="shared" si="24"/>
        <v/>
      </c>
      <c r="T151" s="27" t="str">
        <f t="shared" si="25"/>
        <v/>
      </c>
      <c r="U151" s="27" t="str">
        <f t="shared" si="26"/>
        <v/>
      </c>
      <c r="V151" s="10" t="str">
        <f>IF($B151="","",IF($B151="01水果",IFERROR(INDEX(对接源_01水果!$H$5:$H$507,MATCH(ROW()-3,对接源_01水果!$Q$5:$Q$507,0)),""),IFERROR(INDEX(对接源_02物料!$H$5:$H$460,MATCH(ROW()-3-N(对接源_01水果!$T$1),对接源_02物料!$Q$5:$Q$460,0)),"")))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2" ht="18" customHeight="1" spans="1:22">
      <c r="A152" s="10">
        <v>149</v>
      </c>
      <c r="B152" s="26" t="str">
        <f>IF(ROW()-3&lt;=N(对接源_01水果!$T$1),"01水果",IF(ROW()-3&lt;=N(对接源_01水果!$T$1)+N(对接源_02物料!$T$1),"02物料",""))</f>
        <v/>
      </c>
      <c r="C152" s="125" t="str">
        <f>IF($B152="","",IF($B152="01水果",IFERROR(INDEX(对接源_01水果!$B$5:$B$507,MATCH(ROW()-3,对接源_01水果!$Q$5:$Q$507,0)),""),IFERROR(INDEX(对接源_02物料!$B$5:$B$460,MATCH(ROW()-3-N(对接源_01水果!$T$1),对接源_02物料!$Q$5:$Q$460,0)),"")))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2" s="26" t="str">
        <f>IF($B152="","",IF($B152="01水果",IFERROR(INDEX(对接源_01水果!$C$5:$C$507,MATCH(ROW()-3,对接源_01水果!$Q$5:$Q$507,0)),""),IFERROR(INDEX(对接源_02物料!$C$5:$C$460,MATCH(ROW()-3-N(对接源_01水果!$T$1),对接源_02物料!$Q$5:$Q$460,0)),"")))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2" s="126" t="str">
        <f>IF($B152="","",IF($B152="01水果",IFERROR(INDEX(对接源_01水果!$D$5:$D$507,MATCH(ROW()-3,对接源_01水果!$Q$5:$Q$507,0)),""),IFERROR(INDEX(对接源_02物料!$D$5:$D$460,MATCH(ROW()-3-N(对接源_01水果!$T$1),对接源_02物料!$Q$5:$Q$460,0)),"")))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2" s="26" t="str">
        <f>IF($B152="","",IF($B152="01水果",IFERROR(INDEX(对接源_01水果!$E$5:$E$507,MATCH(ROW()-3,对接源_01水果!$Q$5:$Q$507,0)),""),IFERROR(INDEX(对接源_02物料!$E$5:$E$460,MATCH(ROW()-3-N(对接源_01水果!$T$1),对接源_02物料!$Q$5:$Q$460,0)),"")))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2" s="27" t="str">
        <f>IF($B152="","",IF($B152="01水果",IFERROR(INDEX(对接源_01水果!$F$5:$F$507,MATCH(ROW()-3,对接源_01水果!$Q$5:$Q$507,0)),""),IFERROR(INDEX(对接源_02物料!$F$5:$F$460,MATCH(ROW()-3-N(对接源_01水果!$T$1),对接源_02物料!$Q$5:$Q$460,0)),"")))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2" s="27" t="str">
        <f>IF($B152="","",IF($B152="01水果",IFERROR(INDEX(对接源_01水果!$G$5:$G$507,MATCH(ROW()-3,对接源_01水果!$Q$5:$Q$507,0)),""),IFERROR(INDEX(对接源_02物料!$G$5:$G$460,MATCH(ROW()-3-N(对接源_01水果!$T$1),对接源_02物料!$Q$5:$Q$460,0)),"")))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2" s="26" t="str">
        <f>IFERROR(INDEX(收入成本映射!$C$4:$C$34,MATCH($D152,收入成本映射!$B$4:$B$34,0)),"不记账")</f>
        <v>不记账</v>
      </c>
      <c r="J152" s="26" t="str">
        <f t="shared" si="18"/>
        <v/>
      </c>
      <c r="K152" s="27">
        <f t="shared" si="19"/>
        <v>0</v>
      </c>
      <c r="L152" s="27">
        <v>0</v>
      </c>
      <c r="M152" s="26" t="str">
        <f>IF(OR($I152="不记账",ROUND(N($G152),2)=0),"",IFERROR(INDEX(收入成本映射!$E$4:$E$34,MATCH($D152,收入成本映射!$B$4:$B$34,0)),""))</f>
        <v/>
      </c>
      <c r="N152" s="27" t="str">
        <f t="shared" si="20"/>
        <v/>
      </c>
      <c r="O152" s="27" t="str">
        <f t="shared" si="21"/>
        <v/>
      </c>
      <c r="P152" s="26" t="str">
        <f>IF($M152="","",IFERROR(INDEX(收入成本映射!$F$4:$F$34,MATCH($D152,收入成本映射!$B$4:$B$34,0)),""))</f>
        <v/>
      </c>
      <c r="Q152" s="27" t="str">
        <f t="shared" si="22"/>
        <v/>
      </c>
      <c r="R152" s="27" t="str">
        <f t="shared" si="23"/>
        <v/>
      </c>
      <c r="S152" s="26" t="str">
        <f t="shared" si="24"/>
        <v/>
      </c>
      <c r="T152" s="27" t="str">
        <f t="shared" si="25"/>
        <v/>
      </c>
      <c r="U152" s="27" t="str">
        <f t="shared" si="26"/>
        <v/>
      </c>
      <c r="V152" s="10" t="str">
        <f>IF($B152="","",IF($B152="01水果",IFERROR(INDEX(对接源_01水果!$H$5:$H$507,MATCH(ROW()-3,对接源_01水果!$Q$5:$Q$507,0)),""),IFERROR(INDEX(对接源_02物料!$H$5:$H$460,MATCH(ROW()-3-N(对接源_01水果!$T$1),对接源_02物料!$Q$5:$Q$460,0)),"")))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3" ht="18" customHeight="1" spans="1:22">
      <c r="A153" s="10">
        <v>150</v>
      </c>
      <c r="B153" s="26" t="str">
        <f>IF(ROW()-3&lt;=N(对接源_01水果!$T$1),"01水果",IF(ROW()-3&lt;=N(对接源_01水果!$T$1)+N(对接源_02物料!$T$1),"02物料",""))</f>
        <v/>
      </c>
      <c r="C153" s="125" t="str">
        <f>IF($B153="","",IF($B153="01水果",IFERROR(INDEX(对接源_01水果!$B$5:$B$507,MATCH(ROW()-3,对接源_01水果!$Q$5:$Q$507,0)),""),IFERROR(INDEX(对接源_02物料!$B$5:$B$460,MATCH(ROW()-3-N(对接源_01水果!$T$1),对接源_02物料!$Q$5:$Q$460,0)),"")))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3" s="26" t="str">
        <f>IF($B153="","",IF($B153="01水果",IFERROR(INDEX(对接源_01水果!$C$5:$C$507,MATCH(ROW()-3,对接源_01水果!$Q$5:$Q$507,0)),""),IFERROR(INDEX(对接源_02物料!$C$5:$C$460,MATCH(ROW()-3-N(对接源_01水果!$T$1),对接源_02物料!$Q$5:$Q$460,0)),"")))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3" s="126" t="str">
        <f>IF($B153="","",IF($B153="01水果",IFERROR(INDEX(对接源_01水果!$D$5:$D$507,MATCH(ROW()-3,对接源_01水果!$Q$5:$Q$507,0)),""),IFERROR(INDEX(对接源_02物料!$D$5:$D$460,MATCH(ROW()-3-N(对接源_01水果!$T$1),对接源_02物料!$Q$5:$Q$460,0)),"")))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3" s="26" t="str">
        <f>IF($B153="","",IF($B153="01水果",IFERROR(INDEX(对接源_01水果!$E$5:$E$507,MATCH(ROW()-3,对接源_01水果!$Q$5:$Q$507,0)),""),IFERROR(INDEX(对接源_02物料!$E$5:$E$460,MATCH(ROW()-3-N(对接源_01水果!$T$1),对接源_02物料!$Q$5:$Q$460,0)),"")))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3" s="27" t="str">
        <f>IF($B153="","",IF($B153="01水果",IFERROR(INDEX(对接源_01水果!$F$5:$F$507,MATCH(ROW()-3,对接源_01水果!$Q$5:$Q$507,0)),""),IFERROR(INDEX(对接源_02物料!$F$5:$F$460,MATCH(ROW()-3-N(对接源_01水果!$T$1),对接源_02物料!$Q$5:$Q$460,0)),"")))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3" s="27" t="str">
        <f>IF($B153="","",IF($B153="01水果",IFERROR(INDEX(对接源_01水果!$G$5:$G$507,MATCH(ROW()-3,对接源_01水果!$Q$5:$Q$507,0)),""),IFERROR(INDEX(对接源_02物料!$G$5:$G$460,MATCH(ROW()-3-N(对接源_01水果!$T$1),对接源_02物料!$Q$5:$Q$460,0)),"")))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3" s="26" t="str">
        <f>IFERROR(INDEX(收入成本映射!$C$4:$C$34,MATCH($D153,收入成本映射!$B$4:$B$34,0)),"不记账")</f>
        <v>不记账</v>
      </c>
      <c r="J153" s="26" t="str">
        <f t="shared" si="18"/>
        <v/>
      </c>
      <c r="K153" s="27">
        <f t="shared" si="19"/>
        <v>0</v>
      </c>
      <c r="L153" s="27">
        <v>0</v>
      </c>
      <c r="M153" s="26" t="str">
        <f>IF(OR($I153="不记账",ROUND(N($G153),2)=0),"",IFERROR(INDEX(收入成本映射!$E$4:$E$34,MATCH($D153,收入成本映射!$B$4:$B$34,0)),""))</f>
        <v/>
      </c>
      <c r="N153" s="27" t="str">
        <f t="shared" si="20"/>
        <v/>
      </c>
      <c r="O153" s="27" t="str">
        <f t="shared" si="21"/>
        <v/>
      </c>
      <c r="P153" s="26" t="str">
        <f>IF($M153="","",IFERROR(INDEX(收入成本映射!$F$4:$F$34,MATCH($D153,收入成本映射!$B$4:$B$34,0)),""))</f>
        <v/>
      </c>
      <c r="Q153" s="27" t="str">
        <f t="shared" si="22"/>
        <v/>
      </c>
      <c r="R153" s="27" t="str">
        <f t="shared" si="23"/>
        <v/>
      </c>
      <c r="S153" s="26" t="str">
        <f t="shared" si="24"/>
        <v/>
      </c>
      <c r="T153" s="27" t="str">
        <f t="shared" si="25"/>
        <v/>
      </c>
      <c r="U153" s="27" t="str">
        <f t="shared" si="26"/>
        <v/>
      </c>
      <c r="V153" s="10" t="str">
        <f>IF($B153="","",IF($B153="01水果",IFERROR(INDEX(对接源_01水果!$H$5:$H$507,MATCH(ROW()-3,对接源_01水果!$Q$5:$Q$507,0)),""),IFERROR(INDEX(对接源_02物料!$H$5:$H$460,MATCH(ROW()-3-N(对接源_01水果!$T$1),对接源_02物料!$Q$5:$Q$460,0)),"")))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4" ht="18" customHeight="1" spans="1:22">
      <c r="A154" s="10">
        <v>151</v>
      </c>
      <c r="B154" s="26" t="str">
        <f>IF(ROW()-3&lt;=N(对接源_01水果!$T$1),"01水果",IF(ROW()-3&lt;=N(对接源_01水果!$T$1)+N(对接源_02物料!$T$1),"02物料",""))</f>
        <v/>
      </c>
      <c r="C154" s="125" t="str">
        <f>IF($B154="","",IF($B154="01水果",IFERROR(INDEX(对接源_01水果!$B$5:$B$507,MATCH(ROW()-3,对接源_01水果!$Q$5:$Q$507,0)),""),IFERROR(INDEX(对接源_02物料!$B$5:$B$460,MATCH(ROW()-3-N(对接源_01水果!$T$1),对接源_02物料!$Q$5:$Q$460,0)),"")))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4" s="26" t="str">
        <f>IF($B154="","",IF($B154="01水果",IFERROR(INDEX(对接源_01水果!$C$5:$C$507,MATCH(ROW()-3,对接源_01水果!$Q$5:$Q$507,0)),""),IFERROR(INDEX(对接源_02物料!$C$5:$C$460,MATCH(ROW()-3-N(对接源_01水果!$T$1),对接源_02物料!$Q$5:$Q$460,0)),"")))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4" s="126" t="str">
        <f>IF($B154="","",IF($B154="01水果",IFERROR(INDEX(对接源_01水果!$D$5:$D$507,MATCH(ROW()-3,对接源_01水果!$Q$5:$Q$507,0)),""),IFERROR(INDEX(对接源_02物料!$D$5:$D$460,MATCH(ROW()-3-N(对接源_01水果!$T$1),对接源_02物料!$Q$5:$Q$460,0)),"")))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4" s="26" t="str">
        <f>IF($B154="","",IF($B154="01水果",IFERROR(INDEX(对接源_01水果!$E$5:$E$507,MATCH(ROW()-3,对接源_01水果!$Q$5:$Q$507,0)),""),IFERROR(INDEX(对接源_02物料!$E$5:$E$460,MATCH(ROW()-3-N(对接源_01水果!$T$1),对接源_02物料!$Q$5:$Q$460,0)),"")))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4" s="27" t="str">
        <f>IF($B154="","",IF($B154="01水果",IFERROR(INDEX(对接源_01水果!$F$5:$F$507,MATCH(ROW()-3,对接源_01水果!$Q$5:$Q$507,0)),""),IFERROR(INDEX(对接源_02物料!$F$5:$F$460,MATCH(ROW()-3-N(对接源_01水果!$T$1),对接源_02物料!$Q$5:$Q$460,0)),"")))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4" s="27" t="str">
        <f>IF($B154="","",IF($B154="01水果",IFERROR(INDEX(对接源_01水果!$G$5:$G$507,MATCH(ROW()-3,对接源_01水果!$Q$5:$Q$507,0)),""),IFERROR(INDEX(对接源_02物料!$G$5:$G$460,MATCH(ROW()-3-N(对接源_01水果!$T$1),对接源_02物料!$Q$5:$Q$460,0)),"")))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4" s="26" t="str">
        <f>IFERROR(INDEX(收入成本映射!$C$4:$C$34,MATCH($D154,收入成本映射!$B$4:$B$34,0)),"不记账")</f>
        <v>不记账</v>
      </c>
      <c r="J154" s="26" t="str">
        <f t="shared" si="18"/>
        <v/>
      </c>
      <c r="K154" s="27">
        <f t="shared" si="19"/>
        <v>0</v>
      </c>
      <c r="L154" s="27">
        <v>0</v>
      </c>
      <c r="M154" s="26" t="str">
        <f>IF(OR($I154="不记账",ROUND(N($G154),2)=0),"",IFERROR(INDEX(收入成本映射!$E$4:$E$34,MATCH($D154,收入成本映射!$B$4:$B$34,0)),""))</f>
        <v/>
      </c>
      <c r="N154" s="27" t="str">
        <f t="shared" si="20"/>
        <v/>
      </c>
      <c r="O154" s="27" t="str">
        <f t="shared" si="21"/>
        <v/>
      </c>
      <c r="P154" s="26" t="str">
        <f>IF($M154="","",IFERROR(INDEX(收入成本映射!$F$4:$F$34,MATCH($D154,收入成本映射!$B$4:$B$34,0)),""))</f>
        <v/>
      </c>
      <c r="Q154" s="27" t="str">
        <f t="shared" si="22"/>
        <v/>
      </c>
      <c r="R154" s="27" t="str">
        <f t="shared" si="23"/>
        <v/>
      </c>
      <c r="S154" s="26" t="str">
        <f t="shared" si="24"/>
        <v/>
      </c>
      <c r="T154" s="27" t="str">
        <f t="shared" si="25"/>
        <v/>
      </c>
      <c r="U154" s="27" t="str">
        <f t="shared" si="26"/>
        <v/>
      </c>
      <c r="V154" s="10" t="str">
        <f>IF($B154="","",IF($B154="01水果",IFERROR(INDEX(对接源_01水果!$H$5:$H$507,MATCH(ROW()-3,对接源_01水果!$Q$5:$Q$507,0)),""),IFERROR(INDEX(对接源_02物料!$H$5:$H$460,MATCH(ROW()-3-N(对接源_01水果!$T$1),对接源_02物料!$Q$5:$Q$460,0)),"")))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5" ht="18" customHeight="1" spans="1:22">
      <c r="A155" s="10">
        <v>152</v>
      </c>
      <c r="B155" s="26" t="str">
        <f>IF(ROW()-3&lt;=N(对接源_01水果!$T$1),"01水果",IF(ROW()-3&lt;=N(对接源_01水果!$T$1)+N(对接源_02物料!$T$1),"02物料",""))</f>
        <v/>
      </c>
      <c r="C155" s="125" t="str">
        <f>IF($B155="","",IF($B155="01水果",IFERROR(INDEX(对接源_01水果!$B$5:$B$507,MATCH(ROW()-3,对接源_01水果!$Q$5:$Q$507,0)),""),IFERROR(INDEX(对接源_02物料!$B$5:$B$460,MATCH(ROW()-3-N(对接源_01水果!$T$1),对接源_02物料!$Q$5:$Q$460,0)),"")))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5" s="26" t="str">
        <f>IF($B155="","",IF($B155="01水果",IFERROR(INDEX(对接源_01水果!$C$5:$C$507,MATCH(ROW()-3,对接源_01水果!$Q$5:$Q$507,0)),""),IFERROR(INDEX(对接源_02物料!$C$5:$C$460,MATCH(ROW()-3-N(对接源_01水果!$T$1),对接源_02物料!$Q$5:$Q$460,0)),"")))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5" s="126" t="str">
        <f>IF($B155="","",IF($B155="01水果",IFERROR(INDEX(对接源_01水果!$D$5:$D$507,MATCH(ROW()-3,对接源_01水果!$Q$5:$Q$507,0)),""),IFERROR(INDEX(对接源_02物料!$D$5:$D$460,MATCH(ROW()-3-N(对接源_01水果!$T$1),对接源_02物料!$Q$5:$Q$460,0)),"")))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5" s="26" t="str">
        <f>IF($B155="","",IF($B155="01水果",IFERROR(INDEX(对接源_01水果!$E$5:$E$507,MATCH(ROW()-3,对接源_01水果!$Q$5:$Q$507,0)),""),IFERROR(INDEX(对接源_02物料!$E$5:$E$460,MATCH(ROW()-3-N(对接源_01水果!$T$1),对接源_02物料!$Q$5:$Q$460,0)),"")))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5" s="27" t="str">
        <f>IF($B155="","",IF($B155="01水果",IFERROR(INDEX(对接源_01水果!$F$5:$F$507,MATCH(ROW()-3,对接源_01水果!$Q$5:$Q$507,0)),""),IFERROR(INDEX(对接源_02物料!$F$5:$F$460,MATCH(ROW()-3-N(对接源_01水果!$T$1),对接源_02物料!$Q$5:$Q$460,0)),"")))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5" s="27" t="str">
        <f>IF($B155="","",IF($B155="01水果",IFERROR(INDEX(对接源_01水果!$G$5:$G$507,MATCH(ROW()-3,对接源_01水果!$Q$5:$Q$507,0)),""),IFERROR(INDEX(对接源_02物料!$G$5:$G$460,MATCH(ROW()-3-N(对接源_01水果!$T$1),对接源_02物料!$Q$5:$Q$460,0)),"")))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5" s="26" t="str">
        <f>IFERROR(INDEX(收入成本映射!$C$4:$C$34,MATCH($D155,收入成本映射!$B$4:$B$34,0)),"不记账")</f>
        <v>不记账</v>
      </c>
      <c r="J155" s="26" t="str">
        <f t="shared" si="18"/>
        <v/>
      </c>
      <c r="K155" s="27">
        <f t="shared" si="19"/>
        <v>0</v>
      </c>
      <c r="L155" s="27">
        <v>0</v>
      </c>
      <c r="M155" s="26" t="str">
        <f>IF(OR($I155="不记账",ROUND(N($G155),2)=0),"",IFERROR(INDEX(收入成本映射!$E$4:$E$34,MATCH($D155,收入成本映射!$B$4:$B$34,0)),""))</f>
        <v/>
      </c>
      <c r="N155" s="27" t="str">
        <f t="shared" si="20"/>
        <v/>
      </c>
      <c r="O155" s="27" t="str">
        <f t="shared" si="21"/>
        <v/>
      </c>
      <c r="P155" s="26" t="str">
        <f>IF($M155="","",IFERROR(INDEX(收入成本映射!$F$4:$F$34,MATCH($D155,收入成本映射!$B$4:$B$34,0)),""))</f>
        <v/>
      </c>
      <c r="Q155" s="27" t="str">
        <f t="shared" si="22"/>
        <v/>
      </c>
      <c r="R155" s="27" t="str">
        <f t="shared" si="23"/>
        <v/>
      </c>
      <c r="S155" s="26" t="str">
        <f t="shared" si="24"/>
        <v/>
      </c>
      <c r="T155" s="27" t="str">
        <f t="shared" si="25"/>
        <v/>
      </c>
      <c r="U155" s="27" t="str">
        <f t="shared" si="26"/>
        <v/>
      </c>
      <c r="V155" s="10" t="str">
        <f>IF($B155="","",IF($B155="01水果",IFERROR(INDEX(对接源_01水果!$H$5:$H$507,MATCH(ROW()-3,对接源_01水果!$Q$5:$Q$507,0)),""),IFERROR(INDEX(对接源_02物料!$H$5:$H$460,MATCH(ROW()-3-N(对接源_01水果!$T$1),对接源_02物料!$Q$5:$Q$460,0)),"")))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6" ht="18" customHeight="1" spans="1:22">
      <c r="A156" s="10">
        <v>153</v>
      </c>
      <c r="B156" s="26" t="str">
        <f>IF(ROW()-3&lt;=N(对接源_01水果!$T$1),"01水果",IF(ROW()-3&lt;=N(对接源_01水果!$T$1)+N(对接源_02物料!$T$1),"02物料",""))</f>
        <v/>
      </c>
      <c r="C156" s="125" t="str">
        <f>IF($B156="","",IF($B156="01水果",IFERROR(INDEX(对接源_01水果!$B$5:$B$507,MATCH(ROW()-3,对接源_01水果!$Q$5:$Q$507,0)),""),IFERROR(INDEX(对接源_02物料!$B$5:$B$460,MATCH(ROW()-3-N(对接源_01水果!$T$1),对接源_02物料!$Q$5:$Q$460,0)),"")))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6" s="26" t="str">
        <f>IF($B156="","",IF($B156="01水果",IFERROR(INDEX(对接源_01水果!$C$5:$C$507,MATCH(ROW()-3,对接源_01水果!$Q$5:$Q$507,0)),""),IFERROR(INDEX(对接源_02物料!$C$5:$C$460,MATCH(ROW()-3-N(对接源_01水果!$T$1),对接源_02物料!$Q$5:$Q$460,0)),"")))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6" s="126" t="str">
        <f>IF($B156="","",IF($B156="01水果",IFERROR(INDEX(对接源_01水果!$D$5:$D$507,MATCH(ROW()-3,对接源_01水果!$Q$5:$Q$507,0)),""),IFERROR(INDEX(对接源_02物料!$D$5:$D$460,MATCH(ROW()-3-N(对接源_01水果!$T$1),对接源_02物料!$Q$5:$Q$460,0)),"")))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6" s="26" t="str">
        <f>IF($B156="","",IF($B156="01水果",IFERROR(INDEX(对接源_01水果!$E$5:$E$507,MATCH(ROW()-3,对接源_01水果!$Q$5:$Q$507,0)),""),IFERROR(INDEX(对接源_02物料!$E$5:$E$460,MATCH(ROW()-3-N(对接源_01水果!$T$1),对接源_02物料!$Q$5:$Q$460,0)),"")))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6" s="27" t="str">
        <f>IF($B156="","",IF($B156="01水果",IFERROR(INDEX(对接源_01水果!$F$5:$F$507,MATCH(ROW()-3,对接源_01水果!$Q$5:$Q$507,0)),""),IFERROR(INDEX(对接源_02物料!$F$5:$F$460,MATCH(ROW()-3-N(对接源_01水果!$T$1),对接源_02物料!$Q$5:$Q$460,0)),"")))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6" s="27" t="str">
        <f>IF($B156="","",IF($B156="01水果",IFERROR(INDEX(对接源_01水果!$G$5:$G$507,MATCH(ROW()-3,对接源_01水果!$Q$5:$Q$507,0)),""),IFERROR(INDEX(对接源_02物料!$G$5:$G$460,MATCH(ROW()-3-N(对接源_01水果!$T$1),对接源_02物料!$Q$5:$Q$460,0)),"")))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6" s="26" t="str">
        <f>IFERROR(INDEX(收入成本映射!$C$4:$C$34,MATCH($D156,收入成本映射!$B$4:$B$34,0)),"不记账")</f>
        <v>不记账</v>
      </c>
      <c r="J156" s="26" t="str">
        <f t="shared" si="18"/>
        <v/>
      </c>
      <c r="K156" s="27">
        <f t="shared" si="19"/>
        <v>0</v>
      </c>
      <c r="L156" s="27">
        <v>0</v>
      </c>
      <c r="M156" s="26" t="str">
        <f>IF(OR($I156="不记账",ROUND(N($G156),2)=0),"",IFERROR(INDEX(收入成本映射!$E$4:$E$34,MATCH($D156,收入成本映射!$B$4:$B$34,0)),""))</f>
        <v/>
      </c>
      <c r="N156" s="27" t="str">
        <f t="shared" si="20"/>
        <v/>
      </c>
      <c r="O156" s="27" t="str">
        <f t="shared" si="21"/>
        <v/>
      </c>
      <c r="P156" s="26" t="str">
        <f>IF($M156="","",IFERROR(INDEX(收入成本映射!$F$4:$F$34,MATCH($D156,收入成本映射!$B$4:$B$34,0)),""))</f>
        <v/>
      </c>
      <c r="Q156" s="27" t="str">
        <f t="shared" si="22"/>
        <v/>
      </c>
      <c r="R156" s="27" t="str">
        <f t="shared" si="23"/>
        <v/>
      </c>
      <c r="S156" s="26" t="str">
        <f t="shared" si="24"/>
        <v/>
      </c>
      <c r="T156" s="27" t="str">
        <f t="shared" si="25"/>
        <v/>
      </c>
      <c r="U156" s="27" t="str">
        <f t="shared" si="26"/>
        <v/>
      </c>
      <c r="V156" s="10" t="str">
        <f>IF($B156="","",IF($B156="01水果",IFERROR(INDEX(对接源_01水果!$H$5:$H$507,MATCH(ROW()-3,对接源_01水果!$Q$5:$Q$507,0)),""),IFERROR(INDEX(对接源_02物料!$H$5:$H$460,MATCH(ROW()-3-N(对接源_01水果!$T$1),对接源_02物料!$Q$5:$Q$460,0)),"")))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7" ht="18" customHeight="1" spans="1:22">
      <c r="A157" s="10">
        <v>154</v>
      </c>
      <c r="B157" s="26" t="str">
        <f>IF(ROW()-3&lt;=N(对接源_01水果!$T$1),"01水果",IF(ROW()-3&lt;=N(对接源_01水果!$T$1)+N(对接源_02物料!$T$1),"02物料",""))</f>
        <v/>
      </c>
      <c r="C157" s="125" t="str">
        <f>IF($B157="","",IF($B157="01水果",IFERROR(INDEX(对接源_01水果!$B$5:$B$507,MATCH(ROW()-3,对接源_01水果!$Q$5:$Q$507,0)),""),IFERROR(INDEX(对接源_02物料!$B$5:$B$460,MATCH(ROW()-3-N(对接源_01水果!$T$1),对接源_02物料!$Q$5:$Q$460,0)),"")))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7" s="26" t="str">
        <f>IF($B157="","",IF($B157="01水果",IFERROR(INDEX(对接源_01水果!$C$5:$C$507,MATCH(ROW()-3,对接源_01水果!$Q$5:$Q$507,0)),""),IFERROR(INDEX(对接源_02物料!$C$5:$C$460,MATCH(ROW()-3-N(对接源_01水果!$T$1),对接源_02物料!$Q$5:$Q$460,0)),"")))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7" s="126" t="str">
        <f>IF($B157="","",IF($B157="01水果",IFERROR(INDEX(对接源_01水果!$D$5:$D$507,MATCH(ROW()-3,对接源_01水果!$Q$5:$Q$507,0)),""),IFERROR(INDEX(对接源_02物料!$D$5:$D$460,MATCH(ROW()-3-N(对接源_01水果!$T$1),对接源_02物料!$Q$5:$Q$460,0)),"")))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7" s="26" t="str">
        <f>IF($B157="","",IF($B157="01水果",IFERROR(INDEX(对接源_01水果!$E$5:$E$507,MATCH(ROW()-3,对接源_01水果!$Q$5:$Q$507,0)),""),IFERROR(INDEX(对接源_02物料!$E$5:$E$460,MATCH(ROW()-3-N(对接源_01水果!$T$1),对接源_02物料!$Q$5:$Q$460,0)),"")))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7" s="27" t="str">
        <f>IF($B157="","",IF($B157="01水果",IFERROR(INDEX(对接源_01水果!$F$5:$F$507,MATCH(ROW()-3,对接源_01水果!$Q$5:$Q$507,0)),""),IFERROR(INDEX(对接源_02物料!$F$5:$F$460,MATCH(ROW()-3-N(对接源_01水果!$T$1),对接源_02物料!$Q$5:$Q$460,0)),"")))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7" s="27" t="str">
        <f>IF($B157="","",IF($B157="01水果",IFERROR(INDEX(对接源_01水果!$G$5:$G$507,MATCH(ROW()-3,对接源_01水果!$Q$5:$Q$507,0)),""),IFERROR(INDEX(对接源_02物料!$G$5:$G$460,MATCH(ROW()-3-N(对接源_01水果!$T$1),对接源_02物料!$Q$5:$Q$460,0)),"")))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7" s="26" t="str">
        <f>IFERROR(INDEX(收入成本映射!$C$4:$C$34,MATCH($D157,收入成本映射!$B$4:$B$34,0)),"不记账")</f>
        <v>不记账</v>
      </c>
      <c r="J157" s="26" t="str">
        <f t="shared" si="18"/>
        <v/>
      </c>
      <c r="K157" s="27">
        <f t="shared" si="19"/>
        <v>0</v>
      </c>
      <c r="L157" s="27">
        <v>0</v>
      </c>
      <c r="M157" s="26" t="str">
        <f>IF(OR($I157="不记账",ROUND(N($G157),2)=0),"",IFERROR(INDEX(收入成本映射!$E$4:$E$34,MATCH($D157,收入成本映射!$B$4:$B$34,0)),""))</f>
        <v/>
      </c>
      <c r="N157" s="27" t="str">
        <f t="shared" si="20"/>
        <v/>
      </c>
      <c r="O157" s="27" t="str">
        <f t="shared" si="21"/>
        <v/>
      </c>
      <c r="P157" s="26" t="str">
        <f>IF($M157="","",IFERROR(INDEX(收入成本映射!$F$4:$F$34,MATCH($D157,收入成本映射!$B$4:$B$34,0)),""))</f>
        <v/>
      </c>
      <c r="Q157" s="27" t="str">
        <f t="shared" si="22"/>
        <v/>
      </c>
      <c r="R157" s="27" t="str">
        <f t="shared" si="23"/>
        <v/>
      </c>
      <c r="S157" s="26" t="str">
        <f t="shared" si="24"/>
        <v/>
      </c>
      <c r="T157" s="27" t="str">
        <f t="shared" si="25"/>
        <v/>
      </c>
      <c r="U157" s="27" t="str">
        <f t="shared" si="26"/>
        <v/>
      </c>
      <c r="V157" s="10" t="str">
        <f>IF($B157="","",IF($B157="01水果",IFERROR(INDEX(对接源_01水果!$H$5:$H$507,MATCH(ROW()-3,对接源_01水果!$Q$5:$Q$507,0)),""),IFERROR(INDEX(对接源_02物料!$H$5:$H$460,MATCH(ROW()-3-N(对接源_01水果!$T$1),对接源_02物料!$Q$5:$Q$460,0)),"")))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8" ht="18" customHeight="1" spans="1:22">
      <c r="A158" s="10">
        <v>155</v>
      </c>
      <c r="B158" s="26" t="str">
        <f>IF(ROW()-3&lt;=N(对接源_01水果!$T$1),"01水果",IF(ROW()-3&lt;=N(对接源_01水果!$T$1)+N(对接源_02物料!$T$1),"02物料",""))</f>
        <v/>
      </c>
      <c r="C158" s="125" t="str">
        <f>IF($B158="","",IF($B158="01水果",IFERROR(INDEX(对接源_01水果!$B$5:$B$507,MATCH(ROW()-3,对接源_01水果!$Q$5:$Q$507,0)),""),IFERROR(INDEX(对接源_02物料!$B$5:$B$460,MATCH(ROW()-3-N(对接源_01水果!$T$1),对接源_02物料!$Q$5:$Q$460,0)),"")))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8" s="26" t="str">
        <f>IF($B158="","",IF($B158="01水果",IFERROR(INDEX(对接源_01水果!$C$5:$C$507,MATCH(ROW()-3,对接源_01水果!$Q$5:$Q$507,0)),""),IFERROR(INDEX(对接源_02物料!$C$5:$C$460,MATCH(ROW()-3-N(对接源_01水果!$T$1),对接源_02物料!$Q$5:$Q$460,0)),"")))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8" s="126" t="str">
        <f>IF($B158="","",IF($B158="01水果",IFERROR(INDEX(对接源_01水果!$D$5:$D$507,MATCH(ROW()-3,对接源_01水果!$Q$5:$Q$507,0)),""),IFERROR(INDEX(对接源_02物料!$D$5:$D$460,MATCH(ROW()-3-N(对接源_01水果!$T$1),对接源_02物料!$Q$5:$Q$460,0)),"")))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8" s="26" t="str">
        <f>IF($B158="","",IF($B158="01水果",IFERROR(INDEX(对接源_01水果!$E$5:$E$507,MATCH(ROW()-3,对接源_01水果!$Q$5:$Q$507,0)),""),IFERROR(INDEX(对接源_02物料!$E$5:$E$460,MATCH(ROW()-3-N(对接源_01水果!$T$1),对接源_02物料!$Q$5:$Q$460,0)),"")))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8" s="27" t="str">
        <f>IF($B158="","",IF($B158="01水果",IFERROR(INDEX(对接源_01水果!$F$5:$F$507,MATCH(ROW()-3,对接源_01水果!$Q$5:$Q$507,0)),""),IFERROR(INDEX(对接源_02物料!$F$5:$F$460,MATCH(ROW()-3-N(对接源_01水果!$T$1),对接源_02物料!$Q$5:$Q$460,0)),"")))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8" s="27" t="str">
        <f>IF($B158="","",IF($B158="01水果",IFERROR(INDEX(对接源_01水果!$G$5:$G$507,MATCH(ROW()-3,对接源_01水果!$Q$5:$Q$507,0)),""),IFERROR(INDEX(对接源_02物料!$G$5:$G$460,MATCH(ROW()-3-N(对接源_01水果!$T$1),对接源_02物料!$Q$5:$Q$460,0)),"")))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8" s="26" t="str">
        <f>IFERROR(INDEX(收入成本映射!$C$4:$C$34,MATCH($D158,收入成本映射!$B$4:$B$34,0)),"不记账")</f>
        <v>不记账</v>
      </c>
      <c r="J158" s="26" t="str">
        <f t="shared" si="18"/>
        <v/>
      </c>
      <c r="K158" s="27">
        <f t="shared" si="19"/>
        <v>0</v>
      </c>
      <c r="L158" s="27">
        <v>0</v>
      </c>
      <c r="M158" s="26" t="str">
        <f>IF(OR($I158="不记账",ROUND(N($G158),2)=0),"",IFERROR(INDEX(收入成本映射!$E$4:$E$34,MATCH($D158,收入成本映射!$B$4:$B$34,0)),""))</f>
        <v/>
      </c>
      <c r="N158" s="27" t="str">
        <f t="shared" si="20"/>
        <v/>
      </c>
      <c r="O158" s="27" t="str">
        <f t="shared" si="21"/>
        <v/>
      </c>
      <c r="P158" s="26" t="str">
        <f>IF($M158="","",IFERROR(INDEX(收入成本映射!$F$4:$F$34,MATCH($D158,收入成本映射!$B$4:$B$34,0)),""))</f>
        <v/>
      </c>
      <c r="Q158" s="27" t="str">
        <f t="shared" si="22"/>
        <v/>
      </c>
      <c r="R158" s="27" t="str">
        <f t="shared" si="23"/>
        <v/>
      </c>
      <c r="S158" s="26" t="str">
        <f t="shared" si="24"/>
        <v/>
      </c>
      <c r="T158" s="27" t="str">
        <f t="shared" si="25"/>
        <v/>
      </c>
      <c r="U158" s="27" t="str">
        <f t="shared" si="26"/>
        <v/>
      </c>
      <c r="V158" s="10" t="str">
        <f>IF($B158="","",IF($B158="01水果",IFERROR(INDEX(对接源_01水果!$H$5:$H$507,MATCH(ROW()-3,对接源_01水果!$Q$5:$Q$507,0)),""),IFERROR(INDEX(对接源_02物料!$H$5:$H$460,MATCH(ROW()-3-N(对接源_01水果!$T$1),对接源_02物料!$Q$5:$Q$460,0)),"")))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9" ht="18" customHeight="1" spans="1:22">
      <c r="A159" s="10">
        <v>156</v>
      </c>
      <c r="B159" s="26" t="str">
        <f>IF(ROW()-3&lt;=N(对接源_01水果!$T$1),"01水果",IF(ROW()-3&lt;=N(对接源_01水果!$T$1)+N(对接源_02物料!$T$1),"02物料",""))</f>
        <v/>
      </c>
      <c r="C159" s="125" t="str">
        <f>IF($B159="","",IF($B159="01水果",IFERROR(INDEX(对接源_01水果!$B$5:$B$507,MATCH(ROW()-3,对接源_01水果!$Q$5:$Q$507,0)),""),IFERROR(INDEX(对接源_02物料!$B$5:$B$460,MATCH(ROW()-3-N(对接源_01水果!$T$1),对接源_02物料!$Q$5:$Q$460,0)),"")))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9" s="26" t="str">
        <f>IF($B159="","",IF($B159="01水果",IFERROR(INDEX(对接源_01水果!$C$5:$C$507,MATCH(ROW()-3,对接源_01水果!$Q$5:$Q$507,0)),""),IFERROR(INDEX(对接源_02物料!$C$5:$C$460,MATCH(ROW()-3-N(对接源_01水果!$T$1),对接源_02物料!$Q$5:$Q$460,0)),"")))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9" s="126" t="str">
        <f>IF($B159="","",IF($B159="01水果",IFERROR(INDEX(对接源_01水果!$D$5:$D$507,MATCH(ROW()-3,对接源_01水果!$Q$5:$Q$507,0)),""),IFERROR(INDEX(对接源_02物料!$D$5:$D$460,MATCH(ROW()-3-N(对接源_01水果!$T$1),对接源_02物料!$Q$5:$Q$460,0)),"")))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9" s="26" t="str">
        <f>IF($B159="","",IF($B159="01水果",IFERROR(INDEX(对接源_01水果!$E$5:$E$507,MATCH(ROW()-3,对接源_01水果!$Q$5:$Q$507,0)),""),IFERROR(INDEX(对接源_02物料!$E$5:$E$460,MATCH(ROW()-3-N(对接源_01水果!$T$1),对接源_02物料!$Q$5:$Q$460,0)),"")))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9" s="27" t="str">
        <f>IF($B159="","",IF($B159="01水果",IFERROR(INDEX(对接源_01水果!$F$5:$F$507,MATCH(ROW()-3,对接源_01水果!$Q$5:$Q$507,0)),""),IFERROR(INDEX(对接源_02物料!$F$5:$F$460,MATCH(ROW()-3-N(对接源_01水果!$T$1),对接源_02物料!$Q$5:$Q$460,0)),"")))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9" s="27" t="str">
        <f>IF($B159="","",IF($B159="01水果",IFERROR(INDEX(对接源_01水果!$G$5:$G$507,MATCH(ROW()-3,对接源_01水果!$Q$5:$Q$507,0)),""),IFERROR(INDEX(对接源_02物料!$G$5:$G$460,MATCH(ROW()-3-N(对接源_01水果!$T$1),对接源_02物料!$Q$5:$Q$460,0)),"")))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9" s="26" t="str">
        <f>IFERROR(INDEX(收入成本映射!$C$4:$C$34,MATCH($D159,收入成本映射!$B$4:$B$34,0)),"不记账")</f>
        <v>不记账</v>
      </c>
      <c r="J159" s="26" t="str">
        <f t="shared" si="18"/>
        <v/>
      </c>
      <c r="K159" s="27">
        <f t="shared" si="19"/>
        <v>0</v>
      </c>
      <c r="L159" s="27">
        <v>0</v>
      </c>
      <c r="M159" s="26" t="str">
        <f>IF(OR($I159="不记账",ROUND(N($G159),2)=0),"",IFERROR(INDEX(收入成本映射!$E$4:$E$34,MATCH($D159,收入成本映射!$B$4:$B$34,0)),""))</f>
        <v/>
      </c>
      <c r="N159" s="27" t="str">
        <f t="shared" si="20"/>
        <v/>
      </c>
      <c r="O159" s="27" t="str">
        <f t="shared" si="21"/>
        <v/>
      </c>
      <c r="P159" s="26" t="str">
        <f>IF($M159="","",IFERROR(INDEX(收入成本映射!$F$4:$F$34,MATCH($D159,收入成本映射!$B$4:$B$34,0)),""))</f>
        <v/>
      </c>
      <c r="Q159" s="27" t="str">
        <f t="shared" si="22"/>
        <v/>
      </c>
      <c r="R159" s="27" t="str">
        <f t="shared" si="23"/>
        <v/>
      </c>
      <c r="S159" s="26" t="str">
        <f t="shared" si="24"/>
        <v/>
      </c>
      <c r="T159" s="27" t="str">
        <f t="shared" si="25"/>
        <v/>
      </c>
      <c r="U159" s="27" t="str">
        <f t="shared" si="26"/>
        <v/>
      </c>
      <c r="V159" s="10" t="str">
        <f>IF($B159="","",IF($B159="01水果",IFERROR(INDEX(对接源_01水果!$H$5:$H$507,MATCH(ROW()-3,对接源_01水果!$Q$5:$Q$507,0)),""),IFERROR(INDEX(对接源_02物料!$H$5:$H$460,MATCH(ROW()-3-N(对接源_01水果!$T$1),对接源_02物料!$Q$5:$Q$460,0)),"")))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0" ht="18" customHeight="1" spans="1:22">
      <c r="A160" s="10">
        <v>157</v>
      </c>
      <c r="B160" s="26" t="str">
        <f>IF(ROW()-3&lt;=N(对接源_01水果!$T$1),"01水果",IF(ROW()-3&lt;=N(对接源_01水果!$T$1)+N(对接源_02物料!$T$1),"02物料",""))</f>
        <v/>
      </c>
      <c r="C160" s="125" t="str">
        <f>IF($B160="","",IF($B160="01水果",IFERROR(INDEX(对接源_01水果!$B$5:$B$507,MATCH(ROW()-3,对接源_01水果!$Q$5:$Q$507,0)),""),IFERROR(INDEX(对接源_02物料!$B$5:$B$460,MATCH(ROW()-3-N(对接源_01水果!$T$1),对接源_02物料!$Q$5:$Q$460,0)),"")))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0" s="26" t="str">
        <f>IF($B160="","",IF($B160="01水果",IFERROR(INDEX(对接源_01水果!$C$5:$C$507,MATCH(ROW()-3,对接源_01水果!$Q$5:$Q$507,0)),""),IFERROR(INDEX(对接源_02物料!$C$5:$C$460,MATCH(ROW()-3-N(对接源_01水果!$T$1),对接源_02物料!$Q$5:$Q$460,0)),"")))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0" s="126" t="str">
        <f>IF($B160="","",IF($B160="01水果",IFERROR(INDEX(对接源_01水果!$D$5:$D$507,MATCH(ROW()-3,对接源_01水果!$Q$5:$Q$507,0)),""),IFERROR(INDEX(对接源_02物料!$D$5:$D$460,MATCH(ROW()-3-N(对接源_01水果!$T$1),对接源_02物料!$Q$5:$Q$460,0)),"")))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0" s="26" t="str">
        <f>IF($B160="","",IF($B160="01水果",IFERROR(INDEX(对接源_01水果!$E$5:$E$507,MATCH(ROW()-3,对接源_01水果!$Q$5:$Q$507,0)),""),IFERROR(INDEX(对接源_02物料!$E$5:$E$460,MATCH(ROW()-3-N(对接源_01水果!$T$1),对接源_02物料!$Q$5:$Q$460,0)),"")))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0" s="27" t="str">
        <f>IF($B160="","",IF($B160="01水果",IFERROR(INDEX(对接源_01水果!$F$5:$F$507,MATCH(ROW()-3,对接源_01水果!$Q$5:$Q$507,0)),""),IFERROR(INDEX(对接源_02物料!$F$5:$F$460,MATCH(ROW()-3-N(对接源_01水果!$T$1),对接源_02物料!$Q$5:$Q$460,0)),"")))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0" s="27" t="str">
        <f>IF($B160="","",IF($B160="01水果",IFERROR(INDEX(对接源_01水果!$G$5:$G$507,MATCH(ROW()-3,对接源_01水果!$Q$5:$Q$507,0)),""),IFERROR(INDEX(对接源_02物料!$G$5:$G$460,MATCH(ROW()-3-N(对接源_01水果!$T$1),对接源_02物料!$Q$5:$Q$460,0)),"")))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0" s="26" t="str">
        <f>IFERROR(INDEX(收入成本映射!$C$4:$C$34,MATCH($D160,收入成本映射!$B$4:$B$34,0)),"不记账")</f>
        <v>不记账</v>
      </c>
      <c r="J160" s="26" t="str">
        <f t="shared" si="18"/>
        <v/>
      </c>
      <c r="K160" s="27">
        <f t="shared" si="19"/>
        <v>0</v>
      </c>
      <c r="L160" s="27">
        <v>0</v>
      </c>
      <c r="M160" s="26" t="str">
        <f>IF(OR($I160="不记账",ROUND(N($G160),2)=0),"",IFERROR(INDEX(收入成本映射!$E$4:$E$34,MATCH($D160,收入成本映射!$B$4:$B$34,0)),""))</f>
        <v/>
      </c>
      <c r="N160" s="27" t="str">
        <f t="shared" si="20"/>
        <v/>
      </c>
      <c r="O160" s="27" t="str">
        <f t="shared" si="21"/>
        <v/>
      </c>
      <c r="P160" s="26" t="str">
        <f>IF($M160="","",IFERROR(INDEX(收入成本映射!$F$4:$F$34,MATCH($D160,收入成本映射!$B$4:$B$34,0)),""))</f>
        <v/>
      </c>
      <c r="Q160" s="27" t="str">
        <f t="shared" si="22"/>
        <v/>
      </c>
      <c r="R160" s="27" t="str">
        <f t="shared" si="23"/>
        <v/>
      </c>
      <c r="S160" s="26" t="str">
        <f t="shared" si="24"/>
        <v/>
      </c>
      <c r="T160" s="27" t="str">
        <f t="shared" si="25"/>
        <v/>
      </c>
      <c r="U160" s="27" t="str">
        <f t="shared" si="26"/>
        <v/>
      </c>
      <c r="V160" s="10" t="str">
        <f>IF($B160="","",IF($B160="01水果",IFERROR(INDEX(对接源_01水果!$H$5:$H$507,MATCH(ROW()-3,对接源_01水果!$Q$5:$Q$507,0)),""),IFERROR(INDEX(对接源_02物料!$H$5:$H$460,MATCH(ROW()-3-N(对接源_01水果!$T$1),对接源_02物料!$Q$5:$Q$460,0)),"")))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1" ht="18" customHeight="1" spans="1:22">
      <c r="A161" s="10">
        <v>158</v>
      </c>
      <c r="B161" s="26" t="str">
        <f>IF(ROW()-3&lt;=N(对接源_01水果!$T$1),"01水果",IF(ROW()-3&lt;=N(对接源_01水果!$T$1)+N(对接源_02物料!$T$1),"02物料",""))</f>
        <v/>
      </c>
      <c r="C161" s="125" t="str">
        <f>IF($B161="","",IF($B161="01水果",IFERROR(INDEX(对接源_01水果!$B$5:$B$507,MATCH(ROW()-3,对接源_01水果!$Q$5:$Q$507,0)),""),IFERROR(INDEX(对接源_02物料!$B$5:$B$460,MATCH(ROW()-3-N(对接源_01水果!$T$1),对接源_02物料!$Q$5:$Q$460,0)),"")))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1" s="26" t="str">
        <f>IF($B161="","",IF($B161="01水果",IFERROR(INDEX(对接源_01水果!$C$5:$C$507,MATCH(ROW()-3,对接源_01水果!$Q$5:$Q$507,0)),""),IFERROR(INDEX(对接源_02物料!$C$5:$C$460,MATCH(ROW()-3-N(对接源_01水果!$T$1),对接源_02物料!$Q$5:$Q$460,0)),"")))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1" s="126" t="str">
        <f>IF($B161="","",IF($B161="01水果",IFERROR(INDEX(对接源_01水果!$D$5:$D$507,MATCH(ROW()-3,对接源_01水果!$Q$5:$Q$507,0)),""),IFERROR(INDEX(对接源_02物料!$D$5:$D$460,MATCH(ROW()-3-N(对接源_01水果!$T$1),对接源_02物料!$Q$5:$Q$460,0)),"")))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1" s="26" t="str">
        <f>IF($B161="","",IF($B161="01水果",IFERROR(INDEX(对接源_01水果!$E$5:$E$507,MATCH(ROW()-3,对接源_01水果!$Q$5:$Q$507,0)),""),IFERROR(INDEX(对接源_02物料!$E$5:$E$460,MATCH(ROW()-3-N(对接源_01水果!$T$1),对接源_02物料!$Q$5:$Q$460,0)),"")))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1" s="27" t="str">
        <f>IF($B161="","",IF($B161="01水果",IFERROR(INDEX(对接源_01水果!$F$5:$F$507,MATCH(ROW()-3,对接源_01水果!$Q$5:$Q$507,0)),""),IFERROR(INDEX(对接源_02物料!$F$5:$F$460,MATCH(ROW()-3-N(对接源_01水果!$T$1),对接源_02物料!$Q$5:$Q$460,0)),"")))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1" s="27" t="str">
        <f>IF($B161="","",IF($B161="01水果",IFERROR(INDEX(对接源_01水果!$G$5:$G$507,MATCH(ROW()-3,对接源_01水果!$Q$5:$Q$507,0)),""),IFERROR(INDEX(对接源_02物料!$G$5:$G$460,MATCH(ROW()-3-N(对接源_01水果!$T$1),对接源_02物料!$Q$5:$Q$460,0)),"")))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1" s="26" t="str">
        <f>IFERROR(INDEX(收入成本映射!$C$4:$C$34,MATCH($D161,收入成本映射!$B$4:$B$34,0)),"不记账")</f>
        <v>不记账</v>
      </c>
      <c r="J161" s="26" t="str">
        <f t="shared" si="18"/>
        <v/>
      </c>
      <c r="K161" s="27">
        <f t="shared" si="19"/>
        <v>0</v>
      </c>
      <c r="L161" s="27">
        <v>0</v>
      </c>
      <c r="M161" s="26" t="str">
        <f>IF(OR($I161="不记账",ROUND(N($G161),2)=0),"",IFERROR(INDEX(收入成本映射!$E$4:$E$34,MATCH($D161,收入成本映射!$B$4:$B$34,0)),""))</f>
        <v/>
      </c>
      <c r="N161" s="27" t="str">
        <f t="shared" si="20"/>
        <v/>
      </c>
      <c r="O161" s="27" t="str">
        <f t="shared" si="21"/>
        <v/>
      </c>
      <c r="P161" s="26" t="str">
        <f>IF($M161="","",IFERROR(INDEX(收入成本映射!$F$4:$F$34,MATCH($D161,收入成本映射!$B$4:$B$34,0)),""))</f>
        <v/>
      </c>
      <c r="Q161" s="27" t="str">
        <f t="shared" si="22"/>
        <v/>
      </c>
      <c r="R161" s="27" t="str">
        <f t="shared" si="23"/>
        <v/>
      </c>
      <c r="S161" s="26" t="str">
        <f t="shared" si="24"/>
        <v/>
      </c>
      <c r="T161" s="27" t="str">
        <f t="shared" si="25"/>
        <v/>
      </c>
      <c r="U161" s="27" t="str">
        <f t="shared" si="26"/>
        <v/>
      </c>
      <c r="V161" s="10" t="str">
        <f>IF($B161="","",IF($B161="01水果",IFERROR(INDEX(对接源_01水果!$H$5:$H$507,MATCH(ROW()-3,对接源_01水果!$Q$5:$Q$507,0)),""),IFERROR(INDEX(对接源_02物料!$H$5:$H$460,MATCH(ROW()-3-N(对接源_01水果!$T$1),对接源_02物料!$Q$5:$Q$460,0)),"")))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2" ht="18" customHeight="1" spans="1:22">
      <c r="A162" s="10">
        <v>159</v>
      </c>
      <c r="B162" s="26" t="str">
        <f>IF(ROW()-3&lt;=N(对接源_01水果!$T$1),"01水果",IF(ROW()-3&lt;=N(对接源_01水果!$T$1)+N(对接源_02物料!$T$1),"02物料",""))</f>
        <v/>
      </c>
      <c r="C162" s="125" t="str">
        <f>IF($B162="","",IF($B162="01水果",IFERROR(INDEX(对接源_01水果!$B$5:$B$507,MATCH(ROW()-3,对接源_01水果!$Q$5:$Q$507,0)),""),IFERROR(INDEX(对接源_02物料!$B$5:$B$460,MATCH(ROW()-3-N(对接源_01水果!$T$1),对接源_02物料!$Q$5:$Q$460,0)),"")))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2" s="26" t="str">
        <f>IF($B162="","",IF($B162="01水果",IFERROR(INDEX(对接源_01水果!$C$5:$C$507,MATCH(ROW()-3,对接源_01水果!$Q$5:$Q$507,0)),""),IFERROR(INDEX(对接源_02物料!$C$5:$C$460,MATCH(ROW()-3-N(对接源_01水果!$T$1),对接源_02物料!$Q$5:$Q$460,0)),"")))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2" s="126" t="str">
        <f>IF($B162="","",IF($B162="01水果",IFERROR(INDEX(对接源_01水果!$D$5:$D$507,MATCH(ROW()-3,对接源_01水果!$Q$5:$Q$507,0)),""),IFERROR(INDEX(对接源_02物料!$D$5:$D$460,MATCH(ROW()-3-N(对接源_01水果!$T$1),对接源_02物料!$Q$5:$Q$460,0)),"")))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2" s="26" t="str">
        <f>IF($B162="","",IF($B162="01水果",IFERROR(INDEX(对接源_01水果!$E$5:$E$507,MATCH(ROW()-3,对接源_01水果!$Q$5:$Q$507,0)),""),IFERROR(INDEX(对接源_02物料!$E$5:$E$460,MATCH(ROW()-3-N(对接源_01水果!$T$1),对接源_02物料!$Q$5:$Q$460,0)),"")))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2" s="27" t="str">
        <f>IF($B162="","",IF($B162="01水果",IFERROR(INDEX(对接源_01水果!$F$5:$F$507,MATCH(ROW()-3,对接源_01水果!$Q$5:$Q$507,0)),""),IFERROR(INDEX(对接源_02物料!$F$5:$F$460,MATCH(ROW()-3-N(对接源_01水果!$T$1),对接源_02物料!$Q$5:$Q$460,0)),"")))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2" s="27" t="str">
        <f>IF($B162="","",IF($B162="01水果",IFERROR(INDEX(对接源_01水果!$G$5:$G$507,MATCH(ROW()-3,对接源_01水果!$Q$5:$Q$507,0)),""),IFERROR(INDEX(对接源_02物料!$G$5:$G$460,MATCH(ROW()-3-N(对接源_01水果!$T$1),对接源_02物料!$Q$5:$Q$460,0)),"")))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2" s="26" t="str">
        <f>IFERROR(INDEX(收入成本映射!$C$4:$C$34,MATCH($D162,收入成本映射!$B$4:$B$34,0)),"不记账")</f>
        <v>不记账</v>
      </c>
      <c r="J162" s="26" t="str">
        <f t="shared" si="18"/>
        <v/>
      </c>
      <c r="K162" s="27">
        <f t="shared" si="19"/>
        <v>0</v>
      </c>
      <c r="L162" s="27">
        <v>0</v>
      </c>
      <c r="M162" s="26" t="str">
        <f>IF(OR($I162="不记账",ROUND(N($G162),2)=0),"",IFERROR(INDEX(收入成本映射!$E$4:$E$34,MATCH($D162,收入成本映射!$B$4:$B$34,0)),""))</f>
        <v/>
      </c>
      <c r="N162" s="27" t="str">
        <f t="shared" si="20"/>
        <v/>
      </c>
      <c r="O162" s="27" t="str">
        <f t="shared" si="21"/>
        <v/>
      </c>
      <c r="P162" s="26" t="str">
        <f>IF($M162="","",IFERROR(INDEX(收入成本映射!$F$4:$F$34,MATCH($D162,收入成本映射!$B$4:$B$34,0)),""))</f>
        <v/>
      </c>
      <c r="Q162" s="27" t="str">
        <f t="shared" si="22"/>
        <v/>
      </c>
      <c r="R162" s="27" t="str">
        <f t="shared" si="23"/>
        <v/>
      </c>
      <c r="S162" s="26" t="str">
        <f t="shared" si="24"/>
        <v/>
      </c>
      <c r="T162" s="27" t="str">
        <f t="shared" si="25"/>
        <v/>
      </c>
      <c r="U162" s="27" t="str">
        <f t="shared" si="26"/>
        <v/>
      </c>
      <c r="V162" s="10" t="str">
        <f>IF($B162="","",IF($B162="01水果",IFERROR(INDEX(对接源_01水果!$H$5:$H$507,MATCH(ROW()-3,对接源_01水果!$Q$5:$Q$507,0)),""),IFERROR(INDEX(对接源_02物料!$H$5:$H$460,MATCH(ROW()-3-N(对接源_01水果!$T$1),对接源_02物料!$Q$5:$Q$460,0)),"")))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3" ht="18" customHeight="1" spans="1:22">
      <c r="A163" s="10">
        <v>160</v>
      </c>
      <c r="B163" s="26" t="str">
        <f>IF(ROW()-3&lt;=N(对接源_01水果!$T$1),"01水果",IF(ROW()-3&lt;=N(对接源_01水果!$T$1)+N(对接源_02物料!$T$1),"02物料",""))</f>
        <v/>
      </c>
      <c r="C163" s="125" t="str">
        <f>IF($B163="","",IF($B163="01水果",IFERROR(INDEX(对接源_01水果!$B$5:$B$507,MATCH(ROW()-3,对接源_01水果!$Q$5:$Q$507,0)),""),IFERROR(INDEX(对接源_02物料!$B$5:$B$460,MATCH(ROW()-3-N(对接源_01水果!$T$1),对接源_02物料!$Q$5:$Q$460,0)),"")))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3" s="26" t="str">
        <f>IF($B163="","",IF($B163="01水果",IFERROR(INDEX(对接源_01水果!$C$5:$C$507,MATCH(ROW()-3,对接源_01水果!$Q$5:$Q$507,0)),""),IFERROR(INDEX(对接源_02物料!$C$5:$C$460,MATCH(ROW()-3-N(对接源_01水果!$T$1),对接源_02物料!$Q$5:$Q$460,0)),"")))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3" s="126" t="str">
        <f>IF($B163="","",IF($B163="01水果",IFERROR(INDEX(对接源_01水果!$D$5:$D$507,MATCH(ROW()-3,对接源_01水果!$Q$5:$Q$507,0)),""),IFERROR(INDEX(对接源_02物料!$D$5:$D$460,MATCH(ROW()-3-N(对接源_01水果!$T$1),对接源_02物料!$Q$5:$Q$460,0)),"")))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3" s="26" t="str">
        <f>IF($B163="","",IF($B163="01水果",IFERROR(INDEX(对接源_01水果!$E$5:$E$507,MATCH(ROW()-3,对接源_01水果!$Q$5:$Q$507,0)),""),IFERROR(INDEX(对接源_02物料!$E$5:$E$460,MATCH(ROW()-3-N(对接源_01水果!$T$1),对接源_02物料!$Q$5:$Q$460,0)),"")))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3" s="27" t="str">
        <f>IF($B163="","",IF($B163="01水果",IFERROR(INDEX(对接源_01水果!$F$5:$F$507,MATCH(ROW()-3,对接源_01水果!$Q$5:$Q$507,0)),""),IFERROR(INDEX(对接源_02物料!$F$5:$F$460,MATCH(ROW()-3-N(对接源_01水果!$T$1),对接源_02物料!$Q$5:$Q$460,0)),"")))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3" s="27" t="str">
        <f>IF($B163="","",IF($B163="01水果",IFERROR(INDEX(对接源_01水果!$G$5:$G$507,MATCH(ROW()-3,对接源_01水果!$Q$5:$Q$507,0)),""),IFERROR(INDEX(对接源_02物料!$G$5:$G$460,MATCH(ROW()-3-N(对接源_01水果!$T$1),对接源_02物料!$Q$5:$Q$460,0)),"")))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3" s="26" t="str">
        <f>IFERROR(INDEX(收入成本映射!$C$4:$C$34,MATCH($D163,收入成本映射!$B$4:$B$34,0)),"不记账")</f>
        <v>不记账</v>
      </c>
      <c r="J163" s="26" t="str">
        <f t="shared" si="18"/>
        <v/>
      </c>
      <c r="K163" s="27">
        <f t="shared" si="19"/>
        <v>0</v>
      </c>
      <c r="L163" s="27">
        <v>0</v>
      </c>
      <c r="M163" s="26" t="str">
        <f>IF(OR($I163="不记账",ROUND(N($G163),2)=0),"",IFERROR(INDEX(收入成本映射!$E$4:$E$34,MATCH($D163,收入成本映射!$B$4:$B$34,0)),""))</f>
        <v/>
      </c>
      <c r="N163" s="27" t="str">
        <f t="shared" si="20"/>
        <v/>
      </c>
      <c r="O163" s="27" t="str">
        <f t="shared" si="21"/>
        <v/>
      </c>
      <c r="P163" s="26" t="str">
        <f>IF($M163="","",IFERROR(INDEX(收入成本映射!$F$4:$F$34,MATCH($D163,收入成本映射!$B$4:$B$34,0)),""))</f>
        <v/>
      </c>
      <c r="Q163" s="27" t="str">
        <f t="shared" si="22"/>
        <v/>
      </c>
      <c r="R163" s="27" t="str">
        <f t="shared" si="23"/>
        <v/>
      </c>
      <c r="S163" s="26" t="str">
        <f t="shared" si="24"/>
        <v/>
      </c>
      <c r="T163" s="27" t="str">
        <f t="shared" si="25"/>
        <v/>
      </c>
      <c r="U163" s="27" t="str">
        <f t="shared" si="26"/>
        <v/>
      </c>
      <c r="V163" s="10" t="str">
        <f>IF($B163="","",IF($B163="01水果",IFERROR(INDEX(对接源_01水果!$H$5:$H$507,MATCH(ROW()-3,对接源_01水果!$Q$5:$Q$507,0)),""),IFERROR(INDEX(对接源_02物料!$H$5:$H$460,MATCH(ROW()-3-N(对接源_01水果!$T$1),对接源_02物料!$Q$5:$Q$460,0)),"")))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4" ht="18" customHeight="1" spans="1:22">
      <c r="A164" s="10">
        <v>161</v>
      </c>
      <c r="B164" s="26" t="str">
        <f>IF(ROW()-3&lt;=N(对接源_01水果!$T$1),"01水果",IF(ROW()-3&lt;=N(对接源_01水果!$T$1)+N(对接源_02物料!$T$1),"02物料",""))</f>
        <v/>
      </c>
      <c r="C164" s="125" t="str">
        <f>IF($B164="","",IF($B164="01水果",IFERROR(INDEX(对接源_01水果!$B$5:$B$507,MATCH(ROW()-3,对接源_01水果!$Q$5:$Q$507,0)),""),IFERROR(INDEX(对接源_02物料!$B$5:$B$460,MATCH(ROW()-3-N(对接源_01水果!$T$1),对接源_02物料!$Q$5:$Q$460,0)),"")))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4" s="26" t="str">
        <f>IF($B164="","",IF($B164="01水果",IFERROR(INDEX(对接源_01水果!$C$5:$C$507,MATCH(ROW()-3,对接源_01水果!$Q$5:$Q$507,0)),""),IFERROR(INDEX(对接源_02物料!$C$5:$C$460,MATCH(ROW()-3-N(对接源_01水果!$T$1),对接源_02物料!$Q$5:$Q$460,0)),"")))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4" s="126" t="str">
        <f>IF($B164="","",IF($B164="01水果",IFERROR(INDEX(对接源_01水果!$D$5:$D$507,MATCH(ROW()-3,对接源_01水果!$Q$5:$Q$507,0)),""),IFERROR(INDEX(对接源_02物料!$D$5:$D$460,MATCH(ROW()-3-N(对接源_01水果!$T$1),对接源_02物料!$Q$5:$Q$460,0)),"")))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4" s="26" t="str">
        <f>IF($B164="","",IF($B164="01水果",IFERROR(INDEX(对接源_01水果!$E$5:$E$507,MATCH(ROW()-3,对接源_01水果!$Q$5:$Q$507,0)),""),IFERROR(INDEX(对接源_02物料!$E$5:$E$460,MATCH(ROW()-3-N(对接源_01水果!$T$1),对接源_02物料!$Q$5:$Q$460,0)),"")))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4" s="27" t="str">
        <f>IF($B164="","",IF($B164="01水果",IFERROR(INDEX(对接源_01水果!$F$5:$F$507,MATCH(ROW()-3,对接源_01水果!$Q$5:$Q$507,0)),""),IFERROR(INDEX(对接源_02物料!$F$5:$F$460,MATCH(ROW()-3-N(对接源_01水果!$T$1),对接源_02物料!$Q$5:$Q$460,0)),"")))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4" s="27" t="str">
        <f>IF($B164="","",IF($B164="01水果",IFERROR(INDEX(对接源_01水果!$G$5:$G$507,MATCH(ROW()-3,对接源_01水果!$Q$5:$Q$507,0)),""),IFERROR(INDEX(对接源_02物料!$G$5:$G$460,MATCH(ROW()-3-N(对接源_01水果!$T$1),对接源_02物料!$Q$5:$Q$460,0)),"")))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4" s="26" t="str">
        <f>IFERROR(INDEX(收入成本映射!$C$4:$C$34,MATCH($D164,收入成本映射!$B$4:$B$34,0)),"不记账")</f>
        <v>不记账</v>
      </c>
      <c r="J164" s="26" t="str">
        <f t="shared" si="18"/>
        <v/>
      </c>
      <c r="K164" s="27">
        <f t="shared" si="19"/>
        <v>0</v>
      </c>
      <c r="L164" s="27">
        <v>0</v>
      </c>
      <c r="M164" s="26" t="str">
        <f>IF(OR($I164="不记账",ROUND(N($G164),2)=0),"",IFERROR(INDEX(收入成本映射!$E$4:$E$34,MATCH($D164,收入成本映射!$B$4:$B$34,0)),""))</f>
        <v/>
      </c>
      <c r="N164" s="27" t="str">
        <f t="shared" si="20"/>
        <v/>
      </c>
      <c r="O164" s="27" t="str">
        <f t="shared" si="21"/>
        <v/>
      </c>
      <c r="P164" s="26" t="str">
        <f>IF($M164="","",IFERROR(INDEX(收入成本映射!$F$4:$F$34,MATCH($D164,收入成本映射!$B$4:$B$34,0)),""))</f>
        <v/>
      </c>
      <c r="Q164" s="27" t="str">
        <f t="shared" si="22"/>
        <v/>
      </c>
      <c r="R164" s="27" t="str">
        <f t="shared" si="23"/>
        <v/>
      </c>
      <c r="S164" s="26" t="str">
        <f t="shared" si="24"/>
        <v/>
      </c>
      <c r="T164" s="27" t="str">
        <f t="shared" si="25"/>
        <v/>
      </c>
      <c r="U164" s="27" t="str">
        <f t="shared" si="26"/>
        <v/>
      </c>
      <c r="V164" s="10" t="str">
        <f>IF($B164="","",IF($B164="01水果",IFERROR(INDEX(对接源_01水果!$H$5:$H$507,MATCH(ROW()-3,对接源_01水果!$Q$5:$Q$507,0)),""),IFERROR(INDEX(对接源_02物料!$H$5:$H$460,MATCH(ROW()-3-N(对接源_01水果!$T$1),对接源_02物料!$Q$5:$Q$460,0)),"")))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5" ht="18" customHeight="1" spans="1:22">
      <c r="A165" s="10">
        <v>162</v>
      </c>
      <c r="B165" s="26" t="str">
        <f>IF(ROW()-3&lt;=N(对接源_01水果!$T$1),"01水果",IF(ROW()-3&lt;=N(对接源_01水果!$T$1)+N(对接源_02物料!$T$1),"02物料",""))</f>
        <v/>
      </c>
      <c r="C165" s="125" t="str">
        <f>IF($B165="","",IF($B165="01水果",IFERROR(INDEX(对接源_01水果!$B$5:$B$507,MATCH(ROW()-3,对接源_01水果!$Q$5:$Q$507,0)),""),IFERROR(INDEX(对接源_02物料!$B$5:$B$460,MATCH(ROW()-3-N(对接源_01水果!$T$1),对接源_02物料!$Q$5:$Q$460,0)),"")))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5" s="26" t="str">
        <f>IF($B165="","",IF($B165="01水果",IFERROR(INDEX(对接源_01水果!$C$5:$C$507,MATCH(ROW()-3,对接源_01水果!$Q$5:$Q$507,0)),""),IFERROR(INDEX(对接源_02物料!$C$5:$C$460,MATCH(ROW()-3-N(对接源_01水果!$T$1),对接源_02物料!$Q$5:$Q$460,0)),"")))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5" s="126" t="str">
        <f>IF($B165="","",IF($B165="01水果",IFERROR(INDEX(对接源_01水果!$D$5:$D$507,MATCH(ROW()-3,对接源_01水果!$Q$5:$Q$507,0)),""),IFERROR(INDEX(对接源_02物料!$D$5:$D$460,MATCH(ROW()-3-N(对接源_01水果!$T$1),对接源_02物料!$Q$5:$Q$460,0)),"")))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5" s="26" t="str">
        <f>IF($B165="","",IF($B165="01水果",IFERROR(INDEX(对接源_01水果!$E$5:$E$507,MATCH(ROW()-3,对接源_01水果!$Q$5:$Q$507,0)),""),IFERROR(INDEX(对接源_02物料!$E$5:$E$460,MATCH(ROW()-3-N(对接源_01水果!$T$1),对接源_02物料!$Q$5:$Q$460,0)),"")))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5" s="27" t="str">
        <f>IF($B165="","",IF($B165="01水果",IFERROR(INDEX(对接源_01水果!$F$5:$F$507,MATCH(ROW()-3,对接源_01水果!$Q$5:$Q$507,0)),""),IFERROR(INDEX(对接源_02物料!$F$5:$F$460,MATCH(ROW()-3-N(对接源_01水果!$T$1),对接源_02物料!$Q$5:$Q$460,0)),"")))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5" s="27" t="str">
        <f>IF($B165="","",IF($B165="01水果",IFERROR(INDEX(对接源_01水果!$G$5:$G$507,MATCH(ROW()-3,对接源_01水果!$Q$5:$Q$507,0)),""),IFERROR(INDEX(对接源_02物料!$G$5:$G$460,MATCH(ROW()-3-N(对接源_01水果!$T$1),对接源_02物料!$Q$5:$Q$460,0)),"")))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5" s="26" t="str">
        <f>IFERROR(INDEX(收入成本映射!$C$4:$C$34,MATCH($D165,收入成本映射!$B$4:$B$34,0)),"不记账")</f>
        <v>不记账</v>
      </c>
      <c r="J165" s="26" t="str">
        <f t="shared" si="18"/>
        <v/>
      </c>
      <c r="K165" s="27">
        <f t="shared" si="19"/>
        <v>0</v>
      </c>
      <c r="L165" s="27">
        <v>0</v>
      </c>
      <c r="M165" s="26" t="str">
        <f>IF(OR($I165="不记账",ROUND(N($G165),2)=0),"",IFERROR(INDEX(收入成本映射!$E$4:$E$34,MATCH($D165,收入成本映射!$B$4:$B$34,0)),""))</f>
        <v/>
      </c>
      <c r="N165" s="27" t="str">
        <f t="shared" si="20"/>
        <v/>
      </c>
      <c r="O165" s="27" t="str">
        <f t="shared" si="21"/>
        <v/>
      </c>
      <c r="P165" s="26" t="str">
        <f>IF($M165="","",IFERROR(INDEX(收入成本映射!$F$4:$F$34,MATCH($D165,收入成本映射!$B$4:$B$34,0)),""))</f>
        <v/>
      </c>
      <c r="Q165" s="27" t="str">
        <f t="shared" si="22"/>
        <v/>
      </c>
      <c r="R165" s="27" t="str">
        <f t="shared" si="23"/>
        <v/>
      </c>
      <c r="S165" s="26" t="str">
        <f t="shared" si="24"/>
        <v/>
      </c>
      <c r="T165" s="27" t="str">
        <f t="shared" si="25"/>
        <v/>
      </c>
      <c r="U165" s="27" t="str">
        <f t="shared" si="26"/>
        <v/>
      </c>
      <c r="V165" s="10" t="str">
        <f>IF($B165="","",IF($B165="01水果",IFERROR(INDEX(对接源_01水果!$H$5:$H$507,MATCH(ROW()-3,对接源_01水果!$Q$5:$Q$507,0)),""),IFERROR(INDEX(对接源_02物料!$H$5:$H$460,MATCH(ROW()-3-N(对接源_01水果!$T$1),对接源_02物料!$Q$5:$Q$460,0)),"")))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6" ht="18" customHeight="1" spans="1:22">
      <c r="A166" s="10">
        <v>163</v>
      </c>
      <c r="B166" s="26" t="str">
        <f>IF(ROW()-3&lt;=N(对接源_01水果!$T$1),"01水果",IF(ROW()-3&lt;=N(对接源_01水果!$T$1)+N(对接源_02物料!$T$1),"02物料",""))</f>
        <v/>
      </c>
      <c r="C166" s="125" t="str">
        <f>IF($B166="","",IF($B166="01水果",IFERROR(INDEX(对接源_01水果!$B$5:$B$507,MATCH(ROW()-3,对接源_01水果!$Q$5:$Q$507,0)),""),IFERROR(INDEX(对接源_02物料!$B$5:$B$460,MATCH(ROW()-3-N(对接源_01水果!$T$1),对接源_02物料!$Q$5:$Q$460,0)),"")))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6" s="26" t="str">
        <f>IF($B166="","",IF($B166="01水果",IFERROR(INDEX(对接源_01水果!$C$5:$C$507,MATCH(ROW()-3,对接源_01水果!$Q$5:$Q$507,0)),""),IFERROR(INDEX(对接源_02物料!$C$5:$C$460,MATCH(ROW()-3-N(对接源_01水果!$T$1),对接源_02物料!$Q$5:$Q$460,0)),"")))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6" s="126" t="str">
        <f>IF($B166="","",IF($B166="01水果",IFERROR(INDEX(对接源_01水果!$D$5:$D$507,MATCH(ROW()-3,对接源_01水果!$Q$5:$Q$507,0)),""),IFERROR(INDEX(对接源_02物料!$D$5:$D$460,MATCH(ROW()-3-N(对接源_01水果!$T$1),对接源_02物料!$Q$5:$Q$460,0)),"")))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6" s="26" t="str">
        <f>IF($B166="","",IF($B166="01水果",IFERROR(INDEX(对接源_01水果!$E$5:$E$507,MATCH(ROW()-3,对接源_01水果!$Q$5:$Q$507,0)),""),IFERROR(INDEX(对接源_02物料!$E$5:$E$460,MATCH(ROW()-3-N(对接源_01水果!$T$1),对接源_02物料!$Q$5:$Q$460,0)),"")))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6" s="27" t="str">
        <f>IF($B166="","",IF($B166="01水果",IFERROR(INDEX(对接源_01水果!$F$5:$F$507,MATCH(ROW()-3,对接源_01水果!$Q$5:$Q$507,0)),""),IFERROR(INDEX(对接源_02物料!$F$5:$F$460,MATCH(ROW()-3-N(对接源_01水果!$T$1),对接源_02物料!$Q$5:$Q$460,0)),"")))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6" s="27" t="str">
        <f>IF($B166="","",IF($B166="01水果",IFERROR(INDEX(对接源_01水果!$G$5:$G$507,MATCH(ROW()-3,对接源_01水果!$Q$5:$Q$507,0)),""),IFERROR(INDEX(对接源_02物料!$G$5:$G$460,MATCH(ROW()-3-N(对接源_01水果!$T$1),对接源_02物料!$Q$5:$Q$460,0)),"")))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6" s="26" t="str">
        <f>IFERROR(INDEX(收入成本映射!$C$4:$C$34,MATCH($D166,收入成本映射!$B$4:$B$34,0)),"不记账")</f>
        <v>不记账</v>
      </c>
      <c r="J166" s="26" t="str">
        <f t="shared" si="18"/>
        <v/>
      </c>
      <c r="K166" s="27">
        <f t="shared" si="19"/>
        <v>0</v>
      </c>
      <c r="L166" s="27">
        <v>0</v>
      </c>
      <c r="M166" s="26" t="str">
        <f>IF(OR($I166="不记账",ROUND(N($G166),2)=0),"",IFERROR(INDEX(收入成本映射!$E$4:$E$34,MATCH($D166,收入成本映射!$B$4:$B$34,0)),""))</f>
        <v/>
      </c>
      <c r="N166" s="27" t="str">
        <f t="shared" si="20"/>
        <v/>
      </c>
      <c r="O166" s="27" t="str">
        <f t="shared" si="21"/>
        <v/>
      </c>
      <c r="P166" s="26" t="str">
        <f>IF($M166="","",IFERROR(INDEX(收入成本映射!$F$4:$F$34,MATCH($D166,收入成本映射!$B$4:$B$34,0)),""))</f>
        <v/>
      </c>
      <c r="Q166" s="27" t="str">
        <f t="shared" si="22"/>
        <v/>
      </c>
      <c r="R166" s="27" t="str">
        <f t="shared" si="23"/>
        <v/>
      </c>
      <c r="S166" s="26" t="str">
        <f t="shared" si="24"/>
        <v/>
      </c>
      <c r="T166" s="27" t="str">
        <f t="shared" si="25"/>
        <v/>
      </c>
      <c r="U166" s="27" t="str">
        <f t="shared" si="26"/>
        <v/>
      </c>
      <c r="V166" s="10" t="str">
        <f>IF($B166="","",IF($B166="01水果",IFERROR(INDEX(对接源_01水果!$H$5:$H$507,MATCH(ROW()-3,对接源_01水果!$Q$5:$Q$507,0)),""),IFERROR(INDEX(对接源_02物料!$H$5:$H$460,MATCH(ROW()-3-N(对接源_01水果!$T$1),对接源_02物料!$Q$5:$Q$460,0)),"")))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7" ht="18" customHeight="1" spans="1:22">
      <c r="A167" s="10">
        <v>164</v>
      </c>
      <c r="B167" s="26" t="str">
        <f>IF(ROW()-3&lt;=N(对接源_01水果!$T$1),"01水果",IF(ROW()-3&lt;=N(对接源_01水果!$T$1)+N(对接源_02物料!$T$1),"02物料",""))</f>
        <v/>
      </c>
      <c r="C167" s="125" t="str">
        <f>IF($B167="","",IF($B167="01水果",IFERROR(INDEX(对接源_01水果!$B$5:$B$507,MATCH(ROW()-3,对接源_01水果!$Q$5:$Q$507,0)),""),IFERROR(INDEX(对接源_02物料!$B$5:$B$460,MATCH(ROW()-3-N(对接源_01水果!$T$1),对接源_02物料!$Q$5:$Q$460,0)),"")))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7" s="26" t="str">
        <f>IF($B167="","",IF($B167="01水果",IFERROR(INDEX(对接源_01水果!$C$5:$C$507,MATCH(ROW()-3,对接源_01水果!$Q$5:$Q$507,0)),""),IFERROR(INDEX(对接源_02物料!$C$5:$C$460,MATCH(ROW()-3-N(对接源_01水果!$T$1),对接源_02物料!$Q$5:$Q$460,0)),"")))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7" s="126" t="str">
        <f>IF($B167="","",IF($B167="01水果",IFERROR(INDEX(对接源_01水果!$D$5:$D$507,MATCH(ROW()-3,对接源_01水果!$Q$5:$Q$507,0)),""),IFERROR(INDEX(对接源_02物料!$D$5:$D$460,MATCH(ROW()-3-N(对接源_01水果!$T$1),对接源_02物料!$Q$5:$Q$460,0)),"")))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7" s="26" t="str">
        <f>IF($B167="","",IF($B167="01水果",IFERROR(INDEX(对接源_01水果!$E$5:$E$507,MATCH(ROW()-3,对接源_01水果!$Q$5:$Q$507,0)),""),IFERROR(INDEX(对接源_02物料!$E$5:$E$460,MATCH(ROW()-3-N(对接源_01水果!$T$1),对接源_02物料!$Q$5:$Q$460,0)),"")))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7" s="27" t="str">
        <f>IF($B167="","",IF($B167="01水果",IFERROR(INDEX(对接源_01水果!$F$5:$F$507,MATCH(ROW()-3,对接源_01水果!$Q$5:$Q$507,0)),""),IFERROR(INDEX(对接源_02物料!$F$5:$F$460,MATCH(ROW()-3-N(对接源_01水果!$T$1),对接源_02物料!$Q$5:$Q$460,0)),"")))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7" s="27" t="str">
        <f>IF($B167="","",IF($B167="01水果",IFERROR(INDEX(对接源_01水果!$G$5:$G$507,MATCH(ROW()-3,对接源_01水果!$Q$5:$Q$507,0)),""),IFERROR(INDEX(对接源_02物料!$G$5:$G$460,MATCH(ROW()-3-N(对接源_01水果!$T$1),对接源_02物料!$Q$5:$Q$460,0)),"")))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7" s="26" t="str">
        <f>IFERROR(INDEX(收入成本映射!$C$4:$C$34,MATCH($D167,收入成本映射!$B$4:$B$34,0)),"不记账")</f>
        <v>不记账</v>
      </c>
      <c r="J167" s="26" t="str">
        <f t="shared" si="18"/>
        <v/>
      </c>
      <c r="K167" s="27">
        <f t="shared" si="19"/>
        <v>0</v>
      </c>
      <c r="L167" s="27">
        <v>0</v>
      </c>
      <c r="M167" s="26" t="str">
        <f>IF(OR($I167="不记账",ROUND(N($G167),2)=0),"",IFERROR(INDEX(收入成本映射!$E$4:$E$34,MATCH($D167,收入成本映射!$B$4:$B$34,0)),""))</f>
        <v/>
      </c>
      <c r="N167" s="27" t="str">
        <f t="shared" si="20"/>
        <v/>
      </c>
      <c r="O167" s="27" t="str">
        <f t="shared" si="21"/>
        <v/>
      </c>
      <c r="P167" s="26" t="str">
        <f>IF($M167="","",IFERROR(INDEX(收入成本映射!$F$4:$F$34,MATCH($D167,收入成本映射!$B$4:$B$34,0)),""))</f>
        <v/>
      </c>
      <c r="Q167" s="27" t="str">
        <f t="shared" si="22"/>
        <v/>
      </c>
      <c r="R167" s="27" t="str">
        <f t="shared" si="23"/>
        <v/>
      </c>
      <c r="S167" s="26" t="str">
        <f t="shared" si="24"/>
        <v/>
      </c>
      <c r="T167" s="27" t="str">
        <f t="shared" si="25"/>
        <v/>
      </c>
      <c r="U167" s="27" t="str">
        <f t="shared" si="26"/>
        <v/>
      </c>
      <c r="V167" s="10" t="str">
        <f>IF($B167="","",IF($B167="01水果",IFERROR(INDEX(对接源_01水果!$H$5:$H$507,MATCH(ROW()-3,对接源_01水果!$Q$5:$Q$507,0)),""),IFERROR(INDEX(对接源_02物料!$H$5:$H$460,MATCH(ROW()-3-N(对接源_01水果!$T$1),对接源_02物料!$Q$5:$Q$460,0)),"")))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8" ht="18" customHeight="1" spans="1:22">
      <c r="A168" s="10">
        <v>165</v>
      </c>
      <c r="B168" s="26" t="str">
        <f>IF(ROW()-3&lt;=N(对接源_01水果!$T$1),"01水果",IF(ROW()-3&lt;=N(对接源_01水果!$T$1)+N(对接源_02物料!$T$1),"02物料",""))</f>
        <v/>
      </c>
      <c r="C168" s="125" t="str">
        <f>IF($B168="","",IF($B168="01水果",IFERROR(INDEX(对接源_01水果!$B$5:$B$507,MATCH(ROW()-3,对接源_01水果!$Q$5:$Q$507,0)),""),IFERROR(INDEX(对接源_02物料!$B$5:$B$460,MATCH(ROW()-3-N(对接源_01水果!$T$1),对接源_02物料!$Q$5:$Q$460,0)),"")))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8" s="26" t="str">
        <f>IF($B168="","",IF($B168="01水果",IFERROR(INDEX(对接源_01水果!$C$5:$C$507,MATCH(ROW()-3,对接源_01水果!$Q$5:$Q$507,0)),""),IFERROR(INDEX(对接源_02物料!$C$5:$C$460,MATCH(ROW()-3-N(对接源_01水果!$T$1),对接源_02物料!$Q$5:$Q$460,0)),"")))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8" s="126" t="str">
        <f>IF($B168="","",IF($B168="01水果",IFERROR(INDEX(对接源_01水果!$D$5:$D$507,MATCH(ROW()-3,对接源_01水果!$Q$5:$Q$507,0)),""),IFERROR(INDEX(对接源_02物料!$D$5:$D$460,MATCH(ROW()-3-N(对接源_01水果!$T$1),对接源_02物料!$Q$5:$Q$460,0)),"")))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8" s="26" t="str">
        <f>IF($B168="","",IF($B168="01水果",IFERROR(INDEX(对接源_01水果!$E$5:$E$507,MATCH(ROW()-3,对接源_01水果!$Q$5:$Q$507,0)),""),IFERROR(INDEX(对接源_02物料!$E$5:$E$460,MATCH(ROW()-3-N(对接源_01水果!$T$1),对接源_02物料!$Q$5:$Q$460,0)),"")))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8" s="27" t="str">
        <f>IF($B168="","",IF($B168="01水果",IFERROR(INDEX(对接源_01水果!$F$5:$F$507,MATCH(ROW()-3,对接源_01水果!$Q$5:$Q$507,0)),""),IFERROR(INDEX(对接源_02物料!$F$5:$F$460,MATCH(ROW()-3-N(对接源_01水果!$T$1),对接源_02物料!$Q$5:$Q$460,0)),"")))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8" s="27" t="str">
        <f>IF($B168="","",IF($B168="01水果",IFERROR(INDEX(对接源_01水果!$G$5:$G$507,MATCH(ROW()-3,对接源_01水果!$Q$5:$Q$507,0)),""),IFERROR(INDEX(对接源_02物料!$G$5:$G$460,MATCH(ROW()-3-N(对接源_01水果!$T$1),对接源_02物料!$Q$5:$Q$460,0)),"")))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8" s="26" t="str">
        <f>IFERROR(INDEX(收入成本映射!$C$4:$C$34,MATCH($D168,收入成本映射!$B$4:$B$34,0)),"不记账")</f>
        <v>不记账</v>
      </c>
      <c r="J168" s="26" t="str">
        <f t="shared" si="18"/>
        <v/>
      </c>
      <c r="K168" s="27">
        <f t="shared" si="19"/>
        <v>0</v>
      </c>
      <c r="L168" s="27">
        <v>0</v>
      </c>
      <c r="M168" s="26" t="str">
        <f>IF(OR($I168="不记账",ROUND(N($G168),2)=0),"",IFERROR(INDEX(收入成本映射!$E$4:$E$34,MATCH($D168,收入成本映射!$B$4:$B$34,0)),""))</f>
        <v/>
      </c>
      <c r="N168" s="27" t="str">
        <f t="shared" si="20"/>
        <v/>
      </c>
      <c r="O168" s="27" t="str">
        <f t="shared" si="21"/>
        <v/>
      </c>
      <c r="P168" s="26" t="str">
        <f>IF($M168="","",IFERROR(INDEX(收入成本映射!$F$4:$F$34,MATCH($D168,收入成本映射!$B$4:$B$34,0)),""))</f>
        <v/>
      </c>
      <c r="Q168" s="27" t="str">
        <f t="shared" si="22"/>
        <v/>
      </c>
      <c r="R168" s="27" t="str">
        <f t="shared" si="23"/>
        <v/>
      </c>
      <c r="S168" s="26" t="str">
        <f t="shared" si="24"/>
        <v/>
      </c>
      <c r="T168" s="27" t="str">
        <f t="shared" si="25"/>
        <v/>
      </c>
      <c r="U168" s="27" t="str">
        <f t="shared" si="26"/>
        <v/>
      </c>
      <c r="V168" s="10" t="str">
        <f>IF($B168="","",IF($B168="01水果",IFERROR(INDEX(对接源_01水果!$H$5:$H$507,MATCH(ROW()-3,对接源_01水果!$Q$5:$Q$507,0)),""),IFERROR(INDEX(对接源_02物料!$H$5:$H$460,MATCH(ROW()-3-N(对接源_01水果!$T$1),对接源_02物料!$Q$5:$Q$460,0)),"")))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9" ht="18" customHeight="1" spans="1:22">
      <c r="A169" s="10">
        <v>166</v>
      </c>
      <c r="B169" s="26" t="str">
        <f>IF(ROW()-3&lt;=N(对接源_01水果!$T$1),"01水果",IF(ROW()-3&lt;=N(对接源_01水果!$T$1)+N(对接源_02物料!$T$1),"02物料",""))</f>
        <v/>
      </c>
      <c r="C169" s="125" t="str">
        <f>IF($B169="","",IF($B169="01水果",IFERROR(INDEX(对接源_01水果!$B$5:$B$507,MATCH(ROW()-3,对接源_01水果!$Q$5:$Q$507,0)),""),IFERROR(INDEX(对接源_02物料!$B$5:$B$460,MATCH(ROW()-3-N(对接源_01水果!$T$1),对接源_02物料!$Q$5:$Q$460,0)),"")))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9" s="26" t="str">
        <f>IF($B169="","",IF($B169="01水果",IFERROR(INDEX(对接源_01水果!$C$5:$C$507,MATCH(ROW()-3,对接源_01水果!$Q$5:$Q$507,0)),""),IFERROR(INDEX(对接源_02物料!$C$5:$C$460,MATCH(ROW()-3-N(对接源_01水果!$T$1),对接源_02物料!$Q$5:$Q$460,0)),"")))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9" s="126" t="str">
        <f>IF($B169="","",IF($B169="01水果",IFERROR(INDEX(对接源_01水果!$D$5:$D$507,MATCH(ROW()-3,对接源_01水果!$Q$5:$Q$507,0)),""),IFERROR(INDEX(对接源_02物料!$D$5:$D$460,MATCH(ROW()-3-N(对接源_01水果!$T$1),对接源_02物料!$Q$5:$Q$460,0)),"")))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9" s="26" t="str">
        <f>IF($B169="","",IF($B169="01水果",IFERROR(INDEX(对接源_01水果!$E$5:$E$507,MATCH(ROW()-3,对接源_01水果!$Q$5:$Q$507,0)),""),IFERROR(INDEX(对接源_02物料!$E$5:$E$460,MATCH(ROW()-3-N(对接源_01水果!$T$1),对接源_02物料!$Q$5:$Q$460,0)),"")))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9" s="27" t="str">
        <f>IF($B169="","",IF($B169="01水果",IFERROR(INDEX(对接源_01水果!$F$5:$F$507,MATCH(ROW()-3,对接源_01水果!$Q$5:$Q$507,0)),""),IFERROR(INDEX(对接源_02物料!$F$5:$F$460,MATCH(ROW()-3-N(对接源_01水果!$T$1),对接源_02物料!$Q$5:$Q$460,0)),"")))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9" s="27" t="str">
        <f>IF($B169="","",IF($B169="01水果",IFERROR(INDEX(对接源_01水果!$G$5:$G$507,MATCH(ROW()-3,对接源_01水果!$Q$5:$Q$507,0)),""),IFERROR(INDEX(对接源_02物料!$G$5:$G$460,MATCH(ROW()-3-N(对接源_01水果!$T$1),对接源_02物料!$Q$5:$Q$460,0)),"")))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9" s="26" t="str">
        <f>IFERROR(INDEX(收入成本映射!$C$4:$C$34,MATCH($D169,收入成本映射!$B$4:$B$34,0)),"不记账")</f>
        <v>不记账</v>
      </c>
      <c r="J169" s="26" t="str">
        <f t="shared" si="18"/>
        <v/>
      </c>
      <c r="K169" s="27">
        <f t="shared" si="19"/>
        <v>0</v>
      </c>
      <c r="L169" s="27">
        <v>0</v>
      </c>
      <c r="M169" s="26" t="str">
        <f>IF(OR($I169="不记账",ROUND(N($G169),2)=0),"",IFERROR(INDEX(收入成本映射!$E$4:$E$34,MATCH($D169,收入成本映射!$B$4:$B$34,0)),""))</f>
        <v/>
      </c>
      <c r="N169" s="27" t="str">
        <f t="shared" si="20"/>
        <v/>
      </c>
      <c r="O169" s="27" t="str">
        <f t="shared" si="21"/>
        <v/>
      </c>
      <c r="P169" s="26" t="str">
        <f>IF($M169="","",IFERROR(INDEX(收入成本映射!$F$4:$F$34,MATCH($D169,收入成本映射!$B$4:$B$34,0)),""))</f>
        <v/>
      </c>
      <c r="Q169" s="27" t="str">
        <f t="shared" si="22"/>
        <v/>
      </c>
      <c r="R169" s="27" t="str">
        <f t="shared" si="23"/>
        <v/>
      </c>
      <c r="S169" s="26" t="str">
        <f t="shared" si="24"/>
        <v/>
      </c>
      <c r="T169" s="27" t="str">
        <f t="shared" si="25"/>
        <v/>
      </c>
      <c r="U169" s="27" t="str">
        <f t="shared" si="26"/>
        <v/>
      </c>
      <c r="V169" s="10" t="str">
        <f>IF($B169="","",IF($B169="01水果",IFERROR(INDEX(对接源_01水果!$H$5:$H$507,MATCH(ROW()-3,对接源_01水果!$Q$5:$Q$507,0)),""),IFERROR(INDEX(对接源_02物料!$H$5:$H$460,MATCH(ROW()-3-N(对接源_01水果!$T$1),对接源_02物料!$Q$5:$Q$460,0)),"")))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0" ht="18" customHeight="1" spans="1:22">
      <c r="A170" s="10">
        <v>167</v>
      </c>
      <c r="B170" s="26" t="str">
        <f>IF(ROW()-3&lt;=N(对接源_01水果!$T$1),"01水果",IF(ROW()-3&lt;=N(对接源_01水果!$T$1)+N(对接源_02物料!$T$1),"02物料",""))</f>
        <v/>
      </c>
      <c r="C170" s="125" t="str">
        <f>IF($B170="","",IF($B170="01水果",IFERROR(INDEX(对接源_01水果!$B$5:$B$507,MATCH(ROW()-3,对接源_01水果!$Q$5:$Q$507,0)),""),IFERROR(INDEX(对接源_02物料!$B$5:$B$460,MATCH(ROW()-3-N(对接源_01水果!$T$1),对接源_02物料!$Q$5:$Q$460,0)),"")))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0" s="26" t="str">
        <f>IF($B170="","",IF($B170="01水果",IFERROR(INDEX(对接源_01水果!$C$5:$C$507,MATCH(ROW()-3,对接源_01水果!$Q$5:$Q$507,0)),""),IFERROR(INDEX(对接源_02物料!$C$5:$C$460,MATCH(ROW()-3-N(对接源_01水果!$T$1),对接源_02物料!$Q$5:$Q$460,0)),"")))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0" s="126" t="str">
        <f>IF($B170="","",IF($B170="01水果",IFERROR(INDEX(对接源_01水果!$D$5:$D$507,MATCH(ROW()-3,对接源_01水果!$Q$5:$Q$507,0)),""),IFERROR(INDEX(对接源_02物料!$D$5:$D$460,MATCH(ROW()-3-N(对接源_01水果!$T$1),对接源_02物料!$Q$5:$Q$460,0)),"")))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0" s="26" t="str">
        <f>IF($B170="","",IF($B170="01水果",IFERROR(INDEX(对接源_01水果!$E$5:$E$507,MATCH(ROW()-3,对接源_01水果!$Q$5:$Q$507,0)),""),IFERROR(INDEX(对接源_02物料!$E$5:$E$460,MATCH(ROW()-3-N(对接源_01水果!$T$1),对接源_02物料!$Q$5:$Q$460,0)),"")))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0" s="27" t="str">
        <f>IF($B170="","",IF($B170="01水果",IFERROR(INDEX(对接源_01水果!$F$5:$F$507,MATCH(ROW()-3,对接源_01水果!$Q$5:$Q$507,0)),""),IFERROR(INDEX(对接源_02物料!$F$5:$F$460,MATCH(ROW()-3-N(对接源_01水果!$T$1),对接源_02物料!$Q$5:$Q$460,0)),"")))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0" s="27" t="str">
        <f>IF($B170="","",IF($B170="01水果",IFERROR(INDEX(对接源_01水果!$G$5:$G$507,MATCH(ROW()-3,对接源_01水果!$Q$5:$Q$507,0)),""),IFERROR(INDEX(对接源_02物料!$G$5:$G$460,MATCH(ROW()-3-N(对接源_01水果!$T$1),对接源_02物料!$Q$5:$Q$460,0)),"")))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0" s="26" t="str">
        <f>IFERROR(INDEX(收入成本映射!$C$4:$C$34,MATCH($D170,收入成本映射!$B$4:$B$34,0)),"不记账")</f>
        <v>不记账</v>
      </c>
      <c r="J170" s="26" t="str">
        <f t="shared" si="18"/>
        <v/>
      </c>
      <c r="K170" s="27">
        <f t="shared" si="19"/>
        <v>0</v>
      </c>
      <c r="L170" s="27">
        <v>0</v>
      </c>
      <c r="M170" s="26" t="str">
        <f>IF(OR($I170="不记账",ROUND(N($G170),2)=0),"",IFERROR(INDEX(收入成本映射!$E$4:$E$34,MATCH($D170,收入成本映射!$B$4:$B$34,0)),""))</f>
        <v/>
      </c>
      <c r="N170" s="27" t="str">
        <f t="shared" si="20"/>
        <v/>
      </c>
      <c r="O170" s="27" t="str">
        <f t="shared" si="21"/>
        <v/>
      </c>
      <c r="P170" s="26" t="str">
        <f>IF($M170="","",IFERROR(INDEX(收入成本映射!$F$4:$F$34,MATCH($D170,收入成本映射!$B$4:$B$34,0)),""))</f>
        <v/>
      </c>
      <c r="Q170" s="27" t="str">
        <f t="shared" si="22"/>
        <v/>
      </c>
      <c r="R170" s="27" t="str">
        <f t="shared" si="23"/>
        <v/>
      </c>
      <c r="S170" s="26" t="str">
        <f t="shared" si="24"/>
        <v/>
      </c>
      <c r="T170" s="27" t="str">
        <f t="shared" si="25"/>
        <v/>
      </c>
      <c r="U170" s="27" t="str">
        <f t="shared" si="26"/>
        <v/>
      </c>
      <c r="V170" s="10" t="str">
        <f>IF($B170="","",IF($B170="01水果",IFERROR(INDEX(对接源_01水果!$H$5:$H$507,MATCH(ROW()-3,对接源_01水果!$Q$5:$Q$507,0)),""),IFERROR(INDEX(对接源_02物料!$H$5:$H$460,MATCH(ROW()-3-N(对接源_01水果!$T$1),对接源_02物料!$Q$5:$Q$460,0)),"")))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1" ht="18" customHeight="1" spans="1:22">
      <c r="A171" s="10">
        <v>168</v>
      </c>
      <c r="B171" s="26" t="str">
        <f>IF(ROW()-3&lt;=N(对接源_01水果!$T$1),"01水果",IF(ROW()-3&lt;=N(对接源_01水果!$T$1)+N(对接源_02物料!$T$1),"02物料",""))</f>
        <v/>
      </c>
      <c r="C171" s="125" t="str">
        <f>IF($B171="","",IF($B171="01水果",IFERROR(INDEX(对接源_01水果!$B$5:$B$507,MATCH(ROW()-3,对接源_01水果!$Q$5:$Q$507,0)),""),IFERROR(INDEX(对接源_02物料!$B$5:$B$460,MATCH(ROW()-3-N(对接源_01水果!$T$1),对接源_02物料!$Q$5:$Q$460,0)),"")))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1" s="26" t="str">
        <f>IF($B171="","",IF($B171="01水果",IFERROR(INDEX(对接源_01水果!$C$5:$C$507,MATCH(ROW()-3,对接源_01水果!$Q$5:$Q$507,0)),""),IFERROR(INDEX(对接源_02物料!$C$5:$C$460,MATCH(ROW()-3-N(对接源_01水果!$T$1),对接源_02物料!$Q$5:$Q$460,0)),"")))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1" s="126" t="str">
        <f>IF($B171="","",IF($B171="01水果",IFERROR(INDEX(对接源_01水果!$D$5:$D$507,MATCH(ROW()-3,对接源_01水果!$Q$5:$Q$507,0)),""),IFERROR(INDEX(对接源_02物料!$D$5:$D$460,MATCH(ROW()-3-N(对接源_01水果!$T$1),对接源_02物料!$Q$5:$Q$460,0)),"")))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1" s="26" t="str">
        <f>IF($B171="","",IF($B171="01水果",IFERROR(INDEX(对接源_01水果!$E$5:$E$507,MATCH(ROW()-3,对接源_01水果!$Q$5:$Q$507,0)),""),IFERROR(INDEX(对接源_02物料!$E$5:$E$460,MATCH(ROW()-3-N(对接源_01水果!$T$1),对接源_02物料!$Q$5:$Q$460,0)),"")))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1" s="27" t="str">
        <f>IF($B171="","",IF($B171="01水果",IFERROR(INDEX(对接源_01水果!$F$5:$F$507,MATCH(ROW()-3,对接源_01水果!$Q$5:$Q$507,0)),""),IFERROR(INDEX(对接源_02物料!$F$5:$F$460,MATCH(ROW()-3-N(对接源_01水果!$T$1),对接源_02物料!$Q$5:$Q$460,0)),"")))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1" s="27" t="str">
        <f>IF($B171="","",IF($B171="01水果",IFERROR(INDEX(对接源_01水果!$G$5:$G$507,MATCH(ROW()-3,对接源_01水果!$Q$5:$Q$507,0)),""),IFERROR(INDEX(对接源_02物料!$G$5:$G$460,MATCH(ROW()-3-N(对接源_01水果!$T$1),对接源_02物料!$Q$5:$Q$460,0)),"")))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1" s="26" t="str">
        <f>IFERROR(INDEX(收入成本映射!$C$4:$C$34,MATCH($D171,收入成本映射!$B$4:$B$34,0)),"不记账")</f>
        <v>不记账</v>
      </c>
      <c r="J171" s="26" t="str">
        <f t="shared" si="18"/>
        <v/>
      </c>
      <c r="K171" s="27">
        <f t="shared" si="19"/>
        <v>0</v>
      </c>
      <c r="L171" s="27">
        <v>0</v>
      </c>
      <c r="M171" s="26" t="str">
        <f>IF(OR($I171="不记账",ROUND(N($G171),2)=0),"",IFERROR(INDEX(收入成本映射!$E$4:$E$34,MATCH($D171,收入成本映射!$B$4:$B$34,0)),""))</f>
        <v/>
      </c>
      <c r="N171" s="27" t="str">
        <f t="shared" si="20"/>
        <v/>
      </c>
      <c r="O171" s="27" t="str">
        <f t="shared" si="21"/>
        <v/>
      </c>
      <c r="P171" s="26" t="str">
        <f>IF($M171="","",IFERROR(INDEX(收入成本映射!$F$4:$F$34,MATCH($D171,收入成本映射!$B$4:$B$34,0)),""))</f>
        <v/>
      </c>
      <c r="Q171" s="27" t="str">
        <f t="shared" si="22"/>
        <v/>
      </c>
      <c r="R171" s="27" t="str">
        <f t="shared" si="23"/>
        <v/>
      </c>
      <c r="S171" s="26" t="str">
        <f t="shared" si="24"/>
        <v/>
      </c>
      <c r="T171" s="27" t="str">
        <f t="shared" si="25"/>
        <v/>
      </c>
      <c r="U171" s="27" t="str">
        <f t="shared" si="26"/>
        <v/>
      </c>
      <c r="V171" s="10" t="str">
        <f>IF($B171="","",IF($B171="01水果",IFERROR(INDEX(对接源_01水果!$H$5:$H$507,MATCH(ROW()-3,对接源_01水果!$Q$5:$Q$507,0)),""),IFERROR(INDEX(对接源_02物料!$H$5:$H$460,MATCH(ROW()-3-N(对接源_01水果!$T$1),对接源_02物料!$Q$5:$Q$460,0)),"")))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2" ht="18" customHeight="1" spans="1:22">
      <c r="A172" s="10">
        <v>169</v>
      </c>
      <c r="B172" s="26" t="str">
        <f>IF(ROW()-3&lt;=N(对接源_01水果!$T$1),"01水果",IF(ROW()-3&lt;=N(对接源_01水果!$T$1)+N(对接源_02物料!$T$1),"02物料",""))</f>
        <v/>
      </c>
      <c r="C172" s="125" t="str">
        <f>IF($B172="","",IF($B172="01水果",IFERROR(INDEX(对接源_01水果!$B$5:$B$507,MATCH(ROW()-3,对接源_01水果!$Q$5:$Q$507,0)),""),IFERROR(INDEX(对接源_02物料!$B$5:$B$460,MATCH(ROW()-3-N(对接源_01水果!$T$1),对接源_02物料!$Q$5:$Q$460,0)),"")))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2" s="26" t="str">
        <f>IF($B172="","",IF($B172="01水果",IFERROR(INDEX(对接源_01水果!$C$5:$C$507,MATCH(ROW()-3,对接源_01水果!$Q$5:$Q$507,0)),""),IFERROR(INDEX(对接源_02物料!$C$5:$C$460,MATCH(ROW()-3-N(对接源_01水果!$T$1),对接源_02物料!$Q$5:$Q$460,0)),"")))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2" s="126" t="str">
        <f>IF($B172="","",IF($B172="01水果",IFERROR(INDEX(对接源_01水果!$D$5:$D$507,MATCH(ROW()-3,对接源_01水果!$Q$5:$Q$507,0)),""),IFERROR(INDEX(对接源_02物料!$D$5:$D$460,MATCH(ROW()-3-N(对接源_01水果!$T$1),对接源_02物料!$Q$5:$Q$460,0)),"")))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2" s="26" t="str">
        <f>IF($B172="","",IF($B172="01水果",IFERROR(INDEX(对接源_01水果!$E$5:$E$507,MATCH(ROW()-3,对接源_01水果!$Q$5:$Q$507,0)),""),IFERROR(INDEX(对接源_02物料!$E$5:$E$460,MATCH(ROW()-3-N(对接源_01水果!$T$1),对接源_02物料!$Q$5:$Q$460,0)),"")))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2" s="27" t="str">
        <f>IF($B172="","",IF($B172="01水果",IFERROR(INDEX(对接源_01水果!$F$5:$F$507,MATCH(ROW()-3,对接源_01水果!$Q$5:$Q$507,0)),""),IFERROR(INDEX(对接源_02物料!$F$5:$F$460,MATCH(ROW()-3-N(对接源_01水果!$T$1),对接源_02物料!$Q$5:$Q$460,0)),"")))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2" s="27" t="str">
        <f>IF($B172="","",IF($B172="01水果",IFERROR(INDEX(对接源_01水果!$G$5:$G$507,MATCH(ROW()-3,对接源_01水果!$Q$5:$Q$507,0)),""),IFERROR(INDEX(对接源_02物料!$G$5:$G$460,MATCH(ROW()-3-N(对接源_01水果!$T$1),对接源_02物料!$Q$5:$Q$460,0)),"")))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2" s="26" t="str">
        <f>IFERROR(INDEX(收入成本映射!$C$4:$C$34,MATCH($D172,收入成本映射!$B$4:$B$34,0)),"不记账")</f>
        <v>不记账</v>
      </c>
      <c r="J172" s="26" t="str">
        <f t="shared" si="18"/>
        <v/>
      </c>
      <c r="K172" s="27">
        <f t="shared" si="19"/>
        <v>0</v>
      </c>
      <c r="L172" s="27">
        <v>0</v>
      </c>
      <c r="M172" s="26" t="str">
        <f>IF(OR($I172="不记账",ROUND(N($G172),2)=0),"",IFERROR(INDEX(收入成本映射!$E$4:$E$34,MATCH($D172,收入成本映射!$B$4:$B$34,0)),""))</f>
        <v/>
      </c>
      <c r="N172" s="27" t="str">
        <f t="shared" si="20"/>
        <v/>
      </c>
      <c r="O172" s="27" t="str">
        <f t="shared" si="21"/>
        <v/>
      </c>
      <c r="P172" s="26" t="str">
        <f>IF($M172="","",IFERROR(INDEX(收入成本映射!$F$4:$F$34,MATCH($D172,收入成本映射!$B$4:$B$34,0)),""))</f>
        <v/>
      </c>
      <c r="Q172" s="27" t="str">
        <f t="shared" si="22"/>
        <v/>
      </c>
      <c r="R172" s="27" t="str">
        <f t="shared" si="23"/>
        <v/>
      </c>
      <c r="S172" s="26" t="str">
        <f t="shared" si="24"/>
        <v/>
      </c>
      <c r="T172" s="27" t="str">
        <f t="shared" si="25"/>
        <v/>
      </c>
      <c r="U172" s="27" t="str">
        <f t="shared" si="26"/>
        <v/>
      </c>
      <c r="V172" s="10" t="str">
        <f>IF($B172="","",IF($B172="01水果",IFERROR(INDEX(对接源_01水果!$H$5:$H$507,MATCH(ROW()-3,对接源_01水果!$Q$5:$Q$507,0)),""),IFERROR(INDEX(对接源_02物料!$H$5:$H$460,MATCH(ROW()-3-N(对接源_01水果!$T$1),对接源_02物料!$Q$5:$Q$460,0)),"")))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3" ht="18" customHeight="1" spans="1:22">
      <c r="A173" s="10">
        <v>170</v>
      </c>
      <c r="B173" s="26" t="str">
        <f>IF(ROW()-3&lt;=N(对接源_01水果!$T$1),"01水果",IF(ROW()-3&lt;=N(对接源_01水果!$T$1)+N(对接源_02物料!$T$1),"02物料",""))</f>
        <v/>
      </c>
      <c r="C173" s="125" t="str">
        <f>IF($B173="","",IF($B173="01水果",IFERROR(INDEX(对接源_01水果!$B$5:$B$507,MATCH(ROW()-3,对接源_01水果!$Q$5:$Q$507,0)),""),IFERROR(INDEX(对接源_02物料!$B$5:$B$460,MATCH(ROW()-3-N(对接源_01水果!$T$1),对接源_02物料!$Q$5:$Q$460,0)),"")))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3" s="26" t="str">
        <f>IF($B173="","",IF($B173="01水果",IFERROR(INDEX(对接源_01水果!$C$5:$C$507,MATCH(ROW()-3,对接源_01水果!$Q$5:$Q$507,0)),""),IFERROR(INDEX(对接源_02物料!$C$5:$C$460,MATCH(ROW()-3-N(对接源_01水果!$T$1),对接源_02物料!$Q$5:$Q$460,0)),"")))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3" s="126" t="str">
        <f>IF($B173="","",IF($B173="01水果",IFERROR(INDEX(对接源_01水果!$D$5:$D$507,MATCH(ROW()-3,对接源_01水果!$Q$5:$Q$507,0)),""),IFERROR(INDEX(对接源_02物料!$D$5:$D$460,MATCH(ROW()-3-N(对接源_01水果!$T$1),对接源_02物料!$Q$5:$Q$460,0)),"")))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3" s="26" t="str">
        <f>IF($B173="","",IF($B173="01水果",IFERROR(INDEX(对接源_01水果!$E$5:$E$507,MATCH(ROW()-3,对接源_01水果!$Q$5:$Q$507,0)),""),IFERROR(INDEX(对接源_02物料!$E$5:$E$460,MATCH(ROW()-3-N(对接源_01水果!$T$1),对接源_02物料!$Q$5:$Q$460,0)),"")))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3" s="27" t="str">
        <f>IF($B173="","",IF($B173="01水果",IFERROR(INDEX(对接源_01水果!$F$5:$F$507,MATCH(ROW()-3,对接源_01水果!$Q$5:$Q$507,0)),""),IFERROR(INDEX(对接源_02物料!$F$5:$F$460,MATCH(ROW()-3-N(对接源_01水果!$T$1),对接源_02物料!$Q$5:$Q$460,0)),"")))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3" s="27" t="str">
        <f>IF($B173="","",IF($B173="01水果",IFERROR(INDEX(对接源_01水果!$G$5:$G$507,MATCH(ROW()-3,对接源_01水果!$Q$5:$Q$507,0)),""),IFERROR(INDEX(对接源_02物料!$G$5:$G$460,MATCH(ROW()-3-N(对接源_01水果!$T$1),对接源_02物料!$Q$5:$Q$460,0)),"")))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3" s="26" t="str">
        <f>IFERROR(INDEX(收入成本映射!$C$4:$C$34,MATCH($D173,收入成本映射!$B$4:$B$34,0)),"不记账")</f>
        <v>不记账</v>
      </c>
      <c r="J173" s="26" t="str">
        <f t="shared" si="18"/>
        <v/>
      </c>
      <c r="K173" s="27">
        <f t="shared" si="19"/>
        <v>0</v>
      </c>
      <c r="L173" s="27">
        <v>0</v>
      </c>
      <c r="M173" s="26" t="str">
        <f>IF(OR($I173="不记账",ROUND(N($G173),2)=0),"",IFERROR(INDEX(收入成本映射!$E$4:$E$34,MATCH($D173,收入成本映射!$B$4:$B$34,0)),""))</f>
        <v/>
      </c>
      <c r="N173" s="27" t="str">
        <f t="shared" si="20"/>
        <v/>
      </c>
      <c r="O173" s="27" t="str">
        <f t="shared" si="21"/>
        <v/>
      </c>
      <c r="P173" s="26" t="str">
        <f>IF($M173="","",IFERROR(INDEX(收入成本映射!$F$4:$F$34,MATCH($D173,收入成本映射!$B$4:$B$34,0)),""))</f>
        <v/>
      </c>
      <c r="Q173" s="27" t="str">
        <f t="shared" si="22"/>
        <v/>
      </c>
      <c r="R173" s="27" t="str">
        <f t="shared" si="23"/>
        <v/>
      </c>
      <c r="S173" s="26" t="str">
        <f t="shared" si="24"/>
        <v/>
      </c>
      <c r="T173" s="27" t="str">
        <f t="shared" si="25"/>
        <v/>
      </c>
      <c r="U173" s="27" t="str">
        <f t="shared" si="26"/>
        <v/>
      </c>
      <c r="V173" s="10" t="str">
        <f>IF($B173="","",IF($B173="01水果",IFERROR(INDEX(对接源_01水果!$H$5:$H$507,MATCH(ROW()-3,对接源_01水果!$Q$5:$Q$507,0)),""),IFERROR(INDEX(对接源_02物料!$H$5:$H$460,MATCH(ROW()-3-N(对接源_01水果!$T$1),对接源_02物料!$Q$5:$Q$460,0)),"")))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4" ht="18" customHeight="1" spans="1:22">
      <c r="A174" s="10">
        <v>171</v>
      </c>
      <c r="B174" s="26" t="str">
        <f>IF(ROW()-3&lt;=N(对接源_01水果!$T$1),"01水果",IF(ROW()-3&lt;=N(对接源_01水果!$T$1)+N(对接源_02物料!$T$1),"02物料",""))</f>
        <v/>
      </c>
      <c r="C174" s="125" t="str">
        <f>IF($B174="","",IF($B174="01水果",IFERROR(INDEX(对接源_01水果!$B$5:$B$507,MATCH(ROW()-3,对接源_01水果!$Q$5:$Q$507,0)),""),IFERROR(INDEX(对接源_02物料!$B$5:$B$460,MATCH(ROW()-3-N(对接源_01水果!$T$1),对接源_02物料!$Q$5:$Q$460,0)),"")))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4" s="26" t="str">
        <f>IF($B174="","",IF($B174="01水果",IFERROR(INDEX(对接源_01水果!$C$5:$C$507,MATCH(ROW()-3,对接源_01水果!$Q$5:$Q$507,0)),""),IFERROR(INDEX(对接源_02物料!$C$5:$C$460,MATCH(ROW()-3-N(对接源_01水果!$T$1),对接源_02物料!$Q$5:$Q$460,0)),"")))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4" s="126" t="str">
        <f>IF($B174="","",IF($B174="01水果",IFERROR(INDEX(对接源_01水果!$D$5:$D$507,MATCH(ROW()-3,对接源_01水果!$Q$5:$Q$507,0)),""),IFERROR(INDEX(对接源_02物料!$D$5:$D$460,MATCH(ROW()-3-N(对接源_01水果!$T$1),对接源_02物料!$Q$5:$Q$460,0)),"")))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4" s="26" t="str">
        <f>IF($B174="","",IF($B174="01水果",IFERROR(INDEX(对接源_01水果!$E$5:$E$507,MATCH(ROW()-3,对接源_01水果!$Q$5:$Q$507,0)),""),IFERROR(INDEX(对接源_02物料!$E$5:$E$460,MATCH(ROW()-3-N(对接源_01水果!$T$1),对接源_02物料!$Q$5:$Q$460,0)),"")))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4" s="27" t="str">
        <f>IF($B174="","",IF($B174="01水果",IFERROR(INDEX(对接源_01水果!$F$5:$F$507,MATCH(ROW()-3,对接源_01水果!$Q$5:$Q$507,0)),""),IFERROR(INDEX(对接源_02物料!$F$5:$F$460,MATCH(ROW()-3-N(对接源_01水果!$T$1),对接源_02物料!$Q$5:$Q$460,0)),"")))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4" s="27" t="str">
        <f>IF($B174="","",IF($B174="01水果",IFERROR(INDEX(对接源_01水果!$G$5:$G$507,MATCH(ROW()-3,对接源_01水果!$Q$5:$Q$507,0)),""),IFERROR(INDEX(对接源_02物料!$G$5:$G$460,MATCH(ROW()-3-N(对接源_01水果!$T$1),对接源_02物料!$Q$5:$Q$460,0)),"")))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4" s="26" t="str">
        <f>IFERROR(INDEX(收入成本映射!$C$4:$C$34,MATCH($D174,收入成本映射!$B$4:$B$34,0)),"不记账")</f>
        <v>不记账</v>
      </c>
      <c r="J174" s="26" t="str">
        <f t="shared" si="18"/>
        <v/>
      </c>
      <c r="K174" s="27">
        <f t="shared" si="19"/>
        <v>0</v>
      </c>
      <c r="L174" s="27">
        <v>0</v>
      </c>
      <c r="M174" s="26" t="str">
        <f>IF(OR($I174="不记账",ROUND(N($G174),2)=0),"",IFERROR(INDEX(收入成本映射!$E$4:$E$34,MATCH($D174,收入成本映射!$B$4:$B$34,0)),""))</f>
        <v/>
      </c>
      <c r="N174" s="27" t="str">
        <f t="shared" si="20"/>
        <v/>
      </c>
      <c r="O174" s="27" t="str">
        <f t="shared" si="21"/>
        <v/>
      </c>
      <c r="P174" s="26" t="str">
        <f>IF($M174="","",IFERROR(INDEX(收入成本映射!$F$4:$F$34,MATCH($D174,收入成本映射!$B$4:$B$34,0)),""))</f>
        <v/>
      </c>
      <c r="Q174" s="27" t="str">
        <f t="shared" si="22"/>
        <v/>
      </c>
      <c r="R174" s="27" t="str">
        <f t="shared" si="23"/>
        <v/>
      </c>
      <c r="S174" s="26" t="str">
        <f t="shared" si="24"/>
        <v/>
      </c>
      <c r="T174" s="27" t="str">
        <f t="shared" si="25"/>
        <v/>
      </c>
      <c r="U174" s="27" t="str">
        <f t="shared" si="26"/>
        <v/>
      </c>
      <c r="V174" s="10" t="str">
        <f>IF($B174="","",IF($B174="01水果",IFERROR(INDEX(对接源_01水果!$H$5:$H$507,MATCH(ROW()-3,对接源_01水果!$Q$5:$Q$507,0)),""),IFERROR(INDEX(对接源_02物料!$H$5:$H$460,MATCH(ROW()-3-N(对接源_01水果!$T$1),对接源_02物料!$Q$5:$Q$460,0)),"")))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5" ht="18" customHeight="1" spans="1:22">
      <c r="A175" s="10">
        <v>172</v>
      </c>
      <c r="B175" s="26" t="str">
        <f>IF(ROW()-3&lt;=N(对接源_01水果!$T$1),"01水果",IF(ROW()-3&lt;=N(对接源_01水果!$T$1)+N(对接源_02物料!$T$1),"02物料",""))</f>
        <v/>
      </c>
      <c r="C175" s="125" t="str">
        <f>IF($B175="","",IF($B175="01水果",IFERROR(INDEX(对接源_01水果!$B$5:$B$507,MATCH(ROW()-3,对接源_01水果!$Q$5:$Q$507,0)),""),IFERROR(INDEX(对接源_02物料!$B$5:$B$460,MATCH(ROW()-3-N(对接源_01水果!$T$1),对接源_02物料!$Q$5:$Q$460,0)),"")))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5" s="26" t="str">
        <f>IF($B175="","",IF($B175="01水果",IFERROR(INDEX(对接源_01水果!$C$5:$C$507,MATCH(ROW()-3,对接源_01水果!$Q$5:$Q$507,0)),""),IFERROR(INDEX(对接源_02物料!$C$5:$C$460,MATCH(ROW()-3-N(对接源_01水果!$T$1),对接源_02物料!$Q$5:$Q$460,0)),"")))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5" s="126" t="str">
        <f>IF($B175="","",IF($B175="01水果",IFERROR(INDEX(对接源_01水果!$D$5:$D$507,MATCH(ROW()-3,对接源_01水果!$Q$5:$Q$507,0)),""),IFERROR(INDEX(对接源_02物料!$D$5:$D$460,MATCH(ROW()-3-N(对接源_01水果!$T$1),对接源_02物料!$Q$5:$Q$460,0)),"")))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5" s="26" t="str">
        <f>IF($B175="","",IF($B175="01水果",IFERROR(INDEX(对接源_01水果!$E$5:$E$507,MATCH(ROW()-3,对接源_01水果!$Q$5:$Q$507,0)),""),IFERROR(INDEX(对接源_02物料!$E$5:$E$460,MATCH(ROW()-3-N(对接源_01水果!$T$1),对接源_02物料!$Q$5:$Q$460,0)),"")))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5" s="27" t="str">
        <f>IF($B175="","",IF($B175="01水果",IFERROR(INDEX(对接源_01水果!$F$5:$F$507,MATCH(ROW()-3,对接源_01水果!$Q$5:$Q$507,0)),""),IFERROR(INDEX(对接源_02物料!$F$5:$F$460,MATCH(ROW()-3-N(对接源_01水果!$T$1),对接源_02物料!$Q$5:$Q$460,0)),"")))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5" s="27" t="str">
        <f>IF($B175="","",IF($B175="01水果",IFERROR(INDEX(对接源_01水果!$G$5:$G$507,MATCH(ROW()-3,对接源_01水果!$Q$5:$Q$507,0)),""),IFERROR(INDEX(对接源_02物料!$G$5:$G$460,MATCH(ROW()-3-N(对接源_01水果!$T$1),对接源_02物料!$Q$5:$Q$460,0)),"")))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5" s="26" t="str">
        <f>IFERROR(INDEX(收入成本映射!$C$4:$C$34,MATCH($D175,收入成本映射!$B$4:$B$34,0)),"不记账")</f>
        <v>不记账</v>
      </c>
      <c r="J175" s="26" t="str">
        <f t="shared" si="18"/>
        <v/>
      </c>
      <c r="K175" s="27">
        <f t="shared" si="19"/>
        <v>0</v>
      </c>
      <c r="L175" s="27">
        <v>0</v>
      </c>
      <c r="M175" s="26" t="str">
        <f>IF(OR($I175="不记账",ROUND(N($G175),2)=0),"",IFERROR(INDEX(收入成本映射!$E$4:$E$34,MATCH($D175,收入成本映射!$B$4:$B$34,0)),""))</f>
        <v/>
      </c>
      <c r="N175" s="27" t="str">
        <f t="shared" si="20"/>
        <v/>
      </c>
      <c r="O175" s="27" t="str">
        <f t="shared" si="21"/>
        <v/>
      </c>
      <c r="P175" s="26" t="str">
        <f>IF($M175="","",IFERROR(INDEX(收入成本映射!$F$4:$F$34,MATCH($D175,收入成本映射!$B$4:$B$34,0)),""))</f>
        <v/>
      </c>
      <c r="Q175" s="27" t="str">
        <f t="shared" si="22"/>
        <v/>
      </c>
      <c r="R175" s="27" t="str">
        <f t="shared" si="23"/>
        <v/>
      </c>
      <c r="S175" s="26" t="str">
        <f t="shared" si="24"/>
        <v/>
      </c>
      <c r="T175" s="27" t="str">
        <f t="shared" si="25"/>
        <v/>
      </c>
      <c r="U175" s="27" t="str">
        <f t="shared" si="26"/>
        <v/>
      </c>
      <c r="V175" s="10" t="str">
        <f>IF($B175="","",IF($B175="01水果",IFERROR(INDEX(对接源_01水果!$H$5:$H$507,MATCH(ROW()-3,对接源_01水果!$Q$5:$Q$507,0)),""),IFERROR(INDEX(对接源_02物料!$H$5:$H$460,MATCH(ROW()-3-N(对接源_01水果!$T$1),对接源_02物料!$Q$5:$Q$460,0)),"")))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6" ht="18" customHeight="1" spans="1:22">
      <c r="A176" s="10">
        <v>173</v>
      </c>
      <c r="B176" s="26" t="str">
        <f>IF(ROW()-3&lt;=N(对接源_01水果!$T$1),"01水果",IF(ROW()-3&lt;=N(对接源_01水果!$T$1)+N(对接源_02物料!$T$1),"02物料",""))</f>
        <v/>
      </c>
      <c r="C176" s="125" t="str">
        <f>IF($B176="","",IF($B176="01水果",IFERROR(INDEX(对接源_01水果!$B$5:$B$507,MATCH(ROW()-3,对接源_01水果!$Q$5:$Q$507,0)),""),IFERROR(INDEX(对接源_02物料!$B$5:$B$460,MATCH(ROW()-3-N(对接源_01水果!$T$1),对接源_02物料!$Q$5:$Q$460,0)),"")))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6" s="26" t="str">
        <f>IF($B176="","",IF($B176="01水果",IFERROR(INDEX(对接源_01水果!$C$5:$C$507,MATCH(ROW()-3,对接源_01水果!$Q$5:$Q$507,0)),""),IFERROR(INDEX(对接源_02物料!$C$5:$C$460,MATCH(ROW()-3-N(对接源_01水果!$T$1),对接源_02物料!$Q$5:$Q$460,0)),"")))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6" s="126" t="str">
        <f>IF($B176="","",IF($B176="01水果",IFERROR(INDEX(对接源_01水果!$D$5:$D$507,MATCH(ROW()-3,对接源_01水果!$Q$5:$Q$507,0)),""),IFERROR(INDEX(对接源_02物料!$D$5:$D$460,MATCH(ROW()-3-N(对接源_01水果!$T$1),对接源_02物料!$Q$5:$Q$460,0)),"")))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6" s="26" t="str">
        <f>IF($B176="","",IF($B176="01水果",IFERROR(INDEX(对接源_01水果!$E$5:$E$507,MATCH(ROW()-3,对接源_01水果!$Q$5:$Q$507,0)),""),IFERROR(INDEX(对接源_02物料!$E$5:$E$460,MATCH(ROW()-3-N(对接源_01水果!$T$1),对接源_02物料!$Q$5:$Q$460,0)),"")))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6" s="27" t="str">
        <f>IF($B176="","",IF($B176="01水果",IFERROR(INDEX(对接源_01水果!$F$5:$F$507,MATCH(ROW()-3,对接源_01水果!$Q$5:$Q$507,0)),""),IFERROR(INDEX(对接源_02物料!$F$5:$F$460,MATCH(ROW()-3-N(对接源_01水果!$T$1),对接源_02物料!$Q$5:$Q$460,0)),"")))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6" s="27" t="str">
        <f>IF($B176="","",IF($B176="01水果",IFERROR(INDEX(对接源_01水果!$G$5:$G$507,MATCH(ROW()-3,对接源_01水果!$Q$5:$Q$507,0)),""),IFERROR(INDEX(对接源_02物料!$G$5:$G$460,MATCH(ROW()-3-N(对接源_01水果!$T$1),对接源_02物料!$Q$5:$Q$460,0)),"")))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6" s="26" t="str">
        <f>IFERROR(INDEX(收入成本映射!$C$4:$C$34,MATCH($D176,收入成本映射!$B$4:$B$34,0)),"不记账")</f>
        <v>不记账</v>
      </c>
      <c r="J176" s="26" t="str">
        <f t="shared" si="18"/>
        <v/>
      </c>
      <c r="K176" s="27">
        <f t="shared" si="19"/>
        <v>0</v>
      </c>
      <c r="L176" s="27">
        <v>0</v>
      </c>
      <c r="M176" s="26" t="str">
        <f>IF(OR($I176="不记账",ROUND(N($G176),2)=0),"",IFERROR(INDEX(收入成本映射!$E$4:$E$34,MATCH($D176,收入成本映射!$B$4:$B$34,0)),""))</f>
        <v/>
      </c>
      <c r="N176" s="27" t="str">
        <f t="shared" si="20"/>
        <v/>
      </c>
      <c r="O176" s="27" t="str">
        <f t="shared" si="21"/>
        <v/>
      </c>
      <c r="P176" s="26" t="str">
        <f>IF($M176="","",IFERROR(INDEX(收入成本映射!$F$4:$F$34,MATCH($D176,收入成本映射!$B$4:$B$34,0)),""))</f>
        <v/>
      </c>
      <c r="Q176" s="27" t="str">
        <f t="shared" si="22"/>
        <v/>
      </c>
      <c r="R176" s="27" t="str">
        <f t="shared" si="23"/>
        <v/>
      </c>
      <c r="S176" s="26" t="str">
        <f t="shared" si="24"/>
        <v/>
      </c>
      <c r="T176" s="27" t="str">
        <f t="shared" si="25"/>
        <v/>
      </c>
      <c r="U176" s="27" t="str">
        <f t="shared" si="26"/>
        <v/>
      </c>
      <c r="V176" s="10" t="str">
        <f>IF($B176="","",IF($B176="01水果",IFERROR(INDEX(对接源_01水果!$H$5:$H$507,MATCH(ROW()-3,对接源_01水果!$Q$5:$Q$507,0)),""),IFERROR(INDEX(对接源_02物料!$H$5:$H$460,MATCH(ROW()-3-N(对接源_01水果!$T$1),对接源_02物料!$Q$5:$Q$460,0)),"")))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7" ht="18" customHeight="1" spans="1:22">
      <c r="A177" s="10">
        <v>174</v>
      </c>
      <c r="B177" s="26" t="str">
        <f>IF(ROW()-3&lt;=N(对接源_01水果!$T$1),"01水果",IF(ROW()-3&lt;=N(对接源_01水果!$T$1)+N(对接源_02物料!$T$1),"02物料",""))</f>
        <v/>
      </c>
      <c r="C177" s="125" t="str">
        <f>IF($B177="","",IF($B177="01水果",IFERROR(INDEX(对接源_01水果!$B$5:$B$507,MATCH(ROW()-3,对接源_01水果!$Q$5:$Q$507,0)),""),IFERROR(INDEX(对接源_02物料!$B$5:$B$460,MATCH(ROW()-3-N(对接源_01水果!$T$1),对接源_02物料!$Q$5:$Q$460,0)),"")))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7" s="26" t="str">
        <f>IF($B177="","",IF($B177="01水果",IFERROR(INDEX(对接源_01水果!$C$5:$C$507,MATCH(ROW()-3,对接源_01水果!$Q$5:$Q$507,0)),""),IFERROR(INDEX(对接源_02物料!$C$5:$C$460,MATCH(ROW()-3-N(对接源_01水果!$T$1),对接源_02物料!$Q$5:$Q$460,0)),"")))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7" s="126" t="str">
        <f>IF($B177="","",IF($B177="01水果",IFERROR(INDEX(对接源_01水果!$D$5:$D$507,MATCH(ROW()-3,对接源_01水果!$Q$5:$Q$507,0)),""),IFERROR(INDEX(对接源_02物料!$D$5:$D$460,MATCH(ROW()-3-N(对接源_01水果!$T$1),对接源_02物料!$Q$5:$Q$460,0)),"")))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7" s="26" t="str">
        <f>IF($B177="","",IF($B177="01水果",IFERROR(INDEX(对接源_01水果!$E$5:$E$507,MATCH(ROW()-3,对接源_01水果!$Q$5:$Q$507,0)),""),IFERROR(INDEX(对接源_02物料!$E$5:$E$460,MATCH(ROW()-3-N(对接源_01水果!$T$1),对接源_02物料!$Q$5:$Q$460,0)),"")))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7" s="27" t="str">
        <f>IF($B177="","",IF($B177="01水果",IFERROR(INDEX(对接源_01水果!$F$5:$F$507,MATCH(ROW()-3,对接源_01水果!$Q$5:$Q$507,0)),""),IFERROR(INDEX(对接源_02物料!$F$5:$F$460,MATCH(ROW()-3-N(对接源_01水果!$T$1),对接源_02物料!$Q$5:$Q$460,0)),"")))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7" s="27" t="str">
        <f>IF($B177="","",IF($B177="01水果",IFERROR(INDEX(对接源_01水果!$G$5:$G$507,MATCH(ROW()-3,对接源_01水果!$Q$5:$Q$507,0)),""),IFERROR(INDEX(对接源_02物料!$G$5:$G$460,MATCH(ROW()-3-N(对接源_01水果!$T$1),对接源_02物料!$Q$5:$Q$460,0)),"")))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7" s="26" t="str">
        <f>IFERROR(INDEX(收入成本映射!$C$4:$C$34,MATCH($D177,收入成本映射!$B$4:$B$34,0)),"不记账")</f>
        <v>不记账</v>
      </c>
      <c r="J177" s="26" t="str">
        <f t="shared" si="18"/>
        <v/>
      </c>
      <c r="K177" s="27">
        <f t="shared" si="19"/>
        <v>0</v>
      </c>
      <c r="L177" s="27">
        <v>0</v>
      </c>
      <c r="M177" s="26" t="str">
        <f>IF(OR($I177="不记账",ROUND(N($G177),2)=0),"",IFERROR(INDEX(收入成本映射!$E$4:$E$34,MATCH($D177,收入成本映射!$B$4:$B$34,0)),""))</f>
        <v/>
      </c>
      <c r="N177" s="27" t="str">
        <f t="shared" si="20"/>
        <v/>
      </c>
      <c r="O177" s="27" t="str">
        <f t="shared" si="21"/>
        <v/>
      </c>
      <c r="P177" s="26" t="str">
        <f>IF($M177="","",IFERROR(INDEX(收入成本映射!$F$4:$F$34,MATCH($D177,收入成本映射!$B$4:$B$34,0)),""))</f>
        <v/>
      </c>
      <c r="Q177" s="27" t="str">
        <f t="shared" si="22"/>
        <v/>
      </c>
      <c r="R177" s="27" t="str">
        <f t="shared" si="23"/>
        <v/>
      </c>
      <c r="S177" s="26" t="str">
        <f t="shared" si="24"/>
        <v/>
      </c>
      <c r="T177" s="27" t="str">
        <f t="shared" si="25"/>
        <v/>
      </c>
      <c r="U177" s="27" t="str">
        <f t="shared" si="26"/>
        <v/>
      </c>
      <c r="V177" s="10" t="str">
        <f>IF($B177="","",IF($B177="01水果",IFERROR(INDEX(对接源_01水果!$H$5:$H$507,MATCH(ROW()-3,对接源_01水果!$Q$5:$Q$507,0)),""),IFERROR(INDEX(对接源_02物料!$H$5:$H$460,MATCH(ROW()-3-N(对接源_01水果!$T$1),对接源_02物料!$Q$5:$Q$460,0)),"")))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8" ht="18" customHeight="1" spans="1:22">
      <c r="A178" s="10">
        <v>175</v>
      </c>
      <c r="B178" s="26" t="str">
        <f>IF(ROW()-3&lt;=N(对接源_01水果!$T$1),"01水果",IF(ROW()-3&lt;=N(对接源_01水果!$T$1)+N(对接源_02物料!$T$1),"02物料",""))</f>
        <v/>
      </c>
      <c r="C178" s="125" t="str">
        <f>IF($B178="","",IF($B178="01水果",IFERROR(INDEX(对接源_01水果!$B$5:$B$507,MATCH(ROW()-3,对接源_01水果!$Q$5:$Q$507,0)),""),IFERROR(INDEX(对接源_02物料!$B$5:$B$460,MATCH(ROW()-3-N(对接源_01水果!$T$1),对接源_02物料!$Q$5:$Q$460,0)),"")))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8" s="26" t="str">
        <f>IF($B178="","",IF($B178="01水果",IFERROR(INDEX(对接源_01水果!$C$5:$C$507,MATCH(ROW()-3,对接源_01水果!$Q$5:$Q$507,0)),""),IFERROR(INDEX(对接源_02物料!$C$5:$C$460,MATCH(ROW()-3-N(对接源_01水果!$T$1),对接源_02物料!$Q$5:$Q$460,0)),"")))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8" s="126" t="str">
        <f>IF($B178="","",IF($B178="01水果",IFERROR(INDEX(对接源_01水果!$D$5:$D$507,MATCH(ROW()-3,对接源_01水果!$Q$5:$Q$507,0)),""),IFERROR(INDEX(对接源_02物料!$D$5:$D$460,MATCH(ROW()-3-N(对接源_01水果!$T$1),对接源_02物料!$Q$5:$Q$460,0)),"")))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8" s="26" t="str">
        <f>IF($B178="","",IF($B178="01水果",IFERROR(INDEX(对接源_01水果!$E$5:$E$507,MATCH(ROW()-3,对接源_01水果!$Q$5:$Q$507,0)),""),IFERROR(INDEX(对接源_02物料!$E$5:$E$460,MATCH(ROW()-3-N(对接源_01水果!$T$1),对接源_02物料!$Q$5:$Q$460,0)),"")))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8" s="27" t="str">
        <f>IF($B178="","",IF($B178="01水果",IFERROR(INDEX(对接源_01水果!$F$5:$F$507,MATCH(ROW()-3,对接源_01水果!$Q$5:$Q$507,0)),""),IFERROR(INDEX(对接源_02物料!$F$5:$F$460,MATCH(ROW()-3-N(对接源_01水果!$T$1),对接源_02物料!$Q$5:$Q$460,0)),"")))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8" s="27" t="str">
        <f>IF($B178="","",IF($B178="01水果",IFERROR(INDEX(对接源_01水果!$G$5:$G$507,MATCH(ROW()-3,对接源_01水果!$Q$5:$Q$507,0)),""),IFERROR(INDEX(对接源_02物料!$G$5:$G$460,MATCH(ROW()-3-N(对接源_01水果!$T$1),对接源_02物料!$Q$5:$Q$460,0)),"")))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8" s="26" t="str">
        <f>IFERROR(INDEX(收入成本映射!$C$4:$C$34,MATCH($D178,收入成本映射!$B$4:$B$34,0)),"不记账")</f>
        <v>不记账</v>
      </c>
      <c r="J178" s="26" t="str">
        <f t="shared" si="18"/>
        <v/>
      </c>
      <c r="K178" s="27">
        <f t="shared" si="19"/>
        <v>0</v>
      </c>
      <c r="L178" s="27">
        <v>0</v>
      </c>
      <c r="M178" s="26" t="str">
        <f>IF(OR($I178="不记账",ROUND(N($G178),2)=0),"",IFERROR(INDEX(收入成本映射!$E$4:$E$34,MATCH($D178,收入成本映射!$B$4:$B$34,0)),""))</f>
        <v/>
      </c>
      <c r="N178" s="27" t="str">
        <f t="shared" si="20"/>
        <v/>
      </c>
      <c r="O178" s="27" t="str">
        <f t="shared" si="21"/>
        <v/>
      </c>
      <c r="P178" s="26" t="str">
        <f>IF($M178="","",IFERROR(INDEX(收入成本映射!$F$4:$F$34,MATCH($D178,收入成本映射!$B$4:$B$34,0)),""))</f>
        <v/>
      </c>
      <c r="Q178" s="27" t="str">
        <f t="shared" si="22"/>
        <v/>
      </c>
      <c r="R178" s="27" t="str">
        <f t="shared" si="23"/>
        <v/>
      </c>
      <c r="S178" s="26" t="str">
        <f t="shared" si="24"/>
        <v/>
      </c>
      <c r="T178" s="27" t="str">
        <f t="shared" si="25"/>
        <v/>
      </c>
      <c r="U178" s="27" t="str">
        <f t="shared" si="26"/>
        <v/>
      </c>
      <c r="V178" s="10" t="str">
        <f>IF($B178="","",IF($B178="01水果",IFERROR(INDEX(对接源_01水果!$H$5:$H$507,MATCH(ROW()-3,对接源_01水果!$Q$5:$Q$507,0)),""),IFERROR(INDEX(对接源_02物料!$H$5:$H$460,MATCH(ROW()-3-N(对接源_01水果!$T$1),对接源_02物料!$Q$5:$Q$460,0)),"")))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9" ht="18" customHeight="1" spans="1:22">
      <c r="A179" s="10">
        <v>176</v>
      </c>
      <c r="B179" s="26" t="str">
        <f>IF(ROW()-3&lt;=N(对接源_01水果!$T$1),"01水果",IF(ROW()-3&lt;=N(对接源_01水果!$T$1)+N(对接源_02物料!$T$1),"02物料",""))</f>
        <v/>
      </c>
      <c r="C179" s="125" t="str">
        <f>IF($B179="","",IF($B179="01水果",IFERROR(INDEX(对接源_01水果!$B$5:$B$507,MATCH(ROW()-3,对接源_01水果!$Q$5:$Q$507,0)),""),IFERROR(INDEX(对接源_02物料!$B$5:$B$460,MATCH(ROW()-3-N(对接源_01水果!$T$1),对接源_02物料!$Q$5:$Q$460,0)),"")))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9" s="26" t="str">
        <f>IF($B179="","",IF($B179="01水果",IFERROR(INDEX(对接源_01水果!$C$5:$C$507,MATCH(ROW()-3,对接源_01水果!$Q$5:$Q$507,0)),""),IFERROR(INDEX(对接源_02物料!$C$5:$C$460,MATCH(ROW()-3-N(对接源_01水果!$T$1),对接源_02物料!$Q$5:$Q$460,0)),"")))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9" s="126" t="str">
        <f>IF($B179="","",IF($B179="01水果",IFERROR(INDEX(对接源_01水果!$D$5:$D$507,MATCH(ROW()-3,对接源_01水果!$Q$5:$Q$507,0)),""),IFERROR(INDEX(对接源_02物料!$D$5:$D$460,MATCH(ROW()-3-N(对接源_01水果!$T$1),对接源_02物料!$Q$5:$Q$460,0)),"")))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9" s="26" t="str">
        <f>IF($B179="","",IF($B179="01水果",IFERROR(INDEX(对接源_01水果!$E$5:$E$507,MATCH(ROW()-3,对接源_01水果!$Q$5:$Q$507,0)),""),IFERROR(INDEX(对接源_02物料!$E$5:$E$460,MATCH(ROW()-3-N(对接源_01水果!$T$1),对接源_02物料!$Q$5:$Q$460,0)),"")))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9" s="27" t="str">
        <f>IF($B179="","",IF($B179="01水果",IFERROR(INDEX(对接源_01水果!$F$5:$F$507,MATCH(ROW()-3,对接源_01水果!$Q$5:$Q$507,0)),""),IFERROR(INDEX(对接源_02物料!$F$5:$F$460,MATCH(ROW()-3-N(对接源_01水果!$T$1),对接源_02物料!$Q$5:$Q$460,0)),"")))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9" s="27" t="str">
        <f>IF($B179="","",IF($B179="01水果",IFERROR(INDEX(对接源_01水果!$G$5:$G$507,MATCH(ROW()-3,对接源_01水果!$Q$5:$Q$507,0)),""),IFERROR(INDEX(对接源_02物料!$G$5:$G$460,MATCH(ROW()-3-N(对接源_01水果!$T$1),对接源_02物料!$Q$5:$Q$460,0)),"")))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9" s="26" t="str">
        <f>IFERROR(INDEX(收入成本映射!$C$4:$C$34,MATCH($D179,收入成本映射!$B$4:$B$34,0)),"不记账")</f>
        <v>不记账</v>
      </c>
      <c r="J179" s="26" t="str">
        <f t="shared" si="18"/>
        <v/>
      </c>
      <c r="K179" s="27">
        <f t="shared" si="19"/>
        <v>0</v>
      </c>
      <c r="L179" s="27">
        <v>0</v>
      </c>
      <c r="M179" s="26" t="str">
        <f>IF(OR($I179="不记账",ROUND(N($G179),2)=0),"",IFERROR(INDEX(收入成本映射!$E$4:$E$34,MATCH($D179,收入成本映射!$B$4:$B$34,0)),""))</f>
        <v/>
      </c>
      <c r="N179" s="27" t="str">
        <f t="shared" si="20"/>
        <v/>
      </c>
      <c r="O179" s="27" t="str">
        <f t="shared" si="21"/>
        <v/>
      </c>
      <c r="P179" s="26" t="str">
        <f>IF($M179="","",IFERROR(INDEX(收入成本映射!$F$4:$F$34,MATCH($D179,收入成本映射!$B$4:$B$34,0)),""))</f>
        <v/>
      </c>
      <c r="Q179" s="27" t="str">
        <f t="shared" si="22"/>
        <v/>
      </c>
      <c r="R179" s="27" t="str">
        <f t="shared" si="23"/>
        <v/>
      </c>
      <c r="S179" s="26" t="str">
        <f t="shared" si="24"/>
        <v/>
      </c>
      <c r="T179" s="27" t="str">
        <f t="shared" si="25"/>
        <v/>
      </c>
      <c r="U179" s="27" t="str">
        <f t="shared" si="26"/>
        <v/>
      </c>
      <c r="V179" s="10" t="str">
        <f>IF($B179="","",IF($B179="01水果",IFERROR(INDEX(对接源_01水果!$H$5:$H$507,MATCH(ROW()-3,对接源_01水果!$Q$5:$Q$507,0)),""),IFERROR(INDEX(对接源_02物料!$H$5:$H$460,MATCH(ROW()-3-N(对接源_01水果!$T$1),对接源_02物料!$Q$5:$Q$460,0)),"")))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0" ht="18" customHeight="1" spans="1:22">
      <c r="A180" s="10">
        <v>177</v>
      </c>
      <c r="B180" s="26" t="str">
        <f>IF(ROW()-3&lt;=N(对接源_01水果!$T$1),"01水果",IF(ROW()-3&lt;=N(对接源_01水果!$T$1)+N(对接源_02物料!$T$1),"02物料",""))</f>
        <v/>
      </c>
      <c r="C180" s="125" t="str">
        <f>IF($B180="","",IF($B180="01水果",IFERROR(INDEX(对接源_01水果!$B$5:$B$507,MATCH(ROW()-3,对接源_01水果!$Q$5:$Q$507,0)),""),IFERROR(INDEX(对接源_02物料!$B$5:$B$460,MATCH(ROW()-3-N(对接源_01水果!$T$1),对接源_02物料!$Q$5:$Q$460,0)),"")))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0" s="26" t="str">
        <f>IF($B180="","",IF($B180="01水果",IFERROR(INDEX(对接源_01水果!$C$5:$C$507,MATCH(ROW()-3,对接源_01水果!$Q$5:$Q$507,0)),""),IFERROR(INDEX(对接源_02物料!$C$5:$C$460,MATCH(ROW()-3-N(对接源_01水果!$T$1),对接源_02物料!$Q$5:$Q$460,0)),"")))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0" s="126" t="str">
        <f>IF($B180="","",IF($B180="01水果",IFERROR(INDEX(对接源_01水果!$D$5:$D$507,MATCH(ROW()-3,对接源_01水果!$Q$5:$Q$507,0)),""),IFERROR(INDEX(对接源_02物料!$D$5:$D$460,MATCH(ROW()-3-N(对接源_01水果!$T$1),对接源_02物料!$Q$5:$Q$460,0)),"")))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0" s="26" t="str">
        <f>IF($B180="","",IF($B180="01水果",IFERROR(INDEX(对接源_01水果!$E$5:$E$507,MATCH(ROW()-3,对接源_01水果!$Q$5:$Q$507,0)),""),IFERROR(INDEX(对接源_02物料!$E$5:$E$460,MATCH(ROW()-3-N(对接源_01水果!$T$1),对接源_02物料!$Q$5:$Q$460,0)),"")))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0" s="27" t="str">
        <f>IF($B180="","",IF($B180="01水果",IFERROR(INDEX(对接源_01水果!$F$5:$F$507,MATCH(ROW()-3,对接源_01水果!$Q$5:$Q$507,0)),""),IFERROR(INDEX(对接源_02物料!$F$5:$F$460,MATCH(ROW()-3-N(对接源_01水果!$T$1),对接源_02物料!$Q$5:$Q$460,0)),"")))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0" s="27" t="str">
        <f>IF($B180="","",IF($B180="01水果",IFERROR(INDEX(对接源_01水果!$G$5:$G$507,MATCH(ROW()-3,对接源_01水果!$Q$5:$Q$507,0)),""),IFERROR(INDEX(对接源_02物料!$G$5:$G$460,MATCH(ROW()-3-N(对接源_01水果!$T$1),对接源_02物料!$Q$5:$Q$460,0)),"")))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0" s="26" t="str">
        <f>IFERROR(INDEX(收入成本映射!$C$4:$C$34,MATCH($D180,收入成本映射!$B$4:$B$34,0)),"不记账")</f>
        <v>不记账</v>
      </c>
      <c r="J180" s="26" t="str">
        <f t="shared" si="18"/>
        <v/>
      </c>
      <c r="K180" s="27">
        <f t="shared" si="19"/>
        <v>0</v>
      </c>
      <c r="L180" s="27">
        <v>0</v>
      </c>
      <c r="M180" s="26" t="str">
        <f>IF(OR($I180="不记账",ROUND(N($G180),2)=0),"",IFERROR(INDEX(收入成本映射!$E$4:$E$34,MATCH($D180,收入成本映射!$B$4:$B$34,0)),""))</f>
        <v/>
      </c>
      <c r="N180" s="27" t="str">
        <f t="shared" si="20"/>
        <v/>
      </c>
      <c r="O180" s="27" t="str">
        <f t="shared" si="21"/>
        <v/>
      </c>
      <c r="P180" s="26" t="str">
        <f>IF($M180="","",IFERROR(INDEX(收入成本映射!$F$4:$F$34,MATCH($D180,收入成本映射!$B$4:$B$34,0)),""))</f>
        <v/>
      </c>
      <c r="Q180" s="27" t="str">
        <f t="shared" si="22"/>
        <v/>
      </c>
      <c r="R180" s="27" t="str">
        <f t="shared" si="23"/>
        <v/>
      </c>
      <c r="S180" s="26" t="str">
        <f t="shared" si="24"/>
        <v/>
      </c>
      <c r="T180" s="27" t="str">
        <f t="shared" si="25"/>
        <v/>
      </c>
      <c r="U180" s="27" t="str">
        <f t="shared" si="26"/>
        <v/>
      </c>
      <c r="V180" s="10" t="str">
        <f>IF($B180="","",IF($B180="01水果",IFERROR(INDEX(对接源_01水果!$H$5:$H$507,MATCH(ROW()-3,对接源_01水果!$Q$5:$Q$507,0)),""),IFERROR(INDEX(对接源_02物料!$H$5:$H$460,MATCH(ROW()-3-N(对接源_01水果!$T$1),对接源_02物料!$Q$5:$Q$460,0)),"")))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1" ht="18" customHeight="1" spans="1:22">
      <c r="A181" s="10">
        <v>178</v>
      </c>
      <c r="B181" s="26" t="str">
        <f>IF(ROW()-3&lt;=N(对接源_01水果!$T$1),"01水果",IF(ROW()-3&lt;=N(对接源_01水果!$T$1)+N(对接源_02物料!$T$1),"02物料",""))</f>
        <v/>
      </c>
      <c r="C181" s="125" t="str">
        <f>IF($B181="","",IF($B181="01水果",IFERROR(INDEX(对接源_01水果!$B$5:$B$507,MATCH(ROW()-3,对接源_01水果!$Q$5:$Q$507,0)),""),IFERROR(INDEX(对接源_02物料!$B$5:$B$460,MATCH(ROW()-3-N(对接源_01水果!$T$1),对接源_02物料!$Q$5:$Q$460,0)),"")))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1" s="26" t="str">
        <f>IF($B181="","",IF($B181="01水果",IFERROR(INDEX(对接源_01水果!$C$5:$C$507,MATCH(ROW()-3,对接源_01水果!$Q$5:$Q$507,0)),""),IFERROR(INDEX(对接源_02物料!$C$5:$C$460,MATCH(ROW()-3-N(对接源_01水果!$T$1),对接源_02物料!$Q$5:$Q$460,0)),"")))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1" s="126" t="str">
        <f>IF($B181="","",IF($B181="01水果",IFERROR(INDEX(对接源_01水果!$D$5:$D$507,MATCH(ROW()-3,对接源_01水果!$Q$5:$Q$507,0)),""),IFERROR(INDEX(对接源_02物料!$D$5:$D$460,MATCH(ROW()-3-N(对接源_01水果!$T$1),对接源_02物料!$Q$5:$Q$460,0)),"")))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1" s="26" t="str">
        <f>IF($B181="","",IF($B181="01水果",IFERROR(INDEX(对接源_01水果!$E$5:$E$507,MATCH(ROW()-3,对接源_01水果!$Q$5:$Q$507,0)),""),IFERROR(INDEX(对接源_02物料!$E$5:$E$460,MATCH(ROW()-3-N(对接源_01水果!$T$1),对接源_02物料!$Q$5:$Q$460,0)),"")))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1" s="27" t="str">
        <f>IF($B181="","",IF($B181="01水果",IFERROR(INDEX(对接源_01水果!$F$5:$F$507,MATCH(ROW()-3,对接源_01水果!$Q$5:$Q$507,0)),""),IFERROR(INDEX(对接源_02物料!$F$5:$F$460,MATCH(ROW()-3-N(对接源_01水果!$T$1),对接源_02物料!$Q$5:$Q$460,0)),"")))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1" s="27" t="str">
        <f>IF($B181="","",IF($B181="01水果",IFERROR(INDEX(对接源_01水果!$G$5:$G$507,MATCH(ROW()-3,对接源_01水果!$Q$5:$Q$507,0)),""),IFERROR(INDEX(对接源_02物料!$G$5:$G$460,MATCH(ROW()-3-N(对接源_01水果!$T$1),对接源_02物料!$Q$5:$Q$460,0)),"")))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1" s="26" t="str">
        <f>IFERROR(INDEX(收入成本映射!$C$4:$C$34,MATCH($D181,收入成本映射!$B$4:$B$34,0)),"不记账")</f>
        <v>不记账</v>
      </c>
      <c r="J181" s="26" t="str">
        <f t="shared" si="18"/>
        <v/>
      </c>
      <c r="K181" s="27">
        <f t="shared" si="19"/>
        <v>0</v>
      </c>
      <c r="L181" s="27">
        <v>0</v>
      </c>
      <c r="M181" s="26" t="str">
        <f>IF(OR($I181="不记账",ROUND(N($G181),2)=0),"",IFERROR(INDEX(收入成本映射!$E$4:$E$34,MATCH($D181,收入成本映射!$B$4:$B$34,0)),""))</f>
        <v/>
      </c>
      <c r="N181" s="27" t="str">
        <f t="shared" si="20"/>
        <v/>
      </c>
      <c r="O181" s="27" t="str">
        <f t="shared" si="21"/>
        <v/>
      </c>
      <c r="P181" s="26" t="str">
        <f>IF($M181="","",IFERROR(INDEX(收入成本映射!$F$4:$F$34,MATCH($D181,收入成本映射!$B$4:$B$34,0)),""))</f>
        <v/>
      </c>
      <c r="Q181" s="27" t="str">
        <f t="shared" si="22"/>
        <v/>
      </c>
      <c r="R181" s="27" t="str">
        <f t="shared" si="23"/>
        <v/>
      </c>
      <c r="S181" s="26" t="str">
        <f t="shared" si="24"/>
        <v/>
      </c>
      <c r="T181" s="27" t="str">
        <f t="shared" si="25"/>
        <v/>
      </c>
      <c r="U181" s="27" t="str">
        <f t="shared" si="26"/>
        <v/>
      </c>
      <c r="V181" s="10" t="str">
        <f>IF($B181="","",IF($B181="01水果",IFERROR(INDEX(对接源_01水果!$H$5:$H$507,MATCH(ROW()-3,对接源_01水果!$Q$5:$Q$507,0)),""),IFERROR(INDEX(对接源_02物料!$H$5:$H$460,MATCH(ROW()-3-N(对接源_01水果!$T$1),对接源_02物料!$Q$5:$Q$460,0)),"")))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2" ht="18" customHeight="1" spans="1:22">
      <c r="A182" s="10">
        <v>179</v>
      </c>
      <c r="B182" s="26" t="str">
        <f>IF(ROW()-3&lt;=N(对接源_01水果!$T$1),"01水果",IF(ROW()-3&lt;=N(对接源_01水果!$T$1)+N(对接源_02物料!$T$1),"02物料",""))</f>
        <v/>
      </c>
      <c r="C182" s="125" t="str">
        <f>IF($B182="","",IF($B182="01水果",IFERROR(INDEX(对接源_01水果!$B$5:$B$507,MATCH(ROW()-3,对接源_01水果!$Q$5:$Q$507,0)),""),IFERROR(INDEX(对接源_02物料!$B$5:$B$460,MATCH(ROW()-3-N(对接源_01水果!$T$1),对接源_02物料!$Q$5:$Q$460,0)),"")))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2" s="26" t="str">
        <f>IF($B182="","",IF($B182="01水果",IFERROR(INDEX(对接源_01水果!$C$5:$C$507,MATCH(ROW()-3,对接源_01水果!$Q$5:$Q$507,0)),""),IFERROR(INDEX(对接源_02物料!$C$5:$C$460,MATCH(ROW()-3-N(对接源_01水果!$T$1),对接源_02物料!$Q$5:$Q$460,0)),"")))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2" s="126" t="str">
        <f>IF($B182="","",IF($B182="01水果",IFERROR(INDEX(对接源_01水果!$D$5:$D$507,MATCH(ROW()-3,对接源_01水果!$Q$5:$Q$507,0)),""),IFERROR(INDEX(对接源_02物料!$D$5:$D$460,MATCH(ROW()-3-N(对接源_01水果!$T$1),对接源_02物料!$Q$5:$Q$460,0)),"")))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2" s="26" t="str">
        <f>IF($B182="","",IF($B182="01水果",IFERROR(INDEX(对接源_01水果!$E$5:$E$507,MATCH(ROW()-3,对接源_01水果!$Q$5:$Q$507,0)),""),IFERROR(INDEX(对接源_02物料!$E$5:$E$460,MATCH(ROW()-3-N(对接源_01水果!$T$1),对接源_02物料!$Q$5:$Q$460,0)),"")))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2" s="27" t="str">
        <f>IF($B182="","",IF($B182="01水果",IFERROR(INDEX(对接源_01水果!$F$5:$F$507,MATCH(ROW()-3,对接源_01水果!$Q$5:$Q$507,0)),""),IFERROR(INDEX(对接源_02物料!$F$5:$F$460,MATCH(ROW()-3-N(对接源_01水果!$T$1),对接源_02物料!$Q$5:$Q$460,0)),"")))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2" s="27" t="str">
        <f>IF($B182="","",IF($B182="01水果",IFERROR(INDEX(对接源_01水果!$G$5:$G$507,MATCH(ROW()-3,对接源_01水果!$Q$5:$Q$507,0)),""),IFERROR(INDEX(对接源_02物料!$G$5:$G$460,MATCH(ROW()-3-N(对接源_01水果!$T$1),对接源_02物料!$Q$5:$Q$460,0)),"")))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2" s="26" t="str">
        <f>IFERROR(INDEX(收入成本映射!$C$4:$C$34,MATCH($D182,收入成本映射!$B$4:$B$34,0)),"不记账")</f>
        <v>不记账</v>
      </c>
      <c r="J182" s="26" t="str">
        <f t="shared" si="18"/>
        <v/>
      </c>
      <c r="K182" s="27">
        <f t="shared" si="19"/>
        <v>0</v>
      </c>
      <c r="L182" s="27">
        <v>0</v>
      </c>
      <c r="M182" s="26" t="str">
        <f>IF(OR($I182="不记账",ROUND(N($G182),2)=0),"",IFERROR(INDEX(收入成本映射!$E$4:$E$34,MATCH($D182,收入成本映射!$B$4:$B$34,0)),""))</f>
        <v/>
      </c>
      <c r="N182" s="27" t="str">
        <f t="shared" si="20"/>
        <v/>
      </c>
      <c r="O182" s="27" t="str">
        <f t="shared" si="21"/>
        <v/>
      </c>
      <c r="P182" s="26" t="str">
        <f>IF($M182="","",IFERROR(INDEX(收入成本映射!$F$4:$F$34,MATCH($D182,收入成本映射!$B$4:$B$34,0)),""))</f>
        <v/>
      </c>
      <c r="Q182" s="27" t="str">
        <f t="shared" si="22"/>
        <v/>
      </c>
      <c r="R182" s="27" t="str">
        <f t="shared" si="23"/>
        <v/>
      </c>
      <c r="S182" s="26" t="str">
        <f t="shared" si="24"/>
        <v/>
      </c>
      <c r="T182" s="27" t="str">
        <f t="shared" si="25"/>
        <v/>
      </c>
      <c r="U182" s="27" t="str">
        <f t="shared" si="26"/>
        <v/>
      </c>
      <c r="V182" s="10" t="str">
        <f>IF($B182="","",IF($B182="01水果",IFERROR(INDEX(对接源_01水果!$H$5:$H$507,MATCH(ROW()-3,对接源_01水果!$Q$5:$Q$507,0)),""),IFERROR(INDEX(对接源_02物料!$H$5:$H$460,MATCH(ROW()-3-N(对接源_01水果!$T$1),对接源_02物料!$Q$5:$Q$460,0)),"")))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3" ht="18" customHeight="1" spans="1:22">
      <c r="A183" s="10">
        <v>180</v>
      </c>
      <c r="B183" s="26" t="str">
        <f>IF(ROW()-3&lt;=N(对接源_01水果!$T$1),"01水果",IF(ROW()-3&lt;=N(对接源_01水果!$T$1)+N(对接源_02物料!$T$1),"02物料",""))</f>
        <v/>
      </c>
      <c r="C183" s="125" t="str">
        <f>IF($B183="","",IF($B183="01水果",IFERROR(INDEX(对接源_01水果!$B$5:$B$507,MATCH(ROW()-3,对接源_01水果!$Q$5:$Q$507,0)),""),IFERROR(INDEX(对接源_02物料!$B$5:$B$460,MATCH(ROW()-3-N(对接源_01水果!$T$1),对接源_02物料!$Q$5:$Q$460,0)),"")))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3" s="26" t="str">
        <f>IF($B183="","",IF($B183="01水果",IFERROR(INDEX(对接源_01水果!$C$5:$C$507,MATCH(ROW()-3,对接源_01水果!$Q$5:$Q$507,0)),""),IFERROR(INDEX(对接源_02物料!$C$5:$C$460,MATCH(ROW()-3-N(对接源_01水果!$T$1),对接源_02物料!$Q$5:$Q$460,0)),"")))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3" s="126" t="str">
        <f>IF($B183="","",IF($B183="01水果",IFERROR(INDEX(对接源_01水果!$D$5:$D$507,MATCH(ROW()-3,对接源_01水果!$Q$5:$Q$507,0)),""),IFERROR(INDEX(对接源_02物料!$D$5:$D$460,MATCH(ROW()-3-N(对接源_01水果!$T$1),对接源_02物料!$Q$5:$Q$460,0)),"")))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3" s="26" t="str">
        <f>IF($B183="","",IF($B183="01水果",IFERROR(INDEX(对接源_01水果!$E$5:$E$507,MATCH(ROW()-3,对接源_01水果!$Q$5:$Q$507,0)),""),IFERROR(INDEX(对接源_02物料!$E$5:$E$460,MATCH(ROW()-3-N(对接源_01水果!$T$1),对接源_02物料!$Q$5:$Q$460,0)),"")))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3" s="27" t="str">
        <f>IF($B183="","",IF($B183="01水果",IFERROR(INDEX(对接源_01水果!$F$5:$F$507,MATCH(ROW()-3,对接源_01水果!$Q$5:$Q$507,0)),""),IFERROR(INDEX(对接源_02物料!$F$5:$F$460,MATCH(ROW()-3-N(对接源_01水果!$T$1),对接源_02物料!$Q$5:$Q$460,0)),"")))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3" s="27" t="str">
        <f>IF($B183="","",IF($B183="01水果",IFERROR(INDEX(对接源_01水果!$G$5:$G$507,MATCH(ROW()-3,对接源_01水果!$Q$5:$Q$507,0)),""),IFERROR(INDEX(对接源_02物料!$G$5:$G$460,MATCH(ROW()-3-N(对接源_01水果!$T$1),对接源_02物料!$Q$5:$Q$460,0)),"")))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3" s="26" t="str">
        <f>IFERROR(INDEX(收入成本映射!$C$4:$C$34,MATCH($D183,收入成本映射!$B$4:$B$34,0)),"不记账")</f>
        <v>不记账</v>
      </c>
      <c r="J183" s="26" t="str">
        <f t="shared" si="18"/>
        <v/>
      </c>
      <c r="K183" s="27">
        <f t="shared" si="19"/>
        <v>0</v>
      </c>
      <c r="L183" s="27">
        <v>0</v>
      </c>
      <c r="M183" s="26" t="str">
        <f>IF(OR($I183="不记账",ROUND(N($G183),2)=0),"",IFERROR(INDEX(收入成本映射!$E$4:$E$34,MATCH($D183,收入成本映射!$B$4:$B$34,0)),""))</f>
        <v/>
      </c>
      <c r="N183" s="27" t="str">
        <f t="shared" si="20"/>
        <v/>
      </c>
      <c r="O183" s="27" t="str">
        <f t="shared" si="21"/>
        <v/>
      </c>
      <c r="P183" s="26" t="str">
        <f>IF($M183="","",IFERROR(INDEX(收入成本映射!$F$4:$F$34,MATCH($D183,收入成本映射!$B$4:$B$34,0)),""))</f>
        <v/>
      </c>
      <c r="Q183" s="27" t="str">
        <f t="shared" si="22"/>
        <v/>
      </c>
      <c r="R183" s="27" t="str">
        <f t="shared" si="23"/>
        <v/>
      </c>
      <c r="S183" s="26" t="str">
        <f t="shared" si="24"/>
        <v/>
      </c>
      <c r="T183" s="27" t="str">
        <f t="shared" si="25"/>
        <v/>
      </c>
      <c r="U183" s="27" t="str">
        <f t="shared" si="26"/>
        <v/>
      </c>
      <c r="V183" s="10" t="str">
        <f>IF($B183="","",IF($B183="01水果",IFERROR(INDEX(对接源_01水果!$H$5:$H$507,MATCH(ROW()-3,对接源_01水果!$Q$5:$Q$507,0)),""),IFERROR(INDEX(对接源_02物料!$H$5:$H$460,MATCH(ROW()-3-N(对接源_01水果!$T$1),对接源_02物料!$Q$5:$Q$460,0)),"")))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4" ht="18" customHeight="1" spans="1:22">
      <c r="A184" s="10">
        <v>181</v>
      </c>
      <c r="B184" s="26" t="str">
        <f>IF(ROW()-3&lt;=N(对接源_01水果!$T$1),"01水果",IF(ROW()-3&lt;=N(对接源_01水果!$T$1)+N(对接源_02物料!$T$1),"02物料",""))</f>
        <v/>
      </c>
      <c r="C184" s="125" t="str">
        <f>IF($B184="","",IF($B184="01水果",IFERROR(INDEX(对接源_01水果!$B$5:$B$507,MATCH(ROW()-3,对接源_01水果!$Q$5:$Q$507,0)),""),IFERROR(INDEX(对接源_02物料!$B$5:$B$460,MATCH(ROW()-3-N(对接源_01水果!$T$1),对接源_02物料!$Q$5:$Q$460,0)),"")))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4" s="26" t="str">
        <f>IF($B184="","",IF($B184="01水果",IFERROR(INDEX(对接源_01水果!$C$5:$C$507,MATCH(ROW()-3,对接源_01水果!$Q$5:$Q$507,0)),""),IFERROR(INDEX(对接源_02物料!$C$5:$C$460,MATCH(ROW()-3-N(对接源_01水果!$T$1),对接源_02物料!$Q$5:$Q$460,0)),"")))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4" s="126" t="str">
        <f>IF($B184="","",IF($B184="01水果",IFERROR(INDEX(对接源_01水果!$D$5:$D$507,MATCH(ROW()-3,对接源_01水果!$Q$5:$Q$507,0)),""),IFERROR(INDEX(对接源_02物料!$D$5:$D$460,MATCH(ROW()-3-N(对接源_01水果!$T$1),对接源_02物料!$Q$5:$Q$460,0)),"")))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4" s="26" t="str">
        <f>IF($B184="","",IF($B184="01水果",IFERROR(INDEX(对接源_01水果!$E$5:$E$507,MATCH(ROW()-3,对接源_01水果!$Q$5:$Q$507,0)),""),IFERROR(INDEX(对接源_02物料!$E$5:$E$460,MATCH(ROW()-3-N(对接源_01水果!$T$1),对接源_02物料!$Q$5:$Q$460,0)),"")))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4" s="27" t="str">
        <f>IF($B184="","",IF($B184="01水果",IFERROR(INDEX(对接源_01水果!$F$5:$F$507,MATCH(ROW()-3,对接源_01水果!$Q$5:$Q$507,0)),""),IFERROR(INDEX(对接源_02物料!$F$5:$F$460,MATCH(ROW()-3-N(对接源_01水果!$T$1),对接源_02物料!$Q$5:$Q$460,0)),"")))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4" s="27" t="str">
        <f>IF($B184="","",IF($B184="01水果",IFERROR(INDEX(对接源_01水果!$G$5:$G$507,MATCH(ROW()-3,对接源_01水果!$Q$5:$Q$507,0)),""),IFERROR(INDEX(对接源_02物料!$G$5:$G$460,MATCH(ROW()-3-N(对接源_01水果!$T$1),对接源_02物料!$Q$5:$Q$460,0)),"")))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4" s="26" t="str">
        <f>IFERROR(INDEX(收入成本映射!$C$4:$C$34,MATCH($D184,收入成本映射!$B$4:$B$34,0)),"不记账")</f>
        <v>不记账</v>
      </c>
      <c r="J184" s="26" t="str">
        <f t="shared" si="18"/>
        <v/>
      </c>
      <c r="K184" s="27">
        <f t="shared" si="19"/>
        <v>0</v>
      </c>
      <c r="L184" s="27">
        <v>0</v>
      </c>
      <c r="M184" s="26" t="str">
        <f>IF(OR($I184="不记账",ROUND(N($G184),2)=0),"",IFERROR(INDEX(收入成本映射!$E$4:$E$34,MATCH($D184,收入成本映射!$B$4:$B$34,0)),""))</f>
        <v/>
      </c>
      <c r="N184" s="27" t="str">
        <f t="shared" si="20"/>
        <v/>
      </c>
      <c r="O184" s="27" t="str">
        <f t="shared" si="21"/>
        <v/>
      </c>
      <c r="P184" s="26" t="str">
        <f>IF($M184="","",IFERROR(INDEX(收入成本映射!$F$4:$F$34,MATCH($D184,收入成本映射!$B$4:$B$34,0)),""))</f>
        <v/>
      </c>
      <c r="Q184" s="27" t="str">
        <f t="shared" si="22"/>
        <v/>
      </c>
      <c r="R184" s="27" t="str">
        <f t="shared" si="23"/>
        <v/>
      </c>
      <c r="S184" s="26" t="str">
        <f t="shared" si="24"/>
        <v/>
      </c>
      <c r="T184" s="27" t="str">
        <f t="shared" si="25"/>
        <v/>
      </c>
      <c r="U184" s="27" t="str">
        <f t="shared" si="26"/>
        <v/>
      </c>
      <c r="V184" s="10" t="str">
        <f>IF($B184="","",IF($B184="01水果",IFERROR(INDEX(对接源_01水果!$H$5:$H$507,MATCH(ROW()-3,对接源_01水果!$Q$5:$Q$507,0)),""),IFERROR(INDEX(对接源_02物料!$H$5:$H$460,MATCH(ROW()-3-N(对接源_01水果!$T$1),对接源_02物料!$Q$5:$Q$460,0)),"")))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5" ht="18" customHeight="1" spans="1:22">
      <c r="A185" s="10">
        <v>182</v>
      </c>
      <c r="B185" s="26" t="str">
        <f>IF(ROW()-3&lt;=N(对接源_01水果!$T$1),"01水果",IF(ROW()-3&lt;=N(对接源_01水果!$T$1)+N(对接源_02物料!$T$1),"02物料",""))</f>
        <v/>
      </c>
      <c r="C185" s="125" t="str">
        <f>IF($B185="","",IF($B185="01水果",IFERROR(INDEX(对接源_01水果!$B$5:$B$507,MATCH(ROW()-3,对接源_01水果!$Q$5:$Q$507,0)),""),IFERROR(INDEX(对接源_02物料!$B$5:$B$460,MATCH(ROW()-3-N(对接源_01水果!$T$1),对接源_02物料!$Q$5:$Q$460,0)),"")))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5" s="26" t="str">
        <f>IF($B185="","",IF($B185="01水果",IFERROR(INDEX(对接源_01水果!$C$5:$C$507,MATCH(ROW()-3,对接源_01水果!$Q$5:$Q$507,0)),""),IFERROR(INDEX(对接源_02物料!$C$5:$C$460,MATCH(ROW()-3-N(对接源_01水果!$T$1),对接源_02物料!$Q$5:$Q$460,0)),"")))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5" s="126" t="str">
        <f>IF($B185="","",IF($B185="01水果",IFERROR(INDEX(对接源_01水果!$D$5:$D$507,MATCH(ROW()-3,对接源_01水果!$Q$5:$Q$507,0)),""),IFERROR(INDEX(对接源_02物料!$D$5:$D$460,MATCH(ROW()-3-N(对接源_01水果!$T$1),对接源_02物料!$Q$5:$Q$460,0)),"")))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5" s="26" t="str">
        <f>IF($B185="","",IF($B185="01水果",IFERROR(INDEX(对接源_01水果!$E$5:$E$507,MATCH(ROW()-3,对接源_01水果!$Q$5:$Q$507,0)),""),IFERROR(INDEX(对接源_02物料!$E$5:$E$460,MATCH(ROW()-3-N(对接源_01水果!$T$1),对接源_02物料!$Q$5:$Q$460,0)),"")))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5" s="27" t="str">
        <f>IF($B185="","",IF($B185="01水果",IFERROR(INDEX(对接源_01水果!$F$5:$F$507,MATCH(ROW()-3,对接源_01水果!$Q$5:$Q$507,0)),""),IFERROR(INDEX(对接源_02物料!$F$5:$F$460,MATCH(ROW()-3-N(对接源_01水果!$T$1),对接源_02物料!$Q$5:$Q$460,0)),"")))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5" s="27" t="str">
        <f>IF($B185="","",IF($B185="01水果",IFERROR(INDEX(对接源_01水果!$G$5:$G$507,MATCH(ROW()-3,对接源_01水果!$Q$5:$Q$507,0)),""),IFERROR(INDEX(对接源_02物料!$G$5:$G$460,MATCH(ROW()-3-N(对接源_01水果!$T$1),对接源_02物料!$Q$5:$Q$460,0)),"")))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5" s="26" t="str">
        <f>IFERROR(INDEX(收入成本映射!$C$4:$C$34,MATCH($D185,收入成本映射!$B$4:$B$34,0)),"不记账")</f>
        <v>不记账</v>
      </c>
      <c r="J185" s="26" t="str">
        <f t="shared" si="18"/>
        <v/>
      </c>
      <c r="K185" s="27">
        <f t="shared" si="19"/>
        <v>0</v>
      </c>
      <c r="L185" s="27">
        <v>0</v>
      </c>
      <c r="M185" s="26" t="str">
        <f>IF(OR($I185="不记账",ROUND(N($G185),2)=0),"",IFERROR(INDEX(收入成本映射!$E$4:$E$34,MATCH($D185,收入成本映射!$B$4:$B$34,0)),""))</f>
        <v/>
      </c>
      <c r="N185" s="27" t="str">
        <f t="shared" si="20"/>
        <v/>
      </c>
      <c r="O185" s="27" t="str">
        <f t="shared" si="21"/>
        <v/>
      </c>
      <c r="P185" s="26" t="str">
        <f>IF($M185="","",IFERROR(INDEX(收入成本映射!$F$4:$F$34,MATCH($D185,收入成本映射!$B$4:$B$34,0)),""))</f>
        <v/>
      </c>
      <c r="Q185" s="27" t="str">
        <f t="shared" si="22"/>
        <v/>
      </c>
      <c r="R185" s="27" t="str">
        <f t="shared" si="23"/>
        <v/>
      </c>
      <c r="S185" s="26" t="str">
        <f t="shared" si="24"/>
        <v/>
      </c>
      <c r="T185" s="27" t="str">
        <f t="shared" si="25"/>
        <v/>
      </c>
      <c r="U185" s="27" t="str">
        <f t="shared" si="26"/>
        <v/>
      </c>
      <c r="V185" s="10" t="str">
        <f>IF($B185="","",IF($B185="01水果",IFERROR(INDEX(对接源_01水果!$H$5:$H$507,MATCH(ROW()-3,对接源_01水果!$Q$5:$Q$507,0)),""),IFERROR(INDEX(对接源_02物料!$H$5:$H$460,MATCH(ROW()-3-N(对接源_01水果!$T$1),对接源_02物料!$Q$5:$Q$460,0)),"")))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6" ht="18" customHeight="1" spans="1:22">
      <c r="A186" s="10">
        <v>183</v>
      </c>
      <c r="B186" s="26" t="str">
        <f>IF(ROW()-3&lt;=N(对接源_01水果!$T$1),"01水果",IF(ROW()-3&lt;=N(对接源_01水果!$T$1)+N(对接源_02物料!$T$1),"02物料",""))</f>
        <v/>
      </c>
      <c r="C186" s="125" t="str">
        <f>IF($B186="","",IF($B186="01水果",IFERROR(INDEX(对接源_01水果!$B$5:$B$507,MATCH(ROW()-3,对接源_01水果!$Q$5:$Q$507,0)),""),IFERROR(INDEX(对接源_02物料!$B$5:$B$460,MATCH(ROW()-3-N(对接源_01水果!$T$1),对接源_02物料!$Q$5:$Q$460,0)),"")))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6" s="26" t="str">
        <f>IF($B186="","",IF($B186="01水果",IFERROR(INDEX(对接源_01水果!$C$5:$C$507,MATCH(ROW()-3,对接源_01水果!$Q$5:$Q$507,0)),""),IFERROR(INDEX(对接源_02物料!$C$5:$C$460,MATCH(ROW()-3-N(对接源_01水果!$T$1),对接源_02物料!$Q$5:$Q$460,0)),"")))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6" s="126" t="str">
        <f>IF($B186="","",IF($B186="01水果",IFERROR(INDEX(对接源_01水果!$D$5:$D$507,MATCH(ROW()-3,对接源_01水果!$Q$5:$Q$507,0)),""),IFERROR(INDEX(对接源_02物料!$D$5:$D$460,MATCH(ROW()-3-N(对接源_01水果!$T$1),对接源_02物料!$Q$5:$Q$460,0)),"")))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6" s="26" t="str">
        <f>IF($B186="","",IF($B186="01水果",IFERROR(INDEX(对接源_01水果!$E$5:$E$507,MATCH(ROW()-3,对接源_01水果!$Q$5:$Q$507,0)),""),IFERROR(INDEX(对接源_02物料!$E$5:$E$460,MATCH(ROW()-3-N(对接源_01水果!$T$1),对接源_02物料!$Q$5:$Q$460,0)),"")))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6" s="27" t="str">
        <f>IF($B186="","",IF($B186="01水果",IFERROR(INDEX(对接源_01水果!$F$5:$F$507,MATCH(ROW()-3,对接源_01水果!$Q$5:$Q$507,0)),""),IFERROR(INDEX(对接源_02物料!$F$5:$F$460,MATCH(ROW()-3-N(对接源_01水果!$T$1),对接源_02物料!$Q$5:$Q$460,0)),"")))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6" s="27" t="str">
        <f>IF($B186="","",IF($B186="01水果",IFERROR(INDEX(对接源_01水果!$G$5:$G$507,MATCH(ROW()-3,对接源_01水果!$Q$5:$Q$507,0)),""),IFERROR(INDEX(对接源_02物料!$G$5:$G$460,MATCH(ROW()-3-N(对接源_01水果!$T$1),对接源_02物料!$Q$5:$Q$460,0)),"")))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6" s="26" t="str">
        <f>IFERROR(INDEX(收入成本映射!$C$4:$C$34,MATCH($D186,收入成本映射!$B$4:$B$34,0)),"不记账")</f>
        <v>不记账</v>
      </c>
      <c r="J186" s="26" t="str">
        <f t="shared" si="18"/>
        <v/>
      </c>
      <c r="K186" s="27">
        <f t="shared" si="19"/>
        <v>0</v>
      </c>
      <c r="L186" s="27">
        <v>0</v>
      </c>
      <c r="M186" s="26" t="str">
        <f>IF(OR($I186="不记账",ROUND(N($G186),2)=0),"",IFERROR(INDEX(收入成本映射!$E$4:$E$34,MATCH($D186,收入成本映射!$B$4:$B$34,0)),""))</f>
        <v/>
      </c>
      <c r="N186" s="27" t="str">
        <f t="shared" si="20"/>
        <v/>
      </c>
      <c r="O186" s="27" t="str">
        <f t="shared" si="21"/>
        <v/>
      </c>
      <c r="P186" s="26" t="str">
        <f>IF($M186="","",IFERROR(INDEX(收入成本映射!$F$4:$F$34,MATCH($D186,收入成本映射!$B$4:$B$34,0)),""))</f>
        <v/>
      </c>
      <c r="Q186" s="27" t="str">
        <f t="shared" si="22"/>
        <v/>
      </c>
      <c r="R186" s="27" t="str">
        <f t="shared" si="23"/>
        <v/>
      </c>
      <c r="S186" s="26" t="str">
        <f t="shared" si="24"/>
        <v/>
      </c>
      <c r="T186" s="27" t="str">
        <f t="shared" si="25"/>
        <v/>
      </c>
      <c r="U186" s="27" t="str">
        <f t="shared" si="26"/>
        <v/>
      </c>
      <c r="V186" s="10" t="str">
        <f>IF($B186="","",IF($B186="01水果",IFERROR(INDEX(对接源_01水果!$H$5:$H$507,MATCH(ROW()-3,对接源_01水果!$Q$5:$Q$507,0)),""),IFERROR(INDEX(对接源_02物料!$H$5:$H$460,MATCH(ROW()-3-N(对接源_01水果!$T$1),对接源_02物料!$Q$5:$Q$460,0)),"")))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7" ht="18" customHeight="1" spans="1:22">
      <c r="A187" s="10">
        <v>184</v>
      </c>
      <c r="B187" s="26" t="str">
        <f>IF(ROW()-3&lt;=N(对接源_01水果!$T$1),"01水果",IF(ROW()-3&lt;=N(对接源_01水果!$T$1)+N(对接源_02物料!$T$1),"02物料",""))</f>
        <v/>
      </c>
      <c r="C187" s="125" t="str">
        <f>IF($B187="","",IF($B187="01水果",IFERROR(INDEX(对接源_01水果!$B$5:$B$507,MATCH(ROW()-3,对接源_01水果!$Q$5:$Q$507,0)),""),IFERROR(INDEX(对接源_02物料!$B$5:$B$460,MATCH(ROW()-3-N(对接源_01水果!$T$1),对接源_02物料!$Q$5:$Q$460,0)),"")))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7" s="26" t="str">
        <f>IF($B187="","",IF($B187="01水果",IFERROR(INDEX(对接源_01水果!$C$5:$C$507,MATCH(ROW()-3,对接源_01水果!$Q$5:$Q$507,0)),""),IFERROR(INDEX(对接源_02物料!$C$5:$C$460,MATCH(ROW()-3-N(对接源_01水果!$T$1),对接源_02物料!$Q$5:$Q$460,0)),"")))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7" s="126" t="str">
        <f>IF($B187="","",IF($B187="01水果",IFERROR(INDEX(对接源_01水果!$D$5:$D$507,MATCH(ROW()-3,对接源_01水果!$Q$5:$Q$507,0)),""),IFERROR(INDEX(对接源_02物料!$D$5:$D$460,MATCH(ROW()-3-N(对接源_01水果!$T$1),对接源_02物料!$Q$5:$Q$460,0)),"")))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7" s="26" t="str">
        <f>IF($B187="","",IF($B187="01水果",IFERROR(INDEX(对接源_01水果!$E$5:$E$507,MATCH(ROW()-3,对接源_01水果!$Q$5:$Q$507,0)),""),IFERROR(INDEX(对接源_02物料!$E$5:$E$460,MATCH(ROW()-3-N(对接源_01水果!$T$1),对接源_02物料!$Q$5:$Q$460,0)),"")))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7" s="27" t="str">
        <f>IF($B187="","",IF($B187="01水果",IFERROR(INDEX(对接源_01水果!$F$5:$F$507,MATCH(ROW()-3,对接源_01水果!$Q$5:$Q$507,0)),""),IFERROR(INDEX(对接源_02物料!$F$5:$F$460,MATCH(ROW()-3-N(对接源_01水果!$T$1),对接源_02物料!$Q$5:$Q$460,0)),"")))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7" s="27" t="str">
        <f>IF($B187="","",IF($B187="01水果",IFERROR(INDEX(对接源_01水果!$G$5:$G$507,MATCH(ROW()-3,对接源_01水果!$Q$5:$Q$507,0)),""),IFERROR(INDEX(对接源_02物料!$G$5:$G$460,MATCH(ROW()-3-N(对接源_01水果!$T$1),对接源_02物料!$Q$5:$Q$460,0)),"")))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7" s="26" t="str">
        <f>IFERROR(INDEX(收入成本映射!$C$4:$C$34,MATCH($D187,收入成本映射!$B$4:$B$34,0)),"不记账")</f>
        <v>不记账</v>
      </c>
      <c r="J187" s="26" t="str">
        <f t="shared" si="18"/>
        <v/>
      </c>
      <c r="K187" s="27">
        <f t="shared" si="19"/>
        <v>0</v>
      </c>
      <c r="L187" s="27">
        <v>0</v>
      </c>
      <c r="M187" s="26" t="str">
        <f>IF(OR($I187="不记账",ROUND(N($G187),2)=0),"",IFERROR(INDEX(收入成本映射!$E$4:$E$34,MATCH($D187,收入成本映射!$B$4:$B$34,0)),""))</f>
        <v/>
      </c>
      <c r="N187" s="27" t="str">
        <f t="shared" si="20"/>
        <v/>
      </c>
      <c r="O187" s="27" t="str">
        <f t="shared" si="21"/>
        <v/>
      </c>
      <c r="P187" s="26" t="str">
        <f>IF($M187="","",IFERROR(INDEX(收入成本映射!$F$4:$F$34,MATCH($D187,收入成本映射!$B$4:$B$34,0)),""))</f>
        <v/>
      </c>
      <c r="Q187" s="27" t="str">
        <f t="shared" si="22"/>
        <v/>
      </c>
      <c r="R187" s="27" t="str">
        <f t="shared" si="23"/>
        <v/>
      </c>
      <c r="S187" s="26" t="str">
        <f t="shared" si="24"/>
        <v/>
      </c>
      <c r="T187" s="27" t="str">
        <f t="shared" si="25"/>
        <v/>
      </c>
      <c r="U187" s="27" t="str">
        <f t="shared" si="26"/>
        <v/>
      </c>
      <c r="V187" s="10" t="str">
        <f>IF($B187="","",IF($B187="01水果",IFERROR(INDEX(对接源_01水果!$H$5:$H$507,MATCH(ROW()-3,对接源_01水果!$Q$5:$Q$507,0)),""),IFERROR(INDEX(对接源_02物料!$H$5:$H$460,MATCH(ROW()-3-N(对接源_01水果!$T$1),对接源_02物料!$Q$5:$Q$460,0)),"")))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8" ht="18" customHeight="1" spans="1:22">
      <c r="A188" s="10">
        <v>185</v>
      </c>
      <c r="B188" s="26" t="str">
        <f>IF(ROW()-3&lt;=N(对接源_01水果!$T$1),"01水果",IF(ROW()-3&lt;=N(对接源_01水果!$T$1)+N(对接源_02物料!$T$1),"02物料",""))</f>
        <v/>
      </c>
      <c r="C188" s="125" t="str">
        <f>IF($B188="","",IF($B188="01水果",IFERROR(INDEX(对接源_01水果!$B$5:$B$507,MATCH(ROW()-3,对接源_01水果!$Q$5:$Q$507,0)),""),IFERROR(INDEX(对接源_02物料!$B$5:$B$460,MATCH(ROW()-3-N(对接源_01水果!$T$1),对接源_02物料!$Q$5:$Q$460,0)),"")))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8" s="26" t="str">
        <f>IF($B188="","",IF($B188="01水果",IFERROR(INDEX(对接源_01水果!$C$5:$C$507,MATCH(ROW()-3,对接源_01水果!$Q$5:$Q$507,0)),""),IFERROR(INDEX(对接源_02物料!$C$5:$C$460,MATCH(ROW()-3-N(对接源_01水果!$T$1),对接源_02物料!$Q$5:$Q$460,0)),"")))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8" s="126" t="str">
        <f>IF($B188="","",IF($B188="01水果",IFERROR(INDEX(对接源_01水果!$D$5:$D$507,MATCH(ROW()-3,对接源_01水果!$Q$5:$Q$507,0)),""),IFERROR(INDEX(对接源_02物料!$D$5:$D$460,MATCH(ROW()-3-N(对接源_01水果!$T$1),对接源_02物料!$Q$5:$Q$460,0)),"")))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8" s="26" t="str">
        <f>IF($B188="","",IF($B188="01水果",IFERROR(INDEX(对接源_01水果!$E$5:$E$507,MATCH(ROW()-3,对接源_01水果!$Q$5:$Q$507,0)),""),IFERROR(INDEX(对接源_02物料!$E$5:$E$460,MATCH(ROW()-3-N(对接源_01水果!$T$1),对接源_02物料!$Q$5:$Q$460,0)),"")))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8" s="27" t="str">
        <f>IF($B188="","",IF($B188="01水果",IFERROR(INDEX(对接源_01水果!$F$5:$F$507,MATCH(ROW()-3,对接源_01水果!$Q$5:$Q$507,0)),""),IFERROR(INDEX(对接源_02物料!$F$5:$F$460,MATCH(ROW()-3-N(对接源_01水果!$T$1),对接源_02物料!$Q$5:$Q$460,0)),"")))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8" s="27" t="str">
        <f>IF($B188="","",IF($B188="01水果",IFERROR(INDEX(对接源_01水果!$G$5:$G$507,MATCH(ROW()-3,对接源_01水果!$Q$5:$Q$507,0)),""),IFERROR(INDEX(对接源_02物料!$G$5:$G$460,MATCH(ROW()-3-N(对接源_01水果!$T$1),对接源_02物料!$Q$5:$Q$460,0)),"")))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8" s="26" t="str">
        <f>IFERROR(INDEX(收入成本映射!$C$4:$C$34,MATCH($D188,收入成本映射!$B$4:$B$34,0)),"不记账")</f>
        <v>不记账</v>
      </c>
      <c r="J188" s="26" t="str">
        <f t="shared" si="18"/>
        <v/>
      </c>
      <c r="K188" s="27">
        <f t="shared" si="19"/>
        <v>0</v>
      </c>
      <c r="L188" s="27">
        <v>0</v>
      </c>
      <c r="M188" s="26" t="str">
        <f>IF(OR($I188="不记账",ROUND(N($G188),2)=0),"",IFERROR(INDEX(收入成本映射!$E$4:$E$34,MATCH($D188,收入成本映射!$B$4:$B$34,0)),""))</f>
        <v/>
      </c>
      <c r="N188" s="27" t="str">
        <f t="shared" si="20"/>
        <v/>
      </c>
      <c r="O188" s="27" t="str">
        <f t="shared" si="21"/>
        <v/>
      </c>
      <c r="P188" s="26" t="str">
        <f>IF($M188="","",IFERROR(INDEX(收入成本映射!$F$4:$F$34,MATCH($D188,收入成本映射!$B$4:$B$34,0)),""))</f>
        <v/>
      </c>
      <c r="Q188" s="27" t="str">
        <f t="shared" si="22"/>
        <v/>
      </c>
      <c r="R188" s="27" t="str">
        <f t="shared" si="23"/>
        <v/>
      </c>
      <c r="S188" s="26" t="str">
        <f t="shared" si="24"/>
        <v/>
      </c>
      <c r="T188" s="27" t="str">
        <f t="shared" si="25"/>
        <v/>
      </c>
      <c r="U188" s="27" t="str">
        <f t="shared" si="26"/>
        <v/>
      </c>
      <c r="V188" s="10" t="str">
        <f>IF($B188="","",IF($B188="01水果",IFERROR(INDEX(对接源_01水果!$H$5:$H$507,MATCH(ROW()-3,对接源_01水果!$Q$5:$Q$507,0)),""),IFERROR(INDEX(对接源_02物料!$H$5:$H$460,MATCH(ROW()-3-N(对接源_01水果!$T$1),对接源_02物料!$Q$5:$Q$460,0)),"")))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9" ht="18" customHeight="1" spans="1:22">
      <c r="A189" s="10">
        <v>186</v>
      </c>
      <c r="B189" s="26" t="str">
        <f>IF(ROW()-3&lt;=N(对接源_01水果!$T$1),"01水果",IF(ROW()-3&lt;=N(对接源_01水果!$T$1)+N(对接源_02物料!$T$1),"02物料",""))</f>
        <v/>
      </c>
      <c r="C189" s="125" t="str">
        <f>IF($B189="","",IF($B189="01水果",IFERROR(INDEX(对接源_01水果!$B$5:$B$507,MATCH(ROW()-3,对接源_01水果!$Q$5:$Q$507,0)),""),IFERROR(INDEX(对接源_02物料!$B$5:$B$460,MATCH(ROW()-3-N(对接源_01水果!$T$1),对接源_02物料!$Q$5:$Q$460,0)),"")))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9" s="26" t="str">
        <f>IF($B189="","",IF($B189="01水果",IFERROR(INDEX(对接源_01水果!$C$5:$C$507,MATCH(ROW()-3,对接源_01水果!$Q$5:$Q$507,0)),""),IFERROR(INDEX(对接源_02物料!$C$5:$C$460,MATCH(ROW()-3-N(对接源_01水果!$T$1),对接源_02物料!$Q$5:$Q$460,0)),"")))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9" s="126" t="str">
        <f>IF($B189="","",IF($B189="01水果",IFERROR(INDEX(对接源_01水果!$D$5:$D$507,MATCH(ROW()-3,对接源_01水果!$Q$5:$Q$507,0)),""),IFERROR(INDEX(对接源_02物料!$D$5:$D$460,MATCH(ROW()-3-N(对接源_01水果!$T$1),对接源_02物料!$Q$5:$Q$460,0)),"")))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9" s="26" t="str">
        <f>IF($B189="","",IF($B189="01水果",IFERROR(INDEX(对接源_01水果!$E$5:$E$507,MATCH(ROW()-3,对接源_01水果!$Q$5:$Q$507,0)),""),IFERROR(INDEX(对接源_02物料!$E$5:$E$460,MATCH(ROW()-3-N(对接源_01水果!$T$1),对接源_02物料!$Q$5:$Q$460,0)),"")))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9" s="27" t="str">
        <f>IF($B189="","",IF($B189="01水果",IFERROR(INDEX(对接源_01水果!$F$5:$F$507,MATCH(ROW()-3,对接源_01水果!$Q$5:$Q$507,0)),""),IFERROR(INDEX(对接源_02物料!$F$5:$F$460,MATCH(ROW()-3-N(对接源_01水果!$T$1),对接源_02物料!$Q$5:$Q$460,0)),"")))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9" s="27" t="str">
        <f>IF($B189="","",IF($B189="01水果",IFERROR(INDEX(对接源_01水果!$G$5:$G$507,MATCH(ROW()-3,对接源_01水果!$Q$5:$Q$507,0)),""),IFERROR(INDEX(对接源_02物料!$G$5:$G$460,MATCH(ROW()-3-N(对接源_01水果!$T$1),对接源_02物料!$Q$5:$Q$460,0)),"")))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9" s="26" t="str">
        <f>IFERROR(INDEX(收入成本映射!$C$4:$C$34,MATCH($D189,收入成本映射!$B$4:$B$34,0)),"不记账")</f>
        <v>不记账</v>
      </c>
      <c r="J189" s="26" t="str">
        <f t="shared" si="18"/>
        <v/>
      </c>
      <c r="K189" s="27">
        <f t="shared" si="19"/>
        <v>0</v>
      </c>
      <c r="L189" s="27">
        <v>0</v>
      </c>
      <c r="M189" s="26" t="str">
        <f>IF(OR($I189="不记账",ROUND(N($G189),2)=0),"",IFERROR(INDEX(收入成本映射!$E$4:$E$34,MATCH($D189,收入成本映射!$B$4:$B$34,0)),""))</f>
        <v/>
      </c>
      <c r="N189" s="27" t="str">
        <f t="shared" si="20"/>
        <v/>
      </c>
      <c r="O189" s="27" t="str">
        <f t="shared" si="21"/>
        <v/>
      </c>
      <c r="P189" s="26" t="str">
        <f>IF($M189="","",IFERROR(INDEX(收入成本映射!$F$4:$F$34,MATCH($D189,收入成本映射!$B$4:$B$34,0)),""))</f>
        <v/>
      </c>
      <c r="Q189" s="27" t="str">
        <f t="shared" si="22"/>
        <v/>
      </c>
      <c r="R189" s="27" t="str">
        <f t="shared" si="23"/>
        <v/>
      </c>
      <c r="S189" s="26" t="str">
        <f t="shared" si="24"/>
        <v/>
      </c>
      <c r="T189" s="27" t="str">
        <f t="shared" si="25"/>
        <v/>
      </c>
      <c r="U189" s="27" t="str">
        <f t="shared" si="26"/>
        <v/>
      </c>
      <c r="V189" s="10" t="str">
        <f>IF($B189="","",IF($B189="01水果",IFERROR(INDEX(对接源_01水果!$H$5:$H$507,MATCH(ROW()-3,对接源_01水果!$Q$5:$Q$507,0)),""),IFERROR(INDEX(对接源_02物料!$H$5:$H$460,MATCH(ROW()-3-N(对接源_01水果!$T$1),对接源_02物料!$Q$5:$Q$460,0)),"")))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0" ht="18" customHeight="1" spans="1:22">
      <c r="A190" s="10">
        <v>187</v>
      </c>
      <c r="B190" s="26" t="str">
        <f>IF(ROW()-3&lt;=N(对接源_01水果!$T$1),"01水果",IF(ROW()-3&lt;=N(对接源_01水果!$T$1)+N(对接源_02物料!$T$1),"02物料",""))</f>
        <v/>
      </c>
      <c r="C190" s="125" t="str">
        <f>IF($B190="","",IF($B190="01水果",IFERROR(INDEX(对接源_01水果!$B$5:$B$507,MATCH(ROW()-3,对接源_01水果!$Q$5:$Q$507,0)),""),IFERROR(INDEX(对接源_02物料!$B$5:$B$460,MATCH(ROW()-3-N(对接源_01水果!$T$1),对接源_02物料!$Q$5:$Q$460,0)),"")))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0" s="26" t="str">
        <f>IF($B190="","",IF($B190="01水果",IFERROR(INDEX(对接源_01水果!$C$5:$C$507,MATCH(ROW()-3,对接源_01水果!$Q$5:$Q$507,0)),""),IFERROR(INDEX(对接源_02物料!$C$5:$C$460,MATCH(ROW()-3-N(对接源_01水果!$T$1),对接源_02物料!$Q$5:$Q$460,0)),"")))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0" s="126" t="str">
        <f>IF($B190="","",IF($B190="01水果",IFERROR(INDEX(对接源_01水果!$D$5:$D$507,MATCH(ROW()-3,对接源_01水果!$Q$5:$Q$507,0)),""),IFERROR(INDEX(对接源_02物料!$D$5:$D$460,MATCH(ROW()-3-N(对接源_01水果!$T$1),对接源_02物料!$Q$5:$Q$460,0)),"")))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0" s="26" t="str">
        <f>IF($B190="","",IF($B190="01水果",IFERROR(INDEX(对接源_01水果!$E$5:$E$507,MATCH(ROW()-3,对接源_01水果!$Q$5:$Q$507,0)),""),IFERROR(INDEX(对接源_02物料!$E$5:$E$460,MATCH(ROW()-3-N(对接源_01水果!$T$1),对接源_02物料!$Q$5:$Q$460,0)),"")))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0" s="27" t="str">
        <f>IF($B190="","",IF($B190="01水果",IFERROR(INDEX(对接源_01水果!$F$5:$F$507,MATCH(ROW()-3,对接源_01水果!$Q$5:$Q$507,0)),""),IFERROR(INDEX(对接源_02物料!$F$5:$F$460,MATCH(ROW()-3-N(对接源_01水果!$T$1),对接源_02物料!$Q$5:$Q$460,0)),"")))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0" s="27" t="str">
        <f>IF($B190="","",IF($B190="01水果",IFERROR(INDEX(对接源_01水果!$G$5:$G$507,MATCH(ROW()-3,对接源_01水果!$Q$5:$Q$507,0)),""),IFERROR(INDEX(对接源_02物料!$G$5:$G$460,MATCH(ROW()-3-N(对接源_01水果!$T$1),对接源_02物料!$Q$5:$Q$460,0)),"")))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0" s="26" t="str">
        <f>IFERROR(INDEX(收入成本映射!$C$4:$C$34,MATCH($D190,收入成本映射!$B$4:$B$34,0)),"不记账")</f>
        <v>不记账</v>
      </c>
      <c r="J190" s="26" t="str">
        <f t="shared" si="18"/>
        <v/>
      </c>
      <c r="K190" s="27">
        <f t="shared" si="19"/>
        <v>0</v>
      </c>
      <c r="L190" s="27">
        <v>0</v>
      </c>
      <c r="M190" s="26" t="str">
        <f>IF(OR($I190="不记账",ROUND(N($G190),2)=0),"",IFERROR(INDEX(收入成本映射!$E$4:$E$34,MATCH($D190,收入成本映射!$B$4:$B$34,0)),""))</f>
        <v/>
      </c>
      <c r="N190" s="27" t="str">
        <f t="shared" si="20"/>
        <v/>
      </c>
      <c r="O190" s="27" t="str">
        <f t="shared" si="21"/>
        <v/>
      </c>
      <c r="P190" s="26" t="str">
        <f>IF($M190="","",IFERROR(INDEX(收入成本映射!$F$4:$F$34,MATCH($D190,收入成本映射!$B$4:$B$34,0)),""))</f>
        <v/>
      </c>
      <c r="Q190" s="27" t="str">
        <f t="shared" si="22"/>
        <v/>
      </c>
      <c r="R190" s="27" t="str">
        <f t="shared" si="23"/>
        <v/>
      </c>
      <c r="S190" s="26" t="str">
        <f t="shared" si="24"/>
        <v/>
      </c>
      <c r="T190" s="27" t="str">
        <f t="shared" si="25"/>
        <v/>
      </c>
      <c r="U190" s="27" t="str">
        <f t="shared" si="26"/>
        <v/>
      </c>
      <c r="V190" s="10" t="str">
        <f>IF($B190="","",IF($B190="01水果",IFERROR(INDEX(对接源_01水果!$H$5:$H$507,MATCH(ROW()-3,对接源_01水果!$Q$5:$Q$507,0)),""),IFERROR(INDEX(对接源_02物料!$H$5:$H$460,MATCH(ROW()-3-N(对接源_01水果!$T$1),对接源_02物料!$Q$5:$Q$460,0)),"")))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1" ht="18" customHeight="1" spans="1:22">
      <c r="A191" s="10">
        <v>188</v>
      </c>
      <c r="B191" s="26" t="str">
        <f>IF(ROW()-3&lt;=N(对接源_01水果!$T$1),"01水果",IF(ROW()-3&lt;=N(对接源_01水果!$T$1)+N(对接源_02物料!$T$1),"02物料",""))</f>
        <v/>
      </c>
      <c r="C191" s="125" t="str">
        <f>IF($B191="","",IF($B191="01水果",IFERROR(INDEX(对接源_01水果!$B$5:$B$507,MATCH(ROW()-3,对接源_01水果!$Q$5:$Q$507,0)),""),IFERROR(INDEX(对接源_02物料!$B$5:$B$460,MATCH(ROW()-3-N(对接源_01水果!$T$1),对接源_02物料!$Q$5:$Q$460,0)),"")))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1" s="26" t="str">
        <f>IF($B191="","",IF($B191="01水果",IFERROR(INDEX(对接源_01水果!$C$5:$C$507,MATCH(ROW()-3,对接源_01水果!$Q$5:$Q$507,0)),""),IFERROR(INDEX(对接源_02物料!$C$5:$C$460,MATCH(ROW()-3-N(对接源_01水果!$T$1),对接源_02物料!$Q$5:$Q$460,0)),"")))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1" s="126" t="str">
        <f>IF($B191="","",IF($B191="01水果",IFERROR(INDEX(对接源_01水果!$D$5:$D$507,MATCH(ROW()-3,对接源_01水果!$Q$5:$Q$507,0)),""),IFERROR(INDEX(对接源_02物料!$D$5:$D$460,MATCH(ROW()-3-N(对接源_01水果!$T$1),对接源_02物料!$Q$5:$Q$460,0)),"")))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1" s="26" t="str">
        <f>IF($B191="","",IF($B191="01水果",IFERROR(INDEX(对接源_01水果!$E$5:$E$507,MATCH(ROW()-3,对接源_01水果!$Q$5:$Q$507,0)),""),IFERROR(INDEX(对接源_02物料!$E$5:$E$460,MATCH(ROW()-3-N(对接源_01水果!$T$1),对接源_02物料!$Q$5:$Q$460,0)),"")))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1" s="27" t="str">
        <f>IF($B191="","",IF($B191="01水果",IFERROR(INDEX(对接源_01水果!$F$5:$F$507,MATCH(ROW()-3,对接源_01水果!$Q$5:$Q$507,0)),""),IFERROR(INDEX(对接源_02物料!$F$5:$F$460,MATCH(ROW()-3-N(对接源_01水果!$T$1),对接源_02物料!$Q$5:$Q$460,0)),"")))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1" s="27" t="str">
        <f>IF($B191="","",IF($B191="01水果",IFERROR(INDEX(对接源_01水果!$G$5:$G$507,MATCH(ROW()-3,对接源_01水果!$Q$5:$Q$507,0)),""),IFERROR(INDEX(对接源_02物料!$G$5:$G$460,MATCH(ROW()-3-N(对接源_01水果!$T$1),对接源_02物料!$Q$5:$Q$460,0)),"")))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1" s="26" t="str">
        <f>IFERROR(INDEX(收入成本映射!$C$4:$C$34,MATCH($D191,收入成本映射!$B$4:$B$34,0)),"不记账")</f>
        <v>不记账</v>
      </c>
      <c r="J191" s="26" t="str">
        <f t="shared" si="18"/>
        <v/>
      </c>
      <c r="K191" s="27">
        <f t="shared" si="19"/>
        <v>0</v>
      </c>
      <c r="L191" s="27">
        <v>0</v>
      </c>
      <c r="M191" s="26" t="str">
        <f>IF(OR($I191="不记账",ROUND(N($G191),2)=0),"",IFERROR(INDEX(收入成本映射!$E$4:$E$34,MATCH($D191,收入成本映射!$B$4:$B$34,0)),""))</f>
        <v/>
      </c>
      <c r="N191" s="27" t="str">
        <f t="shared" si="20"/>
        <v/>
      </c>
      <c r="O191" s="27" t="str">
        <f t="shared" si="21"/>
        <v/>
      </c>
      <c r="P191" s="26" t="str">
        <f>IF($M191="","",IFERROR(INDEX(收入成本映射!$F$4:$F$34,MATCH($D191,收入成本映射!$B$4:$B$34,0)),""))</f>
        <v/>
      </c>
      <c r="Q191" s="27" t="str">
        <f t="shared" si="22"/>
        <v/>
      </c>
      <c r="R191" s="27" t="str">
        <f t="shared" si="23"/>
        <v/>
      </c>
      <c r="S191" s="26" t="str">
        <f t="shared" si="24"/>
        <v/>
      </c>
      <c r="T191" s="27" t="str">
        <f t="shared" si="25"/>
        <v/>
      </c>
      <c r="U191" s="27" t="str">
        <f t="shared" si="26"/>
        <v/>
      </c>
      <c r="V191" s="10" t="str">
        <f>IF($B191="","",IF($B191="01水果",IFERROR(INDEX(对接源_01水果!$H$5:$H$507,MATCH(ROW()-3,对接源_01水果!$Q$5:$Q$507,0)),""),IFERROR(INDEX(对接源_02物料!$H$5:$H$460,MATCH(ROW()-3-N(对接源_01水果!$T$1),对接源_02物料!$Q$5:$Q$460,0)),"")))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2" ht="18" customHeight="1" spans="1:22">
      <c r="A192" s="10">
        <v>189</v>
      </c>
      <c r="B192" s="26" t="str">
        <f>IF(ROW()-3&lt;=N(对接源_01水果!$T$1),"01水果",IF(ROW()-3&lt;=N(对接源_01水果!$T$1)+N(对接源_02物料!$T$1),"02物料",""))</f>
        <v/>
      </c>
      <c r="C192" s="125" t="str">
        <f>IF($B192="","",IF($B192="01水果",IFERROR(INDEX(对接源_01水果!$B$5:$B$507,MATCH(ROW()-3,对接源_01水果!$Q$5:$Q$507,0)),""),IFERROR(INDEX(对接源_02物料!$B$5:$B$460,MATCH(ROW()-3-N(对接源_01水果!$T$1),对接源_02物料!$Q$5:$Q$460,0)),"")))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2" s="26" t="str">
        <f>IF($B192="","",IF($B192="01水果",IFERROR(INDEX(对接源_01水果!$C$5:$C$507,MATCH(ROW()-3,对接源_01水果!$Q$5:$Q$507,0)),""),IFERROR(INDEX(对接源_02物料!$C$5:$C$460,MATCH(ROW()-3-N(对接源_01水果!$T$1),对接源_02物料!$Q$5:$Q$460,0)),"")))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2" s="126" t="str">
        <f>IF($B192="","",IF($B192="01水果",IFERROR(INDEX(对接源_01水果!$D$5:$D$507,MATCH(ROW()-3,对接源_01水果!$Q$5:$Q$507,0)),""),IFERROR(INDEX(对接源_02物料!$D$5:$D$460,MATCH(ROW()-3-N(对接源_01水果!$T$1),对接源_02物料!$Q$5:$Q$460,0)),"")))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2" s="26" t="str">
        <f>IF($B192="","",IF($B192="01水果",IFERROR(INDEX(对接源_01水果!$E$5:$E$507,MATCH(ROW()-3,对接源_01水果!$Q$5:$Q$507,0)),""),IFERROR(INDEX(对接源_02物料!$E$5:$E$460,MATCH(ROW()-3-N(对接源_01水果!$T$1),对接源_02物料!$Q$5:$Q$460,0)),"")))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2" s="27" t="str">
        <f>IF($B192="","",IF($B192="01水果",IFERROR(INDEX(对接源_01水果!$F$5:$F$507,MATCH(ROW()-3,对接源_01水果!$Q$5:$Q$507,0)),""),IFERROR(INDEX(对接源_02物料!$F$5:$F$460,MATCH(ROW()-3-N(对接源_01水果!$T$1),对接源_02物料!$Q$5:$Q$460,0)),"")))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2" s="27" t="str">
        <f>IF($B192="","",IF($B192="01水果",IFERROR(INDEX(对接源_01水果!$G$5:$G$507,MATCH(ROW()-3,对接源_01水果!$Q$5:$Q$507,0)),""),IFERROR(INDEX(对接源_02物料!$G$5:$G$460,MATCH(ROW()-3-N(对接源_01水果!$T$1),对接源_02物料!$Q$5:$Q$460,0)),"")))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2" s="26" t="str">
        <f>IFERROR(INDEX(收入成本映射!$C$4:$C$34,MATCH($D192,收入成本映射!$B$4:$B$34,0)),"不记账")</f>
        <v>不记账</v>
      </c>
      <c r="J192" s="26" t="str">
        <f t="shared" si="18"/>
        <v/>
      </c>
      <c r="K192" s="27">
        <f t="shared" si="19"/>
        <v>0</v>
      </c>
      <c r="L192" s="27">
        <v>0</v>
      </c>
      <c r="M192" s="26" t="str">
        <f>IF(OR($I192="不记账",ROUND(N($G192),2)=0),"",IFERROR(INDEX(收入成本映射!$E$4:$E$34,MATCH($D192,收入成本映射!$B$4:$B$34,0)),""))</f>
        <v/>
      </c>
      <c r="N192" s="27" t="str">
        <f t="shared" si="20"/>
        <v/>
      </c>
      <c r="O192" s="27" t="str">
        <f t="shared" si="21"/>
        <v/>
      </c>
      <c r="P192" s="26" t="str">
        <f>IF($M192="","",IFERROR(INDEX(收入成本映射!$F$4:$F$34,MATCH($D192,收入成本映射!$B$4:$B$34,0)),""))</f>
        <v/>
      </c>
      <c r="Q192" s="27" t="str">
        <f t="shared" si="22"/>
        <v/>
      </c>
      <c r="R192" s="27" t="str">
        <f t="shared" si="23"/>
        <v/>
      </c>
      <c r="S192" s="26" t="str">
        <f t="shared" si="24"/>
        <v/>
      </c>
      <c r="T192" s="27" t="str">
        <f t="shared" si="25"/>
        <v/>
      </c>
      <c r="U192" s="27" t="str">
        <f t="shared" si="26"/>
        <v/>
      </c>
      <c r="V192" s="10" t="str">
        <f>IF($B192="","",IF($B192="01水果",IFERROR(INDEX(对接源_01水果!$H$5:$H$507,MATCH(ROW()-3,对接源_01水果!$Q$5:$Q$507,0)),""),IFERROR(INDEX(对接源_02物料!$H$5:$H$460,MATCH(ROW()-3-N(对接源_01水果!$T$1),对接源_02物料!$Q$5:$Q$460,0)),"")))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3" ht="18" customHeight="1" spans="1:22">
      <c r="A193" s="10">
        <v>190</v>
      </c>
      <c r="B193" s="26" t="str">
        <f>IF(ROW()-3&lt;=N(对接源_01水果!$T$1),"01水果",IF(ROW()-3&lt;=N(对接源_01水果!$T$1)+N(对接源_02物料!$T$1),"02物料",""))</f>
        <v/>
      </c>
      <c r="C193" s="125" t="str">
        <f>IF($B193="","",IF($B193="01水果",IFERROR(INDEX(对接源_01水果!$B$5:$B$507,MATCH(ROW()-3,对接源_01水果!$Q$5:$Q$507,0)),""),IFERROR(INDEX(对接源_02物料!$B$5:$B$460,MATCH(ROW()-3-N(对接源_01水果!$T$1),对接源_02物料!$Q$5:$Q$460,0)),"")))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3" s="26" t="str">
        <f>IF($B193="","",IF($B193="01水果",IFERROR(INDEX(对接源_01水果!$C$5:$C$507,MATCH(ROW()-3,对接源_01水果!$Q$5:$Q$507,0)),""),IFERROR(INDEX(对接源_02物料!$C$5:$C$460,MATCH(ROW()-3-N(对接源_01水果!$T$1),对接源_02物料!$Q$5:$Q$460,0)),"")))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3" s="126" t="str">
        <f>IF($B193="","",IF($B193="01水果",IFERROR(INDEX(对接源_01水果!$D$5:$D$507,MATCH(ROW()-3,对接源_01水果!$Q$5:$Q$507,0)),""),IFERROR(INDEX(对接源_02物料!$D$5:$D$460,MATCH(ROW()-3-N(对接源_01水果!$T$1),对接源_02物料!$Q$5:$Q$460,0)),"")))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3" s="26" t="str">
        <f>IF($B193="","",IF($B193="01水果",IFERROR(INDEX(对接源_01水果!$E$5:$E$507,MATCH(ROW()-3,对接源_01水果!$Q$5:$Q$507,0)),""),IFERROR(INDEX(对接源_02物料!$E$5:$E$460,MATCH(ROW()-3-N(对接源_01水果!$T$1),对接源_02物料!$Q$5:$Q$460,0)),"")))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3" s="27" t="str">
        <f>IF($B193="","",IF($B193="01水果",IFERROR(INDEX(对接源_01水果!$F$5:$F$507,MATCH(ROW()-3,对接源_01水果!$Q$5:$Q$507,0)),""),IFERROR(INDEX(对接源_02物料!$F$5:$F$460,MATCH(ROW()-3-N(对接源_01水果!$T$1),对接源_02物料!$Q$5:$Q$460,0)),"")))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3" s="27" t="str">
        <f>IF($B193="","",IF($B193="01水果",IFERROR(INDEX(对接源_01水果!$G$5:$G$507,MATCH(ROW()-3,对接源_01水果!$Q$5:$Q$507,0)),""),IFERROR(INDEX(对接源_02物料!$G$5:$G$460,MATCH(ROW()-3-N(对接源_01水果!$T$1),对接源_02物料!$Q$5:$Q$460,0)),"")))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3" s="26" t="str">
        <f>IFERROR(INDEX(收入成本映射!$C$4:$C$34,MATCH($D193,收入成本映射!$B$4:$B$34,0)),"不记账")</f>
        <v>不记账</v>
      </c>
      <c r="J193" s="26" t="str">
        <f t="shared" si="18"/>
        <v/>
      </c>
      <c r="K193" s="27">
        <f t="shared" si="19"/>
        <v>0</v>
      </c>
      <c r="L193" s="27">
        <v>0</v>
      </c>
      <c r="M193" s="26" t="str">
        <f>IF(OR($I193="不记账",ROUND(N($G193),2)=0),"",IFERROR(INDEX(收入成本映射!$E$4:$E$34,MATCH($D193,收入成本映射!$B$4:$B$34,0)),""))</f>
        <v/>
      </c>
      <c r="N193" s="27" t="str">
        <f t="shared" si="20"/>
        <v/>
      </c>
      <c r="O193" s="27" t="str">
        <f t="shared" si="21"/>
        <v/>
      </c>
      <c r="P193" s="26" t="str">
        <f>IF($M193="","",IFERROR(INDEX(收入成本映射!$F$4:$F$34,MATCH($D193,收入成本映射!$B$4:$B$34,0)),""))</f>
        <v/>
      </c>
      <c r="Q193" s="27" t="str">
        <f t="shared" si="22"/>
        <v/>
      </c>
      <c r="R193" s="27" t="str">
        <f t="shared" si="23"/>
        <v/>
      </c>
      <c r="S193" s="26" t="str">
        <f t="shared" si="24"/>
        <v/>
      </c>
      <c r="T193" s="27" t="str">
        <f t="shared" si="25"/>
        <v/>
      </c>
      <c r="U193" s="27" t="str">
        <f t="shared" si="26"/>
        <v/>
      </c>
      <c r="V193" s="10" t="str">
        <f>IF($B193="","",IF($B193="01水果",IFERROR(INDEX(对接源_01水果!$H$5:$H$507,MATCH(ROW()-3,对接源_01水果!$Q$5:$Q$507,0)),""),IFERROR(INDEX(对接源_02物料!$H$5:$H$460,MATCH(ROW()-3-N(对接源_01水果!$T$1),对接源_02物料!$Q$5:$Q$460,0)),"")))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4" ht="18" customHeight="1" spans="1:22">
      <c r="A194" s="10">
        <v>191</v>
      </c>
      <c r="B194" s="26" t="str">
        <f>IF(ROW()-3&lt;=N(对接源_01水果!$T$1),"01水果",IF(ROW()-3&lt;=N(对接源_01水果!$T$1)+N(对接源_02物料!$T$1),"02物料",""))</f>
        <v/>
      </c>
      <c r="C194" s="125" t="str">
        <f>IF($B194="","",IF($B194="01水果",IFERROR(INDEX(对接源_01水果!$B$5:$B$507,MATCH(ROW()-3,对接源_01水果!$Q$5:$Q$507,0)),""),IFERROR(INDEX(对接源_02物料!$B$5:$B$460,MATCH(ROW()-3-N(对接源_01水果!$T$1),对接源_02物料!$Q$5:$Q$460,0)),"")))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4" s="26" t="str">
        <f>IF($B194="","",IF($B194="01水果",IFERROR(INDEX(对接源_01水果!$C$5:$C$507,MATCH(ROW()-3,对接源_01水果!$Q$5:$Q$507,0)),""),IFERROR(INDEX(对接源_02物料!$C$5:$C$460,MATCH(ROW()-3-N(对接源_01水果!$T$1),对接源_02物料!$Q$5:$Q$460,0)),"")))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4" s="126" t="str">
        <f>IF($B194="","",IF($B194="01水果",IFERROR(INDEX(对接源_01水果!$D$5:$D$507,MATCH(ROW()-3,对接源_01水果!$Q$5:$Q$507,0)),""),IFERROR(INDEX(对接源_02物料!$D$5:$D$460,MATCH(ROW()-3-N(对接源_01水果!$T$1),对接源_02物料!$Q$5:$Q$460,0)),"")))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4" s="26" t="str">
        <f>IF($B194="","",IF($B194="01水果",IFERROR(INDEX(对接源_01水果!$E$5:$E$507,MATCH(ROW()-3,对接源_01水果!$Q$5:$Q$507,0)),""),IFERROR(INDEX(对接源_02物料!$E$5:$E$460,MATCH(ROW()-3-N(对接源_01水果!$T$1),对接源_02物料!$Q$5:$Q$460,0)),"")))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4" s="27" t="str">
        <f>IF($B194="","",IF($B194="01水果",IFERROR(INDEX(对接源_01水果!$F$5:$F$507,MATCH(ROW()-3,对接源_01水果!$Q$5:$Q$507,0)),""),IFERROR(INDEX(对接源_02物料!$F$5:$F$460,MATCH(ROW()-3-N(对接源_01水果!$T$1),对接源_02物料!$Q$5:$Q$460,0)),"")))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4" s="27" t="str">
        <f>IF($B194="","",IF($B194="01水果",IFERROR(INDEX(对接源_01水果!$G$5:$G$507,MATCH(ROW()-3,对接源_01水果!$Q$5:$Q$507,0)),""),IFERROR(INDEX(对接源_02物料!$G$5:$G$460,MATCH(ROW()-3-N(对接源_01水果!$T$1),对接源_02物料!$Q$5:$Q$460,0)),"")))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4" s="26" t="str">
        <f>IFERROR(INDEX(收入成本映射!$C$4:$C$34,MATCH($D194,收入成本映射!$B$4:$B$34,0)),"不记账")</f>
        <v>不记账</v>
      </c>
      <c r="J194" s="26" t="str">
        <f t="shared" si="18"/>
        <v/>
      </c>
      <c r="K194" s="27">
        <f t="shared" si="19"/>
        <v>0</v>
      </c>
      <c r="L194" s="27">
        <v>0</v>
      </c>
      <c r="M194" s="26" t="str">
        <f>IF(OR($I194="不记账",ROUND(N($G194),2)=0),"",IFERROR(INDEX(收入成本映射!$E$4:$E$34,MATCH($D194,收入成本映射!$B$4:$B$34,0)),""))</f>
        <v/>
      </c>
      <c r="N194" s="27" t="str">
        <f t="shared" si="20"/>
        <v/>
      </c>
      <c r="O194" s="27" t="str">
        <f t="shared" si="21"/>
        <v/>
      </c>
      <c r="P194" s="26" t="str">
        <f>IF($M194="","",IFERROR(INDEX(收入成本映射!$F$4:$F$34,MATCH($D194,收入成本映射!$B$4:$B$34,0)),""))</f>
        <v/>
      </c>
      <c r="Q194" s="27" t="str">
        <f t="shared" si="22"/>
        <v/>
      </c>
      <c r="R194" s="27" t="str">
        <f t="shared" si="23"/>
        <v/>
      </c>
      <c r="S194" s="26" t="str">
        <f t="shared" si="24"/>
        <v/>
      </c>
      <c r="T194" s="27" t="str">
        <f t="shared" si="25"/>
        <v/>
      </c>
      <c r="U194" s="27" t="str">
        <f t="shared" si="26"/>
        <v/>
      </c>
      <c r="V194" s="10" t="str">
        <f>IF($B194="","",IF($B194="01水果",IFERROR(INDEX(对接源_01水果!$H$5:$H$507,MATCH(ROW()-3,对接源_01水果!$Q$5:$Q$507,0)),""),IFERROR(INDEX(对接源_02物料!$H$5:$H$460,MATCH(ROW()-3-N(对接源_01水果!$T$1),对接源_02物料!$Q$5:$Q$460,0)),"")))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5" ht="18" customHeight="1" spans="1:22">
      <c r="A195" s="10">
        <v>192</v>
      </c>
      <c r="B195" s="26" t="str">
        <f>IF(ROW()-3&lt;=N(对接源_01水果!$T$1),"01水果",IF(ROW()-3&lt;=N(对接源_01水果!$T$1)+N(对接源_02物料!$T$1),"02物料",""))</f>
        <v/>
      </c>
      <c r="C195" s="125" t="str">
        <f>IF($B195="","",IF($B195="01水果",IFERROR(INDEX(对接源_01水果!$B$5:$B$507,MATCH(ROW()-3,对接源_01水果!$Q$5:$Q$507,0)),""),IFERROR(INDEX(对接源_02物料!$B$5:$B$460,MATCH(ROW()-3-N(对接源_01水果!$T$1),对接源_02物料!$Q$5:$Q$460,0)),"")))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5" s="26" t="str">
        <f>IF($B195="","",IF($B195="01水果",IFERROR(INDEX(对接源_01水果!$C$5:$C$507,MATCH(ROW()-3,对接源_01水果!$Q$5:$Q$507,0)),""),IFERROR(INDEX(对接源_02物料!$C$5:$C$460,MATCH(ROW()-3-N(对接源_01水果!$T$1),对接源_02物料!$Q$5:$Q$460,0)),"")))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5" s="126" t="str">
        <f>IF($B195="","",IF($B195="01水果",IFERROR(INDEX(对接源_01水果!$D$5:$D$507,MATCH(ROW()-3,对接源_01水果!$Q$5:$Q$507,0)),""),IFERROR(INDEX(对接源_02物料!$D$5:$D$460,MATCH(ROW()-3-N(对接源_01水果!$T$1),对接源_02物料!$Q$5:$Q$460,0)),"")))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5" s="26" t="str">
        <f>IF($B195="","",IF($B195="01水果",IFERROR(INDEX(对接源_01水果!$E$5:$E$507,MATCH(ROW()-3,对接源_01水果!$Q$5:$Q$507,0)),""),IFERROR(INDEX(对接源_02物料!$E$5:$E$460,MATCH(ROW()-3-N(对接源_01水果!$T$1),对接源_02物料!$Q$5:$Q$460,0)),"")))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5" s="27" t="str">
        <f>IF($B195="","",IF($B195="01水果",IFERROR(INDEX(对接源_01水果!$F$5:$F$507,MATCH(ROW()-3,对接源_01水果!$Q$5:$Q$507,0)),""),IFERROR(INDEX(对接源_02物料!$F$5:$F$460,MATCH(ROW()-3-N(对接源_01水果!$T$1),对接源_02物料!$Q$5:$Q$460,0)),"")))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5" s="27" t="str">
        <f>IF($B195="","",IF($B195="01水果",IFERROR(INDEX(对接源_01水果!$G$5:$G$507,MATCH(ROW()-3,对接源_01水果!$Q$5:$Q$507,0)),""),IFERROR(INDEX(对接源_02物料!$G$5:$G$460,MATCH(ROW()-3-N(对接源_01水果!$T$1),对接源_02物料!$Q$5:$Q$460,0)),"")))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5" s="26" t="str">
        <f>IFERROR(INDEX(收入成本映射!$C$4:$C$34,MATCH($D195,收入成本映射!$B$4:$B$34,0)),"不记账")</f>
        <v>不记账</v>
      </c>
      <c r="J195" s="26" t="str">
        <f t="shared" si="18"/>
        <v/>
      </c>
      <c r="K195" s="27">
        <f t="shared" si="19"/>
        <v>0</v>
      </c>
      <c r="L195" s="27">
        <v>0</v>
      </c>
      <c r="M195" s="26" t="str">
        <f>IF(OR($I195="不记账",ROUND(N($G195),2)=0),"",IFERROR(INDEX(收入成本映射!$E$4:$E$34,MATCH($D195,收入成本映射!$B$4:$B$34,0)),""))</f>
        <v/>
      </c>
      <c r="N195" s="27" t="str">
        <f t="shared" si="20"/>
        <v/>
      </c>
      <c r="O195" s="27" t="str">
        <f t="shared" si="21"/>
        <v/>
      </c>
      <c r="P195" s="26" t="str">
        <f>IF($M195="","",IFERROR(INDEX(收入成本映射!$F$4:$F$34,MATCH($D195,收入成本映射!$B$4:$B$34,0)),""))</f>
        <v/>
      </c>
      <c r="Q195" s="27" t="str">
        <f t="shared" si="22"/>
        <v/>
      </c>
      <c r="R195" s="27" t="str">
        <f t="shared" si="23"/>
        <v/>
      </c>
      <c r="S195" s="26" t="str">
        <f t="shared" si="24"/>
        <v/>
      </c>
      <c r="T195" s="27" t="str">
        <f t="shared" si="25"/>
        <v/>
      </c>
      <c r="U195" s="27" t="str">
        <f t="shared" si="26"/>
        <v/>
      </c>
      <c r="V195" s="10" t="str">
        <f>IF($B195="","",IF($B195="01水果",IFERROR(INDEX(对接源_01水果!$H$5:$H$507,MATCH(ROW()-3,对接源_01水果!$Q$5:$Q$507,0)),""),IFERROR(INDEX(对接源_02物料!$H$5:$H$460,MATCH(ROW()-3-N(对接源_01水果!$T$1),对接源_02物料!$Q$5:$Q$460,0)),"")))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6" ht="18" customHeight="1" spans="1:22">
      <c r="A196" s="10">
        <v>193</v>
      </c>
      <c r="B196" s="26" t="str">
        <f>IF(ROW()-3&lt;=N(对接源_01水果!$T$1),"01水果",IF(ROW()-3&lt;=N(对接源_01水果!$T$1)+N(对接源_02物料!$T$1),"02物料",""))</f>
        <v/>
      </c>
      <c r="C196" s="125" t="str">
        <f>IF($B196="","",IF($B196="01水果",IFERROR(INDEX(对接源_01水果!$B$5:$B$507,MATCH(ROW()-3,对接源_01水果!$Q$5:$Q$507,0)),""),IFERROR(INDEX(对接源_02物料!$B$5:$B$460,MATCH(ROW()-3-N(对接源_01水果!$T$1),对接源_02物料!$Q$5:$Q$460,0)),"")))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6" s="26" t="str">
        <f>IF($B196="","",IF($B196="01水果",IFERROR(INDEX(对接源_01水果!$C$5:$C$507,MATCH(ROW()-3,对接源_01水果!$Q$5:$Q$507,0)),""),IFERROR(INDEX(对接源_02物料!$C$5:$C$460,MATCH(ROW()-3-N(对接源_01水果!$T$1),对接源_02物料!$Q$5:$Q$460,0)),"")))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6" s="126" t="str">
        <f>IF($B196="","",IF($B196="01水果",IFERROR(INDEX(对接源_01水果!$D$5:$D$507,MATCH(ROW()-3,对接源_01水果!$Q$5:$Q$507,0)),""),IFERROR(INDEX(对接源_02物料!$D$5:$D$460,MATCH(ROW()-3-N(对接源_01水果!$T$1),对接源_02物料!$Q$5:$Q$460,0)),"")))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6" s="26" t="str">
        <f>IF($B196="","",IF($B196="01水果",IFERROR(INDEX(对接源_01水果!$E$5:$E$507,MATCH(ROW()-3,对接源_01水果!$Q$5:$Q$507,0)),""),IFERROR(INDEX(对接源_02物料!$E$5:$E$460,MATCH(ROW()-3-N(对接源_01水果!$T$1),对接源_02物料!$Q$5:$Q$460,0)),"")))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6" s="27" t="str">
        <f>IF($B196="","",IF($B196="01水果",IFERROR(INDEX(对接源_01水果!$F$5:$F$507,MATCH(ROW()-3,对接源_01水果!$Q$5:$Q$507,0)),""),IFERROR(INDEX(对接源_02物料!$F$5:$F$460,MATCH(ROW()-3-N(对接源_01水果!$T$1),对接源_02物料!$Q$5:$Q$460,0)),"")))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6" s="27" t="str">
        <f>IF($B196="","",IF($B196="01水果",IFERROR(INDEX(对接源_01水果!$G$5:$G$507,MATCH(ROW()-3,对接源_01水果!$Q$5:$Q$507,0)),""),IFERROR(INDEX(对接源_02物料!$G$5:$G$460,MATCH(ROW()-3-N(对接源_01水果!$T$1),对接源_02物料!$Q$5:$Q$460,0)),"")))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6" s="26" t="str">
        <f>IFERROR(INDEX(收入成本映射!$C$4:$C$34,MATCH($D196,收入成本映射!$B$4:$B$34,0)),"不记账")</f>
        <v>不记账</v>
      </c>
      <c r="J196" s="26" t="str">
        <f t="shared" ref="J196:J259" si="27">IF($B196="","","0%")</f>
        <v/>
      </c>
      <c r="K196" s="27">
        <f t="shared" ref="K196:K259" si="28">IF($I196="不记账",0,ROUND(N($G196),2))</f>
        <v>0</v>
      </c>
      <c r="L196" s="27">
        <v>0</v>
      </c>
      <c r="M196" s="26" t="str">
        <f>IF(OR($I196="不记账",ROUND(N($G196),2)=0),"",IFERROR(INDEX(收入成本映射!$E$4:$E$34,MATCH($D196,收入成本映射!$B$4:$B$34,0)),""))</f>
        <v/>
      </c>
      <c r="N196" s="27" t="str">
        <f t="shared" ref="N196:N259" si="29">IF($M196="","",ROUND(N($G196),2))</f>
        <v/>
      </c>
      <c r="O196" s="27" t="str">
        <f t="shared" ref="O196:O259" si="30">IF($M196="","",0)</f>
        <v/>
      </c>
      <c r="P196" s="26" t="str">
        <f>IF($M196="","",IFERROR(INDEX(收入成本映射!$F$4:$F$34,MATCH($D196,收入成本映射!$B$4:$B$34,0)),""))</f>
        <v/>
      </c>
      <c r="Q196" s="27" t="str">
        <f t="shared" ref="Q196:Q259" si="31">IF($P196="","",0)</f>
        <v/>
      </c>
      <c r="R196" s="27" t="str">
        <f t="shared" ref="R196:R259" si="32">IF($P196="","",ROUND(N($G196),2))</f>
        <v/>
      </c>
      <c r="S196" s="26" t="str">
        <f t="shared" ref="S196:S259" si="33">""</f>
        <v/>
      </c>
      <c r="T196" s="27" t="str">
        <f t="shared" ref="T196:T259" si="34">IF($S196="","",0)</f>
        <v/>
      </c>
      <c r="U196" s="27" t="str">
        <f t="shared" ref="U196:U259" si="35">IF($S196="","",0)</f>
        <v/>
      </c>
      <c r="V196" s="10" t="str">
        <f>IF($B196="","",IF($B196="01水果",IFERROR(INDEX(对接源_01水果!$H$5:$H$507,MATCH(ROW()-3,对接源_01水果!$Q$5:$Q$507,0)),""),IFERROR(INDEX(对接源_02物料!$H$5:$H$460,MATCH(ROW()-3-N(对接源_01水果!$T$1),对接源_02物料!$Q$5:$Q$460,0)),"")))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7" ht="18" customHeight="1" spans="1:22">
      <c r="A197" s="10">
        <v>194</v>
      </c>
      <c r="B197" s="26" t="str">
        <f>IF(ROW()-3&lt;=N(对接源_01水果!$T$1),"01水果",IF(ROW()-3&lt;=N(对接源_01水果!$T$1)+N(对接源_02物料!$T$1),"02物料",""))</f>
        <v/>
      </c>
      <c r="C197" s="125" t="str">
        <f>IF($B197="","",IF($B197="01水果",IFERROR(INDEX(对接源_01水果!$B$5:$B$507,MATCH(ROW()-3,对接源_01水果!$Q$5:$Q$507,0)),""),IFERROR(INDEX(对接源_02物料!$B$5:$B$460,MATCH(ROW()-3-N(对接源_01水果!$T$1),对接源_02物料!$Q$5:$Q$460,0)),"")))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7" s="26" t="str">
        <f>IF($B197="","",IF($B197="01水果",IFERROR(INDEX(对接源_01水果!$C$5:$C$507,MATCH(ROW()-3,对接源_01水果!$Q$5:$Q$507,0)),""),IFERROR(INDEX(对接源_02物料!$C$5:$C$460,MATCH(ROW()-3-N(对接源_01水果!$T$1),对接源_02物料!$Q$5:$Q$460,0)),"")))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7" s="126" t="str">
        <f>IF($B197="","",IF($B197="01水果",IFERROR(INDEX(对接源_01水果!$D$5:$D$507,MATCH(ROW()-3,对接源_01水果!$Q$5:$Q$507,0)),""),IFERROR(INDEX(对接源_02物料!$D$5:$D$460,MATCH(ROW()-3-N(对接源_01水果!$T$1),对接源_02物料!$Q$5:$Q$460,0)),"")))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7" s="26" t="str">
        <f>IF($B197="","",IF($B197="01水果",IFERROR(INDEX(对接源_01水果!$E$5:$E$507,MATCH(ROW()-3,对接源_01水果!$Q$5:$Q$507,0)),""),IFERROR(INDEX(对接源_02物料!$E$5:$E$460,MATCH(ROW()-3-N(对接源_01水果!$T$1),对接源_02物料!$Q$5:$Q$460,0)),"")))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7" s="27" t="str">
        <f>IF($B197="","",IF($B197="01水果",IFERROR(INDEX(对接源_01水果!$F$5:$F$507,MATCH(ROW()-3,对接源_01水果!$Q$5:$Q$507,0)),""),IFERROR(INDEX(对接源_02物料!$F$5:$F$460,MATCH(ROW()-3-N(对接源_01水果!$T$1),对接源_02物料!$Q$5:$Q$460,0)),"")))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7" s="27" t="str">
        <f>IF($B197="","",IF($B197="01水果",IFERROR(INDEX(对接源_01水果!$G$5:$G$507,MATCH(ROW()-3,对接源_01水果!$Q$5:$Q$507,0)),""),IFERROR(INDEX(对接源_02物料!$G$5:$G$460,MATCH(ROW()-3-N(对接源_01水果!$T$1),对接源_02物料!$Q$5:$Q$460,0)),"")))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7" s="26" t="str">
        <f>IFERROR(INDEX(收入成本映射!$C$4:$C$34,MATCH($D197,收入成本映射!$B$4:$B$34,0)),"不记账")</f>
        <v>不记账</v>
      </c>
      <c r="J197" s="26" t="str">
        <f t="shared" si="27"/>
        <v/>
      </c>
      <c r="K197" s="27">
        <f t="shared" si="28"/>
        <v>0</v>
      </c>
      <c r="L197" s="27">
        <v>0</v>
      </c>
      <c r="M197" s="26" t="str">
        <f>IF(OR($I197="不记账",ROUND(N($G197),2)=0),"",IFERROR(INDEX(收入成本映射!$E$4:$E$34,MATCH($D197,收入成本映射!$B$4:$B$34,0)),""))</f>
        <v/>
      </c>
      <c r="N197" s="27" t="str">
        <f t="shared" si="29"/>
        <v/>
      </c>
      <c r="O197" s="27" t="str">
        <f t="shared" si="30"/>
        <v/>
      </c>
      <c r="P197" s="26" t="str">
        <f>IF($M197="","",IFERROR(INDEX(收入成本映射!$F$4:$F$34,MATCH($D197,收入成本映射!$B$4:$B$34,0)),""))</f>
        <v/>
      </c>
      <c r="Q197" s="27" t="str">
        <f t="shared" si="31"/>
        <v/>
      </c>
      <c r="R197" s="27" t="str">
        <f t="shared" si="32"/>
        <v/>
      </c>
      <c r="S197" s="26" t="str">
        <f t="shared" si="33"/>
        <v/>
      </c>
      <c r="T197" s="27" t="str">
        <f t="shared" si="34"/>
        <v/>
      </c>
      <c r="U197" s="27" t="str">
        <f t="shared" si="35"/>
        <v/>
      </c>
      <c r="V197" s="10" t="str">
        <f>IF($B197="","",IF($B197="01水果",IFERROR(INDEX(对接源_01水果!$H$5:$H$507,MATCH(ROW()-3,对接源_01水果!$Q$5:$Q$507,0)),""),IFERROR(INDEX(对接源_02物料!$H$5:$H$460,MATCH(ROW()-3-N(对接源_01水果!$T$1),对接源_02物料!$Q$5:$Q$460,0)),"")))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8" ht="18" customHeight="1" spans="1:22">
      <c r="A198" s="10">
        <v>195</v>
      </c>
      <c r="B198" s="26" t="str">
        <f>IF(ROW()-3&lt;=N(对接源_01水果!$T$1),"01水果",IF(ROW()-3&lt;=N(对接源_01水果!$T$1)+N(对接源_02物料!$T$1),"02物料",""))</f>
        <v/>
      </c>
      <c r="C198" s="125" t="str">
        <f>IF($B198="","",IF($B198="01水果",IFERROR(INDEX(对接源_01水果!$B$5:$B$507,MATCH(ROW()-3,对接源_01水果!$Q$5:$Q$507,0)),""),IFERROR(INDEX(对接源_02物料!$B$5:$B$460,MATCH(ROW()-3-N(对接源_01水果!$T$1),对接源_02物料!$Q$5:$Q$460,0)),"")))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8" s="26" t="str">
        <f>IF($B198="","",IF($B198="01水果",IFERROR(INDEX(对接源_01水果!$C$5:$C$507,MATCH(ROW()-3,对接源_01水果!$Q$5:$Q$507,0)),""),IFERROR(INDEX(对接源_02物料!$C$5:$C$460,MATCH(ROW()-3-N(对接源_01水果!$T$1),对接源_02物料!$Q$5:$Q$460,0)),"")))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8" s="126" t="str">
        <f>IF($B198="","",IF($B198="01水果",IFERROR(INDEX(对接源_01水果!$D$5:$D$507,MATCH(ROW()-3,对接源_01水果!$Q$5:$Q$507,0)),""),IFERROR(INDEX(对接源_02物料!$D$5:$D$460,MATCH(ROW()-3-N(对接源_01水果!$T$1),对接源_02物料!$Q$5:$Q$460,0)),"")))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8" s="26" t="str">
        <f>IF($B198="","",IF($B198="01水果",IFERROR(INDEX(对接源_01水果!$E$5:$E$507,MATCH(ROW()-3,对接源_01水果!$Q$5:$Q$507,0)),""),IFERROR(INDEX(对接源_02物料!$E$5:$E$460,MATCH(ROW()-3-N(对接源_01水果!$T$1),对接源_02物料!$Q$5:$Q$460,0)),"")))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8" s="27" t="str">
        <f>IF($B198="","",IF($B198="01水果",IFERROR(INDEX(对接源_01水果!$F$5:$F$507,MATCH(ROW()-3,对接源_01水果!$Q$5:$Q$507,0)),""),IFERROR(INDEX(对接源_02物料!$F$5:$F$460,MATCH(ROW()-3-N(对接源_01水果!$T$1),对接源_02物料!$Q$5:$Q$460,0)),"")))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8" s="27" t="str">
        <f>IF($B198="","",IF($B198="01水果",IFERROR(INDEX(对接源_01水果!$G$5:$G$507,MATCH(ROW()-3,对接源_01水果!$Q$5:$Q$507,0)),""),IFERROR(INDEX(对接源_02物料!$G$5:$G$460,MATCH(ROW()-3-N(对接源_01水果!$T$1),对接源_02物料!$Q$5:$Q$460,0)),"")))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8" s="26" t="str">
        <f>IFERROR(INDEX(收入成本映射!$C$4:$C$34,MATCH($D198,收入成本映射!$B$4:$B$34,0)),"不记账")</f>
        <v>不记账</v>
      </c>
      <c r="J198" s="26" t="str">
        <f t="shared" si="27"/>
        <v/>
      </c>
      <c r="K198" s="27">
        <f t="shared" si="28"/>
        <v>0</v>
      </c>
      <c r="L198" s="27">
        <v>0</v>
      </c>
      <c r="M198" s="26" t="str">
        <f>IF(OR($I198="不记账",ROUND(N($G198),2)=0),"",IFERROR(INDEX(收入成本映射!$E$4:$E$34,MATCH($D198,收入成本映射!$B$4:$B$34,0)),""))</f>
        <v/>
      </c>
      <c r="N198" s="27" t="str">
        <f t="shared" si="29"/>
        <v/>
      </c>
      <c r="O198" s="27" t="str">
        <f t="shared" si="30"/>
        <v/>
      </c>
      <c r="P198" s="26" t="str">
        <f>IF($M198="","",IFERROR(INDEX(收入成本映射!$F$4:$F$34,MATCH($D198,收入成本映射!$B$4:$B$34,0)),""))</f>
        <v/>
      </c>
      <c r="Q198" s="27" t="str">
        <f t="shared" si="31"/>
        <v/>
      </c>
      <c r="R198" s="27" t="str">
        <f t="shared" si="32"/>
        <v/>
      </c>
      <c r="S198" s="26" t="str">
        <f t="shared" si="33"/>
        <v/>
      </c>
      <c r="T198" s="27" t="str">
        <f t="shared" si="34"/>
        <v/>
      </c>
      <c r="U198" s="27" t="str">
        <f t="shared" si="35"/>
        <v/>
      </c>
      <c r="V198" s="10" t="str">
        <f>IF($B198="","",IF($B198="01水果",IFERROR(INDEX(对接源_01水果!$H$5:$H$507,MATCH(ROW()-3,对接源_01水果!$Q$5:$Q$507,0)),""),IFERROR(INDEX(对接源_02物料!$H$5:$H$460,MATCH(ROW()-3-N(对接源_01水果!$T$1),对接源_02物料!$Q$5:$Q$460,0)),"")))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9" ht="18" customHeight="1" spans="1:22">
      <c r="A199" s="10">
        <v>196</v>
      </c>
      <c r="B199" s="26" t="str">
        <f>IF(ROW()-3&lt;=N(对接源_01水果!$T$1),"01水果",IF(ROW()-3&lt;=N(对接源_01水果!$T$1)+N(对接源_02物料!$T$1),"02物料",""))</f>
        <v/>
      </c>
      <c r="C199" s="125" t="str">
        <f>IF($B199="","",IF($B199="01水果",IFERROR(INDEX(对接源_01水果!$B$5:$B$507,MATCH(ROW()-3,对接源_01水果!$Q$5:$Q$507,0)),""),IFERROR(INDEX(对接源_02物料!$B$5:$B$460,MATCH(ROW()-3-N(对接源_01水果!$T$1),对接源_02物料!$Q$5:$Q$460,0)),"")))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9" s="26" t="str">
        <f>IF($B199="","",IF($B199="01水果",IFERROR(INDEX(对接源_01水果!$C$5:$C$507,MATCH(ROW()-3,对接源_01水果!$Q$5:$Q$507,0)),""),IFERROR(INDEX(对接源_02物料!$C$5:$C$460,MATCH(ROW()-3-N(对接源_01水果!$T$1),对接源_02物料!$Q$5:$Q$460,0)),"")))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9" s="126" t="str">
        <f>IF($B199="","",IF($B199="01水果",IFERROR(INDEX(对接源_01水果!$D$5:$D$507,MATCH(ROW()-3,对接源_01水果!$Q$5:$Q$507,0)),""),IFERROR(INDEX(对接源_02物料!$D$5:$D$460,MATCH(ROW()-3-N(对接源_01水果!$T$1),对接源_02物料!$Q$5:$Q$460,0)),"")))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9" s="26" t="str">
        <f>IF($B199="","",IF($B199="01水果",IFERROR(INDEX(对接源_01水果!$E$5:$E$507,MATCH(ROW()-3,对接源_01水果!$Q$5:$Q$507,0)),""),IFERROR(INDEX(对接源_02物料!$E$5:$E$460,MATCH(ROW()-3-N(对接源_01水果!$T$1),对接源_02物料!$Q$5:$Q$460,0)),"")))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9" s="27" t="str">
        <f>IF($B199="","",IF($B199="01水果",IFERROR(INDEX(对接源_01水果!$F$5:$F$507,MATCH(ROW()-3,对接源_01水果!$Q$5:$Q$507,0)),""),IFERROR(INDEX(对接源_02物料!$F$5:$F$460,MATCH(ROW()-3-N(对接源_01水果!$T$1),对接源_02物料!$Q$5:$Q$460,0)),"")))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9" s="27" t="str">
        <f>IF($B199="","",IF($B199="01水果",IFERROR(INDEX(对接源_01水果!$G$5:$G$507,MATCH(ROW()-3,对接源_01水果!$Q$5:$Q$507,0)),""),IFERROR(INDEX(对接源_02物料!$G$5:$G$460,MATCH(ROW()-3-N(对接源_01水果!$T$1),对接源_02物料!$Q$5:$Q$460,0)),"")))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9" s="26" t="str">
        <f>IFERROR(INDEX(收入成本映射!$C$4:$C$34,MATCH($D199,收入成本映射!$B$4:$B$34,0)),"不记账")</f>
        <v>不记账</v>
      </c>
      <c r="J199" s="26" t="str">
        <f t="shared" si="27"/>
        <v/>
      </c>
      <c r="K199" s="27">
        <f t="shared" si="28"/>
        <v>0</v>
      </c>
      <c r="L199" s="27">
        <v>0</v>
      </c>
      <c r="M199" s="26" t="str">
        <f>IF(OR($I199="不记账",ROUND(N($G199),2)=0),"",IFERROR(INDEX(收入成本映射!$E$4:$E$34,MATCH($D199,收入成本映射!$B$4:$B$34,0)),""))</f>
        <v/>
      </c>
      <c r="N199" s="27" t="str">
        <f t="shared" si="29"/>
        <v/>
      </c>
      <c r="O199" s="27" t="str">
        <f t="shared" si="30"/>
        <v/>
      </c>
      <c r="P199" s="26" t="str">
        <f>IF($M199="","",IFERROR(INDEX(收入成本映射!$F$4:$F$34,MATCH($D199,收入成本映射!$B$4:$B$34,0)),""))</f>
        <v/>
      </c>
      <c r="Q199" s="27" t="str">
        <f t="shared" si="31"/>
        <v/>
      </c>
      <c r="R199" s="27" t="str">
        <f t="shared" si="32"/>
        <v/>
      </c>
      <c r="S199" s="26" t="str">
        <f t="shared" si="33"/>
        <v/>
      </c>
      <c r="T199" s="27" t="str">
        <f t="shared" si="34"/>
        <v/>
      </c>
      <c r="U199" s="27" t="str">
        <f t="shared" si="35"/>
        <v/>
      </c>
      <c r="V199" s="10" t="str">
        <f>IF($B199="","",IF($B199="01水果",IFERROR(INDEX(对接源_01水果!$H$5:$H$507,MATCH(ROW()-3,对接源_01水果!$Q$5:$Q$507,0)),""),IFERROR(INDEX(对接源_02物料!$H$5:$H$460,MATCH(ROW()-3-N(对接源_01水果!$T$1),对接源_02物料!$Q$5:$Q$460,0)),"")))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0" ht="18" customHeight="1" spans="1:22">
      <c r="A200" s="10">
        <v>197</v>
      </c>
      <c r="B200" s="26" t="str">
        <f>IF(ROW()-3&lt;=N(对接源_01水果!$T$1),"01水果",IF(ROW()-3&lt;=N(对接源_01水果!$T$1)+N(对接源_02物料!$T$1),"02物料",""))</f>
        <v/>
      </c>
      <c r="C200" s="125" t="str">
        <f>IF($B200="","",IF($B200="01水果",IFERROR(INDEX(对接源_01水果!$B$5:$B$507,MATCH(ROW()-3,对接源_01水果!$Q$5:$Q$507,0)),""),IFERROR(INDEX(对接源_02物料!$B$5:$B$460,MATCH(ROW()-3-N(对接源_01水果!$T$1),对接源_02物料!$Q$5:$Q$460,0)),"")))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0" s="26" t="str">
        <f>IF($B200="","",IF($B200="01水果",IFERROR(INDEX(对接源_01水果!$C$5:$C$507,MATCH(ROW()-3,对接源_01水果!$Q$5:$Q$507,0)),""),IFERROR(INDEX(对接源_02物料!$C$5:$C$460,MATCH(ROW()-3-N(对接源_01水果!$T$1),对接源_02物料!$Q$5:$Q$460,0)),"")))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0" s="126" t="str">
        <f>IF($B200="","",IF($B200="01水果",IFERROR(INDEX(对接源_01水果!$D$5:$D$507,MATCH(ROW()-3,对接源_01水果!$Q$5:$Q$507,0)),""),IFERROR(INDEX(对接源_02物料!$D$5:$D$460,MATCH(ROW()-3-N(对接源_01水果!$T$1),对接源_02物料!$Q$5:$Q$460,0)),"")))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0" s="26" t="str">
        <f>IF($B200="","",IF($B200="01水果",IFERROR(INDEX(对接源_01水果!$E$5:$E$507,MATCH(ROW()-3,对接源_01水果!$Q$5:$Q$507,0)),""),IFERROR(INDEX(对接源_02物料!$E$5:$E$460,MATCH(ROW()-3-N(对接源_01水果!$T$1),对接源_02物料!$Q$5:$Q$460,0)),"")))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0" s="27" t="str">
        <f>IF($B200="","",IF($B200="01水果",IFERROR(INDEX(对接源_01水果!$F$5:$F$507,MATCH(ROW()-3,对接源_01水果!$Q$5:$Q$507,0)),""),IFERROR(INDEX(对接源_02物料!$F$5:$F$460,MATCH(ROW()-3-N(对接源_01水果!$T$1),对接源_02物料!$Q$5:$Q$460,0)),"")))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0" s="27" t="str">
        <f>IF($B200="","",IF($B200="01水果",IFERROR(INDEX(对接源_01水果!$G$5:$G$507,MATCH(ROW()-3,对接源_01水果!$Q$5:$Q$507,0)),""),IFERROR(INDEX(对接源_02物料!$G$5:$G$460,MATCH(ROW()-3-N(对接源_01水果!$T$1),对接源_02物料!$Q$5:$Q$460,0)),"")))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0" s="26" t="str">
        <f>IFERROR(INDEX(收入成本映射!$C$4:$C$34,MATCH($D200,收入成本映射!$B$4:$B$34,0)),"不记账")</f>
        <v>不记账</v>
      </c>
      <c r="J200" s="26" t="str">
        <f t="shared" si="27"/>
        <v/>
      </c>
      <c r="K200" s="27">
        <f t="shared" si="28"/>
        <v>0</v>
      </c>
      <c r="L200" s="27">
        <v>0</v>
      </c>
      <c r="M200" s="26" t="str">
        <f>IF(OR($I200="不记账",ROUND(N($G200),2)=0),"",IFERROR(INDEX(收入成本映射!$E$4:$E$34,MATCH($D200,收入成本映射!$B$4:$B$34,0)),""))</f>
        <v/>
      </c>
      <c r="N200" s="27" t="str">
        <f t="shared" si="29"/>
        <v/>
      </c>
      <c r="O200" s="27" t="str">
        <f t="shared" si="30"/>
        <v/>
      </c>
      <c r="P200" s="26" t="str">
        <f>IF($M200="","",IFERROR(INDEX(收入成本映射!$F$4:$F$34,MATCH($D200,收入成本映射!$B$4:$B$34,0)),""))</f>
        <v/>
      </c>
      <c r="Q200" s="27" t="str">
        <f t="shared" si="31"/>
        <v/>
      </c>
      <c r="R200" s="27" t="str">
        <f t="shared" si="32"/>
        <v/>
      </c>
      <c r="S200" s="26" t="str">
        <f t="shared" si="33"/>
        <v/>
      </c>
      <c r="T200" s="27" t="str">
        <f t="shared" si="34"/>
        <v/>
      </c>
      <c r="U200" s="27" t="str">
        <f t="shared" si="35"/>
        <v/>
      </c>
      <c r="V200" s="10" t="str">
        <f>IF($B200="","",IF($B200="01水果",IFERROR(INDEX(对接源_01水果!$H$5:$H$507,MATCH(ROW()-3,对接源_01水果!$Q$5:$Q$507,0)),""),IFERROR(INDEX(对接源_02物料!$H$5:$H$460,MATCH(ROW()-3-N(对接源_01水果!$T$1),对接源_02物料!$Q$5:$Q$460,0)),"")))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1" ht="18" customHeight="1" spans="1:22">
      <c r="A201" s="10">
        <v>198</v>
      </c>
      <c r="B201" s="26" t="str">
        <f>IF(ROW()-3&lt;=N(对接源_01水果!$T$1),"01水果",IF(ROW()-3&lt;=N(对接源_01水果!$T$1)+N(对接源_02物料!$T$1),"02物料",""))</f>
        <v/>
      </c>
      <c r="C201" s="125" t="str">
        <f>IF($B201="","",IF($B201="01水果",IFERROR(INDEX(对接源_01水果!$B$5:$B$507,MATCH(ROW()-3,对接源_01水果!$Q$5:$Q$507,0)),""),IFERROR(INDEX(对接源_02物料!$B$5:$B$460,MATCH(ROW()-3-N(对接源_01水果!$T$1),对接源_02物料!$Q$5:$Q$460,0)),"")))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1" s="26" t="str">
        <f>IF($B201="","",IF($B201="01水果",IFERROR(INDEX(对接源_01水果!$C$5:$C$507,MATCH(ROW()-3,对接源_01水果!$Q$5:$Q$507,0)),""),IFERROR(INDEX(对接源_02物料!$C$5:$C$460,MATCH(ROW()-3-N(对接源_01水果!$T$1),对接源_02物料!$Q$5:$Q$460,0)),"")))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1" s="126" t="str">
        <f>IF($B201="","",IF($B201="01水果",IFERROR(INDEX(对接源_01水果!$D$5:$D$507,MATCH(ROW()-3,对接源_01水果!$Q$5:$Q$507,0)),""),IFERROR(INDEX(对接源_02物料!$D$5:$D$460,MATCH(ROW()-3-N(对接源_01水果!$T$1),对接源_02物料!$Q$5:$Q$460,0)),"")))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1" s="26" t="str">
        <f>IF($B201="","",IF($B201="01水果",IFERROR(INDEX(对接源_01水果!$E$5:$E$507,MATCH(ROW()-3,对接源_01水果!$Q$5:$Q$507,0)),""),IFERROR(INDEX(对接源_02物料!$E$5:$E$460,MATCH(ROW()-3-N(对接源_01水果!$T$1),对接源_02物料!$Q$5:$Q$460,0)),"")))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1" s="27" t="str">
        <f>IF($B201="","",IF($B201="01水果",IFERROR(INDEX(对接源_01水果!$F$5:$F$507,MATCH(ROW()-3,对接源_01水果!$Q$5:$Q$507,0)),""),IFERROR(INDEX(对接源_02物料!$F$5:$F$460,MATCH(ROW()-3-N(对接源_01水果!$T$1),对接源_02物料!$Q$5:$Q$460,0)),"")))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1" s="27" t="str">
        <f>IF($B201="","",IF($B201="01水果",IFERROR(INDEX(对接源_01水果!$G$5:$G$507,MATCH(ROW()-3,对接源_01水果!$Q$5:$Q$507,0)),""),IFERROR(INDEX(对接源_02物料!$G$5:$G$460,MATCH(ROW()-3-N(对接源_01水果!$T$1),对接源_02物料!$Q$5:$Q$460,0)),"")))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1" s="26" t="str">
        <f>IFERROR(INDEX(收入成本映射!$C$4:$C$34,MATCH($D201,收入成本映射!$B$4:$B$34,0)),"不记账")</f>
        <v>不记账</v>
      </c>
      <c r="J201" s="26" t="str">
        <f t="shared" si="27"/>
        <v/>
      </c>
      <c r="K201" s="27">
        <f t="shared" si="28"/>
        <v>0</v>
      </c>
      <c r="L201" s="27">
        <v>0</v>
      </c>
      <c r="M201" s="26" t="str">
        <f>IF(OR($I201="不记账",ROUND(N($G201),2)=0),"",IFERROR(INDEX(收入成本映射!$E$4:$E$34,MATCH($D201,收入成本映射!$B$4:$B$34,0)),""))</f>
        <v/>
      </c>
      <c r="N201" s="27" t="str">
        <f t="shared" si="29"/>
        <v/>
      </c>
      <c r="O201" s="27" t="str">
        <f t="shared" si="30"/>
        <v/>
      </c>
      <c r="P201" s="26" t="str">
        <f>IF($M201="","",IFERROR(INDEX(收入成本映射!$F$4:$F$34,MATCH($D201,收入成本映射!$B$4:$B$34,0)),""))</f>
        <v/>
      </c>
      <c r="Q201" s="27" t="str">
        <f t="shared" si="31"/>
        <v/>
      </c>
      <c r="R201" s="27" t="str">
        <f t="shared" si="32"/>
        <v/>
      </c>
      <c r="S201" s="26" t="str">
        <f t="shared" si="33"/>
        <v/>
      </c>
      <c r="T201" s="27" t="str">
        <f t="shared" si="34"/>
        <v/>
      </c>
      <c r="U201" s="27" t="str">
        <f t="shared" si="35"/>
        <v/>
      </c>
      <c r="V201" s="10" t="str">
        <f>IF($B201="","",IF($B201="01水果",IFERROR(INDEX(对接源_01水果!$H$5:$H$507,MATCH(ROW()-3,对接源_01水果!$Q$5:$Q$507,0)),""),IFERROR(INDEX(对接源_02物料!$H$5:$H$460,MATCH(ROW()-3-N(对接源_01水果!$T$1),对接源_02物料!$Q$5:$Q$460,0)),"")))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2" ht="18" customHeight="1" spans="1:22">
      <c r="A202" s="10">
        <v>199</v>
      </c>
      <c r="B202" s="26" t="str">
        <f>IF(ROW()-3&lt;=N(对接源_01水果!$T$1),"01水果",IF(ROW()-3&lt;=N(对接源_01水果!$T$1)+N(对接源_02物料!$T$1),"02物料",""))</f>
        <v/>
      </c>
      <c r="C202" s="125" t="str">
        <f>IF($B202="","",IF($B202="01水果",IFERROR(INDEX(对接源_01水果!$B$5:$B$507,MATCH(ROW()-3,对接源_01水果!$Q$5:$Q$507,0)),""),IFERROR(INDEX(对接源_02物料!$B$5:$B$460,MATCH(ROW()-3-N(对接源_01水果!$T$1),对接源_02物料!$Q$5:$Q$460,0)),"")))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2" s="26" t="str">
        <f>IF($B202="","",IF($B202="01水果",IFERROR(INDEX(对接源_01水果!$C$5:$C$507,MATCH(ROW()-3,对接源_01水果!$Q$5:$Q$507,0)),""),IFERROR(INDEX(对接源_02物料!$C$5:$C$460,MATCH(ROW()-3-N(对接源_01水果!$T$1),对接源_02物料!$Q$5:$Q$460,0)),"")))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2" s="126" t="str">
        <f>IF($B202="","",IF($B202="01水果",IFERROR(INDEX(对接源_01水果!$D$5:$D$507,MATCH(ROW()-3,对接源_01水果!$Q$5:$Q$507,0)),""),IFERROR(INDEX(对接源_02物料!$D$5:$D$460,MATCH(ROW()-3-N(对接源_01水果!$T$1),对接源_02物料!$Q$5:$Q$460,0)),"")))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2" s="26" t="str">
        <f>IF($B202="","",IF($B202="01水果",IFERROR(INDEX(对接源_01水果!$E$5:$E$507,MATCH(ROW()-3,对接源_01水果!$Q$5:$Q$507,0)),""),IFERROR(INDEX(对接源_02物料!$E$5:$E$460,MATCH(ROW()-3-N(对接源_01水果!$T$1),对接源_02物料!$Q$5:$Q$460,0)),"")))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2" s="27" t="str">
        <f>IF($B202="","",IF($B202="01水果",IFERROR(INDEX(对接源_01水果!$F$5:$F$507,MATCH(ROW()-3,对接源_01水果!$Q$5:$Q$507,0)),""),IFERROR(INDEX(对接源_02物料!$F$5:$F$460,MATCH(ROW()-3-N(对接源_01水果!$T$1),对接源_02物料!$Q$5:$Q$460,0)),"")))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2" s="27" t="str">
        <f>IF($B202="","",IF($B202="01水果",IFERROR(INDEX(对接源_01水果!$G$5:$G$507,MATCH(ROW()-3,对接源_01水果!$Q$5:$Q$507,0)),""),IFERROR(INDEX(对接源_02物料!$G$5:$G$460,MATCH(ROW()-3-N(对接源_01水果!$T$1),对接源_02物料!$Q$5:$Q$460,0)),"")))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2" s="26" t="str">
        <f>IFERROR(INDEX(收入成本映射!$C$4:$C$34,MATCH($D202,收入成本映射!$B$4:$B$34,0)),"不记账")</f>
        <v>不记账</v>
      </c>
      <c r="J202" s="26" t="str">
        <f t="shared" si="27"/>
        <v/>
      </c>
      <c r="K202" s="27">
        <f t="shared" si="28"/>
        <v>0</v>
      </c>
      <c r="L202" s="27">
        <v>0</v>
      </c>
      <c r="M202" s="26" t="str">
        <f>IF(OR($I202="不记账",ROUND(N($G202),2)=0),"",IFERROR(INDEX(收入成本映射!$E$4:$E$34,MATCH($D202,收入成本映射!$B$4:$B$34,0)),""))</f>
        <v/>
      </c>
      <c r="N202" s="27" t="str">
        <f t="shared" si="29"/>
        <v/>
      </c>
      <c r="O202" s="27" t="str">
        <f t="shared" si="30"/>
        <v/>
      </c>
      <c r="P202" s="26" t="str">
        <f>IF($M202="","",IFERROR(INDEX(收入成本映射!$F$4:$F$34,MATCH($D202,收入成本映射!$B$4:$B$34,0)),""))</f>
        <v/>
      </c>
      <c r="Q202" s="27" t="str">
        <f t="shared" si="31"/>
        <v/>
      </c>
      <c r="R202" s="27" t="str">
        <f t="shared" si="32"/>
        <v/>
      </c>
      <c r="S202" s="26" t="str">
        <f t="shared" si="33"/>
        <v/>
      </c>
      <c r="T202" s="27" t="str">
        <f t="shared" si="34"/>
        <v/>
      </c>
      <c r="U202" s="27" t="str">
        <f t="shared" si="35"/>
        <v/>
      </c>
      <c r="V202" s="10" t="str">
        <f>IF($B202="","",IF($B202="01水果",IFERROR(INDEX(对接源_01水果!$H$5:$H$507,MATCH(ROW()-3,对接源_01水果!$Q$5:$Q$507,0)),""),IFERROR(INDEX(对接源_02物料!$H$5:$H$460,MATCH(ROW()-3-N(对接源_01水果!$T$1),对接源_02物料!$Q$5:$Q$460,0)),"")))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3" ht="18" customHeight="1" spans="1:22">
      <c r="A203" s="10">
        <v>200</v>
      </c>
      <c r="B203" s="26" t="str">
        <f>IF(ROW()-3&lt;=N(对接源_01水果!$T$1),"01水果",IF(ROW()-3&lt;=N(对接源_01水果!$T$1)+N(对接源_02物料!$T$1),"02物料",""))</f>
        <v/>
      </c>
      <c r="C203" s="125" t="str">
        <f>IF($B203="","",IF($B203="01水果",IFERROR(INDEX(对接源_01水果!$B$5:$B$507,MATCH(ROW()-3,对接源_01水果!$Q$5:$Q$507,0)),""),IFERROR(INDEX(对接源_02物料!$B$5:$B$460,MATCH(ROW()-3-N(对接源_01水果!$T$1),对接源_02物料!$Q$5:$Q$460,0)),"")))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3" s="26" t="str">
        <f>IF($B203="","",IF($B203="01水果",IFERROR(INDEX(对接源_01水果!$C$5:$C$507,MATCH(ROW()-3,对接源_01水果!$Q$5:$Q$507,0)),""),IFERROR(INDEX(对接源_02物料!$C$5:$C$460,MATCH(ROW()-3-N(对接源_01水果!$T$1),对接源_02物料!$Q$5:$Q$460,0)),"")))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3" s="126" t="str">
        <f>IF($B203="","",IF($B203="01水果",IFERROR(INDEX(对接源_01水果!$D$5:$D$507,MATCH(ROW()-3,对接源_01水果!$Q$5:$Q$507,0)),""),IFERROR(INDEX(对接源_02物料!$D$5:$D$460,MATCH(ROW()-3-N(对接源_01水果!$T$1),对接源_02物料!$Q$5:$Q$460,0)),"")))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3" s="26" t="str">
        <f>IF($B203="","",IF($B203="01水果",IFERROR(INDEX(对接源_01水果!$E$5:$E$507,MATCH(ROW()-3,对接源_01水果!$Q$5:$Q$507,0)),""),IFERROR(INDEX(对接源_02物料!$E$5:$E$460,MATCH(ROW()-3-N(对接源_01水果!$T$1),对接源_02物料!$Q$5:$Q$460,0)),"")))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3" s="27" t="str">
        <f>IF($B203="","",IF($B203="01水果",IFERROR(INDEX(对接源_01水果!$F$5:$F$507,MATCH(ROW()-3,对接源_01水果!$Q$5:$Q$507,0)),""),IFERROR(INDEX(对接源_02物料!$F$5:$F$460,MATCH(ROW()-3-N(对接源_01水果!$T$1),对接源_02物料!$Q$5:$Q$460,0)),"")))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3" s="27" t="str">
        <f>IF($B203="","",IF($B203="01水果",IFERROR(INDEX(对接源_01水果!$G$5:$G$507,MATCH(ROW()-3,对接源_01水果!$Q$5:$Q$507,0)),""),IFERROR(INDEX(对接源_02物料!$G$5:$G$460,MATCH(ROW()-3-N(对接源_01水果!$T$1),对接源_02物料!$Q$5:$Q$460,0)),"")))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3" s="26" t="str">
        <f>IFERROR(INDEX(收入成本映射!$C$4:$C$34,MATCH($D203,收入成本映射!$B$4:$B$34,0)),"不记账")</f>
        <v>不记账</v>
      </c>
      <c r="J203" s="26" t="str">
        <f t="shared" si="27"/>
        <v/>
      </c>
      <c r="K203" s="27">
        <f t="shared" si="28"/>
        <v>0</v>
      </c>
      <c r="L203" s="27">
        <v>0</v>
      </c>
      <c r="M203" s="26" t="str">
        <f>IF(OR($I203="不记账",ROUND(N($G203),2)=0),"",IFERROR(INDEX(收入成本映射!$E$4:$E$34,MATCH($D203,收入成本映射!$B$4:$B$34,0)),""))</f>
        <v/>
      </c>
      <c r="N203" s="27" t="str">
        <f t="shared" si="29"/>
        <v/>
      </c>
      <c r="O203" s="27" t="str">
        <f t="shared" si="30"/>
        <v/>
      </c>
      <c r="P203" s="26" t="str">
        <f>IF($M203="","",IFERROR(INDEX(收入成本映射!$F$4:$F$34,MATCH($D203,收入成本映射!$B$4:$B$34,0)),""))</f>
        <v/>
      </c>
      <c r="Q203" s="27" t="str">
        <f t="shared" si="31"/>
        <v/>
      </c>
      <c r="R203" s="27" t="str">
        <f t="shared" si="32"/>
        <v/>
      </c>
      <c r="S203" s="26" t="str">
        <f t="shared" si="33"/>
        <v/>
      </c>
      <c r="T203" s="27" t="str">
        <f t="shared" si="34"/>
        <v/>
      </c>
      <c r="U203" s="27" t="str">
        <f t="shared" si="35"/>
        <v/>
      </c>
      <c r="V203" s="10" t="str">
        <f>IF($B203="","",IF($B203="01水果",IFERROR(INDEX(对接源_01水果!$H$5:$H$507,MATCH(ROW()-3,对接源_01水果!$Q$5:$Q$507,0)),""),IFERROR(INDEX(对接源_02物料!$H$5:$H$460,MATCH(ROW()-3-N(对接源_01水果!$T$1),对接源_02物料!$Q$5:$Q$460,0)),"")))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4" ht="18" customHeight="1" spans="1:22">
      <c r="A204" s="10">
        <v>201</v>
      </c>
      <c r="B204" s="26" t="str">
        <f>IF(ROW()-3&lt;=N(对接源_01水果!$T$1),"01水果",IF(ROW()-3&lt;=N(对接源_01水果!$T$1)+N(对接源_02物料!$T$1),"02物料",""))</f>
        <v/>
      </c>
      <c r="C204" s="125" t="str">
        <f>IF($B204="","",IF($B204="01水果",IFERROR(INDEX(对接源_01水果!$B$5:$B$507,MATCH(ROW()-3,对接源_01水果!$Q$5:$Q$507,0)),""),IFERROR(INDEX(对接源_02物料!$B$5:$B$460,MATCH(ROW()-3-N(对接源_01水果!$T$1),对接源_02物料!$Q$5:$Q$460,0)),"")))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4" s="26" t="str">
        <f>IF($B204="","",IF($B204="01水果",IFERROR(INDEX(对接源_01水果!$C$5:$C$507,MATCH(ROW()-3,对接源_01水果!$Q$5:$Q$507,0)),""),IFERROR(INDEX(对接源_02物料!$C$5:$C$460,MATCH(ROW()-3-N(对接源_01水果!$T$1),对接源_02物料!$Q$5:$Q$460,0)),"")))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4" s="126" t="str">
        <f>IF($B204="","",IF($B204="01水果",IFERROR(INDEX(对接源_01水果!$D$5:$D$507,MATCH(ROW()-3,对接源_01水果!$Q$5:$Q$507,0)),""),IFERROR(INDEX(对接源_02物料!$D$5:$D$460,MATCH(ROW()-3-N(对接源_01水果!$T$1),对接源_02物料!$Q$5:$Q$460,0)),"")))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4" s="26" t="str">
        <f>IF($B204="","",IF($B204="01水果",IFERROR(INDEX(对接源_01水果!$E$5:$E$507,MATCH(ROW()-3,对接源_01水果!$Q$5:$Q$507,0)),""),IFERROR(INDEX(对接源_02物料!$E$5:$E$460,MATCH(ROW()-3-N(对接源_01水果!$T$1),对接源_02物料!$Q$5:$Q$460,0)),"")))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4" s="27" t="str">
        <f>IF($B204="","",IF($B204="01水果",IFERROR(INDEX(对接源_01水果!$F$5:$F$507,MATCH(ROW()-3,对接源_01水果!$Q$5:$Q$507,0)),""),IFERROR(INDEX(对接源_02物料!$F$5:$F$460,MATCH(ROW()-3-N(对接源_01水果!$T$1),对接源_02物料!$Q$5:$Q$460,0)),"")))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4" s="27" t="str">
        <f>IF($B204="","",IF($B204="01水果",IFERROR(INDEX(对接源_01水果!$G$5:$G$507,MATCH(ROW()-3,对接源_01水果!$Q$5:$Q$507,0)),""),IFERROR(INDEX(对接源_02物料!$G$5:$G$460,MATCH(ROW()-3-N(对接源_01水果!$T$1),对接源_02物料!$Q$5:$Q$460,0)),"")))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4" s="26" t="str">
        <f>IFERROR(INDEX(收入成本映射!$C$4:$C$34,MATCH($D204,收入成本映射!$B$4:$B$34,0)),"不记账")</f>
        <v>不记账</v>
      </c>
      <c r="J204" s="26" t="str">
        <f t="shared" si="27"/>
        <v/>
      </c>
      <c r="K204" s="27">
        <f t="shared" si="28"/>
        <v>0</v>
      </c>
      <c r="L204" s="27">
        <v>0</v>
      </c>
      <c r="M204" s="26" t="str">
        <f>IF(OR($I204="不记账",ROUND(N($G204),2)=0),"",IFERROR(INDEX(收入成本映射!$E$4:$E$34,MATCH($D204,收入成本映射!$B$4:$B$34,0)),""))</f>
        <v/>
      </c>
      <c r="N204" s="27" t="str">
        <f t="shared" si="29"/>
        <v/>
      </c>
      <c r="O204" s="27" t="str">
        <f t="shared" si="30"/>
        <v/>
      </c>
      <c r="P204" s="26" t="str">
        <f>IF($M204="","",IFERROR(INDEX(收入成本映射!$F$4:$F$34,MATCH($D204,收入成本映射!$B$4:$B$34,0)),""))</f>
        <v/>
      </c>
      <c r="Q204" s="27" t="str">
        <f t="shared" si="31"/>
        <v/>
      </c>
      <c r="R204" s="27" t="str">
        <f t="shared" si="32"/>
        <v/>
      </c>
      <c r="S204" s="26" t="str">
        <f t="shared" si="33"/>
        <v/>
      </c>
      <c r="T204" s="27" t="str">
        <f t="shared" si="34"/>
        <v/>
      </c>
      <c r="U204" s="27" t="str">
        <f t="shared" si="35"/>
        <v/>
      </c>
      <c r="V204" s="10" t="str">
        <f>IF($B204="","",IF($B204="01水果",IFERROR(INDEX(对接源_01水果!$H$5:$H$507,MATCH(ROW()-3,对接源_01水果!$Q$5:$Q$507,0)),""),IFERROR(INDEX(对接源_02物料!$H$5:$H$460,MATCH(ROW()-3-N(对接源_01水果!$T$1),对接源_02物料!$Q$5:$Q$460,0)),"")))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5" ht="18" customHeight="1" spans="1:22">
      <c r="A205" s="10">
        <v>202</v>
      </c>
      <c r="B205" s="26" t="str">
        <f>IF(ROW()-3&lt;=N(对接源_01水果!$T$1),"01水果",IF(ROW()-3&lt;=N(对接源_01水果!$T$1)+N(对接源_02物料!$T$1),"02物料",""))</f>
        <v/>
      </c>
      <c r="C205" s="125" t="str">
        <f>IF($B205="","",IF($B205="01水果",IFERROR(INDEX(对接源_01水果!$B$5:$B$507,MATCH(ROW()-3,对接源_01水果!$Q$5:$Q$507,0)),""),IFERROR(INDEX(对接源_02物料!$B$5:$B$460,MATCH(ROW()-3-N(对接源_01水果!$T$1),对接源_02物料!$Q$5:$Q$460,0)),"")))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5" s="26" t="str">
        <f>IF($B205="","",IF($B205="01水果",IFERROR(INDEX(对接源_01水果!$C$5:$C$507,MATCH(ROW()-3,对接源_01水果!$Q$5:$Q$507,0)),""),IFERROR(INDEX(对接源_02物料!$C$5:$C$460,MATCH(ROW()-3-N(对接源_01水果!$T$1),对接源_02物料!$Q$5:$Q$460,0)),"")))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5" s="126" t="str">
        <f>IF($B205="","",IF($B205="01水果",IFERROR(INDEX(对接源_01水果!$D$5:$D$507,MATCH(ROW()-3,对接源_01水果!$Q$5:$Q$507,0)),""),IFERROR(INDEX(对接源_02物料!$D$5:$D$460,MATCH(ROW()-3-N(对接源_01水果!$T$1),对接源_02物料!$Q$5:$Q$460,0)),"")))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5" s="26" t="str">
        <f>IF($B205="","",IF($B205="01水果",IFERROR(INDEX(对接源_01水果!$E$5:$E$507,MATCH(ROW()-3,对接源_01水果!$Q$5:$Q$507,0)),""),IFERROR(INDEX(对接源_02物料!$E$5:$E$460,MATCH(ROW()-3-N(对接源_01水果!$T$1),对接源_02物料!$Q$5:$Q$460,0)),"")))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5" s="27" t="str">
        <f>IF($B205="","",IF($B205="01水果",IFERROR(INDEX(对接源_01水果!$F$5:$F$507,MATCH(ROW()-3,对接源_01水果!$Q$5:$Q$507,0)),""),IFERROR(INDEX(对接源_02物料!$F$5:$F$460,MATCH(ROW()-3-N(对接源_01水果!$T$1),对接源_02物料!$Q$5:$Q$460,0)),"")))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5" s="27" t="str">
        <f>IF($B205="","",IF($B205="01水果",IFERROR(INDEX(对接源_01水果!$G$5:$G$507,MATCH(ROW()-3,对接源_01水果!$Q$5:$Q$507,0)),""),IFERROR(INDEX(对接源_02物料!$G$5:$G$460,MATCH(ROW()-3-N(对接源_01水果!$T$1),对接源_02物料!$Q$5:$Q$460,0)),"")))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5" s="26" t="str">
        <f>IFERROR(INDEX(收入成本映射!$C$4:$C$34,MATCH($D205,收入成本映射!$B$4:$B$34,0)),"不记账")</f>
        <v>不记账</v>
      </c>
      <c r="J205" s="26" t="str">
        <f t="shared" si="27"/>
        <v/>
      </c>
      <c r="K205" s="27">
        <f t="shared" si="28"/>
        <v>0</v>
      </c>
      <c r="L205" s="27">
        <v>0</v>
      </c>
      <c r="M205" s="26" t="str">
        <f>IF(OR($I205="不记账",ROUND(N($G205),2)=0),"",IFERROR(INDEX(收入成本映射!$E$4:$E$34,MATCH($D205,收入成本映射!$B$4:$B$34,0)),""))</f>
        <v/>
      </c>
      <c r="N205" s="27" t="str">
        <f t="shared" si="29"/>
        <v/>
      </c>
      <c r="O205" s="27" t="str">
        <f t="shared" si="30"/>
        <v/>
      </c>
      <c r="P205" s="26" t="str">
        <f>IF($M205="","",IFERROR(INDEX(收入成本映射!$F$4:$F$34,MATCH($D205,收入成本映射!$B$4:$B$34,0)),""))</f>
        <v/>
      </c>
      <c r="Q205" s="27" t="str">
        <f t="shared" si="31"/>
        <v/>
      </c>
      <c r="R205" s="27" t="str">
        <f t="shared" si="32"/>
        <v/>
      </c>
      <c r="S205" s="26" t="str">
        <f t="shared" si="33"/>
        <v/>
      </c>
      <c r="T205" s="27" t="str">
        <f t="shared" si="34"/>
        <v/>
      </c>
      <c r="U205" s="27" t="str">
        <f t="shared" si="35"/>
        <v/>
      </c>
      <c r="V205" s="10" t="str">
        <f>IF($B205="","",IF($B205="01水果",IFERROR(INDEX(对接源_01水果!$H$5:$H$507,MATCH(ROW()-3,对接源_01水果!$Q$5:$Q$507,0)),""),IFERROR(INDEX(对接源_02物料!$H$5:$H$460,MATCH(ROW()-3-N(对接源_01水果!$T$1),对接源_02物料!$Q$5:$Q$460,0)),"")))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6" ht="18" customHeight="1" spans="1:22">
      <c r="A206" s="10">
        <v>203</v>
      </c>
      <c r="B206" s="26" t="str">
        <f>IF(ROW()-3&lt;=N(对接源_01水果!$T$1),"01水果",IF(ROW()-3&lt;=N(对接源_01水果!$T$1)+N(对接源_02物料!$T$1),"02物料",""))</f>
        <v/>
      </c>
      <c r="C206" s="125" t="str">
        <f>IF($B206="","",IF($B206="01水果",IFERROR(INDEX(对接源_01水果!$B$5:$B$507,MATCH(ROW()-3,对接源_01水果!$Q$5:$Q$507,0)),""),IFERROR(INDEX(对接源_02物料!$B$5:$B$460,MATCH(ROW()-3-N(对接源_01水果!$T$1),对接源_02物料!$Q$5:$Q$460,0)),"")))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6" s="26" t="str">
        <f>IF($B206="","",IF($B206="01水果",IFERROR(INDEX(对接源_01水果!$C$5:$C$507,MATCH(ROW()-3,对接源_01水果!$Q$5:$Q$507,0)),""),IFERROR(INDEX(对接源_02物料!$C$5:$C$460,MATCH(ROW()-3-N(对接源_01水果!$T$1),对接源_02物料!$Q$5:$Q$460,0)),"")))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6" s="126" t="str">
        <f>IF($B206="","",IF($B206="01水果",IFERROR(INDEX(对接源_01水果!$D$5:$D$507,MATCH(ROW()-3,对接源_01水果!$Q$5:$Q$507,0)),""),IFERROR(INDEX(对接源_02物料!$D$5:$D$460,MATCH(ROW()-3-N(对接源_01水果!$T$1),对接源_02物料!$Q$5:$Q$460,0)),"")))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6" s="26" t="str">
        <f>IF($B206="","",IF($B206="01水果",IFERROR(INDEX(对接源_01水果!$E$5:$E$507,MATCH(ROW()-3,对接源_01水果!$Q$5:$Q$507,0)),""),IFERROR(INDEX(对接源_02物料!$E$5:$E$460,MATCH(ROW()-3-N(对接源_01水果!$T$1),对接源_02物料!$Q$5:$Q$460,0)),"")))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6" s="27" t="str">
        <f>IF($B206="","",IF($B206="01水果",IFERROR(INDEX(对接源_01水果!$F$5:$F$507,MATCH(ROW()-3,对接源_01水果!$Q$5:$Q$507,0)),""),IFERROR(INDEX(对接源_02物料!$F$5:$F$460,MATCH(ROW()-3-N(对接源_01水果!$T$1),对接源_02物料!$Q$5:$Q$460,0)),"")))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6" s="27" t="str">
        <f>IF($B206="","",IF($B206="01水果",IFERROR(INDEX(对接源_01水果!$G$5:$G$507,MATCH(ROW()-3,对接源_01水果!$Q$5:$Q$507,0)),""),IFERROR(INDEX(对接源_02物料!$G$5:$G$460,MATCH(ROW()-3-N(对接源_01水果!$T$1),对接源_02物料!$Q$5:$Q$460,0)),"")))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6" s="26" t="str">
        <f>IFERROR(INDEX(收入成本映射!$C$4:$C$34,MATCH($D206,收入成本映射!$B$4:$B$34,0)),"不记账")</f>
        <v>不记账</v>
      </c>
      <c r="J206" s="26" t="str">
        <f t="shared" si="27"/>
        <v/>
      </c>
      <c r="K206" s="27">
        <f t="shared" si="28"/>
        <v>0</v>
      </c>
      <c r="L206" s="27">
        <v>0</v>
      </c>
      <c r="M206" s="26" t="str">
        <f>IF(OR($I206="不记账",ROUND(N($G206),2)=0),"",IFERROR(INDEX(收入成本映射!$E$4:$E$34,MATCH($D206,收入成本映射!$B$4:$B$34,0)),""))</f>
        <v/>
      </c>
      <c r="N206" s="27" t="str">
        <f t="shared" si="29"/>
        <v/>
      </c>
      <c r="O206" s="27" t="str">
        <f t="shared" si="30"/>
        <v/>
      </c>
      <c r="P206" s="26" t="str">
        <f>IF($M206="","",IFERROR(INDEX(收入成本映射!$F$4:$F$34,MATCH($D206,收入成本映射!$B$4:$B$34,0)),""))</f>
        <v/>
      </c>
      <c r="Q206" s="27" t="str">
        <f t="shared" si="31"/>
        <v/>
      </c>
      <c r="R206" s="27" t="str">
        <f t="shared" si="32"/>
        <v/>
      </c>
      <c r="S206" s="26" t="str">
        <f t="shared" si="33"/>
        <v/>
      </c>
      <c r="T206" s="27" t="str">
        <f t="shared" si="34"/>
        <v/>
      </c>
      <c r="U206" s="27" t="str">
        <f t="shared" si="35"/>
        <v/>
      </c>
      <c r="V206" s="10" t="str">
        <f>IF($B206="","",IF($B206="01水果",IFERROR(INDEX(对接源_01水果!$H$5:$H$507,MATCH(ROW()-3,对接源_01水果!$Q$5:$Q$507,0)),""),IFERROR(INDEX(对接源_02物料!$H$5:$H$460,MATCH(ROW()-3-N(对接源_01水果!$T$1),对接源_02物料!$Q$5:$Q$460,0)),"")))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7" ht="18" customHeight="1" spans="1:22">
      <c r="A207" s="10">
        <v>204</v>
      </c>
      <c r="B207" s="26" t="str">
        <f>IF(ROW()-3&lt;=N(对接源_01水果!$T$1),"01水果",IF(ROW()-3&lt;=N(对接源_01水果!$T$1)+N(对接源_02物料!$T$1),"02物料",""))</f>
        <v/>
      </c>
      <c r="C207" s="125" t="str">
        <f>IF($B207="","",IF($B207="01水果",IFERROR(INDEX(对接源_01水果!$B$5:$B$507,MATCH(ROW()-3,对接源_01水果!$Q$5:$Q$507,0)),""),IFERROR(INDEX(对接源_02物料!$B$5:$B$460,MATCH(ROW()-3-N(对接源_01水果!$T$1),对接源_02物料!$Q$5:$Q$460,0)),"")))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7" s="26" t="str">
        <f>IF($B207="","",IF($B207="01水果",IFERROR(INDEX(对接源_01水果!$C$5:$C$507,MATCH(ROW()-3,对接源_01水果!$Q$5:$Q$507,0)),""),IFERROR(INDEX(对接源_02物料!$C$5:$C$460,MATCH(ROW()-3-N(对接源_01水果!$T$1),对接源_02物料!$Q$5:$Q$460,0)),"")))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7" s="126" t="str">
        <f>IF($B207="","",IF($B207="01水果",IFERROR(INDEX(对接源_01水果!$D$5:$D$507,MATCH(ROW()-3,对接源_01水果!$Q$5:$Q$507,0)),""),IFERROR(INDEX(对接源_02物料!$D$5:$D$460,MATCH(ROW()-3-N(对接源_01水果!$T$1),对接源_02物料!$Q$5:$Q$460,0)),"")))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7" s="26" t="str">
        <f>IF($B207="","",IF($B207="01水果",IFERROR(INDEX(对接源_01水果!$E$5:$E$507,MATCH(ROW()-3,对接源_01水果!$Q$5:$Q$507,0)),""),IFERROR(INDEX(对接源_02物料!$E$5:$E$460,MATCH(ROW()-3-N(对接源_01水果!$T$1),对接源_02物料!$Q$5:$Q$460,0)),"")))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7" s="27" t="str">
        <f>IF($B207="","",IF($B207="01水果",IFERROR(INDEX(对接源_01水果!$F$5:$F$507,MATCH(ROW()-3,对接源_01水果!$Q$5:$Q$507,0)),""),IFERROR(INDEX(对接源_02物料!$F$5:$F$460,MATCH(ROW()-3-N(对接源_01水果!$T$1),对接源_02物料!$Q$5:$Q$460,0)),"")))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7" s="27" t="str">
        <f>IF($B207="","",IF($B207="01水果",IFERROR(INDEX(对接源_01水果!$G$5:$G$507,MATCH(ROW()-3,对接源_01水果!$Q$5:$Q$507,0)),""),IFERROR(INDEX(对接源_02物料!$G$5:$G$460,MATCH(ROW()-3-N(对接源_01水果!$T$1),对接源_02物料!$Q$5:$Q$460,0)),"")))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7" s="26" t="str">
        <f>IFERROR(INDEX(收入成本映射!$C$4:$C$34,MATCH($D207,收入成本映射!$B$4:$B$34,0)),"不记账")</f>
        <v>不记账</v>
      </c>
      <c r="J207" s="26" t="str">
        <f t="shared" si="27"/>
        <v/>
      </c>
      <c r="K207" s="27">
        <f t="shared" si="28"/>
        <v>0</v>
      </c>
      <c r="L207" s="27">
        <v>0</v>
      </c>
      <c r="M207" s="26" t="str">
        <f>IF(OR($I207="不记账",ROUND(N($G207),2)=0),"",IFERROR(INDEX(收入成本映射!$E$4:$E$34,MATCH($D207,收入成本映射!$B$4:$B$34,0)),""))</f>
        <v/>
      </c>
      <c r="N207" s="27" t="str">
        <f t="shared" si="29"/>
        <v/>
      </c>
      <c r="O207" s="27" t="str">
        <f t="shared" si="30"/>
        <v/>
      </c>
      <c r="P207" s="26" t="str">
        <f>IF($M207="","",IFERROR(INDEX(收入成本映射!$F$4:$F$34,MATCH($D207,收入成本映射!$B$4:$B$34,0)),""))</f>
        <v/>
      </c>
      <c r="Q207" s="27" t="str">
        <f t="shared" si="31"/>
        <v/>
      </c>
      <c r="R207" s="27" t="str">
        <f t="shared" si="32"/>
        <v/>
      </c>
      <c r="S207" s="26" t="str">
        <f t="shared" si="33"/>
        <v/>
      </c>
      <c r="T207" s="27" t="str">
        <f t="shared" si="34"/>
        <v/>
      </c>
      <c r="U207" s="27" t="str">
        <f t="shared" si="35"/>
        <v/>
      </c>
      <c r="V207" s="10" t="str">
        <f>IF($B207="","",IF($B207="01水果",IFERROR(INDEX(对接源_01水果!$H$5:$H$507,MATCH(ROW()-3,对接源_01水果!$Q$5:$Q$507,0)),""),IFERROR(INDEX(对接源_02物料!$H$5:$H$460,MATCH(ROW()-3-N(对接源_01水果!$T$1),对接源_02物料!$Q$5:$Q$460,0)),"")))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8" ht="18" customHeight="1" spans="1:22">
      <c r="A208" s="10">
        <v>205</v>
      </c>
      <c r="B208" s="26" t="str">
        <f>IF(ROW()-3&lt;=N(对接源_01水果!$T$1),"01水果",IF(ROW()-3&lt;=N(对接源_01水果!$T$1)+N(对接源_02物料!$T$1),"02物料",""))</f>
        <v/>
      </c>
      <c r="C208" s="125" t="str">
        <f>IF($B208="","",IF($B208="01水果",IFERROR(INDEX(对接源_01水果!$B$5:$B$507,MATCH(ROW()-3,对接源_01水果!$Q$5:$Q$507,0)),""),IFERROR(INDEX(对接源_02物料!$B$5:$B$460,MATCH(ROW()-3-N(对接源_01水果!$T$1),对接源_02物料!$Q$5:$Q$460,0)),"")))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8" s="26" t="str">
        <f>IF($B208="","",IF($B208="01水果",IFERROR(INDEX(对接源_01水果!$C$5:$C$507,MATCH(ROW()-3,对接源_01水果!$Q$5:$Q$507,0)),""),IFERROR(INDEX(对接源_02物料!$C$5:$C$460,MATCH(ROW()-3-N(对接源_01水果!$T$1),对接源_02物料!$Q$5:$Q$460,0)),"")))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8" s="126" t="str">
        <f>IF($B208="","",IF($B208="01水果",IFERROR(INDEX(对接源_01水果!$D$5:$D$507,MATCH(ROW()-3,对接源_01水果!$Q$5:$Q$507,0)),""),IFERROR(INDEX(对接源_02物料!$D$5:$D$460,MATCH(ROW()-3-N(对接源_01水果!$T$1),对接源_02物料!$Q$5:$Q$460,0)),"")))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8" s="26" t="str">
        <f>IF($B208="","",IF($B208="01水果",IFERROR(INDEX(对接源_01水果!$E$5:$E$507,MATCH(ROW()-3,对接源_01水果!$Q$5:$Q$507,0)),""),IFERROR(INDEX(对接源_02物料!$E$5:$E$460,MATCH(ROW()-3-N(对接源_01水果!$T$1),对接源_02物料!$Q$5:$Q$460,0)),"")))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8" s="27" t="str">
        <f>IF($B208="","",IF($B208="01水果",IFERROR(INDEX(对接源_01水果!$F$5:$F$507,MATCH(ROW()-3,对接源_01水果!$Q$5:$Q$507,0)),""),IFERROR(INDEX(对接源_02物料!$F$5:$F$460,MATCH(ROW()-3-N(对接源_01水果!$T$1),对接源_02物料!$Q$5:$Q$460,0)),"")))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8" s="27" t="str">
        <f>IF($B208="","",IF($B208="01水果",IFERROR(INDEX(对接源_01水果!$G$5:$G$507,MATCH(ROW()-3,对接源_01水果!$Q$5:$Q$507,0)),""),IFERROR(INDEX(对接源_02物料!$G$5:$G$460,MATCH(ROW()-3-N(对接源_01水果!$T$1),对接源_02物料!$Q$5:$Q$460,0)),"")))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8" s="26" t="str">
        <f>IFERROR(INDEX(收入成本映射!$C$4:$C$34,MATCH($D208,收入成本映射!$B$4:$B$34,0)),"不记账")</f>
        <v>不记账</v>
      </c>
      <c r="J208" s="26" t="str">
        <f t="shared" si="27"/>
        <v/>
      </c>
      <c r="K208" s="27">
        <f t="shared" si="28"/>
        <v>0</v>
      </c>
      <c r="L208" s="27">
        <v>0</v>
      </c>
      <c r="M208" s="26" t="str">
        <f>IF(OR($I208="不记账",ROUND(N($G208),2)=0),"",IFERROR(INDEX(收入成本映射!$E$4:$E$34,MATCH($D208,收入成本映射!$B$4:$B$34,0)),""))</f>
        <v/>
      </c>
      <c r="N208" s="27" t="str">
        <f t="shared" si="29"/>
        <v/>
      </c>
      <c r="O208" s="27" t="str">
        <f t="shared" si="30"/>
        <v/>
      </c>
      <c r="P208" s="26" t="str">
        <f>IF($M208="","",IFERROR(INDEX(收入成本映射!$F$4:$F$34,MATCH($D208,收入成本映射!$B$4:$B$34,0)),""))</f>
        <v/>
      </c>
      <c r="Q208" s="27" t="str">
        <f t="shared" si="31"/>
        <v/>
      </c>
      <c r="R208" s="27" t="str">
        <f t="shared" si="32"/>
        <v/>
      </c>
      <c r="S208" s="26" t="str">
        <f t="shared" si="33"/>
        <v/>
      </c>
      <c r="T208" s="27" t="str">
        <f t="shared" si="34"/>
        <v/>
      </c>
      <c r="U208" s="27" t="str">
        <f t="shared" si="35"/>
        <v/>
      </c>
      <c r="V208" s="10" t="str">
        <f>IF($B208="","",IF($B208="01水果",IFERROR(INDEX(对接源_01水果!$H$5:$H$507,MATCH(ROW()-3,对接源_01水果!$Q$5:$Q$507,0)),""),IFERROR(INDEX(对接源_02物料!$H$5:$H$460,MATCH(ROW()-3-N(对接源_01水果!$T$1),对接源_02物料!$Q$5:$Q$460,0)),"")))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9" ht="18" customHeight="1" spans="1:22">
      <c r="A209" s="10">
        <v>206</v>
      </c>
      <c r="B209" s="26" t="str">
        <f>IF(ROW()-3&lt;=N(对接源_01水果!$T$1),"01水果",IF(ROW()-3&lt;=N(对接源_01水果!$T$1)+N(对接源_02物料!$T$1),"02物料",""))</f>
        <v/>
      </c>
      <c r="C209" s="125" t="str">
        <f>IF($B209="","",IF($B209="01水果",IFERROR(INDEX(对接源_01水果!$B$5:$B$507,MATCH(ROW()-3,对接源_01水果!$Q$5:$Q$507,0)),""),IFERROR(INDEX(对接源_02物料!$B$5:$B$460,MATCH(ROW()-3-N(对接源_01水果!$T$1),对接源_02物料!$Q$5:$Q$460,0)),"")))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9" s="26" t="str">
        <f>IF($B209="","",IF($B209="01水果",IFERROR(INDEX(对接源_01水果!$C$5:$C$507,MATCH(ROW()-3,对接源_01水果!$Q$5:$Q$507,0)),""),IFERROR(INDEX(对接源_02物料!$C$5:$C$460,MATCH(ROW()-3-N(对接源_01水果!$T$1),对接源_02物料!$Q$5:$Q$460,0)),"")))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9" s="126" t="str">
        <f>IF($B209="","",IF($B209="01水果",IFERROR(INDEX(对接源_01水果!$D$5:$D$507,MATCH(ROW()-3,对接源_01水果!$Q$5:$Q$507,0)),""),IFERROR(INDEX(对接源_02物料!$D$5:$D$460,MATCH(ROW()-3-N(对接源_01水果!$T$1),对接源_02物料!$Q$5:$Q$460,0)),"")))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9" s="26" t="str">
        <f>IF($B209="","",IF($B209="01水果",IFERROR(INDEX(对接源_01水果!$E$5:$E$507,MATCH(ROW()-3,对接源_01水果!$Q$5:$Q$507,0)),""),IFERROR(INDEX(对接源_02物料!$E$5:$E$460,MATCH(ROW()-3-N(对接源_01水果!$T$1),对接源_02物料!$Q$5:$Q$460,0)),"")))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9" s="27" t="str">
        <f>IF($B209="","",IF($B209="01水果",IFERROR(INDEX(对接源_01水果!$F$5:$F$507,MATCH(ROW()-3,对接源_01水果!$Q$5:$Q$507,0)),""),IFERROR(INDEX(对接源_02物料!$F$5:$F$460,MATCH(ROW()-3-N(对接源_01水果!$T$1),对接源_02物料!$Q$5:$Q$460,0)),"")))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9" s="27" t="str">
        <f>IF($B209="","",IF($B209="01水果",IFERROR(INDEX(对接源_01水果!$G$5:$G$507,MATCH(ROW()-3,对接源_01水果!$Q$5:$Q$507,0)),""),IFERROR(INDEX(对接源_02物料!$G$5:$G$460,MATCH(ROW()-3-N(对接源_01水果!$T$1),对接源_02物料!$Q$5:$Q$460,0)),"")))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9" s="26" t="str">
        <f>IFERROR(INDEX(收入成本映射!$C$4:$C$34,MATCH($D209,收入成本映射!$B$4:$B$34,0)),"不记账")</f>
        <v>不记账</v>
      </c>
      <c r="J209" s="26" t="str">
        <f t="shared" si="27"/>
        <v/>
      </c>
      <c r="K209" s="27">
        <f t="shared" si="28"/>
        <v>0</v>
      </c>
      <c r="L209" s="27">
        <v>0</v>
      </c>
      <c r="M209" s="26" t="str">
        <f>IF(OR($I209="不记账",ROUND(N($G209),2)=0),"",IFERROR(INDEX(收入成本映射!$E$4:$E$34,MATCH($D209,收入成本映射!$B$4:$B$34,0)),""))</f>
        <v/>
      </c>
      <c r="N209" s="27" t="str">
        <f t="shared" si="29"/>
        <v/>
      </c>
      <c r="O209" s="27" t="str">
        <f t="shared" si="30"/>
        <v/>
      </c>
      <c r="P209" s="26" t="str">
        <f>IF($M209="","",IFERROR(INDEX(收入成本映射!$F$4:$F$34,MATCH($D209,收入成本映射!$B$4:$B$34,0)),""))</f>
        <v/>
      </c>
      <c r="Q209" s="27" t="str">
        <f t="shared" si="31"/>
        <v/>
      </c>
      <c r="R209" s="27" t="str">
        <f t="shared" si="32"/>
        <v/>
      </c>
      <c r="S209" s="26" t="str">
        <f t="shared" si="33"/>
        <v/>
      </c>
      <c r="T209" s="27" t="str">
        <f t="shared" si="34"/>
        <v/>
      </c>
      <c r="U209" s="27" t="str">
        <f t="shared" si="35"/>
        <v/>
      </c>
      <c r="V209" s="10" t="str">
        <f>IF($B209="","",IF($B209="01水果",IFERROR(INDEX(对接源_01水果!$H$5:$H$507,MATCH(ROW()-3,对接源_01水果!$Q$5:$Q$507,0)),""),IFERROR(INDEX(对接源_02物料!$H$5:$H$460,MATCH(ROW()-3-N(对接源_01水果!$T$1),对接源_02物料!$Q$5:$Q$460,0)),"")))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0" ht="18" customHeight="1" spans="1:22">
      <c r="A210" s="10">
        <v>207</v>
      </c>
      <c r="B210" s="26" t="str">
        <f>IF(ROW()-3&lt;=N(对接源_01水果!$T$1),"01水果",IF(ROW()-3&lt;=N(对接源_01水果!$T$1)+N(对接源_02物料!$T$1),"02物料",""))</f>
        <v/>
      </c>
      <c r="C210" s="125" t="str">
        <f>IF($B210="","",IF($B210="01水果",IFERROR(INDEX(对接源_01水果!$B$5:$B$507,MATCH(ROW()-3,对接源_01水果!$Q$5:$Q$507,0)),""),IFERROR(INDEX(对接源_02物料!$B$5:$B$460,MATCH(ROW()-3-N(对接源_01水果!$T$1),对接源_02物料!$Q$5:$Q$460,0)),"")))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0" s="26" t="str">
        <f>IF($B210="","",IF($B210="01水果",IFERROR(INDEX(对接源_01水果!$C$5:$C$507,MATCH(ROW()-3,对接源_01水果!$Q$5:$Q$507,0)),""),IFERROR(INDEX(对接源_02物料!$C$5:$C$460,MATCH(ROW()-3-N(对接源_01水果!$T$1),对接源_02物料!$Q$5:$Q$460,0)),"")))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0" s="126" t="str">
        <f>IF($B210="","",IF($B210="01水果",IFERROR(INDEX(对接源_01水果!$D$5:$D$507,MATCH(ROW()-3,对接源_01水果!$Q$5:$Q$507,0)),""),IFERROR(INDEX(对接源_02物料!$D$5:$D$460,MATCH(ROW()-3-N(对接源_01水果!$T$1),对接源_02物料!$Q$5:$Q$460,0)),"")))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0" s="26" t="str">
        <f>IF($B210="","",IF($B210="01水果",IFERROR(INDEX(对接源_01水果!$E$5:$E$507,MATCH(ROW()-3,对接源_01水果!$Q$5:$Q$507,0)),""),IFERROR(INDEX(对接源_02物料!$E$5:$E$460,MATCH(ROW()-3-N(对接源_01水果!$T$1),对接源_02物料!$Q$5:$Q$460,0)),"")))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0" s="27" t="str">
        <f>IF($B210="","",IF($B210="01水果",IFERROR(INDEX(对接源_01水果!$F$5:$F$507,MATCH(ROW()-3,对接源_01水果!$Q$5:$Q$507,0)),""),IFERROR(INDEX(对接源_02物料!$F$5:$F$460,MATCH(ROW()-3-N(对接源_01水果!$T$1),对接源_02物料!$Q$5:$Q$460,0)),"")))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0" s="27" t="str">
        <f>IF($B210="","",IF($B210="01水果",IFERROR(INDEX(对接源_01水果!$G$5:$G$507,MATCH(ROW()-3,对接源_01水果!$Q$5:$Q$507,0)),""),IFERROR(INDEX(对接源_02物料!$G$5:$G$460,MATCH(ROW()-3-N(对接源_01水果!$T$1),对接源_02物料!$Q$5:$Q$460,0)),"")))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0" s="26" t="str">
        <f>IFERROR(INDEX(收入成本映射!$C$4:$C$34,MATCH($D210,收入成本映射!$B$4:$B$34,0)),"不记账")</f>
        <v>不记账</v>
      </c>
      <c r="J210" s="26" t="str">
        <f t="shared" si="27"/>
        <v/>
      </c>
      <c r="K210" s="27">
        <f t="shared" si="28"/>
        <v>0</v>
      </c>
      <c r="L210" s="27">
        <v>0</v>
      </c>
      <c r="M210" s="26" t="str">
        <f>IF(OR($I210="不记账",ROUND(N($G210),2)=0),"",IFERROR(INDEX(收入成本映射!$E$4:$E$34,MATCH($D210,收入成本映射!$B$4:$B$34,0)),""))</f>
        <v/>
      </c>
      <c r="N210" s="27" t="str">
        <f t="shared" si="29"/>
        <v/>
      </c>
      <c r="O210" s="27" t="str">
        <f t="shared" si="30"/>
        <v/>
      </c>
      <c r="P210" s="26" t="str">
        <f>IF($M210="","",IFERROR(INDEX(收入成本映射!$F$4:$F$34,MATCH($D210,收入成本映射!$B$4:$B$34,0)),""))</f>
        <v/>
      </c>
      <c r="Q210" s="27" t="str">
        <f t="shared" si="31"/>
        <v/>
      </c>
      <c r="R210" s="27" t="str">
        <f t="shared" si="32"/>
        <v/>
      </c>
      <c r="S210" s="26" t="str">
        <f t="shared" si="33"/>
        <v/>
      </c>
      <c r="T210" s="27" t="str">
        <f t="shared" si="34"/>
        <v/>
      </c>
      <c r="U210" s="27" t="str">
        <f t="shared" si="35"/>
        <v/>
      </c>
      <c r="V210" s="10" t="str">
        <f>IF($B210="","",IF($B210="01水果",IFERROR(INDEX(对接源_01水果!$H$5:$H$507,MATCH(ROW()-3,对接源_01水果!$Q$5:$Q$507,0)),""),IFERROR(INDEX(对接源_02物料!$H$5:$H$460,MATCH(ROW()-3-N(对接源_01水果!$T$1),对接源_02物料!$Q$5:$Q$460,0)),"")))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1" ht="18" customHeight="1" spans="1:22">
      <c r="A211" s="10">
        <v>208</v>
      </c>
      <c r="B211" s="26" t="str">
        <f>IF(ROW()-3&lt;=N(对接源_01水果!$T$1),"01水果",IF(ROW()-3&lt;=N(对接源_01水果!$T$1)+N(对接源_02物料!$T$1),"02物料",""))</f>
        <v/>
      </c>
      <c r="C211" s="125" t="str">
        <f>IF($B211="","",IF($B211="01水果",IFERROR(INDEX(对接源_01水果!$B$5:$B$507,MATCH(ROW()-3,对接源_01水果!$Q$5:$Q$507,0)),""),IFERROR(INDEX(对接源_02物料!$B$5:$B$460,MATCH(ROW()-3-N(对接源_01水果!$T$1),对接源_02物料!$Q$5:$Q$460,0)),"")))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1" s="26" t="str">
        <f>IF($B211="","",IF($B211="01水果",IFERROR(INDEX(对接源_01水果!$C$5:$C$507,MATCH(ROW()-3,对接源_01水果!$Q$5:$Q$507,0)),""),IFERROR(INDEX(对接源_02物料!$C$5:$C$460,MATCH(ROW()-3-N(对接源_01水果!$T$1),对接源_02物料!$Q$5:$Q$460,0)),"")))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1" s="126" t="str">
        <f>IF($B211="","",IF($B211="01水果",IFERROR(INDEX(对接源_01水果!$D$5:$D$507,MATCH(ROW()-3,对接源_01水果!$Q$5:$Q$507,0)),""),IFERROR(INDEX(对接源_02物料!$D$5:$D$460,MATCH(ROW()-3-N(对接源_01水果!$T$1),对接源_02物料!$Q$5:$Q$460,0)),"")))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1" s="26" t="str">
        <f>IF($B211="","",IF($B211="01水果",IFERROR(INDEX(对接源_01水果!$E$5:$E$507,MATCH(ROW()-3,对接源_01水果!$Q$5:$Q$507,0)),""),IFERROR(INDEX(对接源_02物料!$E$5:$E$460,MATCH(ROW()-3-N(对接源_01水果!$T$1),对接源_02物料!$Q$5:$Q$460,0)),"")))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1" s="27" t="str">
        <f>IF($B211="","",IF($B211="01水果",IFERROR(INDEX(对接源_01水果!$F$5:$F$507,MATCH(ROW()-3,对接源_01水果!$Q$5:$Q$507,0)),""),IFERROR(INDEX(对接源_02物料!$F$5:$F$460,MATCH(ROW()-3-N(对接源_01水果!$T$1),对接源_02物料!$Q$5:$Q$460,0)),"")))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1" s="27" t="str">
        <f>IF($B211="","",IF($B211="01水果",IFERROR(INDEX(对接源_01水果!$G$5:$G$507,MATCH(ROW()-3,对接源_01水果!$Q$5:$Q$507,0)),""),IFERROR(INDEX(对接源_02物料!$G$5:$G$460,MATCH(ROW()-3-N(对接源_01水果!$T$1),对接源_02物料!$Q$5:$Q$460,0)),"")))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1" s="26" t="str">
        <f>IFERROR(INDEX(收入成本映射!$C$4:$C$34,MATCH($D211,收入成本映射!$B$4:$B$34,0)),"不记账")</f>
        <v>不记账</v>
      </c>
      <c r="J211" s="26" t="str">
        <f t="shared" si="27"/>
        <v/>
      </c>
      <c r="K211" s="27">
        <f t="shared" si="28"/>
        <v>0</v>
      </c>
      <c r="L211" s="27">
        <v>0</v>
      </c>
      <c r="M211" s="26" t="str">
        <f>IF(OR($I211="不记账",ROUND(N($G211),2)=0),"",IFERROR(INDEX(收入成本映射!$E$4:$E$34,MATCH($D211,收入成本映射!$B$4:$B$34,0)),""))</f>
        <v/>
      </c>
      <c r="N211" s="27" t="str">
        <f t="shared" si="29"/>
        <v/>
      </c>
      <c r="O211" s="27" t="str">
        <f t="shared" si="30"/>
        <v/>
      </c>
      <c r="P211" s="26" t="str">
        <f>IF($M211="","",IFERROR(INDEX(收入成本映射!$F$4:$F$34,MATCH($D211,收入成本映射!$B$4:$B$34,0)),""))</f>
        <v/>
      </c>
      <c r="Q211" s="27" t="str">
        <f t="shared" si="31"/>
        <v/>
      </c>
      <c r="R211" s="27" t="str">
        <f t="shared" si="32"/>
        <v/>
      </c>
      <c r="S211" s="26" t="str">
        <f t="shared" si="33"/>
        <v/>
      </c>
      <c r="T211" s="27" t="str">
        <f t="shared" si="34"/>
        <v/>
      </c>
      <c r="U211" s="27" t="str">
        <f t="shared" si="35"/>
        <v/>
      </c>
      <c r="V211" s="10" t="str">
        <f>IF($B211="","",IF($B211="01水果",IFERROR(INDEX(对接源_01水果!$H$5:$H$507,MATCH(ROW()-3,对接源_01水果!$Q$5:$Q$507,0)),""),IFERROR(INDEX(对接源_02物料!$H$5:$H$460,MATCH(ROW()-3-N(对接源_01水果!$T$1),对接源_02物料!$Q$5:$Q$460,0)),"")))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2" ht="18" customHeight="1" spans="1:22">
      <c r="A212" s="10">
        <v>209</v>
      </c>
      <c r="B212" s="26" t="str">
        <f>IF(ROW()-3&lt;=N(对接源_01水果!$T$1),"01水果",IF(ROW()-3&lt;=N(对接源_01水果!$T$1)+N(对接源_02物料!$T$1),"02物料",""))</f>
        <v/>
      </c>
      <c r="C212" s="125" t="str">
        <f>IF($B212="","",IF($B212="01水果",IFERROR(INDEX(对接源_01水果!$B$5:$B$507,MATCH(ROW()-3,对接源_01水果!$Q$5:$Q$507,0)),""),IFERROR(INDEX(对接源_02物料!$B$5:$B$460,MATCH(ROW()-3-N(对接源_01水果!$T$1),对接源_02物料!$Q$5:$Q$460,0)),"")))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2" s="26" t="str">
        <f>IF($B212="","",IF($B212="01水果",IFERROR(INDEX(对接源_01水果!$C$5:$C$507,MATCH(ROW()-3,对接源_01水果!$Q$5:$Q$507,0)),""),IFERROR(INDEX(对接源_02物料!$C$5:$C$460,MATCH(ROW()-3-N(对接源_01水果!$T$1),对接源_02物料!$Q$5:$Q$460,0)),"")))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2" s="126" t="str">
        <f>IF($B212="","",IF($B212="01水果",IFERROR(INDEX(对接源_01水果!$D$5:$D$507,MATCH(ROW()-3,对接源_01水果!$Q$5:$Q$507,0)),""),IFERROR(INDEX(对接源_02物料!$D$5:$D$460,MATCH(ROW()-3-N(对接源_01水果!$T$1),对接源_02物料!$Q$5:$Q$460,0)),"")))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2" s="26" t="str">
        <f>IF($B212="","",IF($B212="01水果",IFERROR(INDEX(对接源_01水果!$E$5:$E$507,MATCH(ROW()-3,对接源_01水果!$Q$5:$Q$507,0)),""),IFERROR(INDEX(对接源_02物料!$E$5:$E$460,MATCH(ROW()-3-N(对接源_01水果!$T$1),对接源_02物料!$Q$5:$Q$460,0)),"")))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2" s="27" t="str">
        <f>IF($B212="","",IF($B212="01水果",IFERROR(INDEX(对接源_01水果!$F$5:$F$507,MATCH(ROW()-3,对接源_01水果!$Q$5:$Q$507,0)),""),IFERROR(INDEX(对接源_02物料!$F$5:$F$460,MATCH(ROW()-3-N(对接源_01水果!$T$1),对接源_02物料!$Q$5:$Q$460,0)),"")))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2" s="27" t="str">
        <f>IF($B212="","",IF($B212="01水果",IFERROR(INDEX(对接源_01水果!$G$5:$G$507,MATCH(ROW()-3,对接源_01水果!$Q$5:$Q$507,0)),""),IFERROR(INDEX(对接源_02物料!$G$5:$G$460,MATCH(ROW()-3-N(对接源_01水果!$T$1),对接源_02物料!$Q$5:$Q$460,0)),"")))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2" s="26" t="str">
        <f>IFERROR(INDEX(收入成本映射!$C$4:$C$34,MATCH($D212,收入成本映射!$B$4:$B$34,0)),"不记账")</f>
        <v>不记账</v>
      </c>
      <c r="J212" s="26" t="str">
        <f t="shared" si="27"/>
        <v/>
      </c>
      <c r="K212" s="27">
        <f t="shared" si="28"/>
        <v>0</v>
      </c>
      <c r="L212" s="27">
        <v>0</v>
      </c>
      <c r="M212" s="26" t="str">
        <f>IF(OR($I212="不记账",ROUND(N($G212),2)=0),"",IFERROR(INDEX(收入成本映射!$E$4:$E$34,MATCH($D212,收入成本映射!$B$4:$B$34,0)),""))</f>
        <v/>
      </c>
      <c r="N212" s="27" t="str">
        <f t="shared" si="29"/>
        <v/>
      </c>
      <c r="O212" s="27" t="str">
        <f t="shared" si="30"/>
        <v/>
      </c>
      <c r="P212" s="26" t="str">
        <f>IF($M212="","",IFERROR(INDEX(收入成本映射!$F$4:$F$34,MATCH($D212,收入成本映射!$B$4:$B$34,0)),""))</f>
        <v/>
      </c>
      <c r="Q212" s="27" t="str">
        <f t="shared" si="31"/>
        <v/>
      </c>
      <c r="R212" s="27" t="str">
        <f t="shared" si="32"/>
        <v/>
      </c>
      <c r="S212" s="26" t="str">
        <f t="shared" si="33"/>
        <v/>
      </c>
      <c r="T212" s="27" t="str">
        <f t="shared" si="34"/>
        <v/>
      </c>
      <c r="U212" s="27" t="str">
        <f t="shared" si="35"/>
        <v/>
      </c>
      <c r="V212" s="10" t="str">
        <f>IF($B212="","",IF($B212="01水果",IFERROR(INDEX(对接源_01水果!$H$5:$H$507,MATCH(ROW()-3,对接源_01水果!$Q$5:$Q$507,0)),""),IFERROR(INDEX(对接源_02物料!$H$5:$H$460,MATCH(ROW()-3-N(对接源_01水果!$T$1),对接源_02物料!$Q$5:$Q$460,0)),"")))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3" ht="18" customHeight="1" spans="1:22">
      <c r="A213" s="10">
        <v>210</v>
      </c>
      <c r="B213" s="26" t="str">
        <f>IF(ROW()-3&lt;=N(对接源_01水果!$T$1),"01水果",IF(ROW()-3&lt;=N(对接源_01水果!$T$1)+N(对接源_02物料!$T$1),"02物料",""))</f>
        <v/>
      </c>
      <c r="C213" s="125" t="str">
        <f>IF($B213="","",IF($B213="01水果",IFERROR(INDEX(对接源_01水果!$B$5:$B$507,MATCH(ROW()-3,对接源_01水果!$Q$5:$Q$507,0)),""),IFERROR(INDEX(对接源_02物料!$B$5:$B$460,MATCH(ROW()-3-N(对接源_01水果!$T$1),对接源_02物料!$Q$5:$Q$460,0)),"")))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3" s="26" t="str">
        <f>IF($B213="","",IF($B213="01水果",IFERROR(INDEX(对接源_01水果!$C$5:$C$507,MATCH(ROW()-3,对接源_01水果!$Q$5:$Q$507,0)),""),IFERROR(INDEX(对接源_02物料!$C$5:$C$460,MATCH(ROW()-3-N(对接源_01水果!$T$1),对接源_02物料!$Q$5:$Q$460,0)),"")))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3" s="126" t="str">
        <f>IF($B213="","",IF($B213="01水果",IFERROR(INDEX(对接源_01水果!$D$5:$D$507,MATCH(ROW()-3,对接源_01水果!$Q$5:$Q$507,0)),""),IFERROR(INDEX(对接源_02物料!$D$5:$D$460,MATCH(ROW()-3-N(对接源_01水果!$T$1),对接源_02物料!$Q$5:$Q$460,0)),"")))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3" s="26" t="str">
        <f>IF($B213="","",IF($B213="01水果",IFERROR(INDEX(对接源_01水果!$E$5:$E$507,MATCH(ROW()-3,对接源_01水果!$Q$5:$Q$507,0)),""),IFERROR(INDEX(对接源_02物料!$E$5:$E$460,MATCH(ROW()-3-N(对接源_01水果!$T$1),对接源_02物料!$Q$5:$Q$460,0)),"")))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3" s="27" t="str">
        <f>IF($B213="","",IF($B213="01水果",IFERROR(INDEX(对接源_01水果!$F$5:$F$507,MATCH(ROW()-3,对接源_01水果!$Q$5:$Q$507,0)),""),IFERROR(INDEX(对接源_02物料!$F$5:$F$460,MATCH(ROW()-3-N(对接源_01水果!$T$1),对接源_02物料!$Q$5:$Q$460,0)),"")))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3" s="27" t="str">
        <f>IF($B213="","",IF($B213="01水果",IFERROR(INDEX(对接源_01水果!$G$5:$G$507,MATCH(ROW()-3,对接源_01水果!$Q$5:$Q$507,0)),""),IFERROR(INDEX(对接源_02物料!$G$5:$G$460,MATCH(ROW()-3-N(对接源_01水果!$T$1),对接源_02物料!$Q$5:$Q$460,0)),"")))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3" s="26" t="str">
        <f>IFERROR(INDEX(收入成本映射!$C$4:$C$34,MATCH($D213,收入成本映射!$B$4:$B$34,0)),"不记账")</f>
        <v>不记账</v>
      </c>
      <c r="J213" s="26" t="str">
        <f t="shared" si="27"/>
        <v/>
      </c>
      <c r="K213" s="27">
        <f t="shared" si="28"/>
        <v>0</v>
      </c>
      <c r="L213" s="27">
        <v>0</v>
      </c>
      <c r="M213" s="26" t="str">
        <f>IF(OR($I213="不记账",ROUND(N($G213),2)=0),"",IFERROR(INDEX(收入成本映射!$E$4:$E$34,MATCH($D213,收入成本映射!$B$4:$B$34,0)),""))</f>
        <v/>
      </c>
      <c r="N213" s="27" t="str">
        <f t="shared" si="29"/>
        <v/>
      </c>
      <c r="O213" s="27" t="str">
        <f t="shared" si="30"/>
        <v/>
      </c>
      <c r="P213" s="26" t="str">
        <f>IF($M213="","",IFERROR(INDEX(收入成本映射!$F$4:$F$34,MATCH($D213,收入成本映射!$B$4:$B$34,0)),""))</f>
        <v/>
      </c>
      <c r="Q213" s="27" t="str">
        <f t="shared" si="31"/>
        <v/>
      </c>
      <c r="R213" s="27" t="str">
        <f t="shared" si="32"/>
        <v/>
      </c>
      <c r="S213" s="26" t="str">
        <f t="shared" si="33"/>
        <v/>
      </c>
      <c r="T213" s="27" t="str">
        <f t="shared" si="34"/>
        <v/>
      </c>
      <c r="U213" s="27" t="str">
        <f t="shared" si="35"/>
        <v/>
      </c>
      <c r="V213" s="10" t="str">
        <f>IF($B213="","",IF($B213="01水果",IFERROR(INDEX(对接源_01水果!$H$5:$H$507,MATCH(ROW()-3,对接源_01水果!$Q$5:$Q$507,0)),""),IFERROR(INDEX(对接源_02物料!$H$5:$H$460,MATCH(ROW()-3-N(对接源_01水果!$T$1),对接源_02物料!$Q$5:$Q$460,0)),"")))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4" ht="18" customHeight="1" spans="1:22">
      <c r="A214" s="10">
        <v>211</v>
      </c>
      <c r="B214" s="26" t="str">
        <f>IF(ROW()-3&lt;=N(对接源_01水果!$T$1),"01水果",IF(ROW()-3&lt;=N(对接源_01水果!$T$1)+N(对接源_02物料!$T$1),"02物料",""))</f>
        <v/>
      </c>
      <c r="C214" s="125" t="str">
        <f>IF($B214="","",IF($B214="01水果",IFERROR(INDEX(对接源_01水果!$B$5:$B$507,MATCH(ROW()-3,对接源_01水果!$Q$5:$Q$507,0)),""),IFERROR(INDEX(对接源_02物料!$B$5:$B$460,MATCH(ROW()-3-N(对接源_01水果!$T$1),对接源_02物料!$Q$5:$Q$460,0)),"")))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4" s="26" t="str">
        <f>IF($B214="","",IF($B214="01水果",IFERROR(INDEX(对接源_01水果!$C$5:$C$507,MATCH(ROW()-3,对接源_01水果!$Q$5:$Q$507,0)),""),IFERROR(INDEX(对接源_02物料!$C$5:$C$460,MATCH(ROW()-3-N(对接源_01水果!$T$1),对接源_02物料!$Q$5:$Q$460,0)),"")))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4" s="126" t="str">
        <f>IF($B214="","",IF($B214="01水果",IFERROR(INDEX(对接源_01水果!$D$5:$D$507,MATCH(ROW()-3,对接源_01水果!$Q$5:$Q$507,0)),""),IFERROR(INDEX(对接源_02物料!$D$5:$D$460,MATCH(ROW()-3-N(对接源_01水果!$T$1),对接源_02物料!$Q$5:$Q$460,0)),"")))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4" s="26" t="str">
        <f>IF($B214="","",IF($B214="01水果",IFERROR(INDEX(对接源_01水果!$E$5:$E$507,MATCH(ROW()-3,对接源_01水果!$Q$5:$Q$507,0)),""),IFERROR(INDEX(对接源_02物料!$E$5:$E$460,MATCH(ROW()-3-N(对接源_01水果!$T$1),对接源_02物料!$Q$5:$Q$460,0)),"")))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4" s="27" t="str">
        <f>IF($B214="","",IF($B214="01水果",IFERROR(INDEX(对接源_01水果!$F$5:$F$507,MATCH(ROW()-3,对接源_01水果!$Q$5:$Q$507,0)),""),IFERROR(INDEX(对接源_02物料!$F$5:$F$460,MATCH(ROW()-3-N(对接源_01水果!$T$1),对接源_02物料!$Q$5:$Q$460,0)),"")))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4" s="27" t="str">
        <f>IF($B214="","",IF($B214="01水果",IFERROR(INDEX(对接源_01水果!$G$5:$G$507,MATCH(ROW()-3,对接源_01水果!$Q$5:$Q$507,0)),""),IFERROR(INDEX(对接源_02物料!$G$5:$G$460,MATCH(ROW()-3-N(对接源_01水果!$T$1),对接源_02物料!$Q$5:$Q$460,0)),"")))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4" s="26" t="str">
        <f>IFERROR(INDEX(收入成本映射!$C$4:$C$34,MATCH($D214,收入成本映射!$B$4:$B$34,0)),"不记账")</f>
        <v>不记账</v>
      </c>
      <c r="J214" s="26" t="str">
        <f t="shared" si="27"/>
        <v/>
      </c>
      <c r="K214" s="27">
        <f t="shared" si="28"/>
        <v>0</v>
      </c>
      <c r="L214" s="27">
        <v>0</v>
      </c>
      <c r="M214" s="26" t="str">
        <f>IF(OR($I214="不记账",ROUND(N($G214),2)=0),"",IFERROR(INDEX(收入成本映射!$E$4:$E$34,MATCH($D214,收入成本映射!$B$4:$B$34,0)),""))</f>
        <v/>
      </c>
      <c r="N214" s="27" t="str">
        <f t="shared" si="29"/>
        <v/>
      </c>
      <c r="O214" s="27" t="str">
        <f t="shared" si="30"/>
        <v/>
      </c>
      <c r="P214" s="26" t="str">
        <f>IF($M214="","",IFERROR(INDEX(收入成本映射!$F$4:$F$34,MATCH($D214,收入成本映射!$B$4:$B$34,0)),""))</f>
        <v/>
      </c>
      <c r="Q214" s="27" t="str">
        <f t="shared" si="31"/>
        <v/>
      </c>
      <c r="R214" s="27" t="str">
        <f t="shared" si="32"/>
        <v/>
      </c>
      <c r="S214" s="26" t="str">
        <f t="shared" si="33"/>
        <v/>
      </c>
      <c r="T214" s="27" t="str">
        <f t="shared" si="34"/>
        <v/>
      </c>
      <c r="U214" s="27" t="str">
        <f t="shared" si="35"/>
        <v/>
      </c>
      <c r="V214" s="10" t="str">
        <f>IF($B214="","",IF($B214="01水果",IFERROR(INDEX(对接源_01水果!$H$5:$H$507,MATCH(ROW()-3,对接源_01水果!$Q$5:$Q$507,0)),""),IFERROR(INDEX(对接源_02物料!$H$5:$H$460,MATCH(ROW()-3-N(对接源_01水果!$T$1),对接源_02物料!$Q$5:$Q$460,0)),"")))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5" ht="18" customHeight="1" spans="1:22">
      <c r="A215" s="10">
        <v>212</v>
      </c>
      <c r="B215" s="26" t="str">
        <f>IF(ROW()-3&lt;=N(对接源_01水果!$T$1),"01水果",IF(ROW()-3&lt;=N(对接源_01水果!$T$1)+N(对接源_02物料!$T$1),"02物料",""))</f>
        <v/>
      </c>
      <c r="C215" s="125" t="str">
        <f>IF($B215="","",IF($B215="01水果",IFERROR(INDEX(对接源_01水果!$B$5:$B$507,MATCH(ROW()-3,对接源_01水果!$Q$5:$Q$507,0)),""),IFERROR(INDEX(对接源_02物料!$B$5:$B$460,MATCH(ROW()-3-N(对接源_01水果!$T$1),对接源_02物料!$Q$5:$Q$460,0)),"")))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5" s="26" t="str">
        <f>IF($B215="","",IF($B215="01水果",IFERROR(INDEX(对接源_01水果!$C$5:$C$507,MATCH(ROW()-3,对接源_01水果!$Q$5:$Q$507,0)),""),IFERROR(INDEX(对接源_02物料!$C$5:$C$460,MATCH(ROW()-3-N(对接源_01水果!$T$1),对接源_02物料!$Q$5:$Q$460,0)),"")))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5" s="126" t="str">
        <f>IF($B215="","",IF($B215="01水果",IFERROR(INDEX(对接源_01水果!$D$5:$D$507,MATCH(ROW()-3,对接源_01水果!$Q$5:$Q$507,0)),""),IFERROR(INDEX(对接源_02物料!$D$5:$D$460,MATCH(ROW()-3-N(对接源_01水果!$T$1),对接源_02物料!$Q$5:$Q$460,0)),"")))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5" s="26" t="str">
        <f>IF($B215="","",IF($B215="01水果",IFERROR(INDEX(对接源_01水果!$E$5:$E$507,MATCH(ROW()-3,对接源_01水果!$Q$5:$Q$507,0)),""),IFERROR(INDEX(对接源_02物料!$E$5:$E$460,MATCH(ROW()-3-N(对接源_01水果!$T$1),对接源_02物料!$Q$5:$Q$460,0)),"")))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5" s="27" t="str">
        <f>IF($B215="","",IF($B215="01水果",IFERROR(INDEX(对接源_01水果!$F$5:$F$507,MATCH(ROW()-3,对接源_01水果!$Q$5:$Q$507,0)),""),IFERROR(INDEX(对接源_02物料!$F$5:$F$460,MATCH(ROW()-3-N(对接源_01水果!$T$1),对接源_02物料!$Q$5:$Q$460,0)),"")))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5" s="27" t="str">
        <f>IF($B215="","",IF($B215="01水果",IFERROR(INDEX(对接源_01水果!$G$5:$G$507,MATCH(ROW()-3,对接源_01水果!$Q$5:$Q$507,0)),""),IFERROR(INDEX(对接源_02物料!$G$5:$G$460,MATCH(ROW()-3-N(对接源_01水果!$T$1),对接源_02物料!$Q$5:$Q$460,0)),"")))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5" s="26" t="str">
        <f>IFERROR(INDEX(收入成本映射!$C$4:$C$34,MATCH($D215,收入成本映射!$B$4:$B$34,0)),"不记账")</f>
        <v>不记账</v>
      </c>
      <c r="J215" s="26" t="str">
        <f t="shared" si="27"/>
        <v/>
      </c>
      <c r="K215" s="27">
        <f t="shared" si="28"/>
        <v>0</v>
      </c>
      <c r="L215" s="27">
        <v>0</v>
      </c>
      <c r="M215" s="26" t="str">
        <f>IF(OR($I215="不记账",ROUND(N($G215),2)=0),"",IFERROR(INDEX(收入成本映射!$E$4:$E$34,MATCH($D215,收入成本映射!$B$4:$B$34,0)),""))</f>
        <v/>
      </c>
      <c r="N215" s="27" t="str">
        <f t="shared" si="29"/>
        <v/>
      </c>
      <c r="O215" s="27" t="str">
        <f t="shared" si="30"/>
        <v/>
      </c>
      <c r="P215" s="26" t="str">
        <f>IF($M215="","",IFERROR(INDEX(收入成本映射!$F$4:$F$34,MATCH($D215,收入成本映射!$B$4:$B$34,0)),""))</f>
        <v/>
      </c>
      <c r="Q215" s="27" t="str">
        <f t="shared" si="31"/>
        <v/>
      </c>
      <c r="R215" s="27" t="str">
        <f t="shared" si="32"/>
        <v/>
      </c>
      <c r="S215" s="26" t="str">
        <f t="shared" si="33"/>
        <v/>
      </c>
      <c r="T215" s="27" t="str">
        <f t="shared" si="34"/>
        <v/>
      </c>
      <c r="U215" s="27" t="str">
        <f t="shared" si="35"/>
        <v/>
      </c>
      <c r="V215" s="10" t="str">
        <f>IF($B215="","",IF($B215="01水果",IFERROR(INDEX(对接源_01水果!$H$5:$H$507,MATCH(ROW()-3,对接源_01水果!$Q$5:$Q$507,0)),""),IFERROR(INDEX(对接源_02物料!$H$5:$H$460,MATCH(ROW()-3-N(对接源_01水果!$T$1),对接源_02物料!$Q$5:$Q$460,0)),"")))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6" ht="18" customHeight="1" spans="1:22">
      <c r="A216" s="10">
        <v>213</v>
      </c>
      <c r="B216" s="26" t="str">
        <f>IF(ROW()-3&lt;=N(对接源_01水果!$T$1),"01水果",IF(ROW()-3&lt;=N(对接源_01水果!$T$1)+N(对接源_02物料!$T$1),"02物料",""))</f>
        <v/>
      </c>
      <c r="C216" s="125" t="str">
        <f>IF($B216="","",IF($B216="01水果",IFERROR(INDEX(对接源_01水果!$B$5:$B$507,MATCH(ROW()-3,对接源_01水果!$Q$5:$Q$507,0)),""),IFERROR(INDEX(对接源_02物料!$B$5:$B$460,MATCH(ROW()-3-N(对接源_01水果!$T$1),对接源_02物料!$Q$5:$Q$460,0)),"")))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6" s="26" t="str">
        <f>IF($B216="","",IF($B216="01水果",IFERROR(INDEX(对接源_01水果!$C$5:$C$507,MATCH(ROW()-3,对接源_01水果!$Q$5:$Q$507,0)),""),IFERROR(INDEX(对接源_02物料!$C$5:$C$460,MATCH(ROW()-3-N(对接源_01水果!$T$1),对接源_02物料!$Q$5:$Q$460,0)),"")))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6" s="126" t="str">
        <f>IF($B216="","",IF($B216="01水果",IFERROR(INDEX(对接源_01水果!$D$5:$D$507,MATCH(ROW()-3,对接源_01水果!$Q$5:$Q$507,0)),""),IFERROR(INDEX(对接源_02物料!$D$5:$D$460,MATCH(ROW()-3-N(对接源_01水果!$T$1),对接源_02物料!$Q$5:$Q$460,0)),"")))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6" s="26" t="str">
        <f>IF($B216="","",IF($B216="01水果",IFERROR(INDEX(对接源_01水果!$E$5:$E$507,MATCH(ROW()-3,对接源_01水果!$Q$5:$Q$507,0)),""),IFERROR(INDEX(对接源_02物料!$E$5:$E$460,MATCH(ROW()-3-N(对接源_01水果!$T$1),对接源_02物料!$Q$5:$Q$460,0)),"")))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6" s="27" t="str">
        <f>IF($B216="","",IF($B216="01水果",IFERROR(INDEX(对接源_01水果!$F$5:$F$507,MATCH(ROW()-3,对接源_01水果!$Q$5:$Q$507,0)),""),IFERROR(INDEX(对接源_02物料!$F$5:$F$460,MATCH(ROW()-3-N(对接源_01水果!$T$1),对接源_02物料!$Q$5:$Q$460,0)),"")))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6" s="27" t="str">
        <f>IF($B216="","",IF($B216="01水果",IFERROR(INDEX(对接源_01水果!$G$5:$G$507,MATCH(ROW()-3,对接源_01水果!$Q$5:$Q$507,0)),""),IFERROR(INDEX(对接源_02物料!$G$5:$G$460,MATCH(ROW()-3-N(对接源_01水果!$T$1),对接源_02物料!$Q$5:$Q$460,0)),"")))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6" s="26" t="str">
        <f>IFERROR(INDEX(收入成本映射!$C$4:$C$34,MATCH($D216,收入成本映射!$B$4:$B$34,0)),"不记账")</f>
        <v>不记账</v>
      </c>
      <c r="J216" s="26" t="str">
        <f t="shared" si="27"/>
        <v/>
      </c>
      <c r="K216" s="27">
        <f t="shared" si="28"/>
        <v>0</v>
      </c>
      <c r="L216" s="27">
        <v>0</v>
      </c>
      <c r="M216" s="26" t="str">
        <f>IF(OR($I216="不记账",ROUND(N($G216),2)=0),"",IFERROR(INDEX(收入成本映射!$E$4:$E$34,MATCH($D216,收入成本映射!$B$4:$B$34,0)),""))</f>
        <v/>
      </c>
      <c r="N216" s="27" t="str">
        <f t="shared" si="29"/>
        <v/>
      </c>
      <c r="O216" s="27" t="str">
        <f t="shared" si="30"/>
        <v/>
      </c>
      <c r="P216" s="26" t="str">
        <f>IF($M216="","",IFERROR(INDEX(收入成本映射!$F$4:$F$34,MATCH($D216,收入成本映射!$B$4:$B$34,0)),""))</f>
        <v/>
      </c>
      <c r="Q216" s="27" t="str">
        <f t="shared" si="31"/>
        <v/>
      </c>
      <c r="R216" s="27" t="str">
        <f t="shared" si="32"/>
        <v/>
      </c>
      <c r="S216" s="26" t="str">
        <f t="shared" si="33"/>
        <v/>
      </c>
      <c r="T216" s="27" t="str">
        <f t="shared" si="34"/>
        <v/>
      </c>
      <c r="U216" s="27" t="str">
        <f t="shared" si="35"/>
        <v/>
      </c>
      <c r="V216" s="10" t="str">
        <f>IF($B216="","",IF($B216="01水果",IFERROR(INDEX(对接源_01水果!$H$5:$H$507,MATCH(ROW()-3,对接源_01水果!$Q$5:$Q$507,0)),""),IFERROR(INDEX(对接源_02物料!$H$5:$H$460,MATCH(ROW()-3-N(对接源_01水果!$T$1),对接源_02物料!$Q$5:$Q$460,0)),"")))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7" ht="18" customHeight="1" spans="1:22">
      <c r="A217" s="10">
        <v>214</v>
      </c>
      <c r="B217" s="26" t="str">
        <f>IF(ROW()-3&lt;=N(对接源_01水果!$T$1),"01水果",IF(ROW()-3&lt;=N(对接源_01水果!$T$1)+N(对接源_02物料!$T$1),"02物料",""))</f>
        <v/>
      </c>
      <c r="C217" s="125" t="str">
        <f>IF($B217="","",IF($B217="01水果",IFERROR(INDEX(对接源_01水果!$B$5:$B$507,MATCH(ROW()-3,对接源_01水果!$Q$5:$Q$507,0)),""),IFERROR(INDEX(对接源_02物料!$B$5:$B$460,MATCH(ROW()-3-N(对接源_01水果!$T$1),对接源_02物料!$Q$5:$Q$460,0)),"")))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7" s="26" t="str">
        <f>IF($B217="","",IF($B217="01水果",IFERROR(INDEX(对接源_01水果!$C$5:$C$507,MATCH(ROW()-3,对接源_01水果!$Q$5:$Q$507,0)),""),IFERROR(INDEX(对接源_02物料!$C$5:$C$460,MATCH(ROW()-3-N(对接源_01水果!$T$1),对接源_02物料!$Q$5:$Q$460,0)),"")))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7" s="126" t="str">
        <f>IF($B217="","",IF($B217="01水果",IFERROR(INDEX(对接源_01水果!$D$5:$D$507,MATCH(ROW()-3,对接源_01水果!$Q$5:$Q$507,0)),""),IFERROR(INDEX(对接源_02物料!$D$5:$D$460,MATCH(ROW()-3-N(对接源_01水果!$T$1),对接源_02物料!$Q$5:$Q$460,0)),"")))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7" s="26" t="str">
        <f>IF($B217="","",IF($B217="01水果",IFERROR(INDEX(对接源_01水果!$E$5:$E$507,MATCH(ROW()-3,对接源_01水果!$Q$5:$Q$507,0)),""),IFERROR(INDEX(对接源_02物料!$E$5:$E$460,MATCH(ROW()-3-N(对接源_01水果!$T$1),对接源_02物料!$Q$5:$Q$460,0)),"")))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7" s="27" t="str">
        <f>IF($B217="","",IF($B217="01水果",IFERROR(INDEX(对接源_01水果!$F$5:$F$507,MATCH(ROW()-3,对接源_01水果!$Q$5:$Q$507,0)),""),IFERROR(INDEX(对接源_02物料!$F$5:$F$460,MATCH(ROW()-3-N(对接源_01水果!$T$1),对接源_02物料!$Q$5:$Q$460,0)),"")))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7" s="27" t="str">
        <f>IF($B217="","",IF($B217="01水果",IFERROR(INDEX(对接源_01水果!$G$5:$G$507,MATCH(ROW()-3,对接源_01水果!$Q$5:$Q$507,0)),""),IFERROR(INDEX(对接源_02物料!$G$5:$G$460,MATCH(ROW()-3-N(对接源_01水果!$T$1),对接源_02物料!$Q$5:$Q$460,0)),"")))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7" s="26" t="str">
        <f>IFERROR(INDEX(收入成本映射!$C$4:$C$34,MATCH($D217,收入成本映射!$B$4:$B$34,0)),"不记账")</f>
        <v>不记账</v>
      </c>
      <c r="J217" s="26" t="str">
        <f t="shared" si="27"/>
        <v/>
      </c>
      <c r="K217" s="27">
        <f t="shared" si="28"/>
        <v>0</v>
      </c>
      <c r="L217" s="27">
        <v>0</v>
      </c>
      <c r="M217" s="26" t="str">
        <f>IF(OR($I217="不记账",ROUND(N($G217),2)=0),"",IFERROR(INDEX(收入成本映射!$E$4:$E$34,MATCH($D217,收入成本映射!$B$4:$B$34,0)),""))</f>
        <v/>
      </c>
      <c r="N217" s="27" t="str">
        <f t="shared" si="29"/>
        <v/>
      </c>
      <c r="O217" s="27" t="str">
        <f t="shared" si="30"/>
        <v/>
      </c>
      <c r="P217" s="26" t="str">
        <f>IF($M217="","",IFERROR(INDEX(收入成本映射!$F$4:$F$34,MATCH($D217,收入成本映射!$B$4:$B$34,0)),""))</f>
        <v/>
      </c>
      <c r="Q217" s="27" t="str">
        <f t="shared" si="31"/>
        <v/>
      </c>
      <c r="R217" s="27" t="str">
        <f t="shared" si="32"/>
        <v/>
      </c>
      <c r="S217" s="26" t="str">
        <f t="shared" si="33"/>
        <v/>
      </c>
      <c r="T217" s="27" t="str">
        <f t="shared" si="34"/>
        <v/>
      </c>
      <c r="U217" s="27" t="str">
        <f t="shared" si="35"/>
        <v/>
      </c>
      <c r="V217" s="10" t="str">
        <f>IF($B217="","",IF($B217="01水果",IFERROR(INDEX(对接源_01水果!$H$5:$H$507,MATCH(ROW()-3,对接源_01水果!$Q$5:$Q$507,0)),""),IFERROR(INDEX(对接源_02物料!$H$5:$H$460,MATCH(ROW()-3-N(对接源_01水果!$T$1),对接源_02物料!$Q$5:$Q$460,0)),"")))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8" ht="18" customHeight="1" spans="1:22">
      <c r="A218" s="10">
        <v>215</v>
      </c>
      <c r="B218" s="26" t="str">
        <f>IF(ROW()-3&lt;=N(对接源_01水果!$T$1),"01水果",IF(ROW()-3&lt;=N(对接源_01水果!$T$1)+N(对接源_02物料!$T$1),"02物料",""))</f>
        <v/>
      </c>
      <c r="C218" s="125" t="str">
        <f>IF($B218="","",IF($B218="01水果",IFERROR(INDEX(对接源_01水果!$B$5:$B$507,MATCH(ROW()-3,对接源_01水果!$Q$5:$Q$507,0)),""),IFERROR(INDEX(对接源_02物料!$B$5:$B$460,MATCH(ROW()-3-N(对接源_01水果!$T$1),对接源_02物料!$Q$5:$Q$460,0)),"")))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8" s="26" t="str">
        <f>IF($B218="","",IF($B218="01水果",IFERROR(INDEX(对接源_01水果!$C$5:$C$507,MATCH(ROW()-3,对接源_01水果!$Q$5:$Q$507,0)),""),IFERROR(INDEX(对接源_02物料!$C$5:$C$460,MATCH(ROW()-3-N(对接源_01水果!$T$1),对接源_02物料!$Q$5:$Q$460,0)),"")))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8" s="126" t="str">
        <f>IF($B218="","",IF($B218="01水果",IFERROR(INDEX(对接源_01水果!$D$5:$D$507,MATCH(ROW()-3,对接源_01水果!$Q$5:$Q$507,0)),""),IFERROR(INDEX(对接源_02物料!$D$5:$D$460,MATCH(ROW()-3-N(对接源_01水果!$T$1),对接源_02物料!$Q$5:$Q$460,0)),"")))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8" s="26" t="str">
        <f>IF($B218="","",IF($B218="01水果",IFERROR(INDEX(对接源_01水果!$E$5:$E$507,MATCH(ROW()-3,对接源_01水果!$Q$5:$Q$507,0)),""),IFERROR(INDEX(对接源_02物料!$E$5:$E$460,MATCH(ROW()-3-N(对接源_01水果!$T$1),对接源_02物料!$Q$5:$Q$460,0)),"")))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8" s="27" t="str">
        <f>IF($B218="","",IF($B218="01水果",IFERROR(INDEX(对接源_01水果!$F$5:$F$507,MATCH(ROW()-3,对接源_01水果!$Q$5:$Q$507,0)),""),IFERROR(INDEX(对接源_02物料!$F$5:$F$460,MATCH(ROW()-3-N(对接源_01水果!$T$1),对接源_02物料!$Q$5:$Q$460,0)),"")))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8" s="27" t="str">
        <f>IF($B218="","",IF($B218="01水果",IFERROR(INDEX(对接源_01水果!$G$5:$G$507,MATCH(ROW()-3,对接源_01水果!$Q$5:$Q$507,0)),""),IFERROR(INDEX(对接源_02物料!$G$5:$G$460,MATCH(ROW()-3-N(对接源_01水果!$T$1),对接源_02物料!$Q$5:$Q$460,0)),"")))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8" s="26" t="str">
        <f>IFERROR(INDEX(收入成本映射!$C$4:$C$34,MATCH($D218,收入成本映射!$B$4:$B$34,0)),"不记账")</f>
        <v>不记账</v>
      </c>
      <c r="J218" s="26" t="str">
        <f t="shared" si="27"/>
        <v/>
      </c>
      <c r="K218" s="27">
        <f t="shared" si="28"/>
        <v>0</v>
      </c>
      <c r="L218" s="27">
        <v>0</v>
      </c>
      <c r="M218" s="26" t="str">
        <f>IF(OR($I218="不记账",ROUND(N($G218),2)=0),"",IFERROR(INDEX(收入成本映射!$E$4:$E$34,MATCH($D218,收入成本映射!$B$4:$B$34,0)),""))</f>
        <v/>
      </c>
      <c r="N218" s="27" t="str">
        <f t="shared" si="29"/>
        <v/>
      </c>
      <c r="O218" s="27" t="str">
        <f t="shared" si="30"/>
        <v/>
      </c>
      <c r="P218" s="26" t="str">
        <f>IF($M218="","",IFERROR(INDEX(收入成本映射!$F$4:$F$34,MATCH($D218,收入成本映射!$B$4:$B$34,0)),""))</f>
        <v/>
      </c>
      <c r="Q218" s="27" t="str">
        <f t="shared" si="31"/>
        <v/>
      </c>
      <c r="R218" s="27" t="str">
        <f t="shared" si="32"/>
        <v/>
      </c>
      <c r="S218" s="26" t="str">
        <f t="shared" si="33"/>
        <v/>
      </c>
      <c r="T218" s="27" t="str">
        <f t="shared" si="34"/>
        <v/>
      </c>
      <c r="U218" s="27" t="str">
        <f t="shared" si="35"/>
        <v/>
      </c>
      <c r="V218" s="10" t="str">
        <f>IF($B218="","",IF($B218="01水果",IFERROR(INDEX(对接源_01水果!$H$5:$H$507,MATCH(ROW()-3,对接源_01水果!$Q$5:$Q$507,0)),""),IFERROR(INDEX(对接源_02物料!$H$5:$H$460,MATCH(ROW()-3-N(对接源_01水果!$T$1),对接源_02物料!$Q$5:$Q$460,0)),"")))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9" ht="18" customHeight="1" spans="1:22">
      <c r="A219" s="10">
        <v>216</v>
      </c>
      <c r="B219" s="26" t="str">
        <f>IF(ROW()-3&lt;=N(对接源_01水果!$T$1),"01水果",IF(ROW()-3&lt;=N(对接源_01水果!$T$1)+N(对接源_02物料!$T$1),"02物料",""))</f>
        <v/>
      </c>
      <c r="C219" s="125" t="str">
        <f>IF($B219="","",IF($B219="01水果",IFERROR(INDEX(对接源_01水果!$B$5:$B$507,MATCH(ROW()-3,对接源_01水果!$Q$5:$Q$507,0)),""),IFERROR(INDEX(对接源_02物料!$B$5:$B$460,MATCH(ROW()-3-N(对接源_01水果!$T$1),对接源_02物料!$Q$5:$Q$460,0)),"")))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9" s="26" t="str">
        <f>IF($B219="","",IF($B219="01水果",IFERROR(INDEX(对接源_01水果!$C$5:$C$507,MATCH(ROW()-3,对接源_01水果!$Q$5:$Q$507,0)),""),IFERROR(INDEX(对接源_02物料!$C$5:$C$460,MATCH(ROW()-3-N(对接源_01水果!$T$1),对接源_02物料!$Q$5:$Q$460,0)),"")))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9" s="126" t="str">
        <f>IF($B219="","",IF($B219="01水果",IFERROR(INDEX(对接源_01水果!$D$5:$D$507,MATCH(ROW()-3,对接源_01水果!$Q$5:$Q$507,0)),""),IFERROR(INDEX(对接源_02物料!$D$5:$D$460,MATCH(ROW()-3-N(对接源_01水果!$T$1),对接源_02物料!$Q$5:$Q$460,0)),"")))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9" s="26" t="str">
        <f>IF($B219="","",IF($B219="01水果",IFERROR(INDEX(对接源_01水果!$E$5:$E$507,MATCH(ROW()-3,对接源_01水果!$Q$5:$Q$507,0)),""),IFERROR(INDEX(对接源_02物料!$E$5:$E$460,MATCH(ROW()-3-N(对接源_01水果!$T$1),对接源_02物料!$Q$5:$Q$460,0)),"")))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9" s="27" t="str">
        <f>IF($B219="","",IF($B219="01水果",IFERROR(INDEX(对接源_01水果!$F$5:$F$507,MATCH(ROW()-3,对接源_01水果!$Q$5:$Q$507,0)),""),IFERROR(INDEX(对接源_02物料!$F$5:$F$460,MATCH(ROW()-3-N(对接源_01水果!$T$1),对接源_02物料!$Q$5:$Q$460,0)),"")))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9" s="27" t="str">
        <f>IF($B219="","",IF($B219="01水果",IFERROR(INDEX(对接源_01水果!$G$5:$G$507,MATCH(ROW()-3,对接源_01水果!$Q$5:$Q$507,0)),""),IFERROR(INDEX(对接源_02物料!$G$5:$G$460,MATCH(ROW()-3-N(对接源_01水果!$T$1),对接源_02物料!$Q$5:$Q$460,0)),"")))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9" s="26" t="str">
        <f>IFERROR(INDEX(收入成本映射!$C$4:$C$34,MATCH($D219,收入成本映射!$B$4:$B$34,0)),"不记账")</f>
        <v>不记账</v>
      </c>
      <c r="J219" s="26" t="str">
        <f t="shared" si="27"/>
        <v/>
      </c>
      <c r="K219" s="27">
        <f t="shared" si="28"/>
        <v>0</v>
      </c>
      <c r="L219" s="27">
        <v>0</v>
      </c>
      <c r="M219" s="26" t="str">
        <f>IF(OR($I219="不记账",ROUND(N($G219),2)=0),"",IFERROR(INDEX(收入成本映射!$E$4:$E$34,MATCH($D219,收入成本映射!$B$4:$B$34,0)),""))</f>
        <v/>
      </c>
      <c r="N219" s="27" t="str">
        <f t="shared" si="29"/>
        <v/>
      </c>
      <c r="O219" s="27" t="str">
        <f t="shared" si="30"/>
        <v/>
      </c>
      <c r="P219" s="26" t="str">
        <f>IF($M219="","",IFERROR(INDEX(收入成本映射!$F$4:$F$34,MATCH($D219,收入成本映射!$B$4:$B$34,0)),""))</f>
        <v/>
      </c>
      <c r="Q219" s="27" t="str">
        <f t="shared" si="31"/>
        <v/>
      </c>
      <c r="R219" s="27" t="str">
        <f t="shared" si="32"/>
        <v/>
      </c>
      <c r="S219" s="26" t="str">
        <f t="shared" si="33"/>
        <v/>
      </c>
      <c r="T219" s="27" t="str">
        <f t="shared" si="34"/>
        <v/>
      </c>
      <c r="U219" s="27" t="str">
        <f t="shared" si="35"/>
        <v/>
      </c>
      <c r="V219" s="10" t="str">
        <f>IF($B219="","",IF($B219="01水果",IFERROR(INDEX(对接源_01水果!$H$5:$H$507,MATCH(ROW()-3,对接源_01水果!$Q$5:$Q$507,0)),""),IFERROR(INDEX(对接源_02物料!$H$5:$H$460,MATCH(ROW()-3-N(对接源_01水果!$T$1),对接源_02物料!$Q$5:$Q$460,0)),"")))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0" ht="18" customHeight="1" spans="1:22">
      <c r="A220" s="10">
        <v>217</v>
      </c>
      <c r="B220" s="26" t="str">
        <f>IF(ROW()-3&lt;=N(对接源_01水果!$T$1),"01水果",IF(ROW()-3&lt;=N(对接源_01水果!$T$1)+N(对接源_02物料!$T$1),"02物料",""))</f>
        <v/>
      </c>
      <c r="C220" s="125" t="str">
        <f>IF($B220="","",IF($B220="01水果",IFERROR(INDEX(对接源_01水果!$B$5:$B$507,MATCH(ROW()-3,对接源_01水果!$Q$5:$Q$507,0)),""),IFERROR(INDEX(对接源_02物料!$B$5:$B$460,MATCH(ROW()-3-N(对接源_01水果!$T$1),对接源_02物料!$Q$5:$Q$460,0)),"")))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0" s="26" t="str">
        <f>IF($B220="","",IF($B220="01水果",IFERROR(INDEX(对接源_01水果!$C$5:$C$507,MATCH(ROW()-3,对接源_01水果!$Q$5:$Q$507,0)),""),IFERROR(INDEX(对接源_02物料!$C$5:$C$460,MATCH(ROW()-3-N(对接源_01水果!$T$1),对接源_02物料!$Q$5:$Q$460,0)),"")))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0" s="126" t="str">
        <f>IF($B220="","",IF($B220="01水果",IFERROR(INDEX(对接源_01水果!$D$5:$D$507,MATCH(ROW()-3,对接源_01水果!$Q$5:$Q$507,0)),""),IFERROR(INDEX(对接源_02物料!$D$5:$D$460,MATCH(ROW()-3-N(对接源_01水果!$T$1),对接源_02物料!$Q$5:$Q$460,0)),"")))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0" s="26" t="str">
        <f>IF($B220="","",IF($B220="01水果",IFERROR(INDEX(对接源_01水果!$E$5:$E$507,MATCH(ROW()-3,对接源_01水果!$Q$5:$Q$507,0)),""),IFERROR(INDEX(对接源_02物料!$E$5:$E$460,MATCH(ROW()-3-N(对接源_01水果!$T$1),对接源_02物料!$Q$5:$Q$460,0)),"")))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0" s="27" t="str">
        <f>IF($B220="","",IF($B220="01水果",IFERROR(INDEX(对接源_01水果!$F$5:$F$507,MATCH(ROW()-3,对接源_01水果!$Q$5:$Q$507,0)),""),IFERROR(INDEX(对接源_02物料!$F$5:$F$460,MATCH(ROW()-3-N(对接源_01水果!$T$1),对接源_02物料!$Q$5:$Q$460,0)),"")))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0" s="27" t="str">
        <f>IF($B220="","",IF($B220="01水果",IFERROR(INDEX(对接源_01水果!$G$5:$G$507,MATCH(ROW()-3,对接源_01水果!$Q$5:$Q$507,0)),""),IFERROR(INDEX(对接源_02物料!$G$5:$G$460,MATCH(ROW()-3-N(对接源_01水果!$T$1),对接源_02物料!$Q$5:$Q$460,0)),"")))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0" s="26" t="str">
        <f>IFERROR(INDEX(收入成本映射!$C$4:$C$34,MATCH($D220,收入成本映射!$B$4:$B$34,0)),"不记账")</f>
        <v>不记账</v>
      </c>
      <c r="J220" s="26" t="str">
        <f t="shared" si="27"/>
        <v/>
      </c>
      <c r="K220" s="27">
        <f t="shared" si="28"/>
        <v>0</v>
      </c>
      <c r="L220" s="27">
        <v>0</v>
      </c>
      <c r="M220" s="26" t="str">
        <f>IF(OR($I220="不记账",ROUND(N($G220),2)=0),"",IFERROR(INDEX(收入成本映射!$E$4:$E$34,MATCH($D220,收入成本映射!$B$4:$B$34,0)),""))</f>
        <v/>
      </c>
      <c r="N220" s="27" t="str">
        <f t="shared" si="29"/>
        <v/>
      </c>
      <c r="O220" s="27" t="str">
        <f t="shared" si="30"/>
        <v/>
      </c>
      <c r="P220" s="26" t="str">
        <f>IF($M220="","",IFERROR(INDEX(收入成本映射!$F$4:$F$34,MATCH($D220,收入成本映射!$B$4:$B$34,0)),""))</f>
        <v/>
      </c>
      <c r="Q220" s="27" t="str">
        <f t="shared" si="31"/>
        <v/>
      </c>
      <c r="R220" s="27" t="str">
        <f t="shared" si="32"/>
        <v/>
      </c>
      <c r="S220" s="26" t="str">
        <f t="shared" si="33"/>
        <v/>
      </c>
      <c r="T220" s="27" t="str">
        <f t="shared" si="34"/>
        <v/>
      </c>
      <c r="U220" s="27" t="str">
        <f t="shared" si="35"/>
        <v/>
      </c>
      <c r="V220" s="10" t="str">
        <f>IF($B220="","",IF($B220="01水果",IFERROR(INDEX(对接源_01水果!$H$5:$H$507,MATCH(ROW()-3,对接源_01水果!$Q$5:$Q$507,0)),""),IFERROR(INDEX(对接源_02物料!$H$5:$H$460,MATCH(ROW()-3-N(对接源_01水果!$T$1),对接源_02物料!$Q$5:$Q$460,0)),"")))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1" ht="18" customHeight="1" spans="1:22">
      <c r="A221" s="10">
        <v>218</v>
      </c>
      <c r="B221" s="26" t="str">
        <f>IF(ROW()-3&lt;=N(对接源_01水果!$T$1),"01水果",IF(ROW()-3&lt;=N(对接源_01水果!$T$1)+N(对接源_02物料!$T$1),"02物料",""))</f>
        <v/>
      </c>
      <c r="C221" s="125" t="str">
        <f>IF($B221="","",IF($B221="01水果",IFERROR(INDEX(对接源_01水果!$B$5:$B$507,MATCH(ROW()-3,对接源_01水果!$Q$5:$Q$507,0)),""),IFERROR(INDEX(对接源_02物料!$B$5:$B$460,MATCH(ROW()-3-N(对接源_01水果!$T$1),对接源_02物料!$Q$5:$Q$460,0)),"")))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1" s="26" t="str">
        <f>IF($B221="","",IF($B221="01水果",IFERROR(INDEX(对接源_01水果!$C$5:$C$507,MATCH(ROW()-3,对接源_01水果!$Q$5:$Q$507,0)),""),IFERROR(INDEX(对接源_02物料!$C$5:$C$460,MATCH(ROW()-3-N(对接源_01水果!$T$1),对接源_02物料!$Q$5:$Q$460,0)),"")))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1" s="126" t="str">
        <f>IF($B221="","",IF($B221="01水果",IFERROR(INDEX(对接源_01水果!$D$5:$D$507,MATCH(ROW()-3,对接源_01水果!$Q$5:$Q$507,0)),""),IFERROR(INDEX(对接源_02物料!$D$5:$D$460,MATCH(ROW()-3-N(对接源_01水果!$T$1),对接源_02物料!$Q$5:$Q$460,0)),"")))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1" s="26" t="str">
        <f>IF($B221="","",IF($B221="01水果",IFERROR(INDEX(对接源_01水果!$E$5:$E$507,MATCH(ROW()-3,对接源_01水果!$Q$5:$Q$507,0)),""),IFERROR(INDEX(对接源_02物料!$E$5:$E$460,MATCH(ROW()-3-N(对接源_01水果!$T$1),对接源_02物料!$Q$5:$Q$460,0)),"")))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1" s="27" t="str">
        <f>IF($B221="","",IF($B221="01水果",IFERROR(INDEX(对接源_01水果!$F$5:$F$507,MATCH(ROW()-3,对接源_01水果!$Q$5:$Q$507,0)),""),IFERROR(INDEX(对接源_02物料!$F$5:$F$460,MATCH(ROW()-3-N(对接源_01水果!$T$1),对接源_02物料!$Q$5:$Q$460,0)),"")))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1" s="27" t="str">
        <f>IF($B221="","",IF($B221="01水果",IFERROR(INDEX(对接源_01水果!$G$5:$G$507,MATCH(ROW()-3,对接源_01水果!$Q$5:$Q$507,0)),""),IFERROR(INDEX(对接源_02物料!$G$5:$G$460,MATCH(ROW()-3-N(对接源_01水果!$T$1),对接源_02物料!$Q$5:$Q$460,0)),"")))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1" s="26" t="str">
        <f>IFERROR(INDEX(收入成本映射!$C$4:$C$34,MATCH($D221,收入成本映射!$B$4:$B$34,0)),"不记账")</f>
        <v>不记账</v>
      </c>
      <c r="J221" s="26" t="str">
        <f t="shared" si="27"/>
        <v/>
      </c>
      <c r="K221" s="27">
        <f t="shared" si="28"/>
        <v>0</v>
      </c>
      <c r="L221" s="27">
        <v>0</v>
      </c>
      <c r="M221" s="26" t="str">
        <f>IF(OR($I221="不记账",ROUND(N($G221),2)=0),"",IFERROR(INDEX(收入成本映射!$E$4:$E$34,MATCH($D221,收入成本映射!$B$4:$B$34,0)),""))</f>
        <v/>
      </c>
      <c r="N221" s="27" t="str">
        <f t="shared" si="29"/>
        <v/>
      </c>
      <c r="O221" s="27" t="str">
        <f t="shared" si="30"/>
        <v/>
      </c>
      <c r="P221" s="26" t="str">
        <f>IF($M221="","",IFERROR(INDEX(收入成本映射!$F$4:$F$34,MATCH($D221,收入成本映射!$B$4:$B$34,0)),""))</f>
        <v/>
      </c>
      <c r="Q221" s="27" t="str">
        <f t="shared" si="31"/>
        <v/>
      </c>
      <c r="R221" s="27" t="str">
        <f t="shared" si="32"/>
        <v/>
      </c>
      <c r="S221" s="26" t="str">
        <f t="shared" si="33"/>
        <v/>
      </c>
      <c r="T221" s="27" t="str">
        <f t="shared" si="34"/>
        <v/>
      </c>
      <c r="U221" s="27" t="str">
        <f t="shared" si="35"/>
        <v/>
      </c>
      <c r="V221" s="10" t="str">
        <f>IF($B221="","",IF($B221="01水果",IFERROR(INDEX(对接源_01水果!$H$5:$H$507,MATCH(ROW()-3,对接源_01水果!$Q$5:$Q$507,0)),""),IFERROR(INDEX(对接源_02物料!$H$5:$H$460,MATCH(ROW()-3-N(对接源_01水果!$T$1),对接源_02物料!$Q$5:$Q$460,0)),"")))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2" ht="18" customHeight="1" spans="1:22">
      <c r="A222" s="10">
        <v>219</v>
      </c>
      <c r="B222" s="26" t="str">
        <f>IF(ROW()-3&lt;=N(对接源_01水果!$T$1),"01水果",IF(ROW()-3&lt;=N(对接源_01水果!$T$1)+N(对接源_02物料!$T$1),"02物料",""))</f>
        <v/>
      </c>
      <c r="C222" s="125" t="str">
        <f>IF($B222="","",IF($B222="01水果",IFERROR(INDEX(对接源_01水果!$B$5:$B$507,MATCH(ROW()-3,对接源_01水果!$Q$5:$Q$507,0)),""),IFERROR(INDEX(对接源_02物料!$B$5:$B$460,MATCH(ROW()-3-N(对接源_01水果!$T$1),对接源_02物料!$Q$5:$Q$460,0)),"")))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2" s="26" t="str">
        <f>IF($B222="","",IF($B222="01水果",IFERROR(INDEX(对接源_01水果!$C$5:$C$507,MATCH(ROW()-3,对接源_01水果!$Q$5:$Q$507,0)),""),IFERROR(INDEX(对接源_02物料!$C$5:$C$460,MATCH(ROW()-3-N(对接源_01水果!$T$1),对接源_02物料!$Q$5:$Q$460,0)),"")))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2" s="126" t="str">
        <f>IF($B222="","",IF($B222="01水果",IFERROR(INDEX(对接源_01水果!$D$5:$D$507,MATCH(ROW()-3,对接源_01水果!$Q$5:$Q$507,0)),""),IFERROR(INDEX(对接源_02物料!$D$5:$D$460,MATCH(ROW()-3-N(对接源_01水果!$T$1),对接源_02物料!$Q$5:$Q$460,0)),"")))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2" s="26" t="str">
        <f>IF($B222="","",IF($B222="01水果",IFERROR(INDEX(对接源_01水果!$E$5:$E$507,MATCH(ROW()-3,对接源_01水果!$Q$5:$Q$507,0)),""),IFERROR(INDEX(对接源_02物料!$E$5:$E$460,MATCH(ROW()-3-N(对接源_01水果!$T$1),对接源_02物料!$Q$5:$Q$460,0)),"")))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2" s="27" t="str">
        <f>IF($B222="","",IF($B222="01水果",IFERROR(INDEX(对接源_01水果!$F$5:$F$507,MATCH(ROW()-3,对接源_01水果!$Q$5:$Q$507,0)),""),IFERROR(INDEX(对接源_02物料!$F$5:$F$460,MATCH(ROW()-3-N(对接源_01水果!$T$1),对接源_02物料!$Q$5:$Q$460,0)),"")))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2" s="27" t="str">
        <f>IF($B222="","",IF($B222="01水果",IFERROR(INDEX(对接源_01水果!$G$5:$G$507,MATCH(ROW()-3,对接源_01水果!$Q$5:$Q$507,0)),""),IFERROR(INDEX(对接源_02物料!$G$5:$G$460,MATCH(ROW()-3-N(对接源_01水果!$T$1),对接源_02物料!$Q$5:$Q$460,0)),"")))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2" s="26" t="str">
        <f>IFERROR(INDEX(收入成本映射!$C$4:$C$34,MATCH($D222,收入成本映射!$B$4:$B$34,0)),"不记账")</f>
        <v>不记账</v>
      </c>
      <c r="J222" s="26" t="str">
        <f t="shared" si="27"/>
        <v/>
      </c>
      <c r="K222" s="27">
        <f t="shared" si="28"/>
        <v>0</v>
      </c>
      <c r="L222" s="27">
        <v>0</v>
      </c>
      <c r="M222" s="26" t="str">
        <f>IF(OR($I222="不记账",ROUND(N($G222),2)=0),"",IFERROR(INDEX(收入成本映射!$E$4:$E$34,MATCH($D222,收入成本映射!$B$4:$B$34,0)),""))</f>
        <v/>
      </c>
      <c r="N222" s="27" t="str">
        <f t="shared" si="29"/>
        <v/>
      </c>
      <c r="O222" s="27" t="str">
        <f t="shared" si="30"/>
        <v/>
      </c>
      <c r="P222" s="26" t="str">
        <f>IF($M222="","",IFERROR(INDEX(收入成本映射!$F$4:$F$34,MATCH($D222,收入成本映射!$B$4:$B$34,0)),""))</f>
        <v/>
      </c>
      <c r="Q222" s="27" t="str">
        <f t="shared" si="31"/>
        <v/>
      </c>
      <c r="R222" s="27" t="str">
        <f t="shared" si="32"/>
        <v/>
      </c>
      <c r="S222" s="26" t="str">
        <f t="shared" si="33"/>
        <v/>
      </c>
      <c r="T222" s="27" t="str">
        <f t="shared" si="34"/>
        <v/>
      </c>
      <c r="U222" s="27" t="str">
        <f t="shared" si="35"/>
        <v/>
      </c>
      <c r="V222" s="10" t="str">
        <f>IF($B222="","",IF($B222="01水果",IFERROR(INDEX(对接源_01水果!$H$5:$H$507,MATCH(ROW()-3,对接源_01水果!$Q$5:$Q$507,0)),""),IFERROR(INDEX(对接源_02物料!$H$5:$H$460,MATCH(ROW()-3-N(对接源_01水果!$T$1),对接源_02物料!$Q$5:$Q$460,0)),"")))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3" ht="18" customHeight="1" spans="1:22">
      <c r="A223" s="10">
        <v>220</v>
      </c>
      <c r="B223" s="26" t="str">
        <f>IF(ROW()-3&lt;=N(对接源_01水果!$T$1),"01水果",IF(ROW()-3&lt;=N(对接源_01水果!$T$1)+N(对接源_02物料!$T$1),"02物料",""))</f>
        <v/>
      </c>
      <c r="C223" s="125" t="str">
        <f>IF($B223="","",IF($B223="01水果",IFERROR(INDEX(对接源_01水果!$B$5:$B$507,MATCH(ROW()-3,对接源_01水果!$Q$5:$Q$507,0)),""),IFERROR(INDEX(对接源_02物料!$B$5:$B$460,MATCH(ROW()-3-N(对接源_01水果!$T$1),对接源_02物料!$Q$5:$Q$460,0)),"")))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3" s="26" t="str">
        <f>IF($B223="","",IF($B223="01水果",IFERROR(INDEX(对接源_01水果!$C$5:$C$507,MATCH(ROW()-3,对接源_01水果!$Q$5:$Q$507,0)),""),IFERROR(INDEX(对接源_02物料!$C$5:$C$460,MATCH(ROW()-3-N(对接源_01水果!$T$1),对接源_02物料!$Q$5:$Q$460,0)),"")))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3" s="126" t="str">
        <f>IF($B223="","",IF($B223="01水果",IFERROR(INDEX(对接源_01水果!$D$5:$D$507,MATCH(ROW()-3,对接源_01水果!$Q$5:$Q$507,0)),""),IFERROR(INDEX(对接源_02物料!$D$5:$D$460,MATCH(ROW()-3-N(对接源_01水果!$T$1),对接源_02物料!$Q$5:$Q$460,0)),"")))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3" s="26" t="str">
        <f>IF($B223="","",IF($B223="01水果",IFERROR(INDEX(对接源_01水果!$E$5:$E$507,MATCH(ROW()-3,对接源_01水果!$Q$5:$Q$507,0)),""),IFERROR(INDEX(对接源_02物料!$E$5:$E$460,MATCH(ROW()-3-N(对接源_01水果!$T$1),对接源_02物料!$Q$5:$Q$460,0)),"")))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3" s="27" t="str">
        <f>IF($B223="","",IF($B223="01水果",IFERROR(INDEX(对接源_01水果!$F$5:$F$507,MATCH(ROW()-3,对接源_01水果!$Q$5:$Q$507,0)),""),IFERROR(INDEX(对接源_02物料!$F$5:$F$460,MATCH(ROW()-3-N(对接源_01水果!$T$1),对接源_02物料!$Q$5:$Q$460,0)),"")))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3" s="27" t="str">
        <f>IF($B223="","",IF($B223="01水果",IFERROR(INDEX(对接源_01水果!$G$5:$G$507,MATCH(ROW()-3,对接源_01水果!$Q$5:$Q$507,0)),""),IFERROR(INDEX(对接源_02物料!$G$5:$G$460,MATCH(ROW()-3-N(对接源_01水果!$T$1),对接源_02物料!$Q$5:$Q$460,0)),"")))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3" s="26" t="str">
        <f>IFERROR(INDEX(收入成本映射!$C$4:$C$34,MATCH($D223,收入成本映射!$B$4:$B$34,0)),"不记账")</f>
        <v>不记账</v>
      </c>
      <c r="J223" s="26" t="str">
        <f t="shared" si="27"/>
        <v/>
      </c>
      <c r="K223" s="27">
        <f t="shared" si="28"/>
        <v>0</v>
      </c>
      <c r="L223" s="27">
        <v>0</v>
      </c>
      <c r="M223" s="26" t="str">
        <f>IF(OR($I223="不记账",ROUND(N($G223),2)=0),"",IFERROR(INDEX(收入成本映射!$E$4:$E$34,MATCH($D223,收入成本映射!$B$4:$B$34,0)),""))</f>
        <v/>
      </c>
      <c r="N223" s="27" t="str">
        <f t="shared" si="29"/>
        <v/>
      </c>
      <c r="O223" s="27" t="str">
        <f t="shared" si="30"/>
        <v/>
      </c>
      <c r="P223" s="26" t="str">
        <f>IF($M223="","",IFERROR(INDEX(收入成本映射!$F$4:$F$34,MATCH($D223,收入成本映射!$B$4:$B$34,0)),""))</f>
        <v/>
      </c>
      <c r="Q223" s="27" t="str">
        <f t="shared" si="31"/>
        <v/>
      </c>
      <c r="R223" s="27" t="str">
        <f t="shared" si="32"/>
        <v/>
      </c>
      <c r="S223" s="26" t="str">
        <f t="shared" si="33"/>
        <v/>
      </c>
      <c r="T223" s="27" t="str">
        <f t="shared" si="34"/>
        <v/>
      </c>
      <c r="U223" s="27" t="str">
        <f t="shared" si="35"/>
        <v/>
      </c>
      <c r="V223" s="10" t="str">
        <f>IF($B223="","",IF($B223="01水果",IFERROR(INDEX(对接源_01水果!$H$5:$H$507,MATCH(ROW()-3,对接源_01水果!$Q$5:$Q$507,0)),""),IFERROR(INDEX(对接源_02物料!$H$5:$H$460,MATCH(ROW()-3-N(对接源_01水果!$T$1),对接源_02物料!$Q$5:$Q$460,0)),"")))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4" ht="18" customHeight="1" spans="1:22">
      <c r="A224" s="10">
        <v>221</v>
      </c>
      <c r="B224" s="26" t="str">
        <f>IF(ROW()-3&lt;=N(对接源_01水果!$T$1),"01水果",IF(ROW()-3&lt;=N(对接源_01水果!$T$1)+N(对接源_02物料!$T$1),"02物料",""))</f>
        <v/>
      </c>
      <c r="C224" s="125" t="str">
        <f>IF($B224="","",IF($B224="01水果",IFERROR(INDEX(对接源_01水果!$B$5:$B$507,MATCH(ROW()-3,对接源_01水果!$Q$5:$Q$507,0)),""),IFERROR(INDEX(对接源_02物料!$B$5:$B$460,MATCH(ROW()-3-N(对接源_01水果!$T$1),对接源_02物料!$Q$5:$Q$460,0)),"")))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4" s="26" t="str">
        <f>IF($B224="","",IF($B224="01水果",IFERROR(INDEX(对接源_01水果!$C$5:$C$507,MATCH(ROW()-3,对接源_01水果!$Q$5:$Q$507,0)),""),IFERROR(INDEX(对接源_02物料!$C$5:$C$460,MATCH(ROW()-3-N(对接源_01水果!$T$1),对接源_02物料!$Q$5:$Q$460,0)),"")))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4" s="126" t="str">
        <f>IF($B224="","",IF($B224="01水果",IFERROR(INDEX(对接源_01水果!$D$5:$D$507,MATCH(ROW()-3,对接源_01水果!$Q$5:$Q$507,0)),""),IFERROR(INDEX(对接源_02物料!$D$5:$D$460,MATCH(ROW()-3-N(对接源_01水果!$T$1),对接源_02物料!$Q$5:$Q$460,0)),"")))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4" s="26" t="str">
        <f>IF($B224="","",IF($B224="01水果",IFERROR(INDEX(对接源_01水果!$E$5:$E$507,MATCH(ROW()-3,对接源_01水果!$Q$5:$Q$507,0)),""),IFERROR(INDEX(对接源_02物料!$E$5:$E$460,MATCH(ROW()-3-N(对接源_01水果!$T$1),对接源_02物料!$Q$5:$Q$460,0)),"")))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4" s="27" t="str">
        <f>IF($B224="","",IF($B224="01水果",IFERROR(INDEX(对接源_01水果!$F$5:$F$507,MATCH(ROW()-3,对接源_01水果!$Q$5:$Q$507,0)),""),IFERROR(INDEX(对接源_02物料!$F$5:$F$460,MATCH(ROW()-3-N(对接源_01水果!$T$1),对接源_02物料!$Q$5:$Q$460,0)),"")))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4" s="27" t="str">
        <f>IF($B224="","",IF($B224="01水果",IFERROR(INDEX(对接源_01水果!$G$5:$G$507,MATCH(ROW()-3,对接源_01水果!$Q$5:$Q$507,0)),""),IFERROR(INDEX(对接源_02物料!$G$5:$G$460,MATCH(ROW()-3-N(对接源_01水果!$T$1),对接源_02物料!$Q$5:$Q$460,0)),"")))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4" s="26" t="str">
        <f>IFERROR(INDEX(收入成本映射!$C$4:$C$34,MATCH($D224,收入成本映射!$B$4:$B$34,0)),"不记账")</f>
        <v>不记账</v>
      </c>
      <c r="J224" s="26" t="str">
        <f t="shared" si="27"/>
        <v/>
      </c>
      <c r="K224" s="27">
        <f t="shared" si="28"/>
        <v>0</v>
      </c>
      <c r="L224" s="27">
        <v>0</v>
      </c>
      <c r="M224" s="26" t="str">
        <f>IF(OR($I224="不记账",ROUND(N($G224),2)=0),"",IFERROR(INDEX(收入成本映射!$E$4:$E$34,MATCH($D224,收入成本映射!$B$4:$B$34,0)),""))</f>
        <v/>
      </c>
      <c r="N224" s="27" t="str">
        <f t="shared" si="29"/>
        <v/>
      </c>
      <c r="O224" s="27" t="str">
        <f t="shared" si="30"/>
        <v/>
      </c>
      <c r="P224" s="26" t="str">
        <f>IF($M224="","",IFERROR(INDEX(收入成本映射!$F$4:$F$34,MATCH($D224,收入成本映射!$B$4:$B$34,0)),""))</f>
        <v/>
      </c>
      <c r="Q224" s="27" t="str">
        <f t="shared" si="31"/>
        <v/>
      </c>
      <c r="R224" s="27" t="str">
        <f t="shared" si="32"/>
        <v/>
      </c>
      <c r="S224" s="26" t="str">
        <f t="shared" si="33"/>
        <v/>
      </c>
      <c r="T224" s="27" t="str">
        <f t="shared" si="34"/>
        <v/>
      </c>
      <c r="U224" s="27" t="str">
        <f t="shared" si="35"/>
        <v/>
      </c>
      <c r="V224" s="10" t="str">
        <f>IF($B224="","",IF($B224="01水果",IFERROR(INDEX(对接源_01水果!$H$5:$H$507,MATCH(ROW()-3,对接源_01水果!$Q$5:$Q$507,0)),""),IFERROR(INDEX(对接源_02物料!$H$5:$H$460,MATCH(ROW()-3-N(对接源_01水果!$T$1),对接源_02物料!$Q$5:$Q$460,0)),"")))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5" ht="18" customHeight="1" spans="1:22">
      <c r="A225" s="10">
        <v>222</v>
      </c>
      <c r="B225" s="26" t="str">
        <f>IF(ROW()-3&lt;=N(对接源_01水果!$T$1),"01水果",IF(ROW()-3&lt;=N(对接源_01水果!$T$1)+N(对接源_02物料!$T$1),"02物料",""))</f>
        <v/>
      </c>
      <c r="C225" s="125" t="str">
        <f>IF($B225="","",IF($B225="01水果",IFERROR(INDEX(对接源_01水果!$B$5:$B$507,MATCH(ROW()-3,对接源_01水果!$Q$5:$Q$507,0)),""),IFERROR(INDEX(对接源_02物料!$B$5:$B$460,MATCH(ROW()-3-N(对接源_01水果!$T$1),对接源_02物料!$Q$5:$Q$460,0)),"")))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5" s="26" t="str">
        <f>IF($B225="","",IF($B225="01水果",IFERROR(INDEX(对接源_01水果!$C$5:$C$507,MATCH(ROW()-3,对接源_01水果!$Q$5:$Q$507,0)),""),IFERROR(INDEX(对接源_02物料!$C$5:$C$460,MATCH(ROW()-3-N(对接源_01水果!$T$1),对接源_02物料!$Q$5:$Q$460,0)),"")))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5" s="126" t="str">
        <f>IF($B225="","",IF($B225="01水果",IFERROR(INDEX(对接源_01水果!$D$5:$D$507,MATCH(ROW()-3,对接源_01水果!$Q$5:$Q$507,0)),""),IFERROR(INDEX(对接源_02物料!$D$5:$D$460,MATCH(ROW()-3-N(对接源_01水果!$T$1),对接源_02物料!$Q$5:$Q$460,0)),"")))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5" s="26" t="str">
        <f>IF($B225="","",IF($B225="01水果",IFERROR(INDEX(对接源_01水果!$E$5:$E$507,MATCH(ROW()-3,对接源_01水果!$Q$5:$Q$507,0)),""),IFERROR(INDEX(对接源_02物料!$E$5:$E$460,MATCH(ROW()-3-N(对接源_01水果!$T$1),对接源_02物料!$Q$5:$Q$460,0)),"")))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5" s="27" t="str">
        <f>IF($B225="","",IF($B225="01水果",IFERROR(INDEX(对接源_01水果!$F$5:$F$507,MATCH(ROW()-3,对接源_01水果!$Q$5:$Q$507,0)),""),IFERROR(INDEX(对接源_02物料!$F$5:$F$460,MATCH(ROW()-3-N(对接源_01水果!$T$1),对接源_02物料!$Q$5:$Q$460,0)),"")))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5" s="27" t="str">
        <f>IF($B225="","",IF($B225="01水果",IFERROR(INDEX(对接源_01水果!$G$5:$G$507,MATCH(ROW()-3,对接源_01水果!$Q$5:$Q$507,0)),""),IFERROR(INDEX(对接源_02物料!$G$5:$G$460,MATCH(ROW()-3-N(对接源_01水果!$T$1),对接源_02物料!$Q$5:$Q$460,0)),"")))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5" s="26" t="str">
        <f>IFERROR(INDEX(收入成本映射!$C$4:$C$34,MATCH($D225,收入成本映射!$B$4:$B$34,0)),"不记账")</f>
        <v>不记账</v>
      </c>
      <c r="J225" s="26" t="str">
        <f t="shared" si="27"/>
        <v/>
      </c>
      <c r="K225" s="27">
        <f t="shared" si="28"/>
        <v>0</v>
      </c>
      <c r="L225" s="27">
        <v>0</v>
      </c>
      <c r="M225" s="26" t="str">
        <f>IF(OR($I225="不记账",ROUND(N($G225),2)=0),"",IFERROR(INDEX(收入成本映射!$E$4:$E$34,MATCH($D225,收入成本映射!$B$4:$B$34,0)),""))</f>
        <v/>
      </c>
      <c r="N225" s="27" t="str">
        <f t="shared" si="29"/>
        <v/>
      </c>
      <c r="O225" s="27" t="str">
        <f t="shared" si="30"/>
        <v/>
      </c>
      <c r="P225" s="26" t="str">
        <f>IF($M225="","",IFERROR(INDEX(收入成本映射!$F$4:$F$34,MATCH($D225,收入成本映射!$B$4:$B$34,0)),""))</f>
        <v/>
      </c>
      <c r="Q225" s="27" t="str">
        <f t="shared" si="31"/>
        <v/>
      </c>
      <c r="R225" s="27" t="str">
        <f t="shared" si="32"/>
        <v/>
      </c>
      <c r="S225" s="26" t="str">
        <f t="shared" si="33"/>
        <v/>
      </c>
      <c r="T225" s="27" t="str">
        <f t="shared" si="34"/>
        <v/>
      </c>
      <c r="U225" s="27" t="str">
        <f t="shared" si="35"/>
        <v/>
      </c>
      <c r="V225" s="10" t="str">
        <f>IF($B225="","",IF($B225="01水果",IFERROR(INDEX(对接源_01水果!$H$5:$H$507,MATCH(ROW()-3,对接源_01水果!$Q$5:$Q$507,0)),""),IFERROR(INDEX(对接源_02物料!$H$5:$H$460,MATCH(ROW()-3-N(对接源_01水果!$T$1),对接源_02物料!$Q$5:$Q$460,0)),"")))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6" ht="18" customHeight="1" spans="1:22">
      <c r="A226" s="10">
        <v>223</v>
      </c>
      <c r="B226" s="26" t="str">
        <f>IF(ROW()-3&lt;=N(对接源_01水果!$T$1),"01水果",IF(ROW()-3&lt;=N(对接源_01水果!$T$1)+N(对接源_02物料!$T$1),"02物料",""))</f>
        <v/>
      </c>
      <c r="C226" s="125" t="str">
        <f>IF($B226="","",IF($B226="01水果",IFERROR(INDEX(对接源_01水果!$B$5:$B$507,MATCH(ROW()-3,对接源_01水果!$Q$5:$Q$507,0)),""),IFERROR(INDEX(对接源_02物料!$B$5:$B$460,MATCH(ROW()-3-N(对接源_01水果!$T$1),对接源_02物料!$Q$5:$Q$460,0)),"")))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6" s="26" t="str">
        <f>IF($B226="","",IF($B226="01水果",IFERROR(INDEX(对接源_01水果!$C$5:$C$507,MATCH(ROW()-3,对接源_01水果!$Q$5:$Q$507,0)),""),IFERROR(INDEX(对接源_02物料!$C$5:$C$460,MATCH(ROW()-3-N(对接源_01水果!$T$1),对接源_02物料!$Q$5:$Q$460,0)),"")))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6" s="126" t="str">
        <f>IF($B226="","",IF($B226="01水果",IFERROR(INDEX(对接源_01水果!$D$5:$D$507,MATCH(ROW()-3,对接源_01水果!$Q$5:$Q$507,0)),""),IFERROR(INDEX(对接源_02物料!$D$5:$D$460,MATCH(ROW()-3-N(对接源_01水果!$T$1),对接源_02物料!$Q$5:$Q$460,0)),"")))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6" s="26" t="str">
        <f>IF($B226="","",IF($B226="01水果",IFERROR(INDEX(对接源_01水果!$E$5:$E$507,MATCH(ROW()-3,对接源_01水果!$Q$5:$Q$507,0)),""),IFERROR(INDEX(对接源_02物料!$E$5:$E$460,MATCH(ROW()-3-N(对接源_01水果!$T$1),对接源_02物料!$Q$5:$Q$460,0)),"")))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6" s="27" t="str">
        <f>IF($B226="","",IF($B226="01水果",IFERROR(INDEX(对接源_01水果!$F$5:$F$507,MATCH(ROW()-3,对接源_01水果!$Q$5:$Q$507,0)),""),IFERROR(INDEX(对接源_02物料!$F$5:$F$460,MATCH(ROW()-3-N(对接源_01水果!$T$1),对接源_02物料!$Q$5:$Q$460,0)),"")))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6" s="27" t="str">
        <f>IF($B226="","",IF($B226="01水果",IFERROR(INDEX(对接源_01水果!$G$5:$G$507,MATCH(ROW()-3,对接源_01水果!$Q$5:$Q$507,0)),""),IFERROR(INDEX(对接源_02物料!$G$5:$G$460,MATCH(ROW()-3-N(对接源_01水果!$T$1),对接源_02物料!$Q$5:$Q$460,0)),"")))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6" s="26" t="str">
        <f>IFERROR(INDEX(收入成本映射!$C$4:$C$34,MATCH($D226,收入成本映射!$B$4:$B$34,0)),"不记账")</f>
        <v>不记账</v>
      </c>
      <c r="J226" s="26" t="str">
        <f t="shared" si="27"/>
        <v/>
      </c>
      <c r="K226" s="27">
        <f t="shared" si="28"/>
        <v>0</v>
      </c>
      <c r="L226" s="27">
        <v>0</v>
      </c>
      <c r="M226" s="26" t="str">
        <f>IF(OR($I226="不记账",ROUND(N($G226),2)=0),"",IFERROR(INDEX(收入成本映射!$E$4:$E$34,MATCH($D226,收入成本映射!$B$4:$B$34,0)),""))</f>
        <v/>
      </c>
      <c r="N226" s="27" t="str">
        <f t="shared" si="29"/>
        <v/>
      </c>
      <c r="O226" s="27" t="str">
        <f t="shared" si="30"/>
        <v/>
      </c>
      <c r="P226" s="26" t="str">
        <f>IF($M226="","",IFERROR(INDEX(收入成本映射!$F$4:$F$34,MATCH($D226,收入成本映射!$B$4:$B$34,0)),""))</f>
        <v/>
      </c>
      <c r="Q226" s="27" t="str">
        <f t="shared" si="31"/>
        <v/>
      </c>
      <c r="R226" s="27" t="str">
        <f t="shared" si="32"/>
        <v/>
      </c>
      <c r="S226" s="26" t="str">
        <f t="shared" si="33"/>
        <v/>
      </c>
      <c r="T226" s="27" t="str">
        <f t="shared" si="34"/>
        <v/>
      </c>
      <c r="U226" s="27" t="str">
        <f t="shared" si="35"/>
        <v/>
      </c>
      <c r="V226" s="10" t="str">
        <f>IF($B226="","",IF($B226="01水果",IFERROR(INDEX(对接源_01水果!$H$5:$H$507,MATCH(ROW()-3,对接源_01水果!$Q$5:$Q$507,0)),""),IFERROR(INDEX(对接源_02物料!$H$5:$H$460,MATCH(ROW()-3-N(对接源_01水果!$T$1),对接源_02物料!$Q$5:$Q$460,0)),"")))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7" ht="18" customHeight="1" spans="1:22">
      <c r="A227" s="10">
        <v>224</v>
      </c>
      <c r="B227" s="26" t="str">
        <f>IF(ROW()-3&lt;=N(对接源_01水果!$T$1),"01水果",IF(ROW()-3&lt;=N(对接源_01水果!$T$1)+N(对接源_02物料!$T$1),"02物料",""))</f>
        <v/>
      </c>
      <c r="C227" s="125" t="str">
        <f>IF($B227="","",IF($B227="01水果",IFERROR(INDEX(对接源_01水果!$B$5:$B$507,MATCH(ROW()-3,对接源_01水果!$Q$5:$Q$507,0)),""),IFERROR(INDEX(对接源_02物料!$B$5:$B$460,MATCH(ROW()-3-N(对接源_01水果!$T$1),对接源_02物料!$Q$5:$Q$460,0)),"")))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7" s="26" t="str">
        <f>IF($B227="","",IF($B227="01水果",IFERROR(INDEX(对接源_01水果!$C$5:$C$507,MATCH(ROW()-3,对接源_01水果!$Q$5:$Q$507,0)),""),IFERROR(INDEX(对接源_02物料!$C$5:$C$460,MATCH(ROW()-3-N(对接源_01水果!$T$1),对接源_02物料!$Q$5:$Q$460,0)),"")))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7" s="126" t="str">
        <f>IF($B227="","",IF($B227="01水果",IFERROR(INDEX(对接源_01水果!$D$5:$D$507,MATCH(ROW()-3,对接源_01水果!$Q$5:$Q$507,0)),""),IFERROR(INDEX(对接源_02物料!$D$5:$D$460,MATCH(ROW()-3-N(对接源_01水果!$T$1),对接源_02物料!$Q$5:$Q$460,0)),"")))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7" s="26" t="str">
        <f>IF($B227="","",IF($B227="01水果",IFERROR(INDEX(对接源_01水果!$E$5:$E$507,MATCH(ROW()-3,对接源_01水果!$Q$5:$Q$507,0)),""),IFERROR(INDEX(对接源_02物料!$E$5:$E$460,MATCH(ROW()-3-N(对接源_01水果!$T$1),对接源_02物料!$Q$5:$Q$460,0)),"")))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7" s="27" t="str">
        <f>IF($B227="","",IF($B227="01水果",IFERROR(INDEX(对接源_01水果!$F$5:$F$507,MATCH(ROW()-3,对接源_01水果!$Q$5:$Q$507,0)),""),IFERROR(INDEX(对接源_02物料!$F$5:$F$460,MATCH(ROW()-3-N(对接源_01水果!$T$1),对接源_02物料!$Q$5:$Q$460,0)),"")))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7" s="27" t="str">
        <f>IF($B227="","",IF($B227="01水果",IFERROR(INDEX(对接源_01水果!$G$5:$G$507,MATCH(ROW()-3,对接源_01水果!$Q$5:$Q$507,0)),""),IFERROR(INDEX(对接源_02物料!$G$5:$G$460,MATCH(ROW()-3-N(对接源_01水果!$T$1),对接源_02物料!$Q$5:$Q$460,0)),"")))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7" s="26" t="str">
        <f>IFERROR(INDEX(收入成本映射!$C$4:$C$34,MATCH($D227,收入成本映射!$B$4:$B$34,0)),"不记账")</f>
        <v>不记账</v>
      </c>
      <c r="J227" s="26" t="str">
        <f t="shared" si="27"/>
        <v/>
      </c>
      <c r="K227" s="27">
        <f t="shared" si="28"/>
        <v>0</v>
      </c>
      <c r="L227" s="27">
        <v>0</v>
      </c>
      <c r="M227" s="26" t="str">
        <f>IF(OR($I227="不记账",ROUND(N($G227),2)=0),"",IFERROR(INDEX(收入成本映射!$E$4:$E$34,MATCH($D227,收入成本映射!$B$4:$B$34,0)),""))</f>
        <v/>
      </c>
      <c r="N227" s="27" t="str">
        <f t="shared" si="29"/>
        <v/>
      </c>
      <c r="O227" s="27" t="str">
        <f t="shared" si="30"/>
        <v/>
      </c>
      <c r="P227" s="26" t="str">
        <f>IF($M227="","",IFERROR(INDEX(收入成本映射!$F$4:$F$34,MATCH($D227,收入成本映射!$B$4:$B$34,0)),""))</f>
        <v/>
      </c>
      <c r="Q227" s="27" t="str">
        <f t="shared" si="31"/>
        <v/>
      </c>
      <c r="R227" s="27" t="str">
        <f t="shared" si="32"/>
        <v/>
      </c>
      <c r="S227" s="26" t="str">
        <f t="shared" si="33"/>
        <v/>
      </c>
      <c r="T227" s="27" t="str">
        <f t="shared" si="34"/>
        <v/>
      </c>
      <c r="U227" s="27" t="str">
        <f t="shared" si="35"/>
        <v/>
      </c>
      <c r="V227" s="10" t="str">
        <f>IF($B227="","",IF($B227="01水果",IFERROR(INDEX(对接源_01水果!$H$5:$H$507,MATCH(ROW()-3,对接源_01水果!$Q$5:$Q$507,0)),""),IFERROR(INDEX(对接源_02物料!$H$5:$H$460,MATCH(ROW()-3-N(对接源_01水果!$T$1),对接源_02物料!$Q$5:$Q$460,0)),"")))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8" ht="18" customHeight="1" spans="1:22">
      <c r="A228" s="10">
        <v>225</v>
      </c>
      <c r="B228" s="26" t="str">
        <f>IF(ROW()-3&lt;=N(对接源_01水果!$T$1),"01水果",IF(ROW()-3&lt;=N(对接源_01水果!$T$1)+N(对接源_02物料!$T$1),"02物料",""))</f>
        <v/>
      </c>
      <c r="C228" s="125" t="str">
        <f>IF($B228="","",IF($B228="01水果",IFERROR(INDEX(对接源_01水果!$B$5:$B$507,MATCH(ROW()-3,对接源_01水果!$Q$5:$Q$507,0)),""),IFERROR(INDEX(对接源_02物料!$B$5:$B$460,MATCH(ROW()-3-N(对接源_01水果!$T$1),对接源_02物料!$Q$5:$Q$460,0)),"")))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8" s="26" t="str">
        <f>IF($B228="","",IF($B228="01水果",IFERROR(INDEX(对接源_01水果!$C$5:$C$507,MATCH(ROW()-3,对接源_01水果!$Q$5:$Q$507,0)),""),IFERROR(INDEX(对接源_02物料!$C$5:$C$460,MATCH(ROW()-3-N(对接源_01水果!$T$1),对接源_02物料!$Q$5:$Q$460,0)),"")))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8" s="126" t="str">
        <f>IF($B228="","",IF($B228="01水果",IFERROR(INDEX(对接源_01水果!$D$5:$D$507,MATCH(ROW()-3,对接源_01水果!$Q$5:$Q$507,0)),""),IFERROR(INDEX(对接源_02物料!$D$5:$D$460,MATCH(ROW()-3-N(对接源_01水果!$T$1),对接源_02物料!$Q$5:$Q$460,0)),"")))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8" s="26" t="str">
        <f>IF($B228="","",IF($B228="01水果",IFERROR(INDEX(对接源_01水果!$E$5:$E$507,MATCH(ROW()-3,对接源_01水果!$Q$5:$Q$507,0)),""),IFERROR(INDEX(对接源_02物料!$E$5:$E$460,MATCH(ROW()-3-N(对接源_01水果!$T$1),对接源_02物料!$Q$5:$Q$460,0)),"")))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8" s="27" t="str">
        <f>IF($B228="","",IF($B228="01水果",IFERROR(INDEX(对接源_01水果!$F$5:$F$507,MATCH(ROW()-3,对接源_01水果!$Q$5:$Q$507,0)),""),IFERROR(INDEX(对接源_02物料!$F$5:$F$460,MATCH(ROW()-3-N(对接源_01水果!$T$1),对接源_02物料!$Q$5:$Q$460,0)),"")))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8" s="27" t="str">
        <f>IF($B228="","",IF($B228="01水果",IFERROR(INDEX(对接源_01水果!$G$5:$G$507,MATCH(ROW()-3,对接源_01水果!$Q$5:$Q$507,0)),""),IFERROR(INDEX(对接源_02物料!$G$5:$G$460,MATCH(ROW()-3-N(对接源_01水果!$T$1),对接源_02物料!$Q$5:$Q$460,0)),"")))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8" s="26" t="str">
        <f>IFERROR(INDEX(收入成本映射!$C$4:$C$34,MATCH($D228,收入成本映射!$B$4:$B$34,0)),"不记账")</f>
        <v>不记账</v>
      </c>
      <c r="J228" s="26" t="str">
        <f t="shared" si="27"/>
        <v/>
      </c>
      <c r="K228" s="27">
        <f t="shared" si="28"/>
        <v>0</v>
      </c>
      <c r="L228" s="27">
        <v>0</v>
      </c>
      <c r="M228" s="26" t="str">
        <f>IF(OR($I228="不记账",ROUND(N($G228),2)=0),"",IFERROR(INDEX(收入成本映射!$E$4:$E$34,MATCH($D228,收入成本映射!$B$4:$B$34,0)),""))</f>
        <v/>
      </c>
      <c r="N228" s="27" t="str">
        <f t="shared" si="29"/>
        <v/>
      </c>
      <c r="O228" s="27" t="str">
        <f t="shared" si="30"/>
        <v/>
      </c>
      <c r="P228" s="26" t="str">
        <f>IF($M228="","",IFERROR(INDEX(收入成本映射!$F$4:$F$34,MATCH($D228,收入成本映射!$B$4:$B$34,0)),""))</f>
        <v/>
      </c>
      <c r="Q228" s="27" t="str">
        <f t="shared" si="31"/>
        <v/>
      </c>
      <c r="R228" s="27" t="str">
        <f t="shared" si="32"/>
        <v/>
      </c>
      <c r="S228" s="26" t="str">
        <f t="shared" si="33"/>
        <v/>
      </c>
      <c r="T228" s="27" t="str">
        <f t="shared" si="34"/>
        <v/>
      </c>
      <c r="U228" s="27" t="str">
        <f t="shared" si="35"/>
        <v/>
      </c>
      <c r="V228" s="10" t="str">
        <f>IF($B228="","",IF($B228="01水果",IFERROR(INDEX(对接源_01水果!$H$5:$H$507,MATCH(ROW()-3,对接源_01水果!$Q$5:$Q$507,0)),""),IFERROR(INDEX(对接源_02物料!$H$5:$H$460,MATCH(ROW()-3-N(对接源_01水果!$T$1),对接源_02物料!$Q$5:$Q$460,0)),"")))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9" ht="18" customHeight="1" spans="1:22">
      <c r="A229" s="10">
        <v>226</v>
      </c>
      <c r="B229" s="26" t="str">
        <f>IF(ROW()-3&lt;=N(对接源_01水果!$T$1),"01水果",IF(ROW()-3&lt;=N(对接源_01水果!$T$1)+N(对接源_02物料!$T$1),"02物料",""))</f>
        <v/>
      </c>
      <c r="C229" s="125" t="str">
        <f>IF($B229="","",IF($B229="01水果",IFERROR(INDEX(对接源_01水果!$B$5:$B$507,MATCH(ROW()-3,对接源_01水果!$Q$5:$Q$507,0)),""),IFERROR(INDEX(对接源_02物料!$B$5:$B$460,MATCH(ROW()-3-N(对接源_01水果!$T$1),对接源_02物料!$Q$5:$Q$460,0)),"")))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9" s="26" t="str">
        <f>IF($B229="","",IF($B229="01水果",IFERROR(INDEX(对接源_01水果!$C$5:$C$507,MATCH(ROW()-3,对接源_01水果!$Q$5:$Q$507,0)),""),IFERROR(INDEX(对接源_02物料!$C$5:$C$460,MATCH(ROW()-3-N(对接源_01水果!$T$1),对接源_02物料!$Q$5:$Q$460,0)),"")))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9" s="126" t="str">
        <f>IF($B229="","",IF($B229="01水果",IFERROR(INDEX(对接源_01水果!$D$5:$D$507,MATCH(ROW()-3,对接源_01水果!$Q$5:$Q$507,0)),""),IFERROR(INDEX(对接源_02物料!$D$5:$D$460,MATCH(ROW()-3-N(对接源_01水果!$T$1),对接源_02物料!$Q$5:$Q$460,0)),"")))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9" s="26" t="str">
        <f>IF($B229="","",IF($B229="01水果",IFERROR(INDEX(对接源_01水果!$E$5:$E$507,MATCH(ROW()-3,对接源_01水果!$Q$5:$Q$507,0)),""),IFERROR(INDEX(对接源_02物料!$E$5:$E$460,MATCH(ROW()-3-N(对接源_01水果!$T$1),对接源_02物料!$Q$5:$Q$460,0)),"")))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9" s="27" t="str">
        <f>IF($B229="","",IF($B229="01水果",IFERROR(INDEX(对接源_01水果!$F$5:$F$507,MATCH(ROW()-3,对接源_01水果!$Q$5:$Q$507,0)),""),IFERROR(INDEX(对接源_02物料!$F$5:$F$460,MATCH(ROW()-3-N(对接源_01水果!$T$1),对接源_02物料!$Q$5:$Q$460,0)),"")))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9" s="27" t="str">
        <f>IF($B229="","",IF($B229="01水果",IFERROR(INDEX(对接源_01水果!$G$5:$G$507,MATCH(ROW()-3,对接源_01水果!$Q$5:$Q$507,0)),""),IFERROR(INDEX(对接源_02物料!$G$5:$G$460,MATCH(ROW()-3-N(对接源_01水果!$T$1),对接源_02物料!$Q$5:$Q$460,0)),"")))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9" s="26" t="str">
        <f>IFERROR(INDEX(收入成本映射!$C$4:$C$34,MATCH($D229,收入成本映射!$B$4:$B$34,0)),"不记账")</f>
        <v>不记账</v>
      </c>
      <c r="J229" s="26" t="str">
        <f t="shared" si="27"/>
        <v/>
      </c>
      <c r="K229" s="27">
        <f t="shared" si="28"/>
        <v>0</v>
      </c>
      <c r="L229" s="27">
        <v>0</v>
      </c>
      <c r="M229" s="26" t="str">
        <f>IF(OR($I229="不记账",ROUND(N($G229),2)=0),"",IFERROR(INDEX(收入成本映射!$E$4:$E$34,MATCH($D229,收入成本映射!$B$4:$B$34,0)),""))</f>
        <v/>
      </c>
      <c r="N229" s="27" t="str">
        <f t="shared" si="29"/>
        <v/>
      </c>
      <c r="O229" s="27" t="str">
        <f t="shared" si="30"/>
        <v/>
      </c>
      <c r="P229" s="26" t="str">
        <f>IF($M229="","",IFERROR(INDEX(收入成本映射!$F$4:$F$34,MATCH($D229,收入成本映射!$B$4:$B$34,0)),""))</f>
        <v/>
      </c>
      <c r="Q229" s="27" t="str">
        <f t="shared" si="31"/>
        <v/>
      </c>
      <c r="R229" s="27" t="str">
        <f t="shared" si="32"/>
        <v/>
      </c>
      <c r="S229" s="26" t="str">
        <f t="shared" si="33"/>
        <v/>
      </c>
      <c r="T229" s="27" t="str">
        <f t="shared" si="34"/>
        <v/>
      </c>
      <c r="U229" s="27" t="str">
        <f t="shared" si="35"/>
        <v/>
      </c>
      <c r="V229" s="10" t="str">
        <f>IF($B229="","",IF($B229="01水果",IFERROR(INDEX(对接源_01水果!$H$5:$H$507,MATCH(ROW()-3,对接源_01水果!$Q$5:$Q$507,0)),""),IFERROR(INDEX(对接源_02物料!$H$5:$H$460,MATCH(ROW()-3-N(对接源_01水果!$T$1),对接源_02物料!$Q$5:$Q$460,0)),"")))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0" ht="18" customHeight="1" spans="1:22">
      <c r="A230" s="10">
        <v>227</v>
      </c>
      <c r="B230" s="26" t="str">
        <f>IF(ROW()-3&lt;=N(对接源_01水果!$T$1),"01水果",IF(ROW()-3&lt;=N(对接源_01水果!$T$1)+N(对接源_02物料!$T$1),"02物料",""))</f>
        <v/>
      </c>
      <c r="C230" s="125" t="str">
        <f>IF($B230="","",IF($B230="01水果",IFERROR(INDEX(对接源_01水果!$B$5:$B$507,MATCH(ROW()-3,对接源_01水果!$Q$5:$Q$507,0)),""),IFERROR(INDEX(对接源_02物料!$B$5:$B$460,MATCH(ROW()-3-N(对接源_01水果!$T$1),对接源_02物料!$Q$5:$Q$460,0)),"")))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0" s="26" t="str">
        <f>IF($B230="","",IF($B230="01水果",IFERROR(INDEX(对接源_01水果!$C$5:$C$507,MATCH(ROW()-3,对接源_01水果!$Q$5:$Q$507,0)),""),IFERROR(INDEX(对接源_02物料!$C$5:$C$460,MATCH(ROW()-3-N(对接源_01水果!$T$1),对接源_02物料!$Q$5:$Q$460,0)),"")))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0" s="126" t="str">
        <f>IF($B230="","",IF($B230="01水果",IFERROR(INDEX(对接源_01水果!$D$5:$D$507,MATCH(ROW()-3,对接源_01水果!$Q$5:$Q$507,0)),""),IFERROR(INDEX(对接源_02物料!$D$5:$D$460,MATCH(ROW()-3-N(对接源_01水果!$T$1),对接源_02物料!$Q$5:$Q$460,0)),"")))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0" s="26" t="str">
        <f>IF($B230="","",IF($B230="01水果",IFERROR(INDEX(对接源_01水果!$E$5:$E$507,MATCH(ROW()-3,对接源_01水果!$Q$5:$Q$507,0)),""),IFERROR(INDEX(对接源_02物料!$E$5:$E$460,MATCH(ROW()-3-N(对接源_01水果!$T$1),对接源_02物料!$Q$5:$Q$460,0)),"")))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0" s="27" t="str">
        <f>IF($B230="","",IF($B230="01水果",IFERROR(INDEX(对接源_01水果!$F$5:$F$507,MATCH(ROW()-3,对接源_01水果!$Q$5:$Q$507,0)),""),IFERROR(INDEX(对接源_02物料!$F$5:$F$460,MATCH(ROW()-3-N(对接源_01水果!$T$1),对接源_02物料!$Q$5:$Q$460,0)),"")))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0" s="27" t="str">
        <f>IF($B230="","",IF($B230="01水果",IFERROR(INDEX(对接源_01水果!$G$5:$G$507,MATCH(ROW()-3,对接源_01水果!$Q$5:$Q$507,0)),""),IFERROR(INDEX(对接源_02物料!$G$5:$G$460,MATCH(ROW()-3-N(对接源_01水果!$T$1),对接源_02物料!$Q$5:$Q$460,0)),"")))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0" s="26" t="str">
        <f>IFERROR(INDEX(收入成本映射!$C$4:$C$34,MATCH($D230,收入成本映射!$B$4:$B$34,0)),"不记账")</f>
        <v>不记账</v>
      </c>
      <c r="J230" s="26" t="str">
        <f t="shared" si="27"/>
        <v/>
      </c>
      <c r="K230" s="27">
        <f t="shared" si="28"/>
        <v>0</v>
      </c>
      <c r="L230" s="27">
        <v>0</v>
      </c>
      <c r="M230" s="26" t="str">
        <f>IF(OR($I230="不记账",ROUND(N($G230),2)=0),"",IFERROR(INDEX(收入成本映射!$E$4:$E$34,MATCH($D230,收入成本映射!$B$4:$B$34,0)),""))</f>
        <v/>
      </c>
      <c r="N230" s="27" t="str">
        <f t="shared" si="29"/>
        <v/>
      </c>
      <c r="O230" s="27" t="str">
        <f t="shared" si="30"/>
        <v/>
      </c>
      <c r="P230" s="26" t="str">
        <f>IF($M230="","",IFERROR(INDEX(收入成本映射!$F$4:$F$34,MATCH($D230,收入成本映射!$B$4:$B$34,0)),""))</f>
        <v/>
      </c>
      <c r="Q230" s="27" t="str">
        <f t="shared" si="31"/>
        <v/>
      </c>
      <c r="R230" s="27" t="str">
        <f t="shared" si="32"/>
        <v/>
      </c>
      <c r="S230" s="26" t="str">
        <f t="shared" si="33"/>
        <v/>
      </c>
      <c r="T230" s="27" t="str">
        <f t="shared" si="34"/>
        <v/>
      </c>
      <c r="U230" s="27" t="str">
        <f t="shared" si="35"/>
        <v/>
      </c>
      <c r="V230" s="10" t="str">
        <f>IF($B230="","",IF($B230="01水果",IFERROR(INDEX(对接源_01水果!$H$5:$H$507,MATCH(ROW()-3,对接源_01水果!$Q$5:$Q$507,0)),""),IFERROR(INDEX(对接源_02物料!$H$5:$H$460,MATCH(ROW()-3-N(对接源_01水果!$T$1),对接源_02物料!$Q$5:$Q$460,0)),"")))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1" ht="18" customHeight="1" spans="1:22">
      <c r="A231" s="10">
        <v>228</v>
      </c>
      <c r="B231" s="26" t="str">
        <f>IF(ROW()-3&lt;=N(对接源_01水果!$T$1),"01水果",IF(ROW()-3&lt;=N(对接源_01水果!$T$1)+N(对接源_02物料!$T$1),"02物料",""))</f>
        <v/>
      </c>
      <c r="C231" s="125" t="str">
        <f>IF($B231="","",IF($B231="01水果",IFERROR(INDEX(对接源_01水果!$B$5:$B$507,MATCH(ROW()-3,对接源_01水果!$Q$5:$Q$507,0)),""),IFERROR(INDEX(对接源_02物料!$B$5:$B$460,MATCH(ROW()-3-N(对接源_01水果!$T$1),对接源_02物料!$Q$5:$Q$460,0)),"")))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1" s="26" t="str">
        <f>IF($B231="","",IF($B231="01水果",IFERROR(INDEX(对接源_01水果!$C$5:$C$507,MATCH(ROW()-3,对接源_01水果!$Q$5:$Q$507,0)),""),IFERROR(INDEX(对接源_02物料!$C$5:$C$460,MATCH(ROW()-3-N(对接源_01水果!$T$1),对接源_02物料!$Q$5:$Q$460,0)),"")))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1" s="126" t="str">
        <f>IF($B231="","",IF($B231="01水果",IFERROR(INDEX(对接源_01水果!$D$5:$D$507,MATCH(ROW()-3,对接源_01水果!$Q$5:$Q$507,0)),""),IFERROR(INDEX(对接源_02物料!$D$5:$D$460,MATCH(ROW()-3-N(对接源_01水果!$T$1),对接源_02物料!$Q$5:$Q$460,0)),"")))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1" s="26" t="str">
        <f>IF($B231="","",IF($B231="01水果",IFERROR(INDEX(对接源_01水果!$E$5:$E$507,MATCH(ROW()-3,对接源_01水果!$Q$5:$Q$507,0)),""),IFERROR(INDEX(对接源_02物料!$E$5:$E$460,MATCH(ROW()-3-N(对接源_01水果!$T$1),对接源_02物料!$Q$5:$Q$460,0)),"")))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1" s="27" t="str">
        <f>IF($B231="","",IF($B231="01水果",IFERROR(INDEX(对接源_01水果!$F$5:$F$507,MATCH(ROW()-3,对接源_01水果!$Q$5:$Q$507,0)),""),IFERROR(INDEX(对接源_02物料!$F$5:$F$460,MATCH(ROW()-3-N(对接源_01水果!$T$1),对接源_02物料!$Q$5:$Q$460,0)),"")))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1" s="27" t="str">
        <f>IF($B231="","",IF($B231="01水果",IFERROR(INDEX(对接源_01水果!$G$5:$G$507,MATCH(ROW()-3,对接源_01水果!$Q$5:$Q$507,0)),""),IFERROR(INDEX(对接源_02物料!$G$5:$G$460,MATCH(ROW()-3-N(对接源_01水果!$T$1),对接源_02物料!$Q$5:$Q$460,0)),"")))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1" s="26" t="str">
        <f>IFERROR(INDEX(收入成本映射!$C$4:$C$34,MATCH($D231,收入成本映射!$B$4:$B$34,0)),"不记账")</f>
        <v>不记账</v>
      </c>
      <c r="J231" s="26" t="str">
        <f t="shared" si="27"/>
        <v/>
      </c>
      <c r="K231" s="27">
        <f t="shared" si="28"/>
        <v>0</v>
      </c>
      <c r="L231" s="27">
        <v>0</v>
      </c>
      <c r="M231" s="26" t="str">
        <f>IF(OR($I231="不记账",ROUND(N($G231),2)=0),"",IFERROR(INDEX(收入成本映射!$E$4:$E$34,MATCH($D231,收入成本映射!$B$4:$B$34,0)),""))</f>
        <v/>
      </c>
      <c r="N231" s="27" t="str">
        <f t="shared" si="29"/>
        <v/>
      </c>
      <c r="O231" s="27" t="str">
        <f t="shared" si="30"/>
        <v/>
      </c>
      <c r="P231" s="26" t="str">
        <f>IF($M231="","",IFERROR(INDEX(收入成本映射!$F$4:$F$34,MATCH($D231,收入成本映射!$B$4:$B$34,0)),""))</f>
        <v/>
      </c>
      <c r="Q231" s="27" t="str">
        <f t="shared" si="31"/>
        <v/>
      </c>
      <c r="R231" s="27" t="str">
        <f t="shared" si="32"/>
        <v/>
      </c>
      <c r="S231" s="26" t="str">
        <f t="shared" si="33"/>
        <v/>
      </c>
      <c r="T231" s="27" t="str">
        <f t="shared" si="34"/>
        <v/>
      </c>
      <c r="U231" s="27" t="str">
        <f t="shared" si="35"/>
        <v/>
      </c>
      <c r="V231" s="10" t="str">
        <f>IF($B231="","",IF($B231="01水果",IFERROR(INDEX(对接源_01水果!$H$5:$H$507,MATCH(ROW()-3,对接源_01水果!$Q$5:$Q$507,0)),""),IFERROR(INDEX(对接源_02物料!$H$5:$H$460,MATCH(ROW()-3-N(对接源_01水果!$T$1),对接源_02物料!$Q$5:$Q$460,0)),"")))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2" ht="18" customHeight="1" spans="1:22">
      <c r="A232" s="10">
        <v>229</v>
      </c>
      <c r="B232" s="26" t="str">
        <f>IF(ROW()-3&lt;=N(对接源_01水果!$T$1),"01水果",IF(ROW()-3&lt;=N(对接源_01水果!$T$1)+N(对接源_02物料!$T$1),"02物料",""))</f>
        <v/>
      </c>
      <c r="C232" s="125" t="str">
        <f>IF($B232="","",IF($B232="01水果",IFERROR(INDEX(对接源_01水果!$B$5:$B$507,MATCH(ROW()-3,对接源_01水果!$Q$5:$Q$507,0)),""),IFERROR(INDEX(对接源_02物料!$B$5:$B$460,MATCH(ROW()-3-N(对接源_01水果!$T$1),对接源_02物料!$Q$5:$Q$460,0)),"")))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2" s="26" t="str">
        <f>IF($B232="","",IF($B232="01水果",IFERROR(INDEX(对接源_01水果!$C$5:$C$507,MATCH(ROW()-3,对接源_01水果!$Q$5:$Q$507,0)),""),IFERROR(INDEX(对接源_02物料!$C$5:$C$460,MATCH(ROW()-3-N(对接源_01水果!$T$1),对接源_02物料!$Q$5:$Q$460,0)),"")))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2" s="126" t="str">
        <f>IF($B232="","",IF($B232="01水果",IFERROR(INDEX(对接源_01水果!$D$5:$D$507,MATCH(ROW()-3,对接源_01水果!$Q$5:$Q$507,0)),""),IFERROR(INDEX(对接源_02物料!$D$5:$D$460,MATCH(ROW()-3-N(对接源_01水果!$T$1),对接源_02物料!$Q$5:$Q$460,0)),"")))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2" s="26" t="str">
        <f>IF($B232="","",IF($B232="01水果",IFERROR(INDEX(对接源_01水果!$E$5:$E$507,MATCH(ROW()-3,对接源_01水果!$Q$5:$Q$507,0)),""),IFERROR(INDEX(对接源_02物料!$E$5:$E$460,MATCH(ROW()-3-N(对接源_01水果!$T$1),对接源_02物料!$Q$5:$Q$460,0)),"")))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2" s="27" t="str">
        <f>IF($B232="","",IF($B232="01水果",IFERROR(INDEX(对接源_01水果!$F$5:$F$507,MATCH(ROW()-3,对接源_01水果!$Q$5:$Q$507,0)),""),IFERROR(INDEX(对接源_02物料!$F$5:$F$460,MATCH(ROW()-3-N(对接源_01水果!$T$1),对接源_02物料!$Q$5:$Q$460,0)),"")))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2" s="27" t="str">
        <f>IF($B232="","",IF($B232="01水果",IFERROR(INDEX(对接源_01水果!$G$5:$G$507,MATCH(ROW()-3,对接源_01水果!$Q$5:$Q$507,0)),""),IFERROR(INDEX(对接源_02物料!$G$5:$G$460,MATCH(ROW()-3-N(对接源_01水果!$T$1),对接源_02物料!$Q$5:$Q$460,0)),"")))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2" s="26" t="str">
        <f>IFERROR(INDEX(收入成本映射!$C$4:$C$34,MATCH($D232,收入成本映射!$B$4:$B$34,0)),"不记账")</f>
        <v>不记账</v>
      </c>
      <c r="J232" s="26" t="str">
        <f t="shared" si="27"/>
        <v/>
      </c>
      <c r="K232" s="27">
        <f t="shared" si="28"/>
        <v>0</v>
      </c>
      <c r="L232" s="27">
        <v>0</v>
      </c>
      <c r="M232" s="26" t="str">
        <f>IF(OR($I232="不记账",ROUND(N($G232),2)=0),"",IFERROR(INDEX(收入成本映射!$E$4:$E$34,MATCH($D232,收入成本映射!$B$4:$B$34,0)),""))</f>
        <v/>
      </c>
      <c r="N232" s="27" t="str">
        <f t="shared" si="29"/>
        <v/>
      </c>
      <c r="O232" s="27" t="str">
        <f t="shared" si="30"/>
        <v/>
      </c>
      <c r="P232" s="26" t="str">
        <f>IF($M232="","",IFERROR(INDEX(收入成本映射!$F$4:$F$34,MATCH($D232,收入成本映射!$B$4:$B$34,0)),""))</f>
        <v/>
      </c>
      <c r="Q232" s="27" t="str">
        <f t="shared" si="31"/>
        <v/>
      </c>
      <c r="R232" s="27" t="str">
        <f t="shared" si="32"/>
        <v/>
      </c>
      <c r="S232" s="26" t="str">
        <f t="shared" si="33"/>
        <v/>
      </c>
      <c r="T232" s="27" t="str">
        <f t="shared" si="34"/>
        <v/>
      </c>
      <c r="U232" s="27" t="str">
        <f t="shared" si="35"/>
        <v/>
      </c>
      <c r="V232" s="10" t="str">
        <f>IF($B232="","",IF($B232="01水果",IFERROR(INDEX(对接源_01水果!$H$5:$H$507,MATCH(ROW()-3,对接源_01水果!$Q$5:$Q$507,0)),""),IFERROR(INDEX(对接源_02物料!$H$5:$H$460,MATCH(ROW()-3-N(对接源_01水果!$T$1),对接源_02物料!$Q$5:$Q$460,0)),"")))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3" ht="18" customHeight="1" spans="1:22">
      <c r="A233" s="10">
        <v>230</v>
      </c>
      <c r="B233" s="26" t="str">
        <f>IF(ROW()-3&lt;=N(对接源_01水果!$T$1),"01水果",IF(ROW()-3&lt;=N(对接源_01水果!$T$1)+N(对接源_02物料!$T$1),"02物料",""))</f>
        <v/>
      </c>
      <c r="C233" s="125" t="str">
        <f>IF($B233="","",IF($B233="01水果",IFERROR(INDEX(对接源_01水果!$B$5:$B$507,MATCH(ROW()-3,对接源_01水果!$Q$5:$Q$507,0)),""),IFERROR(INDEX(对接源_02物料!$B$5:$B$460,MATCH(ROW()-3-N(对接源_01水果!$T$1),对接源_02物料!$Q$5:$Q$460,0)),"")))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3" s="26" t="str">
        <f>IF($B233="","",IF($B233="01水果",IFERROR(INDEX(对接源_01水果!$C$5:$C$507,MATCH(ROW()-3,对接源_01水果!$Q$5:$Q$507,0)),""),IFERROR(INDEX(对接源_02物料!$C$5:$C$460,MATCH(ROW()-3-N(对接源_01水果!$T$1),对接源_02物料!$Q$5:$Q$460,0)),"")))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3" s="126" t="str">
        <f>IF($B233="","",IF($B233="01水果",IFERROR(INDEX(对接源_01水果!$D$5:$D$507,MATCH(ROW()-3,对接源_01水果!$Q$5:$Q$507,0)),""),IFERROR(INDEX(对接源_02物料!$D$5:$D$460,MATCH(ROW()-3-N(对接源_01水果!$T$1),对接源_02物料!$Q$5:$Q$460,0)),"")))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3" s="26" t="str">
        <f>IF($B233="","",IF($B233="01水果",IFERROR(INDEX(对接源_01水果!$E$5:$E$507,MATCH(ROW()-3,对接源_01水果!$Q$5:$Q$507,0)),""),IFERROR(INDEX(对接源_02物料!$E$5:$E$460,MATCH(ROW()-3-N(对接源_01水果!$T$1),对接源_02物料!$Q$5:$Q$460,0)),"")))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3" s="27" t="str">
        <f>IF($B233="","",IF($B233="01水果",IFERROR(INDEX(对接源_01水果!$F$5:$F$507,MATCH(ROW()-3,对接源_01水果!$Q$5:$Q$507,0)),""),IFERROR(INDEX(对接源_02物料!$F$5:$F$460,MATCH(ROW()-3-N(对接源_01水果!$T$1),对接源_02物料!$Q$5:$Q$460,0)),"")))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3" s="27" t="str">
        <f>IF($B233="","",IF($B233="01水果",IFERROR(INDEX(对接源_01水果!$G$5:$G$507,MATCH(ROW()-3,对接源_01水果!$Q$5:$Q$507,0)),""),IFERROR(INDEX(对接源_02物料!$G$5:$G$460,MATCH(ROW()-3-N(对接源_01水果!$T$1),对接源_02物料!$Q$5:$Q$460,0)),"")))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3" s="26" t="str">
        <f>IFERROR(INDEX(收入成本映射!$C$4:$C$34,MATCH($D233,收入成本映射!$B$4:$B$34,0)),"不记账")</f>
        <v>不记账</v>
      </c>
      <c r="J233" s="26" t="str">
        <f t="shared" si="27"/>
        <v/>
      </c>
      <c r="K233" s="27">
        <f t="shared" si="28"/>
        <v>0</v>
      </c>
      <c r="L233" s="27">
        <v>0</v>
      </c>
      <c r="M233" s="26" t="str">
        <f>IF(OR($I233="不记账",ROUND(N($G233),2)=0),"",IFERROR(INDEX(收入成本映射!$E$4:$E$34,MATCH($D233,收入成本映射!$B$4:$B$34,0)),""))</f>
        <v/>
      </c>
      <c r="N233" s="27" t="str">
        <f t="shared" si="29"/>
        <v/>
      </c>
      <c r="O233" s="27" t="str">
        <f t="shared" si="30"/>
        <v/>
      </c>
      <c r="P233" s="26" t="str">
        <f>IF($M233="","",IFERROR(INDEX(收入成本映射!$F$4:$F$34,MATCH($D233,收入成本映射!$B$4:$B$34,0)),""))</f>
        <v/>
      </c>
      <c r="Q233" s="27" t="str">
        <f t="shared" si="31"/>
        <v/>
      </c>
      <c r="R233" s="27" t="str">
        <f t="shared" si="32"/>
        <v/>
      </c>
      <c r="S233" s="26" t="str">
        <f t="shared" si="33"/>
        <v/>
      </c>
      <c r="T233" s="27" t="str">
        <f t="shared" si="34"/>
        <v/>
      </c>
      <c r="U233" s="27" t="str">
        <f t="shared" si="35"/>
        <v/>
      </c>
      <c r="V233" s="10" t="str">
        <f>IF($B233="","",IF($B233="01水果",IFERROR(INDEX(对接源_01水果!$H$5:$H$507,MATCH(ROW()-3,对接源_01水果!$Q$5:$Q$507,0)),""),IFERROR(INDEX(对接源_02物料!$H$5:$H$460,MATCH(ROW()-3-N(对接源_01水果!$T$1),对接源_02物料!$Q$5:$Q$460,0)),"")))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4" ht="18" customHeight="1" spans="1:22">
      <c r="A234" s="10">
        <v>231</v>
      </c>
      <c r="B234" s="26" t="str">
        <f>IF(ROW()-3&lt;=N(对接源_01水果!$T$1),"01水果",IF(ROW()-3&lt;=N(对接源_01水果!$T$1)+N(对接源_02物料!$T$1),"02物料",""))</f>
        <v/>
      </c>
      <c r="C234" s="125" t="str">
        <f>IF($B234="","",IF($B234="01水果",IFERROR(INDEX(对接源_01水果!$B$5:$B$507,MATCH(ROW()-3,对接源_01水果!$Q$5:$Q$507,0)),""),IFERROR(INDEX(对接源_02物料!$B$5:$B$460,MATCH(ROW()-3-N(对接源_01水果!$T$1),对接源_02物料!$Q$5:$Q$460,0)),"")))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4" s="26" t="str">
        <f>IF($B234="","",IF($B234="01水果",IFERROR(INDEX(对接源_01水果!$C$5:$C$507,MATCH(ROW()-3,对接源_01水果!$Q$5:$Q$507,0)),""),IFERROR(INDEX(对接源_02物料!$C$5:$C$460,MATCH(ROW()-3-N(对接源_01水果!$T$1),对接源_02物料!$Q$5:$Q$460,0)),"")))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4" s="126" t="str">
        <f>IF($B234="","",IF($B234="01水果",IFERROR(INDEX(对接源_01水果!$D$5:$D$507,MATCH(ROW()-3,对接源_01水果!$Q$5:$Q$507,0)),""),IFERROR(INDEX(对接源_02物料!$D$5:$D$460,MATCH(ROW()-3-N(对接源_01水果!$T$1),对接源_02物料!$Q$5:$Q$460,0)),"")))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4" s="26" t="str">
        <f>IF($B234="","",IF($B234="01水果",IFERROR(INDEX(对接源_01水果!$E$5:$E$507,MATCH(ROW()-3,对接源_01水果!$Q$5:$Q$507,0)),""),IFERROR(INDEX(对接源_02物料!$E$5:$E$460,MATCH(ROW()-3-N(对接源_01水果!$T$1),对接源_02物料!$Q$5:$Q$460,0)),"")))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4" s="27" t="str">
        <f>IF($B234="","",IF($B234="01水果",IFERROR(INDEX(对接源_01水果!$F$5:$F$507,MATCH(ROW()-3,对接源_01水果!$Q$5:$Q$507,0)),""),IFERROR(INDEX(对接源_02物料!$F$5:$F$460,MATCH(ROW()-3-N(对接源_01水果!$T$1),对接源_02物料!$Q$5:$Q$460,0)),"")))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4" s="27" t="str">
        <f>IF($B234="","",IF($B234="01水果",IFERROR(INDEX(对接源_01水果!$G$5:$G$507,MATCH(ROW()-3,对接源_01水果!$Q$5:$Q$507,0)),""),IFERROR(INDEX(对接源_02物料!$G$5:$G$460,MATCH(ROW()-3-N(对接源_01水果!$T$1),对接源_02物料!$Q$5:$Q$460,0)),"")))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4" s="26" t="str">
        <f>IFERROR(INDEX(收入成本映射!$C$4:$C$34,MATCH($D234,收入成本映射!$B$4:$B$34,0)),"不记账")</f>
        <v>不记账</v>
      </c>
      <c r="J234" s="26" t="str">
        <f t="shared" si="27"/>
        <v/>
      </c>
      <c r="K234" s="27">
        <f t="shared" si="28"/>
        <v>0</v>
      </c>
      <c r="L234" s="27">
        <v>0</v>
      </c>
      <c r="M234" s="26" t="str">
        <f>IF(OR($I234="不记账",ROUND(N($G234),2)=0),"",IFERROR(INDEX(收入成本映射!$E$4:$E$34,MATCH($D234,收入成本映射!$B$4:$B$34,0)),""))</f>
        <v/>
      </c>
      <c r="N234" s="27" t="str">
        <f t="shared" si="29"/>
        <v/>
      </c>
      <c r="O234" s="27" t="str">
        <f t="shared" si="30"/>
        <v/>
      </c>
      <c r="P234" s="26" t="str">
        <f>IF($M234="","",IFERROR(INDEX(收入成本映射!$F$4:$F$34,MATCH($D234,收入成本映射!$B$4:$B$34,0)),""))</f>
        <v/>
      </c>
      <c r="Q234" s="27" t="str">
        <f t="shared" si="31"/>
        <v/>
      </c>
      <c r="R234" s="27" t="str">
        <f t="shared" si="32"/>
        <v/>
      </c>
      <c r="S234" s="26" t="str">
        <f t="shared" si="33"/>
        <v/>
      </c>
      <c r="T234" s="27" t="str">
        <f t="shared" si="34"/>
        <v/>
      </c>
      <c r="U234" s="27" t="str">
        <f t="shared" si="35"/>
        <v/>
      </c>
      <c r="V234" s="10" t="str">
        <f>IF($B234="","",IF($B234="01水果",IFERROR(INDEX(对接源_01水果!$H$5:$H$507,MATCH(ROW()-3,对接源_01水果!$Q$5:$Q$507,0)),""),IFERROR(INDEX(对接源_02物料!$H$5:$H$460,MATCH(ROW()-3-N(对接源_01水果!$T$1),对接源_02物料!$Q$5:$Q$460,0)),"")))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5" ht="18" customHeight="1" spans="1:22">
      <c r="A235" s="10">
        <v>232</v>
      </c>
      <c r="B235" s="26" t="str">
        <f>IF(ROW()-3&lt;=N(对接源_01水果!$T$1),"01水果",IF(ROW()-3&lt;=N(对接源_01水果!$T$1)+N(对接源_02物料!$T$1),"02物料",""))</f>
        <v/>
      </c>
      <c r="C235" s="125" t="str">
        <f>IF($B235="","",IF($B235="01水果",IFERROR(INDEX(对接源_01水果!$B$5:$B$507,MATCH(ROW()-3,对接源_01水果!$Q$5:$Q$507,0)),""),IFERROR(INDEX(对接源_02物料!$B$5:$B$460,MATCH(ROW()-3-N(对接源_01水果!$T$1),对接源_02物料!$Q$5:$Q$460,0)),"")))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5" s="26" t="str">
        <f>IF($B235="","",IF($B235="01水果",IFERROR(INDEX(对接源_01水果!$C$5:$C$507,MATCH(ROW()-3,对接源_01水果!$Q$5:$Q$507,0)),""),IFERROR(INDEX(对接源_02物料!$C$5:$C$460,MATCH(ROW()-3-N(对接源_01水果!$T$1),对接源_02物料!$Q$5:$Q$460,0)),"")))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5" s="126" t="str">
        <f>IF($B235="","",IF($B235="01水果",IFERROR(INDEX(对接源_01水果!$D$5:$D$507,MATCH(ROW()-3,对接源_01水果!$Q$5:$Q$507,0)),""),IFERROR(INDEX(对接源_02物料!$D$5:$D$460,MATCH(ROW()-3-N(对接源_01水果!$T$1),对接源_02物料!$Q$5:$Q$460,0)),"")))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5" s="26" t="str">
        <f>IF($B235="","",IF($B235="01水果",IFERROR(INDEX(对接源_01水果!$E$5:$E$507,MATCH(ROW()-3,对接源_01水果!$Q$5:$Q$507,0)),""),IFERROR(INDEX(对接源_02物料!$E$5:$E$460,MATCH(ROW()-3-N(对接源_01水果!$T$1),对接源_02物料!$Q$5:$Q$460,0)),"")))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5" s="27" t="str">
        <f>IF($B235="","",IF($B235="01水果",IFERROR(INDEX(对接源_01水果!$F$5:$F$507,MATCH(ROW()-3,对接源_01水果!$Q$5:$Q$507,0)),""),IFERROR(INDEX(对接源_02物料!$F$5:$F$460,MATCH(ROW()-3-N(对接源_01水果!$T$1),对接源_02物料!$Q$5:$Q$460,0)),"")))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5" s="27" t="str">
        <f>IF($B235="","",IF($B235="01水果",IFERROR(INDEX(对接源_01水果!$G$5:$G$507,MATCH(ROW()-3,对接源_01水果!$Q$5:$Q$507,0)),""),IFERROR(INDEX(对接源_02物料!$G$5:$G$460,MATCH(ROW()-3-N(对接源_01水果!$T$1),对接源_02物料!$Q$5:$Q$460,0)),"")))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5" s="26" t="str">
        <f>IFERROR(INDEX(收入成本映射!$C$4:$C$34,MATCH($D235,收入成本映射!$B$4:$B$34,0)),"不记账")</f>
        <v>不记账</v>
      </c>
      <c r="J235" s="26" t="str">
        <f t="shared" si="27"/>
        <v/>
      </c>
      <c r="K235" s="27">
        <f t="shared" si="28"/>
        <v>0</v>
      </c>
      <c r="L235" s="27">
        <v>0</v>
      </c>
      <c r="M235" s="26" t="str">
        <f>IF(OR($I235="不记账",ROUND(N($G235),2)=0),"",IFERROR(INDEX(收入成本映射!$E$4:$E$34,MATCH($D235,收入成本映射!$B$4:$B$34,0)),""))</f>
        <v/>
      </c>
      <c r="N235" s="27" t="str">
        <f t="shared" si="29"/>
        <v/>
      </c>
      <c r="O235" s="27" t="str">
        <f t="shared" si="30"/>
        <v/>
      </c>
      <c r="P235" s="26" t="str">
        <f>IF($M235="","",IFERROR(INDEX(收入成本映射!$F$4:$F$34,MATCH($D235,收入成本映射!$B$4:$B$34,0)),""))</f>
        <v/>
      </c>
      <c r="Q235" s="27" t="str">
        <f t="shared" si="31"/>
        <v/>
      </c>
      <c r="R235" s="27" t="str">
        <f t="shared" si="32"/>
        <v/>
      </c>
      <c r="S235" s="26" t="str">
        <f t="shared" si="33"/>
        <v/>
      </c>
      <c r="T235" s="27" t="str">
        <f t="shared" si="34"/>
        <v/>
      </c>
      <c r="U235" s="27" t="str">
        <f t="shared" si="35"/>
        <v/>
      </c>
      <c r="V235" s="10" t="str">
        <f>IF($B235="","",IF($B235="01水果",IFERROR(INDEX(对接源_01水果!$H$5:$H$507,MATCH(ROW()-3,对接源_01水果!$Q$5:$Q$507,0)),""),IFERROR(INDEX(对接源_02物料!$H$5:$H$460,MATCH(ROW()-3-N(对接源_01水果!$T$1),对接源_02物料!$Q$5:$Q$460,0)),"")))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6" ht="18" customHeight="1" spans="1:22">
      <c r="A236" s="10">
        <v>233</v>
      </c>
      <c r="B236" s="26" t="str">
        <f>IF(ROW()-3&lt;=N(对接源_01水果!$T$1),"01水果",IF(ROW()-3&lt;=N(对接源_01水果!$T$1)+N(对接源_02物料!$T$1),"02物料",""))</f>
        <v/>
      </c>
      <c r="C236" s="125" t="str">
        <f>IF($B236="","",IF($B236="01水果",IFERROR(INDEX(对接源_01水果!$B$5:$B$507,MATCH(ROW()-3,对接源_01水果!$Q$5:$Q$507,0)),""),IFERROR(INDEX(对接源_02物料!$B$5:$B$460,MATCH(ROW()-3-N(对接源_01水果!$T$1),对接源_02物料!$Q$5:$Q$460,0)),"")))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6" s="26" t="str">
        <f>IF($B236="","",IF($B236="01水果",IFERROR(INDEX(对接源_01水果!$C$5:$C$507,MATCH(ROW()-3,对接源_01水果!$Q$5:$Q$507,0)),""),IFERROR(INDEX(对接源_02物料!$C$5:$C$460,MATCH(ROW()-3-N(对接源_01水果!$T$1),对接源_02物料!$Q$5:$Q$460,0)),"")))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6" s="126" t="str">
        <f>IF($B236="","",IF($B236="01水果",IFERROR(INDEX(对接源_01水果!$D$5:$D$507,MATCH(ROW()-3,对接源_01水果!$Q$5:$Q$507,0)),""),IFERROR(INDEX(对接源_02物料!$D$5:$D$460,MATCH(ROW()-3-N(对接源_01水果!$T$1),对接源_02物料!$Q$5:$Q$460,0)),"")))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6" s="26" t="str">
        <f>IF($B236="","",IF($B236="01水果",IFERROR(INDEX(对接源_01水果!$E$5:$E$507,MATCH(ROW()-3,对接源_01水果!$Q$5:$Q$507,0)),""),IFERROR(INDEX(对接源_02物料!$E$5:$E$460,MATCH(ROW()-3-N(对接源_01水果!$T$1),对接源_02物料!$Q$5:$Q$460,0)),"")))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6" s="27" t="str">
        <f>IF($B236="","",IF($B236="01水果",IFERROR(INDEX(对接源_01水果!$F$5:$F$507,MATCH(ROW()-3,对接源_01水果!$Q$5:$Q$507,0)),""),IFERROR(INDEX(对接源_02物料!$F$5:$F$460,MATCH(ROW()-3-N(对接源_01水果!$T$1),对接源_02物料!$Q$5:$Q$460,0)),"")))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6" s="27" t="str">
        <f>IF($B236="","",IF($B236="01水果",IFERROR(INDEX(对接源_01水果!$G$5:$G$507,MATCH(ROW()-3,对接源_01水果!$Q$5:$Q$507,0)),""),IFERROR(INDEX(对接源_02物料!$G$5:$G$460,MATCH(ROW()-3-N(对接源_01水果!$T$1),对接源_02物料!$Q$5:$Q$460,0)),"")))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6" s="26" t="str">
        <f>IFERROR(INDEX(收入成本映射!$C$4:$C$34,MATCH($D236,收入成本映射!$B$4:$B$34,0)),"不记账")</f>
        <v>不记账</v>
      </c>
      <c r="J236" s="26" t="str">
        <f t="shared" si="27"/>
        <v/>
      </c>
      <c r="K236" s="27">
        <f t="shared" si="28"/>
        <v>0</v>
      </c>
      <c r="L236" s="27">
        <v>0</v>
      </c>
      <c r="M236" s="26" t="str">
        <f>IF(OR($I236="不记账",ROUND(N($G236),2)=0),"",IFERROR(INDEX(收入成本映射!$E$4:$E$34,MATCH($D236,收入成本映射!$B$4:$B$34,0)),""))</f>
        <v/>
      </c>
      <c r="N236" s="27" t="str">
        <f t="shared" si="29"/>
        <v/>
      </c>
      <c r="O236" s="27" t="str">
        <f t="shared" si="30"/>
        <v/>
      </c>
      <c r="P236" s="26" t="str">
        <f>IF($M236="","",IFERROR(INDEX(收入成本映射!$F$4:$F$34,MATCH($D236,收入成本映射!$B$4:$B$34,0)),""))</f>
        <v/>
      </c>
      <c r="Q236" s="27" t="str">
        <f t="shared" si="31"/>
        <v/>
      </c>
      <c r="R236" s="27" t="str">
        <f t="shared" si="32"/>
        <v/>
      </c>
      <c r="S236" s="26" t="str">
        <f t="shared" si="33"/>
        <v/>
      </c>
      <c r="T236" s="27" t="str">
        <f t="shared" si="34"/>
        <v/>
      </c>
      <c r="U236" s="27" t="str">
        <f t="shared" si="35"/>
        <v/>
      </c>
      <c r="V236" s="10" t="str">
        <f>IF($B236="","",IF($B236="01水果",IFERROR(INDEX(对接源_01水果!$H$5:$H$507,MATCH(ROW()-3,对接源_01水果!$Q$5:$Q$507,0)),""),IFERROR(INDEX(对接源_02物料!$H$5:$H$460,MATCH(ROW()-3-N(对接源_01水果!$T$1),对接源_02物料!$Q$5:$Q$460,0)),"")))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7" ht="18" customHeight="1" spans="1:22">
      <c r="A237" s="10">
        <v>234</v>
      </c>
      <c r="B237" s="26" t="str">
        <f>IF(ROW()-3&lt;=N(对接源_01水果!$T$1),"01水果",IF(ROW()-3&lt;=N(对接源_01水果!$T$1)+N(对接源_02物料!$T$1),"02物料",""))</f>
        <v/>
      </c>
      <c r="C237" s="125" t="str">
        <f>IF($B237="","",IF($B237="01水果",IFERROR(INDEX(对接源_01水果!$B$5:$B$507,MATCH(ROW()-3,对接源_01水果!$Q$5:$Q$507,0)),""),IFERROR(INDEX(对接源_02物料!$B$5:$B$460,MATCH(ROW()-3-N(对接源_01水果!$T$1),对接源_02物料!$Q$5:$Q$460,0)),"")))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7" s="26" t="str">
        <f>IF($B237="","",IF($B237="01水果",IFERROR(INDEX(对接源_01水果!$C$5:$C$507,MATCH(ROW()-3,对接源_01水果!$Q$5:$Q$507,0)),""),IFERROR(INDEX(对接源_02物料!$C$5:$C$460,MATCH(ROW()-3-N(对接源_01水果!$T$1),对接源_02物料!$Q$5:$Q$460,0)),"")))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7" s="126" t="str">
        <f>IF($B237="","",IF($B237="01水果",IFERROR(INDEX(对接源_01水果!$D$5:$D$507,MATCH(ROW()-3,对接源_01水果!$Q$5:$Q$507,0)),""),IFERROR(INDEX(对接源_02物料!$D$5:$D$460,MATCH(ROW()-3-N(对接源_01水果!$T$1),对接源_02物料!$Q$5:$Q$460,0)),"")))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7" s="26" t="str">
        <f>IF($B237="","",IF($B237="01水果",IFERROR(INDEX(对接源_01水果!$E$5:$E$507,MATCH(ROW()-3,对接源_01水果!$Q$5:$Q$507,0)),""),IFERROR(INDEX(对接源_02物料!$E$5:$E$460,MATCH(ROW()-3-N(对接源_01水果!$T$1),对接源_02物料!$Q$5:$Q$460,0)),"")))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7" s="27" t="str">
        <f>IF($B237="","",IF($B237="01水果",IFERROR(INDEX(对接源_01水果!$F$5:$F$507,MATCH(ROW()-3,对接源_01水果!$Q$5:$Q$507,0)),""),IFERROR(INDEX(对接源_02物料!$F$5:$F$460,MATCH(ROW()-3-N(对接源_01水果!$T$1),对接源_02物料!$Q$5:$Q$460,0)),"")))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7" s="27" t="str">
        <f>IF($B237="","",IF($B237="01水果",IFERROR(INDEX(对接源_01水果!$G$5:$G$507,MATCH(ROW()-3,对接源_01水果!$Q$5:$Q$507,0)),""),IFERROR(INDEX(对接源_02物料!$G$5:$G$460,MATCH(ROW()-3-N(对接源_01水果!$T$1),对接源_02物料!$Q$5:$Q$460,0)),"")))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7" s="26" t="str">
        <f>IFERROR(INDEX(收入成本映射!$C$4:$C$34,MATCH($D237,收入成本映射!$B$4:$B$34,0)),"不记账")</f>
        <v>不记账</v>
      </c>
      <c r="J237" s="26" t="str">
        <f t="shared" si="27"/>
        <v/>
      </c>
      <c r="K237" s="27">
        <f t="shared" si="28"/>
        <v>0</v>
      </c>
      <c r="L237" s="27">
        <v>0</v>
      </c>
      <c r="M237" s="26" t="str">
        <f>IF(OR($I237="不记账",ROUND(N($G237),2)=0),"",IFERROR(INDEX(收入成本映射!$E$4:$E$34,MATCH($D237,收入成本映射!$B$4:$B$34,0)),""))</f>
        <v/>
      </c>
      <c r="N237" s="27" t="str">
        <f t="shared" si="29"/>
        <v/>
      </c>
      <c r="O237" s="27" t="str">
        <f t="shared" si="30"/>
        <v/>
      </c>
      <c r="P237" s="26" t="str">
        <f>IF($M237="","",IFERROR(INDEX(收入成本映射!$F$4:$F$34,MATCH($D237,收入成本映射!$B$4:$B$34,0)),""))</f>
        <v/>
      </c>
      <c r="Q237" s="27" t="str">
        <f t="shared" si="31"/>
        <v/>
      </c>
      <c r="R237" s="27" t="str">
        <f t="shared" si="32"/>
        <v/>
      </c>
      <c r="S237" s="26" t="str">
        <f t="shared" si="33"/>
        <v/>
      </c>
      <c r="T237" s="27" t="str">
        <f t="shared" si="34"/>
        <v/>
      </c>
      <c r="U237" s="27" t="str">
        <f t="shared" si="35"/>
        <v/>
      </c>
      <c r="V237" s="10" t="str">
        <f>IF($B237="","",IF($B237="01水果",IFERROR(INDEX(对接源_01水果!$H$5:$H$507,MATCH(ROW()-3,对接源_01水果!$Q$5:$Q$507,0)),""),IFERROR(INDEX(对接源_02物料!$H$5:$H$460,MATCH(ROW()-3-N(对接源_01水果!$T$1),对接源_02物料!$Q$5:$Q$460,0)),"")))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8" ht="18" customHeight="1" spans="1:22">
      <c r="A238" s="10">
        <v>235</v>
      </c>
      <c r="B238" s="26" t="str">
        <f>IF(ROW()-3&lt;=N(对接源_01水果!$T$1),"01水果",IF(ROW()-3&lt;=N(对接源_01水果!$T$1)+N(对接源_02物料!$T$1),"02物料",""))</f>
        <v/>
      </c>
      <c r="C238" s="125" t="str">
        <f>IF($B238="","",IF($B238="01水果",IFERROR(INDEX(对接源_01水果!$B$5:$B$507,MATCH(ROW()-3,对接源_01水果!$Q$5:$Q$507,0)),""),IFERROR(INDEX(对接源_02物料!$B$5:$B$460,MATCH(ROW()-3-N(对接源_01水果!$T$1),对接源_02物料!$Q$5:$Q$460,0)),"")))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8" s="26" t="str">
        <f>IF($B238="","",IF($B238="01水果",IFERROR(INDEX(对接源_01水果!$C$5:$C$507,MATCH(ROW()-3,对接源_01水果!$Q$5:$Q$507,0)),""),IFERROR(INDEX(对接源_02物料!$C$5:$C$460,MATCH(ROW()-3-N(对接源_01水果!$T$1),对接源_02物料!$Q$5:$Q$460,0)),"")))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8" s="126" t="str">
        <f>IF($B238="","",IF($B238="01水果",IFERROR(INDEX(对接源_01水果!$D$5:$D$507,MATCH(ROW()-3,对接源_01水果!$Q$5:$Q$507,0)),""),IFERROR(INDEX(对接源_02物料!$D$5:$D$460,MATCH(ROW()-3-N(对接源_01水果!$T$1),对接源_02物料!$Q$5:$Q$460,0)),"")))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8" s="26" t="str">
        <f>IF($B238="","",IF($B238="01水果",IFERROR(INDEX(对接源_01水果!$E$5:$E$507,MATCH(ROW()-3,对接源_01水果!$Q$5:$Q$507,0)),""),IFERROR(INDEX(对接源_02物料!$E$5:$E$460,MATCH(ROW()-3-N(对接源_01水果!$T$1),对接源_02物料!$Q$5:$Q$460,0)),"")))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8" s="27" t="str">
        <f>IF($B238="","",IF($B238="01水果",IFERROR(INDEX(对接源_01水果!$F$5:$F$507,MATCH(ROW()-3,对接源_01水果!$Q$5:$Q$507,0)),""),IFERROR(INDEX(对接源_02物料!$F$5:$F$460,MATCH(ROW()-3-N(对接源_01水果!$T$1),对接源_02物料!$Q$5:$Q$460,0)),"")))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8" s="27" t="str">
        <f>IF($B238="","",IF($B238="01水果",IFERROR(INDEX(对接源_01水果!$G$5:$G$507,MATCH(ROW()-3,对接源_01水果!$Q$5:$Q$507,0)),""),IFERROR(INDEX(对接源_02物料!$G$5:$G$460,MATCH(ROW()-3-N(对接源_01水果!$T$1),对接源_02物料!$Q$5:$Q$460,0)),"")))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8" s="26" t="str">
        <f>IFERROR(INDEX(收入成本映射!$C$4:$C$34,MATCH($D238,收入成本映射!$B$4:$B$34,0)),"不记账")</f>
        <v>不记账</v>
      </c>
      <c r="J238" s="26" t="str">
        <f t="shared" si="27"/>
        <v/>
      </c>
      <c r="K238" s="27">
        <f t="shared" si="28"/>
        <v>0</v>
      </c>
      <c r="L238" s="27">
        <v>0</v>
      </c>
      <c r="M238" s="26" t="str">
        <f>IF(OR($I238="不记账",ROUND(N($G238),2)=0),"",IFERROR(INDEX(收入成本映射!$E$4:$E$34,MATCH($D238,收入成本映射!$B$4:$B$34,0)),""))</f>
        <v/>
      </c>
      <c r="N238" s="27" t="str">
        <f t="shared" si="29"/>
        <v/>
      </c>
      <c r="O238" s="27" t="str">
        <f t="shared" si="30"/>
        <v/>
      </c>
      <c r="P238" s="26" t="str">
        <f>IF($M238="","",IFERROR(INDEX(收入成本映射!$F$4:$F$34,MATCH($D238,收入成本映射!$B$4:$B$34,0)),""))</f>
        <v/>
      </c>
      <c r="Q238" s="27" t="str">
        <f t="shared" si="31"/>
        <v/>
      </c>
      <c r="R238" s="27" t="str">
        <f t="shared" si="32"/>
        <v/>
      </c>
      <c r="S238" s="26" t="str">
        <f t="shared" si="33"/>
        <v/>
      </c>
      <c r="T238" s="27" t="str">
        <f t="shared" si="34"/>
        <v/>
      </c>
      <c r="U238" s="27" t="str">
        <f t="shared" si="35"/>
        <v/>
      </c>
      <c r="V238" s="10" t="str">
        <f>IF($B238="","",IF($B238="01水果",IFERROR(INDEX(对接源_01水果!$H$5:$H$507,MATCH(ROW()-3,对接源_01水果!$Q$5:$Q$507,0)),""),IFERROR(INDEX(对接源_02物料!$H$5:$H$460,MATCH(ROW()-3-N(对接源_01水果!$T$1),对接源_02物料!$Q$5:$Q$460,0)),"")))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9" ht="18" customHeight="1" spans="1:22">
      <c r="A239" s="10">
        <v>236</v>
      </c>
      <c r="B239" s="26" t="str">
        <f>IF(ROW()-3&lt;=N(对接源_01水果!$T$1),"01水果",IF(ROW()-3&lt;=N(对接源_01水果!$T$1)+N(对接源_02物料!$T$1),"02物料",""))</f>
        <v/>
      </c>
      <c r="C239" s="125" t="str">
        <f>IF($B239="","",IF($B239="01水果",IFERROR(INDEX(对接源_01水果!$B$5:$B$507,MATCH(ROW()-3,对接源_01水果!$Q$5:$Q$507,0)),""),IFERROR(INDEX(对接源_02物料!$B$5:$B$460,MATCH(ROW()-3-N(对接源_01水果!$T$1),对接源_02物料!$Q$5:$Q$460,0)),"")))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9" s="26" t="str">
        <f>IF($B239="","",IF($B239="01水果",IFERROR(INDEX(对接源_01水果!$C$5:$C$507,MATCH(ROW()-3,对接源_01水果!$Q$5:$Q$507,0)),""),IFERROR(INDEX(对接源_02物料!$C$5:$C$460,MATCH(ROW()-3-N(对接源_01水果!$T$1),对接源_02物料!$Q$5:$Q$460,0)),"")))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9" s="126" t="str">
        <f>IF($B239="","",IF($B239="01水果",IFERROR(INDEX(对接源_01水果!$D$5:$D$507,MATCH(ROW()-3,对接源_01水果!$Q$5:$Q$507,0)),""),IFERROR(INDEX(对接源_02物料!$D$5:$D$460,MATCH(ROW()-3-N(对接源_01水果!$T$1),对接源_02物料!$Q$5:$Q$460,0)),"")))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9" s="26" t="str">
        <f>IF($B239="","",IF($B239="01水果",IFERROR(INDEX(对接源_01水果!$E$5:$E$507,MATCH(ROW()-3,对接源_01水果!$Q$5:$Q$507,0)),""),IFERROR(INDEX(对接源_02物料!$E$5:$E$460,MATCH(ROW()-3-N(对接源_01水果!$T$1),对接源_02物料!$Q$5:$Q$460,0)),"")))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9" s="27" t="str">
        <f>IF($B239="","",IF($B239="01水果",IFERROR(INDEX(对接源_01水果!$F$5:$F$507,MATCH(ROW()-3,对接源_01水果!$Q$5:$Q$507,0)),""),IFERROR(INDEX(对接源_02物料!$F$5:$F$460,MATCH(ROW()-3-N(对接源_01水果!$T$1),对接源_02物料!$Q$5:$Q$460,0)),"")))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9" s="27" t="str">
        <f>IF($B239="","",IF($B239="01水果",IFERROR(INDEX(对接源_01水果!$G$5:$G$507,MATCH(ROW()-3,对接源_01水果!$Q$5:$Q$507,0)),""),IFERROR(INDEX(对接源_02物料!$G$5:$G$460,MATCH(ROW()-3-N(对接源_01水果!$T$1),对接源_02物料!$Q$5:$Q$460,0)),"")))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9" s="26" t="str">
        <f>IFERROR(INDEX(收入成本映射!$C$4:$C$34,MATCH($D239,收入成本映射!$B$4:$B$34,0)),"不记账")</f>
        <v>不记账</v>
      </c>
      <c r="J239" s="26" t="str">
        <f t="shared" si="27"/>
        <v/>
      </c>
      <c r="K239" s="27">
        <f t="shared" si="28"/>
        <v>0</v>
      </c>
      <c r="L239" s="27">
        <v>0</v>
      </c>
      <c r="M239" s="26" t="str">
        <f>IF(OR($I239="不记账",ROUND(N($G239),2)=0),"",IFERROR(INDEX(收入成本映射!$E$4:$E$34,MATCH($D239,收入成本映射!$B$4:$B$34,0)),""))</f>
        <v/>
      </c>
      <c r="N239" s="27" t="str">
        <f t="shared" si="29"/>
        <v/>
      </c>
      <c r="O239" s="27" t="str">
        <f t="shared" si="30"/>
        <v/>
      </c>
      <c r="P239" s="26" t="str">
        <f>IF($M239="","",IFERROR(INDEX(收入成本映射!$F$4:$F$34,MATCH($D239,收入成本映射!$B$4:$B$34,0)),""))</f>
        <v/>
      </c>
      <c r="Q239" s="27" t="str">
        <f t="shared" si="31"/>
        <v/>
      </c>
      <c r="R239" s="27" t="str">
        <f t="shared" si="32"/>
        <v/>
      </c>
      <c r="S239" s="26" t="str">
        <f t="shared" si="33"/>
        <v/>
      </c>
      <c r="T239" s="27" t="str">
        <f t="shared" si="34"/>
        <v/>
      </c>
      <c r="U239" s="27" t="str">
        <f t="shared" si="35"/>
        <v/>
      </c>
      <c r="V239" s="10" t="str">
        <f>IF($B239="","",IF($B239="01水果",IFERROR(INDEX(对接源_01水果!$H$5:$H$507,MATCH(ROW()-3,对接源_01水果!$Q$5:$Q$507,0)),""),IFERROR(INDEX(对接源_02物料!$H$5:$H$460,MATCH(ROW()-3-N(对接源_01水果!$T$1),对接源_02物料!$Q$5:$Q$460,0)),"")))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0" ht="18" customHeight="1" spans="1:22">
      <c r="A240" s="10">
        <v>237</v>
      </c>
      <c r="B240" s="26" t="str">
        <f>IF(ROW()-3&lt;=N(对接源_01水果!$T$1),"01水果",IF(ROW()-3&lt;=N(对接源_01水果!$T$1)+N(对接源_02物料!$T$1),"02物料",""))</f>
        <v/>
      </c>
      <c r="C240" s="125" t="str">
        <f>IF($B240="","",IF($B240="01水果",IFERROR(INDEX(对接源_01水果!$B$5:$B$507,MATCH(ROW()-3,对接源_01水果!$Q$5:$Q$507,0)),""),IFERROR(INDEX(对接源_02物料!$B$5:$B$460,MATCH(ROW()-3-N(对接源_01水果!$T$1),对接源_02物料!$Q$5:$Q$460,0)),"")))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0" s="26" t="str">
        <f>IF($B240="","",IF($B240="01水果",IFERROR(INDEX(对接源_01水果!$C$5:$C$507,MATCH(ROW()-3,对接源_01水果!$Q$5:$Q$507,0)),""),IFERROR(INDEX(对接源_02物料!$C$5:$C$460,MATCH(ROW()-3-N(对接源_01水果!$T$1),对接源_02物料!$Q$5:$Q$460,0)),"")))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0" s="126" t="str">
        <f>IF($B240="","",IF($B240="01水果",IFERROR(INDEX(对接源_01水果!$D$5:$D$507,MATCH(ROW()-3,对接源_01水果!$Q$5:$Q$507,0)),""),IFERROR(INDEX(对接源_02物料!$D$5:$D$460,MATCH(ROW()-3-N(对接源_01水果!$T$1),对接源_02物料!$Q$5:$Q$460,0)),"")))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0" s="26" t="str">
        <f>IF($B240="","",IF($B240="01水果",IFERROR(INDEX(对接源_01水果!$E$5:$E$507,MATCH(ROW()-3,对接源_01水果!$Q$5:$Q$507,0)),""),IFERROR(INDEX(对接源_02物料!$E$5:$E$460,MATCH(ROW()-3-N(对接源_01水果!$T$1),对接源_02物料!$Q$5:$Q$460,0)),"")))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0" s="27" t="str">
        <f>IF($B240="","",IF($B240="01水果",IFERROR(INDEX(对接源_01水果!$F$5:$F$507,MATCH(ROW()-3,对接源_01水果!$Q$5:$Q$507,0)),""),IFERROR(INDEX(对接源_02物料!$F$5:$F$460,MATCH(ROW()-3-N(对接源_01水果!$T$1),对接源_02物料!$Q$5:$Q$460,0)),"")))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0" s="27" t="str">
        <f>IF($B240="","",IF($B240="01水果",IFERROR(INDEX(对接源_01水果!$G$5:$G$507,MATCH(ROW()-3,对接源_01水果!$Q$5:$Q$507,0)),""),IFERROR(INDEX(对接源_02物料!$G$5:$G$460,MATCH(ROW()-3-N(对接源_01水果!$T$1),对接源_02物料!$Q$5:$Q$460,0)),"")))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0" s="26" t="str">
        <f>IFERROR(INDEX(收入成本映射!$C$4:$C$34,MATCH($D240,收入成本映射!$B$4:$B$34,0)),"不记账")</f>
        <v>不记账</v>
      </c>
      <c r="J240" s="26" t="str">
        <f t="shared" si="27"/>
        <v/>
      </c>
      <c r="K240" s="27">
        <f t="shared" si="28"/>
        <v>0</v>
      </c>
      <c r="L240" s="27">
        <v>0</v>
      </c>
      <c r="M240" s="26" t="str">
        <f>IF(OR($I240="不记账",ROUND(N($G240),2)=0),"",IFERROR(INDEX(收入成本映射!$E$4:$E$34,MATCH($D240,收入成本映射!$B$4:$B$34,0)),""))</f>
        <v/>
      </c>
      <c r="N240" s="27" t="str">
        <f t="shared" si="29"/>
        <v/>
      </c>
      <c r="O240" s="27" t="str">
        <f t="shared" si="30"/>
        <v/>
      </c>
      <c r="P240" s="26" t="str">
        <f>IF($M240="","",IFERROR(INDEX(收入成本映射!$F$4:$F$34,MATCH($D240,收入成本映射!$B$4:$B$34,0)),""))</f>
        <v/>
      </c>
      <c r="Q240" s="27" t="str">
        <f t="shared" si="31"/>
        <v/>
      </c>
      <c r="R240" s="27" t="str">
        <f t="shared" si="32"/>
        <v/>
      </c>
      <c r="S240" s="26" t="str">
        <f t="shared" si="33"/>
        <v/>
      </c>
      <c r="T240" s="27" t="str">
        <f t="shared" si="34"/>
        <v/>
      </c>
      <c r="U240" s="27" t="str">
        <f t="shared" si="35"/>
        <v/>
      </c>
      <c r="V240" s="10" t="str">
        <f>IF($B240="","",IF($B240="01水果",IFERROR(INDEX(对接源_01水果!$H$5:$H$507,MATCH(ROW()-3,对接源_01水果!$Q$5:$Q$507,0)),""),IFERROR(INDEX(对接源_02物料!$H$5:$H$460,MATCH(ROW()-3-N(对接源_01水果!$T$1),对接源_02物料!$Q$5:$Q$460,0)),"")))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1" ht="18" customHeight="1" spans="1:22">
      <c r="A241" s="10">
        <v>238</v>
      </c>
      <c r="B241" s="26" t="str">
        <f>IF(ROW()-3&lt;=N(对接源_01水果!$T$1),"01水果",IF(ROW()-3&lt;=N(对接源_01水果!$T$1)+N(对接源_02物料!$T$1),"02物料",""))</f>
        <v/>
      </c>
      <c r="C241" s="125" t="str">
        <f>IF($B241="","",IF($B241="01水果",IFERROR(INDEX(对接源_01水果!$B$5:$B$507,MATCH(ROW()-3,对接源_01水果!$Q$5:$Q$507,0)),""),IFERROR(INDEX(对接源_02物料!$B$5:$B$460,MATCH(ROW()-3-N(对接源_01水果!$T$1),对接源_02物料!$Q$5:$Q$460,0)),"")))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1" s="26" t="str">
        <f>IF($B241="","",IF($B241="01水果",IFERROR(INDEX(对接源_01水果!$C$5:$C$507,MATCH(ROW()-3,对接源_01水果!$Q$5:$Q$507,0)),""),IFERROR(INDEX(对接源_02物料!$C$5:$C$460,MATCH(ROW()-3-N(对接源_01水果!$T$1),对接源_02物料!$Q$5:$Q$460,0)),"")))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1" s="126" t="str">
        <f>IF($B241="","",IF($B241="01水果",IFERROR(INDEX(对接源_01水果!$D$5:$D$507,MATCH(ROW()-3,对接源_01水果!$Q$5:$Q$507,0)),""),IFERROR(INDEX(对接源_02物料!$D$5:$D$460,MATCH(ROW()-3-N(对接源_01水果!$T$1),对接源_02物料!$Q$5:$Q$460,0)),"")))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1" s="26" t="str">
        <f>IF($B241="","",IF($B241="01水果",IFERROR(INDEX(对接源_01水果!$E$5:$E$507,MATCH(ROW()-3,对接源_01水果!$Q$5:$Q$507,0)),""),IFERROR(INDEX(对接源_02物料!$E$5:$E$460,MATCH(ROW()-3-N(对接源_01水果!$T$1),对接源_02物料!$Q$5:$Q$460,0)),"")))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1" s="27" t="str">
        <f>IF($B241="","",IF($B241="01水果",IFERROR(INDEX(对接源_01水果!$F$5:$F$507,MATCH(ROW()-3,对接源_01水果!$Q$5:$Q$507,0)),""),IFERROR(INDEX(对接源_02物料!$F$5:$F$460,MATCH(ROW()-3-N(对接源_01水果!$T$1),对接源_02物料!$Q$5:$Q$460,0)),"")))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1" s="27" t="str">
        <f>IF($B241="","",IF($B241="01水果",IFERROR(INDEX(对接源_01水果!$G$5:$G$507,MATCH(ROW()-3,对接源_01水果!$Q$5:$Q$507,0)),""),IFERROR(INDEX(对接源_02物料!$G$5:$G$460,MATCH(ROW()-3-N(对接源_01水果!$T$1),对接源_02物料!$Q$5:$Q$460,0)),"")))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1" s="26" t="str">
        <f>IFERROR(INDEX(收入成本映射!$C$4:$C$34,MATCH($D241,收入成本映射!$B$4:$B$34,0)),"不记账")</f>
        <v>不记账</v>
      </c>
      <c r="J241" s="26" t="str">
        <f t="shared" si="27"/>
        <v/>
      </c>
      <c r="K241" s="27">
        <f t="shared" si="28"/>
        <v>0</v>
      </c>
      <c r="L241" s="27">
        <v>0</v>
      </c>
      <c r="M241" s="26" t="str">
        <f>IF(OR($I241="不记账",ROUND(N($G241),2)=0),"",IFERROR(INDEX(收入成本映射!$E$4:$E$34,MATCH($D241,收入成本映射!$B$4:$B$34,0)),""))</f>
        <v/>
      </c>
      <c r="N241" s="27" t="str">
        <f t="shared" si="29"/>
        <v/>
      </c>
      <c r="O241" s="27" t="str">
        <f t="shared" si="30"/>
        <v/>
      </c>
      <c r="P241" s="26" t="str">
        <f>IF($M241="","",IFERROR(INDEX(收入成本映射!$F$4:$F$34,MATCH($D241,收入成本映射!$B$4:$B$34,0)),""))</f>
        <v/>
      </c>
      <c r="Q241" s="27" t="str">
        <f t="shared" si="31"/>
        <v/>
      </c>
      <c r="R241" s="27" t="str">
        <f t="shared" si="32"/>
        <v/>
      </c>
      <c r="S241" s="26" t="str">
        <f t="shared" si="33"/>
        <v/>
      </c>
      <c r="T241" s="27" t="str">
        <f t="shared" si="34"/>
        <v/>
      </c>
      <c r="U241" s="27" t="str">
        <f t="shared" si="35"/>
        <v/>
      </c>
      <c r="V241" s="10" t="str">
        <f>IF($B241="","",IF($B241="01水果",IFERROR(INDEX(对接源_01水果!$H$5:$H$507,MATCH(ROW()-3,对接源_01水果!$Q$5:$Q$507,0)),""),IFERROR(INDEX(对接源_02物料!$H$5:$H$460,MATCH(ROW()-3-N(对接源_01水果!$T$1),对接源_02物料!$Q$5:$Q$460,0)),"")))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2" ht="18" customHeight="1" spans="1:22">
      <c r="A242" s="10">
        <v>239</v>
      </c>
      <c r="B242" s="26" t="str">
        <f>IF(ROW()-3&lt;=N(对接源_01水果!$T$1),"01水果",IF(ROW()-3&lt;=N(对接源_01水果!$T$1)+N(对接源_02物料!$T$1),"02物料",""))</f>
        <v/>
      </c>
      <c r="C242" s="125" t="str">
        <f>IF($B242="","",IF($B242="01水果",IFERROR(INDEX(对接源_01水果!$B$5:$B$507,MATCH(ROW()-3,对接源_01水果!$Q$5:$Q$507,0)),""),IFERROR(INDEX(对接源_02物料!$B$5:$B$460,MATCH(ROW()-3-N(对接源_01水果!$T$1),对接源_02物料!$Q$5:$Q$460,0)),"")))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2" s="26" t="str">
        <f>IF($B242="","",IF($B242="01水果",IFERROR(INDEX(对接源_01水果!$C$5:$C$507,MATCH(ROW()-3,对接源_01水果!$Q$5:$Q$507,0)),""),IFERROR(INDEX(对接源_02物料!$C$5:$C$460,MATCH(ROW()-3-N(对接源_01水果!$T$1),对接源_02物料!$Q$5:$Q$460,0)),"")))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2" s="126" t="str">
        <f>IF($B242="","",IF($B242="01水果",IFERROR(INDEX(对接源_01水果!$D$5:$D$507,MATCH(ROW()-3,对接源_01水果!$Q$5:$Q$507,0)),""),IFERROR(INDEX(对接源_02物料!$D$5:$D$460,MATCH(ROW()-3-N(对接源_01水果!$T$1),对接源_02物料!$Q$5:$Q$460,0)),"")))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2" s="26" t="str">
        <f>IF($B242="","",IF($B242="01水果",IFERROR(INDEX(对接源_01水果!$E$5:$E$507,MATCH(ROW()-3,对接源_01水果!$Q$5:$Q$507,0)),""),IFERROR(INDEX(对接源_02物料!$E$5:$E$460,MATCH(ROW()-3-N(对接源_01水果!$T$1),对接源_02物料!$Q$5:$Q$460,0)),"")))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2" s="27" t="str">
        <f>IF($B242="","",IF($B242="01水果",IFERROR(INDEX(对接源_01水果!$F$5:$F$507,MATCH(ROW()-3,对接源_01水果!$Q$5:$Q$507,0)),""),IFERROR(INDEX(对接源_02物料!$F$5:$F$460,MATCH(ROW()-3-N(对接源_01水果!$T$1),对接源_02物料!$Q$5:$Q$460,0)),"")))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2" s="27" t="str">
        <f>IF($B242="","",IF($B242="01水果",IFERROR(INDEX(对接源_01水果!$G$5:$G$507,MATCH(ROW()-3,对接源_01水果!$Q$5:$Q$507,0)),""),IFERROR(INDEX(对接源_02物料!$G$5:$G$460,MATCH(ROW()-3-N(对接源_01水果!$T$1),对接源_02物料!$Q$5:$Q$460,0)),"")))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2" s="26" t="str">
        <f>IFERROR(INDEX(收入成本映射!$C$4:$C$34,MATCH($D242,收入成本映射!$B$4:$B$34,0)),"不记账")</f>
        <v>不记账</v>
      </c>
      <c r="J242" s="26" t="str">
        <f t="shared" si="27"/>
        <v/>
      </c>
      <c r="K242" s="27">
        <f t="shared" si="28"/>
        <v>0</v>
      </c>
      <c r="L242" s="27">
        <v>0</v>
      </c>
      <c r="M242" s="26" t="str">
        <f>IF(OR($I242="不记账",ROUND(N($G242),2)=0),"",IFERROR(INDEX(收入成本映射!$E$4:$E$34,MATCH($D242,收入成本映射!$B$4:$B$34,0)),""))</f>
        <v/>
      </c>
      <c r="N242" s="27" t="str">
        <f t="shared" si="29"/>
        <v/>
      </c>
      <c r="O242" s="27" t="str">
        <f t="shared" si="30"/>
        <v/>
      </c>
      <c r="P242" s="26" t="str">
        <f>IF($M242="","",IFERROR(INDEX(收入成本映射!$F$4:$F$34,MATCH($D242,收入成本映射!$B$4:$B$34,0)),""))</f>
        <v/>
      </c>
      <c r="Q242" s="27" t="str">
        <f t="shared" si="31"/>
        <v/>
      </c>
      <c r="R242" s="27" t="str">
        <f t="shared" si="32"/>
        <v/>
      </c>
      <c r="S242" s="26" t="str">
        <f t="shared" si="33"/>
        <v/>
      </c>
      <c r="T242" s="27" t="str">
        <f t="shared" si="34"/>
        <v/>
      </c>
      <c r="U242" s="27" t="str">
        <f t="shared" si="35"/>
        <v/>
      </c>
      <c r="V242" s="10" t="str">
        <f>IF($B242="","",IF($B242="01水果",IFERROR(INDEX(对接源_01水果!$H$5:$H$507,MATCH(ROW()-3,对接源_01水果!$Q$5:$Q$507,0)),""),IFERROR(INDEX(对接源_02物料!$H$5:$H$460,MATCH(ROW()-3-N(对接源_01水果!$T$1),对接源_02物料!$Q$5:$Q$460,0)),"")))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3" ht="18" customHeight="1" spans="1:22">
      <c r="A243" s="10">
        <v>240</v>
      </c>
      <c r="B243" s="26" t="str">
        <f>IF(ROW()-3&lt;=N(对接源_01水果!$T$1),"01水果",IF(ROW()-3&lt;=N(对接源_01水果!$T$1)+N(对接源_02物料!$T$1),"02物料",""))</f>
        <v/>
      </c>
      <c r="C243" s="125" t="str">
        <f>IF($B243="","",IF($B243="01水果",IFERROR(INDEX(对接源_01水果!$B$5:$B$507,MATCH(ROW()-3,对接源_01水果!$Q$5:$Q$507,0)),""),IFERROR(INDEX(对接源_02物料!$B$5:$B$460,MATCH(ROW()-3-N(对接源_01水果!$T$1),对接源_02物料!$Q$5:$Q$460,0)),"")))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3" s="26" t="str">
        <f>IF($B243="","",IF($B243="01水果",IFERROR(INDEX(对接源_01水果!$C$5:$C$507,MATCH(ROW()-3,对接源_01水果!$Q$5:$Q$507,0)),""),IFERROR(INDEX(对接源_02物料!$C$5:$C$460,MATCH(ROW()-3-N(对接源_01水果!$T$1),对接源_02物料!$Q$5:$Q$460,0)),"")))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3" s="126" t="str">
        <f>IF($B243="","",IF($B243="01水果",IFERROR(INDEX(对接源_01水果!$D$5:$D$507,MATCH(ROW()-3,对接源_01水果!$Q$5:$Q$507,0)),""),IFERROR(INDEX(对接源_02物料!$D$5:$D$460,MATCH(ROW()-3-N(对接源_01水果!$T$1),对接源_02物料!$Q$5:$Q$460,0)),"")))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3" s="26" t="str">
        <f>IF($B243="","",IF($B243="01水果",IFERROR(INDEX(对接源_01水果!$E$5:$E$507,MATCH(ROW()-3,对接源_01水果!$Q$5:$Q$507,0)),""),IFERROR(INDEX(对接源_02物料!$E$5:$E$460,MATCH(ROW()-3-N(对接源_01水果!$T$1),对接源_02物料!$Q$5:$Q$460,0)),"")))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3" s="27" t="str">
        <f>IF($B243="","",IF($B243="01水果",IFERROR(INDEX(对接源_01水果!$F$5:$F$507,MATCH(ROW()-3,对接源_01水果!$Q$5:$Q$507,0)),""),IFERROR(INDEX(对接源_02物料!$F$5:$F$460,MATCH(ROW()-3-N(对接源_01水果!$T$1),对接源_02物料!$Q$5:$Q$460,0)),"")))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3" s="27" t="str">
        <f>IF($B243="","",IF($B243="01水果",IFERROR(INDEX(对接源_01水果!$G$5:$G$507,MATCH(ROW()-3,对接源_01水果!$Q$5:$Q$507,0)),""),IFERROR(INDEX(对接源_02物料!$G$5:$G$460,MATCH(ROW()-3-N(对接源_01水果!$T$1),对接源_02物料!$Q$5:$Q$460,0)),"")))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3" s="26" t="str">
        <f>IFERROR(INDEX(收入成本映射!$C$4:$C$34,MATCH($D243,收入成本映射!$B$4:$B$34,0)),"不记账")</f>
        <v>不记账</v>
      </c>
      <c r="J243" s="26" t="str">
        <f t="shared" si="27"/>
        <v/>
      </c>
      <c r="K243" s="27">
        <f t="shared" si="28"/>
        <v>0</v>
      </c>
      <c r="L243" s="27">
        <v>0</v>
      </c>
      <c r="M243" s="26" t="str">
        <f>IF(OR($I243="不记账",ROUND(N($G243),2)=0),"",IFERROR(INDEX(收入成本映射!$E$4:$E$34,MATCH($D243,收入成本映射!$B$4:$B$34,0)),""))</f>
        <v/>
      </c>
      <c r="N243" s="27" t="str">
        <f t="shared" si="29"/>
        <v/>
      </c>
      <c r="O243" s="27" t="str">
        <f t="shared" si="30"/>
        <v/>
      </c>
      <c r="P243" s="26" t="str">
        <f>IF($M243="","",IFERROR(INDEX(收入成本映射!$F$4:$F$34,MATCH($D243,收入成本映射!$B$4:$B$34,0)),""))</f>
        <v/>
      </c>
      <c r="Q243" s="27" t="str">
        <f t="shared" si="31"/>
        <v/>
      </c>
      <c r="R243" s="27" t="str">
        <f t="shared" si="32"/>
        <v/>
      </c>
      <c r="S243" s="26" t="str">
        <f t="shared" si="33"/>
        <v/>
      </c>
      <c r="T243" s="27" t="str">
        <f t="shared" si="34"/>
        <v/>
      </c>
      <c r="U243" s="27" t="str">
        <f t="shared" si="35"/>
        <v/>
      </c>
      <c r="V243" s="10" t="str">
        <f>IF($B243="","",IF($B243="01水果",IFERROR(INDEX(对接源_01水果!$H$5:$H$507,MATCH(ROW()-3,对接源_01水果!$Q$5:$Q$507,0)),""),IFERROR(INDEX(对接源_02物料!$H$5:$H$460,MATCH(ROW()-3-N(对接源_01水果!$T$1),对接源_02物料!$Q$5:$Q$460,0)),"")))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4" ht="18" customHeight="1" spans="1:22">
      <c r="A244" s="10">
        <v>241</v>
      </c>
      <c r="B244" s="26" t="str">
        <f>IF(ROW()-3&lt;=N(对接源_01水果!$T$1),"01水果",IF(ROW()-3&lt;=N(对接源_01水果!$T$1)+N(对接源_02物料!$T$1),"02物料",""))</f>
        <v/>
      </c>
      <c r="C244" s="125" t="str">
        <f>IF($B244="","",IF($B244="01水果",IFERROR(INDEX(对接源_01水果!$B$5:$B$507,MATCH(ROW()-3,对接源_01水果!$Q$5:$Q$507,0)),""),IFERROR(INDEX(对接源_02物料!$B$5:$B$460,MATCH(ROW()-3-N(对接源_01水果!$T$1),对接源_02物料!$Q$5:$Q$460,0)),"")))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4" s="26" t="str">
        <f>IF($B244="","",IF($B244="01水果",IFERROR(INDEX(对接源_01水果!$C$5:$C$507,MATCH(ROW()-3,对接源_01水果!$Q$5:$Q$507,0)),""),IFERROR(INDEX(对接源_02物料!$C$5:$C$460,MATCH(ROW()-3-N(对接源_01水果!$T$1),对接源_02物料!$Q$5:$Q$460,0)),"")))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4" s="126" t="str">
        <f>IF($B244="","",IF($B244="01水果",IFERROR(INDEX(对接源_01水果!$D$5:$D$507,MATCH(ROW()-3,对接源_01水果!$Q$5:$Q$507,0)),""),IFERROR(INDEX(对接源_02物料!$D$5:$D$460,MATCH(ROW()-3-N(对接源_01水果!$T$1),对接源_02物料!$Q$5:$Q$460,0)),"")))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4" s="26" t="str">
        <f>IF($B244="","",IF($B244="01水果",IFERROR(INDEX(对接源_01水果!$E$5:$E$507,MATCH(ROW()-3,对接源_01水果!$Q$5:$Q$507,0)),""),IFERROR(INDEX(对接源_02物料!$E$5:$E$460,MATCH(ROW()-3-N(对接源_01水果!$T$1),对接源_02物料!$Q$5:$Q$460,0)),"")))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4" s="27" t="str">
        <f>IF($B244="","",IF($B244="01水果",IFERROR(INDEX(对接源_01水果!$F$5:$F$507,MATCH(ROW()-3,对接源_01水果!$Q$5:$Q$507,0)),""),IFERROR(INDEX(对接源_02物料!$F$5:$F$460,MATCH(ROW()-3-N(对接源_01水果!$T$1),对接源_02物料!$Q$5:$Q$460,0)),"")))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4" s="27" t="str">
        <f>IF($B244="","",IF($B244="01水果",IFERROR(INDEX(对接源_01水果!$G$5:$G$507,MATCH(ROW()-3,对接源_01水果!$Q$5:$Q$507,0)),""),IFERROR(INDEX(对接源_02物料!$G$5:$G$460,MATCH(ROW()-3-N(对接源_01水果!$T$1),对接源_02物料!$Q$5:$Q$460,0)),"")))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4" s="26" t="str">
        <f>IFERROR(INDEX(收入成本映射!$C$4:$C$34,MATCH($D244,收入成本映射!$B$4:$B$34,0)),"不记账")</f>
        <v>不记账</v>
      </c>
      <c r="J244" s="26" t="str">
        <f t="shared" si="27"/>
        <v/>
      </c>
      <c r="K244" s="27">
        <f t="shared" si="28"/>
        <v>0</v>
      </c>
      <c r="L244" s="27">
        <v>0</v>
      </c>
      <c r="M244" s="26" t="str">
        <f>IF(OR($I244="不记账",ROUND(N($G244),2)=0),"",IFERROR(INDEX(收入成本映射!$E$4:$E$34,MATCH($D244,收入成本映射!$B$4:$B$34,0)),""))</f>
        <v/>
      </c>
      <c r="N244" s="27" t="str">
        <f t="shared" si="29"/>
        <v/>
      </c>
      <c r="O244" s="27" t="str">
        <f t="shared" si="30"/>
        <v/>
      </c>
      <c r="P244" s="26" t="str">
        <f>IF($M244="","",IFERROR(INDEX(收入成本映射!$F$4:$F$34,MATCH($D244,收入成本映射!$B$4:$B$34,0)),""))</f>
        <v/>
      </c>
      <c r="Q244" s="27" t="str">
        <f t="shared" si="31"/>
        <v/>
      </c>
      <c r="R244" s="27" t="str">
        <f t="shared" si="32"/>
        <v/>
      </c>
      <c r="S244" s="26" t="str">
        <f t="shared" si="33"/>
        <v/>
      </c>
      <c r="T244" s="27" t="str">
        <f t="shared" si="34"/>
        <v/>
      </c>
      <c r="U244" s="27" t="str">
        <f t="shared" si="35"/>
        <v/>
      </c>
      <c r="V244" s="10" t="str">
        <f>IF($B244="","",IF($B244="01水果",IFERROR(INDEX(对接源_01水果!$H$5:$H$507,MATCH(ROW()-3,对接源_01水果!$Q$5:$Q$507,0)),""),IFERROR(INDEX(对接源_02物料!$H$5:$H$460,MATCH(ROW()-3-N(对接源_01水果!$T$1),对接源_02物料!$Q$5:$Q$460,0)),"")))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5" ht="18" customHeight="1" spans="1:22">
      <c r="A245" s="10">
        <v>242</v>
      </c>
      <c r="B245" s="26" t="str">
        <f>IF(ROW()-3&lt;=N(对接源_01水果!$T$1),"01水果",IF(ROW()-3&lt;=N(对接源_01水果!$T$1)+N(对接源_02物料!$T$1),"02物料",""))</f>
        <v/>
      </c>
      <c r="C245" s="125" t="str">
        <f>IF($B245="","",IF($B245="01水果",IFERROR(INDEX(对接源_01水果!$B$5:$B$507,MATCH(ROW()-3,对接源_01水果!$Q$5:$Q$507,0)),""),IFERROR(INDEX(对接源_02物料!$B$5:$B$460,MATCH(ROW()-3-N(对接源_01水果!$T$1),对接源_02物料!$Q$5:$Q$460,0)),"")))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5" s="26" t="str">
        <f>IF($B245="","",IF($B245="01水果",IFERROR(INDEX(对接源_01水果!$C$5:$C$507,MATCH(ROW()-3,对接源_01水果!$Q$5:$Q$507,0)),""),IFERROR(INDEX(对接源_02物料!$C$5:$C$460,MATCH(ROW()-3-N(对接源_01水果!$T$1),对接源_02物料!$Q$5:$Q$460,0)),"")))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5" s="126" t="str">
        <f>IF($B245="","",IF($B245="01水果",IFERROR(INDEX(对接源_01水果!$D$5:$D$507,MATCH(ROW()-3,对接源_01水果!$Q$5:$Q$507,0)),""),IFERROR(INDEX(对接源_02物料!$D$5:$D$460,MATCH(ROW()-3-N(对接源_01水果!$T$1),对接源_02物料!$Q$5:$Q$460,0)),"")))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5" s="26" t="str">
        <f>IF($B245="","",IF($B245="01水果",IFERROR(INDEX(对接源_01水果!$E$5:$E$507,MATCH(ROW()-3,对接源_01水果!$Q$5:$Q$507,0)),""),IFERROR(INDEX(对接源_02物料!$E$5:$E$460,MATCH(ROW()-3-N(对接源_01水果!$T$1),对接源_02物料!$Q$5:$Q$460,0)),"")))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5" s="27" t="str">
        <f>IF($B245="","",IF($B245="01水果",IFERROR(INDEX(对接源_01水果!$F$5:$F$507,MATCH(ROW()-3,对接源_01水果!$Q$5:$Q$507,0)),""),IFERROR(INDEX(对接源_02物料!$F$5:$F$460,MATCH(ROW()-3-N(对接源_01水果!$T$1),对接源_02物料!$Q$5:$Q$460,0)),"")))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5" s="27" t="str">
        <f>IF($B245="","",IF($B245="01水果",IFERROR(INDEX(对接源_01水果!$G$5:$G$507,MATCH(ROW()-3,对接源_01水果!$Q$5:$Q$507,0)),""),IFERROR(INDEX(对接源_02物料!$G$5:$G$460,MATCH(ROW()-3-N(对接源_01水果!$T$1),对接源_02物料!$Q$5:$Q$460,0)),"")))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5" s="26" t="str">
        <f>IFERROR(INDEX(收入成本映射!$C$4:$C$34,MATCH($D245,收入成本映射!$B$4:$B$34,0)),"不记账")</f>
        <v>不记账</v>
      </c>
      <c r="J245" s="26" t="str">
        <f t="shared" si="27"/>
        <v/>
      </c>
      <c r="K245" s="27">
        <f t="shared" si="28"/>
        <v>0</v>
      </c>
      <c r="L245" s="27">
        <v>0</v>
      </c>
      <c r="M245" s="26" t="str">
        <f>IF(OR($I245="不记账",ROUND(N($G245),2)=0),"",IFERROR(INDEX(收入成本映射!$E$4:$E$34,MATCH($D245,收入成本映射!$B$4:$B$34,0)),""))</f>
        <v/>
      </c>
      <c r="N245" s="27" t="str">
        <f t="shared" si="29"/>
        <v/>
      </c>
      <c r="O245" s="27" t="str">
        <f t="shared" si="30"/>
        <v/>
      </c>
      <c r="P245" s="26" t="str">
        <f>IF($M245="","",IFERROR(INDEX(收入成本映射!$F$4:$F$34,MATCH($D245,收入成本映射!$B$4:$B$34,0)),""))</f>
        <v/>
      </c>
      <c r="Q245" s="27" t="str">
        <f t="shared" si="31"/>
        <v/>
      </c>
      <c r="R245" s="27" t="str">
        <f t="shared" si="32"/>
        <v/>
      </c>
      <c r="S245" s="26" t="str">
        <f t="shared" si="33"/>
        <v/>
      </c>
      <c r="T245" s="27" t="str">
        <f t="shared" si="34"/>
        <v/>
      </c>
      <c r="U245" s="27" t="str">
        <f t="shared" si="35"/>
        <v/>
      </c>
      <c r="V245" s="10" t="str">
        <f>IF($B245="","",IF($B245="01水果",IFERROR(INDEX(对接源_01水果!$H$5:$H$507,MATCH(ROW()-3,对接源_01水果!$Q$5:$Q$507,0)),""),IFERROR(INDEX(对接源_02物料!$H$5:$H$460,MATCH(ROW()-3-N(对接源_01水果!$T$1),对接源_02物料!$Q$5:$Q$460,0)),"")))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6" ht="18" customHeight="1" spans="1:22">
      <c r="A246" s="10">
        <v>243</v>
      </c>
      <c r="B246" s="26" t="str">
        <f>IF(ROW()-3&lt;=N(对接源_01水果!$T$1),"01水果",IF(ROW()-3&lt;=N(对接源_01水果!$T$1)+N(对接源_02物料!$T$1),"02物料",""))</f>
        <v/>
      </c>
      <c r="C246" s="125" t="str">
        <f>IF($B246="","",IF($B246="01水果",IFERROR(INDEX(对接源_01水果!$B$5:$B$507,MATCH(ROW()-3,对接源_01水果!$Q$5:$Q$507,0)),""),IFERROR(INDEX(对接源_02物料!$B$5:$B$460,MATCH(ROW()-3-N(对接源_01水果!$T$1),对接源_02物料!$Q$5:$Q$460,0)),"")))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6" s="26" t="str">
        <f>IF($B246="","",IF($B246="01水果",IFERROR(INDEX(对接源_01水果!$C$5:$C$507,MATCH(ROW()-3,对接源_01水果!$Q$5:$Q$507,0)),""),IFERROR(INDEX(对接源_02物料!$C$5:$C$460,MATCH(ROW()-3-N(对接源_01水果!$T$1),对接源_02物料!$Q$5:$Q$460,0)),"")))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6" s="126" t="str">
        <f>IF($B246="","",IF($B246="01水果",IFERROR(INDEX(对接源_01水果!$D$5:$D$507,MATCH(ROW()-3,对接源_01水果!$Q$5:$Q$507,0)),""),IFERROR(INDEX(对接源_02物料!$D$5:$D$460,MATCH(ROW()-3-N(对接源_01水果!$T$1),对接源_02物料!$Q$5:$Q$460,0)),"")))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6" s="26" t="str">
        <f>IF($B246="","",IF($B246="01水果",IFERROR(INDEX(对接源_01水果!$E$5:$E$507,MATCH(ROW()-3,对接源_01水果!$Q$5:$Q$507,0)),""),IFERROR(INDEX(对接源_02物料!$E$5:$E$460,MATCH(ROW()-3-N(对接源_01水果!$T$1),对接源_02物料!$Q$5:$Q$460,0)),"")))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6" s="27" t="str">
        <f>IF($B246="","",IF($B246="01水果",IFERROR(INDEX(对接源_01水果!$F$5:$F$507,MATCH(ROW()-3,对接源_01水果!$Q$5:$Q$507,0)),""),IFERROR(INDEX(对接源_02物料!$F$5:$F$460,MATCH(ROW()-3-N(对接源_01水果!$T$1),对接源_02物料!$Q$5:$Q$460,0)),"")))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6" s="27" t="str">
        <f>IF($B246="","",IF($B246="01水果",IFERROR(INDEX(对接源_01水果!$G$5:$G$507,MATCH(ROW()-3,对接源_01水果!$Q$5:$Q$507,0)),""),IFERROR(INDEX(对接源_02物料!$G$5:$G$460,MATCH(ROW()-3-N(对接源_01水果!$T$1),对接源_02物料!$Q$5:$Q$460,0)),"")))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6" s="26" t="str">
        <f>IFERROR(INDEX(收入成本映射!$C$4:$C$34,MATCH($D246,收入成本映射!$B$4:$B$34,0)),"不记账")</f>
        <v>不记账</v>
      </c>
      <c r="J246" s="26" t="str">
        <f t="shared" si="27"/>
        <v/>
      </c>
      <c r="K246" s="27">
        <f t="shared" si="28"/>
        <v>0</v>
      </c>
      <c r="L246" s="27">
        <v>0</v>
      </c>
      <c r="M246" s="26" t="str">
        <f>IF(OR($I246="不记账",ROUND(N($G246),2)=0),"",IFERROR(INDEX(收入成本映射!$E$4:$E$34,MATCH($D246,收入成本映射!$B$4:$B$34,0)),""))</f>
        <v/>
      </c>
      <c r="N246" s="27" t="str">
        <f t="shared" si="29"/>
        <v/>
      </c>
      <c r="O246" s="27" t="str">
        <f t="shared" si="30"/>
        <v/>
      </c>
      <c r="P246" s="26" t="str">
        <f>IF($M246="","",IFERROR(INDEX(收入成本映射!$F$4:$F$34,MATCH($D246,收入成本映射!$B$4:$B$34,0)),""))</f>
        <v/>
      </c>
      <c r="Q246" s="27" t="str">
        <f t="shared" si="31"/>
        <v/>
      </c>
      <c r="R246" s="27" t="str">
        <f t="shared" si="32"/>
        <v/>
      </c>
      <c r="S246" s="26" t="str">
        <f t="shared" si="33"/>
        <v/>
      </c>
      <c r="T246" s="27" t="str">
        <f t="shared" si="34"/>
        <v/>
      </c>
      <c r="U246" s="27" t="str">
        <f t="shared" si="35"/>
        <v/>
      </c>
      <c r="V246" s="10" t="str">
        <f>IF($B246="","",IF($B246="01水果",IFERROR(INDEX(对接源_01水果!$H$5:$H$507,MATCH(ROW()-3,对接源_01水果!$Q$5:$Q$507,0)),""),IFERROR(INDEX(对接源_02物料!$H$5:$H$460,MATCH(ROW()-3-N(对接源_01水果!$T$1),对接源_02物料!$Q$5:$Q$460,0)),"")))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7" ht="18" customHeight="1" spans="1:22">
      <c r="A247" s="10">
        <v>244</v>
      </c>
      <c r="B247" s="26" t="str">
        <f>IF(ROW()-3&lt;=N(对接源_01水果!$T$1),"01水果",IF(ROW()-3&lt;=N(对接源_01水果!$T$1)+N(对接源_02物料!$T$1),"02物料",""))</f>
        <v/>
      </c>
      <c r="C247" s="125" t="str">
        <f>IF($B247="","",IF($B247="01水果",IFERROR(INDEX(对接源_01水果!$B$5:$B$507,MATCH(ROW()-3,对接源_01水果!$Q$5:$Q$507,0)),""),IFERROR(INDEX(对接源_02物料!$B$5:$B$460,MATCH(ROW()-3-N(对接源_01水果!$T$1),对接源_02物料!$Q$5:$Q$460,0)),"")))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7" s="26" t="str">
        <f>IF($B247="","",IF($B247="01水果",IFERROR(INDEX(对接源_01水果!$C$5:$C$507,MATCH(ROW()-3,对接源_01水果!$Q$5:$Q$507,0)),""),IFERROR(INDEX(对接源_02物料!$C$5:$C$460,MATCH(ROW()-3-N(对接源_01水果!$T$1),对接源_02物料!$Q$5:$Q$460,0)),"")))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7" s="126" t="str">
        <f>IF($B247="","",IF($B247="01水果",IFERROR(INDEX(对接源_01水果!$D$5:$D$507,MATCH(ROW()-3,对接源_01水果!$Q$5:$Q$507,0)),""),IFERROR(INDEX(对接源_02物料!$D$5:$D$460,MATCH(ROW()-3-N(对接源_01水果!$T$1),对接源_02物料!$Q$5:$Q$460,0)),"")))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7" s="26" t="str">
        <f>IF($B247="","",IF($B247="01水果",IFERROR(INDEX(对接源_01水果!$E$5:$E$507,MATCH(ROW()-3,对接源_01水果!$Q$5:$Q$507,0)),""),IFERROR(INDEX(对接源_02物料!$E$5:$E$460,MATCH(ROW()-3-N(对接源_01水果!$T$1),对接源_02物料!$Q$5:$Q$460,0)),"")))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7" s="27" t="str">
        <f>IF($B247="","",IF($B247="01水果",IFERROR(INDEX(对接源_01水果!$F$5:$F$507,MATCH(ROW()-3,对接源_01水果!$Q$5:$Q$507,0)),""),IFERROR(INDEX(对接源_02物料!$F$5:$F$460,MATCH(ROW()-3-N(对接源_01水果!$T$1),对接源_02物料!$Q$5:$Q$460,0)),"")))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7" s="27" t="str">
        <f>IF($B247="","",IF($B247="01水果",IFERROR(INDEX(对接源_01水果!$G$5:$G$507,MATCH(ROW()-3,对接源_01水果!$Q$5:$Q$507,0)),""),IFERROR(INDEX(对接源_02物料!$G$5:$G$460,MATCH(ROW()-3-N(对接源_01水果!$T$1),对接源_02物料!$Q$5:$Q$460,0)),"")))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7" s="26" t="str">
        <f>IFERROR(INDEX(收入成本映射!$C$4:$C$34,MATCH($D247,收入成本映射!$B$4:$B$34,0)),"不记账")</f>
        <v>不记账</v>
      </c>
      <c r="J247" s="26" t="str">
        <f t="shared" si="27"/>
        <v/>
      </c>
      <c r="K247" s="27">
        <f t="shared" si="28"/>
        <v>0</v>
      </c>
      <c r="L247" s="27">
        <v>0</v>
      </c>
      <c r="M247" s="26" t="str">
        <f>IF(OR($I247="不记账",ROUND(N($G247),2)=0),"",IFERROR(INDEX(收入成本映射!$E$4:$E$34,MATCH($D247,收入成本映射!$B$4:$B$34,0)),""))</f>
        <v/>
      </c>
      <c r="N247" s="27" t="str">
        <f t="shared" si="29"/>
        <v/>
      </c>
      <c r="O247" s="27" t="str">
        <f t="shared" si="30"/>
        <v/>
      </c>
      <c r="P247" s="26" t="str">
        <f>IF($M247="","",IFERROR(INDEX(收入成本映射!$F$4:$F$34,MATCH($D247,收入成本映射!$B$4:$B$34,0)),""))</f>
        <v/>
      </c>
      <c r="Q247" s="27" t="str">
        <f t="shared" si="31"/>
        <v/>
      </c>
      <c r="R247" s="27" t="str">
        <f t="shared" si="32"/>
        <v/>
      </c>
      <c r="S247" s="26" t="str">
        <f t="shared" si="33"/>
        <v/>
      </c>
      <c r="T247" s="27" t="str">
        <f t="shared" si="34"/>
        <v/>
      </c>
      <c r="U247" s="27" t="str">
        <f t="shared" si="35"/>
        <v/>
      </c>
      <c r="V247" s="10" t="str">
        <f>IF($B247="","",IF($B247="01水果",IFERROR(INDEX(对接源_01水果!$H$5:$H$507,MATCH(ROW()-3,对接源_01水果!$Q$5:$Q$507,0)),""),IFERROR(INDEX(对接源_02物料!$H$5:$H$460,MATCH(ROW()-3-N(对接源_01水果!$T$1),对接源_02物料!$Q$5:$Q$460,0)),"")))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8" ht="18" customHeight="1" spans="1:22">
      <c r="A248" s="10">
        <v>245</v>
      </c>
      <c r="B248" s="26" t="str">
        <f>IF(ROW()-3&lt;=N(对接源_01水果!$T$1),"01水果",IF(ROW()-3&lt;=N(对接源_01水果!$T$1)+N(对接源_02物料!$T$1),"02物料",""))</f>
        <v/>
      </c>
      <c r="C248" s="125" t="str">
        <f>IF($B248="","",IF($B248="01水果",IFERROR(INDEX(对接源_01水果!$B$5:$B$507,MATCH(ROW()-3,对接源_01水果!$Q$5:$Q$507,0)),""),IFERROR(INDEX(对接源_02物料!$B$5:$B$460,MATCH(ROW()-3-N(对接源_01水果!$T$1),对接源_02物料!$Q$5:$Q$460,0)),"")))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8" s="26" t="str">
        <f>IF($B248="","",IF($B248="01水果",IFERROR(INDEX(对接源_01水果!$C$5:$C$507,MATCH(ROW()-3,对接源_01水果!$Q$5:$Q$507,0)),""),IFERROR(INDEX(对接源_02物料!$C$5:$C$460,MATCH(ROW()-3-N(对接源_01水果!$T$1),对接源_02物料!$Q$5:$Q$460,0)),"")))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8" s="126" t="str">
        <f>IF($B248="","",IF($B248="01水果",IFERROR(INDEX(对接源_01水果!$D$5:$D$507,MATCH(ROW()-3,对接源_01水果!$Q$5:$Q$507,0)),""),IFERROR(INDEX(对接源_02物料!$D$5:$D$460,MATCH(ROW()-3-N(对接源_01水果!$T$1),对接源_02物料!$Q$5:$Q$460,0)),"")))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8" s="26" t="str">
        <f>IF($B248="","",IF($B248="01水果",IFERROR(INDEX(对接源_01水果!$E$5:$E$507,MATCH(ROW()-3,对接源_01水果!$Q$5:$Q$507,0)),""),IFERROR(INDEX(对接源_02物料!$E$5:$E$460,MATCH(ROW()-3-N(对接源_01水果!$T$1),对接源_02物料!$Q$5:$Q$460,0)),"")))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8" s="27" t="str">
        <f>IF($B248="","",IF($B248="01水果",IFERROR(INDEX(对接源_01水果!$F$5:$F$507,MATCH(ROW()-3,对接源_01水果!$Q$5:$Q$507,0)),""),IFERROR(INDEX(对接源_02物料!$F$5:$F$460,MATCH(ROW()-3-N(对接源_01水果!$T$1),对接源_02物料!$Q$5:$Q$460,0)),"")))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8" s="27" t="str">
        <f>IF($B248="","",IF($B248="01水果",IFERROR(INDEX(对接源_01水果!$G$5:$G$507,MATCH(ROW()-3,对接源_01水果!$Q$5:$Q$507,0)),""),IFERROR(INDEX(对接源_02物料!$G$5:$G$460,MATCH(ROW()-3-N(对接源_01水果!$T$1),对接源_02物料!$Q$5:$Q$460,0)),"")))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8" s="26" t="str">
        <f>IFERROR(INDEX(收入成本映射!$C$4:$C$34,MATCH($D248,收入成本映射!$B$4:$B$34,0)),"不记账")</f>
        <v>不记账</v>
      </c>
      <c r="J248" s="26" t="str">
        <f t="shared" si="27"/>
        <v/>
      </c>
      <c r="K248" s="27">
        <f t="shared" si="28"/>
        <v>0</v>
      </c>
      <c r="L248" s="27">
        <v>0</v>
      </c>
      <c r="M248" s="26" t="str">
        <f>IF(OR($I248="不记账",ROUND(N($G248),2)=0),"",IFERROR(INDEX(收入成本映射!$E$4:$E$34,MATCH($D248,收入成本映射!$B$4:$B$34,0)),""))</f>
        <v/>
      </c>
      <c r="N248" s="27" t="str">
        <f t="shared" si="29"/>
        <v/>
      </c>
      <c r="O248" s="27" t="str">
        <f t="shared" si="30"/>
        <v/>
      </c>
      <c r="P248" s="26" t="str">
        <f>IF($M248="","",IFERROR(INDEX(收入成本映射!$F$4:$F$34,MATCH($D248,收入成本映射!$B$4:$B$34,0)),""))</f>
        <v/>
      </c>
      <c r="Q248" s="27" t="str">
        <f t="shared" si="31"/>
        <v/>
      </c>
      <c r="R248" s="27" t="str">
        <f t="shared" si="32"/>
        <v/>
      </c>
      <c r="S248" s="26" t="str">
        <f t="shared" si="33"/>
        <v/>
      </c>
      <c r="T248" s="27" t="str">
        <f t="shared" si="34"/>
        <v/>
      </c>
      <c r="U248" s="27" t="str">
        <f t="shared" si="35"/>
        <v/>
      </c>
      <c r="V248" s="10" t="str">
        <f>IF($B248="","",IF($B248="01水果",IFERROR(INDEX(对接源_01水果!$H$5:$H$507,MATCH(ROW()-3,对接源_01水果!$Q$5:$Q$507,0)),""),IFERROR(INDEX(对接源_02物料!$H$5:$H$460,MATCH(ROW()-3-N(对接源_01水果!$T$1),对接源_02物料!$Q$5:$Q$460,0)),"")))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9" ht="18" customHeight="1" spans="1:22">
      <c r="A249" s="10">
        <v>246</v>
      </c>
      <c r="B249" s="26" t="str">
        <f>IF(ROW()-3&lt;=N(对接源_01水果!$T$1),"01水果",IF(ROW()-3&lt;=N(对接源_01水果!$T$1)+N(对接源_02物料!$T$1),"02物料",""))</f>
        <v/>
      </c>
      <c r="C249" s="125" t="str">
        <f>IF($B249="","",IF($B249="01水果",IFERROR(INDEX(对接源_01水果!$B$5:$B$507,MATCH(ROW()-3,对接源_01水果!$Q$5:$Q$507,0)),""),IFERROR(INDEX(对接源_02物料!$B$5:$B$460,MATCH(ROW()-3-N(对接源_01水果!$T$1),对接源_02物料!$Q$5:$Q$460,0)),"")))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9" s="26" t="str">
        <f>IF($B249="","",IF($B249="01水果",IFERROR(INDEX(对接源_01水果!$C$5:$C$507,MATCH(ROW()-3,对接源_01水果!$Q$5:$Q$507,0)),""),IFERROR(INDEX(对接源_02物料!$C$5:$C$460,MATCH(ROW()-3-N(对接源_01水果!$T$1),对接源_02物料!$Q$5:$Q$460,0)),"")))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9" s="126" t="str">
        <f>IF($B249="","",IF($B249="01水果",IFERROR(INDEX(对接源_01水果!$D$5:$D$507,MATCH(ROW()-3,对接源_01水果!$Q$5:$Q$507,0)),""),IFERROR(INDEX(对接源_02物料!$D$5:$D$460,MATCH(ROW()-3-N(对接源_01水果!$T$1),对接源_02物料!$Q$5:$Q$460,0)),"")))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9" s="26" t="str">
        <f>IF($B249="","",IF($B249="01水果",IFERROR(INDEX(对接源_01水果!$E$5:$E$507,MATCH(ROW()-3,对接源_01水果!$Q$5:$Q$507,0)),""),IFERROR(INDEX(对接源_02物料!$E$5:$E$460,MATCH(ROW()-3-N(对接源_01水果!$T$1),对接源_02物料!$Q$5:$Q$460,0)),"")))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9" s="27" t="str">
        <f>IF($B249="","",IF($B249="01水果",IFERROR(INDEX(对接源_01水果!$F$5:$F$507,MATCH(ROW()-3,对接源_01水果!$Q$5:$Q$507,0)),""),IFERROR(INDEX(对接源_02物料!$F$5:$F$460,MATCH(ROW()-3-N(对接源_01水果!$T$1),对接源_02物料!$Q$5:$Q$460,0)),"")))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9" s="27" t="str">
        <f>IF($B249="","",IF($B249="01水果",IFERROR(INDEX(对接源_01水果!$G$5:$G$507,MATCH(ROW()-3,对接源_01水果!$Q$5:$Q$507,0)),""),IFERROR(INDEX(对接源_02物料!$G$5:$G$460,MATCH(ROW()-3-N(对接源_01水果!$T$1),对接源_02物料!$Q$5:$Q$460,0)),"")))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9" s="26" t="str">
        <f>IFERROR(INDEX(收入成本映射!$C$4:$C$34,MATCH($D249,收入成本映射!$B$4:$B$34,0)),"不记账")</f>
        <v>不记账</v>
      </c>
      <c r="J249" s="26" t="str">
        <f t="shared" si="27"/>
        <v/>
      </c>
      <c r="K249" s="27">
        <f t="shared" si="28"/>
        <v>0</v>
      </c>
      <c r="L249" s="27">
        <v>0</v>
      </c>
      <c r="M249" s="26" t="str">
        <f>IF(OR($I249="不记账",ROUND(N($G249),2)=0),"",IFERROR(INDEX(收入成本映射!$E$4:$E$34,MATCH($D249,收入成本映射!$B$4:$B$34,0)),""))</f>
        <v/>
      </c>
      <c r="N249" s="27" t="str">
        <f t="shared" si="29"/>
        <v/>
      </c>
      <c r="O249" s="27" t="str">
        <f t="shared" si="30"/>
        <v/>
      </c>
      <c r="P249" s="26" t="str">
        <f>IF($M249="","",IFERROR(INDEX(收入成本映射!$F$4:$F$34,MATCH($D249,收入成本映射!$B$4:$B$34,0)),""))</f>
        <v/>
      </c>
      <c r="Q249" s="27" t="str">
        <f t="shared" si="31"/>
        <v/>
      </c>
      <c r="R249" s="27" t="str">
        <f t="shared" si="32"/>
        <v/>
      </c>
      <c r="S249" s="26" t="str">
        <f t="shared" si="33"/>
        <v/>
      </c>
      <c r="T249" s="27" t="str">
        <f t="shared" si="34"/>
        <v/>
      </c>
      <c r="U249" s="27" t="str">
        <f t="shared" si="35"/>
        <v/>
      </c>
      <c r="V249" s="10" t="str">
        <f>IF($B249="","",IF($B249="01水果",IFERROR(INDEX(对接源_01水果!$H$5:$H$507,MATCH(ROW()-3,对接源_01水果!$Q$5:$Q$507,0)),""),IFERROR(INDEX(对接源_02物料!$H$5:$H$460,MATCH(ROW()-3-N(对接源_01水果!$T$1),对接源_02物料!$Q$5:$Q$460,0)),"")))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0" ht="18" customHeight="1" spans="1:22">
      <c r="A250" s="10">
        <v>247</v>
      </c>
      <c r="B250" s="26" t="str">
        <f>IF(ROW()-3&lt;=N(对接源_01水果!$T$1),"01水果",IF(ROW()-3&lt;=N(对接源_01水果!$T$1)+N(对接源_02物料!$T$1),"02物料",""))</f>
        <v/>
      </c>
      <c r="C250" s="125" t="str">
        <f>IF($B250="","",IF($B250="01水果",IFERROR(INDEX(对接源_01水果!$B$5:$B$507,MATCH(ROW()-3,对接源_01水果!$Q$5:$Q$507,0)),""),IFERROR(INDEX(对接源_02物料!$B$5:$B$460,MATCH(ROW()-3-N(对接源_01水果!$T$1),对接源_02物料!$Q$5:$Q$460,0)),"")))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0" s="26" t="str">
        <f>IF($B250="","",IF($B250="01水果",IFERROR(INDEX(对接源_01水果!$C$5:$C$507,MATCH(ROW()-3,对接源_01水果!$Q$5:$Q$507,0)),""),IFERROR(INDEX(对接源_02物料!$C$5:$C$460,MATCH(ROW()-3-N(对接源_01水果!$T$1),对接源_02物料!$Q$5:$Q$460,0)),"")))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0" s="126" t="str">
        <f>IF($B250="","",IF($B250="01水果",IFERROR(INDEX(对接源_01水果!$D$5:$D$507,MATCH(ROW()-3,对接源_01水果!$Q$5:$Q$507,0)),""),IFERROR(INDEX(对接源_02物料!$D$5:$D$460,MATCH(ROW()-3-N(对接源_01水果!$T$1),对接源_02物料!$Q$5:$Q$460,0)),"")))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0" s="26" t="str">
        <f>IF($B250="","",IF($B250="01水果",IFERROR(INDEX(对接源_01水果!$E$5:$E$507,MATCH(ROW()-3,对接源_01水果!$Q$5:$Q$507,0)),""),IFERROR(INDEX(对接源_02物料!$E$5:$E$460,MATCH(ROW()-3-N(对接源_01水果!$T$1),对接源_02物料!$Q$5:$Q$460,0)),"")))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0" s="27" t="str">
        <f>IF($B250="","",IF($B250="01水果",IFERROR(INDEX(对接源_01水果!$F$5:$F$507,MATCH(ROW()-3,对接源_01水果!$Q$5:$Q$507,0)),""),IFERROR(INDEX(对接源_02物料!$F$5:$F$460,MATCH(ROW()-3-N(对接源_01水果!$T$1),对接源_02物料!$Q$5:$Q$460,0)),"")))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0" s="27" t="str">
        <f>IF($B250="","",IF($B250="01水果",IFERROR(INDEX(对接源_01水果!$G$5:$G$507,MATCH(ROW()-3,对接源_01水果!$Q$5:$Q$507,0)),""),IFERROR(INDEX(对接源_02物料!$G$5:$G$460,MATCH(ROW()-3-N(对接源_01水果!$T$1),对接源_02物料!$Q$5:$Q$460,0)),"")))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0" s="26" t="str">
        <f>IFERROR(INDEX(收入成本映射!$C$4:$C$34,MATCH($D250,收入成本映射!$B$4:$B$34,0)),"不记账")</f>
        <v>不记账</v>
      </c>
      <c r="J250" s="26" t="str">
        <f t="shared" si="27"/>
        <v/>
      </c>
      <c r="K250" s="27">
        <f t="shared" si="28"/>
        <v>0</v>
      </c>
      <c r="L250" s="27">
        <v>0</v>
      </c>
      <c r="M250" s="26" t="str">
        <f>IF(OR($I250="不记账",ROUND(N($G250),2)=0),"",IFERROR(INDEX(收入成本映射!$E$4:$E$34,MATCH($D250,收入成本映射!$B$4:$B$34,0)),""))</f>
        <v/>
      </c>
      <c r="N250" s="27" t="str">
        <f t="shared" si="29"/>
        <v/>
      </c>
      <c r="O250" s="27" t="str">
        <f t="shared" si="30"/>
        <v/>
      </c>
      <c r="P250" s="26" t="str">
        <f>IF($M250="","",IFERROR(INDEX(收入成本映射!$F$4:$F$34,MATCH($D250,收入成本映射!$B$4:$B$34,0)),""))</f>
        <v/>
      </c>
      <c r="Q250" s="27" t="str">
        <f t="shared" si="31"/>
        <v/>
      </c>
      <c r="R250" s="27" t="str">
        <f t="shared" si="32"/>
        <v/>
      </c>
      <c r="S250" s="26" t="str">
        <f t="shared" si="33"/>
        <v/>
      </c>
      <c r="T250" s="27" t="str">
        <f t="shared" si="34"/>
        <v/>
      </c>
      <c r="U250" s="27" t="str">
        <f t="shared" si="35"/>
        <v/>
      </c>
      <c r="V250" s="10" t="str">
        <f>IF($B250="","",IF($B250="01水果",IFERROR(INDEX(对接源_01水果!$H$5:$H$507,MATCH(ROW()-3,对接源_01水果!$Q$5:$Q$507,0)),""),IFERROR(INDEX(对接源_02物料!$H$5:$H$460,MATCH(ROW()-3-N(对接源_01水果!$T$1),对接源_02物料!$Q$5:$Q$460,0)),"")))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1" ht="18" customHeight="1" spans="1:22">
      <c r="A251" s="10">
        <v>248</v>
      </c>
      <c r="B251" s="26" t="str">
        <f>IF(ROW()-3&lt;=N(对接源_01水果!$T$1),"01水果",IF(ROW()-3&lt;=N(对接源_01水果!$T$1)+N(对接源_02物料!$T$1),"02物料",""))</f>
        <v/>
      </c>
      <c r="C251" s="125" t="str">
        <f>IF($B251="","",IF($B251="01水果",IFERROR(INDEX(对接源_01水果!$B$5:$B$507,MATCH(ROW()-3,对接源_01水果!$Q$5:$Q$507,0)),""),IFERROR(INDEX(对接源_02物料!$B$5:$B$460,MATCH(ROW()-3-N(对接源_01水果!$T$1),对接源_02物料!$Q$5:$Q$460,0)),"")))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1" s="26" t="str">
        <f>IF($B251="","",IF($B251="01水果",IFERROR(INDEX(对接源_01水果!$C$5:$C$507,MATCH(ROW()-3,对接源_01水果!$Q$5:$Q$507,0)),""),IFERROR(INDEX(对接源_02物料!$C$5:$C$460,MATCH(ROW()-3-N(对接源_01水果!$T$1),对接源_02物料!$Q$5:$Q$460,0)),"")))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1" s="126" t="str">
        <f>IF($B251="","",IF($B251="01水果",IFERROR(INDEX(对接源_01水果!$D$5:$D$507,MATCH(ROW()-3,对接源_01水果!$Q$5:$Q$507,0)),""),IFERROR(INDEX(对接源_02物料!$D$5:$D$460,MATCH(ROW()-3-N(对接源_01水果!$T$1),对接源_02物料!$Q$5:$Q$460,0)),"")))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1" s="26" t="str">
        <f>IF($B251="","",IF($B251="01水果",IFERROR(INDEX(对接源_01水果!$E$5:$E$507,MATCH(ROW()-3,对接源_01水果!$Q$5:$Q$507,0)),""),IFERROR(INDEX(对接源_02物料!$E$5:$E$460,MATCH(ROW()-3-N(对接源_01水果!$T$1),对接源_02物料!$Q$5:$Q$460,0)),"")))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1" s="27" t="str">
        <f>IF($B251="","",IF($B251="01水果",IFERROR(INDEX(对接源_01水果!$F$5:$F$507,MATCH(ROW()-3,对接源_01水果!$Q$5:$Q$507,0)),""),IFERROR(INDEX(对接源_02物料!$F$5:$F$460,MATCH(ROW()-3-N(对接源_01水果!$T$1),对接源_02物料!$Q$5:$Q$460,0)),"")))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1" s="27" t="str">
        <f>IF($B251="","",IF($B251="01水果",IFERROR(INDEX(对接源_01水果!$G$5:$G$507,MATCH(ROW()-3,对接源_01水果!$Q$5:$Q$507,0)),""),IFERROR(INDEX(对接源_02物料!$G$5:$G$460,MATCH(ROW()-3-N(对接源_01水果!$T$1),对接源_02物料!$Q$5:$Q$460,0)),"")))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1" s="26" t="str">
        <f>IFERROR(INDEX(收入成本映射!$C$4:$C$34,MATCH($D251,收入成本映射!$B$4:$B$34,0)),"不记账")</f>
        <v>不记账</v>
      </c>
      <c r="J251" s="26" t="str">
        <f t="shared" si="27"/>
        <v/>
      </c>
      <c r="K251" s="27">
        <f t="shared" si="28"/>
        <v>0</v>
      </c>
      <c r="L251" s="27">
        <v>0</v>
      </c>
      <c r="M251" s="26" t="str">
        <f>IF(OR($I251="不记账",ROUND(N($G251),2)=0),"",IFERROR(INDEX(收入成本映射!$E$4:$E$34,MATCH($D251,收入成本映射!$B$4:$B$34,0)),""))</f>
        <v/>
      </c>
      <c r="N251" s="27" t="str">
        <f t="shared" si="29"/>
        <v/>
      </c>
      <c r="O251" s="27" t="str">
        <f t="shared" si="30"/>
        <v/>
      </c>
      <c r="P251" s="26" t="str">
        <f>IF($M251="","",IFERROR(INDEX(收入成本映射!$F$4:$F$34,MATCH($D251,收入成本映射!$B$4:$B$34,0)),""))</f>
        <v/>
      </c>
      <c r="Q251" s="27" t="str">
        <f t="shared" si="31"/>
        <v/>
      </c>
      <c r="R251" s="27" t="str">
        <f t="shared" si="32"/>
        <v/>
      </c>
      <c r="S251" s="26" t="str">
        <f t="shared" si="33"/>
        <v/>
      </c>
      <c r="T251" s="27" t="str">
        <f t="shared" si="34"/>
        <v/>
      </c>
      <c r="U251" s="27" t="str">
        <f t="shared" si="35"/>
        <v/>
      </c>
      <c r="V251" s="10" t="str">
        <f>IF($B251="","",IF($B251="01水果",IFERROR(INDEX(对接源_01水果!$H$5:$H$507,MATCH(ROW()-3,对接源_01水果!$Q$5:$Q$507,0)),""),IFERROR(INDEX(对接源_02物料!$H$5:$H$460,MATCH(ROW()-3-N(对接源_01水果!$T$1),对接源_02物料!$Q$5:$Q$460,0)),"")))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2" ht="18" customHeight="1" spans="1:22">
      <c r="A252" s="10">
        <v>249</v>
      </c>
      <c r="B252" s="26" t="str">
        <f>IF(ROW()-3&lt;=N(对接源_01水果!$T$1),"01水果",IF(ROW()-3&lt;=N(对接源_01水果!$T$1)+N(对接源_02物料!$T$1),"02物料",""))</f>
        <v/>
      </c>
      <c r="C252" s="125" t="str">
        <f>IF($B252="","",IF($B252="01水果",IFERROR(INDEX(对接源_01水果!$B$5:$B$507,MATCH(ROW()-3,对接源_01水果!$Q$5:$Q$507,0)),""),IFERROR(INDEX(对接源_02物料!$B$5:$B$460,MATCH(ROW()-3-N(对接源_01水果!$T$1),对接源_02物料!$Q$5:$Q$460,0)),"")))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2" s="26" t="str">
        <f>IF($B252="","",IF($B252="01水果",IFERROR(INDEX(对接源_01水果!$C$5:$C$507,MATCH(ROW()-3,对接源_01水果!$Q$5:$Q$507,0)),""),IFERROR(INDEX(对接源_02物料!$C$5:$C$460,MATCH(ROW()-3-N(对接源_01水果!$T$1),对接源_02物料!$Q$5:$Q$460,0)),"")))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2" s="126" t="str">
        <f>IF($B252="","",IF($B252="01水果",IFERROR(INDEX(对接源_01水果!$D$5:$D$507,MATCH(ROW()-3,对接源_01水果!$Q$5:$Q$507,0)),""),IFERROR(INDEX(对接源_02物料!$D$5:$D$460,MATCH(ROW()-3-N(对接源_01水果!$T$1),对接源_02物料!$Q$5:$Q$460,0)),"")))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2" s="26" t="str">
        <f>IF($B252="","",IF($B252="01水果",IFERROR(INDEX(对接源_01水果!$E$5:$E$507,MATCH(ROW()-3,对接源_01水果!$Q$5:$Q$507,0)),""),IFERROR(INDEX(对接源_02物料!$E$5:$E$460,MATCH(ROW()-3-N(对接源_01水果!$T$1),对接源_02物料!$Q$5:$Q$460,0)),"")))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2" s="27" t="str">
        <f>IF($B252="","",IF($B252="01水果",IFERROR(INDEX(对接源_01水果!$F$5:$F$507,MATCH(ROW()-3,对接源_01水果!$Q$5:$Q$507,0)),""),IFERROR(INDEX(对接源_02物料!$F$5:$F$460,MATCH(ROW()-3-N(对接源_01水果!$T$1),对接源_02物料!$Q$5:$Q$460,0)),"")))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2" s="27" t="str">
        <f>IF($B252="","",IF($B252="01水果",IFERROR(INDEX(对接源_01水果!$G$5:$G$507,MATCH(ROW()-3,对接源_01水果!$Q$5:$Q$507,0)),""),IFERROR(INDEX(对接源_02物料!$G$5:$G$460,MATCH(ROW()-3-N(对接源_01水果!$T$1),对接源_02物料!$Q$5:$Q$460,0)),"")))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2" s="26" t="str">
        <f>IFERROR(INDEX(收入成本映射!$C$4:$C$34,MATCH($D252,收入成本映射!$B$4:$B$34,0)),"不记账")</f>
        <v>不记账</v>
      </c>
      <c r="J252" s="26" t="str">
        <f t="shared" si="27"/>
        <v/>
      </c>
      <c r="K252" s="27">
        <f t="shared" si="28"/>
        <v>0</v>
      </c>
      <c r="L252" s="27">
        <v>0</v>
      </c>
      <c r="M252" s="26" t="str">
        <f>IF(OR($I252="不记账",ROUND(N($G252),2)=0),"",IFERROR(INDEX(收入成本映射!$E$4:$E$34,MATCH($D252,收入成本映射!$B$4:$B$34,0)),""))</f>
        <v/>
      </c>
      <c r="N252" s="27" t="str">
        <f t="shared" si="29"/>
        <v/>
      </c>
      <c r="O252" s="27" t="str">
        <f t="shared" si="30"/>
        <v/>
      </c>
      <c r="P252" s="26" t="str">
        <f>IF($M252="","",IFERROR(INDEX(收入成本映射!$F$4:$F$34,MATCH($D252,收入成本映射!$B$4:$B$34,0)),""))</f>
        <v/>
      </c>
      <c r="Q252" s="27" t="str">
        <f t="shared" si="31"/>
        <v/>
      </c>
      <c r="R252" s="27" t="str">
        <f t="shared" si="32"/>
        <v/>
      </c>
      <c r="S252" s="26" t="str">
        <f t="shared" si="33"/>
        <v/>
      </c>
      <c r="T252" s="27" t="str">
        <f t="shared" si="34"/>
        <v/>
      </c>
      <c r="U252" s="27" t="str">
        <f t="shared" si="35"/>
        <v/>
      </c>
      <c r="V252" s="10" t="str">
        <f>IF($B252="","",IF($B252="01水果",IFERROR(INDEX(对接源_01水果!$H$5:$H$507,MATCH(ROW()-3,对接源_01水果!$Q$5:$Q$507,0)),""),IFERROR(INDEX(对接源_02物料!$H$5:$H$460,MATCH(ROW()-3-N(对接源_01水果!$T$1),对接源_02物料!$Q$5:$Q$460,0)),"")))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3" ht="18" customHeight="1" spans="1:22">
      <c r="A253" s="10">
        <v>250</v>
      </c>
      <c r="B253" s="26" t="str">
        <f>IF(ROW()-3&lt;=N(对接源_01水果!$T$1),"01水果",IF(ROW()-3&lt;=N(对接源_01水果!$T$1)+N(对接源_02物料!$T$1),"02物料",""))</f>
        <v/>
      </c>
      <c r="C253" s="125" t="str">
        <f>IF($B253="","",IF($B253="01水果",IFERROR(INDEX(对接源_01水果!$B$5:$B$507,MATCH(ROW()-3,对接源_01水果!$Q$5:$Q$507,0)),""),IFERROR(INDEX(对接源_02物料!$B$5:$B$460,MATCH(ROW()-3-N(对接源_01水果!$T$1),对接源_02物料!$Q$5:$Q$460,0)),"")))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3" s="26" t="str">
        <f>IF($B253="","",IF($B253="01水果",IFERROR(INDEX(对接源_01水果!$C$5:$C$507,MATCH(ROW()-3,对接源_01水果!$Q$5:$Q$507,0)),""),IFERROR(INDEX(对接源_02物料!$C$5:$C$460,MATCH(ROW()-3-N(对接源_01水果!$T$1),对接源_02物料!$Q$5:$Q$460,0)),"")))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3" s="126" t="str">
        <f>IF($B253="","",IF($B253="01水果",IFERROR(INDEX(对接源_01水果!$D$5:$D$507,MATCH(ROW()-3,对接源_01水果!$Q$5:$Q$507,0)),""),IFERROR(INDEX(对接源_02物料!$D$5:$D$460,MATCH(ROW()-3-N(对接源_01水果!$T$1),对接源_02物料!$Q$5:$Q$460,0)),"")))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3" s="26" t="str">
        <f>IF($B253="","",IF($B253="01水果",IFERROR(INDEX(对接源_01水果!$E$5:$E$507,MATCH(ROW()-3,对接源_01水果!$Q$5:$Q$507,0)),""),IFERROR(INDEX(对接源_02物料!$E$5:$E$460,MATCH(ROW()-3-N(对接源_01水果!$T$1),对接源_02物料!$Q$5:$Q$460,0)),"")))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3" s="27" t="str">
        <f>IF($B253="","",IF($B253="01水果",IFERROR(INDEX(对接源_01水果!$F$5:$F$507,MATCH(ROW()-3,对接源_01水果!$Q$5:$Q$507,0)),""),IFERROR(INDEX(对接源_02物料!$F$5:$F$460,MATCH(ROW()-3-N(对接源_01水果!$T$1),对接源_02物料!$Q$5:$Q$460,0)),"")))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3" s="27" t="str">
        <f>IF($B253="","",IF($B253="01水果",IFERROR(INDEX(对接源_01水果!$G$5:$G$507,MATCH(ROW()-3,对接源_01水果!$Q$5:$Q$507,0)),""),IFERROR(INDEX(对接源_02物料!$G$5:$G$460,MATCH(ROW()-3-N(对接源_01水果!$T$1),对接源_02物料!$Q$5:$Q$460,0)),"")))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3" s="26" t="str">
        <f>IFERROR(INDEX(收入成本映射!$C$4:$C$34,MATCH($D253,收入成本映射!$B$4:$B$34,0)),"不记账")</f>
        <v>不记账</v>
      </c>
      <c r="J253" s="26" t="str">
        <f t="shared" si="27"/>
        <v/>
      </c>
      <c r="K253" s="27">
        <f t="shared" si="28"/>
        <v>0</v>
      </c>
      <c r="L253" s="27">
        <v>0</v>
      </c>
      <c r="M253" s="26" t="str">
        <f>IF(OR($I253="不记账",ROUND(N($G253),2)=0),"",IFERROR(INDEX(收入成本映射!$E$4:$E$34,MATCH($D253,收入成本映射!$B$4:$B$34,0)),""))</f>
        <v/>
      </c>
      <c r="N253" s="27" t="str">
        <f t="shared" si="29"/>
        <v/>
      </c>
      <c r="O253" s="27" t="str">
        <f t="shared" si="30"/>
        <v/>
      </c>
      <c r="P253" s="26" t="str">
        <f>IF($M253="","",IFERROR(INDEX(收入成本映射!$F$4:$F$34,MATCH($D253,收入成本映射!$B$4:$B$34,0)),""))</f>
        <v/>
      </c>
      <c r="Q253" s="27" t="str">
        <f t="shared" si="31"/>
        <v/>
      </c>
      <c r="R253" s="27" t="str">
        <f t="shared" si="32"/>
        <v/>
      </c>
      <c r="S253" s="26" t="str">
        <f t="shared" si="33"/>
        <v/>
      </c>
      <c r="T253" s="27" t="str">
        <f t="shared" si="34"/>
        <v/>
      </c>
      <c r="U253" s="27" t="str">
        <f t="shared" si="35"/>
        <v/>
      </c>
      <c r="V253" s="10" t="str">
        <f>IF($B253="","",IF($B253="01水果",IFERROR(INDEX(对接源_01水果!$H$5:$H$507,MATCH(ROW()-3,对接源_01水果!$Q$5:$Q$507,0)),""),IFERROR(INDEX(对接源_02物料!$H$5:$H$460,MATCH(ROW()-3-N(对接源_01水果!$T$1),对接源_02物料!$Q$5:$Q$460,0)),"")))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4" ht="18" customHeight="1" spans="1:22">
      <c r="A254" s="10">
        <v>251</v>
      </c>
      <c r="B254" s="26" t="str">
        <f>IF(ROW()-3&lt;=N(对接源_01水果!$T$1),"01水果",IF(ROW()-3&lt;=N(对接源_01水果!$T$1)+N(对接源_02物料!$T$1),"02物料",""))</f>
        <v/>
      </c>
      <c r="C254" s="125" t="str">
        <f>IF($B254="","",IF($B254="01水果",IFERROR(INDEX(对接源_01水果!$B$5:$B$507,MATCH(ROW()-3,对接源_01水果!$Q$5:$Q$507,0)),""),IFERROR(INDEX(对接源_02物料!$B$5:$B$460,MATCH(ROW()-3-N(对接源_01水果!$T$1),对接源_02物料!$Q$5:$Q$460,0)),"")))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4" s="26" t="str">
        <f>IF($B254="","",IF($B254="01水果",IFERROR(INDEX(对接源_01水果!$C$5:$C$507,MATCH(ROW()-3,对接源_01水果!$Q$5:$Q$507,0)),""),IFERROR(INDEX(对接源_02物料!$C$5:$C$460,MATCH(ROW()-3-N(对接源_01水果!$T$1),对接源_02物料!$Q$5:$Q$460,0)),"")))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4" s="126" t="str">
        <f>IF($B254="","",IF($B254="01水果",IFERROR(INDEX(对接源_01水果!$D$5:$D$507,MATCH(ROW()-3,对接源_01水果!$Q$5:$Q$507,0)),""),IFERROR(INDEX(对接源_02物料!$D$5:$D$460,MATCH(ROW()-3-N(对接源_01水果!$T$1),对接源_02物料!$Q$5:$Q$460,0)),"")))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4" s="26" t="str">
        <f>IF($B254="","",IF($B254="01水果",IFERROR(INDEX(对接源_01水果!$E$5:$E$507,MATCH(ROW()-3,对接源_01水果!$Q$5:$Q$507,0)),""),IFERROR(INDEX(对接源_02物料!$E$5:$E$460,MATCH(ROW()-3-N(对接源_01水果!$T$1),对接源_02物料!$Q$5:$Q$460,0)),"")))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4" s="27" t="str">
        <f>IF($B254="","",IF($B254="01水果",IFERROR(INDEX(对接源_01水果!$F$5:$F$507,MATCH(ROW()-3,对接源_01水果!$Q$5:$Q$507,0)),""),IFERROR(INDEX(对接源_02物料!$F$5:$F$460,MATCH(ROW()-3-N(对接源_01水果!$T$1),对接源_02物料!$Q$5:$Q$460,0)),"")))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4" s="27" t="str">
        <f>IF($B254="","",IF($B254="01水果",IFERROR(INDEX(对接源_01水果!$G$5:$G$507,MATCH(ROW()-3,对接源_01水果!$Q$5:$Q$507,0)),""),IFERROR(INDEX(对接源_02物料!$G$5:$G$460,MATCH(ROW()-3-N(对接源_01水果!$T$1),对接源_02物料!$Q$5:$Q$460,0)),"")))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4" s="26" t="str">
        <f>IFERROR(INDEX(收入成本映射!$C$4:$C$34,MATCH($D254,收入成本映射!$B$4:$B$34,0)),"不记账")</f>
        <v>不记账</v>
      </c>
      <c r="J254" s="26" t="str">
        <f t="shared" si="27"/>
        <v/>
      </c>
      <c r="K254" s="27">
        <f t="shared" si="28"/>
        <v>0</v>
      </c>
      <c r="L254" s="27">
        <v>0</v>
      </c>
      <c r="M254" s="26" t="str">
        <f>IF(OR($I254="不记账",ROUND(N($G254),2)=0),"",IFERROR(INDEX(收入成本映射!$E$4:$E$34,MATCH($D254,收入成本映射!$B$4:$B$34,0)),""))</f>
        <v/>
      </c>
      <c r="N254" s="27" t="str">
        <f t="shared" si="29"/>
        <v/>
      </c>
      <c r="O254" s="27" t="str">
        <f t="shared" si="30"/>
        <v/>
      </c>
      <c r="P254" s="26" t="str">
        <f>IF($M254="","",IFERROR(INDEX(收入成本映射!$F$4:$F$34,MATCH($D254,收入成本映射!$B$4:$B$34,0)),""))</f>
        <v/>
      </c>
      <c r="Q254" s="27" t="str">
        <f t="shared" si="31"/>
        <v/>
      </c>
      <c r="R254" s="27" t="str">
        <f t="shared" si="32"/>
        <v/>
      </c>
      <c r="S254" s="26" t="str">
        <f t="shared" si="33"/>
        <v/>
      </c>
      <c r="T254" s="27" t="str">
        <f t="shared" si="34"/>
        <v/>
      </c>
      <c r="U254" s="27" t="str">
        <f t="shared" si="35"/>
        <v/>
      </c>
      <c r="V254" s="10" t="str">
        <f>IF($B254="","",IF($B254="01水果",IFERROR(INDEX(对接源_01水果!$H$5:$H$507,MATCH(ROW()-3,对接源_01水果!$Q$5:$Q$507,0)),""),IFERROR(INDEX(对接源_02物料!$H$5:$H$460,MATCH(ROW()-3-N(对接源_01水果!$T$1),对接源_02物料!$Q$5:$Q$460,0)),"")))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5" ht="18" customHeight="1" spans="1:22">
      <c r="A255" s="10">
        <v>252</v>
      </c>
      <c r="B255" s="26" t="str">
        <f>IF(ROW()-3&lt;=N(对接源_01水果!$T$1),"01水果",IF(ROW()-3&lt;=N(对接源_01水果!$T$1)+N(对接源_02物料!$T$1),"02物料",""))</f>
        <v/>
      </c>
      <c r="C255" s="125" t="str">
        <f>IF($B255="","",IF($B255="01水果",IFERROR(INDEX(对接源_01水果!$B$5:$B$507,MATCH(ROW()-3,对接源_01水果!$Q$5:$Q$507,0)),""),IFERROR(INDEX(对接源_02物料!$B$5:$B$460,MATCH(ROW()-3-N(对接源_01水果!$T$1),对接源_02物料!$Q$5:$Q$460,0)),"")))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5" s="26" t="str">
        <f>IF($B255="","",IF($B255="01水果",IFERROR(INDEX(对接源_01水果!$C$5:$C$507,MATCH(ROW()-3,对接源_01水果!$Q$5:$Q$507,0)),""),IFERROR(INDEX(对接源_02物料!$C$5:$C$460,MATCH(ROW()-3-N(对接源_01水果!$T$1),对接源_02物料!$Q$5:$Q$460,0)),"")))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5" s="126" t="str">
        <f>IF($B255="","",IF($B255="01水果",IFERROR(INDEX(对接源_01水果!$D$5:$D$507,MATCH(ROW()-3,对接源_01水果!$Q$5:$Q$507,0)),""),IFERROR(INDEX(对接源_02物料!$D$5:$D$460,MATCH(ROW()-3-N(对接源_01水果!$T$1),对接源_02物料!$Q$5:$Q$460,0)),"")))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5" s="26" t="str">
        <f>IF($B255="","",IF($B255="01水果",IFERROR(INDEX(对接源_01水果!$E$5:$E$507,MATCH(ROW()-3,对接源_01水果!$Q$5:$Q$507,0)),""),IFERROR(INDEX(对接源_02物料!$E$5:$E$460,MATCH(ROW()-3-N(对接源_01水果!$T$1),对接源_02物料!$Q$5:$Q$460,0)),"")))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5" s="27" t="str">
        <f>IF($B255="","",IF($B255="01水果",IFERROR(INDEX(对接源_01水果!$F$5:$F$507,MATCH(ROW()-3,对接源_01水果!$Q$5:$Q$507,0)),""),IFERROR(INDEX(对接源_02物料!$F$5:$F$460,MATCH(ROW()-3-N(对接源_01水果!$T$1),对接源_02物料!$Q$5:$Q$460,0)),"")))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5" s="27" t="str">
        <f>IF($B255="","",IF($B255="01水果",IFERROR(INDEX(对接源_01水果!$G$5:$G$507,MATCH(ROW()-3,对接源_01水果!$Q$5:$Q$507,0)),""),IFERROR(INDEX(对接源_02物料!$G$5:$G$460,MATCH(ROW()-3-N(对接源_01水果!$T$1),对接源_02物料!$Q$5:$Q$460,0)),"")))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5" s="26" t="str">
        <f>IFERROR(INDEX(收入成本映射!$C$4:$C$34,MATCH($D255,收入成本映射!$B$4:$B$34,0)),"不记账")</f>
        <v>不记账</v>
      </c>
      <c r="J255" s="26" t="str">
        <f t="shared" si="27"/>
        <v/>
      </c>
      <c r="K255" s="27">
        <f t="shared" si="28"/>
        <v>0</v>
      </c>
      <c r="L255" s="27">
        <v>0</v>
      </c>
      <c r="M255" s="26" t="str">
        <f>IF(OR($I255="不记账",ROUND(N($G255),2)=0),"",IFERROR(INDEX(收入成本映射!$E$4:$E$34,MATCH($D255,收入成本映射!$B$4:$B$34,0)),""))</f>
        <v/>
      </c>
      <c r="N255" s="27" t="str">
        <f t="shared" si="29"/>
        <v/>
      </c>
      <c r="O255" s="27" t="str">
        <f t="shared" si="30"/>
        <v/>
      </c>
      <c r="P255" s="26" t="str">
        <f>IF($M255="","",IFERROR(INDEX(收入成本映射!$F$4:$F$34,MATCH($D255,收入成本映射!$B$4:$B$34,0)),""))</f>
        <v/>
      </c>
      <c r="Q255" s="27" t="str">
        <f t="shared" si="31"/>
        <v/>
      </c>
      <c r="R255" s="27" t="str">
        <f t="shared" si="32"/>
        <v/>
      </c>
      <c r="S255" s="26" t="str">
        <f t="shared" si="33"/>
        <v/>
      </c>
      <c r="T255" s="27" t="str">
        <f t="shared" si="34"/>
        <v/>
      </c>
      <c r="U255" s="27" t="str">
        <f t="shared" si="35"/>
        <v/>
      </c>
      <c r="V255" s="10" t="str">
        <f>IF($B255="","",IF($B255="01水果",IFERROR(INDEX(对接源_01水果!$H$5:$H$507,MATCH(ROW()-3,对接源_01水果!$Q$5:$Q$507,0)),""),IFERROR(INDEX(对接源_02物料!$H$5:$H$460,MATCH(ROW()-3-N(对接源_01水果!$T$1),对接源_02物料!$Q$5:$Q$460,0)),"")))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6" ht="18" customHeight="1" spans="1:22">
      <c r="A256" s="10">
        <v>253</v>
      </c>
      <c r="B256" s="26" t="str">
        <f>IF(ROW()-3&lt;=N(对接源_01水果!$T$1),"01水果",IF(ROW()-3&lt;=N(对接源_01水果!$T$1)+N(对接源_02物料!$T$1),"02物料",""))</f>
        <v/>
      </c>
      <c r="C256" s="125" t="str">
        <f>IF($B256="","",IF($B256="01水果",IFERROR(INDEX(对接源_01水果!$B$5:$B$507,MATCH(ROW()-3,对接源_01水果!$Q$5:$Q$507,0)),""),IFERROR(INDEX(对接源_02物料!$B$5:$B$460,MATCH(ROW()-3-N(对接源_01水果!$T$1),对接源_02物料!$Q$5:$Q$460,0)),"")))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6" s="26" t="str">
        <f>IF($B256="","",IF($B256="01水果",IFERROR(INDEX(对接源_01水果!$C$5:$C$507,MATCH(ROW()-3,对接源_01水果!$Q$5:$Q$507,0)),""),IFERROR(INDEX(对接源_02物料!$C$5:$C$460,MATCH(ROW()-3-N(对接源_01水果!$T$1),对接源_02物料!$Q$5:$Q$460,0)),"")))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6" s="126" t="str">
        <f>IF($B256="","",IF($B256="01水果",IFERROR(INDEX(对接源_01水果!$D$5:$D$507,MATCH(ROW()-3,对接源_01水果!$Q$5:$Q$507,0)),""),IFERROR(INDEX(对接源_02物料!$D$5:$D$460,MATCH(ROW()-3-N(对接源_01水果!$T$1),对接源_02物料!$Q$5:$Q$460,0)),"")))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6" s="26" t="str">
        <f>IF($B256="","",IF($B256="01水果",IFERROR(INDEX(对接源_01水果!$E$5:$E$507,MATCH(ROW()-3,对接源_01水果!$Q$5:$Q$507,0)),""),IFERROR(INDEX(对接源_02物料!$E$5:$E$460,MATCH(ROW()-3-N(对接源_01水果!$T$1),对接源_02物料!$Q$5:$Q$460,0)),"")))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6" s="27" t="str">
        <f>IF($B256="","",IF($B256="01水果",IFERROR(INDEX(对接源_01水果!$F$5:$F$507,MATCH(ROW()-3,对接源_01水果!$Q$5:$Q$507,0)),""),IFERROR(INDEX(对接源_02物料!$F$5:$F$460,MATCH(ROW()-3-N(对接源_01水果!$T$1),对接源_02物料!$Q$5:$Q$460,0)),"")))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6" s="27" t="str">
        <f>IF($B256="","",IF($B256="01水果",IFERROR(INDEX(对接源_01水果!$G$5:$G$507,MATCH(ROW()-3,对接源_01水果!$Q$5:$Q$507,0)),""),IFERROR(INDEX(对接源_02物料!$G$5:$G$460,MATCH(ROW()-3-N(对接源_01水果!$T$1),对接源_02物料!$Q$5:$Q$460,0)),"")))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6" s="26" t="str">
        <f>IFERROR(INDEX(收入成本映射!$C$4:$C$34,MATCH($D256,收入成本映射!$B$4:$B$34,0)),"不记账")</f>
        <v>不记账</v>
      </c>
      <c r="J256" s="26" t="str">
        <f t="shared" si="27"/>
        <v/>
      </c>
      <c r="K256" s="27">
        <f t="shared" si="28"/>
        <v>0</v>
      </c>
      <c r="L256" s="27">
        <v>0</v>
      </c>
      <c r="M256" s="26" t="str">
        <f>IF(OR($I256="不记账",ROUND(N($G256),2)=0),"",IFERROR(INDEX(收入成本映射!$E$4:$E$34,MATCH($D256,收入成本映射!$B$4:$B$34,0)),""))</f>
        <v/>
      </c>
      <c r="N256" s="27" t="str">
        <f t="shared" si="29"/>
        <v/>
      </c>
      <c r="O256" s="27" t="str">
        <f t="shared" si="30"/>
        <v/>
      </c>
      <c r="P256" s="26" t="str">
        <f>IF($M256="","",IFERROR(INDEX(收入成本映射!$F$4:$F$34,MATCH($D256,收入成本映射!$B$4:$B$34,0)),""))</f>
        <v/>
      </c>
      <c r="Q256" s="27" t="str">
        <f t="shared" si="31"/>
        <v/>
      </c>
      <c r="R256" s="27" t="str">
        <f t="shared" si="32"/>
        <v/>
      </c>
      <c r="S256" s="26" t="str">
        <f t="shared" si="33"/>
        <v/>
      </c>
      <c r="T256" s="27" t="str">
        <f t="shared" si="34"/>
        <v/>
      </c>
      <c r="U256" s="27" t="str">
        <f t="shared" si="35"/>
        <v/>
      </c>
      <c r="V256" s="10" t="str">
        <f>IF($B256="","",IF($B256="01水果",IFERROR(INDEX(对接源_01水果!$H$5:$H$507,MATCH(ROW()-3,对接源_01水果!$Q$5:$Q$507,0)),""),IFERROR(INDEX(对接源_02物料!$H$5:$H$460,MATCH(ROW()-3-N(对接源_01水果!$T$1),对接源_02物料!$Q$5:$Q$460,0)),"")))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7" ht="18" customHeight="1" spans="1:22">
      <c r="A257" s="10">
        <v>254</v>
      </c>
      <c r="B257" s="26" t="str">
        <f>IF(ROW()-3&lt;=N(对接源_01水果!$T$1),"01水果",IF(ROW()-3&lt;=N(对接源_01水果!$T$1)+N(对接源_02物料!$T$1),"02物料",""))</f>
        <v/>
      </c>
      <c r="C257" s="125" t="str">
        <f>IF($B257="","",IF($B257="01水果",IFERROR(INDEX(对接源_01水果!$B$5:$B$507,MATCH(ROW()-3,对接源_01水果!$Q$5:$Q$507,0)),""),IFERROR(INDEX(对接源_02物料!$B$5:$B$460,MATCH(ROW()-3-N(对接源_01水果!$T$1),对接源_02物料!$Q$5:$Q$460,0)),"")))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7" s="26" t="str">
        <f>IF($B257="","",IF($B257="01水果",IFERROR(INDEX(对接源_01水果!$C$5:$C$507,MATCH(ROW()-3,对接源_01水果!$Q$5:$Q$507,0)),""),IFERROR(INDEX(对接源_02物料!$C$5:$C$460,MATCH(ROW()-3-N(对接源_01水果!$T$1),对接源_02物料!$Q$5:$Q$460,0)),"")))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7" s="126" t="str">
        <f>IF($B257="","",IF($B257="01水果",IFERROR(INDEX(对接源_01水果!$D$5:$D$507,MATCH(ROW()-3,对接源_01水果!$Q$5:$Q$507,0)),""),IFERROR(INDEX(对接源_02物料!$D$5:$D$460,MATCH(ROW()-3-N(对接源_01水果!$T$1),对接源_02物料!$Q$5:$Q$460,0)),"")))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7" s="26" t="str">
        <f>IF($B257="","",IF($B257="01水果",IFERROR(INDEX(对接源_01水果!$E$5:$E$507,MATCH(ROW()-3,对接源_01水果!$Q$5:$Q$507,0)),""),IFERROR(INDEX(对接源_02物料!$E$5:$E$460,MATCH(ROW()-3-N(对接源_01水果!$T$1),对接源_02物料!$Q$5:$Q$460,0)),"")))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7" s="27" t="str">
        <f>IF($B257="","",IF($B257="01水果",IFERROR(INDEX(对接源_01水果!$F$5:$F$507,MATCH(ROW()-3,对接源_01水果!$Q$5:$Q$507,0)),""),IFERROR(INDEX(对接源_02物料!$F$5:$F$460,MATCH(ROW()-3-N(对接源_01水果!$T$1),对接源_02物料!$Q$5:$Q$460,0)),"")))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7" s="27" t="str">
        <f>IF($B257="","",IF($B257="01水果",IFERROR(INDEX(对接源_01水果!$G$5:$G$507,MATCH(ROW()-3,对接源_01水果!$Q$5:$Q$507,0)),""),IFERROR(INDEX(对接源_02物料!$G$5:$G$460,MATCH(ROW()-3-N(对接源_01水果!$T$1),对接源_02物料!$Q$5:$Q$460,0)),"")))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7" s="26" t="str">
        <f>IFERROR(INDEX(收入成本映射!$C$4:$C$34,MATCH($D257,收入成本映射!$B$4:$B$34,0)),"不记账")</f>
        <v>不记账</v>
      </c>
      <c r="J257" s="26" t="str">
        <f t="shared" si="27"/>
        <v/>
      </c>
      <c r="K257" s="27">
        <f t="shared" si="28"/>
        <v>0</v>
      </c>
      <c r="L257" s="27">
        <v>0</v>
      </c>
      <c r="M257" s="26" t="str">
        <f>IF(OR($I257="不记账",ROUND(N($G257),2)=0),"",IFERROR(INDEX(收入成本映射!$E$4:$E$34,MATCH($D257,收入成本映射!$B$4:$B$34,0)),""))</f>
        <v/>
      </c>
      <c r="N257" s="27" t="str">
        <f t="shared" si="29"/>
        <v/>
      </c>
      <c r="O257" s="27" t="str">
        <f t="shared" si="30"/>
        <v/>
      </c>
      <c r="P257" s="26" t="str">
        <f>IF($M257="","",IFERROR(INDEX(收入成本映射!$F$4:$F$34,MATCH($D257,收入成本映射!$B$4:$B$34,0)),""))</f>
        <v/>
      </c>
      <c r="Q257" s="27" t="str">
        <f t="shared" si="31"/>
        <v/>
      </c>
      <c r="R257" s="27" t="str">
        <f t="shared" si="32"/>
        <v/>
      </c>
      <c r="S257" s="26" t="str">
        <f t="shared" si="33"/>
        <v/>
      </c>
      <c r="T257" s="27" t="str">
        <f t="shared" si="34"/>
        <v/>
      </c>
      <c r="U257" s="27" t="str">
        <f t="shared" si="35"/>
        <v/>
      </c>
      <c r="V257" s="10" t="str">
        <f>IF($B257="","",IF($B257="01水果",IFERROR(INDEX(对接源_01水果!$H$5:$H$507,MATCH(ROW()-3,对接源_01水果!$Q$5:$Q$507,0)),""),IFERROR(INDEX(对接源_02物料!$H$5:$H$460,MATCH(ROW()-3-N(对接源_01水果!$T$1),对接源_02物料!$Q$5:$Q$460,0)),"")))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8" ht="18" customHeight="1" spans="1:22">
      <c r="A258" s="10">
        <v>255</v>
      </c>
      <c r="B258" s="26" t="str">
        <f>IF(ROW()-3&lt;=N(对接源_01水果!$T$1),"01水果",IF(ROW()-3&lt;=N(对接源_01水果!$T$1)+N(对接源_02物料!$T$1),"02物料",""))</f>
        <v/>
      </c>
      <c r="C258" s="125" t="str">
        <f>IF($B258="","",IF($B258="01水果",IFERROR(INDEX(对接源_01水果!$B$5:$B$507,MATCH(ROW()-3,对接源_01水果!$Q$5:$Q$507,0)),""),IFERROR(INDEX(对接源_02物料!$B$5:$B$460,MATCH(ROW()-3-N(对接源_01水果!$T$1),对接源_02物料!$Q$5:$Q$460,0)),"")))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8" s="26" t="str">
        <f>IF($B258="","",IF($B258="01水果",IFERROR(INDEX(对接源_01水果!$C$5:$C$507,MATCH(ROW()-3,对接源_01水果!$Q$5:$Q$507,0)),""),IFERROR(INDEX(对接源_02物料!$C$5:$C$460,MATCH(ROW()-3-N(对接源_01水果!$T$1),对接源_02物料!$Q$5:$Q$460,0)),"")))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8" s="126" t="str">
        <f>IF($B258="","",IF($B258="01水果",IFERROR(INDEX(对接源_01水果!$D$5:$D$507,MATCH(ROW()-3,对接源_01水果!$Q$5:$Q$507,0)),""),IFERROR(INDEX(对接源_02物料!$D$5:$D$460,MATCH(ROW()-3-N(对接源_01水果!$T$1),对接源_02物料!$Q$5:$Q$460,0)),"")))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8" s="26" t="str">
        <f>IF($B258="","",IF($B258="01水果",IFERROR(INDEX(对接源_01水果!$E$5:$E$507,MATCH(ROW()-3,对接源_01水果!$Q$5:$Q$507,0)),""),IFERROR(INDEX(对接源_02物料!$E$5:$E$460,MATCH(ROW()-3-N(对接源_01水果!$T$1),对接源_02物料!$Q$5:$Q$460,0)),"")))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8" s="27" t="str">
        <f>IF($B258="","",IF($B258="01水果",IFERROR(INDEX(对接源_01水果!$F$5:$F$507,MATCH(ROW()-3,对接源_01水果!$Q$5:$Q$507,0)),""),IFERROR(INDEX(对接源_02物料!$F$5:$F$460,MATCH(ROW()-3-N(对接源_01水果!$T$1),对接源_02物料!$Q$5:$Q$460,0)),"")))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8" s="27" t="str">
        <f>IF($B258="","",IF($B258="01水果",IFERROR(INDEX(对接源_01水果!$G$5:$G$507,MATCH(ROW()-3,对接源_01水果!$Q$5:$Q$507,0)),""),IFERROR(INDEX(对接源_02物料!$G$5:$G$460,MATCH(ROW()-3-N(对接源_01水果!$T$1),对接源_02物料!$Q$5:$Q$460,0)),"")))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8" s="26" t="str">
        <f>IFERROR(INDEX(收入成本映射!$C$4:$C$34,MATCH($D258,收入成本映射!$B$4:$B$34,0)),"不记账")</f>
        <v>不记账</v>
      </c>
      <c r="J258" s="26" t="str">
        <f t="shared" si="27"/>
        <v/>
      </c>
      <c r="K258" s="27">
        <f t="shared" si="28"/>
        <v>0</v>
      </c>
      <c r="L258" s="27">
        <v>0</v>
      </c>
      <c r="M258" s="26" t="str">
        <f>IF(OR($I258="不记账",ROUND(N($G258),2)=0),"",IFERROR(INDEX(收入成本映射!$E$4:$E$34,MATCH($D258,收入成本映射!$B$4:$B$34,0)),""))</f>
        <v/>
      </c>
      <c r="N258" s="27" t="str">
        <f t="shared" si="29"/>
        <v/>
      </c>
      <c r="O258" s="27" t="str">
        <f t="shared" si="30"/>
        <v/>
      </c>
      <c r="P258" s="26" t="str">
        <f>IF($M258="","",IFERROR(INDEX(收入成本映射!$F$4:$F$34,MATCH($D258,收入成本映射!$B$4:$B$34,0)),""))</f>
        <v/>
      </c>
      <c r="Q258" s="27" t="str">
        <f t="shared" si="31"/>
        <v/>
      </c>
      <c r="R258" s="27" t="str">
        <f t="shared" si="32"/>
        <v/>
      </c>
      <c r="S258" s="26" t="str">
        <f t="shared" si="33"/>
        <v/>
      </c>
      <c r="T258" s="27" t="str">
        <f t="shared" si="34"/>
        <v/>
      </c>
      <c r="U258" s="27" t="str">
        <f t="shared" si="35"/>
        <v/>
      </c>
      <c r="V258" s="10" t="str">
        <f>IF($B258="","",IF($B258="01水果",IFERROR(INDEX(对接源_01水果!$H$5:$H$507,MATCH(ROW()-3,对接源_01水果!$Q$5:$Q$507,0)),""),IFERROR(INDEX(对接源_02物料!$H$5:$H$460,MATCH(ROW()-3-N(对接源_01水果!$T$1),对接源_02物料!$Q$5:$Q$460,0)),"")))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9" ht="18" customHeight="1" spans="1:22">
      <c r="A259" s="10">
        <v>256</v>
      </c>
      <c r="B259" s="26" t="str">
        <f>IF(ROW()-3&lt;=N(对接源_01水果!$T$1),"01水果",IF(ROW()-3&lt;=N(对接源_01水果!$T$1)+N(对接源_02物料!$T$1),"02物料",""))</f>
        <v/>
      </c>
      <c r="C259" s="125" t="str">
        <f>IF($B259="","",IF($B259="01水果",IFERROR(INDEX(对接源_01水果!$B$5:$B$507,MATCH(ROW()-3,对接源_01水果!$Q$5:$Q$507,0)),""),IFERROR(INDEX(对接源_02物料!$B$5:$B$460,MATCH(ROW()-3-N(对接源_01水果!$T$1),对接源_02物料!$Q$5:$Q$460,0)),"")))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9" s="26" t="str">
        <f>IF($B259="","",IF($B259="01水果",IFERROR(INDEX(对接源_01水果!$C$5:$C$507,MATCH(ROW()-3,对接源_01水果!$Q$5:$Q$507,0)),""),IFERROR(INDEX(对接源_02物料!$C$5:$C$460,MATCH(ROW()-3-N(对接源_01水果!$T$1),对接源_02物料!$Q$5:$Q$460,0)),"")))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9" s="126" t="str">
        <f>IF($B259="","",IF($B259="01水果",IFERROR(INDEX(对接源_01水果!$D$5:$D$507,MATCH(ROW()-3,对接源_01水果!$Q$5:$Q$507,0)),""),IFERROR(INDEX(对接源_02物料!$D$5:$D$460,MATCH(ROW()-3-N(对接源_01水果!$T$1),对接源_02物料!$Q$5:$Q$460,0)),"")))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9" s="26" t="str">
        <f>IF($B259="","",IF($B259="01水果",IFERROR(INDEX(对接源_01水果!$E$5:$E$507,MATCH(ROW()-3,对接源_01水果!$Q$5:$Q$507,0)),""),IFERROR(INDEX(对接源_02物料!$E$5:$E$460,MATCH(ROW()-3-N(对接源_01水果!$T$1),对接源_02物料!$Q$5:$Q$460,0)),"")))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9" s="27" t="str">
        <f>IF($B259="","",IF($B259="01水果",IFERROR(INDEX(对接源_01水果!$F$5:$F$507,MATCH(ROW()-3,对接源_01水果!$Q$5:$Q$507,0)),""),IFERROR(INDEX(对接源_02物料!$F$5:$F$460,MATCH(ROW()-3-N(对接源_01水果!$T$1),对接源_02物料!$Q$5:$Q$460,0)),"")))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9" s="27" t="str">
        <f>IF($B259="","",IF($B259="01水果",IFERROR(INDEX(对接源_01水果!$G$5:$G$507,MATCH(ROW()-3,对接源_01水果!$Q$5:$Q$507,0)),""),IFERROR(INDEX(对接源_02物料!$G$5:$G$460,MATCH(ROW()-3-N(对接源_01水果!$T$1),对接源_02物料!$Q$5:$Q$460,0)),"")))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9" s="26" t="str">
        <f>IFERROR(INDEX(收入成本映射!$C$4:$C$34,MATCH($D259,收入成本映射!$B$4:$B$34,0)),"不记账")</f>
        <v>不记账</v>
      </c>
      <c r="J259" s="26" t="str">
        <f t="shared" si="27"/>
        <v/>
      </c>
      <c r="K259" s="27">
        <f t="shared" si="28"/>
        <v>0</v>
      </c>
      <c r="L259" s="27">
        <v>0</v>
      </c>
      <c r="M259" s="26" t="str">
        <f>IF(OR($I259="不记账",ROUND(N($G259),2)=0),"",IFERROR(INDEX(收入成本映射!$E$4:$E$34,MATCH($D259,收入成本映射!$B$4:$B$34,0)),""))</f>
        <v/>
      </c>
      <c r="N259" s="27" t="str">
        <f t="shared" si="29"/>
        <v/>
      </c>
      <c r="O259" s="27" t="str">
        <f t="shared" si="30"/>
        <v/>
      </c>
      <c r="P259" s="26" t="str">
        <f>IF($M259="","",IFERROR(INDEX(收入成本映射!$F$4:$F$34,MATCH($D259,收入成本映射!$B$4:$B$34,0)),""))</f>
        <v/>
      </c>
      <c r="Q259" s="27" t="str">
        <f t="shared" si="31"/>
        <v/>
      </c>
      <c r="R259" s="27" t="str">
        <f t="shared" si="32"/>
        <v/>
      </c>
      <c r="S259" s="26" t="str">
        <f t="shared" si="33"/>
        <v/>
      </c>
      <c r="T259" s="27" t="str">
        <f t="shared" si="34"/>
        <v/>
      </c>
      <c r="U259" s="27" t="str">
        <f t="shared" si="35"/>
        <v/>
      </c>
      <c r="V259" s="10" t="str">
        <f>IF($B259="","",IF($B259="01水果",IFERROR(INDEX(对接源_01水果!$H$5:$H$507,MATCH(ROW()-3,对接源_01水果!$Q$5:$Q$507,0)),""),IFERROR(INDEX(对接源_02物料!$H$5:$H$460,MATCH(ROW()-3-N(对接源_01水果!$T$1),对接源_02物料!$Q$5:$Q$460,0)),"")))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0" ht="18" customHeight="1" spans="1:22">
      <c r="A260" s="10">
        <v>257</v>
      </c>
      <c r="B260" s="26" t="str">
        <f>IF(ROW()-3&lt;=N(对接源_01水果!$T$1),"01水果",IF(ROW()-3&lt;=N(对接源_01水果!$T$1)+N(对接源_02物料!$T$1),"02物料",""))</f>
        <v/>
      </c>
      <c r="C260" s="125" t="str">
        <f>IF($B260="","",IF($B260="01水果",IFERROR(INDEX(对接源_01水果!$B$5:$B$507,MATCH(ROW()-3,对接源_01水果!$Q$5:$Q$507,0)),""),IFERROR(INDEX(对接源_02物料!$B$5:$B$460,MATCH(ROW()-3-N(对接源_01水果!$T$1),对接源_02物料!$Q$5:$Q$460,0)),"")))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0" s="26" t="str">
        <f>IF($B260="","",IF($B260="01水果",IFERROR(INDEX(对接源_01水果!$C$5:$C$507,MATCH(ROW()-3,对接源_01水果!$Q$5:$Q$507,0)),""),IFERROR(INDEX(对接源_02物料!$C$5:$C$460,MATCH(ROW()-3-N(对接源_01水果!$T$1),对接源_02物料!$Q$5:$Q$460,0)),"")))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0" s="126" t="str">
        <f>IF($B260="","",IF($B260="01水果",IFERROR(INDEX(对接源_01水果!$D$5:$D$507,MATCH(ROW()-3,对接源_01水果!$Q$5:$Q$507,0)),""),IFERROR(INDEX(对接源_02物料!$D$5:$D$460,MATCH(ROW()-3-N(对接源_01水果!$T$1),对接源_02物料!$Q$5:$Q$460,0)),"")))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0" s="26" t="str">
        <f>IF($B260="","",IF($B260="01水果",IFERROR(INDEX(对接源_01水果!$E$5:$E$507,MATCH(ROW()-3,对接源_01水果!$Q$5:$Q$507,0)),""),IFERROR(INDEX(对接源_02物料!$E$5:$E$460,MATCH(ROW()-3-N(对接源_01水果!$T$1),对接源_02物料!$Q$5:$Q$460,0)),"")))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0" s="27" t="str">
        <f>IF($B260="","",IF($B260="01水果",IFERROR(INDEX(对接源_01水果!$F$5:$F$507,MATCH(ROW()-3,对接源_01水果!$Q$5:$Q$507,0)),""),IFERROR(INDEX(对接源_02物料!$F$5:$F$460,MATCH(ROW()-3-N(对接源_01水果!$T$1),对接源_02物料!$Q$5:$Q$460,0)),"")))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0" s="27" t="str">
        <f>IF($B260="","",IF($B260="01水果",IFERROR(INDEX(对接源_01水果!$G$5:$G$507,MATCH(ROW()-3,对接源_01水果!$Q$5:$Q$507,0)),""),IFERROR(INDEX(对接源_02物料!$G$5:$G$460,MATCH(ROW()-3-N(对接源_01水果!$T$1),对接源_02物料!$Q$5:$Q$460,0)),"")))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0" s="26" t="str">
        <f>IFERROR(INDEX(收入成本映射!$C$4:$C$34,MATCH($D260,收入成本映射!$B$4:$B$34,0)),"不记账")</f>
        <v>不记账</v>
      </c>
      <c r="J260" s="26" t="str">
        <f t="shared" ref="J260:J305" si="36">IF($B260="","","0%")</f>
        <v/>
      </c>
      <c r="K260" s="27">
        <f t="shared" ref="K260:K305" si="37">IF($I260="不记账",0,ROUND(N($G260),2))</f>
        <v>0</v>
      </c>
      <c r="L260" s="27">
        <v>0</v>
      </c>
      <c r="M260" s="26" t="str">
        <f>IF(OR($I260="不记账",ROUND(N($G260),2)=0),"",IFERROR(INDEX(收入成本映射!$E$4:$E$34,MATCH($D260,收入成本映射!$B$4:$B$34,0)),""))</f>
        <v/>
      </c>
      <c r="N260" s="27" t="str">
        <f t="shared" ref="N260:N305" si="38">IF($M260="","",ROUND(N($G260),2))</f>
        <v/>
      </c>
      <c r="O260" s="27" t="str">
        <f t="shared" ref="O260:O305" si="39">IF($M260="","",0)</f>
        <v/>
      </c>
      <c r="P260" s="26" t="str">
        <f>IF($M260="","",IFERROR(INDEX(收入成本映射!$F$4:$F$34,MATCH($D260,收入成本映射!$B$4:$B$34,0)),""))</f>
        <v/>
      </c>
      <c r="Q260" s="27" t="str">
        <f t="shared" ref="Q260:Q305" si="40">IF($P260="","",0)</f>
        <v/>
      </c>
      <c r="R260" s="27" t="str">
        <f t="shared" ref="R260:R305" si="41">IF($P260="","",ROUND(N($G260),2))</f>
        <v/>
      </c>
      <c r="S260" s="26" t="str">
        <f t="shared" ref="S260:S305" si="42">""</f>
        <v/>
      </c>
      <c r="T260" s="27" t="str">
        <f t="shared" ref="T260:T305" si="43">IF($S260="","",0)</f>
        <v/>
      </c>
      <c r="U260" s="27" t="str">
        <f t="shared" ref="U260:U305" si="44">IF($S260="","",0)</f>
        <v/>
      </c>
      <c r="V260" s="10" t="str">
        <f>IF($B260="","",IF($B260="01水果",IFERROR(INDEX(对接源_01水果!$H$5:$H$507,MATCH(ROW()-3,对接源_01水果!$Q$5:$Q$507,0)),""),IFERROR(INDEX(对接源_02物料!$H$5:$H$460,MATCH(ROW()-3-N(对接源_01水果!$T$1),对接源_02物料!$Q$5:$Q$460,0)),"")))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1" ht="18" customHeight="1" spans="1:22">
      <c r="A261" s="10">
        <v>258</v>
      </c>
      <c r="B261" s="26" t="str">
        <f>IF(ROW()-3&lt;=N(对接源_01水果!$T$1),"01水果",IF(ROW()-3&lt;=N(对接源_01水果!$T$1)+N(对接源_02物料!$T$1),"02物料",""))</f>
        <v/>
      </c>
      <c r="C261" s="125" t="str">
        <f>IF($B261="","",IF($B261="01水果",IFERROR(INDEX(对接源_01水果!$B$5:$B$507,MATCH(ROW()-3,对接源_01水果!$Q$5:$Q$507,0)),""),IFERROR(INDEX(对接源_02物料!$B$5:$B$460,MATCH(ROW()-3-N(对接源_01水果!$T$1),对接源_02物料!$Q$5:$Q$460,0)),"")))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1" s="26" t="str">
        <f>IF($B261="","",IF($B261="01水果",IFERROR(INDEX(对接源_01水果!$C$5:$C$507,MATCH(ROW()-3,对接源_01水果!$Q$5:$Q$507,0)),""),IFERROR(INDEX(对接源_02物料!$C$5:$C$460,MATCH(ROW()-3-N(对接源_01水果!$T$1),对接源_02物料!$Q$5:$Q$460,0)),"")))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1" s="126" t="str">
        <f>IF($B261="","",IF($B261="01水果",IFERROR(INDEX(对接源_01水果!$D$5:$D$507,MATCH(ROW()-3,对接源_01水果!$Q$5:$Q$507,0)),""),IFERROR(INDEX(对接源_02物料!$D$5:$D$460,MATCH(ROW()-3-N(对接源_01水果!$T$1),对接源_02物料!$Q$5:$Q$460,0)),"")))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1" s="26" t="str">
        <f>IF($B261="","",IF($B261="01水果",IFERROR(INDEX(对接源_01水果!$E$5:$E$507,MATCH(ROW()-3,对接源_01水果!$Q$5:$Q$507,0)),""),IFERROR(INDEX(对接源_02物料!$E$5:$E$460,MATCH(ROW()-3-N(对接源_01水果!$T$1),对接源_02物料!$Q$5:$Q$460,0)),"")))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1" s="27" t="str">
        <f>IF($B261="","",IF($B261="01水果",IFERROR(INDEX(对接源_01水果!$F$5:$F$507,MATCH(ROW()-3,对接源_01水果!$Q$5:$Q$507,0)),""),IFERROR(INDEX(对接源_02物料!$F$5:$F$460,MATCH(ROW()-3-N(对接源_01水果!$T$1),对接源_02物料!$Q$5:$Q$460,0)),"")))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1" s="27" t="str">
        <f>IF($B261="","",IF($B261="01水果",IFERROR(INDEX(对接源_01水果!$G$5:$G$507,MATCH(ROW()-3,对接源_01水果!$Q$5:$Q$507,0)),""),IFERROR(INDEX(对接源_02物料!$G$5:$G$460,MATCH(ROW()-3-N(对接源_01水果!$T$1),对接源_02物料!$Q$5:$Q$460,0)),"")))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1" s="26" t="str">
        <f>IFERROR(INDEX(收入成本映射!$C$4:$C$34,MATCH($D261,收入成本映射!$B$4:$B$34,0)),"不记账")</f>
        <v>不记账</v>
      </c>
      <c r="J261" s="26" t="str">
        <f t="shared" si="36"/>
        <v/>
      </c>
      <c r="K261" s="27">
        <f t="shared" si="37"/>
        <v>0</v>
      </c>
      <c r="L261" s="27">
        <v>0</v>
      </c>
      <c r="M261" s="26" t="str">
        <f>IF(OR($I261="不记账",ROUND(N($G261),2)=0),"",IFERROR(INDEX(收入成本映射!$E$4:$E$34,MATCH($D261,收入成本映射!$B$4:$B$34,0)),""))</f>
        <v/>
      </c>
      <c r="N261" s="27" t="str">
        <f t="shared" si="38"/>
        <v/>
      </c>
      <c r="O261" s="27" t="str">
        <f t="shared" si="39"/>
        <v/>
      </c>
      <c r="P261" s="26" t="str">
        <f>IF($M261="","",IFERROR(INDEX(收入成本映射!$F$4:$F$34,MATCH($D261,收入成本映射!$B$4:$B$34,0)),""))</f>
        <v/>
      </c>
      <c r="Q261" s="27" t="str">
        <f t="shared" si="40"/>
        <v/>
      </c>
      <c r="R261" s="27" t="str">
        <f t="shared" si="41"/>
        <v/>
      </c>
      <c r="S261" s="26" t="str">
        <f t="shared" si="42"/>
        <v/>
      </c>
      <c r="T261" s="27" t="str">
        <f t="shared" si="43"/>
        <v/>
      </c>
      <c r="U261" s="27" t="str">
        <f t="shared" si="44"/>
        <v/>
      </c>
      <c r="V261" s="10" t="str">
        <f>IF($B261="","",IF($B261="01水果",IFERROR(INDEX(对接源_01水果!$H$5:$H$507,MATCH(ROW()-3,对接源_01水果!$Q$5:$Q$507,0)),""),IFERROR(INDEX(对接源_02物料!$H$5:$H$460,MATCH(ROW()-3-N(对接源_01水果!$T$1),对接源_02物料!$Q$5:$Q$460,0)),"")))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2" ht="18" customHeight="1" spans="1:22">
      <c r="A262" s="10">
        <v>259</v>
      </c>
      <c r="B262" s="26" t="str">
        <f>IF(ROW()-3&lt;=N(对接源_01水果!$T$1),"01水果",IF(ROW()-3&lt;=N(对接源_01水果!$T$1)+N(对接源_02物料!$T$1),"02物料",""))</f>
        <v/>
      </c>
      <c r="C262" s="125" t="str">
        <f>IF($B262="","",IF($B262="01水果",IFERROR(INDEX(对接源_01水果!$B$5:$B$507,MATCH(ROW()-3,对接源_01水果!$Q$5:$Q$507,0)),""),IFERROR(INDEX(对接源_02物料!$B$5:$B$460,MATCH(ROW()-3-N(对接源_01水果!$T$1),对接源_02物料!$Q$5:$Q$460,0)),"")))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2" s="26" t="str">
        <f>IF($B262="","",IF($B262="01水果",IFERROR(INDEX(对接源_01水果!$C$5:$C$507,MATCH(ROW()-3,对接源_01水果!$Q$5:$Q$507,0)),""),IFERROR(INDEX(对接源_02物料!$C$5:$C$460,MATCH(ROW()-3-N(对接源_01水果!$T$1),对接源_02物料!$Q$5:$Q$460,0)),"")))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2" s="126" t="str">
        <f>IF($B262="","",IF($B262="01水果",IFERROR(INDEX(对接源_01水果!$D$5:$D$507,MATCH(ROW()-3,对接源_01水果!$Q$5:$Q$507,0)),""),IFERROR(INDEX(对接源_02物料!$D$5:$D$460,MATCH(ROW()-3-N(对接源_01水果!$T$1),对接源_02物料!$Q$5:$Q$460,0)),"")))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2" s="26" t="str">
        <f>IF($B262="","",IF($B262="01水果",IFERROR(INDEX(对接源_01水果!$E$5:$E$507,MATCH(ROW()-3,对接源_01水果!$Q$5:$Q$507,0)),""),IFERROR(INDEX(对接源_02物料!$E$5:$E$460,MATCH(ROW()-3-N(对接源_01水果!$T$1),对接源_02物料!$Q$5:$Q$460,0)),"")))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2" s="27" t="str">
        <f>IF($B262="","",IF($B262="01水果",IFERROR(INDEX(对接源_01水果!$F$5:$F$507,MATCH(ROW()-3,对接源_01水果!$Q$5:$Q$507,0)),""),IFERROR(INDEX(对接源_02物料!$F$5:$F$460,MATCH(ROW()-3-N(对接源_01水果!$T$1),对接源_02物料!$Q$5:$Q$460,0)),"")))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2" s="27" t="str">
        <f>IF($B262="","",IF($B262="01水果",IFERROR(INDEX(对接源_01水果!$G$5:$G$507,MATCH(ROW()-3,对接源_01水果!$Q$5:$Q$507,0)),""),IFERROR(INDEX(对接源_02物料!$G$5:$G$460,MATCH(ROW()-3-N(对接源_01水果!$T$1),对接源_02物料!$Q$5:$Q$460,0)),"")))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2" s="26" t="str">
        <f>IFERROR(INDEX(收入成本映射!$C$4:$C$34,MATCH($D262,收入成本映射!$B$4:$B$34,0)),"不记账")</f>
        <v>不记账</v>
      </c>
      <c r="J262" s="26" t="str">
        <f t="shared" si="36"/>
        <v/>
      </c>
      <c r="K262" s="27">
        <f t="shared" si="37"/>
        <v>0</v>
      </c>
      <c r="L262" s="27">
        <v>0</v>
      </c>
      <c r="M262" s="26" t="str">
        <f>IF(OR($I262="不记账",ROUND(N($G262),2)=0),"",IFERROR(INDEX(收入成本映射!$E$4:$E$34,MATCH($D262,收入成本映射!$B$4:$B$34,0)),""))</f>
        <v/>
      </c>
      <c r="N262" s="27" t="str">
        <f t="shared" si="38"/>
        <v/>
      </c>
      <c r="O262" s="27" t="str">
        <f t="shared" si="39"/>
        <v/>
      </c>
      <c r="P262" s="26" t="str">
        <f>IF($M262="","",IFERROR(INDEX(收入成本映射!$F$4:$F$34,MATCH($D262,收入成本映射!$B$4:$B$34,0)),""))</f>
        <v/>
      </c>
      <c r="Q262" s="27" t="str">
        <f t="shared" si="40"/>
        <v/>
      </c>
      <c r="R262" s="27" t="str">
        <f t="shared" si="41"/>
        <v/>
      </c>
      <c r="S262" s="26" t="str">
        <f t="shared" si="42"/>
        <v/>
      </c>
      <c r="T262" s="27" t="str">
        <f t="shared" si="43"/>
        <v/>
      </c>
      <c r="U262" s="27" t="str">
        <f t="shared" si="44"/>
        <v/>
      </c>
      <c r="V262" s="10" t="str">
        <f>IF($B262="","",IF($B262="01水果",IFERROR(INDEX(对接源_01水果!$H$5:$H$507,MATCH(ROW()-3,对接源_01水果!$Q$5:$Q$507,0)),""),IFERROR(INDEX(对接源_02物料!$H$5:$H$460,MATCH(ROW()-3-N(对接源_01水果!$T$1),对接源_02物料!$Q$5:$Q$460,0)),"")))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3" ht="18" customHeight="1" spans="1:22">
      <c r="A263" s="10">
        <v>260</v>
      </c>
      <c r="B263" s="26" t="str">
        <f>IF(ROW()-3&lt;=N(对接源_01水果!$T$1),"01水果",IF(ROW()-3&lt;=N(对接源_01水果!$T$1)+N(对接源_02物料!$T$1),"02物料",""))</f>
        <v/>
      </c>
      <c r="C263" s="125" t="str">
        <f>IF($B263="","",IF($B263="01水果",IFERROR(INDEX(对接源_01水果!$B$5:$B$507,MATCH(ROW()-3,对接源_01水果!$Q$5:$Q$507,0)),""),IFERROR(INDEX(对接源_02物料!$B$5:$B$460,MATCH(ROW()-3-N(对接源_01水果!$T$1),对接源_02物料!$Q$5:$Q$460,0)),"")))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3" s="26" t="str">
        <f>IF($B263="","",IF($B263="01水果",IFERROR(INDEX(对接源_01水果!$C$5:$C$507,MATCH(ROW()-3,对接源_01水果!$Q$5:$Q$507,0)),""),IFERROR(INDEX(对接源_02物料!$C$5:$C$460,MATCH(ROW()-3-N(对接源_01水果!$T$1),对接源_02物料!$Q$5:$Q$460,0)),"")))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3" s="126" t="str">
        <f>IF($B263="","",IF($B263="01水果",IFERROR(INDEX(对接源_01水果!$D$5:$D$507,MATCH(ROW()-3,对接源_01水果!$Q$5:$Q$507,0)),""),IFERROR(INDEX(对接源_02物料!$D$5:$D$460,MATCH(ROW()-3-N(对接源_01水果!$T$1),对接源_02物料!$Q$5:$Q$460,0)),"")))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3" s="26" t="str">
        <f>IF($B263="","",IF($B263="01水果",IFERROR(INDEX(对接源_01水果!$E$5:$E$507,MATCH(ROW()-3,对接源_01水果!$Q$5:$Q$507,0)),""),IFERROR(INDEX(对接源_02物料!$E$5:$E$460,MATCH(ROW()-3-N(对接源_01水果!$T$1),对接源_02物料!$Q$5:$Q$460,0)),"")))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3" s="27" t="str">
        <f>IF($B263="","",IF($B263="01水果",IFERROR(INDEX(对接源_01水果!$F$5:$F$507,MATCH(ROW()-3,对接源_01水果!$Q$5:$Q$507,0)),""),IFERROR(INDEX(对接源_02物料!$F$5:$F$460,MATCH(ROW()-3-N(对接源_01水果!$T$1),对接源_02物料!$Q$5:$Q$460,0)),"")))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3" s="27" t="str">
        <f>IF($B263="","",IF($B263="01水果",IFERROR(INDEX(对接源_01水果!$G$5:$G$507,MATCH(ROW()-3,对接源_01水果!$Q$5:$Q$507,0)),""),IFERROR(INDEX(对接源_02物料!$G$5:$G$460,MATCH(ROW()-3-N(对接源_01水果!$T$1),对接源_02物料!$Q$5:$Q$460,0)),"")))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3" s="26" t="str">
        <f>IFERROR(INDEX(收入成本映射!$C$4:$C$34,MATCH($D263,收入成本映射!$B$4:$B$34,0)),"不记账")</f>
        <v>不记账</v>
      </c>
      <c r="J263" s="26" t="str">
        <f t="shared" si="36"/>
        <v/>
      </c>
      <c r="K263" s="27">
        <f t="shared" si="37"/>
        <v>0</v>
      </c>
      <c r="L263" s="27">
        <v>0</v>
      </c>
      <c r="M263" s="26" t="str">
        <f>IF(OR($I263="不记账",ROUND(N($G263),2)=0),"",IFERROR(INDEX(收入成本映射!$E$4:$E$34,MATCH($D263,收入成本映射!$B$4:$B$34,0)),""))</f>
        <v/>
      </c>
      <c r="N263" s="27" t="str">
        <f t="shared" si="38"/>
        <v/>
      </c>
      <c r="O263" s="27" t="str">
        <f t="shared" si="39"/>
        <v/>
      </c>
      <c r="P263" s="26" t="str">
        <f>IF($M263="","",IFERROR(INDEX(收入成本映射!$F$4:$F$34,MATCH($D263,收入成本映射!$B$4:$B$34,0)),""))</f>
        <v/>
      </c>
      <c r="Q263" s="27" t="str">
        <f t="shared" si="40"/>
        <v/>
      </c>
      <c r="R263" s="27" t="str">
        <f t="shared" si="41"/>
        <v/>
      </c>
      <c r="S263" s="26" t="str">
        <f t="shared" si="42"/>
        <v/>
      </c>
      <c r="T263" s="27" t="str">
        <f t="shared" si="43"/>
        <v/>
      </c>
      <c r="U263" s="27" t="str">
        <f t="shared" si="44"/>
        <v/>
      </c>
      <c r="V263" s="10" t="str">
        <f>IF($B263="","",IF($B263="01水果",IFERROR(INDEX(对接源_01水果!$H$5:$H$507,MATCH(ROW()-3,对接源_01水果!$Q$5:$Q$507,0)),""),IFERROR(INDEX(对接源_02物料!$H$5:$H$460,MATCH(ROW()-3-N(对接源_01水果!$T$1),对接源_02物料!$Q$5:$Q$460,0)),"")))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4" ht="18" customHeight="1" spans="1:22">
      <c r="A264" s="10">
        <v>261</v>
      </c>
      <c r="B264" s="26" t="str">
        <f>IF(ROW()-3&lt;=N(对接源_01水果!$T$1),"01水果",IF(ROW()-3&lt;=N(对接源_01水果!$T$1)+N(对接源_02物料!$T$1),"02物料",""))</f>
        <v/>
      </c>
      <c r="C264" s="125" t="str">
        <f>IF($B264="","",IF($B264="01水果",IFERROR(INDEX(对接源_01水果!$B$5:$B$507,MATCH(ROW()-3,对接源_01水果!$Q$5:$Q$507,0)),""),IFERROR(INDEX(对接源_02物料!$B$5:$B$460,MATCH(ROW()-3-N(对接源_01水果!$T$1),对接源_02物料!$Q$5:$Q$460,0)),"")))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4" s="26" t="str">
        <f>IF($B264="","",IF($B264="01水果",IFERROR(INDEX(对接源_01水果!$C$5:$C$507,MATCH(ROW()-3,对接源_01水果!$Q$5:$Q$507,0)),""),IFERROR(INDEX(对接源_02物料!$C$5:$C$460,MATCH(ROW()-3-N(对接源_01水果!$T$1),对接源_02物料!$Q$5:$Q$460,0)),"")))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4" s="126" t="str">
        <f>IF($B264="","",IF($B264="01水果",IFERROR(INDEX(对接源_01水果!$D$5:$D$507,MATCH(ROW()-3,对接源_01水果!$Q$5:$Q$507,0)),""),IFERROR(INDEX(对接源_02物料!$D$5:$D$460,MATCH(ROW()-3-N(对接源_01水果!$T$1),对接源_02物料!$Q$5:$Q$460,0)),"")))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4" s="26" t="str">
        <f>IF($B264="","",IF($B264="01水果",IFERROR(INDEX(对接源_01水果!$E$5:$E$507,MATCH(ROW()-3,对接源_01水果!$Q$5:$Q$507,0)),""),IFERROR(INDEX(对接源_02物料!$E$5:$E$460,MATCH(ROW()-3-N(对接源_01水果!$T$1),对接源_02物料!$Q$5:$Q$460,0)),"")))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4" s="27" t="str">
        <f>IF($B264="","",IF($B264="01水果",IFERROR(INDEX(对接源_01水果!$F$5:$F$507,MATCH(ROW()-3,对接源_01水果!$Q$5:$Q$507,0)),""),IFERROR(INDEX(对接源_02物料!$F$5:$F$460,MATCH(ROW()-3-N(对接源_01水果!$T$1),对接源_02物料!$Q$5:$Q$460,0)),"")))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4" s="27" t="str">
        <f>IF($B264="","",IF($B264="01水果",IFERROR(INDEX(对接源_01水果!$G$5:$G$507,MATCH(ROW()-3,对接源_01水果!$Q$5:$Q$507,0)),""),IFERROR(INDEX(对接源_02物料!$G$5:$G$460,MATCH(ROW()-3-N(对接源_01水果!$T$1),对接源_02物料!$Q$5:$Q$460,0)),"")))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4" s="26" t="str">
        <f>IFERROR(INDEX(收入成本映射!$C$4:$C$34,MATCH($D264,收入成本映射!$B$4:$B$34,0)),"不记账")</f>
        <v>不记账</v>
      </c>
      <c r="J264" s="26" t="str">
        <f t="shared" si="36"/>
        <v/>
      </c>
      <c r="K264" s="27">
        <f t="shared" si="37"/>
        <v>0</v>
      </c>
      <c r="L264" s="27">
        <v>0</v>
      </c>
      <c r="M264" s="26" t="str">
        <f>IF(OR($I264="不记账",ROUND(N($G264),2)=0),"",IFERROR(INDEX(收入成本映射!$E$4:$E$34,MATCH($D264,收入成本映射!$B$4:$B$34,0)),""))</f>
        <v/>
      </c>
      <c r="N264" s="27" t="str">
        <f t="shared" si="38"/>
        <v/>
      </c>
      <c r="O264" s="27" t="str">
        <f t="shared" si="39"/>
        <v/>
      </c>
      <c r="P264" s="26" t="str">
        <f>IF($M264="","",IFERROR(INDEX(收入成本映射!$F$4:$F$34,MATCH($D264,收入成本映射!$B$4:$B$34,0)),""))</f>
        <v/>
      </c>
      <c r="Q264" s="27" t="str">
        <f t="shared" si="40"/>
        <v/>
      </c>
      <c r="R264" s="27" t="str">
        <f t="shared" si="41"/>
        <v/>
      </c>
      <c r="S264" s="26" t="str">
        <f t="shared" si="42"/>
        <v/>
      </c>
      <c r="T264" s="27" t="str">
        <f t="shared" si="43"/>
        <v/>
      </c>
      <c r="U264" s="27" t="str">
        <f t="shared" si="44"/>
        <v/>
      </c>
      <c r="V264" s="10" t="str">
        <f>IF($B264="","",IF($B264="01水果",IFERROR(INDEX(对接源_01水果!$H$5:$H$507,MATCH(ROW()-3,对接源_01水果!$Q$5:$Q$507,0)),""),IFERROR(INDEX(对接源_02物料!$H$5:$H$460,MATCH(ROW()-3-N(对接源_01水果!$T$1),对接源_02物料!$Q$5:$Q$460,0)),"")))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5" ht="18" customHeight="1" spans="1:22">
      <c r="A265" s="10">
        <v>262</v>
      </c>
      <c r="B265" s="26" t="str">
        <f>IF(ROW()-3&lt;=N(对接源_01水果!$T$1),"01水果",IF(ROW()-3&lt;=N(对接源_01水果!$T$1)+N(对接源_02物料!$T$1),"02物料",""))</f>
        <v/>
      </c>
      <c r="C265" s="125" t="str">
        <f>IF($B265="","",IF($B265="01水果",IFERROR(INDEX(对接源_01水果!$B$5:$B$507,MATCH(ROW()-3,对接源_01水果!$Q$5:$Q$507,0)),""),IFERROR(INDEX(对接源_02物料!$B$5:$B$460,MATCH(ROW()-3-N(对接源_01水果!$T$1),对接源_02物料!$Q$5:$Q$460,0)),"")))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5" s="26" t="str">
        <f>IF($B265="","",IF($B265="01水果",IFERROR(INDEX(对接源_01水果!$C$5:$C$507,MATCH(ROW()-3,对接源_01水果!$Q$5:$Q$507,0)),""),IFERROR(INDEX(对接源_02物料!$C$5:$C$460,MATCH(ROW()-3-N(对接源_01水果!$T$1),对接源_02物料!$Q$5:$Q$460,0)),"")))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5" s="126" t="str">
        <f>IF($B265="","",IF($B265="01水果",IFERROR(INDEX(对接源_01水果!$D$5:$D$507,MATCH(ROW()-3,对接源_01水果!$Q$5:$Q$507,0)),""),IFERROR(INDEX(对接源_02物料!$D$5:$D$460,MATCH(ROW()-3-N(对接源_01水果!$T$1),对接源_02物料!$Q$5:$Q$460,0)),"")))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5" s="26" t="str">
        <f>IF($B265="","",IF($B265="01水果",IFERROR(INDEX(对接源_01水果!$E$5:$E$507,MATCH(ROW()-3,对接源_01水果!$Q$5:$Q$507,0)),""),IFERROR(INDEX(对接源_02物料!$E$5:$E$460,MATCH(ROW()-3-N(对接源_01水果!$T$1),对接源_02物料!$Q$5:$Q$460,0)),"")))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5" s="27" t="str">
        <f>IF($B265="","",IF($B265="01水果",IFERROR(INDEX(对接源_01水果!$F$5:$F$507,MATCH(ROW()-3,对接源_01水果!$Q$5:$Q$507,0)),""),IFERROR(INDEX(对接源_02物料!$F$5:$F$460,MATCH(ROW()-3-N(对接源_01水果!$T$1),对接源_02物料!$Q$5:$Q$460,0)),"")))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5" s="27" t="str">
        <f>IF($B265="","",IF($B265="01水果",IFERROR(INDEX(对接源_01水果!$G$5:$G$507,MATCH(ROW()-3,对接源_01水果!$Q$5:$Q$507,0)),""),IFERROR(INDEX(对接源_02物料!$G$5:$G$460,MATCH(ROW()-3-N(对接源_01水果!$T$1),对接源_02物料!$Q$5:$Q$460,0)),"")))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5" s="26" t="str">
        <f>IFERROR(INDEX(收入成本映射!$C$4:$C$34,MATCH($D265,收入成本映射!$B$4:$B$34,0)),"不记账")</f>
        <v>不记账</v>
      </c>
      <c r="J265" s="26" t="str">
        <f t="shared" si="36"/>
        <v/>
      </c>
      <c r="K265" s="27">
        <f t="shared" si="37"/>
        <v>0</v>
      </c>
      <c r="L265" s="27">
        <v>0</v>
      </c>
      <c r="M265" s="26" t="str">
        <f>IF(OR($I265="不记账",ROUND(N($G265),2)=0),"",IFERROR(INDEX(收入成本映射!$E$4:$E$34,MATCH($D265,收入成本映射!$B$4:$B$34,0)),""))</f>
        <v/>
      </c>
      <c r="N265" s="27" t="str">
        <f t="shared" si="38"/>
        <v/>
      </c>
      <c r="O265" s="27" t="str">
        <f t="shared" si="39"/>
        <v/>
      </c>
      <c r="P265" s="26" t="str">
        <f>IF($M265="","",IFERROR(INDEX(收入成本映射!$F$4:$F$34,MATCH($D265,收入成本映射!$B$4:$B$34,0)),""))</f>
        <v/>
      </c>
      <c r="Q265" s="27" t="str">
        <f t="shared" si="40"/>
        <v/>
      </c>
      <c r="R265" s="27" t="str">
        <f t="shared" si="41"/>
        <v/>
      </c>
      <c r="S265" s="26" t="str">
        <f t="shared" si="42"/>
        <v/>
      </c>
      <c r="T265" s="27" t="str">
        <f t="shared" si="43"/>
        <v/>
      </c>
      <c r="U265" s="27" t="str">
        <f t="shared" si="44"/>
        <v/>
      </c>
      <c r="V265" s="10" t="str">
        <f>IF($B265="","",IF($B265="01水果",IFERROR(INDEX(对接源_01水果!$H$5:$H$507,MATCH(ROW()-3,对接源_01水果!$Q$5:$Q$507,0)),""),IFERROR(INDEX(对接源_02物料!$H$5:$H$460,MATCH(ROW()-3-N(对接源_01水果!$T$1),对接源_02物料!$Q$5:$Q$460,0)),"")))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6" ht="18" customHeight="1" spans="1:22">
      <c r="A266" s="10">
        <v>263</v>
      </c>
      <c r="B266" s="26" t="str">
        <f>IF(ROW()-3&lt;=N(对接源_01水果!$T$1),"01水果",IF(ROW()-3&lt;=N(对接源_01水果!$T$1)+N(对接源_02物料!$T$1),"02物料",""))</f>
        <v/>
      </c>
      <c r="C266" s="125" t="str">
        <f>IF($B266="","",IF($B266="01水果",IFERROR(INDEX(对接源_01水果!$B$5:$B$507,MATCH(ROW()-3,对接源_01水果!$Q$5:$Q$507,0)),""),IFERROR(INDEX(对接源_02物料!$B$5:$B$460,MATCH(ROW()-3-N(对接源_01水果!$T$1),对接源_02物料!$Q$5:$Q$460,0)),"")))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6" s="26" t="str">
        <f>IF($B266="","",IF($B266="01水果",IFERROR(INDEX(对接源_01水果!$C$5:$C$507,MATCH(ROW()-3,对接源_01水果!$Q$5:$Q$507,0)),""),IFERROR(INDEX(对接源_02物料!$C$5:$C$460,MATCH(ROW()-3-N(对接源_01水果!$T$1),对接源_02物料!$Q$5:$Q$460,0)),"")))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6" s="126" t="str">
        <f>IF($B266="","",IF($B266="01水果",IFERROR(INDEX(对接源_01水果!$D$5:$D$507,MATCH(ROW()-3,对接源_01水果!$Q$5:$Q$507,0)),""),IFERROR(INDEX(对接源_02物料!$D$5:$D$460,MATCH(ROW()-3-N(对接源_01水果!$T$1),对接源_02物料!$Q$5:$Q$460,0)),"")))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6" s="26" t="str">
        <f>IF($B266="","",IF($B266="01水果",IFERROR(INDEX(对接源_01水果!$E$5:$E$507,MATCH(ROW()-3,对接源_01水果!$Q$5:$Q$507,0)),""),IFERROR(INDEX(对接源_02物料!$E$5:$E$460,MATCH(ROW()-3-N(对接源_01水果!$T$1),对接源_02物料!$Q$5:$Q$460,0)),"")))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6" s="27" t="str">
        <f>IF($B266="","",IF($B266="01水果",IFERROR(INDEX(对接源_01水果!$F$5:$F$507,MATCH(ROW()-3,对接源_01水果!$Q$5:$Q$507,0)),""),IFERROR(INDEX(对接源_02物料!$F$5:$F$460,MATCH(ROW()-3-N(对接源_01水果!$T$1),对接源_02物料!$Q$5:$Q$460,0)),"")))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6" s="27" t="str">
        <f>IF($B266="","",IF($B266="01水果",IFERROR(INDEX(对接源_01水果!$G$5:$G$507,MATCH(ROW()-3,对接源_01水果!$Q$5:$Q$507,0)),""),IFERROR(INDEX(对接源_02物料!$G$5:$G$460,MATCH(ROW()-3-N(对接源_01水果!$T$1),对接源_02物料!$Q$5:$Q$460,0)),"")))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6" s="26" t="str">
        <f>IFERROR(INDEX(收入成本映射!$C$4:$C$34,MATCH($D266,收入成本映射!$B$4:$B$34,0)),"不记账")</f>
        <v>不记账</v>
      </c>
      <c r="J266" s="26" t="str">
        <f t="shared" si="36"/>
        <v/>
      </c>
      <c r="K266" s="27">
        <f t="shared" si="37"/>
        <v>0</v>
      </c>
      <c r="L266" s="27">
        <v>0</v>
      </c>
      <c r="M266" s="26" t="str">
        <f>IF(OR($I266="不记账",ROUND(N($G266),2)=0),"",IFERROR(INDEX(收入成本映射!$E$4:$E$34,MATCH($D266,收入成本映射!$B$4:$B$34,0)),""))</f>
        <v/>
      </c>
      <c r="N266" s="27" t="str">
        <f t="shared" si="38"/>
        <v/>
      </c>
      <c r="O266" s="27" t="str">
        <f t="shared" si="39"/>
        <v/>
      </c>
      <c r="P266" s="26" t="str">
        <f>IF($M266="","",IFERROR(INDEX(收入成本映射!$F$4:$F$34,MATCH($D266,收入成本映射!$B$4:$B$34,0)),""))</f>
        <v/>
      </c>
      <c r="Q266" s="27" t="str">
        <f t="shared" si="40"/>
        <v/>
      </c>
      <c r="R266" s="27" t="str">
        <f t="shared" si="41"/>
        <v/>
      </c>
      <c r="S266" s="26" t="str">
        <f t="shared" si="42"/>
        <v/>
      </c>
      <c r="T266" s="27" t="str">
        <f t="shared" si="43"/>
        <v/>
      </c>
      <c r="U266" s="27" t="str">
        <f t="shared" si="44"/>
        <v/>
      </c>
      <c r="V266" s="10" t="str">
        <f>IF($B266="","",IF($B266="01水果",IFERROR(INDEX(对接源_01水果!$H$5:$H$507,MATCH(ROW()-3,对接源_01水果!$Q$5:$Q$507,0)),""),IFERROR(INDEX(对接源_02物料!$H$5:$H$460,MATCH(ROW()-3-N(对接源_01水果!$T$1),对接源_02物料!$Q$5:$Q$460,0)),"")))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7" ht="18" customHeight="1" spans="1:22">
      <c r="A267" s="10">
        <v>264</v>
      </c>
      <c r="B267" s="26" t="str">
        <f>IF(ROW()-3&lt;=N(对接源_01水果!$T$1),"01水果",IF(ROW()-3&lt;=N(对接源_01水果!$T$1)+N(对接源_02物料!$T$1),"02物料",""))</f>
        <v/>
      </c>
      <c r="C267" s="125" t="str">
        <f>IF($B267="","",IF($B267="01水果",IFERROR(INDEX(对接源_01水果!$B$5:$B$507,MATCH(ROW()-3,对接源_01水果!$Q$5:$Q$507,0)),""),IFERROR(INDEX(对接源_02物料!$B$5:$B$460,MATCH(ROW()-3-N(对接源_01水果!$T$1),对接源_02物料!$Q$5:$Q$460,0)),"")))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7" s="26" t="str">
        <f>IF($B267="","",IF($B267="01水果",IFERROR(INDEX(对接源_01水果!$C$5:$C$507,MATCH(ROW()-3,对接源_01水果!$Q$5:$Q$507,0)),""),IFERROR(INDEX(对接源_02物料!$C$5:$C$460,MATCH(ROW()-3-N(对接源_01水果!$T$1),对接源_02物料!$Q$5:$Q$460,0)),"")))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7" s="126" t="str">
        <f>IF($B267="","",IF($B267="01水果",IFERROR(INDEX(对接源_01水果!$D$5:$D$507,MATCH(ROW()-3,对接源_01水果!$Q$5:$Q$507,0)),""),IFERROR(INDEX(对接源_02物料!$D$5:$D$460,MATCH(ROW()-3-N(对接源_01水果!$T$1),对接源_02物料!$Q$5:$Q$460,0)),"")))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7" s="26" t="str">
        <f>IF($B267="","",IF($B267="01水果",IFERROR(INDEX(对接源_01水果!$E$5:$E$507,MATCH(ROW()-3,对接源_01水果!$Q$5:$Q$507,0)),""),IFERROR(INDEX(对接源_02物料!$E$5:$E$460,MATCH(ROW()-3-N(对接源_01水果!$T$1),对接源_02物料!$Q$5:$Q$460,0)),"")))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7" s="27" t="str">
        <f>IF($B267="","",IF($B267="01水果",IFERROR(INDEX(对接源_01水果!$F$5:$F$507,MATCH(ROW()-3,对接源_01水果!$Q$5:$Q$507,0)),""),IFERROR(INDEX(对接源_02物料!$F$5:$F$460,MATCH(ROW()-3-N(对接源_01水果!$T$1),对接源_02物料!$Q$5:$Q$460,0)),"")))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7" s="27" t="str">
        <f>IF($B267="","",IF($B267="01水果",IFERROR(INDEX(对接源_01水果!$G$5:$G$507,MATCH(ROW()-3,对接源_01水果!$Q$5:$Q$507,0)),""),IFERROR(INDEX(对接源_02物料!$G$5:$G$460,MATCH(ROW()-3-N(对接源_01水果!$T$1),对接源_02物料!$Q$5:$Q$460,0)),"")))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7" s="26" t="str">
        <f>IFERROR(INDEX(收入成本映射!$C$4:$C$34,MATCH($D267,收入成本映射!$B$4:$B$34,0)),"不记账")</f>
        <v>不记账</v>
      </c>
      <c r="J267" s="26" t="str">
        <f t="shared" si="36"/>
        <v/>
      </c>
      <c r="K267" s="27">
        <f t="shared" si="37"/>
        <v>0</v>
      </c>
      <c r="L267" s="27">
        <v>0</v>
      </c>
      <c r="M267" s="26" t="str">
        <f>IF(OR($I267="不记账",ROUND(N($G267),2)=0),"",IFERROR(INDEX(收入成本映射!$E$4:$E$34,MATCH($D267,收入成本映射!$B$4:$B$34,0)),""))</f>
        <v/>
      </c>
      <c r="N267" s="27" t="str">
        <f t="shared" si="38"/>
        <v/>
      </c>
      <c r="O267" s="27" t="str">
        <f t="shared" si="39"/>
        <v/>
      </c>
      <c r="P267" s="26" t="str">
        <f>IF($M267="","",IFERROR(INDEX(收入成本映射!$F$4:$F$34,MATCH($D267,收入成本映射!$B$4:$B$34,0)),""))</f>
        <v/>
      </c>
      <c r="Q267" s="27" t="str">
        <f t="shared" si="40"/>
        <v/>
      </c>
      <c r="R267" s="27" t="str">
        <f t="shared" si="41"/>
        <v/>
      </c>
      <c r="S267" s="26" t="str">
        <f t="shared" si="42"/>
        <v/>
      </c>
      <c r="T267" s="27" t="str">
        <f t="shared" si="43"/>
        <v/>
      </c>
      <c r="U267" s="27" t="str">
        <f t="shared" si="44"/>
        <v/>
      </c>
      <c r="V267" s="10" t="str">
        <f>IF($B267="","",IF($B267="01水果",IFERROR(INDEX(对接源_01水果!$H$5:$H$507,MATCH(ROW()-3,对接源_01水果!$Q$5:$Q$507,0)),""),IFERROR(INDEX(对接源_02物料!$H$5:$H$460,MATCH(ROW()-3-N(对接源_01水果!$T$1),对接源_02物料!$Q$5:$Q$460,0)),"")))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8" ht="18" customHeight="1" spans="1:22">
      <c r="A268" s="10">
        <v>265</v>
      </c>
      <c r="B268" s="26" t="str">
        <f>IF(ROW()-3&lt;=N(对接源_01水果!$T$1),"01水果",IF(ROW()-3&lt;=N(对接源_01水果!$T$1)+N(对接源_02物料!$T$1),"02物料",""))</f>
        <v/>
      </c>
      <c r="C268" s="125" t="str">
        <f>IF($B268="","",IF($B268="01水果",IFERROR(INDEX(对接源_01水果!$B$5:$B$507,MATCH(ROW()-3,对接源_01水果!$Q$5:$Q$507,0)),""),IFERROR(INDEX(对接源_02物料!$B$5:$B$460,MATCH(ROW()-3-N(对接源_01水果!$T$1),对接源_02物料!$Q$5:$Q$460,0)),"")))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8" s="26" t="str">
        <f>IF($B268="","",IF($B268="01水果",IFERROR(INDEX(对接源_01水果!$C$5:$C$507,MATCH(ROW()-3,对接源_01水果!$Q$5:$Q$507,0)),""),IFERROR(INDEX(对接源_02物料!$C$5:$C$460,MATCH(ROW()-3-N(对接源_01水果!$T$1),对接源_02物料!$Q$5:$Q$460,0)),"")))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8" s="126" t="str">
        <f>IF($B268="","",IF($B268="01水果",IFERROR(INDEX(对接源_01水果!$D$5:$D$507,MATCH(ROW()-3,对接源_01水果!$Q$5:$Q$507,0)),""),IFERROR(INDEX(对接源_02物料!$D$5:$D$460,MATCH(ROW()-3-N(对接源_01水果!$T$1),对接源_02物料!$Q$5:$Q$460,0)),"")))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8" s="26" t="str">
        <f>IF($B268="","",IF($B268="01水果",IFERROR(INDEX(对接源_01水果!$E$5:$E$507,MATCH(ROW()-3,对接源_01水果!$Q$5:$Q$507,0)),""),IFERROR(INDEX(对接源_02物料!$E$5:$E$460,MATCH(ROW()-3-N(对接源_01水果!$T$1),对接源_02物料!$Q$5:$Q$460,0)),"")))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8" s="27" t="str">
        <f>IF($B268="","",IF($B268="01水果",IFERROR(INDEX(对接源_01水果!$F$5:$F$507,MATCH(ROW()-3,对接源_01水果!$Q$5:$Q$507,0)),""),IFERROR(INDEX(对接源_02物料!$F$5:$F$460,MATCH(ROW()-3-N(对接源_01水果!$T$1),对接源_02物料!$Q$5:$Q$460,0)),"")))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8" s="27" t="str">
        <f>IF($B268="","",IF($B268="01水果",IFERROR(INDEX(对接源_01水果!$G$5:$G$507,MATCH(ROW()-3,对接源_01水果!$Q$5:$Q$507,0)),""),IFERROR(INDEX(对接源_02物料!$G$5:$G$460,MATCH(ROW()-3-N(对接源_01水果!$T$1),对接源_02物料!$Q$5:$Q$460,0)),"")))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8" s="26" t="str">
        <f>IFERROR(INDEX(收入成本映射!$C$4:$C$34,MATCH($D268,收入成本映射!$B$4:$B$34,0)),"不记账")</f>
        <v>不记账</v>
      </c>
      <c r="J268" s="26" t="str">
        <f t="shared" si="36"/>
        <v/>
      </c>
      <c r="K268" s="27">
        <f t="shared" si="37"/>
        <v>0</v>
      </c>
      <c r="L268" s="27">
        <v>0</v>
      </c>
      <c r="M268" s="26" t="str">
        <f>IF(OR($I268="不记账",ROUND(N($G268),2)=0),"",IFERROR(INDEX(收入成本映射!$E$4:$E$34,MATCH($D268,收入成本映射!$B$4:$B$34,0)),""))</f>
        <v/>
      </c>
      <c r="N268" s="27" t="str">
        <f t="shared" si="38"/>
        <v/>
      </c>
      <c r="O268" s="27" t="str">
        <f t="shared" si="39"/>
        <v/>
      </c>
      <c r="P268" s="26" t="str">
        <f>IF($M268="","",IFERROR(INDEX(收入成本映射!$F$4:$F$34,MATCH($D268,收入成本映射!$B$4:$B$34,0)),""))</f>
        <v/>
      </c>
      <c r="Q268" s="27" t="str">
        <f t="shared" si="40"/>
        <v/>
      </c>
      <c r="R268" s="27" t="str">
        <f t="shared" si="41"/>
        <v/>
      </c>
      <c r="S268" s="26" t="str">
        <f t="shared" si="42"/>
        <v/>
      </c>
      <c r="T268" s="27" t="str">
        <f t="shared" si="43"/>
        <v/>
      </c>
      <c r="U268" s="27" t="str">
        <f t="shared" si="44"/>
        <v/>
      </c>
      <c r="V268" s="10" t="str">
        <f>IF($B268="","",IF($B268="01水果",IFERROR(INDEX(对接源_01水果!$H$5:$H$507,MATCH(ROW()-3,对接源_01水果!$Q$5:$Q$507,0)),""),IFERROR(INDEX(对接源_02物料!$H$5:$H$460,MATCH(ROW()-3-N(对接源_01水果!$T$1),对接源_02物料!$Q$5:$Q$460,0)),"")))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9" ht="18" customHeight="1" spans="1:22">
      <c r="A269" s="10">
        <v>266</v>
      </c>
      <c r="B269" s="26" t="str">
        <f>IF(ROW()-3&lt;=N(对接源_01水果!$T$1),"01水果",IF(ROW()-3&lt;=N(对接源_01水果!$T$1)+N(对接源_02物料!$T$1),"02物料",""))</f>
        <v/>
      </c>
      <c r="C269" s="125" t="str">
        <f>IF($B269="","",IF($B269="01水果",IFERROR(INDEX(对接源_01水果!$B$5:$B$507,MATCH(ROW()-3,对接源_01水果!$Q$5:$Q$507,0)),""),IFERROR(INDEX(对接源_02物料!$B$5:$B$460,MATCH(ROW()-3-N(对接源_01水果!$T$1),对接源_02物料!$Q$5:$Q$460,0)),"")))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9" s="26" t="str">
        <f>IF($B269="","",IF($B269="01水果",IFERROR(INDEX(对接源_01水果!$C$5:$C$507,MATCH(ROW()-3,对接源_01水果!$Q$5:$Q$507,0)),""),IFERROR(INDEX(对接源_02物料!$C$5:$C$460,MATCH(ROW()-3-N(对接源_01水果!$T$1),对接源_02物料!$Q$5:$Q$460,0)),"")))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9" s="126" t="str">
        <f>IF($B269="","",IF($B269="01水果",IFERROR(INDEX(对接源_01水果!$D$5:$D$507,MATCH(ROW()-3,对接源_01水果!$Q$5:$Q$507,0)),""),IFERROR(INDEX(对接源_02物料!$D$5:$D$460,MATCH(ROW()-3-N(对接源_01水果!$T$1),对接源_02物料!$Q$5:$Q$460,0)),"")))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9" s="26" t="str">
        <f>IF($B269="","",IF($B269="01水果",IFERROR(INDEX(对接源_01水果!$E$5:$E$507,MATCH(ROW()-3,对接源_01水果!$Q$5:$Q$507,0)),""),IFERROR(INDEX(对接源_02物料!$E$5:$E$460,MATCH(ROW()-3-N(对接源_01水果!$T$1),对接源_02物料!$Q$5:$Q$460,0)),"")))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9" s="27" t="str">
        <f>IF($B269="","",IF($B269="01水果",IFERROR(INDEX(对接源_01水果!$F$5:$F$507,MATCH(ROW()-3,对接源_01水果!$Q$5:$Q$507,0)),""),IFERROR(INDEX(对接源_02物料!$F$5:$F$460,MATCH(ROW()-3-N(对接源_01水果!$T$1),对接源_02物料!$Q$5:$Q$460,0)),"")))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9" s="27" t="str">
        <f>IF($B269="","",IF($B269="01水果",IFERROR(INDEX(对接源_01水果!$G$5:$G$507,MATCH(ROW()-3,对接源_01水果!$Q$5:$Q$507,0)),""),IFERROR(INDEX(对接源_02物料!$G$5:$G$460,MATCH(ROW()-3-N(对接源_01水果!$T$1),对接源_02物料!$Q$5:$Q$460,0)),"")))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9" s="26" t="str">
        <f>IFERROR(INDEX(收入成本映射!$C$4:$C$34,MATCH($D269,收入成本映射!$B$4:$B$34,0)),"不记账")</f>
        <v>不记账</v>
      </c>
      <c r="J269" s="26" t="str">
        <f t="shared" si="36"/>
        <v/>
      </c>
      <c r="K269" s="27">
        <f t="shared" si="37"/>
        <v>0</v>
      </c>
      <c r="L269" s="27">
        <v>0</v>
      </c>
      <c r="M269" s="26" t="str">
        <f>IF(OR($I269="不记账",ROUND(N($G269),2)=0),"",IFERROR(INDEX(收入成本映射!$E$4:$E$34,MATCH($D269,收入成本映射!$B$4:$B$34,0)),""))</f>
        <v/>
      </c>
      <c r="N269" s="27" t="str">
        <f t="shared" si="38"/>
        <v/>
      </c>
      <c r="O269" s="27" t="str">
        <f t="shared" si="39"/>
        <v/>
      </c>
      <c r="P269" s="26" t="str">
        <f>IF($M269="","",IFERROR(INDEX(收入成本映射!$F$4:$F$34,MATCH($D269,收入成本映射!$B$4:$B$34,0)),""))</f>
        <v/>
      </c>
      <c r="Q269" s="27" t="str">
        <f t="shared" si="40"/>
        <v/>
      </c>
      <c r="R269" s="27" t="str">
        <f t="shared" si="41"/>
        <v/>
      </c>
      <c r="S269" s="26" t="str">
        <f t="shared" si="42"/>
        <v/>
      </c>
      <c r="T269" s="27" t="str">
        <f t="shared" si="43"/>
        <v/>
      </c>
      <c r="U269" s="27" t="str">
        <f t="shared" si="44"/>
        <v/>
      </c>
      <c r="V269" s="10" t="str">
        <f>IF($B269="","",IF($B269="01水果",IFERROR(INDEX(对接源_01水果!$H$5:$H$507,MATCH(ROW()-3,对接源_01水果!$Q$5:$Q$507,0)),""),IFERROR(INDEX(对接源_02物料!$H$5:$H$460,MATCH(ROW()-3-N(对接源_01水果!$T$1),对接源_02物料!$Q$5:$Q$460,0)),"")))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0" ht="18" customHeight="1" spans="1:22">
      <c r="A270" s="10">
        <v>267</v>
      </c>
      <c r="B270" s="26" t="str">
        <f>IF(ROW()-3&lt;=N(对接源_01水果!$T$1),"01水果",IF(ROW()-3&lt;=N(对接源_01水果!$T$1)+N(对接源_02物料!$T$1),"02物料",""))</f>
        <v/>
      </c>
      <c r="C270" s="125" t="str">
        <f>IF($B270="","",IF($B270="01水果",IFERROR(INDEX(对接源_01水果!$B$5:$B$507,MATCH(ROW()-3,对接源_01水果!$Q$5:$Q$507,0)),""),IFERROR(INDEX(对接源_02物料!$B$5:$B$460,MATCH(ROW()-3-N(对接源_01水果!$T$1),对接源_02物料!$Q$5:$Q$460,0)),"")))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0" s="26" t="str">
        <f>IF($B270="","",IF($B270="01水果",IFERROR(INDEX(对接源_01水果!$C$5:$C$507,MATCH(ROW()-3,对接源_01水果!$Q$5:$Q$507,0)),""),IFERROR(INDEX(对接源_02物料!$C$5:$C$460,MATCH(ROW()-3-N(对接源_01水果!$T$1),对接源_02物料!$Q$5:$Q$460,0)),"")))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0" s="126" t="str">
        <f>IF($B270="","",IF($B270="01水果",IFERROR(INDEX(对接源_01水果!$D$5:$D$507,MATCH(ROW()-3,对接源_01水果!$Q$5:$Q$507,0)),""),IFERROR(INDEX(对接源_02物料!$D$5:$D$460,MATCH(ROW()-3-N(对接源_01水果!$T$1),对接源_02物料!$Q$5:$Q$460,0)),"")))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0" s="26" t="str">
        <f>IF($B270="","",IF($B270="01水果",IFERROR(INDEX(对接源_01水果!$E$5:$E$507,MATCH(ROW()-3,对接源_01水果!$Q$5:$Q$507,0)),""),IFERROR(INDEX(对接源_02物料!$E$5:$E$460,MATCH(ROW()-3-N(对接源_01水果!$T$1),对接源_02物料!$Q$5:$Q$460,0)),"")))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0" s="27" t="str">
        <f>IF($B270="","",IF($B270="01水果",IFERROR(INDEX(对接源_01水果!$F$5:$F$507,MATCH(ROW()-3,对接源_01水果!$Q$5:$Q$507,0)),""),IFERROR(INDEX(对接源_02物料!$F$5:$F$460,MATCH(ROW()-3-N(对接源_01水果!$T$1),对接源_02物料!$Q$5:$Q$460,0)),"")))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0" s="27" t="str">
        <f>IF($B270="","",IF($B270="01水果",IFERROR(INDEX(对接源_01水果!$G$5:$G$507,MATCH(ROW()-3,对接源_01水果!$Q$5:$Q$507,0)),""),IFERROR(INDEX(对接源_02物料!$G$5:$G$460,MATCH(ROW()-3-N(对接源_01水果!$T$1),对接源_02物料!$Q$5:$Q$460,0)),"")))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0" s="26" t="str">
        <f>IFERROR(INDEX(收入成本映射!$C$4:$C$34,MATCH($D270,收入成本映射!$B$4:$B$34,0)),"不记账")</f>
        <v>不记账</v>
      </c>
      <c r="J270" s="26" t="str">
        <f t="shared" si="36"/>
        <v/>
      </c>
      <c r="K270" s="27">
        <f t="shared" si="37"/>
        <v>0</v>
      </c>
      <c r="L270" s="27">
        <v>0</v>
      </c>
      <c r="M270" s="26" t="str">
        <f>IF(OR($I270="不记账",ROUND(N($G270),2)=0),"",IFERROR(INDEX(收入成本映射!$E$4:$E$34,MATCH($D270,收入成本映射!$B$4:$B$34,0)),""))</f>
        <v/>
      </c>
      <c r="N270" s="27" t="str">
        <f t="shared" si="38"/>
        <v/>
      </c>
      <c r="O270" s="27" t="str">
        <f t="shared" si="39"/>
        <v/>
      </c>
      <c r="P270" s="26" t="str">
        <f>IF($M270="","",IFERROR(INDEX(收入成本映射!$F$4:$F$34,MATCH($D270,收入成本映射!$B$4:$B$34,0)),""))</f>
        <v/>
      </c>
      <c r="Q270" s="27" t="str">
        <f t="shared" si="40"/>
        <v/>
      </c>
      <c r="R270" s="27" t="str">
        <f t="shared" si="41"/>
        <v/>
      </c>
      <c r="S270" s="26" t="str">
        <f t="shared" si="42"/>
        <v/>
      </c>
      <c r="T270" s="27" t="str">
        <f t="shared" si="43"/>
        <v/>
      </c>
      <c r="U270" s="27" t="str">
        <f t="shared" si="44"/>
        <v/>
      </c>
      <c r="V270" s="10" t="str">
        <f>IF($B270="","",IF($B270="01水果",IFERROR(INDEX(对接源_01水果!$H$5:$H$507,MATCH(ROW()-3,对接源_01水果!$Q$5:$Q$507,0)),""),IFERROR(INDEX(对接源_02物料!$H$5:$H$460,MATCH(ROW()-3-N(对接源_01水果!$T$1),对接源_02物料!$Q$5:$Q$460,0)),"")))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1" ht="18" customHeight="1" spans="1:22">
      <c r="A271" s="10">
        <v>268</v>
      </c>
      <c r="B271" s="26" t="str">
        <f>IF(ROW()-3&lt;=N(对接源_01水果!$T$1),"01水果",IF(ROW()-3&lt;=N(对接源_01水果!$T$1)+N(对接源_02物料!$T$1),"02物料",""))</f>
        <v/>
      </c>
      <c r="C271" s="125" t="str">
        <f>IF($B271="","",IF($B271="01水果",IFERROR(INDEX(对接源_01水果!$B$5:$B$507,MATCH(ROW()-3,对接源_01水果!$Q$5:$Q$507,0)),""),IFERROR(INDEX(对接源_02物料!$B$5:$B$460,MATCH(ROW()-3-N(对接源_01水果!$T$1),对接源_02物料!$Q$5:$Q$460,0)),"")))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1" s="26" t="str">
        <f>IF($B271="","",IF($B271="01水果",IFERROR(INDEX(对接源_01水果!$C$5:$C$507,MATCH(ROW()-3,对接源_01水果!$Q$5:$Q$507,0)),""),IFERROR(INDEX(对接源_02物料!$C$5:$C$460,MATCH(ROW()-3-N(对接源_01水果!$T$1),对接源_02物料!$Q$5:$Q$460,0)),"")))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1" s="126" t="str">
        <f>IF($B271="","",IF($B271="01水果",IFERROR(INDEX(对接源_01水果!$D$5:$D$507,MATCH(ROW()-3,对接源_01水果!$Q$5:$Q$507,0)),""),IFERROR(INDEX(对接源_02物料!$D$5:$D$460,MATCH(ROW()-3-N(对接源_01水果!$T$1),对接源_02物料!$Q$5:$Q$460,0)),"")))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1" s="26" t="str">
        <f>IF($B271="","",IF($B271="01水果",IFERROR(INDEX(对接源_01水果!$E$5:$E$507,MATCH(ROW()-3,对接源_01水果!$Q$5:$Q$507,0)),""),IFERROR(INDEX(对接源_02物料!$E$5:$E$460,MATCH(ROW()-3-N(对接源_01水果!$T$1),对接源_02物料!$Q$5:$Q$460,0)),"")))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1" s="27" t="str">
        <f>IF($B271="","",IF($B271="01水果",IFERROR(INDEX(对接源_01水果!$F$5:$F$507,MATCH(ROW()-3,对接源_01水果!$Q$5:$Q$507,0)),""),IFERROR(INDEX(对接源_02物料!$F$5:$F$460,MATCH(ROW()-3-N(对接源_01水果!$T$1),对接源_02物料!$Q$5:$Q$460,0)),"")))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1" s="27" t="str">
        <f>IF($B271="","",IF($B271="01水果",IFERROR(INDEX(对接源_01水果!$G$5:$G$507,MATCH(ROW()-3,对接源_01水果!$Q$5:$Q$507,0)),""),IFERROR(INDEX(对接源_02物料!$G$5:$G$460,MATCH(ROW()-3-N(对接源_01水果!$T$1),对接源_02物料!$Q$5:$Q$460,0)),"")))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1" s="26" t="str">
        <f>IFERROR(INDEX(收入成本映射!$C$4:$C$34,MATCH($D271,收入成本映射!$B$4:$B$34,0)),"不记账")</f>
        <v>不记账</v>
      </c>
      <c r="J271" s="26" t="str">
        <f t="shared" si="36"/>
        <v/>
      </c>
      <c r="K271" s="27">
        <f t="shared" si="37"/>
        <v>0</v>
      </c>
      <c r="L271" s="27">
        <v>0</v>
      </c>
      <c r="M271" s="26" t="str">
        <f>IF(OR($I271="不记账",ROUND(N($G271),2)=0),"",IFERROR(INDEX(收入成本映射!$E$4:$E$34,MATCH($D271,收入成本映射!$B$4:$B$34,0)),""))</f>
        <v/>
      </c>
      <c r="N271" s="27" t="str">
        <f t="shared" si="38"/>
        <v/>
      </c>
      <c r="O271" s="27" t="str">
        <f t="shared" si="39"/>
        <v/>
      </c>
      <c r="P271" s="26" t="str">
        <f>IF($M271="","",IFERROR(INDEX(收入成本映射!$F$4:$F$34,MATCH($D271,收入成本映射!$B$4:$B$34,0)),""))</f>
        <v/>
      </c>
      <c r="Q271" s="27" t="str">
        <f t="shared" si="40"/>
        <v/>
      </c>
      <c r="R271" s="27" t="str">
        <f t="shared" si="41"/>
        <v/>
      </c>
      <c r="S271" s="26" t="str">
        <f t="shared" si="42"/>
        <v/>
      </c>
      <c r="T271" s="27" t="str">
        <f t="shared" si="43"/>
        <v/>
      </c>
      <c r="U271" s="27" t="str">
        <f t="shared" si="44"/>
        <v/>
      </c>
      <c r="V271" s="10" t="str">
        <f>IF($B271="","",IF($B271="01水果",IFERROR(INDEX(对接源_01水果!$H$5:$H$507,MATCH(ROW()-3,对接源_01水果!$Q$5:$Q$507,0)),""),IFERROR(INDEX(对接源_02物料!$H$5:$H$460,MATCH(ROW()-3-N(对接源_01水果!$T$1),对接源_02物料!$Q$5:$Q$460,0)),"")))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2" ht="18" customHeight="1" spans="1:22">
      <c r="A272" s="10">
        <v>269</v>
      </c>
      <c r="B272" s="26" t="str">
        <f>IF(ROW()-3&lt;=N(对接源_01水果!$T$1),"01水果",IF(ROW()-3&lt;=N(对接源_01水果!$T$1)+N(对接源_02物料!$T$1),"02物料",""))</f>
        <v/>
      </c>
      <c r="C272" s="125" t="str">
        <f>IF($B272="","",IF($B272="01水果",IFERROR(INDEX(对接源_01水果!$B$5:$B$507,MATCH(ROW()-3,对接源_01水果!$Q$5:$Q$507,0)),""),IFERROR(INDEX(对接源_02物料!$B$5:$B$460,MATCH(ROW()-3-N(对接源_01水果!$T$1),对接源_02物料!$Q$5:$Q$460,0)),"")))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2" s="26" t="str">
        <f>IF($B272="","",IF($B272="01水果",IFERROR(INDEX(对接源_01水果!$C$5:$C$507,MATCH(ROW()-3,对接源_01水果!$Q$5:$Q$507,0)),""),IFERROR(INDEX(对接源_02物料!$C$5:$C$460,MATCH(ROW()-3-N(对接源_01水果!$T$1),对接源_02物料!$Q$5:$Q$460,0)),"")))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2" s="126" t="str">
        <f>IF($B272="","",IF($B272="01水果",IFERROR(INDEX(对接源_01水果!$D$5:$D$507,MATCH(ROW()-3,对接源_01水果!$Q$5:$Q$507,0)),""),IFERROR(INDEX(对接源_02物料!$D$5:$D$460,MATCH(ROW()-3-N(对接源_01水果!$T$1),对接源_02物料!$Q$5:$Q$460,0)),"")))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2" s="26" t="str">
        <f>IF($B272="","",IF($B272="01水果",IFERROR(INDEX(对接源_01水果!$E$5:$E$507,MATCH(ROW()-3,对接源_01水果!$Q$5:$Q$507,0)),""),IFERROR(INDEX(对接源_02物料!$E$5:$E$460,MATCH(ROW()-3-N(对接源_01水果!$T$1),对接源_02物料!$Q$5:$Q$460,0)),"")))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2" s="27" t="str">
        <f>IF($B272="","",IF($B272="01水果",IFERROR(INDEX(对接源_01水果!$F$5:$F$507,MATCH(ROW()-3,对接源_01水果!$Q$5:$Q$507,0)),""),IFERROR(INDEX(对接源_02物料!$F$5:$F$460,MATCH(ROW()-3-N(对接源_01水果!$T$1),对接源_02物料!$Q$5:$Q$460,0)),"")))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2" s="27" t="str">
        <f>IF($B272="","",IF($B272="01水果",IFERROR(INDEX(对接源_01水果!$G$5:$G$507,MATCH(ROW()-3,对接源_01水果!$Q$5:$Q$507,0)),""),IFERROR(INDEX(对接源_02物料!$G$5:$G$460,MATCH(ROW()-3-N(对接源_01水果!$T$1),对接源_02物料!$Q$5:$Q$460,0)),"")))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2" s="26" t="str">
        <f>IFERROR(INDEX(收入成本映射!$C$4:$C$34,MATCH($D272,收入成本映射!$B$4:$B$34,0)),"不记账")</f>
        <v>不记账</v>
      </c>
      <c r="J272" s="26" t="str">
        <f t="shared" si="36"/>
        <v/>
      </c>
      <c r="K272" s="27">
        <f t="shared" si="37"/>
        <v>0</v>
      </c>
      <c r="L272" s="27">
        <v>0</v>
      </c>
      <c r="M272" s="26" t="str">
        <f>IF(OR($I272="不记账",ROUND(N($G272),2)=0),"",IFERROR(INDEX(收入成本映射!$E$4:$E$34,MATCH($D272,收入成本映射!$B$4:$B$34,0)),""))</f>
        <v/>
      </c>
      <c r="N272" s="27" t="str">
        <f t="shared" si="38"/>
        <v/>
      </c>
      <c r="O272" s="27" t="str">
        <f t="shared" si="39"/>
        <v/>
      </c>
      <c r="P272" s="26" t="str">
        <f>IF($M272="","",IFERROR(INDEX(收入成本映射!$F$4:$F$34,MATCH($D272,收入成本映射!$B$4:$B$34,0)),""))</f>
        <v/>
      </c>
      <c r="Q272" s="27" t="str">
        <f t="shared" si="40"/>
        <v/>
      </c>
      <c r="R272" s="27" t="str">
        <f t="shared" si="41"/>
        <v/>
      </c>
      <c r="S272" s="26" t="str">
        <f t="shared" si="42"/>
        <v/>
      </c>
      <c r="T272" s="27" t="str">
        <f t="shared" si="43"/>
        <v/>
      </c>
      <c r="U272" s="27" t="str">
        <f t="shared" si="44"/>
        <v/>
      </c>
      <c r="V272" s="10" t="str">
        <f>IF($B272="","",IF($B272="01水果",IFERROR(INDEX(对接源_01水果!$H$5:$H$507,MATCH(ROW()-3,对接源_01水果!$Q$5:$Q$507,0)),""),IFERROR(INDEX(对接源_02物料!$H$5:$H$460,MATCH(ROW()-3-N(对接源_01水果!$T$1),对接源_02物料!$Q$5:$Q$460,0)),"")))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3" ht="18" customHeight="1" spans="1:22">
      <c r="A273" s="10">
        <v>270</v>
      </c>
      <c r="B273" s="26" t="str">
        <f>IF(ROW()-3&lt;=N(对接源_01水果!$T$1),"01水果",IF(ROW()-3&lt;=N(对接源_01水果!$T$1)+N(对接源_02物料!$T$1),"02物料",""))</f>
        <v/>
      </c>
      <c r="C273" s="125" t="str">
        <f>IF($B273="","",IF($B273="01水果",IFERROR(INDEX(对接源_01水果!$B$5:$B$507,MATCH(ROW()-3,对接源_01水果!$Q$5:$Q$507,0)),""),IFERROR(INDEX(对接源_02物料!$B$5:$B$460,MATCH(ROW()-3-N(对接源_01水果!$T$1),对接源_02物料!$Q$5:$Q$460,0)),"")))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3" s="26" t="str">
        <f>IF($B273="","",IF($B273="01水果",IFERROR(INDEX(对接源_01水果!$C$5:$C$507,MATCH(ROW()-3,对接源_01水果!$Q$5:$Q$507,0)),""),IFERROR(INDEX(对接源_02物料!$C$5:$C$460,MATCH(ROW()-3-N(对接源_01水果!$T$1),对接源_02物料!$Q$5:$Q$460,0)),"")))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3" s="126" t="str">
        <f>IF($B273="","",IF($B273="01水果",IFERROR(INDEX(对接源_01水果!$D$5:$D$507,MATCH(ROW()-3,对接源_01水果!$Q$5:$Q$507,0)),""),IFERROR(INDEX(对接源_02物料!$D$5:$D$460,MATCH(ROW()-3-N(对接源_01水果!$T$1),对接源_02物料!$Q$5:$Q$460,0)),"")))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3" s="26" t="str">
        <f>IF($B273="","",IF($B273="01水果",IFERROR(INDEX(对接源_01水果!$E$5:$E$507,MATCH(ROW()-3,对接源_01水果!$Q$5:$Q$507,0)),""),IFERROR(INDEX(对接源_02物料!$E$5:$E$460,MATCH(ROW()-3-N(对接源_01水果!$T$1),对接源_02物料!$Q$5:$Q$460,0)),"")))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3" s="27" t="str">
        <f>IF($B273="","",IF($B273="01水果",IFERROR(INDEX(对接源_01水果!$F$5:$F$507,MATCH(ROW()-3,对接源_01水果!$Q$5:$Q$507,0)),""),IFERROR(INDEX(对接源_02物料!$F$5:$F$460,MATCH(ROW()-3-N(对接源_01水果!$T$1),对接源_02物料!$Q$5:$Q$460,0)),"")))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3" s="27" t="str">
        <f>IF($B273="","",IF($B273="01水果",IFERROR(INDEX(对接源_01水果!$G$5:$G$507,MATCH(ROW()-3,对接源_01水果!$Q$5:$Q$507,0)),""),IFERROR(INDEX(对接源_02物料!$G$5:$G$460,MATCH(ROW()-3-N(对接源_01水果!$T$1),对接源_02物料!$Q$5:$Q$460,0)),"")))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3" s="26" t="str">
        <f>IFERROR(INDEX(收入成本映射!$C$4:$C$34,MATCH($D273,收入成本映射!$B$4:$B$34,0)),"不记账")</f>
        <v>不记账</v>
      </c>
      <c r="J273" s="26" t="str">
        <f t="shared" si="36"/>
        <v/>
      </c>
      <c r="K273" s="27">
        <f t="shared" si="37"/>
        <v>0</v>
      </c>
      <c r="L273" s="27">
        <v>0</v>
      </c>
      <c r="M273" s="26" t="str">
        <f>IF(OR($I273="不记账",ROUND(N($G273),2)=0),"",IFERROR(INDEX(收入成本映射!$E$4:$E$34,MATCH($D273,收入成本映射!$B$4:$B$34,0)),""))</f>
        <v/>
      </c>
      <c r="N273" s="27" t="str">
        <f t="shared" si="38"/>
        <v/>
      </c>
      <c r="O273" s="27" t="str">
        <f t="shared" si="39"/>
        <v/>
      </c>
      <c r="P273" s="26" t="str">
        <f>IF($M273="","",IFERROR(INDEX(收入成本映射!$F$4:$F$34,MATCH($D273,收入成本映射!$B$4:$B$34,0)),""))</f>
        <v/>
      </c>
      <c r="Q273" s="27" t="str">
        <f t="shared" si="40"/>
        <v/>
      </c>
      <c r="R273" s="27" t="str">
        <f t="shared" si="41"/>
        <v/>
      </c>
      <c r="S273" s="26" t="str">
        <f t="shared" si="42"/>
        <v/>
      </c>
      <c r="T273" s="27" t="str">
        <f t="shared" si="43"/>
        <v/>
      </c>
      <c r="U273" s="27" t="str">
        <f t="shared" si="44"/>
        <v/>
      </c>
      <c r="V273" s="10" t="str">
        <f>IF($B273="","",IF($B273="01水果",IFERROR(INDEX(对接源_01水果!$H$5:$H$507,MATCH(ROW()-3,对接源_01水果!$Q$5:$Q$507,0)),""),IFERROR(INDEX(对接源_02物料!$H$5:$H$460,MATCH(ROW()-3-N(对接源_01水果!$T$1),对接源_02物料!$Q$5:$Q$460,0)),"")))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4" ht="18" customHeight="1" spans="1:22">
      <c r="A274" s="10">
        <v>271</v>
      </c>
      <c r="B274" s="26" t="str">
        <f>IF(ROW()-3&lt;=N(对接源_01水果!$T$1),"01水果",IF(ROW()-3&lt;=N(对接源_01水果!$T$1)+N(对接源_02物料!$T$1),"02物料",""))</f>
        <v/>
      </c>
      <c r="C274" s="125" t="str">
        <f>IF($B274="","",IF($B274="01水果",IFERROR(INDEX(对接源_01水果!$B$5:$B$507,MATCH(ROW()-3,对接源_01水果!$Q$5:$Q$507,0)),""),IFERROR(INDEX(对接源_02物料!$B$5:$B$460,MATCH(ROW()-3-N(对接源_01水果!$T$1),对接源_02物料!$Q$5:$Q$460,0)),"")))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4" s="26" t="str">
        <f>IF($B274="","",IF($B274="01水果",IFERROR(INDEX(对接源_01水果!$C$5:$C$507,MATCH(ROW()-3,对接源_01水果!$Q$5:$Q$507,0)),""),IFERROR(INDEX(对接源_02物料!$C$5:$C$460,MATCH(ROW()-3-N(对接源_01水果!$T$1),对接源_02物料!$Q$5:$Q$460,0)),"")))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4" s="126" t="str">
        <f>IF($B274="","",IF($B274="01水果",IFERROR(INDEX(对接源_01水果!$D$5:$D$507,MATCH(ROW()-3,对接源_01水果!$Q$5:$Q$507,0)),""),IFERROR(INDEX(对接源_02物料!$D$5:$D$460,MATCH(ROW()-3-N(对接源_01水果!$T$1),对接源_02物料!$Q$5:$Q$460,0)),"")))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4" s="26" t="str">
        <f>IF($B274="","",IF($B274="01水果",IFERROR(INDEX(对接源_01水果!$E$5:$E$507,MATCH(ROW()-3,对接源_01水果!$Q$5:$Q$507,0)),""),IFERROR(INDEX(对接源_02物料!$E$5:$E$460,MATCH(ROW()-3-N(对接源_01水果!$T$1),对接源_02物料!$Q$5:$Q$460,0)),"")))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4" s="27" t="str">
        <f>IF($B274="","",IF($B274="01水果",IFERROR(INDEX(对接源_01水果!$F$5:$F$507,MATCH(ROW()-3,对接源_01水果!$Q$5:$Q$507,0)),""),IFERROR(INDEX(对接源_02物料!$F$5:$F$460,MATCH(ROW()-3-N(对接源_01水果!$T$1),对接源_02物料!$Q$5:$Q$460,0)),"")))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4" s="27" t="str">
        <f>IF($B274="","",IF($B274="01水果",IFERROR(INDEX(对接源_01水果!$G$5:$G$507,MATCH(ROW()-3,对接源_01水果!$Q$5:$Q$507,0)),""),IFERROR(INDEX(对接源_02物料!$G$5:$G$460,MATCH(ROW()-3-N(对接源_01水果!$T$1),对接源_02物料!$Q$5:$Q$460,0)),"")))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4" s="26" t="str">
        <f>IFERROR(INDEX(收入成本映射!$C$4:$C$34,MATCH($D274,收入成本映射!$B$4:$B$34,0)),"不记账")</f>
        <v>不记账</v>
      </c>
      <c r="J274" s="26" t="str">
        <f t="shared" si="36"/>
        <v/>
      </c>
      <c r="K274" s="27">
        <f t="shared" si="37"/>
        <v>0</v>
      </c>
      <c r="L274" s="27">
        <v>0</v>
      </c>
      <c r="M274" s="26" t="str">
        <f>IF(OR($I274="不记账",ROUND(N($G274),2)=0),"",IFERROR(INDEX(收入成本映射!$E$4:$E$34,MATCH($D274,收入成本映射!$B$4:$B$34,0)),""))</f>
        <v/>
      </c>
      <c r="N274" s="27" t="str">
        <f t="shared" si="38"/>
        <v/>
      </c>
      <c r="O274" s="27" t="str">
        <f t="shared" si="39"/>
        <v/>
      </c>
      <c r="P274" s="26" t="str">
        <f>IF($M274="","",IFERROR(INDEX(收入成本映射!$F$4:$F$34,MATCH($D274,收入成本映射!$B$4:$B$34,0)),""))</f>
        <v/>
      </c>
      <c r="Q274" s="27" t="str">
        <f t="shared" si="40"/>
        <v/>
      </c>
      <c r="R274" s="27" t="str">
        <f t="shared" si="41"/>
        <v/>
      </c>
      <c r="S274" s="26" t="str">
        <f t="shared" si="42"/>
        <v/>
      </c>
      <c r="T274" s="27" t="str">
        <f t="shared" si="43"/>
        <v/>
      </c>
      <c r="U274" s="27" t="str">
        <f t="shared" si="44"/>
        <v/>
      </c>
      <c r="V274" s="10" t="str">
        <f>IF($B274="","",IF($B274="01水果",IFERROR(INDEX(对接源_01水果!$H$5:$H$507,MATCH(ROW()-3,对接源_01水果!$Q$5:$Q$507,0)),""),IFERROR(INDEX(对接源_02物料!$H$5:$H$460,MATCH(ROW()-3-N(对接源_01水果!$T$1),对接源_02物料!$Q$5:$Q$460,0)),"")))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5" ht="18" customHeight="1" spans="1:22">
      <c r="A275" s="10">
        <v>272</v>
      </c>
      <c r="B275" s="26" t="str">
        <f>IF(ROW()-3&lt;=N(对接源_01水果!$T$1),"01水果",IF(ROW()-3&lt;=N(对接源_01水果!$T$1)+N(对接源_02物料!$T$1),"02物料",""))</f>
        <v/>
      </c>
      <c r="C275" s="125" t="str">
        <f>IF($B275="","",IF($B275="01水果",IFERROR(INDEX(对接源_01水果!$B$5:$B$507,MATCH(ROW()-3,对接源_01水果!$Q$5:$Q$507,0)),""),IFERROR(INDEX(对接源_02物料!$B$5:$B$460,MATCH(ROW()-3-N(对接源_01水果!$T$1),对接源_02物料!$Q$5:$Q$460,0)),"")))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5" s="26" t="str">
        <f>IF($B275="","",IF($B275="01水果",IFERROR(INDEX(对接源_01水果!$C$5:$C$507,MATCH(ROW()-3,对接源_01水果!$Q$5:$Q$507,0)),""),IFERROR(INDEX(对接源_02物料!$C$5:$C$460,MATCH(ROW()-3-N(对接源_01水果!$T$1),对接源_02物料!$Q$5:$Q$460,0)),"")))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5" s="126" t="str">
        <f>IF($B275="","",IF($B275="01水果",IFERROR(INDEX(对接源_01水果!$D$5:$D$507,MATCH(ROW()-3,对接源_01水果!$Q$5:$Q$507,0)),""),IFERROR(INDEX(对接源_02物料!$D$5:$D$460,MATCH(ROW()-3-N(对接源_01水果!$T$1),对接源_02物料!$Q$5:$Q$460,0)),"")))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5" s="26" t="str">
        <f>IF($B275="","",IF($B275="01水果",IFERROR(INDEX(对接源_01水果!$E$5:$E$507,MATCH(ROW()-3,对接源_01水果!$Q$5:$Q$507,0)),""),IFERROR(INDEX(对接源_02物料!$E$5:$E$460,MATCH(ROW()-3-N(对接源_01水果!$T$1),对接源_02物料!$Q$5:$Q$460,0)),"")))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5" s="27" t="str">
        <f>IF($B275="","",IF($B275="01水果",IFERROR(INDEX(对接源_01水果!$F$5:$F$507,MATCH(ROW()-3,对接源_01水果!$Q$5:$Q$507,0)),""),IFERROR(INDEX(对接源_02物料!$F$5:$F$460,MATCH(ROW()-3-N(对接源_01水果!$T$1),对接源_02物料!$Q$5:$Q$460,0)),"")))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5" s="27" t="str">
        <f>IF($B275="","",IF($B275="01水果",IFERROR(INDEX(对接源_01水果!$G$5:$G$507,MATCH(ROW()-3,对接源_01水果!$Q$5:$Q$507,0)),""),IFERROR(INDEX(对接源_02物料!$G$5:$G$460,MATCH(ROW()-3-N(对接源_01水果!$T$1),对接源_02物料!$Q$5:$Q$460,0)),"")))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5" s="26" t="str">
        <f>IFERROR(INDEX(收入成本映射!$C$4:$C$34,MATCH($D275,收入成本映射!$B$4:$B$34,0)),"不记账")</f>
        <v>不记账</v>
      </c>
      <c r="J275" s="26" t="str">
        <f t="shared" si="36"/>
        <v/>
      </c>
      <c r="K275" s="27">
        <f t="shared" si="37"/>
        <v>0</v>
      </c>
      <c r="L275" s="27">
        <v>0</v>
      </c>
      <c r="M275" s="26" t="str">
        <f>IF(OR($I275="不记账",ROUND(N($G275),2)=0),"",IFERROR(INDEX(收入成本映射!$E$4:$E$34,MATCH($D275,收入成本映射!$B$4:$B$34,0)),""))</f>
        <v/>
      </c>
      <c r="N275" s="27" t="str">
        <f t="shared" si="38"/>
        <v/>
      </c>
      <c r="O275" s="27" t="str">
        <f t="shared" si="39"/>
        <v/>
      </c>
      <c r="P275" s="26" t="str">
        <f>IF($M275="","",IFERROR(INDEX(收入成本映射!$F$4:$F$34,MATCH($D275,收入成本映射!$B$4:$B$34,0)),""))</f>
        <v/>
      </c>
      <c r="Q275" s="27" t="str">
        <f t="shared" si="40"/>
        <v/>
      </c>
      <c r="R275" s="27" t="str">
        <f t="shared" si="41"/>
        <v/>
      </c>
      <c r="S275" s="26" t="str">
        <f t="shared" si="42"/>
        <v/>
      </c>
      <c r="T275" s="27" t="str">
        <f t="shared" si="43"/>
        <v/>
      </c>
      <c r="U275" s="27" t="str">
        <f t="shared" si="44"/>
        <v/>
      </c>
      <c r="V275" s="10" t="str">
        <f>IF($B275="","",IF($B275="01水果",IFERROR(INDEX(对接源_01水果!$H$5:$H$507,MATCH(ROW()-3,对接源_01水果!$Q$5:$Q$507,0)),""),IFERROR(INDEX(对接源_02物料!$H$5:$H$460,MATCH(ROW()-3-N(对接源_01水果!$T$1),对接源_02物料!$Q$5:$Q$460,0)),"")))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6" ht="18" customHeight="1" spans="1:22">
      <c r="A276" s="10">
        <v>273</v>
      </c>
      <c r="B276" s="26" t="str">
        <f>IF(ROW()-3&lt;=N(对接源_01水果!$T$1),"01水果",IF(ROW()-3&lt;=N(对接源_01水果!$T$1)+N(对接源_02物料!$T$1),"02物料",""))</f>
        <v/>
      </c>
      <c r="C276" s="125" t="str">
        <f>IF($B276="","",IF($B276="01水果",IFERROR(INDEX(对接源_01水果!$B$5:$B$507,MATCH(ROW()-3,对接源_01水果!$Q$5:$Q$507,0)),""),IFERROR(INDEX(对接源_02物料!$B$5:$B$460,MATCH(ROW()-3-N(对接源_01水果!$T$1),对接源_02物料!$Q$5:$Q$460,0)),"")))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6" s="26" t="str">
        <f>IF($B276="","",IF($B276="01水果",IFERROR(INDEX(对接源_01水果!$C$5:$C$507,MATCH(ROW()-3,对接源_01水果!$Q$5:$Q$507,0)),""),IFERROR(INDEX(对接源_02物料!$C$5:$C$460,MATCH(ROW()-3-N(对接源_01水果!$T$1),对接源_02物料!$Q$5:$Q$460,0)),"")))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6" s="126" t="str">
        <f>IF($B276="","",IF($B276="01水果",IFERROR(INDEX(对接源_01水果!$D$5:$D$507,MATCH(ROW()-3,对接源_01水果!$Q$5:$Q$507,0)),""),IFERROR(INDEX(对接源_02物料!$D$5:$D$460,MATCH(ROW()-3-N(对接源_01水果!$T$1),对接源_02物料!$Q$5:$Q$460,0)),"")))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6" s="26" t="str">
        <f>IF($B276="","",IF($B276="01水果",IFERROR(INDEX(对接源_01水果!$E$5:$E$507,MATCH(ROW()-3,对接源_01水果!$Q$5:$Q$507,0)),""),IFERROR(INDEX(对接源_02物料!$E$5:$E$460,MATCH(ROW()-3-N(对接源_01水果!$T$1),对接源_02物料!$Q$5:$Q$460,0)),"")))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6" s="27" t="str">
        <f>IF($B276="","",IF($B276="01水果",IFERROR(INDEX(对接源_01水果!$F$5:$F$507,MATCH(ROW()-3,对接源_01水果!$Q$5:$Q$507,0)),""),IFERROR(INDEX(对接源_02物料!$F$5:$F$460,MATCH(ROW()-3-N(对接源_01水果!$T$1),对接源_02物料!$Q$5:$Q$460,0)),"")))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6" s="27" t="str">
        <f>IF($B276="","",IF($B276="01水果",IFERROR(INDEX(对接源_01水果!$G$5:$G$507,MATCH(ROW()-3,对接源_01水果!$Q$5:$Q$507,0)),""),IFERROR(INDEX(对接源_02物料!$G$5:$G$460,MATCH(ROW()-3-N(对接源_01水果!$T$1),对接源_02物料!$Q$5:$Q$460,0)),"")))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6" s="26" t="str">
        <f>IFERROR(INDEX(收入成本映射!$C$4:$C$34,MATCH($D276,收入成本映射!$B$4:$B$34,0)),"不记账")</f>
        <v>不记账</v>
      </c>
      <c r="J276" s="26" t="str">
        <f t="shared" si="36"/>
        <v/>
      </c>
      <c r="K276" s="27">
        <f t="shared" si="37"/>
        <v>0</v>
      </c>
      <c r="L276" s="27">
        <v>0</v>
      </c>
      <c r="M276" s="26" t="str">
        <f>IF(OR($I276="不记账",ROUND(N($G276),2)=0),"",IFERROR(INDEX(收入成本映射!$E$4:$E$34,MATCH($D276,收入成本映射!$B$4:$B$34,0)),""))</f>
        <v/>
      </c>
      <c r="N276" s="27" t="str">
        <f t="shared" si="38"/>
        <v/>
      </c>
      <c r="O276" s="27" t="str">
        <f t="shared" si="39"/>
        <v/>
      </c>
      <c r="P276" s="26" t="str">
        <f>IF($M276="","",IFERROR(INDEX(收入成本映射!$F$4:$F$34,MATCH($D276,收入成本映射!$B$4:$B$34,0)),""))</f>
        <v/>
      </c>
      <c r="Q276" s="27" t="str">
        <f t="shared" si="40"/>
        <v/>
      </c>
      <c r="R276" s="27" t="str">
        <f t="shared" si="41"/>
        <v/>
      </c>
      <c r="S276" s="26" t="str">
        <f t="shared" si="42"/>
        <v/>
      </c>
      <c r="T276" s="27" t="str">
        <f t="shared" si="43"/>
        <v/>
      </c>
      <c r="U276" s="27" t="str">
        <f t="shared" si="44"/>
        <v/>
      </c>
      <c r="V276" s="10" t="str">
        <f>IF($B276="","",IF($B276="01水果",IFERROR(INDEX(对接源_01水果!$H$5:$H$507,MATCH(ROW()-3,对接源_01水果!$Q$5:$Q$507,0)),""),IFERROR(INDEX(对接源_02物料!$H$5:$H$460,MATCH(ROW()-3-N(对接源_01水果!$T$1),对接源_02物料!$Q$5:$Q$460,0)),"")))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7" ht="18" customHeight="1" spans="1:22">
      <c r="A277" s="10">
        <v>274</v>
      </c>
      <c r="B277" s="26" t="str">
        <f>IF(ROW()-3&lt;=N(对接源_01水果!$T$1),"01水果",IF(ROW()-3&lt;=N(对接源_01水果!$T$1)+N(对接源_02物料!$T$1),"02物料",""))</f>
        <v/>
      </c>
      <c r="C277" s="125" t="str">
        <f>IF($B277="","",IF($B277="01水果",IFERROR(INDEX(对接源_01水果!$B$5:$B$507,MATCH(ROW()-3,对接源_01水果!$Q$5:$Q$507,0)),""),IFERROR(INDEX(对接源_02物料!$B$5:$B$460,MATCH(ROW()-3-N(对接源_01水果!$T$1),对接源_02物料!$Q$5:$Q$460,0)),"")))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7" s="26" t="str">
        <f>IF($B277="","",IF($B277="01水果",IFERROR(INDEX(对接源_01水果!$C$5:$C$507,MATCH(ROW()-3,对接源_01水果!$Q$5:$Q$507,0)),""),IFERROR(INDEX(对接源_02物料!$C$5:$C$460,MATCH(ROW()-3-N(对接源_01水果!$T$1),对接源_02物料!$Q$5:$Q$460,0)),"")))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7" s="126" t="str">
        <f>IF($B277="","",IF($B277="01水果",IFERROR(INDEX(对接源_01水果!$D$5:$D$507,MATCH(ROW()-3,对接源_01水果!$Q$5:$Q$507,0)),""),IFERROR(INDEX(对接源_02物料!$D$5:$D$460,MATCH(ROW()-3-N(对接源_01水果!$T$1),对接源_02物料!$Q$5:$Q$460,0)),"")))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7" s="26" t="str">
        <f>IF($B277="","",IF($B277="01水果",IFERROR(INDEX(对接源_01水果!$E$5:$E$507,MATCH(ROW()-3,对接源_01水果!$Q$5:$Q$507,0)),""),IFERROR(INDEX(对接源_02物料!$E$5:$E$460,MATCH(ROW()-3-N(对接源_01水果!$T$1),对接源_02物料!$Q$5:$Q$460,0)),"")))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7" s="27" t="str">
        <f>IF($B277="","",IF($B277="01水果",IFERROR(INDEX(对接源_01水果!$F$5:$F$507,MATCH(ROW()-3,对接源_01水果!$Q$5:$Q$507,0)),""),IFERROR(INDEX(对接源_02物料!$F$5:$F$460,MATCH(ROW()-3-N(对接源_01水果!$T$1),对接源_02物料!$Q$5:$Q$460,0)),"")))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7" s="27" t="str">
        <f>IF($B277="","",IF($B277="01水果",IFERROR(INDEX(对接源_01水果!$G$5:$G$507,MATCH(ROW()-3,对接源_01水果!$Q$5:$Q$507,0)),""),IFERROR(INDEX(对接源_02物料!$G$5:$G$460,MATCH(ROW()-3-N(对接源_01水果!$T$1),对接源_02物料!$Q$5:$Q$460,0)),"")))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7" s="26" t="str">
        <f>IFERROR(INDEX(收入成本映射!$C$4:$C$34,MATCH($D277,收入成本映射!$B$4:$B$34,0)),"不记账")</f>
        <v>不记账</v>
      </c>
      <c r="J277" s="26" t="str">
        <f t="shared" si="36"/>
        <v/>
      </c>
      <c r="K277" s="27">
        <f t="shared" si="37"/>
        <v>0</v>
      </c>
      <c r="L277" s="27">
        <v>0</v>
      </c>
      <c r="M277" s="26" t="str">
        <f>IF(OR($I277="不记账",ROUND(N($G277),2)=0),"",IFERROR(INDEX(收入成本映射!$E$4:$E$34,MATCH($D277,收入成本映射!$B$4:$B$34,0)),""))</f>
        <v/>
      </c>
      <c r="N277" s="27" t="str">
        <f t="shared" si="38"/>
        <v/>
      </c>
      <c r="O277" s="27" t="str">
        <f t="shared" si="39"/>
        <v/>
      </c>
      <c r="P277" s="26" t="str">
        <f>IF($M277="","",IFERROR(INDEX(收入成本映射!$F$4:$F$34,MATCH($D277,收入成本映射!$B$4:$B$34,0)),""))</f>
        <v/>
      </c>
      <c r="Q277" s="27" t="str">
        <f t="shared" si="40"/>
        <v/>
      </c>
      <c r="R277" s="27" t="str">
        <f t="shared" si="41"/>
        <v/>
      </c>
      <c r="S277" s="26" t="str">
        <f t="shared" si="42"/>
        <v/>
      </c>
      <c r="T277" s="27" t="str">
        <f t="shared" si="43"/>
        <v/>
      </c>
      <c r="U277" s="27" t="str">
        <f t="shared" si="44"/>
        <v/>
      </c>
      <c r="V277" s="10" t="str">
        <f>IF($B277="","",IF($B277="01水果",IFERROR(INDEX(对接源_01水果!$H$5:$H$507,MATCH(ROW()-3,对接源_01水果!$Q$5:$Q$507,0)),""),IFERROR(INDEX(对接源_02物料!$H$5:$H$460,MATCH(ROW()-3-N(对接源_01水果!$T$1),对接源_02物料!$Q$5:$Q$460,0)),"")))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8" ht="18" customHeight="1" spans="1:22">
      <c r="A278" s="10">
        <v>275</v>
      </c>
      <c r="B278" s="26" t="str">
        <f>IF(ROW()-3&lt;=N(对接源_01水果!$T$1),"01水果",IF(ROW()-3&lt;=N(对接源_01水果!$T$1)+N(对接源_02物料!$T$1),"02物料",""))</f>
        <v/>
      </c>
      <c r="C278" s="125" t="str">
        <f>IF($B278="","",IF($B278="01水果",IFERROR(INDEX(对接源_01水果!$B$5:$B$507,MATCH(ROW()-3,对接源_01水果!$Q$5:$Q$507,0)),""),IFERROR(INDEX(对接源_02物料!$B$5:$B$460,MATCH(ROW()-3-N(对接源_01水果!$T$1),对接源_02物料!$Q$5:$Q$460,0)),"")))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8" s="26" t="str">
        <f>IF($B278="","",IF($B278="01水果",IFERROR(INDEX(对接源_01水果!$C$5:$C$507,MATCH(ROW()-3,对接源_01水果!$Q$5:$Q$507,0)),""),IFERROR(INDEX(对接源_02物料!$C$5:$C$460,MATCH(ROW()-3-N(对接源_01水果!$T$1),对接源_02物料!$Q$5:$Q$460,0)),"")))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8" s="126" t="str">
        <f>IF($B278="","",IF($B278="01水果",IFERROR(INDEX(对接源_01水果!$D$5:$D$507,MATCH(ROW()-3,对接源_01水果!$Q$5:$Q$507,0)),""),IFERROR(INDEX(对接源_02物料!$D$5:$D$460,MATCH(ROW()-3-N(对接源_01水果!$T$1),对接源_02物料!$Q$5:$Q$460,0)),"")))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8" s="26" t="str">
        <f>IF($B278="","",IF($B278="01水果",IFERROR(INDEX(对接源_01水果!$E$5:$E$507,MATCH(ROW()-3,对接源_01水果!$Q$5:$Q$507,0)),""),IFERROR(INDEX(对接源_02物料!$E$5:$E$460,MATCH(ROW()-3-N(对接源_01水果!$T$1),对接源_02物料!$Q$5:$Q$460,0)),"")))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8" s="27" t="str">
        <f>IF($B278="","",IF($B278="01水果",IFERROR(INDEX(对接源_01水果!$F$5:$F$507,MATCH(ROW()-3,对接源_01水果!$Q$5:$Q$507,0)),""),IFERROR(INDEX(对接源_02物料!$F$5:$F$460,MATCH(ROW()-3-N(对接源_01水果!$T$1),对接源_02物料!$Q$5:$Q$460,0)),"")))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8" s="27" t="str">
        <f>IF($B278="","",IF($B278="01水果",IFERROR(INDEX(对接源_01水果!$G$5:$G$507,MATCH(ROW()-3,对接源_01水果!$Q$5:$Q$507,0)),""),IFERROR(INDEX(对接源_02物料!$G$5:$G$460,MATCH(ROW()-3-N(对接源_01水果!$T$1),对接源_02物料!$Q$5:$Q$460,0)),"")))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8" s="26" t="str">
        <f>IFERROR(INDEX(收入成本映射!$C$4:$C$34,MATCH($D278,收入成本映射!$B$4:$B$34,0)),"不记账")</f>
        <v>不记账</v>
      </c>
      <c r="J278" s="26" t="str">
        <f t="shared" si="36"/>
        <v/>
      </c>
      <c r="K278" s="27">
        <f t="shared" si="37"/>
        <v>0</v>
      </c>
      <c r="L278" s="27">
        <v>0</v>
      </c>
      <c r="M278" s="26" t="str">
        <f>IF(OR($I278="不记账",ROUND(N($G278),2)=0),"",IFERROR(INDEX(收入成本映射!$E$4:$E$34,MATCH($D278,收入成本映射!$B$4:$B$34,0)),""))</f>
        <v/>
      </c>
      <c r="N278" s="27" t="str">
        <f t="shared" si="38"/>
        <v/>
      </c>
      <c r="O278" s="27" t="str">
        <f t="shared" si="39"/>
        <v/>
      </c>
      <c r="P278" s="26" t="str">
        <f>IF($M278="","",IFERROR(INDEX(收入成本映射!$F$4:$F$34,MATCH($D278,收入成本映射!$B$4:$B$34,0)),""))</f>
        <v/>
      </c>
      <c r="Q278" s="27" t="str">
        <f t="shared" si="40"/>
        <v/>
      </c>
      <c r="R278" s="27" t="str">
        <f t="shared" si="41"/>
        <v/>
      </c>
      <c r="S278" s="26" t="str">
        <f t="shared" si="42"/>
        <v/>
      </c>
      <c r="T278" s="27" t="str">
        <f t="shared" si="43"/>
        <v/>
      </c>
      <c r="U278" s="27" t="str">
        <f t="shared" si="44"/>
        <v/>
      </c>
      <c r="V278" s="10" t="str">
        <f>IF($B278="","",IF($B278="01水果",IFERROR(INDEX(对接源_01水果!$H$5:$H$507,MATCH(ROW()-3,对接源_01水果!$Q$5:$Q$507,0)),""),IFERROR(INDEX(对接源_02物料!$H$5:$H$460,MATCH(ROW()-3-N(对接源_01水果!$T$1),对接源_02物料!$Q$5:$Q$460,0)),"")))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9" ht="18" customHeight="1" spans="1:22">
      <c r="A279" s="10">
        <v>276</v>
      </c>
      <c r="B279" s="26" t="str">
        <f>IF(ROW()-3&lt;=N(对接源_01水果!$T$1),"01水果",IF(ROW()-3&lt;=N(对接源_01水果!$T$1)+N(对接源_02物料!$T$1),"02物料",""))</f>
        <v/>
      </c>
      <c r="C279" s="125" t="str">
        <f>IF($B279="","",IF($B279="01水果",IFERROR(INDEX(对接源_01水果!$B$5:$B$507,MATCH(ROW()-3,对接源_01水果!$Q$5:$Q$507,0)),""),IFERROR(INDEX(对接源_02物料!$B$5:$B$460,MATCH(ROW()-3-N(对接源_01水果!$T$1),对接源_02物料!$Q$5:$Q$460,0)),"")))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9" s="26" t="str">
        <f>IF($B279="","",IF($B279="01水果",IFERROR(INDEX(对接源_01水果!$C$5:$C$507,MATCH(ROW()-3,对接源_01水果!$Q$5:$Q$507,0)),""),IFERROR(INDEX(对接源_02物料!$C$5:$C$460,MATCH(ROW()-3-N(对接源_01水果!$T$1),对接源_02物料!$Q$5:$Q$460,0)),"")))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9" s="126" t="str">
        <f>IF($B279="","",IF($B279="01水果",IFERROR(INDEX(对接源_01水果!$D$5:$D$507,MATCH(ROW()-3,对接源_01水果!$Q$5:$Q$507,0)),""),IFERROR(INDEX(对接源_02物料!$D$5:$D$460,MATCH(ROW()-3-N(对接源_01水果!$T$1),对接源_02物料!$Q$5:$Q$460,0)),"")))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9" s="26" t="str">
        <f>IF($B279="","",IF($B279="01水果",IFERROR(INDEX(对接源_01水果!$E$5:$E$507,MATCH(ROW()-3,对接源_01水果!$Q$5:$Q$507,0)),""),IFERROR(INDEX(对接源_02物料!$E$5:$E$460,MATCH(ROW()-3-N(对接源_01水果!$T$1),对接源_02物料!$Q$5:$Q$460,0)),"")))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9" s="27" t="str">
        <f>IF($B279="","",IF($B279="01水果",IFERROR(INDEX(对接源_01水果!$F$5:$F$507,MATCH(ROW()-3,对接源_01水果!$Q$5:$Q$507,0)),""),IFERROR(INDEX(对接源_02物料!$F$5:$F$460,MATCH(ROW()-3-N(对接源_01水果!$T$1),对接源_02物料!$Q$5:$Q$460,0)),"")))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9" s="27" t="str">
        <f>IF($B279="","",IF($B279="01水果",IFERROR(INDEX(对接源_01水果!$G$5:$G$507,MATCH(ROW()-3,对接源_01水果!$Q$5:$Q$507,0)),""),IFERROR(INDEX(对接源_02物料!$G$5:$G$460,MATCH(ROW()-3-N(对接源_01水果!$T$1),对接源_02物料!$Q$5:$Q$460,0)),"")))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9" s="26" t="str">
        <f>IFERROR(INDEX(收入成本映射!$C$4:$C$34,MATCH($D279,收入成本映射!$B$4:$B$34,0)),"不记账")</f>
        <v>不记账</v>
      </c>
      <c r="J279" s="26" t="str">
        <f t="shared" si="36"/>
        <v/>
      </c>
      <c r="K279" s="27">
        <f t="shared" si="37"/>
        <v>0</v>
      </c>
      <c r="L279" s="27">
        <v>0</v>
      </c>
      <c r="M279" s="26" t="str">
        <f>IF(OR($I279="不记账",ROUND(N($G279),2)=0),"",IFERROR(INDEX(收入成本映射!$E$4:$E$34,MATCH($D279,收入成本映射!$B$4:$B$34,0)),""))</f>
        <v/>
      </c>
      <c r="N279" s="27" t="str">
        <f t="shared" si="38"/>
        <v/>
      </c>
      <c r="O279" s="27" t="str">
        <f t="shared" si="39"/>
        <v/>
      </c>
      <c r="P279" s="26" t="str">
        <f>IF($M279="","",IFERROR(INDEX(收入成本映射!$F$4:$F$34,MATCH($D279,收入成本映射!$B$4:$B$34,0)),""))</f>
        <v/>
      </c>
      <c r="Q279" s="27" t="str">
        <f t="shared" si="40"/>
        <v/>
      </c>
      <c r="R279" s="27" t="str">
        <f t="shared" si="41"/>
        <v/>
      </c>
      <c r="S279" s="26" t="str">
        <f t="shared" si="42"/>
        <v/>
      </c>
      <c r="T279" s="27" t="str">
        <f t="shared" si="43"/>
        <v/>
      </c>
      <c r="U279" s="27" t="str">
        <f t="shared" si="44"/>
        <v/>
      </c>
      <c r="V279" s="10" t="str">
        <f>IF($B279="","",IF($B279="01水果",IFERROR(INDEX(对接源_01水果!$H$5:$H$507,MATCH(ROW()-3,对接源_01水果!$Q$5:$Q$507,0)),""),IFERROR(INDEX(对接源_02物料!$H$5:$H$460,MATCH(ROW()-3-N(对接源_01水果!$T$1),对接源_02物料!$Q$5:$Q$460,0)),"")))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0" ht="18" customHeight="1" spans="1:22">
      <c r="A280" s="10">
        <v>277</v>
      </c>
      <c r="B280" s="26" t="str">
        <f>IF(ROW()-3&lt;=N(对接源_01水果!$T$1),"01水果",IF(ROW()-3&lt;=N(对接源_01水果!$T$1)+N(对接源_02物料!$T$1),"02物料",""))</f>
        <v/>
      </c>
      <c r="C280" s="125" t="str">
        <f>IF($B280="","",IF($B280="01水果",IFERROR(INDEX(对接源_01水果!$B$5:$B$507,MATCH(ROW()-3,对接源_01水果!$Q$5:$Q$507,0)),""),IFERROR(INDEX(对接源_02物料!$B$5:$B$460,MATCH(ROW()-3-N(对接源_01水果!$T$1),对接源_02物料!$Q$5:$Q$460,0)),"")))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0" s="26" t="str">
        <f>IF($B280="","",IF($B280="01水果",IFERROR(INDEX(对接源_01水果!$C$5:$C$507,MATCH(ROW()-3,对接源_01水果!$Q$5:$Q$507,0)),""),IFERROR(INDEX(对接源_02物料!$C$5:$C$460,MATCH(ROW()-3-N(对接源_01水果!$T$1),对接源_02物料!$Q$5:$Q$460,0)),"")))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0" s="126" t="str">
        <f>IF($B280="","",IF($B280="01水果",IFERROR(INDEX(对接源_01水果!$D$5:$D$507,MATCH(ROW()-3,对接源_01水果!$Q$5:$Q$507,0)),""),IFERROR(INDEX(对接源_02物料!$D$5:$D$460,MATCH(ROW()-3-N(对接源_01水果!$T$1),对接源_02物料!$Q$5:$Q$460,0)),"")))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0" s="26" t="str">
        <f>IF($B280="","",IF($B280="01水果",IFERROR(INDEX(对接源_01水果!$E$5:$E$507,MATCH(ROW()-3,对接源_01水果!$Q$5:$Q$507,0)),""),IFERROR(INDEX(对接源_02物料!$E$5:$E$460,MATCH(ROW()-3-N(对接源_01水果!$T$1),对接源_02物料!$Q$5:$Q$460,0)),"")))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0" s="27" t="str">
        <f>IF($B280="","",IF($B280="01水果",IFERROR(INDEX(对接源_01水果!$F$5:$F$507,MATCH(ROW()-3,对接源_01水果!$Q$5:$Q$507,0)),""),IFERROR(INDEX(对接源_02物料!$F$5:$F$460,MATCH(ROW()-3-N(对接源_01水果!$T$1),对接源_02物料!$Q$5:$Q$460,0)),"")))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0" s="27" t="str">
        <f>IF($B280="","",IF($B280="01水果",IFERROR(INDEX(对接源_01水果!$G$5:$G$507,MATCH(ROW()-3,对接源_01水果!$Q$5:$Q$507,0)),""),IFERROR(INDEX(对接源_02物料!$G$5:$G$460,MATCH(ROW()-3-N(对接源_01水果!$T$1),对接源_02物料!$Q$5:$Q$460,0)),"")))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0" s="26" t="str">
        <f>IFERROR(INDEX(收入成本映射!$C$4:$C$34,MATCH($D280,收入成本映射!$B$4:$B$34,0)),"不记账")</f>
        <v>不记账</v>
      </c>
      <c r="J280" s="26" t="str">
        <f t="shared" si="36"/>
        <v/>
      </c>
      <c r="K280" s="27">
        <f t="shared" si="37"/>
        <v>0</v>
      </c>
      <c r="L280" s="27">
        <v>0</v>
      </c>
      <c r="M280" s="26" t="str">
        <f>IF(OR($I280="不记账",ROUND(N($G280),2)=0),"",IFERROR(INDEX(收入成本映射!$E$4:$E$34,MATCH($D280,收入成本映射!$B$4:$B$34,0)),""))</f>
        <v/>
      </c>
      <c r="N280" s="27" t="str">
        <f t="shared" si="38"/>
        <v/>
      </c>
      <c r="O280" s="27" t="str">
        <f t="shared" si="39"/>
        <v/>
      </c>
      <c r="P280" s="26" t="str">
        <f>IF($M280="","",IFERROR(INDEX(收入成本映射!$F$4:$F$34,MATCH($D280,收入成本映射!$B$4:$B$34,0)),""))</f>
        <v/>
      </c>
      <c r="Q280" s="27" t="str">
        <f t="shared" si="40"/>
        <v/>
      </c>
      <c r="R280" s="27" t="str">
        <f t="shared" si="41"/>
        <v/>
      </c>
      <c r="S280" s="26" t="str">
        <f t="shared" si="42"/>
        <v/>
      </c>
      <c r="T280" s="27" t="str">
        <f t="shared" si="43"/>
        <v/>
      </c>
      <c r="U280" s="27" t="str">
        <f t="shared" si="44"/>
        <v/>
      </c>
      <c r="V280" s="10" t="str">
        <f>IF($B280="","",IF($B280="01水果",IFERROR(INDEX(对接源_01水果!$H$5:$H$507,MATCH(ROW()-3,对接源_01水果!$Q$5:$Q$507,0)),""),IFERROR(INDEX(对接源_02物料!$H$5:$H$460,MATCH(ROW()-3-N(对接源_01水果!$T$1),对接源_02物料!$Q$5:$Q$460,0)),"")))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1" ht="18" customHeight="1" spans="1:22">
      <c r="A281" s="10">
        <v>278</v>
      </c>
      <c r="B281" s="26" t="str">
        <f>IF(ROW()-3&lt;=N(对接源_01水果!$T$1),"01水果",IF(ROW()-3&lt;=N(对接源_01水果!$T$1)+N(对接源_02物料!$T$1),"02物料",""))</f>
        <v/>
      </c>
      <c r="C281" s="125" t="str">
        <f>IF($B281="","",IF($B281="01水果",IFERROR(INDEX(对接源_01水果!$B$5:$B$507,MATCH(ROW()-3,对接源_01水果!$Q$5:$Q$507,0)),""),IFERROR(INDEX(对接源_02物料!$B$5:$B$460,MATCH(ROW()-3-N(对接源_01水果!$T$1),对接源_02物料!$Q$5:$Q$460,0)),"")))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1" s="26" t="str">
        <f>IF($B281="","",IF($B281="01水果",IFERROR(INDEX(对接源_01水果!$C$5:$C$507,MATCH(ROW()-3,对接源_01水果!$Q$5:$Q$507,0)),""),IFERROR(INDEX(对接源_02物料!$C$5:$C$460,MATCH(ROW()-3-N(对接源_01水果!$T$1),对接源_02物料!$Q$5:$Q$460,0)),"")))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1" s="126" t="str">
        <f>IF($B281="","",IF($B281="01水果",IFERROR(INDEX(对接源_01水果!$D$5:$D$507,MATCH(ROW()-3,对接源_01水果!$Q$5:$Q$507,0)),""),IFERROR(INDEX(对接源_02物料!$D$5:$D$460,MATCH(ROW()-3-N(对接源_01水果!$T$1),对接源_02物料!$Q$5:$Q$460,0)),"")))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1" s="26" t="str">
        <f>IF($B281="","",IF($B281="01水果",IFERROR(INDEX(对接源_01水果!$E$5:$E$507,MATCH(ROW()-3,对接源_01水果!$Q$5:$Q$507,0)),""),IFERROR(INDEX(对接源_02物料!$E$5:$E$460,MATCH(ROW()-3-N(对接源_01水果!$T$1),对接源_02物料!$Q$5:$Q$460,0)),"")))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1" s="27" t="str">
        <f>IF($B281="","",IF($B281="01水果",IFERROR(INDEX(对接源_01水果!$F$5:$F$507,MATCH(ROW()-3,对接源_01水果!$Q$5:$Q$507,0)),""),IFERROR(INDEX(对接源_02物料!$F$5:$F$460,MATCH(ROW()-3-N(对接源_01水果!$T$1),对接源_02物料!$Q$5:$Q$460,0)),"")))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1" s="27" t="str">
        <f>IF($B281="","",IF($B281="01水果",IFERROR(INDEX(对接源_01水果!$G$5:$G$507,MATCH(ROW()-3,对接源_01水果!$Q$5:$Q$507,0)),""),IFERROR(INDEX(对接源_02物料!$G$5:$G$460,MATCH(ROW()-3-N(对接源_01水果!$T$1),对接源_02物料!$Q$5:$Q$460,0)),"")))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1" s="26" t="str">
        <f>IFERROR(INDEX(收入成本映射!$C$4:$C$34,MATCH($D281,收入成本映射!$B$4:$B$34,0)),"不记账")</f>
        <v>不记账</v>
      </c>
      <c r="J281" s="26" t="str">
        <f t="shared" si="36"/>
        <v/>
      </c>
      <c r="K281" s="27">
        <f t="shared" si="37"/>
        <v>0</v>
      </c>
      <c r="L281" s="27">
        <v>0</v>
      </c>
      <c r="M281" s="26" t="str">
        <f>IF(OR($I281="不记账",ROUND(N($G281),2)=0),"",IFERROR(INDEX(收入成本映射!$E$4:$E$34,MATCH($D281,收入成本映射!$B$4:$B$34,0)),""))</f>
        <v/>
      </c>
      <c r="N281" s="27" t="str">
        <f t="shared" si="38"/>
        <v/>
      </c>
      <c r="O281" s="27" t="str">
        <f t="shared" si="39"/>
        <v/>
      </c>
      <c r="P281" s="26" t="str">
        <f>IF($M281="","",IFERROR(INDEX(收入成本映射!$F$4:$F$34,MATCH($D281,收入成本映射!$B$4:$B$34,0)),""))</f>
        <v/>
      </c>
      <c r="Q281" s="27" t="str">
        <f t="shared" si="40"/>
        <v/>
      </c>
      <c r="R281" s="27" t="str">
        <f t="shared" si="41"/>
        <v/>
      </c>
      <c r="S281" s="26" t="str">
        <f t="shared" si="42"/>
        <v/>
      </c>
      <c r="T281" s="27" t="str">
        <f t="shared" si="43"/>
        <v/>
      </c>
      <c r="U281" s="27" t="str">
        <f t="shared" si="44"/>
        <v/>
      </c>
      <c r="V281" s="10" t="str">
        <f>IF($B281="","",IF($B281="01水果",IFERROR(INDEX(对接源_01水果!$H$5:$H$507,MATCH(ROW()-3,对接源_01水果!$Q$5:$Q$507,0)),""),IFERROR(INDEX(对接源_02物料!$H$5:$H$460,MATCH(ROW()-3-N(对接源_01水果!$T$1),对接源_02物料!$Q$5:$Q$460,0)),"")))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2" ht="18" customHeight="1" spans="1:22">
      <c r="A282" s="10">
        <v>279</v>
      </c>
      <c r="B282" s="26" t="str">
        <f>IF(ROW()-3&lt;=N(对接源_01水果!$T$1),"01水果",IF(ROW()-3&lt;=N(对接源_01水果!$T$1)+N(对接源_02物料!$T$1),"02物料",""))</f>
        <v/>
      </c>
      <c r="C282" s="125" t="str">
        <f>IF($B282="","",IF($B282="01水果",IFERROR(INDEX(对接源_01水果!$B$5:$B$507,MATCH(ROW()-3,对接源_01水果!$Q$5:$Q$507,0)),""),IFERROR(INDEX(对接源_02物料!$B$5:$B$460,MATCH(ROW()-3-N(对接源_01水果!$T$1),对接源_02物料!$Q$5:$Q$460,0)),"")))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2" s="26" t="str">
        <f>IF($B282="","",IF($B282="01水果",IFERROR(INDEX(对接源_01水果!$C$5:$C$507,MATCH(ROW()-3,对接源_01水果!$Q$5:$Q$507,0)),""),IFERROR(INDEX(对接源_02物料!$C$5:$C$460,MATCH(ROW()-3-N(对接源_01水果!$T$1),对接源_02物料!$Q$5:$Q$460,0)),"")))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2" s="126" t="str">
        <f>IF($B282="","",IF($B282="01水果",IFERROR(INDEX(对接源_01水果!$D$5:$D$507,MATCH(ROW()-3,对接源_01水果!$Q$5:$Q$507,0)),""),IFERROR(INDEX(对接源_02物料!$D$5:$D$460,MATCH(ROW()-3-N(对接源_01水果!$T$1),对接源_02物料!$Q$5:$Q$460,0)),"")))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2" s="26" t="str">
        <f>IF($B282="","",IF($B282="01水果",IFERROR(INDEX(对接源_01水果!$E$5:$E$507,MATCH(ROW()-3,对接源_01水果!$Q$5:$Q$507,0)),""),IFERROR(INDEX(对接源_02物料!$E$5:$E$460,MATCH(ROW()-3-N(对接源_01水果!$T$1),对接源_02物料!$Q$5:$Q$460,0)),"")))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2" s="27" t="str">
        <f>IF($B282="","",IF($B282="01水果",IFERROR(INDEX(对接源_01水果!$F$5:$F$507,MATCH(ROW()-3,对接源_01水果!$Q$5:$Q$507,0)),""),IFERROR(INDEX(对接源_02物料!$F$5:$F$460,MATCH(ROW()-3-N(对接源_01水果!$T$1),对接源_02物料!$Q$5:$Q$460,0)),"")))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2" s="27" t="str">
        <f>IF($B282="","",IF($B282="01水果",IFERROR(INDEX(对接源_01水果!$G$5:$G$507,MATCH(ROW()-3,对接源_01水果!$Q$5:$Q$507,0)),""),IFERROR(INDEX(对接源_02物料!$G$5:$G$460,MATCH(ROW()-3-N(对接源_01水果!$T$1),对接源_02物料!$Q$5:$Q$460,0)),"")))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2" s="26" t="str">
        <f>IFERROR(INDEX(收入成本映射!$C$4:$C$34,MATCH($D282,收入成本映射!$B$4:$B$34,0)),"不记账")</f>
        <v>不记账</v>
      </c>
      <c r="J282" s="26" t="str">
        <f t="shared" si="36"/>
        <v/>
      </c>
      <c r="K282" s="27">
        <f t="shared" si="37"/>
        <v>0</v>
      </c>
      <c r="L282" s="27">
        <v>0</v>
      </c>
      <c r="M282" s="26" t="str">
        <f>IF(OR($I282="不记账",ROUND(N($G282),2)=0),"",IFERROR(INDEX(收入成本映射!$E$4:$E$34,MATCH($D282,收入成本映射!$B$4:$B$34,0)),""))</f>
        <v/>
      </c>
      <c r="N282" s="27" t="str">
        <f t="shared" si="38"/>
        <v/>
      </c>
      <c r="O282" s="27" t="str">
        <f t="shared" si="39"/>
        <v/>
      </c>
      <c r="P282" s="26" t="str">
        <f>IF($M282="","",IFERROR(INDEX(收入成本映射!$F$4:$F$34,MATCH($D282,收入成本映射!$B$4:$B$34,0)),""))</f>
        <v/>
      </c>
      <c r="Q282" s="27" t="str">
        <f t="shared" si="40"/>
        <v/>
      </c>
      <c r="R282" s="27" t="str">
        <f t="shared" si="41"/>
        <v/>
      </c>
      <c r="S282" s="26" t="str">
        <f t="shared" si="42"/>
        <v/>
      </c>
      <c r="T282" s="27" t="str">
        <f t="shared" si="43"/>
        <v/>
      </c>
      <c r="U282" s="27" t="str">
        <f t="shared" si="44"/>
        <v/>
      </c>
      <c r="V282" s="10" t="str">
        <f>IF($B282="","",IF($B282="01水果",IFERROR(INDEX(对接源_01水果!$H$5:$H$507,MATCH(ROW()-3,对接源_01水果!$Q$5:$Q$507,0)),""),IFERROR(INDEX(对接源_02物料!$H$5:$H$460,MATCH(ROW()-3-N(对接源_01水果!$T$1),对接源_02物料!$Q$5:$Q$460,0)),"")))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3" ht="18" customHeight="1" spans="1:22">
      <c r="A283" s="10">
        <v>280</v>
      </c>
      <c r="B283" s="26" t="str">
        <f>IF(ROW()-3&lt;=N(对接源_01水果!$T$1),"01水果",IF(ROW()-3&lt;=N(对接源_01水果!$T$1)+N(对接源_02物料!$T$1),"02物料",""))</f>
        <v/>
      </c>
      <c r="C283" s="125" t="str">
        <f>IF($B283="","",IF($B283="01水果",IFERROR(INDEX(对接源_01水果!$B$5:$B$507,MATCH(ROW()-3,对接源_01水果!$Q$5:$Q$507,0)),""),IFERROR(INDEX(对接源_02物料!$B$5:$B$460,MATCH(ROW()-3-N(对接源_01水果!$T$1),对接源_02物料!$Q$5:$Q$460,0)),"")))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3" s="26" t="str">
        <f>IF($B283="","",IF($B283="01水果",IFERROR(INDEX(对接源_01水果!$C$5:$C$507,MATCH(ROW()-3,对接源_01水果!$Q$5:$Q$507,0)),""),IFERROR(INDEX(对接源_02物料!$C$5:$C$460,MATCH(ROW()-3-N(对接源_01水果!$T$1),对接源_02物料!$Q$5:$Q$460,0)),"")))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3" s="126" t="str">
        <f>IF($B283="","",IF($B283="01水果",IFERROR(INDEX(对接源_01水果!$D$5:$D$507,MATCH(ROW()-3,对接源_01水果!$Q$5:$Q$507,0)),""),IFERROR(INDEX(对接源_02物料!$D$5:$D$460,MATCH(ROW()-3-N(对接源_01水果!$T$1),对接源_02物料!$Q$5:$Q$460,0)),"")))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3" s="26" t="str">
        <f>IF($B283="","",IF($B283="01水果",IFERROR(INDEX(对接源_01水果!$E$5:$E$507,MATCH(ROW()-3,对接源_01水果!$Q$5:$Q$507,0)),""),IFERROR(INDEX(对接源_02物料!$E$5:$E$460,MATCH(ROW()-3-N(对接源_01水果!$T$1),对接源_02物料!$Q$5:$Q$460,0)),"")))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3" s="27" t="str">
        <f>IF($B283="","",IF($B283="01水果",IFERROR(INDEX(对接源_01水果!$F$5:$F$507,MATCH(ROW()-3,对接源_01水果!$Q$5:$Q$507,0)),""),IFERROR(INDEX(对接源_02物料!$F$5:$F$460,MATCH(ROW()-3-N(对接源_01水果!$T$1),对接源_02物料!$Q$5:$Q$460,0)),"")))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3" s="27" t="str">
        <f>IF($B283="","",IF($B283="01水果",IFERROR(INDEX(对接源_01水果!$G$5:$G$507,MATCH(ROW()-3,对接源_01水果!$Q$5:$Q$507,0)),""),IFERROR(INDEX(对接源_02物料!$G$5:$G$460,MATCH(ROW()-3-N(对接源_01水果!$T$1),对接源_02物料!$Q$5:$Q$460,0)),"")))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3" s="26" t="str">
        <f>IFERROR(INDEX(收入成本映射!$C$4:$C$34,MATCH($D283,收入成本映射!$B$4:$B$34,0)),"不记账")</f>
        <v>不记账</v>
      </c>
      <c r="J283" s="26" t="str">
        <f t="shared" si="36"/>
        <v/>
      </c>
      <c r="K283" s="27">
        <f t="shared" si="37"/>
        <v>0</v>
      </c>
      <c r="L283" s="27">
        <v>0</v>
      </c>
      <c r="M283" s="26" t="str">
        <f>IF(OR($I283="不记账",ROUND(N($G283),2)=0),"",IFERROR(INDEX(收入成本映射!$E$4:$E$34,MATCH($D283,收入成本映射!$B$4:$B$34,0)),""))</f>
        <v/>
      </c>
      <c r="N283" s="27" t="str">
        <f t="shared" si="38"/>
        <v/>
      </c>
      <c r="O283" s="27" t="str">
        <f t="shared" si="39"/>
        <v/>
      </c>
      <c r="P283" s="26" t="str">
        <f>IF($M283="","",IFERROR(INDEX(收入成本映射!$F$4:$F$34,MATCH($D283,收入成本映射!$B$4:$B$34,0)),""))</f>
        <v/>
      </c>
      <c r="Q283" s="27" t="str">
        <f t="shared" si="40"/>
        <v/>
      </c>
      <c r="R283" s="27" t="str">
        <f t="shared" si="41"/>
        <v/>
      </c>
      <c r="S283" s="26" t="str">
        <f t="shared" si="42"/>
        <v/>
      </c>
      <c r="T283" s="27" t="str">
        <f t="shared" si="43"/>
        <v/>
      </c>
      <c r="U283" s="27" t="str">
        <f t="shared" si="44"/>
        <v/>
      </c>
      <c r="V283" s="10" t="str">
        <f>IF($B283="","",IF($B283="01水果",IFERROR(INDEX(对接源_01水果!$H$5:$H$507,MATCH(ROW()-3,对接源_01水果!$Q$5:$Q$507,0)),""),IFERROR(INDEX(对接源_02物料!$H$5:$H$460,MATCH(ROW()-3-N(对接源_01水果!$T$1),对接源_02物料!$Q$5:$Q$460,0)),"")))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4" ht="18" customHeight="1" spans="1:22">
      <c r="A284" s="10">
        <v>281</v>
      </c>
      <c r="B284" s="26" t="str">
        <f>IF(ROW()-3&lt;=N(对接源_01水果!$T$1),"01水果",IF(ROW()-3&lt;=N(对接源_01水果!$T$1)+N(对接源_02物料!$T$1),"02物料",""))</f>
        <v/>
      </c>
      <c r="C284" s="125" t="str">
        <f>IF($B284="","",IF($B284="01水果",IFERROR(INDEX(对接源_01水果!$B$5:$B$507,MATCH(ROW()-3,对接源_01水果!$Q$5:$Q$507,0)),""),IFERROR(INDEX(对接源_02物料!$B$5:$B$460,MATCH(ROW()-3-N(对接源_01水果!$T$1),对接源_02物料!$Q$5:$Q$460,0)),"")))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4" s="26" t="str">
        <f>IF($B284="","",IF($B284="01水果",IFERROR(INDEX(对接源_01水果!$C$5:$C$507,MATCH(ROW()-3,对接源_01水果!$Q$5:$Q$507,0)),""),IFERROR(INDEX(对接源_02物料!$C$5:$C$460,MATCH(ROW()-3-N(对接源_01水果!$T$1),对接源_02物料!$Q$5:$Q$460,0)),"")))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4" s="126" t="str">
        <f>IF($B284="","",IF($B284="01水果",IFERROR(INDEX(对接源_01水果!$D$5:$D$507,MATCH(ROW()-3,对接源_01水果!$Q$5:$Q$507,0)),""),IFERROR(INDEX(对接源_02物料!$D$5:$D$460,MATCH(ROW()-3-N(对接源_01水果!$T$1),对接源_02物料!$Q$5:$Q$460,0)),"")))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4" s="26" t="str">
        <f>IF($B284="","",IF($B284="01水果",IFERROR(INDEX(对接源_01水果!$E$5:$E$507,MATCH(ROW()-3,对接源_01水果!$Q$5:$Q$507,0)),""),IFERROR(INDEX(对接源_02物料!$E$5:$E$460,MATCH(ROW()-3-N(对接源_01水果!$T$1),对接源_02物料!$Q$5:$Q$460,0)),"")))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4" s="27" t="str">
        <f>IF($B284="","",IF($B284="01水果",IFERROR(INDEX(对接源_01水果!$F$5:$F$507,MATCH(ROW()-3,对接源_01水果!$Q$5:$Q$507,0)),""),IFERROR(INDEX(对接源_02物料!$F$5:$F$460,MATCH(ROW()-3-N(对接源_01水果!$T$1),对接源_02物料!$Q$5:$Q$460,0)),"")))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4" s="27" t="str">
        <f>IF($B284="","",IF($B284="01水果",IFERROR(INDEX(对接源_01水果!$G$5:$G$507,MATCH(ROW()-3,对接源_01水果!$Q$5:$Q$507,0)),""),IFERROR(INDEX(对接源_02物料!$G$5:$G$460,MATCH(ROW()-3-N(对接源_01水果!$T$1),对接源_02物料!$Q$5:$Q$460,0)),"")))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4" s="26" t="str">
        <f>IFERROR(INDEX(收入成本映射!$C$4:$C$34,MATCH($D284,收入成本映射!$B$4:$B$34,0)),"不记账")</f>
        <v>不记账</v>
      </c>
      <c r="J284" s="26" t="str">
        <f t="shared" si="36"/>
        <v/>
      </c>
      <c r="K284" s="27">
        <f t="shared" si="37"/>
        <v>0</v>
      </c>
      <c r="L284" s="27">
        <v>0</v>
      </c>
      <c r="M284" s="26" t="str">
        <f>IF(OR($I284="不记账",ROUND(N($G284),2)=0),"",IFERROR(INDEX(收入成本映射!$E$4:$E$34,MATCH($D284,收入成本映射!$B$4:$B$34,0)),""))</f>
        <v/>
      </c>
      <c r="N284" s="27" t="str">
        <f t="shared" si="38"/>
        <v/>
      </c>
      <c r="O284" s="27" t="str">
        <f t="shared" si="39"/>
        <v/>
      </c>
      <c r="P284" s="26" t="str">
        <f>IF($M284="","",IFERROR(INDEX(收入成本映射!$F$4:$F$34,MATCH($D284,收入成本映射!$B$4:$B$34,0)),""))</f>
        <v/>
      </c>
      <c r="Q284" s="27" t="str">
        <f t="shared" si="40"/>
        <v/>
      </c>
      <c r="R284" s="27" t="str">
        <f t="shared" si="41"/>
        <v/>
      </c>
      <c r="S284" s="26" t="str">
        <f t="shared" si="42"/>
        <v/>
      </c>
      <c r="T284" s="27" t="str">
        <f t="shared" si="43"/>
        <v/>
      </c>
      <c r="U284" s="27" t="str">
        <f t="shared" si="44"/>
        <v/>
      </c>
      <c r="V284" s="10" t="str">
        <f>IF($B284="","",IF($B284="01水果",IFERROR(INDEX(对接源_01水果!$H$5:$H$507,MATCH(ROW()-3,对接源_01水果!$Q$5:$Q$507,0)),""),IFERROR(INDEX(对接源_02物料!$H$5:$H$460,MATCH(ROW()-3-N(对接源_01水果!$T$1),对接源_02物料!$Q$5:$Q$460,0)),"")))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5" ht="18" customHeight="1" spans="1:22">
      <c r="A285" s="10">
        <v>282</v>
      </c>
      <c r="B285" s="26" t="str">
        <f>IF(ROW()-3&lt;=N(对接源_01水果!$T$1),"01水果",IF(ROW()-3&lt;=N(对接源_01水果!$T$1)+N(对接源_02物料!$T$1),"02物料",""))</f>
        <v/>
      </c>
      <c r="C285" s="125" t="str">
        <f>IF($B285="","",IF($B285="01水果",IFERROR(INDEX(对接源_01水果!$B$5:$B$507,MATCH(ROW()-3,对接源_01水果!$Q$5:$Q$507,0)),""),IFERROR(INDEX(对接源_02物料!$B$5:$B$460,MATCH(ROW()-3-N(对接源_01水果!$T$1),对接源_02物料!$Q$5:$Q$460,0)),"")))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5" s="26" t="str">
        <f>IF($B285="","",IF($B285="01水果",IFERROR(INDEX(对接源_01水果!$C$5:$C$507,MATCH(ROW()-3,对接源_01水果!$Q$5:$Q$507,0)),""),IFERROR(INDEX(对接源_02物料!$C$5:$C$460,MATCH(ROW()-3-N(对接源_01水果!$T$1),对接源_02物料!$Q$5:$Q$460,0)),"")))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5" s="126" t="str">
        <f>IF($B285="","",IF($B285="01水果",IFERROR(INDEX(对接源_01水果!$D$5:$D$507,MATCH(ROW()-3,对接源_01水果!$Q$5:$Q$507,0)),""),IFERROR(INDEX(对接源_02物料!$D$5:$D$460,MATCH(ROW()-3-N(对接源_01水果!$T$1),对接源_02物料!$Q$5:$Q$460,0)),"")))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5" s="26" t="str">
        <f>IF($B285="","",IF($B285="01水果",IFERROR(INDEX(对接源_01水果!$E$5:$E$507,MATCH(ROW()-3,对接源_01水果!$Q$5:$Q$507,0)),""),IFERROR(INDEX(对接源_02物料!$E$5:$E$460,MATCH(ROW()-3-N(对接源_01水果!$T$1),对接源_02物料!$Q$5:$Q$460,0)),"")))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5" s="27" t="str">
        <f>IF($B285="","",IF($B285="01水果",IFERROR(INDEX(对接源_01水果!$F$5:$F$507,MATCH(ROW()-3,对接源_01水果!$Q$5:$Q$507,0)),""),IFERROR(INDEX(对接源_02物料!$F$5:$F$460,MATCH(ROW()-3-N(对接源_01水果!$T$1),对接源_02物料!$Q$5:$Q$460,0)),"")))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5" s="27" t="str">
        <f>IF($B285="","",IF($B285="01水果",IFERROR(INDEX(对接源_01水果!$G$5:$G$507,MATCH(ROW()-3,对接源_01水果!$Q$5:$Q$507,0)),""),IFERROR(INDEX(对接源_02物料!$G$5:$G$460,MATCH(ROW()-3-N(对接源_01水果!$T$1),对接源_02物料!$Q$5:$Q$460,0)),"")))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5" s="26" t="str">
        <f>IFERROR(INDEX(收入成本映射!$C$4:$C$34,MATCH($D285,收入成本映射!$B$4:$B$34,0)),"不记账")</f>
        <v>不记账</v>
      </c>
      <c r="J285" s="26" t="str">
        <f t="shared" si="36"/>
        <v/>
      </c>
      <c r="K285" s="27">
        <f t="shared" si="37"/>
        <v>0</v>
      </c>
      <c r="L285" s="27">
        <v>0</v>
      </c>
      <c r="M285" s="26" t="str">
        <f>IF(OR($I285="不记账",ROUND(N($G285),2)=0),"",IFERROR(INDEX(收入成本映射!$E$4:$E$34,MATCH($D285,收入成本映射!$B$4:$B$34,0)),""))</f>
        <v/>
      </c>
      <c r="N285" s="27" t="str">
        <f t="shared" si="38"/>
        <v/>
      </c>
      <c r="O285" s="27" t="str">
        <f t="shared" si="39"/>
        <v/>
      </c>
      <c r="P285" s="26" t="str">
        <f>IF($M285="","",IFERROR(INDEX(收入成本映射!$F$4:$F$34,MATCH($D285,收入成本映射!$B$4:$B$34,0)),""))</f>
        <v/>
      </c>
      <c r="Q285" s="27" t="str">
        <f t="shared" si="40"/>
        <v/>
      </c>
      <c r="R285" s="27" t="str">
        <f t="shared" si="41"/>
        <v/>
      </c>
      <c r="S285" s="26" t="str">
        <f t="shared" si="42"/>
        <v/>
      </c>
      <c r="T285" s="27" t="str">
        <f t="shared" si="43"/>
        <v/>
      </c>
      <c r="U285" s="27" t="str">
        <f t="shared" si="44"/>
        <v/>
      </c>
      <c r="V285" s="10" t="str">
        <f>IF($B285="","",IF($B285="01水果",IFERROR(INDEX(对接源_01水果!$H$5:$H$507,MATCH(ROW()-3,对接源_01水果!$Q$5:$Q$507,0)),""),IFERROR(INDEX(对接源_02物料!$H$5:$H$460,MATCH(ROW()-3-N(对接源_01水果!$T$1),对接源_02物料!$Q$5:$Q$460,0)),"")))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6" ht="18" customHeight="1" spans="1:22">
      <c r="A286" s="10">
        <v>283</v>
      </c>
      <c r="B286" s="26" t="str">
        <f>IF(ROW()-3&lt;=N(对接源_01水果!$T$1),"01水果",IF(ROW()-3&lt;=N(对接源_01水果!$T$1)+N(对接源_02物料!$T$1),"02物料",""))</f>
        <v/>
      </c>
      <c r="C286" s="125" t="str">
        <f>IF($B286="","",IF($B286="01水果",IFERROR(INDEX(对接源_01水果!$B$5:$B$507,MATCH(ROW()-3,对接源_01水果!$Q$5:$Q$507,0)),""),IFERROR(INDEX(对接源_02物料!$B$5:$B$460,MATCH(ROW()-3-N(对接源_01水果!$T$1),对接源_02物料!$Q$5:$Q$460,0)),"")))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6" s="26" t="str">
        <f>IF($B286="","",IF($B286="01水果",IFERROR(INDEX(对接源_01水果!$C$5:$C$507,MATCH(ROW()-3,对接源_01水果!$Q$5:$Q$507,0)),""),IFERROR(INDEX(对接源_02物料!$C$5:$C$460,MATCH(ROW()-3-N(对接源_01水果!$T$1),对接源_02物料!$Q$5:$Q$460,0)),"")))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6" s="126" t="str">
        <f>IF($B286="","",IF($B286="01水果",IFERROR(INDEX(对接源_01水果!$D$5:$D$507,MATCH(ROW()-3,对接源_01水果!$Q$5:$Q$507,0)),""),IFERROR(INDEX(对接源_02物料!$D$5:$D$460,MATCH(ROW()-3-N(对接源_01水果!$T$1),对接源_02物料!$Q$5:$Q$460,0)),"")))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6" s="26" t="str">
        <f>IF($B286="","",IF($B286="01水果",IFERROR(INDEX(对接源_01水果!$E$5:$E$507,MATCH(ROW()-3,对接源_01水果!$Q$5:$Q$507,0)),""),IFERROR(INDEX(对接源_02物料!$E$5:$E$460,MATCH(ROW()-3-N(对接源_01水果!$T$1),对接源_02物料!$Q$5:$Q$460,0)),"")))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6" s="27" t="str">
        <f>IF($B286="","",IF($B286="01水果",IFERROR(INDEX(对接源_01水果!$F$5:$F$507,MATCH(ROW()-3,对接源_01水果!$Q$5:$Q$507,0)),""),IFERROR(INDEX(对接源_02物料!$F$5:$F$460,MATCH(ROW()-3-N(对接源_01水果!$T$1),对接源_02物料!$Q$5:$Q$460,0)),"")))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6" s="27" t="str">
        <f>IF($B286="","",IF($B286="01水果",IFERROR(INDEX(对接源_01水果!$G$5:$G$507,MATCH(ROW()-3,对接源_01水果!$Q$5:$Q$507,0)),""),IFERROR(INDEX(对接源_02物料!$G$5:$G$460,MATCH(ROW()-3-N(对接源_01水果!$T$1),对接源_02物料!$Q$5:$Q$460,0)),"")))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6" s="26" t="str">
        <f>IFERROR(INDEX(收入成本映射!$C$4:$C$34,MATCH($D286,收入成本映射!$B$4:$B$34,0)),"不记账")</f>
        <v>不记账</v>
      </c>
      <c r="J286" s="26" t="str">
        <f t="shared" si="36"/>
        <v/>
      </c>
      <c r="K286" s="27">
        <f t="shared" si="37"/>
        <v>0</v>
      </c>
      <c r="L286" s="27">
        <v>0</v>
      </c>
      <c r="M286" s="26" t="str">
        <f>IF(OR($I286="不记账",ROUND(N($G286),2)=0),"",IFERROR(INDEX(收入成本映射!$E$4:$E$34,MATCH($D286,收入成本映射!$B$4:$B$34,0)),""))</f>
        <v/>
      </c>
      <c r="N286" s="27" t="str">
        <f t="shared" si="38"/>
        <v/>
      </c>
      <c r="O286" s="27" t="str">
        <f t="shared" si="39"/>
        <v/>
      </c>
      <c r="P286" s="26" t="str">
        <f>IF($M286="","",IFERROR(INDEX(收入成本映射!$F$4:$F$34,MATCH($D286,收入成本映射!$B$4:$B$34,0)),""))</f>
        <v/>
      </c>
      <c r="Q286" s="27" t="str">
        <f t="shared" si="40"/>
        <v/>
      </c>
      <c r="R286" s="27" t="str">
        <f t="shared" si="41"/>
        <v/>
      </c>
      <c r="S286" s="26" t="str">
        <f t="shared" si="42"/>
        <v/>
      </c>
      <c r="T286" s="27" t="str">
        <f t="shared" si="43"/>
        <v/>
      </c>
      <c r="U286" s="27" t="str">
        <f t="shared" si="44"/>
        <v/>
      </c>
      <c r="V286" s="10" t="str">
        <f>IF($B286="","",IF($B286="01水果",IFERROR(INDEX(对接源_01水果!$H$5:$H$507,MATCH(ROW()-3,对接源_01水果!$Q$5:$Q$507,0)),""),IFERROR(INDEX(对接源_02物料!$H$5:$H$460,MATCH(ROW()-3-N(对接源_01水果!$T$1),对接源_02物料!$Q$5:$Q$460,0)),"")))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7" ht="18" customHeight="1" spans="1:22">
      <c r="A287" s="10">
        <v>284</v>
      </c>
      <c r="B287" s="26" t="str">
        <f>IF(ROW()-3&lt;=N(对接源_01水果!$T$1),"01水果",IF(ROW()-3&lt;=N(对接源_01水果!$T$1)+N(对接源_02物料!$T$1),"02物料",""))</f>
        <v/>
      </c>
      <c r="C287" s="125" t="str">
        <f>IF($B287="","",IF($B287="01水果",IFERROR(INDEX(对接源_01水果!$B$5:$B$507,MATCH(ROW()-3,对接源_01水果!$Q$5:$Q$507,0)),""),IFERROR(INDEX(对接源_02物料!$B$5:$B$460,MATCH(ROW()-3-N(对接源_01水果!$T$1),对接源_02物料!$Q$5:$Q$460,0)),"")))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7" s="26" t="str">
        <f>IF($B287="","",IF($B287="01水果",IFERROR(INDEX(对接源_01水果!$C$5:$C$507,MATCH(ROW()-3,对接源_01水果!$Q$5:$Q$507,0)),""),IFERROR(INDEX(对接源_02物料!$C$5:$C$460,MATCH(ROW()-3-N(对接源_01水果!$T$1),对接源_02物料!$Q$5:$Q$460,0)),"")))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7" s="126" t="str">
        <f>IF($B287="","",IF($B287="01水果",IFERROR(INDEX(对接源_01水果!$D$5:$D$507,MATCH(ROW()-3,对接源_01水果!$Q$5:$Q$507,0)),""),IFERROR(INDEX(对接源_02物料!$D$5:$D$460,MATCH(ROW()-3-N(对接源_01水果!$T$1),对接源_02物料!$Q$5:$Q$460,0)),"")))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7" s="26" t="str">
        <f>IF($B287="","",IF($B287="01水果",IFERROR(INDEX(对接源_01水果!$E$5:$E$507,MATCH(ROW()-3,对接源_01水果!$Q$5:$Q$507,0)),""),IFERROR(INDEX(对接源_02物料!$E$5:$E$460,MATCH(ROW()-3-N(对接源_01水果!$T$1),对接源_02物料!$Q$5:$Q$460,0)),"")))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7" s="27" t="str">
        <f>IF($B287="","",IF($B287="01水果",IFERROR(INDEX(对接源_01水果!$F$5:$F$507,MATCH(ROW()-3,对接源_01水果!$Q$5:$Q$507,0)),""),IFERROR(INDEX(对接源_02物料!$F$5:$F$460,MATCH(ROW()-3-N(对接源_01水果!$T$1),对接源_02物料!$Q$5:$Q$460,0)),"")))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7" s="27" t="str">
        <f>IF($B287="","",IF($B287="01水果",IFERROR(INDEX(对接源_01水果!$G$5:$G$507,MATCH(ROW()-3,对接源_01水果!$Q$5:$Q$507,0)),""),IFERROR(INDEX(对接源_02物料!$G$5:$G$460,MATCH(ROW()-3-N(对接源_01水果!$T$1),对接源_02物料!$Q$5:$Q$460,0)),"")))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7" s="26" t="str">
        <f>IFERROR(INDEX(收入成本映射!$C$4:$C$34,MATCH($D287,收入成本映射!$B$4:$B$34,0)),"不记账")</f>
        <v>不记账</v>
      </c>
      <c r="J287" s="26" t="str">
        <f t="shared" si="36"/>
        <v/>
      </c>
      <c r="K287" s="27">
        <f t="shared" si="37"/>
        <v>0</v>
      </c>
      <c r="L287" s="27">
        <v>0</v>
      </c>
      <c r="M287" s="26" t="str">
        <f>IF(OR($I287="不记账",ROUND(N($G287),2)=0),"",IFERROR(INDEX(收入成本映射!$E$4:$E$34,MATCH($D287,收入成本映射!$B$4:$B$34,0)),""))</f>
        <v/>
      </c>
      <c r="N287" s="27" t="str">
        <f t="shared" si="38"/>
        <v/>
      </c>
      <c r="O287" s="27" t="str">
        <f t="shared" si="39"/>
        <v/>
      </c>
      <c r="P287" s="26" t="str">
        <f>IF($M287="","",IFERROR(INDEX(收入成本映射!$F$4:$F$34,MATCH($D287,收入成本映射!$B$4:$B$34,0)),""))</f>
        <v/>
      </c>
      <c r="Q287" s="27" t="str">
        <f t="shared" si="40"/>
        <v/>
      </c>
      <c r="R287" s="27" t="str">
        <f t="shared" si="41"/>
        <v/>
      </c>
      <c r="S287" s="26" t="str">
        <f t="shared" si="42"/>
        <v/>
      </c>
      <c r="T287" s="27" t="str">
        <f t="shared" si="43"/>
        <v/>
      </c>
      <c r="U287" s="27" t="str">
        <f t="shared" si="44"/>
        <v/>
      </c>
      <c r="V287" s="10" t="str">
        <f>IF($B287="","",IF($B287="01水果",IFERROR(INDEX(对接源_01水果!$H$5:$H$507,MATCH(ROW()-3,对接源_01水果!$Q$5:$Q$507,0)),""),IFERROR(INDEX(对接源_02物料!$H$5:$H$460,MATCH(ROW()-3-N(对接源_01水果!$T$1),对接源_02物料!$Q$5:$Q$460,0)),"")))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8" ht="18" customHeight="1" spans="1:22">
      <c r="A288" s="10">
        <v>285</v>
      </c>
      <c r="B288" s="26" t="str">
        <f>IF(ROW()-3&lt;=N(对接源_01水果!$T$1),"01水果",IF(ROW()-3&lt;=N(对接源_01水果!$T$1)+N(对接源_02物料!$T$1),"02物料",""))</f>
        <v/>
      </c>
      <c r="C288" s="125" t="str">
        <f>IF($B288="","",IF($B288="01水果",IFERROR(INDEX(对接源_01水果!$B$5:$B$507,MATCH(ROW()-3,对接源_01水果!$Q$5:$Q$507,0)),""),IFERROR(INDEX(对接源_02物料!$B$5:$B$460,MATCH(ROW()-3-N(对接源_01水果!$T$1),对接源_02物料!$Q$5:$Q$460,0)),"")))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8" s="26" t="str">
        <f>IF($B288="","",IF($B288="01水果",IFERROR(INDEX(对接源_01水果!$C$5:$C$507,MATCH(ROW()-3,对接源_01水果!$Q$5:$Q$507,0)),""),IFERROR(INDEX(对接源_02物料!$C$5:$C$460,MATCH(ROW()-3-N(对接源_01水果!$T$1),对接源_02物料!$Q$5:$Q$460,0)),"")))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8" s="126" t="str">
        <f>IF($B288="","",IF($B288="01水果",IFERROR(INDEX(对接源_01水果!$D$5:$D$507,MATCH(ROW()-3,对接源_01水果!$Q$5:$Q$507,0)),""),IFERROR(INDEX(对接源_02物料!$D$5:$D$460,MATCH(ROW()-3-N(对接源_01水果!$T$1),对接源_02物料!$Q$5:$Q$460,0)),"")))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8" s="26" t="str">
        <f>IF($B288="","",IF($B288="01水果",IFERROR(INDEX(对接源_01水果!$E$5:$E$507,MATCH(ROW()-3,对接源_01水果!$Q$5:$Q$507,0)),""),IFERROR(INDEX(对接源_02物料!$E$5:$E$460,MATCH(ROW()-3-N(对接源_01水果!$T$1),对接源_02物料!$Q$5:$Q$460,0)),"")))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8" s="27" t="str">
        <f>IF($B288="","",IF($B288="01水果",IFERROR(INDEX(对接源_01水果!$F$5:$F$507,MATCH(ROW()-3,对接源_01水果!$Q$5:$Q$507,0)),""),IFERROR(INDEX(对接源_02物料!$F$5:$F$460,MATCH(ROW()-3-N(对接源_01水果!$T$1),对接源_02物料!$Q$5:$Q$460,0)),"")))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8" s="27" t="str">
        <f>IF($B288="","",IF($B288="01水果",IFERROR(INDEX(对接源_01水果!$G$5:$G$507,MATCH(ROW()-3,对接源_01水果!$Q$5:$Q$507,0)),""),IFERROR(INDEX(对接源_02物料!$G$5:$G$460,MATCH(ROW()-3-N(对接源_01水果!$T$1),对接源_02物料!$Q$5:$Q$460,0)),"")))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8" s="26" t="str">
        <f>IFERROR(INDEX(收入成本映射!$C$4:$C$34,MATCH($D288,收入成本映射!$B$4:$B$34,0)),"不记账")</f>
        <v>不记账</v>
      </c>
      <c r="J288" s="26" t="str">
        <f t="shared" si="36"/>
        <v/>
      </c>
      <c r="K288" s="27">
        <f t="shared" si="37"/>
        <v>0</v>
      </c>
      <c r="L288" s="27">
        <v>0</v>
      </c>
      <c r="M288" s="26" t="str">
        <f>IF(OR($I288="不记账",ROUND(N($G288),2)=0),"",IFERROR(INDEX(收入成本映射!$E$4:$E$34,MATCH($D288,收入成本映射!$B$4:$B$34,0)),""))</f>
        <v/>
      </c>
      <c r="N288" s="27" t="str">
        <f t="shared" si="38"/>
        <v/>
      </c>
      <c r="O288" s="27" t="str">
        <f t="shared" si="39"/>
        <v/>
      </c>
      <c r="P288" s="26" t="str">
        <f>IF($M288="","",IFERROR(INDEX(收入成本映射!$F$4:$F$34,MATCH($D288,收入成本映射!$B$4:$B$34,0)),""))</f>
        <v/>
      </c>
      <c r="Q288" s="27" t="str">
        <f t="shared" si="40"/>
        <v/>
      </c>
      <c r="R288" s="27" t="str">
        <f t="shared" si="41"/>
        <v/>
      </c>
      <c r="S288" s="26" t="str">
        <f t="shared" si="42"/>
        <v/>
      </c>
      <c r="T288" s="27" t="str">
        <f t="shared" si="43"/>
        <v/>
      </c>
      <c r="U288" s="27" t="str">
        <f t="shared" si="44"/>
        <v/>
      </c>
      <c r="V288" s="10" t="str">
        <f>IF($B288="","",IF($B288="01水果",IFERROR(INDEX(对接源_01水果!$H$5:$H$507,MATCH(ROW()-3,对接源_01水果!$Q$5:$Q$507,0)),""),IFERROR(INDEX(对接源_02物料!$H$5:$H$460,MATCH(ROW()-3-N(对接源_01水果!$T$1),对接源_02物料!$Q$5:$Q$460,0)),"")))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9" ht="18" customHeight="1" spans="1:22">
      <c r="A289" s="10">
        <v>286</v>
      </c>
      <c r="B289" s="26" t="str">
        <f>IF(ROW()-3&lt;=N(对接源_01水果!$T$1),"01水果",IF(ROW()-3&lt;=N(对接源_01水果!$T$1)+N(对接源_02物料!$T$1),"02物料",""))</f>
        <v/>
      </c>
      <c r="C289" s="125" t="str">
        <f>IF($B289="","",IF($B289="01水果",IFERROR(INDEX(对接源_01水果!$B$5:$B$507,MATCH(ROW()-3,对接源_01水果!$Q$5:$Q$507,0)),""),IFERROR(INDEX(对接源_02物料!$B$5:$B$460,MATCH(ROW()-3-N(对接源_01水果!$T$1),对接源_02物料!$Q$5:$Q$460,0)),"")))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9" s="26" t="str">
        <f>IF($B289="","",IF($B289="01水果",IFERROR(INDEX(对接源_01水果!$C$5:$C$507,MATCH(ROW()-3,对接源_01水果!$Q$5:$Q$507,0)),""),IFERROR(INDEX(对接源_02物料!$C$5:$C$460,MATCH(ROW()-3-N(对接源_01水果!$T$1),对接源_02物料!$Q$5:$Q$460,0)),"")))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9" s="126" t="str">
        <f>IF($B289="","",IF($B289="01水果",IFERROR(INDEX(对接源_01水果!$D$5:$D$507,MATCH(ROW()-3,对接源_01水果!$Q$5:$Q$507,0)),""),IFERROR(INDEX(对接源_02物料!$D$5:$D$460,MATCH(ROW()-3-N(对接源_01水果!$T$1),对接源_02物料!$Q$5:$Q$460,0)),"")))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9" s="26" t="str">
        <f>IF($B289="","",IF($B289="01水果",IFERROR(INDEX(对接源_01水果!$E$5:$E$507,MATCH(ROW()-3,对接源_01水果!$Q$5:$Q$507,0)),""),IFERROR(INDEX(对接源_02物料!$E$5:$E$460,MATCH(ROW()-3-N(对接源_01水果!$T$1),对接源_02物料!$Q$5:$Q$460,0)),"")))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9" s="27" t="str">
        <f>IF($B289="","",IF($B289="01水果",IFERROR(INDEX(对接源_01水果!$F$5:$F$507,MATCH(ROW()-3,对接源_01水果!$Q$5:$Q$507,0)),""),IFERROR(INDEX(对接源_02物料!$F$5:$F$460,MATCH(ROW()-3-N(对接源_01水果!$T$1),对接源_02物料!$Q$5:$Q$460,0)),"")))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9" s="27" t="str">
        <f>IF($B289="","",IF($B289="01水果",IFERROR(INDEX(对接源_01水果!$G$5:$G$507,MATCH(ROW()-3,对接源_01水果!$Q$5:$Q$507,0)),""),IFERROR(INDEX(对接源_02物料!$G$5:$G$460,MATCH(ROW()-3-N(对接源_01水果!$T$1),对接源_02物料!$Q$5:$Q$460,0)),"")))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9" s="26" t="str">
        <f>IFERROR(INDEX(收入成本映射!$C$4:$C$34,MATCH($D289,收入成本映射!$B$4:$B$34,0)),"不记账")</f>
        <v>不记账</v>
      </c>
      <c r="J289" s="26" t="str">
        <f t="shared" si="36"/>
        <v/>
      </c>
      <c r="K289" s="27">
        <f t="shared" si="37"/>
        <v>0</v>
      </c>
      <c r="L289" s="27">
        <v>0</v>
      </c>
      <c r="M289" s="26" t="str">
        <f>IF(OR($I289="不记账",ROUND(N($G289),2)=0),"",IFERROR(INDEX(收入成本映射!$E$4:$E$34,MATCH($D289,收入成本映射!$B$4:$B$34,0)),""))</f>
        <v/>
      </c>
      <c r="N289" s="27" t="str">
        <f t="shared" si="38"/>
        <v/>
      </c>
      <c r="O289" s="27" t="str">
        <f t="shared" si="39"/>
        <v/>
      </c>
      <c r="P289" s="26" t="str">
        <f>IF($M289="","",IFERROR(INDEX(收入成本映射!$F$4:$F$34,MATCH($D289,收入成本映射!$B$4:$B$34,0)),""))</f>
        <v/>
      </c>
      <c r="Q289" s="27" t="str">
        <f t="shared" si="40"/>
        <v/>
      </c>
      <c r="R289" s="27" t="str">
        <f t="shared" si="41"/>
        <v/>
      </c>
      <c r="S289" s="26" t="str">
        <f t="shared" si="42"/>
        <v/>
      </c>
      <c r="T289" s="27" t="str">
        <f t="shared" si="43"/>
        <v/>
      </c>
      <c r="U289" s="27" t="str">
        <f t="shared" si="44"/>
        <v/>
      </c>
      <c r="V289" s="10" t="str">
        <f>IF($B289="","",IF($B289="01水果",IFERROR(INDEX(对接源_01水果!$H$5:$H$507,MATCH(ROW()-3,对接源_01水果!$Q$5:$Q$507,0)),""),IFERROR(INDEX(对接源_02物料!$H$5:$H$460,MATCH(ROW()-3-N(对接源_01水果!$T$1),对接源_02物料!$Q$5:$Q$460,0)),"")))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0" ht="18" customHeight="1" spans="1:22">
      <c r="A290" s="10">
        <v>287</v>
      </c>
      <c r="B290" s="26" t="str">
        <f>IF(ROW()-3&lt;=N(对接源_01水果!$T$1),"01水果",IF(ROW()-3&lt;=N(对接源_01水果!$T$1)+N(对接源_02物料!$T$1),"02物料",""))</f>
        <v/>
      </c>
      <c r="C290" s="125" t="str">
        <f>IF($B290="","",IF($B290="01水果",IFERROR(INDEX(对接源_01水果!$B$5:$B$507,MATCH(ROW()-3,对接源_01水果!$Q$5:$Q$507,0)),""),IFERROR(INDEX(对接源_02物料!$B$5:$B$460,MATCH(ROW()-3-N(对接源_01水果!$T$1),对接源_02物料!$Q$5:$Q$460,0)),"")))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0" s="26" t="str">
        <f>IF($B290="","",IF($B290="01水果",IFERROR(INDEX(对接源_01水果!$C$5:$C$507,MATCH(ROW()-3,对接源_01水果!$Q$5:$Q$507,0)),""),IFERROR(INDEX(对接源_02物料!$C$5:$C$460,MATCH(ROW()-3-N(对接源_01水果!$T$1),对接源_02物料!$Q$5:$Q$460,0)),"")))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0" s="126" t="str">
        <f>IF($B290="","",IF($B290="01水果",IFERROR(INDEX(对接源_01水果!$D$5:$D$507,MATCH(ROW()-3,对接源_01水果!$Q$5:$Q$507,0)),""),IFERROR(INDEX(对接源_02物料!$D$5:$D$460,MATCH(ROW()-3-N(对接源_01水果!$T$1),对接源_02物料!$Q$5:$Q$460,0)),"")))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0" s="26" t="str">
        <f>IF($B290="","",IF($B290="01水果",IFERROR(INDEX(对接源_01水果!$E$5:$E$507,MATCH(ROW()-3,对接源_01水果!$Q$5:$Q$507,0)),""),IFERROR(INDEX(对接源_02物料!$E$5:$E$460,MATCH(ROW()-3-N(对接源_01水果!$T$1),对接源_02物料!$Q$5:$Q$460,0)),"")))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0" s="27" t="str">
        <f>IF($B290="","",IF($B290="01水果",IFERROR(INDEX(对接源_01水果!$F$5:$F$507,MATCH(ROW()-3,对接源_01水果!$Q$5:$Q$507,0)),""),IFERROR(INDEX(对接源_02物料!$F$5:$F$460,MATCH(ROW()-3-N(对接源_01水果!$T$1),对接源_02物料!$Q$5:$Q$460,0)),"")))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0" s="27" t="str">
        <f>IF($B290="","",IF($B290="01水果",IFERROR(INDEX(对接源_01水果!$G$5:$G$507,MATCH(ROW()-3,对接源_01水果!$Q$5:$Q$507,0)),""),IFERROR(INDEX(对接源_02物料!$G$5:$G$460,MATCH(ROW()-3-N(对接源_01水果!$T$1),对接源_02物料!$Q$5:$Q$460,0)),"")))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0" s="26" t="str">
        <f>IFERROR(INDEX(收入成本映射!$C$4:$C$34,MATCH($D290,收入成本映射!$B$4:$B$34,0)),"不记账")</f>
        <v>不记账</v>
      </c>
      <c r="J290" s="26" t="str">
        <f t="shared" si="36"/>
        <v/>
      </c>
      <c r="K290" s="27">
        <f t="shared" si="37"/>
        <v>0</v>
      </c>
      <c r="L290" s="27">
        <v>0</v>
      </c>
      <c r="M290" s="26" t="str">
        <f>IF(OR($I290="不记账",ROUND(N($G290),2)=0),"",IFERROR(INDEX(收入成本映射!$E$4:$E$34,MATCH($D290,收入成本映射!$B$4:$B$34,0)),""))</f>
        <v/>
      </c>
      <c r="N290" s="27" t="str">
        <f t="shared" si="38"/>
        <v/>
      </c>
      <c r="O290" s="27" t="str">
        <f t="shared" si="39"/>
        <v/>
      </c>
      <c r="P290" s="26" t="str">
        <f>IF($M290="","",IFERROR(INDEX(收入成本映射!$F$4:$F$34,MATCH($D290,收入成本映射!$B$4:$B$34,0)),""))</f>
        <v/>
      </c>
      <c r="Q290" s="27" t="str">
        <f t="shared" si="40"/>
        <v/>
      </c>
      <c r="R290" s="27" t="str">
        <f t="shared" si="41"/>
        <v/>
      </c>
      <c r="S290" s="26" t="str">
        <f t="shared" si="42"/>
        <v/>
      </c>
      <c r="T290" s="27" t="str">
        <f t="shared" si="43"/>
        <v/>
      </c>
      <c r="U290" s="27" t="str">
        <f t="shared" si="44"/>
        <v/>
      </c>
      <c r="V290" s="10" t="str">
        <f>IF($B290="","",IF($B290="01水果",IFERROR(INDEX(对接源_01水果!$H$5:$H$507,MATCH(ROW()-3,对接源_01水果!$Q$5:$Q$507,0)),""),IFERROR(INDEX(对接源_02物料!$H$5:$H$460,MATCH(ROW()-3-N(对接源_01水果!$T$1),对接源_02物料!$Q$5:$Q$460,0)),"")))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1" ht="18" customHeight="1" spans="1:22">
      <c r="A291" s="10">
        <v>288</v>
      </c>
      <c r="B291" s="26" t="str">
        <f>IF(ROW()-3&lt;=N(对接源_01水果!$T$1),"01水果",IF(ROW()-3&lt;=N(对接源_01水果!$T$1)+N(对接源_02物料!$T$1),"02物料",""))</f>
        <v/>
      </c>
      <c r="C291" s="125" t="str">
        <f>IF($B291="","",IF($B291="01水果",IFERROR(INDEX(对接源_01水果!$B$5:$B$507,MATCH(ROW()-3,对接源_01水果!$Q$5:$Q$507,0)),""),IFERROR(INDEX(对接源_02物料!$B$5:$B$460,MATCH(ROW()-3-N(对接源_01水果!$T$1),对接源_02物料!$Q$5:$Q$460,0)),"")))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1" s="26" t="str">
        <f>IF($B291="","",IF($B291="01水果",IFERROR(INDEX(对接源_01水果!$C$5:$C$507,MATCH(ROW()-3,对接源_01水果!$Q$5:$Q$507,0)),""),IFERROR(INDEX(对接源_02物料!$C$5:$C$460,MATCH(ROW()-3-N(对接源_01水果!$T$1),对接源_02物料!$Q$5:$Q$460,0)),"")))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1" s="126" t="str">
        <f>IF($B291="","",IF($B291="01水果",IFERROR(INDEX(对接源_01水果!$D$5:$D$507,MATCH(ROW()-3,对接源_01水果!$Q$5:$Q$507,0)),""),IFERROR(INDEX(对接源_02物料!$D$5:$D$460,MATCH(ROW()-3-N(对接源_01水果!$T$1),对接源_02物料!$Q$5:$Q$460,0)),"")))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1" s="26" t="str">
        <f>IF($B291="","",IF($B291="01水果",IFERROR(INDEX(对接源_01水果!$E$5:$E$507,MATCH(ROW()-3,对接源_01水果!$Q$5:$Q$507,0)),""),IFERROR(INDEX(对接源_02物料!$E$5:$E$460,MATCH(ROW()-3-N(对接源_01水果!$T$1),对接源_02物料!$Q$5:$Q$460,0)),"")))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1" s="27" t="str">
        <f>IF($B291="","",IF($B291="01水果",IFERROR(INDEX(对接源_01水果!$F$5:$F$507,MATCH(ROW()-3,对接源_01水果!$Q$5:$Q$507,0)),""),IFERROR(INDEX(对接源_02物料!$F$5:$F$460,MATCH(ROW()-3-N(对接源_01水果!$T$1),对接源_02物料!$Q$5:$Q$460,0)),"")))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1" s="27" t="str">
        <f>IF($B291="","",IF($B291="01水果",IFERROR(INDEX(对接源_01水果!$G$5:$G$507,MATCH(ROW()-3,对接源_01水果!$Q$5:$Q$507,0)),""),IFERROR(INDEX(对接源_02物料!$G$5:$G$460,MATCH(ROW()-3-N(对接源_01水果!$T$1),对接源_02物料!$Q$5:$Q$460,0)),"")))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1" s="26" t="str">
        <f>IFERROR(INDEX(收入成本映射!$C$4:$C$34,MATCH($D291,收入成本映射!$B$4:$B$34,0)),"不记账")</f>
        <v>不记账</v>
      </c>
      <c r="J291" s="26" t="str">
        <f t="shared" si="36"/>
        <v/>
      </c>
      <c r="K291" s="27">
        <f t="shared" si="37"/>
        <v>0</v>
      </c>
      <c r="L291" s="27">
        <v>0</v>
      </c>
      <c r="M291" s="26" t="str">
        <f>IF(OR($I291="不记账",ROUND(N($G291),2)=0),"",IFERROR(INDEX(收入成本映射!$E$4:$E$34,MATCH($D291,收入成本映射!$B$4:$B$34,0)),""))</f>
        <v/>
      </c>
      <c r="N291" s="27" t="str">
        <f t="shared" si="38"/>
        <v/>
      </c>
      <c r="O291" s="27" t="str">
        <f t="shared" si="39"/>
        <v/>
      </c>
      <c r="P291" s="26" t="str">
        <f>IF($M291="","",IFERROR(INDEX(收入成本映射!$F$4:$F$34,MATCH($D291,收入成本映射!$B$4:$B$34,0)),""))</f>
        <v/>
      </c>
      <c r="Q291" s="27" t="str">
        <f t="shared" si="40"/>
        <v/>
      </c>
      <c r="R291" s="27" t="str">
        <f t="shared" si="41"/>
        <v/>
      </c>
      <c r="S291" s="26" t="str">
        <f t="shared" si="42"/>
        <v/>
      </c>
      <c r="T291" s="27" t="str">
        <f t="shared" si="43"/>
        <v/>
      </c>
      <c r="U291" s="27" t="str">
        <f t="shared" si="44"/>
        <v/>
      </c>
      <c r="V291" s="10" t="str">
        <f>IF($B291="","",IF($B291="01水果",IFERROR(INDEX(对接源_01水果!$H$5:$H$507,MATCH(ROW()-3,对接源_01水果!$Q$5:$Q$507,0)),""),IFERROR(INDEX(对接源_02物料!$H$5:$H$460,MATCH(ROW()-3-N(对接源_01水果!$T$1),对接源_02物料!$Q$5:$Q$460,0)),"")))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2" ht="18" customHeight="1" spans="1:22">
      <c r="A292" s="10">
        <v>289</v>
      </c>
      <c r="B292" s="26" t="str">
        <f>IF(ROW()-3&lt;=N(对接源_01水果!$T$1),"01水果",IF(ROW()-3&lt;=N(对接源_01水果!$T$1)+N(对接源_02物料!$T$1),"02物料",""))</f>
        <v/>
      </c>
      <c r="C292" s="125" t="str">
        <f>IF($B292="","",IF($B292="01水果",IFERROR(INDEX(对接源_01水果!$B$5:$B$507,MATCH(ROW()-3,对接源_01水果!$Q$5:$Q$507,0)),""),IFERROR(INDEX(对接源_02物料!$B$5:$B$460,MATCH(ROW()-3-N(对接源_01水果!$T$1),对接源_02物料!$Q$5:$Q$460,0)),"")))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2" s="26" t="str">
        <f>IF($B292="","",IF($B292="01水果",IFERROR(INDEX(对接源_01水果!$C$5:$C$507,MATCH(ROW()-3,对接源_01水果!$Q$5:$Q$507,0)),""),IFERROR(INDEX(对接源_02物料!$C$5:$C$460,MATCH(ROW()-3-N(对接源_01水果!$T$1),对接源_02物料!$Q$5:$Q$460,0)),"")))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2" s="126" t="str">
        <f>IF($B292="","",IF($B292="01水果",IFERROR(INDEX(对接源_01水果!$D$5:$D$507,MATCH(ROW()-3,对接源_01水果!$Q$5:$Q$507,0)),""),IFERROR(INDEX(对接源_02物料!$D$5:$D$460,MATCH(ROW()-3-N(对接源_01水果!$T$1),对接源_02物料!$Q$5:$Q$460,0)),"")))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2" s="26" t="str">
        <f>IF($B292="","",IF($B292="01水果",IFERROR(INDEX(对接源_01水果!$E$5:$E$507,MATCH(ROW()-3,对接源_01水果!$Q$5:$Q$507,0)),""),IFERROR(INDEX(对接源_02物料!$E$5:$E$460,MATCH(ROW()-3-N(对接源_01水果!$T$1),对接源_02物料!$Q$5:$Q$460,0)),"")))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2" s="27" t="str">
        <f>IF($B292="","",IF($B292="01水果",IFERROR(INDEX(对接源_01水果!$F$5:$F$507,MATCH(ROW()-3,对接源_01水果!$Q$5:$Q$507,0)),""),IFERROR(INDEX(对接源_02物料!$F$5:$F$460,MATCH(ROW()-3-N(对接源_01水果!$T$1),对接源_02物料!$Q$5:$Q$460,0)),"")))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2" s="27" t="str">
        <f>IF($B292="","",IF($B292="01水果",IFERROR(INDEX(对接源_01水果!$G$5:$G$507,MATCH(ROW()-3,对接源_01水果!$Q$5:$Q$507,0)),""),IFERROR(INDEX(对接源_02物料!$G$5:$G$460,MATCH(ROW()-3-N(对接源_01水果!$T$1),对接源_02物料!$Q$5:$Q$460,0)),"")))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2" s="26" t="str">
        <f>IFERROR(INDEX(收入成本映射!$C$4:$C$34,MATCH($D292,收入成本映射!$B$4:$B$34,0)),"不记账")</f>
        <v>不记账</v>
      </c>
      <c r="J292" s="26" t="str">
        <f t="shared" si="36"/>
        <v/>
      </c>
      <c r="K292" s="27">
        <f t="shared" si="37"/>
        <v>0</v>
      </c>
      <c r="L292" s="27">
        <v>0</v>
      </c>
      <c r="M292" s="26" t="str">
        <f>IF(OR($I292="不记账",ROUND(N($G292),2)=0),"",IFERROR(INDEX(收入成本映射!$E$4:$E$34,MATCH($D292,收入成本映射!$B$4:$B$34,0)),""))</f>
        <v/>
      </c>
      <c r="N292" s="27" t="str">
        <f t="shared" si="38"/>
        <v/>
      </c>
      <c r="O292" s="27" t="str">
        <f t="shared" si="39"/>
        <v/>
      </c>
      <c r="P292" s="26" t="str">
        <f>IF($M292="","",IFERROR(INDEX(收入成本映射!$F$4:$F$34,MATCH($D292,收入成本映射!$B$4:$B$34,0)),""))</f>
        <v/>
      </c>
      <c r="Q292" s="27" t="str">
        <f t="shared" si="40"/>
        <v/>
      </c>
      <c r="R292" s="27" t="str">
        <f t="shared" si="41"/>
        <v/>
      </c>
      <c r="S292" s="26" t="str">
        <f t="shared" si="42"/>
        <v/>
      </c>
      <c r="T292" s="27" t="str">
        <f t="shared" si="43"/>
        <v/>
      </c>
      <c r="U292" s="27" t="str">
        <f t="shared" si="44"/>
        <v/>
      </c>
      <c r="V292" s="10" t="str">
        <f>IF($B292="","",IF($B292="01水果",IFERROR(INDEX(对接源_01水果!$H$5:$H$507,MATCH(ROW()-3,对接源_01水果!$Q$5:$Q$507,0)),""),IFERROR(INDEX(对接源_02物料!$H$5:$H$460,MATCH(ROW()-3-N(对接源_01水果!$T$1),对接源_02物料!$Q$5:$Q$460,0)),"")))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3" ht="18" customHeight="1" spans="1:22">
      <c r="A293" s="10">
        <v>290</v>
      </c>
      <c r="B293" s="26" t="str">
        <f>IF(ROW()-3&lt;=N(对接源_01水果!$T$1),"01水果",IF(ROW()-3&lt;=N(对接源_01水果!$T$1)+N(对接源_02物料!$T$1),"02物料",""))</f>
        <v/>
      </c>
      <c r="C293" s="125" t="str">
        <f>IF($B293="","",IF($B293="01水果",IFERROR(INDEX(对接源_01水果!$B$5:$B$507,MATCH(ROW()-3,对接源_01水果!$Q$5:$Q$507,0)),""),IFERROR(INDEX(对接源_02物料!$B$5:$B$460,MATCH(ROW()-3-N(对接源_01水果!$T$1),对接源_02物料!$Q$5:$Q$460,0)),"")))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3" s="26" t="str">
        <f>IF($B293="","",IF($B293="01水果",IFERROR(INDEX(对接源_01水果!$C$5:$C$507,MATCH(ROW()-3,对接源_01水果!$Q$5:$Q$507,0)),""),IFERROR(INDEX(对接源_02物料!$C$5:$C$460,MATCH(ROW()-3-N(对接源_01水果!$T$1),对接源_02物料!$Q$5:$Q$460,0)),"")))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3" s="126" t="str">
        <f>IF($B293="","",IF($B293="01水果",IFERROR(INDEX(对接源_01水果!$D$5:$D$507,MATCH(ROW()-3,对接源_01水果!$Q$5:$Q$507,0)),""),IFERROR(INDEX(对接源_02物料!$D$5:$D$460,MATCH(ROW()-3-N(对接源_01水果!$T$1),对接源_02物料!$Q$5:$Q$460,0)),"")))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3" s="26" t="str">
        <f>IF($B293="","",IF($B293="01水果",IFERROR(INDEX(对接源_01水果!$E$5:$E$507,MATCH(ROW()-3,对接源_01水果!$Q$5:$Q$507,0)),""),IFERROR(INDEX(对接源_02物料!$E$5:$E$460,MATCH(ROW()-3-N(对接源_01水果!$T$1),对接源_02物料!$Q$5:$Q$460,0)),"")))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3" s="27" t="str">
        <f>IF($B293="","",IF($B293="01水果",IFERROR(INDEX(对接源_01水果!$F$5:$F$507,MATCH(ROW()-3,对接源_01水果!$Q$5:$Q$507,0)),""),IFERROR(INDEX(对接源_02物料!$F$5:$F$460,MATCH(ROW()-3-N(对接源_01水果!$T$1),对接源_02物料!$Q$5:$Q$460,0)),"")))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3" s="27" t="str">
        <f>IF($B293="","",IF($B293="01水果",IFERROR(INDEX(对接源_01水果!$G$5:$G$507,MATCH(ROW()-3,对接源_01水果!$Q$5:$Q$507,0)),""),IFERROR(INDEX(对接源_02物料!$G$5:$G$460,MATCH(ROW()-3-N(对接源_01水果!$T$1),对接源_02物料!$Q$5:$Q$460,0)),"")))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3" s="26" t="str">
        <f>IFERROR(INDEX(收入成本映射!$C$4:$C$34,MATCH($D293,收入成本映射!$B$4:$B$34,0)),"不记账")</f>
        <v>不记账</v>
      </c>
      <c r="J293" s="26" t="str">
        <f t="shared" si="36"/>
        <v/>
      </c>
      <c r="K293" s="27">
        <f t="shared" si="37"/>
        <v>0</v>
      </c>
      <c r="L293" s="27">
        <v>0</v>
      </c>
      <c r="M293" s="26" t="str">
        <f>IF(OR($I293="不记账",ROUND(N($G293),2)=0),"",IFERROR(INDEX(收入成本映射!$E$4:$E$34,MATCH($D293,收入成本映射!$B$4:$B$34,0)),""))</f>
        <v/>
      </c>
      <c r="N293" s="27" t="str">
        <f t="shared" si="38"/>
        <v/>
      </c>
      <c r="O293" s="27" t="str">
        <f t="shared" si="39"/>
        <v/>
      </c>
      <c r="P293" s="26" t="str">
        <f>IF($M293="","",IFERROR(INDEX(收入成本映射!$F$4:$F$34,MATCH($D293,收入成本映射!$B$4:$B$34,0)),""))</f>
        <v/>
      </c>
      <c r="Q293" s="27" t="str">
        <f t="shared" si="40"/>
        <v/>
      </c>
      <c r="R293" s="27" t="str">
        <f t="shared" si="41"/>
        <v/>
      </c>
      <c r="S293" s="26" t="str">
        <f t="shared" si="42"/>
        <v/>
      </c>
      <c r="T293" s="27" t="str">
        <f t="shared" si="43"/>
        <v/>
      </c>
      <c r="U293" s="27" t="str">
        <f t="shared" si="44"/>
        <v/>
      </c>
      <c r="V293" s="10" t="str">
        <f>IF($B293="","",IF($B293="01水果",IFERROR(INDEX(对接源_01水果!$H$5:$H$507,MATCH(ROW()-3,对接源_01水果!$Q$5:$Q$507,0)),""),IFERROR(INDEX(对接源_02物料!$H$5:$H$460,MATCH(ROW()-3-N(对接源_01水果!$T$1),对接源_02物料!$Q$5:$Q$460,0)),"")))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4" ht="18" customHeight="1" spans="1:22">
      <c r="A294" s="10">
        <v>291</v>
      </c>
      <c r="B294" s="26" t="str">
        <f>IF(ROW()-3&lt;=N(对接源_01水果!$T$1),"01水果",IF(ROW()-3&lt;=N(对接源_01水果!$T$1)+N(对接源_02物料!$T$1),"02物料",""))</f>
        <v/>
      </c>
      <c r="C294" s="125" t="str">
        <f>IF($B294="","",IF($B294="01水果",IFERROR(INDEX(对接源_01水果!$B$5:$B$507,MATCH(ROW()-3,对接源_01水果!$Q$5:$Q$507,0)),""),IFERROR(INDEX(对接源_02物料!$B$5:$B$460,MATCH(ROW()-3-N(对接源_01水果!$T$1),对接源_02物料!$Q$5:$Q$460,0)),"")))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4" s="26" t="str">
        <f>IF($B294="","",IF($B294="01水果",IFERROR(INDEX(对接源_01水果!$C$5:$C$507,MATCH(ROW()-3,对接源_01水果!$Q$5:$Q$507,0)),""),IFERROR(INDEX(对接源_02物料!$C$5:$C$460,MATCH(ROW()-3-N(对接源_01水果!$T$1),对接源_02物料!$Q$5:$Q$460,0)),"")))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4" s="126" t="str">
        <f>IF($B294="","",IF($B294="01水果",IFERROR(INDEX(对接源_01水果!$D$5:$D$507,MATCH(ROW()-3,对接源_01水果!$Q$5:$Q$507,0)),""),IFERROR(INDEX(对接源_02物料!$D$5:$D$460,MATCH(ROW()-3-N(对接源_01水果!$T$1),对接源_02物料!$Q$5:$Q$460,0)),"")))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4" s="26" t="str">
        <f>IF($B294="","",IF($B294="01水果",IFERROR(INDEX(对接源_01水果!$E$5:$E$507,MATCH(ROW()-3,对接源_01水果!$Q$5:$Q$507,0)),""),IFERROR(INDEX(对接源_02物料!$E$5:$E$460,MATCH(ROW()-3-N(对接源_01水果!$T$1),对接源_02物料!$Q$5:$Q$460,0)),"")))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4" s="27" t="str">
        <f>IF($B294="","",IF($B294="01水果",IFERROR(INDEX(对接源_01水果!$F$5:$F$507,MATCH(ROW()-3,对接源_01水果!$Q$5:$Q$507,0)),""),IFERROR(INDEX(对接源_02物料!$F$5:$F$460,MATCH(ROW()-3-N(对接源_01水果!$T$1),对接源_02物料!$Q$5:$Q$460,0)),"")))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4" s="27" t="str">
        <f>IF($B294="","",IF($B294="01水果",IFERROR(INDEX(对接源_01水果!$G$5:$G$507,MATCH(ROW()-3,对接源_01水果!$Q$5:$Q$507,0)),""),IFERROR(INDEX(对接源_02物料!$G$5:$G$460,MATCH(ROW()-3-N(对接源_01水果!$T$1),对接源_02物料!$Q$5:$Q$460,0)),"")))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4" s="26" t="str">
        <f>IFERROR(INDEX(收入成本映射!$C$4:$C$34,MATCH($D294,收入成本映射!$B$4:$B$34,0)),"不记账")</f>
        <v>不记账</v>
      </c>
      <c r="J294" s="26" t="str">
        <f t="shared" si="36"/>
        <v/>
      </c>
      <c r="K294" s="27">
        <f t="shared" si="37"/>
        <v>0</v>
      </c>
      <c r="L294" s="27">
        <v>0</v>
      </c>
      <c r="M294" s="26" t="str">
        <f>IF(OR($I294="不记账",ROUND(N($G294),2)=0),"",IFERROR(INDEX(收入成本映射!$E$4:$E$34,MATCH($D294,收入成本映射!$B$4:$B$34,0)),""))</f>
        <v/>
      </c>
      <c r="N294" s="27" t="str">
        <f t="shared" si="38"/>
        <v/>
      </c>
      <c r="O294" s="27" t="str">
        <f t="shared" si="39"/>
        <v/>
      </c>
      <c r="P294" s="26" t="str">
        <f>IF($M294="","",IFERROR(INDEX(收入成本映射!$F$4:$F$34,MATCH($D294,收入成本映射!$B$4:$B$34,0)),""))</f>
        <v/>
      </c>
      <c r="Q294" s="27" t="str">
        <f t="shared" si="40"/>
        <v/>
      </c>
      <c r="R294" s="27" t="str">
        <f t="shared" si="41"/>
        <v/>
      </c>
      <c r="S294" s="26" t="str">
        <f t="shared" si="42"/>
        <v/>
      </c>
      <c r="T294" s="27" t="str">
        <f t="shared" si="43"/>
        <v/>
      </c>
      <c r="U294" s="27" t="str">
        <f t="shared" si="44"/>
        <v/>
      </c>
      <c r="V294" s="10" t="str">
        <f>IF($B294="","",IF($B294="01水果",IFERROR(INDEX(对接源_01水果!$H$5:$H$507,MATCH(ROW()-3,对接源_01水果!$Q$5:$Q$507,0)),""),IFERROR(INDEX(对接源_02物料!$H$5:$H$460,MATCH(ROW()-3-N(对接源_01水果!$T$1),对接源_02物料!$Q$5:$Q$460,0)),"")))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5" ht="18" customHeight="1" spans="1:22">
      <c r="A295" s="10">
        <v>292</v>
      </c>
      <c r="B295" s="26" t="str">
        <f>IF(ROW()-3&lt;=N(对接源_01水果!$T$1),"01水果",IF(ROW()-3&lt;=N(对接源_01水果!$T$1)+N(对接源_02物料!$T$1),"02物料",""))</f>
        <v/>
      </c>
      <c r="C295" s="125" t="str">
        <f>IF($B295="","",IF($B295="01水果",IFERROR(INDEX(对接源_01水果!$B$5:$B$507,MATCH(ROW()-3,对接源_01水果!$Q$5:$Q$507,0)),""),IFERROR(INDEX(对接源_02物料!$B$5:$B$460,MATCH(ROW()-3-N(对接源_01水果!$T$1),对接源_02物料!$Q$5:$Q$460,0)),"")))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5" s="26" t="str">
        <f>IF($B295="","",IF($B295="01水果",IFERROR(INDEX(对接源_01水果!$C$5:$C$507,MATCH(ROW()-3,对接源_01水果!$Q$5:$Q$507,0)),""),IFERROR(INDEX(对接源_02物料!$C$5:$C$460,MATCH(ROW()-3-N(对接源_01水果!$T$1),对接源_02物料!$Q$5:$Q$460,0)),"")))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5" s="126" t="str">
        <f>IF($B295="","",IF($B295="01水果",IFERROR(INDEX(对接源_01水果!$D$5:$D$507,MATCH(ROW()-3,对接源_01水果!$Q$5:$Q$507,0)),""),IFERROR(INDEX(对接源_02物料!$D$5:$D$460,MATCH(ROW()-3-N(对接源_01水果!$T$1),对接源_02物料!$Q$5:$Q$460,0)),"")))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5" s="26" t="str">
        <f>IF($B295="","",IF($B295="01水果",IFERROR(INDEX(对接源_01水果!$E$5:$E$507,MATCH(ROW()-3,对接源_01水果!$Q$5:$Q$507,0)),""),IFERROR(INDEX(对接源_02物料!$E$5:$E$460,MATCH(ROW()-3-N(对接源_01水果!$T$1),对接源_02物料!$Q$5:$Q$460,0)),"")))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5" s="27" t="str">
        <f>IF($B295="","",IF($B295="01水果",IFERROR(INDEX(对接源_01水果!$F$5:$F$507,MATCH(ROW()-3,对接源_01水果!$Q$5:$Q$507,0)),""),IFERROR(INDEX(对接源_02物料!$F$5:$F$460,MATCH(ROW()-3-N(对接源_01水果!$T$1),对接源_02物料!$Q$5:$Q$460,0)),"")))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5" s="27" t="str">
        <f>IF($B295="","",IF($B295="01水果",IFERROR(INDEX(对接源_01水果!$G$5:$G$507,MATCH(ROW()-3,对接源_01水果!$Q$5:$Q$507,0)),""),IFERROR(INDEX(对接源_02物料!$G$5:$G$460,MATCH(ROW()-3-N(对接源_01水果!$T$1),对接源_02物料!$Q$5:$Q$460,0)),"")))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5" s="26" t="str">
        <f>IFERROR(INDEX(收入成本映射!$C$4:$C$34,MATCH($D295,收入成本映射!$B$4:$B$34,0)),"不记账")</f>
        <v>不记账</v>
      </c>
      <c r="J295" s="26" t="str">
        <f t="shared" si="36"/>
        <v/>
      </c>
      <c r="K295" s="27">
        <f t="shared" si="37"/>
        <v>0</v>
      </c>
      <c r="L295" s="27">
        <v>0</v>
      </c>
      <c r="M295" s="26" t="str">
        <f>IF(OR($I295="不记账",ROUND(N($G295),2)=0),"",IFERROR(INDEX(收入成本映射!$E$4:$E$34,MATCH($D295,收入成本映射!$B$4:$B$34,0)),""))</f>
        <v/>
      </c>
      <c r="N295" s="27" t="str">
        <f t="shared" si="38"/>
        <v/>
      </c>
      <c r="O295" s="27" t="str">
        <f t="shared" si="39"/>
        <v/>
      </c>
      <c r="P295" s="26" t="str">
        <f>IF($M295="","",IFERROR(INDEX(收入成本映射!$F$4:$F$34,MATCH($D295,收入成本映射!$B$4:$B$34,0)),""))</f>
        <v/>
      </c>
      <c r="Q295" s="27" t="str">
        <f t="shared" si="40"/>
        <v/>
      </c>
      <c r="R295" s="27" t="str">
        <f t="shared" si="41"/>
        <v/>
      </c>
      <c r="S295" s="26" t="str">
        <f t="shared" si="42"/>
        <v/>
      </c>
      <c r="T295" s="27" t="str">
        <f t="shared" si="43"/>
        <v/>
      </c>
      <c r="U295" s="27" t="str">
        <f t="shared" si="44"/>
        <v/>
      </c>
      <c r="V295" s="10" t="str">
        <f>IF($B295="","",IF($B295="01水果",IFERROR(INDEX(对接源_01水果!$H$5:$H$507,MATCH(ROW()-3,对接源_01水果!$Q$5:$Q$507,0)),""),IFERROR(INDEX(对接源_02物料!$H$5:$H$460,MATCH(ROW()-3-N(对接源_01水果!$T$1),对接源_02物料!$Q$5:$Q$460,0)),"")))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6" ht="18" customHeight="1" spans="1:22">
      <c r="A296" s="10">
        <v>293</v>
      </c>
      <c r="B296" s="26" t="str">
        <f>IF(ROW()-3&lt;=N(对接源_01水果!$T$1),"01水果",IF(ROW()-3&lt;=N(对接源_01水果!$T$1)+N(对接源_02物料!$T$1),"02物料",""))</f>
        <v/>
      </c>
      <c r="C296" s="125" t="str">
        <f>IF($B296="","",IF($B296="01水果",IFERROR(INDEX(对接源_01水果!$B$5:$B$507,MATCH(ROW()-3,对接源_01水果!$Q$5:$Q$507,0)),""),IFERROR(INDEX(对接源_02物料!$B$5:$B$460,MATCH(ROW()-3-N(对接源_01水果!$T$1),对接源_02物料!$Q$5:$Q$460,0)),"")))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6" s="26" t="str">
        <f>IF($B296="","",IF($B296="01水果",IFERROR(INDEX(对接源_01水果!$C$5:$C$507,MATCH(ROW()-3,对接源_01水果!$Q$5:$Q$507,0)),""),IFERROR(INDEX(对接源_02物料!$C$5:$C$460,MATCH(ROW()-3-N(对接源_01水果!$T$1),对接源_02物料!$Q$5:$Q$460,0)),"")))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6" s="126" t="str">
        <f>IF($B296="","",IF($B296="01水果",IFERROR(INDEX(对接源_01水果!$D$5:$D$507,MATCH(ROW()-3,对接源_01水果!$Q$5:$Q$507,0)),""),IFERROR(INDEX(对接源_02物料!$D$5:$D$460,MATCH(ROW()-3-N(对接源_01水果!$T$1),对接源_02物料!$Q$5:$Q$460,0)),"")))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6" s="26" t="str">
        <f>IF($B296="","",IF($B296="01水果",IFERROR(INDEX(对接源_01水果!$E$5:$E$507,MATCH(ROW()-3,对接源_01水果!$Q$5:$Q$507,0)),""),IFERROR(INDEX(对接源_02物料!$E$5:$E$460,MATCH(ROW()-3-N(对接源_01水果!$T$1),对接源_02物料!$Q$5:$Q$460,0)),"")))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6" s="27" t="str">
        <f>IF($B296="","",IF($B296="01水果",IFERROR(INDEX(对接源_01水果!$F$5:$F$507,MATCH(ROW()-3,对接源_01水果!$Q$5:$Q$507,0)),""),IFERROR(INDEX(对接源_02物料!$F$5:$F$460,MATCH(ROW()-3-N(对接源_01水果!$T$1),对接源_02物料!$Q$5:$Q$460,0)),"")))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6" s="27" t="str">
        <f>IF($B296="","",IF($B296="01水果",IFERROR(INDEX(对接源_01水果!$G$5:$G$507,MATCH(ROW()-3,对接源_01水果!$Q$5:$Q$507,0)),""),IFERROR(INDEX(对接源_02物料!$G$5:$G$460,MATCH(ROW()-3-N(对接源_01水果!$T$1),对接源_02物料!$Q$5:$Q$460,0)),"")))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6" s="26" t="str">
        <f>IFERROR(INDEX(收入成本映射!$C$4:$C$34,MATCH($D296,收入成本映射!$B$4:$B$34,0)),"不记账")</f>
        <v>不记账</v>
      </c>
      <c r="J296" s="26" t="str">
        <f t="shared" si="36"/>
        <v/>
      </c>
      <c r="K296" s="27">
        <f t="shared" si="37"/>
        <v>0</v>
      </c>
      <c r="L296" s="27">
        <v>0</v>
      </c>
      <c r="M296" s="26" t="str">
        <f>IF(OR($I296="不记账",ROUND(N($G296),2)=0),"",IFERROR(INDEX(收入成本映射!$E$4:$E$34,MATCH($D296,收入成本映射!$B$4:$B$34,0)),""))</f>
        <v/>
      </c>
      <c r="N296" s="27" t="str">
        <f t="shared" si="38"/>
        <v/>
      </c>
      <c r="O296" s="27" t="str">
        <f t="shared" si="39"/>
        <v/>
      </c>
      <c r="P296" s="26" t="str">
        <f>IF($M296="","",IFERROR(INDEX(收入成本映射!$F$4:$F$34,MATCH($D296,收入成本映射!$B$4:$B$34,0)),""))</f>
        <v/>
      </c>
      <c r="Q296" s="27" t="str">
        <f t="shared" si="40"/>
        <v/>
      </c>
      <c r="R296" s="27" t="str">
        <f t="shared" si="41"/>
        <v/>
      </c>
      <c r="S296" s="26" t="str">
        <f t="shared" si="42"/>
        <v/>
      </c>
      <c r="T296" s="27" t="str">
        <f t="shared" si="43"/>
        <v/>
      </c>
      <c r="U296" s="27" t="str">
        <f t="shared" si="44"/>
        <v/>
      </c>
      <c r="V296" s="10" t="str">
        <f>IF($B296="","",IF($B296="01水果",IFERROR(INDEX(对接源_01水果!$H$5:$H$507,MATCH(ROW()-3,对接源_01水果!$Q$5:$Q$507,0)),""),IFERROR(INDEX(对接源_02物料!$H$5:$H$460,MATCH(ROW()-3-N(对接源_01水果!$T$1),对接源_02物料!$Q$5:$Q$460,0)),"")))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7" ht="18" customHeight="1" spans="1:22">
      <c r="A297" s="10">
        <v>294</v>
      </c>
      <c r="B297" s="26" t="str">
        <f>IF(ROW()-3&lt;=N(对接源_01水果!$T$1),"01水果",IF(ROW()-3&lt;=N(对接源_01水果!$T$1)+N(对接源_02物料!$T$1),"02物料",""))</f>
        <v/>
      </c>
      <c r="C297" s="125" t="str">
        <f>IF($B297="","",IF($B297="01水果",IFERROR(INDEX(对接源_01水果!$B$5:$B$507,MATCH(ROW()-3,对接源_01水果!$Q$5:$Q$507,0)),""),IFERROR(INDEX(对接源_02物料!$B$5:$B$460,MATCH(ROW()-3-N(对接源_01水果!$T$1),对接源_02物料!$Q$5:$Q$460,0)),"")))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7" s="26" t="str">
        <f>IF($B297="","",IF($B297="01水果",IFERROR(INDEX(对接源_01水果!$C$5:$C$507,MATCH(ROW()-3,对接源_01水果!$Q$5:$Q$507,0)),""),IFERROR(INDEX(对接源_02物料!$C$5:$C$460,MATCH(ROW()-3-N(对接源_01水果!$T$1),对接源_02物料!$Q$5:$Q$460,0)),"")))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7" s="126" t="str">
        <f>IF($B297="","",IF($B297="01水果",IFERROR(INDEX(对接源_01水果!$D$5:$D$507,MATCH(ROW()-3,对接源_01水果!$Q$5:$Q$507,0)),""),IFERROR(INDEX(对接源_02物料!$D$5:$D$460,MATCH(ROW()-3-N(对接源_01水果!$T$1),对接源_02物料!$Q$5:$Q$460,0)),"")))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7" s="26" t="str">
        <f>IF($B297="","",IF($B297="01水果",IFERROR(INDEX(对接源_01水果!$E$5:$E$507,MATCH(ROW()-3,对接源_01水果!$Q$5:$Q$507,0)),""),IFERROR(INDEX(对接源_02物料!$E$5:$E$460,MATCH(ROW()-3-N(对接源_01水果!$T$1),对接源_02物料!$Q$5:$Q$460,0)),"")))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7" s="27" t="str">
        <f>IF($B297="","",IF($B297="01水果",IFERROR(INDEX(对接源_01水果!$F$5:$F$507,MATCH(ROW()-3,对接源_01水果!$Q$5:$Q$507,0)),""),IFERROR(INDEX(对接源_02物料!$F$5:$F$460,MATCH(ROW()-3-N(对接源_01水果!$T$1),对接源_02物料!$Q$5:$Q$460,0)),"")))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7" s="27" t="str">
        <f>IF($B297="","",IF($B297="01水果",IFERROR(INDEX(对接源_01水果!$G$5:$G$507,MATCH(ROW()-3,对接源_01水果!$Q$5:$Q$507,0)),""),IFERROR(INDEX(对接源_02物料!$G$5:$G$460,MATCH(ROW()-3-N(对接源_01水果!$T$1),对接源_02物料!$Q$5:$Q$460,0)),"")))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7" s="26" t="str">
        <f>IFERROR(INDEX(收入成本映射!$C$4:$C$34,MATCH($D297,收入成本映射!$B$4:$B$34,0)),"不记账")</f>
        <v>不记账</v>
      </c>
      <c r="J297" s="26" t="str">
        <f t="shared" si="36"/>
        <v/>
      </c>
      <c r="K297" s="27">
        <f t="shared" si="37"/>
        <v>0</v>
      </c>
      <c r="L297" s="27">
        <v>0</v>
      </c>
      <c r="M297" s="26" t="str">
        <f>IF(OR($I297="不记账",ROUND(N($G297),2)=0),"",IFERROR(INDEX(收入成本映射!$E$4:$E$34,MATCH($D297,收入成本映射!$B$4:$B$34,0)),""))</f>
        <v/>
      </c>
      <c r="N297" s="27" t="str">
        <f t="shared" si="38"/>
        <v/>
      </c>
      <c r="O297" s="27" t="str">
        <f t="shared" si="39"/>
        <v/>
      </c>
      <c r="P297" s="26" t="str">
        <f>IF($M297="","",IFERROR(INDEX(收入成本映射!$F$4:$F$34,MATCH($D297,收入成本映射!$B$4:$B$34,0)),""))</f>
        <v/>
      </c>
      <c r="Q297" s="27" t="str">
        <f t="shared" si="40"/>
        <v/>
      </c>
      <c r="R297" s="27" t="str">
        <f t="shared" si="41"/>
        <v/>
      </c>
      <c r="S297" s="26" t="str">
        <f t="shared" si="42"/>
        <v/>
      </c>
      <c r="T297" s="27" t="str">
        <f t="shared" si="43"/>
        <v/>
      </c>
      <c r="U297" s="27" t="str">
        <f t="shared" si="44"/>
        <v/>
      </c>
      <c r="V297" s="10" t="str">
        <f>IF($B297="","",IF($B297="01水果",IFERROR(INDEX(对接源_01水果!$H$5:$H$507,MATCH(ROW()-3,对接源_01水果!$Q$5:$Q$507,0)),""),IFERROR(INDEX(对接源_02物料!$H$5:$H$460,MATCH(ROW()-3-N(对接源_01水果!$T$1),对接源_02物料!$Q$5:$Q$460,0)),"")))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8" ht="18" customHeight="1" spans="1:22">
      <c r="A298" s="10">
        <v>295</v>
      </c>
      <c r="B298" s="26" t="str">
        <f>IF(ROW()-3&lt;=N(对接源_01水果!$T$1),"01水果",IF(ROW()-3&lt;=N(对接源_01水果!$T$1)+N(对接源_02物料!$T$1),"02物料",""))</f>
        <v/>
      </c>
      <c r="C298" s="125" t="str">
        <f>IF($B298="","",IF($B298="01水果",IFERROR(INDEX(对接源_01水果!$B$5:$B$507,MATCH(ROW()-3,对接源_01水果!$Q$5:$Q$507,0)),""),IFERROR(INDEX(对接源_02物料!$B$5:$B$460,MATCH(ROW()-3-N(对接源_01水果!$T$1),对接源_02物料!$Q$5:$Q$460,0)),"")))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8" s="26" t="str">
        <f>IF($B298="","",IF($B298="01水果",IFERROR(INDEX(对接源_01水果!$C$5:$C$507,MATCH(ROW()-3,对接源_01水果!$Q$5:$Q$507,0)),""),IFERROR(INDEX(对接源_02物料!$C$5:$C$460,MATCH(ROW()-3-N(对接源_01水果!$T$1),对接源_02物料!$Q$5:$Q$460,0)),"")))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8" s="126" t="str">
        <f>IF($B298="","",IF($B298="01水果",IFERROR(INDEX(对接源_01水果!$D$5:$D$507,MATCH(ROW()-3,对接源_01水果!$Q$5:$Q$507,0)),""),IFERROR(INDEX(对接源_02物料!$D$5:$D$460,MATCH(ROW()-3-N(对接源_01水果!$T$1),对接源_02物料!$Q$5:$Q$460,0)),"")))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8" s="26" t="str">
        <f>IF($B298="","",IF($B298="01水果",IFERROR(INDEX(对接源_01水果!$E$5:$E$507,MATCH(ROW()-3,对接源_01水果!$Q$5:$Q$507,0)),""),IFERROR(INDEX(对接源_02物料!$E$5:$E$460,MATCH(ROW()-3-N(对接源_01水果!$T$1),对接源_02物料!$Q$5:$Q$460,0)),"")))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8" s="27" t="str">
        <f>IF($B298="","",IF($B298="01水果",IFERROR(INDEX(对接源_01水果!$F$5:$F$507,MATCH(ROW()-3,对接源_01水果!$Q$5:$Q$507,0)),""),IFERROR(INDEX(对接源_02物料!$F$5:$F$460,MATCH(ROW()-3-N(对接源_01水果!$T$1),对接源_02物料!$Q$5:$Q$460,0)),"")))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8" s="27" t="str">
        <f>IF($B298="","",IF($B298="01水果",IFERROR(INDEX(对接源_01水果!$G$5:$G$507,MATCH(ROW()-3,对接源_01水果!$Q$5:$Q$507,0)),""),IFERROR(INDEX(对接源_02物料!$G$5:$G$460,MATCH(ROW()-3-N(对接源_01水果!$T$1),对接源_02物料!$Q$5:$Q$460,0)),"")))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8" s="26" t="str">
        <f>IFERROR(INDEX(收入成本映射!$C$4:$C$34,MATCH($D298,收入成本映射!$B$4:$B$34,0)),"不记账")</f>
        <v>不记账</v>
      </c>
      <c r="J298" s="26" t="str">
        <f t="shared" si="36"/>
        <v/>
      </c>
      <c r="K298" s="27">
        <f t="shared" si="37"/>
        <v>0</v>
      </c>
      <c r="L298" s="27">
        <v>0</v>
      </c>
      <c r="M298" s="26" t="str">
        <f>IF(OR($I298="不记账",ROUND(N($G298),2)=0),"",IFERROR(INDEX(收入成本映射!$E$4:$E$34,MATCH($D298,收入成本映射!$B$4:$B$34,0)),""))</f>
        <v/>
      </c>
      <c r="N298" s="27" t="str">
        <f t="shared" si="38"/>
        <v/>
      </c>
      <c r="O298" s="27" t="str">
        <f t="shared" si="39"/>
        <v/>
      </c>
      <c r="P298" s="26" t="str">
        <f>IF($M298="","",IFERROR(INDEX(收入成本映射!$F$4:$F$34,MATCH($D298,收入成本映射!$B$4:$B$34,0)),""))</f>
        <v/>
      </c>
      <c r="Q298" s="27" t="str">
        <f t="shared" si="40"/>
        <v/>
      </c>
      <c r="R298" s="27" t="str">
        <f t="shared" si="41"/>
        <v/>
      </c>
      <c r="S298" s="26" t="str">
        <f t="shared" si="42"/>
        <v/>
      </c>
      <c r="T298" s="27" t="str">
        <f t="shared" si="43"/>
        <v/>
      </c>
      <c r="U298" s="27" t="str">
        <f t="shared" si="44"/>
        <v/>
      </c>
      <c r="V298" s="10" t="str">
        <f>IF($B298="","",IF($B298="01水果",IFERROR(INDEX(对接源_01水果!$H$5:$H$507,MATCH(ROW()-3,对接源_01水果!$Q$5:$Q$507,0)),""),IFERROR(INDEX(对接源_02物料!$H$5:$H$460,MATCH(ROW()-3-N(对接源_01水果!$T$1),对接源_02物料!$Q$5:$Q$460,0)),"")))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9" ht="18" customHeight="1" spans="1:22">
      <c r="A299" s="10">
        <v>296</v>
      </c>
      <c r="B299" s="26" t="str">
        <f>IF(ROW()-3&lt;=N(对接源_01水果!$T$1),"01水果",IF(ROW()-3&lt;=N(对接源_01水果!$T$1)+N(对接源_02物料!$T$1),"02物料",""))</f>
        <v/>
      </c>
      <c r="C299" s="125" t="str">
        <f>IF($B299="","",IF($B299="01水果",IFERROR(INDEX(对接源_01水果!$B$5:$B$507,MATCH(ROW()-3,对接源_01水果!$Q$5:$Q$507,0)),""),IFERROR(INDEX(对接源_02物料!$B$5:$B$460,MATCH(ROW()-3-N(对接源_01水果!$T$1),对接源_02物料!$Q$5:$Q$460,0)),"")))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9" s="26" t="str">
        <f>IF($B299="","",IF($B299="01水果",IFERROR(INDEX(对接源_01水果!$C$5:$C$507,MATCH(ROW()-3,对接源_01水果!$Q$5:$Q$507,0)),""),IFERROR(INDEX(对接源_02物料!$C$5:$C$460,MATCH(ROW()-3-N(对接源_01水果!$T$1),对接源_02物料!$Q$5:$Q$460,0)),"")))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9" s="126" t="str">
        <f>IF($B299="","",IF($B299="01水果",IFERROR(INDEX(对接源_01水果!$D$5:$D$507,MATCH(ROW()-3,对接源_01水果!$Q$5:$Q$507,0)),""),IFERROR(INDEX(对接源_02物料!$D$5:$D$460,MATCH(ROW()-3-N(对接源_01水果!$T$1),对接源_02物料!$Q$5:$Q$460,0)),"")))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9" s="26" t="str">
        <f>IF($B299="","",IF($B299="01水果",IFERROR(INDEX(对接源_01水果!$E$5:$E$507,MATCH(ROW()-3,对接源_01水果!$Q$5:$Q$507,0)),""),IFERROR(INDEX(对接源_02物料!$E$5:$E$460,MATCH(ROW()-3-N(对接源_01水果!$T$1),对接源_02物料!$Q$5:$Q$460,0)),"")))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9" s="27" t="str">
        <f>IF($B299="","",IF($B299="01水果",IFERROR(INDEX(对接源_01水果!$F$5:$F$507,MATCH(ROW()-3,对接源_01水果!$Q$5:$Q$507,0)),""),IFERROR(INDEX(对接源_02物料!$F$5:$F$460,MATCH(ROW()-3-N(对接源_01水果!$T$1),对接源_02物料!$Q$5:$Q$460,0)),"")))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9" s="27" t="str">
        <f>IF($B299="","",IF($B299="01水果",IFERROR(INDEX(对接源_01水果!$G$5:$G$507,MATCH(ROW()-3,对接源_01水果!$Q$5:$Q$507,0)),""),IFERROR(INDEX(对接源_02物料!$G$5:$G$460,MATCH(ROW()-3-N(对接源_01水果!$T$1),对接源_02物料!$Q$5:$Q$460,0)),"")))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9" s="26" t="str">
        <f>IFERROR(INDEX(收入成本映射!$C$4:$C$34,MATCH($D299,收入成本映射!$B$4:$B$34,0)),"不记账")</f>
        <v>不记账</v>
      </c>
      <c r="J299" s="26" t="str">
        <f t="shared" si="36"/>
        <v/>
      </c>
      <c r="K299" s="27">
        <f t="shared" si="37"/>
        <v>0</v>
      </c>
      <c r="L299" s="27">
        <v>0</v>
      </c>
      <c r="M299" s="26" t="str">
        <f>IF(OR($I299="不记账",ROUND(N($G299),2)=0),"",IFERROR(INDEX(收入成本映射!$E$4:$E$34,MATCH($D299,收入成本映射!$B$4:$B$34,0)),""))</f>
        <v/>
      </c>
      <c r="N299" s="27" t="str">
        <f t="shared" si="38"/>
        <v/>
      </c>
      <c r="O299" s="27" t="str">
        <f t="shared" si="39"/>
        <v/>
      </c>
      <c r="P299" s="26" t="str">
        <f>IF($M299="","",IFERROR(INDEX(收入成本映射!$F$4:$F$34,MATCH($D299,收入成本映射!$B$4:$B$34,0)),""))</f>
        <v/>
      </c>
      <c r="Q299" s="27" t="str">
        <f t="shared" si="40"/>
        <v/>
      </c>
      <c r="R299" s="27" t="str">
        <f t="shared" si="41"/>
        <v/>
      </c>
      <c r="S299" s="26" t="str">
        <f t="shared" si="42"/>
        <v/>
      </c>
      <c r="T299" s="27" t="str">
        <f t="shared" si="43"/>
        <v/>
      </c>
      <c r="U299" s="27" t="str">
        <f t="shared" si="44"/>
        <v/>
      </c>
      <c r="V299" s="10" t="str">
        <f>IF($B299="","",IF($B299="01水果",IFERROR(INDEX(对接源_01水果!$H$5:$H$507,MATCH(ROW()-3,对接源_01水果!$Q$5:$Q$507,0)),""),IFERROR(INDEX(对接源_02物料!$H$5:$H$460,MATCH(ROW()-3-N(对接源_01水果!$T$1),对接源_02物料!$Q$5:$Q$460,0)),"")))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0" ht="18" customHeight="1" spans="1:22">
      <c r="A300" s="10">
        <v>297</v>
      </c>
      <c r="B300" s="26" t="str">
        <f>IF(ROW()-3&lt;=N(对接源_01水果!$T$1),"01水果",IF(ROW()-3&lt;=N(对接源_01水果!$T$1)+N(对接源_02物料!$T$1),"02物料",""))</f>
        <v/>
      </c>
      <c r="C300" s="125" t="str">
        <f>IF($B300="","",IF($B300="01水果",IFERROR(INDEX(对接源_01水果!$B$5:$B$507,MATCH(ROW()-3,对接源_01水果!$Q$5:$Q$507,0)),""),IFERROR(INDEX(对接源_02物料!$B$5:$B$460,MATCH(ROW()-3-N(对接源_01水果!$T$1),对接源_02物料!$Q$5:$Q$460,0)),"")))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0" s="26" t="str">
        <f>IF($B300="","",IF($B300="01水果",IFERROR(INDEX(对接源_01水果!$C$5:$C$507,MATCH(ROW()-3,对接源_01水果!$Q$5:$Q$507,0)),""),IFERROR(INDEX(对接源_02物料!$C$5:$C$460,MATCH(ROW()-3-N(对接源_01水果!$T$1),对接源_02物料!$Q$5:$Q$460,0)),"")))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0" s="126" t="str">
        <f>IF($B300="","",IF($B300="01水果",IFERROR(INDEX(对接源_01水果!$D$5:$D$507,MATCH(ROW()-3,对接源_01水果!$Q$5:$Q$507,0)),""),IFERROR(INDEX(对接源_02物料!$D$5:$D$460,MATCH(ROW()-3-N(对接源_01水果!$T$1),对接源_02物料!$Q$5:$Q$460,0)),"")))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0" s="26" t="str">
        <f>IF($B300="","",IF($B300="01水果",IFERROR(INDEX(对接源_01水果!$E$5:$E$507,MATCH(ROW()-3,对接源_01水果!$Q$5:$Q$507,0)),""),IFERROR(INDEX(对接源_02物料!$E$5:$E$460,MATCH(ROW()-3-N(对接源_01水果!$T$1),对接源_02物料!$Q$5:$Q$460,0)),"")))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0" s="27" t="str">
        <f>IF($B300="","",IF($B300="01水果",IFERROR(INDEX(对接源_01水果!$F$5:$F$507,MATCH(ROW()-3,对接源_01水果!$Q$5:$Q$507,0)),""),IFERROR(INDEX(对接源_02物料!$F$5:$F$460,MATCH(ROW()-3-N(对接源_01水果!$T$1),对接源_02物料!$Q$5:$Q$460,0)),"")))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0" s="27" t="str">
        <f>IF($B300="","",IF($B300="01水果",IFERROR(INDEX(对接源_01水果!$G$5:$G$507,MATCH(ROW()-3,对接源_01水果!$Q$5:$Q$507,0)),""),IFERROR(INDEX(对接源_02物料!$G$5:$G$460,MATCH(ROW()-3-N(对接源_01水果!$T$1),对接源_02物料!$Q$5:$Q$460,0)),"")))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0" s="26" t="str">
        <f>IFERROR(INDEX(收入成本映射!$C$4:$C$34,MATCH($D300,收入成本映射!$B$4:$B$34,0)),"不记账")</f>
        <v>不记账</v>
      </c>
      <c r="J300" s="26" t="str">
        <f t="shared" si="36"/>
        <v/>
      </c>
      <c r="K300" s="27">
        <f t="shared" si="37"/>
        <v>0</v>
      </c>
      <c r="L300" s="27">
        <v>0</v>
      </c>
      <c r="M300" s="26" t="str">
        <f>IF(OR($I300="不记账",ROUND(N($G300),2)=0),"",IFERROR(INDEX(收入成本映射!$E$4:$E$34,MATCH($D300,收入成本映射!$B$4:$B$34,0)),""))</f>
        <v/>
      </c>
      <c r="N300" s="27" t="str">
        <f t="shared" si="38"/>
        <v/>
      </c>
      <c r="O300" s="27" t="str">
        <f t="shared" si="39"/>
        <v/>
      </c>
      <c r="P300" s="26" t="str">
        <f>IF($M300="","",IFERROR(INDEX(收入成本映射!$F$4:$F$34,MATCH($D300,收入成本映射!$B$4:$B$34,0)),""))</f>
        <v/>
      </c>
      <c r="Q300" s="27" t="str">
        <f t="shared" si="40"/>
        <v/>
      </c>
      <c r="R300" s="27" t="str">
        <f t="shared" si="41"/>
        <v/>
      </c>
      <c r="S300" s="26" t="str">
        <f t="shared" si="42"/>
        <v/>
      </c>
      <c r="T300" s="27" t="str">
        <f t="shared" si="43"/>
        <v/>
      </c>
      <c r="U300" s="27" t="str">
        <f t="shared" si="44"/>
        <v/>
      </c>
      <c r="V300" s="10" t="str">
        <f>IF($B300="","",IF($B300="01水果",IFERROR(INDEX(对接源_01水果!$H$5:$H$507,MATCH(ROW()-3,对接源_01水果!$Q$5:$Q$507,0)),""),IFERROR(INDEX(对接源_02物料!$H$5:$H$460,MATCH(ROW()-3-N(对接源_01水果!$T$1),对接源_02物料!$Q$5:$Q$460,0)),"")))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1" ht="18" customHeight="1" spans="1:22">
      <c r="A301" s="10">
        <v>298</v>
      </c>
      <c r="B301" s="26" t="str">
        <f>IF(ROW()-3&lt;=N(对接源_01水果!$T$1),"01水果",IF(ROW()-3&lt;=N(对接源_01水果!$T$1)+N(对接源_02物料!$T$1),"02物料",""))</f>
        <v/>
      </c>
      <c r="C301" s="125" t="str">
        <f>IF($B301="","",IF($B301="01水果",IFERROR(INDEX(对接源_01水果!$B$5:$B$507,MATCH(ROW()-3,对接源_01水果!$Q$5:$Q$507,0)),""),IFERROR(INDEX(对接源_02物料!$B$5:$B$460,MATCH(ROW()-3-N(对接源_01水果!$T$1),对接源_02物料!$Q$5:$Q$460,0)),"")))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1" s="26" t="str">
        <f>IF($B301="","",IF($B301="01水果",IFERROR(INDEX(对接源_01水果!$C$5:$C$507,MATCH(ROW()-3,对接源_01水果!$Q$5:$Q$507,0)),""),IFERROR(INDEX(对接源_02物料!$C$5:$C$460,MATCH(ROW()-3-N(对接源_01水果!$T$1),对接源_02物料!$Q$5:$Q$460,0)),"")))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1" s="126" t="str">
        <f>IF($B301="","",IF($B301="01水果",IFERROR(INDEX(对接源_01水果!$D$5:$D$507,MATCH(ROW()-3,对接源_01水果!$Q$5:$Q$507,0)),""),IFERROR(INDEX(对接源_02物料!$D$5:$D$460,MATCH(ROW()-3-N(对接源_01水果!$T$1),对接源_02物料!$Q$5:$Q$460,0)),"")))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1" s="26" t="str">
        <f>IF($B301="","",IF($B301="01水果",IFERROR(INDEX(对接源_01水果!$E$5:$E$507,MATCH(ROW()-3,对接源_01水果!$Q$5:$Q$507,0)),""),IFERROR(INDEX(对接源_02物料!$E$5:$E$460,MATCH(ROW()-3-N(对接源_01水果!$T$1),对接源_02物料!$Q$5:$Q$460,0)),"")))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1" s="27" t="str">
        <f>IF($B301="","",IF($B301="01水果",IFERROR(INDEX(对接源_01水果!$F$5:$F$507,MATCH(ROW()-3,对接源_01水果!$Q$5:$Q$507,0)),""),IFERROR(INDEX(对接源_02物料!$F$5:$F$460,MATCH(ROW()-3-N(对接源_01水果!$T$1),对接源_02物料!$Q$5:$Q$460,0)),"")))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1" s="27" t="str">
        <f>IF($B301="","",IF($B301="01水果",IFERROR(INDEX(对接源_01水果!$G$5:$G$507,MATCH(ROW()-3,对接源_01水果!$Q$5:$Q$507,0)),""),IFERROR(INDEX(对接源_02物料!$G$5:$G$460,MATCH(ROW()-3-N(对接源_01水果!$T$1),对接源_02物料!$Q$5:$Q$460,0)),"")))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1" s="26" t="str">
        <f>IFERROR(INDEX(收入成本映射!$C$4:$C$34,MATCH($D301,收入成本映射!$B$4:$B$34,0)),"不记账")</f>
        <v>不记账</v>
      </c>
      <c r="J301" s="26" t="str">
        <f t="shared" si="36"/>
        <v/>
      </c>
      <c r="K301" s="27">
        <f t="shared" si="37"/>
        <v>0</v>
      </c>
      <c r="L301" s="27">
        <v>0</v>
      </c>
      <c r="M301" s="26" t="str">
        <f>IF(OR($I301="不记账",ROUND(N($G301),2)=0),"",IFERROR(INDEX(收入成本映射!$E$4:$E$34,MATCH($D301,收入成本映射!$B$4:$B$34,0)),""))</f>
        <v/>
      </c>
      <c r="N301" s="27" t="str">
        <f t="shared" si="38"/>
        <v/>
      </c>
      <c r="O301" s="27" t="str">
        <f t="shared" si="39"/>
        <v/>
      </c>
      <c r="P301" s="26" t="str">
        <f>IF($M301="","",IFERROR(INDEX(收入成本映射!$F$4:$F$34,MATCH($D301,收入成本映射!$B$4:$B$34,0)),""))</f>
        <v/>
      </c>
      <c r="Q301" s="27" t="str">
        <f t="shared" si="40"/>
        <v/>
      </c>
      <c r="R301" s="27" t="str">
        <f t="shared" si="41"/>
        <v/>
      </c>
      <c r="S301" s="26" t="str">
        <f t="shared" si="42"/>
        <v/>
      </c>
      <c r="T301" s="27" t="str">
        <f t="shared" si="43"/>
        <v/>
      </c>
      <c r="U301" s="27" t="str">
        <f t="shared" si="44"/>
        <v/>
      </c>
      <c r="V301" s="10" t="str">
        <f>IF($B301="","",IF($B301="01水果",IFERROR(INDEX(对接源_01水果!$H$5:$H$507,MATCH(ROW()-3,对接源_01水果!$Q$5:$Q$507,0)),""),IFERROR(INDEX(对接源_02物料!$H$5:$H$460,MATCH(ROW()-3-N(对接源_01水果!$T$1),对接源_02物料!$Q$5:$Q$460,0)),"")))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2" ht="18" customHeight="1" spans="1:22">
      <c r="A302" s="10">
        <v>299</v>
      </c>
      <c r="B302" s="26" t="str">
        <f>IF(ROW()-3&lt;=N(对接源_01水果!$T$1),"01水果",IF(ROW()-3&lt;=N(对接源_01水果!$T$1)+N(对接源_02物料!$T$1),"02物料",""))</f>
        <v/>
      </c>
      <c r="C302" s="125" t="str">
        <f>IF($B302="","",IF($B302="01水果",IFERROR(INDEX(对接源_01水果!$B$5:$B$507,MATCH(ROW()-3,对接源_01水果!$Q$5:$Q$507,0)),""),IFERROR(INDEX(对接源_02物料!$B$5:$B$460,MATCH(ROW()-3-N(对接源_01水果!$T$1),对接源_02物料!$Q$5:$Q$460,0)),"")))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2" s="26" t="str">
        <f>IF($B302="","",IF($B302="01水果",IFERROR(INDEX(对接源_01水果!$C$5:$C$507,MATCH(ROW()-3,对接源_01水果!$Q$5:$Q$507,0)),""),IFERROR(INDEX(对接源_02物料!$C$5:$C$460,MATCH(ROW()-3-N(对接源_01水果!$T$1),对接源_02物料!$Q$5:$Q$460,0)),"")))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2" s="126" t="str">
        <f>IF($B302="","",IF($B302="01水果",IFERROR(INDEX(对接源_01水果!$D$5:$D$507,MATCH(ROW()-3,对接源_01水果!$Q$5:$Q$507,0)),""),IFERROR(INDEX(对接源_02物料!$D$5:$D$460,MATCH(ROW()-3-N(对接源_01水果!$T$1),对接源_02物料!$Q$5:$Q$460,0)),"")))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2" s="26" t="str">
        <f>IF($B302="","",IF($B302="01水果",IFERROR(INDEX(对接源_01水果!$E$5:$E$507,MATCH(ROW()-3,对接源_01水果!$Q$5:$Q$507,0)),""),IFERROR(INDEX(对接源_02物料!$E$5:$E$460,MATCH(ROW()-3-N(对接源_01水果!$T$1),对接源_02物料!$Q$5:$Q$460,0)),"")))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2" s="27" t="str">
        <f>IF($B302="","",IF($B302="01水果",IFERROR(INDEX(对接源_01水果!$F$5:$F$507,MATCH(ROW()-3,对接源_01水果!$Q$5:$Q$507,0)),""),IFERROR(INDEX(对接源_02物料!$F$5:$F$460,MATCH(ROW()-3-N(对接源_01水果!$T$1),对接源_02物料!$Q$5:$Q$460,0)),"")))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2" s="27" t="str">
        <f>IF($B302="","",IF($B302="01水果",IFERROR(INDEX(对接源_01水果!$G$5:$G$507,MATCH(ROW()-3,对接源_01水果!$Q$5:$Q$507,0)),""),IFERROR(INDEX(对接源_02物料!$G$5:$G$460,MATCH(ROW()-3-N(对接源_01水果!$T$1),对接源_02物料!$Q$5:$Q$460,0)),"")))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2" s="26" t="str">
        <f>IFERROR(INDEX(收入成本映射!$C$4:$C$34,MATCH($D302,收入成本映射!$B$4:$B$34,0)),"不记账")</f>
        <v>不记账</v>
      </c>
      <c r="J302" s="26" t="str">
        <f t="shared" si="36"/>
        <v/>
      </c>
      <c r="K302" s="27">
        <f t="shared" si="37"/>
        <v>0</v>
      </c>
      <c r="L302" s="27">
        <v>0</v>
      </c>
      <c r="M302" s="26" t="str">
        <f>IF(OR($I302="不记账",ROUND(N($G302),2)=0),"",IFERROR(INDEX(收入成本映射!$E$4:$E$34,MATCH($D302,收入成本映射!$B$4:$B$34,0)),""))</f>
        <v/>
      </c>
      <c r="N302" s="27" t="str">
        <f t="shared" si="38"/>
        <v/>
      </c>
      <c r="O302" s="27" t="str">
        <f t="shared" si="39"/>
        <v/>
      </c>
      <c r="P302" s="26" t="str">
        <f>IF($M302="","",IFERROR(INDEX(收入成本映射!$F$4:$F$34,MATCH($D302,收入成本映射!$B$4:$B$34,0)),""))</f>
        <v/>
      </c>
      <c r="Q302" s="27" t="str">
        <f t="shared" si="40"/>
        <v/>
      </c>
      <c r="R302" s="27" t="str">
        <f t="shared" si="41"/>
        <v/>
      </c>
      <c r="S302" s="26" t="str">
        <f t="shared" si="42"/>
        <v/>
      </c>
      <c r="T302" s="27" t="str">
        <f t="shared" si="43"/>
        <v/>
      </c>
      <c r="U302" s="27" t="str">
        <f t="shared" si="44"/>
        <v/>
      </c>
      <c r="V302" s="10" t="str">
        <f>IF($B302="","",IF($B302="01水果",IFERROR(INDEX(对接源_01水果!$H$5:$H$507,MATCH(ROW()-3,对接源_01水果!$Q$5:$Q$507,0)),""),IFERROR(INDEX(对接源_02物料!$H$5:$H$460,MATCH(ROW()-3-N(对接源_01水果!$T$1),对接源_02物料!$Q$5:$Q$460,0)),"")))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3" ht="18" customHeight="1" spans="1:22">
      <c r="A303" s="10">
        <v>300</v>
      </c>
      <c r="B303" s="26" t="str">
        <f>IF(ROW()-3&lt;=N(对接源_01水果!$T$1),"01水果",IF(ROW()-3&lt;=N(对接源_01水果!$T$1)+N(对接源_02物料!$T$1),"02物料",""))</f>
        <v/>
      </c>
      <c r="C303" s="125" t="str">
        <f>IF($B303="","",IF($B303="01水果",IFERROR(INDEX(对接源_01水果!$B$5:$B$507,MATCH(ROW()-3,对接源_01水果!$Q$5:$Q$507,0)),""),IFERROR(INDEX(对接源_02物料!$B$5:$B$460,MATCH(ROW()-3-N(对接源_01水果!$T$1),对接源_02物料!$Q$5:$Q$460,0)),"")))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3" s="26" t="str">
        <f>IF($B303="","",IF($B303="01水果",IFERROR(INDEX(对接源_01水果!$C$5:$C$507,MATCH(ROW()-3,对接源_01水果!$Q$5:$Q$507,0)),""),IFERROR(INDEX(对接源_02物料!$C$5:$C$460,MATCH(ROW()-3-N(对接源_01水果!$T$1),对接源_02物料!$Q$5:$Q$460,0)),"")))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3" s="126" t="str">
        <f>IF($B303="","",IF($B303="01水果",IFERROR(INDEX(对接源_01水果!$D$5:$D$507,MATCH(ROW()-3,对接源_01水果!$Q$5:$Q$507,0)),""),IFERROR(INDEX(对接源_02物料!$D$5:$D$460,MATCH(ROW()-3-N(对接源_01水果!$T$1),对接源_02物料!$Q$5:$Q$460,0)),"")))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3" s="26" t="str">
        <f>IF($B303="","",IF($B303="01水果",IFERROR(INDEX(对接源_01水果!$E$5:$E$507,MATCH(ROW()-3,对接源_01水果!$Q$5:$Q$507,0)),""),IFERROR(INDEX(对接源_02物料!$E$5:$E$460,MATCH(ROW()-3-N(对接源_01水果!$T$1),对接源_02物料!$Q$5:$Q$460,0)),"")))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3" s="27" t="str">
        <f>IF($B303="","",IF($B303="01水果",IFERROR(INDEX(对接源_01水果!$F$5:$F$507,MATCH(ROW()-3,对接源_01水果!$Q$5:$Q$507,0)),""),IFERROR(INDEX(对接源_02物料!$F$5:$F$460,MATCH(ROW()-3-N(对接源_01水果!$T$1),对接源_02物料!$Q$5:$Q$460,0)),"")))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3" s="27" t="str">
        <f>IF($B303="","",IF($B303="01水果",IFERROR(INDEX(对接源_01水果!$G$5:$G$507,MATCH(ROW()-3,对接源_01水果!$Q$5:$Q$507,0)),""),IFERROR(INDEX(对接源_02物料!$G$5:$G$460,MATCH(ROW()-3-N(对接源_01水果!$T$1),对接源_02物料!$Q$5:$Q$460,0)),"")))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3" s="26" t="str">
        <f>IFERROR(INDEX(收入成本映射!$C$4:$C$34,MATCH($D303,收入成本映射!$B$4:$B$34,0)),"不记账")</f>
        <v>不记账</v>
      </c>
      <c r="J303" s="26" t="str">
        <f t="shared" si="36"/>
        <v/>
      </c>
      <c r="K303" s="27">
        <f t="shared" si="37"/>
        <v>0</v>
      </c>
      <c r="L303" s="27">
        <v>0</v>
      </c>
      <c r="M303" s="26" t="str">
        <f>IF(OR($I303="不记账",ROUND(N($G303),2)=0),"",IFERROR(INDEX(收入成本映射!$E$4:$E$34,MATCH($D303,收入成本映射!$B$4:$B$34,0)),""))</f>
        <v/>
      </c>
      <c r="N303" s="27" t="str">
        <f t="shared" si="38"/>
        <v/>
      </c>
      <c r="O303" s="27" t="str">
        <f t="shared" si="39"/>
        <v/>
      </c>
      <c r="P303" s="26" t="str">
        <f>IF($M303="","",IFERROR(INDEX(收入成本映射!$F$4:$F$34,MATCH($D303,收入成本映射!$B$4:$B$34,0)),""))</f>
        <v/>
      </c>
      <c r="Q303" s="27" t="str">
        <f t="shared" si="40"/>
        <v/>
      </c>
      <c r="R303" s="27" t="str">
        <f t="shared" si="41"/>
        <v/>
      </c>
      <c r="S303" s="26" t="str">
        <f t="shared" si="42"/>
        <v/>
      </c>
      <c r="T303" s="27" t="str">
        <f t="shared" si="43"/>
        <v/>
      </c>
      <c r="U303" s="27" t="str">
        <f t="shared" si="44"/>
        <v/>
      </c>
      <c r="V303" s="10" t="str">
        <f>IF($B303="","",IF($B303="01水果",IFERROR(INDEX(对接源_01水果!$H$5:$H$507,MATCH(ROW()-3,对接源_01水果!$Q$5:$Q$507,0)),""),IFERROR(INDEX(对接源_02物料!$H$5:$H$460,MATCH(ROW()-3-N(对接源_01水果!$T$1),对接源_02物料!$Q$5:$Q$460,0)),"")))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4" ht="18" customHeight="1" spans="1:22">
      <c r="A304" s="10">
        <v>301</v>
      </c>
      <c r="B304" s="26" t="str">
        <f>IF(ROW()-3&lt;=N(对接源_01水果!$T$1),"01水果",IF(ROW()-3&lt;=N(对接源_01水果!$T$1)+N(对接源_02物料!$T$1),"02物料",""))</f>
        <v/>
      </c>
      <c r="C304" s="125" t="str">
        <f>IF($B304="","",IF($B304="01水果",IFERROR(INDEX(对接源_01水果!$B$5:$B$507,MATCH(ROW()-3,对接源_01水果!$Q$5:$Q$507,0)),""),IFERROR(INDEX(对接源_02物料!$B$5:$B$460,MATCH(ROW()-3-N(对接源_01水果!$T$1),对接源_02物料!$Q$5:$Q$460,0)),"")))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4" s="26" t="str">
        <f>IF($B304="","",IF($B304="01水果",IFERROR(INDEX(对接源_01水果!$C$5:$C$507,MATCH(ROW()-3,对接源_01水果!$Q$5:$Q$507,0)),""),IFERROR(INDEX(对接源_02物料!$C$5:$C$460,MATCH(ROW()-3-N(对接源_01水果!$T$1),对接源_02物料!$Q$5:$Q$460,0)),"")))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4" s="126" t="str">
        <f>IF($B304="","",IF($B304="01水果",IFERROR(INDEX(对接源_01水果!$D$5:$D$507,MATCH(ROW()-3,对接源_01水果!$Q$5:$Q$507,0)),""),IFERROR(INDEX(对接源_02物料!$D$5:$D$460,MATCH(ROW()-3-N(对接源_01水果!$T$1),对接源_02物料!$Q$5:$Q$460,0)),"")))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4" s="26" t="str">
        <f>IF($B304="","",IF($B304="01水果",IFERROR(INDEX(对接源_01水果!$E$5:$E$507,MATCH(ROW()-3,对接源_01水果!$Q$5:$Q$507,0)),""),IFERROR(INDEX(对接源_02物料!$E$5:$E$460,MATCH(ROW()-3-N(对接源_01水果!$T$1),对接源_02物料!$Q$5:$Q$460,0)),"")))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4" s="27" t="str">
        <f>IF($B304="","",IF($B304="01水果",IFERROR(INDEX(对接源_01水果!$F$5:$F$507,MATCH(ROW()-3,对接源_01水果!$Q$5:$Q$507,0)),""),IFERROR(INDEX(对接源_02物料!$F$5:$F$460,MATCH(ROW()-3-N(对接源_01水果!$T$1),对接源_02物料!$Q$5:$Q$460,0)),"")))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4" s="27" t="str">
        <f>IF($B304="","",IF($B304="01水果",IFERROR(INDEX(对接源_01水果!$G$5:$G$507,MATCH(ROW()-3,对接源_01水果!$Q$5:$Q$507,0)),""),IFERROR(INDEX(对接源_02物料!$G$5:$G$460,MATCH(ROW()-3-N(对接源_01水果!$T$1),对接源_02物料!$Q$5:$Q$460,0)),"")))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4" s="26" t="str">
        <f>IFERROR(INDEX(收入成本映射!$C$4:$C$34,MATCH($D304,收入成本映射!$B$4:$B$34,0)),"不记账")</f>
        <v>不记账</v>
      </c>
      <c r="J304" s="26" t="str">
        <f t="shared" si="36"/>
        <v/>
      </c>
      <c r="K304" s="27">
        <f t="shared" si="37"/>
        <v>0</v>
      </c>
      <c r="L304" s="27">
        <v>0</v>
      </c>
      <c r="M304" s="26" t="str">
        <f>IF(OR($I304="不记账",ROUND(N($G304),2)=0),"",IFERROR(INDEX(收入成本映射!$E$4:$E$34,MATCH($D304,收入成本映射!$B$4:$B$34,0)),""))</f>
        <v/>
      </c>
      <c r="N304" s="27" t="str">
        <f t="shared" si="38"/>
        <v/>
      </c>
      <c r="O304" s="27" t="str">
        <f t="shared" si="39"/>
        <v/>
      </c>
      <c r="P304" s="26" t="str">
        <f>IF($M304="","",IFERROR(INDEX(收入成本映射!$F$4:$F$34,MATCH($D304,收入成本映射!$B$4:$B$34,0)),""))</f>
        <v/>
      </c>
      <c r="Q304" s="27" t="str">
        <f t="shared" si="40"/>
        <v/>
      </c>
      <c r="R304" s="27" t="str">
        <f t="shared" si="41"/>
        <v/>
      </c>
      <c r="S304" s="26" t="str">
        <f t="shared" si="42"/>
        <v/>
      </c>
      <c r="T304" s="27" t="str">
        <f t="shared" si="43"/>
        <v/>
      </c>
      <c r="U304" s="27" t="str">
        <f t="shared" si="44"/>
        <v/>
      </c>
      <c r="V304" s="10" t="str">
        <f>IF($B304="","",IF($B304="01水果",IFERROR(INDEX(对接源_01水果!$H$5:$H$507,MATCH(ROW()-3,对接源_01水果!$Q$5:$Q$507,0)),""),IFERROR(INDEX(对接源_02物料!$H$5:$H$460,MATCH(ROW()-3-N(对接源_01水果!$T$1),对接源_02物料!$Q$5:$Q$460,0)),"")))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5" ht="18" customHeight="1" spans="1:22">
      <c r="A305" s="10">
        <v>302</v>
      </c>
      <c r="B305" s="26" t="str">
        <f>IF(ROW()-3&lt;=N(对接源_01水果!$T$1),"01水果",IF(ROW()-3&lt;=N(对接源_01水果!$T$1)+N(对接源_02物料!$T$1),"02物料",""))</f>
        <v/>
      </c>
      <c r="C305" s="125" t="str">
        <f>IF($B305="","",IF($B305="01水果",IFERROR(INDEX(对接源_01水果!$B$5:$B$507,MATCH(ROW()-3,对接源_01水果!$Q$5:$Q$507,0)),""),IFERROR(INDEX(对接源_02物料!$B$5:$B$460,MATCH(ROW()-3-N(对接源_01水果!$T$1),对接源_02物料!$Q$5:$Q$460,0)),"")))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5" s="26" t="str">
        <f>IF($B305="","",IF($B305="01水果",IFERROR(INDEX(对接源_01水果!$C$5:$C$507,MATCH(ROW()-3,对接源_01水果!$Q$5:$Q$507,0)),""),IFERROR(INDEX(对接源_02物料!$C$5:$C$460,MATCH(ROW()-3-N(对接源_01水果!$T$1),对接源_02物料!$Q$5:$Q$460,0)),"")))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5" s="126" t="str">
        <f>IF($B305="","",IF($B305="01水果",IFERROR(INDEX(对接源_01水果!$D$5:$D$507,MATCH(ROW()-3,对接源_01水果!$Q$5:$Q$507,0)),""),IFERROR(INDEX(对接源_02物料!$D$5:$D$460,MATCH(ROW()-3-N(对接源_01水果!$T$1),对接源_02物料!$Q$5:$Q$460,0)),"")))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5" s="26" t="str">
        <f>IF($B305="","",IF($B305="01水果",IFERROR(INDEX(对接源_01水果!$E$5:$E$507,MATCH(ROW()-3,对接源_01水果!$Q$5:$Q$507,0)),""),IFERROR(INDEX(对接源_02物料!$E$5:$E$460,MATCH(ROW()-3-N(对接源_01水果!$T$1),对接源_02物料!$Q$5:$Q$460,0)),"")))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5" s="27" t="str">
        <f>IF($B305="","",IF($B305="01水果",IFERROR(INDEX(对接源_01水果!$F$5:$F$507,MATCH(ROW()-3,对接源_01水果!$Q$5:$Q$507,0)),""),IFERROR(INDEX(对接源_02物料!$F$5:$F$460,MATCH(ROW()-3-N(对接源_01水果!$T$1),对接源_02物料!$Q$5:$Q$460,0)),"")))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5" s="27" t="str">
        <f>IF($B305="","",IF($B305="01水果",IFERROR(INDEX(对接源_01水果!$G$5:$G$507,MATCH(ROW()-3,对接源_01水果!$Q$5:$Q$507,0)),""),IFERROR(INDEX(对接源_02物料!$G$5:$G$460,MATCH(ROW()-3-N(对接源_01水果!$T$1),对接源_02物料!$Q$5:$Q$460,0)),"")))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5" s="26" t="str">
        <f>IFERROR(INDEX(收入成本映射!$C$4:$C$34,MATCH($D305,收入成本映射!$B$4:$B$34,0)),"不记账")</f>
        <v>不记账</v>
      </c>
      <c r="J305" s="26" t="str">
        <f t="shared" si="36"/>
        <v/>
      </c>
      <c r="K305" s="27">
        <f t="shared" si="37"/>
        <v>0</v>
      </c>
      <c r="L305" s="27">
        <v>0</v>
      </c>
      <c r="M305" s="26" t="str">
        <f>IF(OR($I305="不记账",ROUND(N($G305),2)=0),"",IFERROR(INDEX(收入成本映射!$E$4:$E$34,MATCH($D305,收入成本映射!$B$4:$B$34,0)),""))</f>
        <v/>
      </c>
      <c r="N305" s="27" t="str">
        <f t="shared" si="38"/>
        <v/>
      </c>
      <c r="O305" s="27" t="str">
        <f t="shared" si="39"/>
        <v/>
      </c>
      <c r="P305" s="26" t="str">
        <f>IF($M305="","",IFERROR(INDEX(收入成本映射!$F$4:$F$34,MATCH($D305,收入成本映射!$B$4:$B$34,0)),""))</f>
        <v/>
      </c>
      <c r="Q305" s="27" t="str">
        <f t="shared" si="40"/>
        <v/>
      </c>
      <c r="R305" s="27" t="str">
        <f t="shared" si="41"/>
        <v/>
      </c>
      <c r="S305" s="26" t="str">
        <f t="shared" si="42"/>
        <v/>
      </c>
      <c r="T305" s="27" t="str">
        <f t="shared" si="43"/>
        <v/>
      </c>
      <c r="U305" s="27" t="str">
        <f t="shared" si="44"/>
        <v/>
      </c>
      <c r="V305" s="10" t="str">
        <f>IF($B305="","",IF($B305="01水果",IFERROR(INDEX(对接源_01水果!$H$5:$H$507,MATCH(ROW()-3,对接源_01水果!$Q$5:$Q$507,0)),""),IFERROR(INDEX(对接源_02物料!$H$5:$H$460,MATCH(ROW()-3-N(对接源_01水果!$T$1),对接源_02物料!$Q$5:$Q$460,0)),"")))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6" ht="16.5" customHeight="1" spans="1:22">
      <c r="A306" s="28"/>
      <c r="B306" s="28"/>
      <c r="C306" s="28"/>
      <c r="D306" s="29" t="s">
        <v>220</v>
      </c>
      <c r="E306" s="28"/>
      <c r="F306" s="28"/>
      <c r="G306" s="30">
        <f>ROUND(SUM(G4:G305),2)</f>
        <v>0</v>
      </c>
      <c r="H306" s="30">
        <f>ROUND(SUM(H4:H305),2)</f>
        <v>0</v>
      </c>
      <c r="I306" s="28"/>
      <c r="J306" s="28"/>
      <c r="K306" s="30">
        <f>ROUND(SUM(K4:K305),2)</f>
        <v>0</v>
      </c>
      <c r="L306" s="30">
        <f>ROUND(SUM(L4:L305),2)</f>
        <v>0</v>
      </c>
      <c r="M306" s="28"/>
      <c r="N306" s="30">
        <f>ROUND(SUM(N4:N305),2)</f>
        <v>0</v>
      </c>
      <c r="O306" s="30">
        <f>ROUND(SUM(O4:O305),2)</f>
        <v>0</v>
      </c>
      <c r="P306" s="28"/>
      <c r="Q306" s="30">
        <f>ROUND(SUM(Q4:Q305),2)</f>
        <v>0</v>
      </c>
      <c r="R306" s="30">
        <f>ROUND(SUM(R4:R305),2)</f>
        <v>0</v>
      </c>
      <c r="S306" s="28"/>
      <c r="T306" s="30">
        <f>ROUND(SUM(T4:T305),2)</f>
        <v>0</v>
      </c>
      <c r="U306" s="30">
        <f>ROUND(SUM(U4:U305),2)</f>
        <v>0</v>
      </c>
      <c r="V306" s="28"/>
    </row>
  </sheetData>
  <autoFilter xmlns:etc="http://www.wps.cn/officeDocument/2017/etCustomData" ref="A3:V306" etc:filterBottomFollowUsedRange="0">
    <extLst/>
  </autoFilter>
  <mergeCells count="2">
    <mergeCell ref="A1:V1"/>
    <mergeCell ref="A2:V2"/>
  </mergeCells>
  <conditionalFormatting sqref="A2">
    <cfRule type="expression" dxfId="0" priority="1">
      <formula>OR(N(N(对接源_01水果!$T$1))+N(N(对接源_02物料!$T$1))=0,N(N(对接源_01水果!$T$1))+N(N(对接源_02物料!$T$1))&gt;302,N(对接源_01水果!$T$4)*N(对接源_02物料!$T$4)=0)</formula>
    </cfRule>
  </conditionalFormatting>
  <pageMargins left="0.3" right="0.3" top="0.4" bottom="0.4" header="0.5" footer="0.5"/>
  <pageSetup paperSize="9" fitToHeight="0" orientation="landscape"/>
  <headerFooter>
    <oddFooter>&amp;L&amp;A&amp;R第 &amp;P 页 / 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U1029"/>
  <sheetViews>
    <sheetView workbookViewId="0">
      <pane xSplit="4" ySplit="4" topLeftCell="E5" activePane="bottomRight" state="frozen"/>
      <selection/>
      <selection pane="topRight"/>
      <selection pane="bottomLeft"/>
      <selection pane="bottomRight" activeCell="J24" sqref="J24"/>
    </sheetView>
  </sheetViews>
  <sheetFormatPr defaultColWidth="9" defaultRowHeight="13.5"/>
  <cols>
    <col min="1" max="1" width="6" customWidth="1"/>
    <col min="2" max="2" width="15" customWidth="1"/>
    <col min="3" max="3" width="11" customWidth="1"/>
    <col min="4" max="5" width="12" customWidth="1"/>
    <col min="6" max="6" width="13" customWidth="1"/>
    <col min="7" max="7" width="11" customWidth="1"/>
    <col min="8" max="8" width="16" customWidth="1"/>
    <col min="9" max="9" width="11" customWidth="1"/>
    <col min="10" max="10" width="12" customWidth="1"/>
    <col min="11" max="11" width="14" customWidth="1"/>
    <col min="12" max="12" width="10" customWidth="1"/>
    <col min="13" max="13" width="12" customWidth="1"/>
    <col min="14" max="14" width="16" customWidth="1"/>
    <col min="18" max="20" width="4" hidden="1" customWidth="1"/>
    <col min="21" max="21" width="12" hidden="1" customWidth="1"/>
  </cols>
  <sheetData>
    <row r="1" ht="30" customHeight="1" spans="1:21">
      <c r="A1" s="71" t="s">
        <v>221</v>
      </c>
    </row>
    <row r="2" ht="18" customHeight="1" spans="1:21">
      <c r="A2" s="72" t="s">
        <v>222</v>
      </c>
    </row>
    <row r="3" ht="20" customHeight="1" spans="1:21">
      <c r="A3" s="121" t="s">
        <v>223</v>
      </c>
    </row>
    <row r="4" ht="30" customHeight="1" spans="1:21">
      <c r="A4" s="73" t="s">
        <v>3</v>
      </c>
      <c r="B4" s="73" t="s">
        <v>224</v>
      </c>
      <c r="C4" s="73" t="s">
        <v>188</v>
      </c>
      <c r="D4" s="73" t="s">
        <v>225</v>
      </c>
      <c r="E4" s="73" t="s">
        <v>226</v>
      </c>
      <c r="F4" s="73" t="s">
        <v>227</v>
      </c>
      <c r="G4" s="73" t="s">
        <v>228</v>
      </c>
      <c r="H4" s="73" t="s">
        <v>229</v>
      </c>
      <c r="I4" s="73" t="s">
        <v>230</v>
      </c>
      <c r="J4" s="73" t="s">
        <v>231</v>
      </c>
      <c r="K4" s="73" t="s">
        <v>232</v>
      </c>
      <c r="L4" s="73" t="s">
        <v>233</v>
      </c>
      <c r="M4" s="73" t="s">
        <v>234</v>
      </c>
      <c r="N4" s="73" t="s">
        <v>172</v>
      </c>
    </row>
    <row r="5" spans="1:21">
      <c r="A5" s="74">
        <f t="shared" ref="A5:A68" si="0">IF($B5="","",ROW()-4)</f>
        <v>1</v>
      </c>
      <c r="B5" s="75" t="str">
        <f>IFERROR(INDEX(对接源_01入库吨位!$B$5:$B$304,MATCH(INT((ROW()-5)/3)+1,对接源_01入库吨位!$S$5:$S$304,0)),"")</f>
        <v>聂新平</v>
      </c>
      <c r="C5" s="75" t="str">
        <f>IFERROR(INDEX(对接源_01入库吨位!$C$5:$C$304,MATCH(INT((ROW()-5)/3)+1,对接源_01入库吨位!$S$5:$S$304,0)),"")</f>
        <v>苹果</v>
      </c>
      <c r="D5" s="89" t="str">
        <f t="shared" ref="D5:D68" si="1">IF($B5="","",IF(MOD(ROW()-5,3)=0,"周转打冷",IF(MOD(ROW()-5,3)=1,"仓储加工","装卸费")))</f>
        <v>周转打冷</v>
      </c>
      <c r="E5" s="42">
        <f>IF($B5="","",IFERROR(IF($D5="周转打冷",N(INDEX(对接源_01入库吨位!$D$5:$D$304,MATCH(INT((ROW()-5)/3)+1,对接源_01入库吨位!$S$5:$S$304,0))),IF($D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1729</v>
      </c>
      <c r="F5" s="76">
        <f>IF($B5="","",ROUND(IFERROR(IF($D5="周转打冷",N(INDEX(对接源_01入库吨位!$H$5:$H$304,MATCH(INT((ROW()-5)/3)+1,对接源_01入库吨位!$S$5:$S$304,0))),IF($D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37692.2</v>
      </c>
      <c r="G5" s="122">
        <f t="shared" ref="G5:G68" si="2">IF($B5="","",ROUND(N($F5)/1000,3))</f>
        <v>37.692</v>
      </c>
      <c r="H5" s="43"/>
      <c r="I5" s="107"/>
      <c r="J5" s="123">
        <f t="shared" ref="J5:J68" si="3">IF($B5="","",IF($H5="按筐数×单价",N($E5),IF($H5="按总重KG×单价",N($F5),IF($H5="按吨位×单价",N($G5),0))))</f>
        <v>0</v>
      </c>
      <c r="K5" s="76">
        <f t="shared" ref="K5:K68" si="4">IF($B5="","",ROUND(N($J5)*N($I5),2))</f>
        <v>0</v>
      </c>
      <c r="L5" s="43"/>
      <c r="M5" s="7"/>
      <c r="N5" s="106"/>
      <c r="R5" s="3" t="str">
        <f t="shared" ref="R5:R68" si="5">IF($B5="","",$B5)</f>
        <v>聂新平</v>
      </c>
      <c r="S5" s="3">
        <f t="shared" ref="S5:S68" si="6">IF($R5="",0,IF(MATCH($R5,$R$5:$R$904,0)=ROW()-4,1,0))</f>
        <v>1</v>
      </c>
      <c r="T5" s="3">
        <f t="shared" ref="T5:T68" si="7">N(T4)+$S5</f>
        <v>1</v>
      </c>
      <c r="U5" s="3" t="str">
        <f>IFERROR(INDEX($B$5:$B$904,MATCH(1,$T$5:$T$904,0)),"")</f>
        <v>聂新平</v>
      </c>
    </row>
    <row r="6" spans="1:21">
      <c r="A6" s="74">
        <f t="shared" si="0"/>
        <v>2</v>
      </c>
      <c r="B6" s="75" t="str">
        <f>IFERROR(INDEX(对接源_01入库吨位!$B$5:$B$304,MATCH(INT((ROW()-5)/3)+1,对接源_01入库吨位!$S$5:$S$304,0)),"")</f>
        <v>聂新平</v>
      </c>
      <c r="C6" s="75" t="str">
        <f>IFERROR(INDEX(对接源_01入库吨位!$C$5:$C$304,MATCH(INT((ROW()-5)/3)+1,对接源_01入库吨位!$S$5:$S$304,0)),"")</f>
        <v>苹果</v>
      </c>
      <c r="D6" s="89" t="str">
        <f t="shared" si="1"/>
        <v>仓储加工</v>
      </c>
      <c r="E6" s="42">
        <f>IF($B6="","",IFERROR(IF($D6="周转打冷",N(INDEX(对接源_01入库吨位!$D$5:$D$304,MATCH(INT((ROW()-5)/3)+1,对接源_01入库吨位!$S$5:$S$304,0))),IF($D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6" s="76">
        <f>IF($B6="","",ROUND(IFERROR(IF($D6="周转打冷",N(INDEX(对接源_01入库吨位!$H$5:$H$304,MATCH(INT((ROW()-5)/3)+1,对接源_01入库吨位!$S$5:$S$304,0))),IF($D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6" s="122">
        <f t="shared" si="2"/>
        <v>0</v>
      </c>
      <c r="H6" s="43"/>
      <c r="I6" s="107"/>
      <c r="J6" s="123">
        <f t="shared" si="3"/>
        <v>0</v>
      </c>
      <c r="K6" s="76">
        <f t="shared" si="4"/>
        <v>0</v>
      </c>
      <c r="L6" s="43"/>
      <c r="M6" s="7"/>
      <c r="N6" s="106"/>
      <c r="R6" s="3" t="str">
        <f t="shared" si="5"/>
        <v>聂新平</v>
      </c>
      <c r="S6" s="3">
        <f t="shared" si="6"/>
        <v>0</v>
      </c>
      <c r="T6" s="3">
        <f t="shared" si="7"/>
        <v>1</v>
      </c>
      <c r="U6" s="3" t="str">
        <f>IFERROR(INDEX($B$5:$B$904,MATCH(2,$T$5:$T$904,0)),"")</f>
        <v>王照雪</v>
      </c>
    </row>
    <row r="7" spans="1:21">
      <c r="A7" s="74">
        <f t="shared" si="0"/>
        <v>3</v>
      </c>
      <c r="B7" s="75" t="str">
        <f>IFERROR(INDEX(对接源_01入库吨位!$B$5:$B$304,MATCH(INT((ROW()-5)/3)+1,对接源_01入库吨位!$S$5:$S$304,0)),"")</f>
        <v>聂新平</v>
      </c>
      <c r="C7" s="75" t="str">
        <f>IFERROR(INDEX(对接源_01入库吨位!$C$5:$C$304,MATCH(INT((ROW()-5)/3)+1,对接源_01入库吨位!$S$5:$S$304,0)),"")</f>
        <v>苹果</v>
      </c>
      <c r="D7" s="89" t="str">
        <f t="shared" si="1"/>
        <v>装卸费</v>
      </c>
      <c r="E7" s="42">
        <f>IF($B7="","",IFERROR(IF($D7="周转打冷",N(INDEX(对接源_01入库吨位!$D$5:$D$304,MATCH(INT((ROW()-5)/3)+1,对接源_01入库吨位!$S$5:$S$304,0))),IF($D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1729</v>
      </c>
      <c r="F7" s="76">
        <f>IF($B7="","",ROUND(IFERROR(IF($D7="周转打冷",N(INDEX(对接源_01入库吨位!$H$5:$H$304,MATCH(INT((ROW()-5)/3)+1,对接源_01入库吨位!$S$5:$S$304,0))),IF($D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37692.2</v>
      </c>
      <c r="G7" s="122">
        <f t="shared" si="2"/>
        <v>37.692</v>
      </c>
      <c r="H7" s="43"/>
      <c r="I7" s="107"/>
      <c r="J7" s="123">
        <f t="shared" si="3"/>
        <v>0</v>
      </c>
      <c r="K7" s="76">
        <f t="shared" si="4"/>
        <v>0</v>
      </c>
      <c r="L7" s="43"/>
      <c r="M7" s="7"/>
      <c r="N7" s="106"/>
      <c r="R7" s="3" t="str">
        <f t="shared" si="5"/>
        <v>聂新平</v>
      </c>
      <c r="S7" s="3">
        <f t="shared" si="6"/>
        <v>0</v>
      </c>
      <c r="T7" s="3">
        <f t="shared" si="7"/>
        <v>1</v>
      </c>
      <c r="U7" s="3" t="str">
        <f>IFERROR(INDEX($B$5:$B$904,MATCH(3,$T$5:$T$904,0)),"")</f>
        <v>伍元虎</v>
      </c>
    </row>
    <row r="8" spans="1:21">
      <c r="A8" s="74">
        <f t="shared" si="0"/>
        <v>4</v>
      </c>
      <c r="B8" s="75" t="str">
        <f>IFERROR(INDEX(对接源_01入库吨位!$B$5:$B$304,MATCH(INT((ROW()-5)/3)+1,对接源_01入库吨位!$S$5:$S$304,0)),"")</f>
        <v>王照雪</v>
      </c>
      <c r="C8" s="75" t="str">
        <f>IFERROR(INDEX(对接源_01入库吨位!$C$5:$C$304,MATCH(INT((ROW()-5)/3)+1,对接源_01入库吨位!$S$5:$S$304,0)),"")</f>
        <v>苹果</v>
      </c>
      <c r="D8" s="89" t="str">
        <f t="shared" si="1"/>
        <v>周转打冷</v>
      </c>
      <c r="E8" s="42">
        <f>IF($B8="","",IFERROR(IF($D8="周转打冷",N(INDEX(对接源_01入库吨位!$D$5:$D$304,MATCH(INT((ROW()-5)/3)+1,对接源_01入库吨位!$S$5:$S$304,0))),IF($D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1670</v>
      </c>
      <c r="F8" s="76">
        <f>IF($B8="","",ROUND(IFERROR(IF($D8="周转打冷",N(INDEX(对接源_01入库吨位!$H$5:$H$304,MATCH(INT((ROW()-5)/3)+1,对接源_01入库吨位!$S$5:$S$304,0))),IF($D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29222</v>
      </c>
      <c r="G8" s="122">
        <f t="shared" si="2"/>
        <v>29.222</v>
      </c>
      <c r="H8" s="43"/>
      <c r="I8" s="107"/>
      <c r="J8" s="123">
        <f t="shared" si="3"/>
        <v>0</v>
      </c>
      <c r="K8" s="76">
        <f t="shared" si="4"/>
        <v>0</v>
      </c>
      <c r="L8" s="43"/>
      <c r="M8" s="7"/>
      <c r="N8" s="106"/>
      <c r="R8" s="3" t="str">
        <f t="shared" si="5"/>
        <v>王照雪</v>
      </c>
      <c r="S8" s="3">
        <f t="shared" si="6"/>
        <v>1</v>
      </c>
      <c r="T8" s="3">
        <f t="shared" si="7"/>
        <v>2</v>
      </c>
      <c r="U8" s="3" t="str">
        <f>IFERROR(INDEX($B$5:$B$904,MATCH(4,$T$5:$T$904,0)),"")</f>
        <v>马锦祥</v>
      </c>
    </row>
    <row r="9" spans="1:21">
      <c r="A9" s="74">
        <f t="shared" si="0"/>
        <v>5</v>
      </c>
      <c r="B9" s="75" t="str">
        <f>IFERROR(INDEX(对接源_01入库吨位!$B$5:$B$304,MATCH(INT((ROW()-5)/3)+1,对接源_01入库吨位!$S$5:$S$304,0)),"")</f>
        <v>王照雪</v>
      </c>
      <c r="C9" s="75" t="str">
        <f>IFERROR(INDEX(对接源_01入库吨位!$C$5:$C$304,MATCH(INT((ROW()-5)/3)+1,对接源_01入库吨位!$S$5:$S$304,0)),"")</f>
        <v>苹果</v>
      </c>
      <c r="D9" s="89" t="str">
        <f t="shared" si="1"/>
        <v>仓储加工</v>
      </c>
      <c r="E9" s="42">
        <f>IF($B9="","",IFERROR(IF($D9="周转打冷",N(INDEX(对接源_01入库吨位!$D$5:$D$304,MATCH(INT((ROW()-5)/3)+1,对接源_01入库吨位!$S$5:$S$304,0))),IF($D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9" s="76">
        <f>IF($B9="","",ROUND(IFERROR(IF($D9="周转打冷",N(INDEX(对接源_01入库吨位!$H$5:$H$304,MATCH(INT((ROW()-5)/3)+1,对接源_01入库吨位!$S$5:$S$304,0))),IF($D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9" s="122">
        <f t="shared" si="2"/>
        <v>0</v>
      </c>
      <c r="H9" s="43"/>
      <c r="I9" s="107"/>
      <c r="J9" s="123">
        <f t="shared" si="3"/>
        <v>0</v>
      </c>
      <c r="K9" s="76">
        <f t="shared" si="4"/>
        <v>0</v>
      </c>
      <c r="L9" s="43"/>
      <c r="M9" s="7"/>
      <c r="N9" s="106"/>
      <c r="R9" s="3" t="str">
        <f t="shared" si="5"/>
        <v>王照雪</v>
      </c>
      <c r="S9" s="3">
        <f t="shared" si="6"/>
        <v>0</v>
      </c>
      <c r="T9" s="3">
        <f t="shared" si="7"/>
        <v>2</v>
      </c>
      <c r="U9" s="3" t="str">
        <f>IFERROR(INDEX($B$5:$B$904,MATCH(5,$T$5:$T$904,0)),"")</f>
        <v>麦麦提</v>
      </c>
    </row>
    <row r="10" spans="1:21">
      <c r="A10" s="74">
        <f t="shared" si="0"/>
        <v>6</v>
      </c>
      <c r="B10" s="75" t="str">
        <f>IFERROR(INDEX(对接源_01入库吨位!$B$5:$B$304,MATCH(INT((ROW()-5)/3)+1,对接源_01入库吨位!$S$5:$S$304,0)),"")</f>
        <v>王照雪</v>
      </c>
      <c r="C10" s="75" t="str">
        <f>IFERROR(INDEX(对接源_01入库吨位!$C$5:$C$304,MATCH(INT((ROW()-5)/3)+1,对接源_01入库吨位!$S$5:$S$304,0)),"")</f>
        <v>苹果</v>
      </c>
      <c r="D10" s="89" t="str">
        <f t="shared" si="1"/>
        <v>装卸费</v>
      </c>
      <c r="E10" s="42">
        <f>IF($B10="","",IFERROR(IF($D10="周转打冷",N(INDEX(对接源_01入库吨位!$D$5:$D$304,MATCH(INT((ROW()-5)/3)+1,对接源_01入库吨位!$S$5:$S$304,0))),IF($D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1670</v>
      </c>
      <c r="F10" s="76">
        <f>IF($B10="","",ROUND(IFERROR(IF($D10="周转打冷",N(INDEX(对接源_01入库吨位!$H$5:$H$304,MATCH(INT((ROW()-5)/3)+1,对接源_01入库吨位!$S$5:$S$304,0))),IF($D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29222</v>
      </c>
      <c r="G10" s="122">
        <f t="shared" si="2"/>
        <v>29.222</v>
      </c>
      <c r="H10" s="43"/>
      <c r="I10" s="107"/>
      <c r="J10" s="123">
        <f t="shared" si="3"/>
        <v>0</v>
      </c>
      <c r="K10" s="76">
        <f t="shared" si="4"/>
        <v>0</v>
      </c>
      <c r="L10" s="43"/>
      <c r="M10" s="7"/>
      <c r="N10" s="106"/>
      <c r="R10" s="3" t="str">
        <f t="shared" si="5"/>
        <v>王照雪</v>
      </c>
      <c r="S10" s="3">
        <f t="shared" si="6"/>
        <v>0</v>
      </c>
      <c r="T10" s="3">
        <f t="shared" si="7"/>
        <v>2</v>
      </c>
      <c r="U10" s="3" t="str">
        <f>IFERROR(INDEX($B$5:$B$904,MATCH(6,$T$5:$T$904,0)),"")</f>
        <v>吐尔洪</v>
      </c>
    </row>
    <row r="11" spans="1:21">
      <c r="A11" s="74">
        <f t="shared" si="0"/>
        <v>7</v>
      </c>
      <c r="B11" s="75" t="str">
        <f>IFERROR(INDEX(对接源_01入库吨位!$B$5:$B$304,MATCH(INT((ROW()-5)/3)+1,对接源_01入库吨位!$S$5:$S$304,0)),"")</f>
        <v>伍元虎</v>
      </c>
      <c r="C11" s="75" t="str">
        <f>IFERROR(INDEX(对接源_01入库吨位!$C$5:$C$304,MATCH(INT((ROW()-5)/3)+1,对接源_01入库吨位!$S$5:$S$304,0)),"")</f>
        <v>苹果</v>
      </c>
      <c r="D11" s="89" t="str">
        <f t="shared" si="1"/>
        <v>周转打冷</v>
      </c>
      <c r="E11" s="42">
        <f>IF($B11="","",IFERROR(IF($D11="周转打冷",N(INDEX(对接源_01入库吨位!$D$5:$D$304,MATCH(INT((ROW()-5)/3)+1,对接源_01入库吨位!$S$5:$S$304,0))),IF($D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87</v>
      </c>
      <c r="F11" s="76">
        <f>IF($B11="","",ROUND(IFERROR(IF($D11="周转打冷",N(INDEX(对接源_01入库吨位!$H$5:$H$304,MATCH(INT((ROW()-5)/3)+1,对接源_01入库吨位!$S$5:$S$304,0))),IF($D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1957.5</v>
      </c>
      <c r="G11" s="122">
        <f t="shared" si="2"/>
        <v>1.958</v>
      </c>
      <c r="H11" s="43"/>
      <c r="I11" s="107"/>
      <c r="J11" s="123">
        <f t="shared" si="3"/>
        <v>0</v>
      </c>
      <c r="K11" s="76">
        <f t="shared" si="4"/>
        <v>0</v>
      </c>
      <c r="L11" s="43"/>
      <c r="M11" s="7"/>
      <c r="N11" s="106"/>
      <c r="R11" s="3" t="str">
        <f t="shared" si="5"/>
        <v>伍元虎</v>
      </c>
      <c r="S11" s="3">
        <f t="shared" si="6"/>
        <v>1</v>
      </c>
      <c r="T11" s="3">
        <f t="shared" si="7"/>
        <v>3</v>
      </c>
      <c r="U11" s="3" t="str">
        <f>IFERROR(INDEX($B$5:$B$904,MATCH(7,$T$5:$T$904,0)),"")</f>
        <v>热合曼</v>
      </c>
    </row>
    <row r="12" spans="1:21">
      <c r="A12" s="74">
        <f t="shared" si="0"/>
        <v>8</v>
      </c>
      <c r="B12" s="75" t="str">
        <f>IFERROR(INDEX(对接源_01入库吨位!$B$5:$B$304,MATCH(INT((ROW()-5)/3)+1,对接源_01入库吨位!$S$5:$S$304,0)),"")</f>
        <v>伍元虎</v>
      </c>
      <c r="C12" s="75" t="str">
        <f>IFERROR(INDEX(对接源_01入库吨位!$C$5:$C$304,MATCH(INT((ROW()-5)/3)+1,对接源_01入库吨位!$S$5:$S$304,0)),"")</f>
        <v>苹果</v>
      </c>
      <c r="D12" s="89" t="str">
        <f t="shared" si="1"/>
        <v>仓储加工</v>
      </c>
      <c r="E12" s="42">
        <f>IF($B12="","",IFERROR(IF($D12="周转打冷",N(INDEX(对接源_01入库吨位!$D$5:$D$304,MATCH(INT((ROW()-5)/3)+1,对接源_01入库吨位!$S$5:$S$304,0))),IF($D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12" s="76">
        <f>IF($B12="","",ROUND(IFERROR(IF($D12="周转打冷",N(INDEX(对接源_01入库吨位!$H$5:$H$304,MATCH(INT((ROW()-5)/3)+1,对接源_01入库吨位!$S$5:$S$304,0))),IF($D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12" s="122">
        <f t="shared" si="2"/>
        <v>0</v>
      </c>
      <c r="H12" s="43"/>
      <c r="I12" s="107"/>
      <c r="J12" s="123">
        <f t="shared" si="3"/>
        <v>0</v>
      </c>
      <c r="K12" s="76">
        <f t="shared" si="4"/>
        <v>0</v>
      </c>
      <c r="L12" s="43"/>
      <c r="M12" s="7"/>
      <c r="N12" s="106"/>
      <c r="R12" s="3" t="str">
        <f t="shared" si="5"/>
        <v>伍元虎</v>
      </c>
      <c r="S12" s="3">
        <f t="shared" si="6"/>
        <v>0</v>
      </c>
      <c r="T12" s="3">
        <f t="shared" si="7"/>
        <v>3</v>
      </c>
      <c r="U12" s="3" t="str">
        <f>IFERROR(INDEX($B$5:$B$904,MATCH(8,$T$5:$T$904,0)),"")</f>
        <v>贾建国</v>
      </c>
    </row>
    <row r="13" spans="1:21">
      <c r="A13" s="74">
        <f t="shared" si="0"/>
        <v>9</v>
      </c>
      <c r="B13" s="75" t="str">
        <f>IFERROR(INDEX(对接源_01入库吨位!$B$5:$B$304,MATCH(INT((ROW()-5)/3)+1,对接源_01入库吨位!$S$5:$S$304,0)),"")</f>
        <v>伍元虎</v>
      </c>
      <c r="C13" s="75" t="str">
        <f>IFERROR(INDEX(对接源_01入库吨位!$C$5:$C$304,MATCH(INT((ROW()-5)/3)+1,对接源_01入库吨位!$S$5:$S$304,0)),"")</f>
        <v>苹果</v>
      </c>
      <c r="D13" s="89" t="str">
        <f t="shared" si="1"/>
        <v>装卸费</v>
      </c>
      <c r="E13" s="42">
        <f>IF($B13="","",IFERROR(IF($D13="周转打冷",N(INDEX(对接源_01入库吨位!$D$5:$D$304,MATCH(INT((ROW()-5)/3)+1,对接源_01入库吨位!$S$5:$S$304,0))),IF($D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87</v>
      </c>
      <c r="F13" s="76">
        <f>IF($B13="","",ROUND(IFERROR(IF($D13="周转打冷",N(INDEX(对接源_01入库吨位!$H$5:$H$304,MATCH(INT((ROW()-5)/3)+1,对接源_01入库吨位!$S$5:$S$304,0))),IF($D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1957.5</v>
      </c>
      <c r="G13" s="122">
        <f t="shared" si="2"/>
        <v>1.958</v>
      </c>
      <c r="H13" s="43"/>
      <c r="I13" s="107"/>
      <c r="J13" s="123">
        <f t="shared" si="3"/>
        <v>0</v>
      </c>
      <c r="K13" s="76">
        <f t="shared" si="4"/>
        <v>0</v>
      </c>
      <c r="L13" s="43"/>
      <c r="M13" s="7"/>
      <c r="N13" s="106"/>
      <c r="R13" s="3" t="str">
        <f t="shared" si="5"/>
        <v>伍元虎</v>
      </c>
      <c r="S13" s="3">
        <f t="shared" si="6"/>
        <v>0</v>
      </c>
      <c r="T13" s="3">
        <f t="shared" si="7"/>
        <v>3</v>
      </c>
      <c r="U13" s="3" t="str">
        <f>IFERROR(INDEX($B$5:$B$904,MATCH(9,$T$5:$T$904,0)),"")</f>
        <v>王灵云</v>
      </c>
    </row>
    <row r="14" spans="1:21">
      <c r="A14" s="74">
        <f t="shared" si="0"/>
        <v>10</v>
      </c>
      <c r="B14" s="75" t="str">
        <f>IFERROR(INDEX(对接源_01入库吨位!$B$5:$B$304,MATCH(INT((ROW()-5)/3)+1,对接源_01入库吨位!$S$5:$S$304,0)),"")</f>
        <v>王照雪</v>
      </c>
      <c r="C14" s="75" t="str">
        <f>IFERROR(INDEX(对接源_01入库吨位!$C$5:$C$304,MATCH(INT((ROW()-5)/3)+1,对接源_01入库吨位!$S$5:$S$304,0)),"")</f>
        <v>李子</v>
      </c>
      <c r="D14" s="89" t="str">
        <f t="shared" si="1"/>
        <v>周转打冷</v>
      </c>
      <c r="E14" s="42">
        <f>IF($B14="","",IFERROR(IF($D14="周转打冷",N(INDEX(对接源_01入库吨位!$D$5:$D$304,MATCH(INT((ROW()-5)/3)+1,对接源_01入库吨位!$S$5:$S$304,0))),IF($D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422</v>
      </c>
      <c r="F14" s="76">
        <f>IF($B14="","",ROUND(IFERROR(IF($D14="周转打冷",N(INDEX(对接源_01入库吨位!$H$5:$H$304,MATCH(INT((ROW()-5)/3)+1,对接源_01入库吨位!$S$5:$S$304,0))),IF($D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6878.6</v>
      </c>
      <c r="G14" s="122">
        <f t="shared" si="2"/>
        <v>6.879</v>
      </c>
      <c r="H14" s="43"/>
      <c r="I14" s="107"/>
      <c r="J14" s="123">
        <f t="shared" si="3"/>
        <v>0</v>
      </c>
      <c r="K14" s="76">
        <f t="shared" si="4"/>
        <v>0</v>
      </c>
      <c r="L14" s="43"/>
      <c r="M14" s="7"/>
      <c r="N14" s="106"/>
      <c r="R14" s="3" t="str">
        <f t="shared" si="5"/>
        <v>王照雪</v>
      </c>
      <c r="S14" s="3">
        <f t="shared" si="6"/>
        <v>0</v>
      </c>
      <c r="T14" s="3">
        <f t="shared" si="7"/>
        <v>3</v>
      </c>
      <c r="U14" s="3" t="str">
        <f>IFERROR(INDEX($B$5:$B$904,MATCH(10,$T$5:$T$904,0)),"")</f>
        <v>杨艳玲</v>
      </c>
    </row>
    <row r="15" spans="1:21">
      <c r="A15" s="74">
        <f t="shared" si="0"/>
        <v>11</v>
      </c>
      <c r="B15" s="75" t="str">
        <f>IFERROR(INDEX(对接源_01入库吨位!$B$5:$B$304,MATCH(INT((ROW()-5)/3)+1,对接源_01入库吨位!$S$5:$S$304,0)),"")</f>
        <v>王照雪</v>
      </c>
      <c r="C15" s="75" t="str">
        <f>IFERROR(INDEX(对接源_01入库吨位!$C$5:$C$304,MATCH(INT((ROW()-5)/3)+1,对接源_01入库吨位!$S$5:$S$304,0)),"")</f>
        <v>李子</v>
      </c>
      <c r="D15" s="89" t="str">
        <f t="shared" si="1"/>
        <v>仓储加工</v>
      </c>
      <c r="E15" s="42">
        <f>IF($B15="","",IFERROR(IF($D15="周转打冷",N(INDEX(对接源_01入库吨位!$D$5:$D$304,MATCH(INT((ROW()-5)/3)+1,对接源_01入库吨位!$S$5:$S$304,0))),IF($D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15" s="76">
        <f>IF($B15="","",ROUND(IFERROR(IF($D15="周转打冷",N(INDEX(对接源_01入库吨位!$H$5:$H$304,MATCH(INT((ROW()-5)/3)+1,对接源_01入库吨位!$S$5:$S$304,0))),IF($D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15" s="122">
        <f t="shared" si="2"/>
        <v>0</v>
      </c>
      <c r="H15" s="43"/>
      <c r="I15" s="107"/>
      <c r="J15" s="123">
        <f t="shared" si="3"/>
        <v>0</v>
      </c>
      <c r="K15" s="76">
        <f t="shared" si="4"/>
        <v>0</v>
      </c>
      <c r="L15" s="43"/>
      <c r="M15" s="7"/>
      <c r="N15" s="106"/>
      <c r="R15" s="3" t="str">
        <f t="shared" si="5"/>
        <v>王照雪</v>
      </c>
      <c r="S15" s="3">
        <f t="shared" si="6"/>
        <v>0</v>
      </c>
      <c r="T15" s="3">
        <f t="shared" si="7"/>
        <v>3</v>
      </c>
      <c r="U15" s="3" t="str">
        <f>IFERROR(INDEX($B$5:$B$904,MATCH(11,$T$5:$T$904,0)),"")</f>
        <v>荆建君</v>
      </c>
    </row>
    <row r="16" spans="1:21">
      <c r="A16" s="74">
        <f t="shared" si="0"/>
        <v>12</v>
      </c>
      <c r="B16" s="75" t="str">
        <f>IFERROR(INDEX(对接源_01入库吨位!$B$5:$B$304,MATCH(INT((ROW()-5)/3)+1,对接源_01入库吨位!$S$5:$S$304,0)),"")</f>
        <v>王照雪</v>
      </c>
      <c r="C16" s="75" t="str">
        <f>IFERROR(INDEX(对接源_01入库吨位!$C$5:$C$304,MATCH(INT((ROW()-5)/3)+1,对接源_01入库吨位!$S$5:$S$304,0)),"")</f>
        <v>李子</v>
      </c>
      <c r="D16" s="89" t="str">
        <f t="shared" si="1"/>
        <v>装卸费</v>
      </c>
      <c r="E16" s="42">
        <f>IF($B16="","",IFERROR(IF($D16="周转打冷",N(INDEX(对接源_01入库吨位!$D$5:$D$304,MATCH(INT((ROW()-5)/3)+1,对接源_01入库吨位!$S$5:$S$304,0))),IF($D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422</v>
      </c>
      <c r="F16" s="76">
        <f>IF($B16="","",ROUND(IFERROR(IF($D16="周转打冷",N(INDEX(对接源_01入库吨位!$H$5:$H$304,MATCH(INT((ROW()-5)/3)+1,对接源_01入库吨位!$S$5:$S$304,0))),IF($D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6878.6</v>
      </c>
      <c r="G16" s="122">
        <f t="shared" si="2"/>
        <v>6.879</v>
      </c>
      <c r="H16" s="43"/>
      <c r="I16" s="107"/>
      <c r="J16" s="123">
        <f t="shared" si="3"/>
        <v>0</v>
      </c>
      <c r="K16" s="76">
        <f t="shared" si="4"/>
        <v>0</v>
      </c>
      <c r="L16" s="43"/>
      <c r="M16" s="7"/>
      <c r="N16" s="106"/>
      <c r="R16" s="3" t="str">
        <f t="shared" si="5"/>
        <v>王照雪</v>
      </c>
      <c r="S16" s="3">
        <f t="shared" si="6"/>
        <v>0</v>
      </c>
      <c r="T16" s="3">
        <f t="shared" si="7"/>
        <v>3</v>
      </c>
      <c r="U16" s="3" t="str">
        <f>IFERROR(INDEX($B$5:$B$904,MATCH(12,$T$5:$T$904,0)),"")</f>
        <v>努尔敦</v>
      </c>
    </row>
    <row r="17" spans="1:21">
      <c r="A17" s="74">
        <f t="shared" si="0"/>
        <v>13</v>
      </c>
      <c r="B17" s="75" t="str">
        <f>IFERROR(INDEX(对接源_01入库吨位!$B$5:$B$304,MATCH(INT((ROW()-5)/3)+1,对接源_01入库吨位!$S$5:$S$304,0)),"")</f>
        <v>马锦祥</v>
      </c>
      <c r="C17" s="75" t="str">
        <f>IFERROR(INDEX(对接源_01入库吨位!$C$5:$C$304,MATCH(INT((ROW()-5)/3)+1,对接源_01入库吨位!$S$5:$S$304,0)),"")</f>
        <v>苹果</v>
      </c>
      <c r="D17" s="89" t="str">
        <f t="shared" si="1"/>
        <v>周转打冷</v>
      </c>
      <c r="E17" s="42">
        <f>IF($B17="","",IFERROR(IF($D17="周转打冷",N(INDEX(对接源_01入库吨位!$D$5:$D$304,MATCH(INT((ROW()-5)/3)+1,对接源_01入库吨位!$S$5:$S$304,0))),IF($D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68</v>
      </c>
      <c r="F17" s="76">
        <f>IF($B17="","",ROUND(IFERROR(IF($D17="周转打冷",N(INDEX(对接源_01入库吨位!$H$5:$H$304,MATCH(INT((ROW()-5)/3)+1,对接源_01入库吨位!$S$5:$S$304,0))),IF($D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204</v>
      </c>
      <c r="G17" s="122">
        <f t="shared" si="2"/>
        <v>0.204</v>
      </c>
      <c r="H17" s="43"/>
      <c r="I17" s="107"/>
      <c r="J17" s="123">
        <f t="shared" si="3"/>
        <v>0</v>
      </c>
      <c r="K17" s="76">
        <f t="shared" si="4"/>
        <v>0</v>
      </c>
      <c r="L17" s="43"/>
      <c r="M17" s="7"/>
      <c r="N17" s="106"/>
      <c r="R17" s="3" t="str">
        <f t="shared" si="5"/>
        <v>马锦祥</v>
      </c>
      <c r="S17" s="3">
        <f t="shared" si="6"/>
        <v>1</v>
      </c>
      <c r="T17" s="3">
        <f t="shared" si="7"/>
        <v>4</v>
      </c>
      <c r="U17" s="3" t="str">
        <f>IFERROR(INDEX($B$5:$B$904,MATCH(13,$T$5:$T$904,0)),"")</f>
        <v>王浩</v>
      </c>
    </row>
    <row r="18" spans="1:21">
      <c r="A18" s="74">
        <f t="shared" si="0"/>
        <v>14</v>
      </c>
      <c r="B18" s="75" t="str">
        <f>IFERROR(INDEX(对接源_01入库吨位!$B$5:$B$304,MATCH(INT((ROW()-5)/3)+1,对接源_01入库吨位!$S$5:$S$304,0)),"")</f>
        <v>马锦祥</v>
      </c>
      <c r="C18" s="75" t="str">
        <f>IFERROR(INDEX(对接源_01入库吨位!$C$5:$C$304,MATCH(INT((ROW()-5)/3)+1,对接源_01入库吨位!$S$5:$S$304,0)),"")</f>
        <v>苹果</v>
      </c>
      <c r="D18" s="89" t="str">
        <f t="shared" si="1"/>
        <v>仓储加工</v>
      </c>
      <c r="E18" s="42">
        <f>IF($B18="","",IFERROR(IF($D18="周转打冷",N(INDEX(对接源_01入库吨位!$D$5:$D$304,MATCH(INT((ROW()-5)/3)+1,对接源_01入库吨位!$S$5:$S$304,0))),IF($D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18" s="76">
        <f>IF($B18="","",ROUND(IFERROR(IF($D18="周转打冷",N(INDEX(对接源_01入库吨位!$H$5:$H$304,MATCH(INT((ROW()-5)/3)+1,对接源_01入库吨位!$S$5:$S$304,0))),IF($D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18" s="122">
        <f t="shared" si="2"/>
        <v>0</v>
      </c>
      <c r="H18" s="43"/>
      <c r="I18" s="107"/>
      <c r="J18" s="123">
        <f t="shared" si="3"/>
        <v>0</v>
      </c>
      <c r="K18" s="76">
        <f t="shared" si="4"/>
        <v>0</v>
      </c>
      <c r="L18" s="43"/>
      <c r="M18" s="7"/>
      <c r="N18" s="106"/>
      <c r="R18" s="3" t="str">
        <f t="shared" si="5"/>
        <v>马锦祥</v>
      </c>
      <c r="S18" s="3">
        <f t="shared" si="6"/>
        <v>0</v>
      </c>
      <c r="T18" s="3">
        <f t="shared" si="7"/>
        <v>4</v>
      </c>
      <c r="U18" s="3" t="str">
        <f>IFERROR(INDEX($B$5:$B$904,MATCH(14,$T$5:$T$904,0)),"")</f>
        <v/>
      </c>
    </row>
    <row r="19" spans="1:21">
      <c r="A19" s="74">
        <f t="shared" si="0"/>
        <v>15</v>
      </c>
      <c r="B19" s="75" t="str">
        <f>IFERROR(INDEX(对接源_01入库吨位!$B$5:$B$304,MATCH(INT((ROW()-5)/3)+1,对接源_01入库吨位!$S$5:$S$304,0)),"")</f>
        <v>马锦祥</v>
      </c>
      <c r="C19" s="75" t="str">
        <f>IFERROR(INDEX(对接源_01入库吨位!$C$5:$C$304,MATCH(INT((ROW()-5)/3)+1,对接源_01入库吨位!$S$5:$S$304,0)),"")</f>
        <v>苹果</v>
      </c>
      <c r="D19" s="89" t="str">
        <f t="shared" si="1"/>
        <v>装卸费</v>
      </c>
      <c r="E19" s="42">
        <f>IF($B19="","",IFERROR(IF($D19="周转打冷",N(INDEX(对接源_01入库吨位!$D$5:$D$304,MATCH(INT((ROW()-5)/3)+1,对接源_01入库吨位!$S$5:$S$304,0))),IF($D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68</v>
      </c>
      <c r="F19" s="76">
        <f>IF($B19="","",ROUND(IFERROR(IF($D19="周转打冷",N(INDEX(对接源_01入库吨位!$H$5:$H$304,MATCH(INT((ROW()-5)/3)+1,对接源_01入库吨位!$S$5:$S$304,0))),IF($D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204</v>
      </c>
      <c r="G19" s="122">
        <f t="shared" si="2"/>
        <v>0.204</v>
      </c>
      <c r="H19" s="43"/>
      <c r="I19" s="107"/>
      <c r="J19" s="123">
        <f t="shared" si="3"/>
        <v>0</v>
      </c>
      <c r="K19" s="76">
        <f t="shared" si="4"/>
        <v>0</v>
      </c>
      <c r="L19" s="43"/>
      <c r="M19" s="7"/>
      <c r="N19" s="106"/>
      <c r="R19" s="3" t="str">
        <f t="shared" si="5"/>
        <v>马锦祥</v>
      </c>
      <c r="S19" s="3">
        <f t="shared" si="6"/>
        <v>0</v>
      </c>
      <c r="T19" s="3">
        <f t="shared" si="7"/>
        <v>4</v>
      </c>
      <c r="U19" s="3" t="str">
        <f>IFERROR(INDEX($B$5:$B$904,MATCH(15,$T$5:$T$904,0)),"")</f>
        <v/>
      </c>
    </row>
    <row r="20" spans="1:21">
      <c r="A20" s="74">
        <f t="shared" si="0"/>
        <v>16</v>
      </c>
      <c r="B20" s="75" t="str">
        <f>IFERROR(INDEX(对接源_01入库吨位!$B$5:$B$304,MATCH(INT((ROW()-5)/3)+1,对接源_01入库吨位!$S$5:$S$304,0)),"")</f>
        <v>聂新平</v>
      </c>
      <c r="C20" s="75" t="str">
        <f>IFERROR(INDEX(对接源_01入库吨位!$C$5:$C$304,MATCH(INT((ROW()-5)/3)+1,对接源_01入库吨位!$S$5:$S$304,0)),"")</f>
        <v>西梅</v>
      </c>
      <c r="D20" s="89" t="str">
        <f t="shared" si="1"/>
        <v>周转打冷</v>
      </c>
      <c r="E20" s="42">
        <f>IF($B20="","",IFERROR(IF($D20="周转打冷",N(INDEX(对接源_01入库吨位!$D$5:$D$304,MATCH(INT((ROW()-5)/3)+1,对接源_01入库吨位!$S$5:$S$304,0))),IF($D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9692</v>
      </c>
      <c r="F20" s="76">
        <f>IF($B20="","",ROUND(IFERROR(IF($D20="周转打冷",N(INDEX(对接源_01入库吨位!$H$5:$H$304,MATCH(INT((ROW()-5)/3)+1,对接源_01入库吨位!$S$5:$S$304,0))),IF($D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35336</v>
      </c>
      <c r="G20" s="122">
        <f t="shared" si="2"/>
        <v>35.336</v>
      </c>
      <c r="H20" s="43"/>
      <c r="I20" s="107"/>
      <c r="J20" s="123">
        <f t="shared" si="3"/>
        <v>0</v>
      </c>
      <c r="K20" s="76">
        <f t="shared" si="4"/>
        <v>0</v>
      </c>
      <c r="L20" s="43"/>
      <c r="M20" s="7"/>
      <c r="N20" s="106"/>
      <c r="R20" s="3" t="str">
        <f t="shared" si="5"/>
        <v>聂新平</v>
      </c>
      <c r="S20" s="3">
        <f t="shared" si="6"/>
        <v>0</v>
      </c>
      <c r="T20" s="3">
        <f t="shared" si="7"/>
        <v>4</v>
      </c>
      <c r="U20" s="3" t="str">
        <f>IFERROR(INDEX($B$5:$B$904,MATCH(16,$T$5:$T$904,0)),"")</f>
        <v/>
      </c>
    </row>
    <row r="21" spans="1:21">
      <c r="A21" s="74">
        <f t="shared" si="0"/>
        <v>17</v>
      </c>
      <c r="B21" s="75" t="str">
        <f>IFERROR(INDEX(对接源_01入库吨位!$B$5:$B$304,MATCH(INT((ROW()-5)/3)+1,对接源_01入库吨位!$S$5:$S$304,0)),"")</f>
        <v>聂新平</v>
      </c>
      <c r="C21" s="75" t="str">
        <f>IFERROR(INDEX(对接源_01入库吨位!$C$5:$C$304,MATCH(INT((ROW()-5)/3)+1,对接源_01入库吨位!$S$5:$S$304,0)),"")</f>
        <v>西梅</v>
      </c>
      <c r="D21" s="89" t="str">
        <f t="shared" si="1"/>
        <v>仓储加工</v>
      </c>
      <c r="E21" s="42">
        <f>IF($B21="","",IFERROR(IF($D21="周转打冷",N(INDEX(对接源_01入库吨位!$D$5:$D$304,MATCH(INT((ROW()-5)/3)+1,对接源_01入库吨位!$S$5:$S$304,0))),IF($D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21" s="76">
        <f>IF($B21="","",ROUND(IFERROR(IF($D21="周转打冷",N(INDEX(对接源_01入库吨位!$H$5:$H$304,MATCH(INT((ROW()-5)/3)+1,对接源_01入库吨位!$S$5:$S$304,0))),IF($D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21" s="122">
        <f t="shared" si="2"/>
        <v>0</v>
      </c>
      <c r="H21" s="43"/>
      <c r="I21" s="107"/>
      <c r="J21" s="123">
        <f t="shared" si="3"/>
        <v>0</v>
      </c>
      <c r="K21" s="76">
        <f t="shared" si="4"/>
        <v>0</v>
      </c>
      <c r="L21" s="43"/>
      <c r="M21" s="7"/>
      <c r="N21" s="106"/>
      <c r="R21" s="3" t="str">
        <f t="shared" si="5"/>
        <v>聂新平</v>
      </c>
      <c r="S21" s="3">
        <f t="shared" si="6"/>
        <v>0</v>
      </c>
      <c r="T21" s="3">
        <f t="shared" si="7"/>
        <v>4</v>
      </c>
      <c r="U21" s="3" t="str">
        <f>IFERROR(INDEX($B$5:$B$904,MATCH(17,$T$5:$T$904,0)),"")</f>
        <v/>
      </c>
    </row>
    <row r="22" spans="1:21">
      <c r="A22" s="74">
        <f t="shared" si="0"/>
        <v>18</v>
      </c>
      <c r="B22" s="75" t="str">
        <f>IFERROR(INDEX(对接源_01入库吨位!$B$5:$B$304,MATCH(INT((ROW()-5)/3)+1,对接源_01入库吨位!$S$5:$S$304,0)),"")</f>
        <v>聂新平</v>
      </c>
      <c r="C22" s="75" t="str">
        <f>IFERROR(INDEX(对接源_01入库吨位!$C$5:$C$304,MATCH(INT((ROW()-5)/3)+1,对接源_01入库吨位!$S$5:$S$304,0)),"")</f>
        <v>西梅</v>
      </c>
      <c r="D22" s="89" t="str">
        <f t="shared" si="1"/>
        <v>装卸费</v>
      </c>
      <c r="E22" s="42">
        <f>IF($B22="","",IFERROR(IF($D22="周转打冷",N(INDEX(对接源_01入库吨位!$D$5:$D$304,MATCH(INT((ROW()-5)/3)+1,对接源_01入库吨位!$S$5:$S$304,0))),IF($D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9692</v>
      </c>
      <c r="F22" s="76">
        <f>IF($B22="","",ROUND(IFERROR(IF($D22="周转打冷",N(INDEX(对接源_01入库吨位!$H$5:$H$304,MATCH(INT((ROW()-5)/3)+1,对接源_01入库吨位!$S$5:$S$304,0))),IF($D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35336</v>
      </c>
      <c r="G22" s="122">
        <f t="shared" si="2"/>
        <v>35.336</v>
      </c>
      <c r="H22" s="43"/>
      <c r="I22" s="107"/>
      <c r="J22" s="123">
        <f t="shared" si="3"/>
        <v>0</v>
      </c>
      <c r="K22" s="76">
        <f t="shared" si="4"/>
        <v>0</v>
      </c>
      <c r="L22" s="43"/>
      <c r="M22" s="7"/>
      <c r="N22" s="106"/>
      <c r="R22" s="3" t="str">
        <f t="shared" si="5"/>
        <v>聂新平</v>
      </c>
      <c r="S22" s="3">
        <f t="shared" si="6"/>
        <v>0</v>
      </c>
      <c r="T22" s="3">
        <f t="shared" si="7"/>
        <v>4</v>
      </c>
      <c r="U22" s="3" t="str">
        <f>IFERROR(INDEX($B$5:$B$904,MATCH(18,$T$5:$T$904,0)),"")</f>
        <v/>
      </c>
    </row>
    <row r="23" spans="1:21">
      <c r="A23" s="74">
        <f t="shared" si="0"/>
        <v>19</v>
      </c>
      <c r="B23" s="75" t="str">
        <f>IFERROR(INDEX(对接源_01入库吨位!$B$5:$B$304,MATCH(INT((ROW()-5)/3)+1,对接源_01入库吨位!$S$5:$S$304,0)),"")</f>
        <v>马锦祥</v>
      </c>
      <c r="C23" s="75" t="str">
        <f>IFERROR(INDEX(对接源_01入库吨位!$C$5:$C$304,MATCH(INT((ROW()-5)/3)+1,对接源_01入库吨位!$S$5:$S$304,0)),"")</f>
        <v>香梨</v>
      </c>
      <c r="D23" s="89" t="str">
        <f t="shared" si="1"/>
        <v>周转打冷</v>
      </c>
      <c r="E23" s="42">
        <f>IF($B23="","",IFERROR(IF($D23="周转打冷",N(INDEX(对接源_01入库吨位!$D$5:$D$304,MATCH(INT((ROW()-5)/3)+1,对接源_01入库吨位!$S$5:$S$304,0))),IF($D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23" s="76">
        <f>IF($B23="","",ROUND(IFERROR(IF($D23="周转打冷",N(INDEX(对接源_01入库吨位!$H$5:$H$304,MATCH(INT((ROW()-5)/3)+1,对接源_01入库吨位!$S$5:$S$304,0))),IF($D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23" s="122">
        <f t="shared" si="2"/>
        <v>0</v>
      </c>
      <c r="H23" s="43"/>
      <c r="I23" s="107"/>
      <c r="J23" s="123">
        <f t="shared" si="3"/>
        <v>0</v>
      </c>
      <c r="K23" s="76">
        <f t="shared" si="4"/>
        <v>0</v>
      </c>
      <c r="L23" s="43"/>
      <c r="M23" s="7"/>
      <c r="N23" s="106"/>
      <c r="R23" s="3" t="str">
        <f t="shared" si="5"/>
        <v>马锦祥</v>
      </c>
      <c r="S23" s="3">
        <f t="shared" si="6"/>
        <v>0</v>
      </c>
      <c r="T23" s="3">
        <f t="shared" si="7"/>
        <v>4</v>
      </c>
      <c r="U23" s="3" t="str">
        <f>IFERROR(INDEX($B$5:$B$904,MATCH(19,$T$5:$T$904,0)),"")</f>
        <v/>
      </c>
    </row>
    <row r="24" spans="1:21">
      <c r="A24" s="74">
        <f t="shared" si="0"/>
        <v>20</v>
      </c>
      <c r="B24" s="75" t="str">
        <f>IFERROR(INDEX(对接源_01入库吨位!$B$5:$B$304,MATCH(INT((ROW()-5)/3)+1,对接源_01入库吨位!$S$5:$S$304,0)),"")</f>
        <v>马锦祥</v>
      </c>
      <c r="C24" s="75" t="str">
        <f>IFERROR(INDEX(对接源_01入库吨位!$C$5:$C$304,MATCH(INT((ROW()-5)/3)+1,对接源_01入库吨位!$S$5:$S$304,0)),"")</f>
        <v>香梨</v>
      </c>
      <c r="D24" s="89" t="str">
        <f t="shared" si="1"/>
        <v>仓储加工</v>
      </c>
      <c r="E24" s="42">
        <f>IF($B24="","",IFERROR(IF($D24="周转打冷",N(INDEX(对接源_01入库吨位!$D$5:$D$304,MATCH(INT((ROW()-5)/3)+1,对接源_01入库吨位!$S$5:$S$304,0))),IF($D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1900</v>
      </c>
      <c r="F24" s="76">
        <f>IF($B24="","",ROUND(IFERROR(IF($D24="周转打冷",N(INDEX(对接源_01入库吨位!$H$5:$H$304,MATCH(INT((ROW()-5)/3)+1,对接源_01入库吨位!$S$5:$S$304,0))),IF($D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35942</v>
      </c>
      <c r="G24" s="122">
        <f t="shared" si="2"/>
        <v>35.942</v>
      </c>
      <c r="H24" s="43"/>
      <c r="I24" s="107"/>
      <c r="J24" s="123">
        <f t="shared" si="3"/>
        <v>0</v>
      </c>
      <c r="K24" s="76">
        <f t="shared" si="4"/>
        <v>0</v>
      </c>
      <c r="L24" s="43"/>
      <c r="M24" s="7"/>
      <c r="N24" s="106"/>
      <c r="R24" s="3" t="str">
        <f t="shared" si="5"/>
        <v>马锦祥</v>
      </c>
      <c r="S24" s="3">
        <f t="shared" si="6"/>
        <v>0</v>
      </c>
      <c r="T24" s="3">
        <f t="shared" si="7"/>
        <v>4</v>
      </c>
      <c r="U24" s="3" t="str">
        <f>IFERROR(INDEX($B$5:$B$904,MATCH(20,$T$5:$T$904,0)),"")</f>
        <v/>
      </c>
    </row>
    <row r="25" spans="1:21">
      <c r="A25" s="74">
        <f t="shared" si="0"/>
        <v>21</v>
      </c>
      <c r="B25" s="75" t="str">
        <f>IFERROR(INDEX(对接源_01入库吨位!$B$5:$B$304,MATCH(INT((ROW()-5)/3)+1,对接源_01入库吨位!$S$5:$S$304,0)),"")</f>
        <v>马锦祥</v>
      </c>
      <c r="C25" s="75" t="str">
        <f>IFERROR(INDEX(对接源_01入库吨位!$C$5:$C$304,MATCH(INT((ROW()-5)/3)+1,对接源_01入库吨位!$S$5:$S$304,0)),"")</f>
        <v>香梨</v>
      </c>
      <c r="D25" s="89" t="str">
        <f t="shared" si="1"/>
        <v>装卸费</v>
      </c>
      <c r="E25" s="42">
        <f>IF($B25="","",IFERROR(IF($D25="周转打冷",N(INDEX(对接源_01入库吨位!$D$5:$D$304,MATCH(INT((ROW()-5)/3)+1,对接源_01入库吨位!$S$5:$S$304,0))),IF($D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1900</v>
      </c>
      <c r="F25" s="76">
        <f>IF($B25="","",ROUND(IFERROR(IF($D25="周转打冷",N(INDEX(对接源_01入库吨位!$H$5:$H$304,MATCH(INT((ROW()-5)/3)+1,对接源_01入库吨位!$S$5:$S$304,0))),IF($D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35942</v>
      </c>
      <c r="G25" s="122">
        <f t="shared" si="2"/>
        <v>35.942</v>
      </c>
      <c r="H25" s="43"/>
      <c r="I25" s="107"/>
      <c r="J25" s="123">
        <f t="shared" si="3"/>
        <v>0</v>
      </c>
      <c r="K25" s="76">
        <f t="shared" si="4"/>
        <v>0</v>
      </c>
      <c r="L25" s="43"/>
      <c r="M25" s="7"/>
      <c r="N25" s="106"/>
      <c r="R25" s="3" t="str">
        <f t="shared" si="5"/>
        <v>马锦祥</v>
      </c>
      <c r="S25" s="3">
        <f t="shared" si="6"/>
        <v>0</v>
      </c>
      <c r="T25" s="3">
        <f t="shared" si="7"/>
        <v>4</v>
      </c>
      <c r="U25" s="3" t="str">
        <f>IFERROR(INDEX($B$5:$B$904,MATCH(21,$T$5:$T$904,0)),"")</f>
        <v/>
      </c>
    </row>
    <row r="26" spans="1:21">
      <c r="A26" s="74">
        <f t="shared" si="0"/>
        <v>22</v>
      </c>
      <c r="B26" s="75" t="str">
        <f>IFERROR(INDEX(对接源_01入库吨位!$B$5:$B$304,MATCH(INT((ROW()-5)/3)+1,对接源_01入库吨位!$S$5:$S$304,0)),"")</f>
        <v>麦麦提</v>
      </c>
      <c r="C26" s="75" t="str">
        <f>IFERROR(INDEX(对接源_01入库吨位!$C$5:$C$304,MATCH(INT((ROW()-5)/3)+1,对接源_01入库吨位!$S$5:$S$304,0)),"")</f>
        <v>香梨</v>
      </c>
      <c r="D26" s="89" t="str">
        <f t="shared" si="1"/>
        <v>周转打冷</v>
      </c>
      <c r="E26" s="42">
        <f>IF($B26="","",IFERROR(IF($D26="周转打冷",N(INDEX(对接源_01入库吨位!$D$5:$D$304,MATCH(INT((ROW()-5)/3)+1,对接源_01入库吨位!$S$5:$S$304,0))),IF($D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26" s="76">
        <f>IF($B26="","",ROUND(IFERROR(IF($D26="周转打冷",N(INDEX(对接源_01入库吨位!$H$5:$H$304,MATCH(INT((ROW()-5)/3)+1,对接源_01入库吨位!$S$5:$S$304,0))),IF($D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26" s="122">
        <f t="shared" si="2"/>
        <v>0</v>
      </c>
      <c r="H26" s="43"/>
      <c r="I26" s="107"/>
      <c r="J26" s="123">
        <f t="shared" si="3"/>
        <v>0</v>
      </c>
      <c r="K26" s="76">
        <f t="shared" si="4"/>
        <v>0</v>
      </c>
      <c r="L26" s="43"/>
      <c r="M26" s="7"/>
      <c r="N26" s="106"/>
      <c r="R26" s="3" t="str">
        <f t="shared" si="5"/>
        <v>麦麦提</v>
      </c>
      <c r="S26" s="3">
        <f t="shared" si="6"/>
        <v>1</v>
      </c>
      <c r="T26" s="3">
        <f t="shared" si="7"/>
        <v>5</v>
      </c>
      <c r="U26" s="3" t="str">
        <f>IFERROR(INDEX($B$5:$B$904,MATCH(22,$T$5:$T$904,0)),"")</f>
        <v/>
      </c>
    </row>
    <row r="27" spans="1:21">
      <c r="A27" s="74">
        <f t="shared" si="0"/>
        <v>23</v>
      </c>
      <c r="B27" s="75" t="str">
        <f>IFERROR(INDEX(对接源_01入库吨位!$B$5:$B$304,MATCH(INT((ROW()-5)/3)+1,对接源_01入库吨位!$S$5:$S$304,0)),"")</f>
        <v>麦麦提</v>
      </c>
      <c r="C27" s="75" t="str">
        <f>IFERROR(INDEX(对接源_01入库吨位!$C$5:$C$304,MATCH(INT((ROW()-5)/3)+1,对接源_01入库吨位!$S$5:$S$304,0)),"")</f>
        <v>香梨</v>
      </c>
      <c r="D27" s="89" t="str">
        <f t="shared" si="1"/>
        <v>仓储加工</v>
      </c>
      <c r="E27" s="42">
        <f>IF($B27="","",IFERROR(IF($D27="周转打冷",N(INDEX(对接源_01入库吨位!$D$5:$D$304,MATCH(INT((ROW()-5)/3)+1,对接源_01入库吨位!$S$5:$S$304,0))),IF($D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2537</v>
      </c>
      <c r="F27" s="76">
        <f>IF($B27="","",ROUND(IFERROR(IF($D27="周转打冷",N(INDEX(对接源_01入库吨位!$H$5:$H$304,MATCH(INT((ROW()-5)/3)+1,对接源_01入库吨位!$S$5:$S$304,0))),IF($D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48999.1</v>
      </c>
      <c r="G27" s="122">
        <f t="shared" si="2"/>
        <v>48.999</v>
      </c>
      <c r="H27" s="43"/>
      <c r="I27" s="107"/>
      <c r="J27" s="123">
        <f t="shared" si="3"/>
        <v>0</v>
      </c>
      <c r="K27" s="76">
        <f t="shared" si="4"/>
        <v>0</v>
      </c>
      <c r="L27" s="43"/>
      <c r="M27" s="7"/>
      <c r="N27" s="106"/>
      <c r="R27" s="3" t="str">
        <f t="shared" si="5"/>
        <v>麦麦提</v>
      </c>
      <c r="S27" s="3">
        <f t="shared" si="6"/>
        <v>0</v>
      </c>
      <c r="T27" s="3">
        <f t="shared" si="7"/>
        <v>5</v>
      </c>
      <c r="U27" s="3" t="str">
        <f>IFERROR(INDEX($B$5:$B$904,MATCH(23,$T$5:$T$904,0)),"")</f>
        <v/>
      </c>
    </row>
    <row r="28" spans="1:21">
      <c r="A28" s="74">
        <f t="shared" si="0"/>
        <v>24</v>
      </c>
      <c r="B28" s="75" t="str">
        <f>IFERROR(INDEX(对接源_01入库吨位!$B$5:$B$304,MATCH(INT((ROW()-5)/3)+1,对接源_01入库吨位!$S$5:$S$304,0)),"")</f>
        <v>麦麦提</v>
      </c>
      <c r="C28" s="75" t="str">
        <f>IFERROR(INDEX(对接源_01入库吨位!$C$5:$C$304,MATCH(INT((ROW()-5)/3)+1,对接源_01入库吨位!$S$5:$S$304,0)),"")</f>
        <v>香梨</v>
      </c>
      <c r="D28" s="89" t="str">
        <f t="shared" si="1"/>
        <v>装卸费</v>
      </c>
      <c r="E28" s="42">
        <f>IF($B28="","",IFERROR(IF($D28="周转打冷",N(INDEX(对接源_01入库吨位!$D$5:$D$304,MATCH(INT((ROW()-5)/3)+1,对接源_01入库吨位!$S$5:$S$304,0))),IF($D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2537</v>
      </c>
      <c r="F28" s="76">
        <f>IF($B28="","",ROUND(IFERROR(IF($D28="周转打冷",N(INDEX(对接源_01入库吨位!$H$5:$H$304,MATCH(INT((ROW()-5)/3)+1,对接源_01入库吨位!$S$5:$S$304,0))),IF($D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48999.1</v>
      </c>
      <c r="G28" s="122">
        <f t="shared" si="2"/>
        <v>48.999</v>
      </c>
      <c r="H28" s="43"/>
      <c r="I28" s="107"/>
      <c r="J28" s="123">
        <f t="shared" si="3"/>
        <v>0</v>
      </c>
      <c r="K28" s="76">
        <f t="shared" si="4"/>
        <v>0</v>
      </c>
      <c r="L28" s="43"/>
      <c r="M28" s="7"/>
      <c r="N28" s="106"/>
      <c r="R28" s="3" t="str">
        <f t="shared" si="5"/>
        <v>麦麦提</v>
      </c>
      <c r="S28" s="3">
        <f t="shared" si="6"/>
        <v>0</v>
      </c>
      <c r="T28" s="3">
        <f t="shared" si="7"/>
        <v>5</v>
      </c>
      <c r="U28" s="3" t="str">
        <f>IFERROR(INDEX($B$5:$B$904,MATCH(24,$T$5:$T$904,0)),"")</f>
        <v/>
      </c>
    </row>
    <row r="29" spans="1:21">
      <c r="A29" s="74">
        <f t="shared" si="0"/>
        <v>25</v>
      </c>
      <c r="B29" s="75" t="str">
        <f>IFERROR(INDEX(对接源_01入库吨位!$B$5:$B$304,MATCH(INT((ROW()-5)/3)+1,对接源_01入库吨位!$S$5:$S$304,0)),"")</f>
        <v>吐尔洪</v>
      </c>
      <c r="C29" s="75" t="str">
        <f>IFERROR(INDEX(对接源_01入库吨位!$C$5:$C$304,MATCH(INT((ROW()-5)/3)+1,对接源_01入库吨位!$S$5:$S$304,0)),"")</f>
        <v>香梨</v>
      </c>
      <c r="D29" s="89" t="str">
        <f t="shared" si="1"/>
        <v>周转打冷</v>
      </c>
      <c r="E29" s="42">
        <f>IF($B29="","",IFERROR(IF($D29="周转打冷",N(INDEX(对接源_01入库吨位!$D$5:$D$304,MATCH(INT((ROW()-5)/3)+1,对接源_01入库吨位!$S$5:$S$304,0))),IF($D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29" s="76">
        <f>IF($B29="","",ROUND(IFERROR(IF($D29="周转打冷",N(INDEX(对接源_01入库吨位!$H$5:$H$304,MATCH(INT((ROW()-5)/3)+1,对接源_01入库吨位!$S$5:$S$304,0))),IF($D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29" s="122">
        <f t="shared" si="2"/>
        <v>0</v>
      </c>
      <c r="H29" s="43"/>
      <c r="I29" s="107"/>
      <c r="J29" s="123">
        <f t="shared" si="3"/>
        <v>0</v>
      </c>
      <c r="K29" s="76">
        <f t="shared" si="4"/>
        <v>0</v>
      </c>
      <c r="L29" s="43"/>
      <c r="M29" s="7"/>
      <c r="N29" s="106"/>
      <c r="R29" s="3" t="str">
        <f t="shared" si="5"/>
        <v>吐尔洪</v>
      </c>
      <c r="S29" s="3">
        <f t="shared" si="6"/>
        <v>1</v>
      </c>
      <c r="T29" s="3">
        <f t="shared" si="7"/>
        <v>6</v>
      </c>
      <c r="U29" s="3" t="str">
        <f>IFERROR(INDEX($B$5:$B$904,MATCH(25,$T$5:$T$904,0)),"")</f>
        <v/>
      </c>
    </row>
    <row r="30" spans="1:21">
      <c r="A30" s="74">
        <f t="shared" si="0"/>
        <v>26</v>
      </c>
      <c r="B30" s="75" t="str">
        <f>IFERROR(INDEX(对接源_01入库吨位!$B$5:$B$304,MATCH(INT((ROW()-5)/3)+1,对接源_01入库吨位!$S$5:$S$304,0)),"")</f>
        <v>吐尔洪</v>
      </c>
      <c r="C30" s="75" t="str">
        <f>IFERROR(INDEX(对接源_01入库吨位!$C$5:$C$304,MATCH(INT((ROW()-5)/3)+1,对接源_01入库吨位!$S$5:$S$304,0)),"")</f>
        <v>香梨</v>
      </c>
      <c r="D30" s="89" t="str">
        <f t="shared" si="1"/>
        <v>仓储加工</v>
      </c>
      <c r="E30" s="42">
        <f>IF($B30="","",IFERROR(IF($D30="周转打冷",N(INDEX(对接源_01入库吨位!$D$5:$D$304,MATCH(INT((ROW()-5)/3)+1,对接源_01入库吨位!$S$5:$S$304,0))),IF($D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1195</v>
      </c>
      <c r="F30" s="76">
        <f>IF($B30="","",ROUND(IFERROR(IF($D30="周转打冷",N(INDEX(对接源_01入库吨位!$H$5:$H$304,MATCH(INT((ROW()-5)/3)+1,对接源_01入库吨位!$S$5:$S$304,0))),IF($D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23604.5</v>
      </c>
      <c r="G30" s="122">
        <f t="shared" si="2"/>
        <v>23.605</v>
      </c>
      <c r="H30" s="43"/>
      <c r="I30" s="107"/>
      <c r="J30" s="123">
        <f t="shared" si="3"/>
        <v>0</v>
      </c>
      <c r="K30" s="76">
        <f t="shared" si="4"/>
        <v>0</v>
      </c>
      <c r="L30" s="43"/>
      <c r="M30" s="7"/>
      <c r="N30" s="106"/>
      <c r="R30" s="3" t="str">
        <f t="shared" si="5"/>
        <v>吐尔洪</v>
      </c>
      <c r="S30" s="3">
        <f t="shared" si="6"/>
        <v>0</v>
      </c>
      <c r="T30" s="3">
        <f t="shared" si="7"/>
        <v>6</v>
      </c>
      <c r="U30" s="3" t="str">
        <f>IFERROR(INDEX($B$5:$B$904,MATCH(26,$T$5:$T$904,0)),"")</f>
        <v/>
      </c>
    </row>
    <row r="31" spans="1:21">
      <c r="A31" s="74">
        <f t="shared" si="0"/>
        <v>27</v>
      </c>
      <c r="B31" s="75" t="str">
        <f>IFERROR(INDEX(对接源_01入库吨位!$B$5:$B$304,MATCH(INT((ROW()-5)/3)+1,对接源_01入库吨位!$S$5:$S$304,0)),"")</f>
        <v>吐尔洪</v>
      </c>
      <c r="C31" s="75" t="str">
        <f>IFERROR(INDEX(对接源_01入库吨位!$C$5:$C$304,MATCH(INT((ROW()-5)/3)+1,对接源_01入库吨位!$S$5:$S$304,0)),"")</f>
        <v>香梨</v>
      </c>
      <c r="D31" s="89" t="str">
        <f t="shared" si="1"/>
        <v>装卸费</v>
      </c>
      <c r="E31" s="42">
        <f>IF($B31="","",IFERROR(IF($D31="周转打冷",N(INDEX(对接源_01入库吨位!$D$5:$D$304,MATCH(INT((ROW()-5)/3)+1,对接源_01入库吨位!$S$5:$S$304,0))),IF($D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1195</v>
      </c>
      <c r="F31" s="76">
        <f>IF($B31="","",ROUND(IFERROR(IF($D31="周转打冷",N(INDEX(对接源_01入库吨位!$H$5:$H$304,MATCH(INT((ROW()-5)/3)+1,对接源_01入库吨位!$S$5:$S$304,0))),IF($D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23604.5</v>
      </c>
      <c r="G31" s="122">
        <f t="shared" si="2"/>
        <v>23.605</v>
      </c>
      <c r="H31" s="43"/>
      <c r="I31" s="107"/>
      <c r="J31" s="123">
        <f t="shared" si="3"/>
        <v>0</v>
      </c>
      <c r="K31" s="76">
        <f t="shared" si="4"/>
        <v>0</v>
      </c>
      <c r="L31" s="43"/>
      <c r="M31" s="7"/>
      <c r="N31" s="106"/>
      <c r="R31" s="3" t="str">
        <f t="shared" si="5"/>
        <v>吐尔洪</v>
      </c>
      <c r="S31" s="3">
        <f t="shared" si="6"/>
        <v>0</v>
      </c>
      <c r="T31" s="3">
        <f t="shared" si="7"/>
        <v>6</v>
      </c>
      <c r="U31" s="3" t="str">
        <f>IFERROR(INDEX($B$5:$B$904,MATCH(27,$T$5:$T$904,0)),"")</f>
        <v/>
      </c>
    </row>
    <row r="32" spans="1:21">
      <c r="A32" s="74">
        <f t="shared" si="0"/>
        <v>28</v>
      </c>
      <c r="B32" s="75" t="str">
        <f>IFERROR(INDEX(对接源_01入库吨位!$B$5:$B$304,MATCH(INT((ROW()-5)/3)+1,对接源_01入库吨位!$S$5:$S$304,0)),"")</f>
        <v>热合曼</v>
      </c>
      <c r="C32" s="75" t="str">
        <f>IFERROR(INDEX(对接源_01入库吨位!$C$5:$C$304,MATCH(INT((ROW()-5)/3)+1,对接源_01入库吨位!$S$5:$S$304,0)),"")</f>
        <v>香梨</v>
      </c>
      <c r="D32" s="89" t="str">
        <f t="shared" si="1"/>
        <v>周转打冷</v>
      </c>
      <c r="E32" s="42">
        <f>IF($B32="","",IFERROR(IF($D32="周转打冷",N(INDEX(对接源_01入库吨位!$D$5:$D$304,MATCH(INT((ROW()-5)/3)+1,对接源_01入库吨位!$S$5:$S$304,0))),IF($D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32" s="76">
        <f>IF($B32="","",ROUND(IFERROR(IF($D32="周转打冷",N(INDEX(对接源_01入库吨位!$H$5:$H$304,MATCH(INT((ROW()-5)/3)+1,对接源_01入库吨位!$S$5:$S$304,0))),IF($D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32" s="122">
        <f t="shared" si="2"/>
        <v>0</v>
      </c>
      <c r="H32" s="43"/>
      <c r="I32" s="107"/>
      <c r="J32" s="123">
        <f t="shared" si="3"/>
        <v>0</v>
      </c>
      <c r="K32" s="76">
        <f t="shared" si="4"/>
        <v>0</v>
      </c>
      <c r="L32" s="43"/>
      <c r="M32" s="7"/>
      <c r="N32" s="106"/>
      <c r="R32" s="3" t="str">
        <f t="shared" si="5"/>
        <v>热合曼</v>
      </c>
      <c r="S32" s="3">
        <f t="shared" si="6"/>
        <v>1</v>
      </c>
      <c r="T32" s="3">
        <f t="shared" si="7"/>
        <v>7</v>
      </c>
      <c r="U32" s="3" t="str">
        <f>IFERROR(INDEX($B$5:$B$904,MATCH(28,$T$5:$T$904,0)),"")</f>
        <v/>
      </c>
    </row>
    <row r="33" spans="1:21">
      <c r="A33" s="74">
        <f t="shared" si="0"/>
        <v>29</v>
      </c>
      <c r="B33" s="75" t="str">
        <f>IFERROR(INDEX(对接源_01入库吨位!$B$5:$B$304,MATCH(INT((ROW()-5)/3)+1,对接源_01入库吨位!$S$5:$S$304,0)),"")</f>
        <v>热合曼</v>
      </c>
      <c r="C33" s="75" t="str">
        <f>IFERROR(INDEX(对接源_01入库吨位!$C$5:$C$304,MATCH(INT((ROW()-5)/3)+1,对接源_01入库吨位!$S$5:$S$304,0)),"")</f>
        <v>香梨</v>
      </c>
      <c r="D33" s="89" t="str">
        <f t="shared" si="1"/>
        <v>仓储加工</v>
      </c>
      <c r="E33" s="42">
        <f>IF($B33="","",IFERROR(IF($D33="周转打冷",N(INDEX(对接源_01入库吨位!$D$5:$D$304,MATCH(INT((ROW()-5)/3)+1,对接源_01入库吨位!$S$5:$S$304,0))),IF($D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1521</v>
      </c>
      <c r="F33" s="76">
        <f>IF($B33="","",ROUND(IFERROR(IF($D33="周转打冷",N(INDEX(对接源_01入库吨位!$H$5:$H$304,MATCH(INT((ROW()-5)/3)+1,对接源_01入库吨位!$S$5:$S$304,0))),IF($D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29445.3</v>
      </c>
      <c r="G33" s="122">
        <f t="shared" si="2"/>
        <v>29.445</v>
      </c>
      <c r="H33" s="43"/>
      <c r="I33" s="107"/>
      <c r="J33" s="123">
        <f t="shared" si="3"/>
        <v>0</v>
      </c>
      <c r="K33" s="76">
        <f t="shared" si="4"/>
        <v>0</v>
      </c>
      <c r="L33" s="43"/>
      <c r="M33" s="7"/>
      <c r="N33" s="106"/>
      <c r="R33" s="3" t="str">
        <f t="shared" si="5"/>
        <v>热合曼</v>
      </c>
      <c r="S33" s="3">
        <f t="shared" si="6"/>
        <v>0</v>
      </c>
      <c r="T33" s="3">
        <f t="shared" si="7"/>
        <v>7</v>
      </c>
      <c r="U33" s="3" t="str">
        <f>IFERROR(INDEX($B$5:$B$904,MATCH(29,$T$5:$T$904,0)),"")</f>
        <v/>
      </c>
    </row>
    <row r="34" spans="1:21">
      <c r="A34" s="74">
        <f t="shared" si="0"/>
        <v>30</v>
      </c>
      <c r="B34" s="75" t="str">
        <f>IFERROR(INDEX(对接源_01入库吨位!$B$5:$B$304,MATCH(INT((ROW()-5)/3)+1,对接源_01入库吨位!$S$5:$S$304,0)),"")</f>
        <v>热合曼</v>
      </c>
      <c r="C34" s="75" t="str">
        <f>IFERROR(INDEX(对接源_01入库吨位!$C$5:$C$304,MATCH(INT((ROW()-5)/3)+1,对接源_01入库吨位!$S$5:$S$304,0)),"")</f>
        <v>香梨</v>
      </c>
      <c r="D34" s="89" t="str">
        <f t="shared" si="1"/>
        <v>装卸费</v>
      </c>
      <c r="E34" s="42">
        <f>IF($B34="","",IFERROR(IF($D34="周转打冷",N(INDEX(对接源_01入库吨位!$D$5:$D$304,MATCH(INT((ROW()-5)/3)+1,对接源_01入库吨位!$S$5:$S$304,0))),IF($D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1521</v>
      </c>
      <c r="F34" s="76">
        <f>IF($B34="","",ROUND(IFERROR(IF($D34="周转打冷",N(INDEX(对接源_01入库吨位!$H$5:$H$304,MATCH(INT((ROW()-5)/3)+1,对接源_01入库吨位!$S$5:$S$304,0))),IF($D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29445.3</v>
      </c>
      <c r="G34" s="122">
        <f t="shared" si="2"/>
        <v>29.445</v>
      </c>
      <c r="H34" s="43"/>
      <c r="I34" s="107"/>
      <c r="J34" s="123">
        <f t="shared" si="3"/>
        <v>0</v>
      </c>
      <c r="K34" s="76">
        <f t="shared" si="4"/>
        <v>0</v>
      </c>
      <c r="L34" s="43"/>
      <c r="M34" s="7"/>
      <c r="N34" s="106"/>
      <c r="R34" s="3" t="str">
        <f t="shared" si="5"/>
        <v>热合曼</v>
      </c>
      <c r="S34" s="3">
        <f t="shared" si="6"/>
        <v>0</v>
      </c>
      <c r="T34" s="3">
        <f t="shared" si="7"/>
        <v>7</v>
      </c>
      <c r="U34" s="3" t="str">
        <f>IFERROR(INDEX($B$5:$B$904,MATCH(30,$T$5:$T$904,0)),"")</f>
        <v/>
      </c>
    </row>
    <row r="35" spans="1:21">
      <c r="A35" s="74">
        <f t="shared" si="0"/>
        <v>31</v>
      </c>
      <c r="B35" s="75" t="str">
        <f>IFERROR(INDEX(对接源_01入库吨位!$B$5:$B$304,MATCH(INT((ROW()-5)/3)+1,对接源_01入库吨位!$S$5:$S$304,0)),"")</f>
        <v>贾建国</v>
      </c>
      <c r="C35" s="75" t="str">
        <f>IFERROR(INDEX(对接源_01入库吨位!$C$5:$C$304,MATCH(INT((ROW()-5)/3)+1,对接源_01入库吨位!$S$5:$S$304,0)),"")</f>
        <v>香梨</v>
      </c>
      <c r="D35" s="89" t="str">
        <f t="shared" si="1"/>
        <v>周转打冷</v>
      </c>
      <c r="E35" s="42">
        <f>IF($B35="","",IFERROR(IF($D35="周转打冷",N(INDEX(对接源_01入库吨位!$D$5:$D$304,MATCH(INT((ROW()-5)/3)+1,对接源_01入库吨位!$S$5:$S$304,0))),IF($D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35" s="76">
        <f>IF($B35="","",ROUND(IFERROR(IF($D35="周转打冷",N(INDEX(对接源_01入库吨位!$H$5:$H$304,MATCH(INT((ROW()-5)/3)+1,对接源_01入库吨位!$S$5:$S$304,0))),IF($D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35" s="122">
        <f t="shared" si="2"/>
        <v>0</v>
      </c>
      <c r="H35" s="43"/>
      <c r="I35" s="107"/>
      <c r="J35" s="123">
        <f t="shared" si="3"/>
        <v>0</v>
      </c>
      <c r="K35" s="76">
        <f t="shared" si="4"/>
        <v>0</v>
      </c>
      <c r="L35" s="43"/>
      <c r="M35" s="7"/>
      <c r="N35" s="106"/>
      <c r="R35" s="3" t="str">
        <f t="shared" si="5"/>
        <v>贾建国</v>
      </c>
      <c r="S35" s="3">
        <f t="shared" si="6"/>
        <v>1</v>
      </c>
      <c r="T35" s="3">
        <f t="shared" si="7"/>
        <v>8</v>
      </c>
      <c r="U35" s="3" t="str">
        <f>IFERROR(INDEX($B$5:$B$904,MATCH(31,$T$5:$T$904,0)),"")</f>
        <v/>
      </c>
    </row>
    <row r="36" spans="1:21">
      <c r="A36" s="74">
        <f t="shared" si="0"/>
        <v>32</v>
      </c>
      <c r="B36" s="75" t="str">
        <f>IFERROR(INDEX(对接源_01入库吨位!$B$5:$B$304,MATCH(INT((ROW()-5)/3)+1,对接源_01入库吨位!$S$5:$S$304,0)),"")</f>
        <v>贾建国</v>
      </c>
      <c r="C36" s="75" t="str">
        <f>IFERROR(INDEX(对接源_01入库吨位!$C$5:$C$304,MATCH(INT((ROW()-5)/3)+1,对接源_01入库吨位!$S$5:$S$304,0)),"")</f>
        <v>香梨</v>
      </c>
      <c r="D36" s="89" t="str">
        <f t="shared" si="1"/>
        <v>仓储加工</v>
      </c>
      <c r="E36" s="42">
        <f>IF($B36="","",IFERROR(IF($D36="周转打冷",N(INDEX(对接源_01入库吨位!$D$5:$D$304,MATCH(INT((ROW()-5)/3)+1,对接源_01入库吨位!$S$5:$S$304,0))),IF($D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1265</v>
      </c>
      <c r="F36" s="76">
        <f>IF($B36="","",ROUND(IFERROR(IF($D36="周转打冷",N(INDEX(对接源_01入库吨位!$H$5:$H$304,MATCH(INT((ROW()-5)/3)+1,对接源_01入库吨位!$S$5:$S$304,0))),IF($D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25784.1</v>
      </c>
      <c r="G36" s="122">
        <f t="shared" si="2"/>
        <v>25.784</v>
      </c>
      <c r="H36" s="43"/>
      <c r="I36" s="107"/>
      <c r="J36" s="123">
        <f t="shared" si="3"/>
        <v>0</v>
      </c>
      <c r="K36" s="76">
        <f t="shared" si="4"/>
        <v>0</v>
      </c>
      <c r="L36" s="43"/>
      <c r="M36" s="7"/>
      <c r="N36" s="106"/>
      <c r="R36" s="3" t="str">
        <f t="shared" si="5"/>
        <v>贾建国</v>
      </c>
      <c r="S36" s="3">
        <f t="shared" si="6"/>
        <v>0</v>
      </c>
      <c r="T36" s="3">
        <f t="shared" si="7"/>
        <v>8</v>
      </c>
      <c r="U36" s="3" t="str">
        <f>IFERROR(INDEX($B$5:$B$904,MATCH(32,$T$5:$T$904,0)),"")</f>
        <v/>
      </c>
    </row>
    <row r="37" spans="1:21">
      <c r="A37" s="74">
        <f t="shared" si="0"/>
        <v>33</v>
      </c>
      <c r="B37" s="75" t="str">
        <f>IFERROR(INDEX(对接源_01入库吨位!$B$5:$B$304,MATCH(INT((ROW()-5)/3)+1,对接源_01入库吨位!$S$5:$S$304,0)),"")</f>
        <v>贾建国</v>
      </c>
      <c r="C37" s="75" t="str">
        <f>IFERROR(INDEX(对接源_01入库吨位!$C$5:$C$304,MATCH(INT((ROW()-5)/3)+1,对接源_01入库吨位!$S$5:$S$304,0)),"")</f>
        <v>香梨</v>
      </c>
      <c r="D37" s="89" t="str">
        <f t="shared" si="1"/>
        <v>装卸费</v>
      </c>
      <c r="E37" s="42">
        <f>IF($B37="","",IFERROR(IF($D37="周转打冷",N(INDEX(对接源_01入库吨位!$D$5:$D$304,MATCH(INT((ROW()-5)/3)+1,对接源_01入库吨位!$S$5:$S$304,0))),IF($D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1265</v>
      </c>
      <c r="F37" s="76">
        <f>IF($B37="","",ROUND(IFERROR(IF($D37="周转打冷",N(INDEX(对接源_01入库吨位!$H$5:$H$304,MATCH(INT((ROW()-5)/3)+1,对接源_01入库吨位!$S$5:$S$304,0))),IF($D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25784.1</v>
      </c>
      <c r="G37" s="122">
        <f t="shared" si="2"/>
        <v>25.784</v>
      </c>
      <c r="H37" s="43"/>
      <c r="I37" s="107"/>
      <c r="J37" s="123">
        <f t="shared" si="3"/>
        <v>0</v>
      </c>
      <c r="K37" s="76">
        <f t="shared" si="4"/>
        <v>0</v>
      </c>
      <c r="L37" s="43"/>
      <c r="M37" s="7"/>
      <c r="N37" s="106"/>
      <c r="R37" s="3" t="str">
        <f t="shared" si="5"/>
        <v>贾建国</v>
      </c>
      <c r="S37" s="3">
        <f t="shared" si="6"/>
        <v>0</v>
      </c>
      <c r="T37" s="3">
        <f t="shared" si="7"/>
        <v>8</v>
      </c>
      <c r="U37" s="3" t="str">
        <f>IFERROR(INDEX($B$5:$B$904,MATCH(33,$T$5:$T$904,0)),"")</f>
        <v/>
      </c>
    </row>
    <row r="38" spans="1:21">
      <c r="A38" s="74">
        <f t="shared" si="0"/>
        <v>34</v>
      </c>
      <c r="B38" s="75" t="str">
        <f>IFERROR(INDEX(对接源_01入库吨位!$B$5:$B$304,MATCH(INT((ROW()-5)/3)+1,对接源_01入库吨位!$S$5:$S$304,0)),"")</f>
        <v>王灵云</v>
      </c>
      <c r="C38" s="75" t="str">
        <f>IFERROR(INDEX(对接源_01入库吨位!$C$5:$C$304,MATCH(INT((ROW()-5)/3)+1,对接源_01入库吨位!$S$5:$S$304,0)),"")</f>
        <v>香梨</v>
      </c>
      <c r="D38" s="89" t="str">
        <f t="shared" si="1"/>
        <v>周转打冷</v>
      </c>
      <c r="E38" s="42">
        <f>IF($B38="","",IFERROR(IF($D38="周转打冷",N(INDEX(对接源_01入库吨位!$D$5:$D$304,MATCH(INT((ROW()-5)/3)+1,对接源_01入库吨位!$S$5:$S$304,0))),IF($D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1037</v>
      </c>
      <c r="F38" s="76">
        <f>IF($B38="","",ROUND(IFERROR(IF($D38="周转打冷",N(INDEX(对接源_01入库吨位!$H$5:$H$304,MATCH(INT((ROW()-5)/3)+1,对接源_01入库吨位!$S$5:$S$304,0))),IF($D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19557.1</v>
      </c>
      <c r="G38" s="122">
        <f t="shared" si="2"/>
        <v>19.557</v>
      </c>
      <c r="H38" s="43"/>
      <c r="I38" s="107"/>
      <c r="J38" s="123">
        <f t="shared" si="3"/>
        <v>0</v>
      </c>
      <c r="K38" s="76">
        <f t="shared" si="4"/>
        <v>0</v>
      </c>
      <c r="L38" s="43"/>
      <c r="M38" s="7"/>
      <c r="N38" s="106"/>
      <c r="R38" s="3" t="str">
        <f t="shared" si="5"/>
        <v>王灵云</v>
      </c>
      <c r="S38" s="3">
        <f t="shared" si="6"/>
        <v>1</v>
      </c>
      <c r="T38" s="3">
        <f t="shared" si="7"/>
        <v>9</v>
      </c>
      <c r="U38" s="3" t="str">
        <f>IFERROR(INDEX($B$5:$B$904,MATCH(34,$T$5:$T$904,0)),"")</f>
        <v/>
      </c>
    </row>
    <row r="39" spans="1:21">
      <c r="A39" s="74">
        <f t="shared" si="0"/>
        <v>35</v>
      </c>
      <c r="B39" s="75" t="str">
        <f>IFERROR(INDEX(对接源_01入库吨位!$B$5:$B$304,MATCH(INT((ROW()-5)/3)+1,对接源_01入库吨位!$S$5:$S$304,0)),"")</f>
        <v>王灵云</v>
      </c>
      <c r="C39" s="75" t="str">
        <f>IFERROR(INDEX(对接源_01入库吨位!$C$5:$C$304,MATCH(INT((ROW()-5)/3)+1,对接源_01入库吨位!$S$5:$S$304,0)),"")</f>
        <v>香梨</v>
      </c>
      <c r="D39" s="89" t="str">
        <f t="shared" si="1"/>
        <v>仓储加工</v>
      </c>
      <c r="E39" s="42">
        <f>IF($B39="","",IFERROR(IF($D39="周转打冷",N(INDEX(对接源_01入库吨位!$D$5:$D$304,MATCH(INT((ROW()-5)/3)+1,对接源_01入库吨位!$S$5:$S$304,0))),IF($D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39" s="76">
        <f>IF($B39="","",ROUND(IFERROR(IF($D39="周转打冷",N(INDEX(对接源_01入库吨位!$H$5:$H$304,MATCH(INT((ROW()-5)/3)+1,对接源_01入库吨位!$S$5:$S$304,0))),IF($D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39" s="122">
        <f t="shared" si="2"/>
        <v>0</v>
      </c>
      <c r="H39" s="43"/>
      <c r="I39" s="107"/>
      <c r="J39" s="123">
        <f t="shared" si="3"/>
        <v>0</v>
      </c>
      <c r="K39" s="76">
        <f t="shared" si="4"/>
        <v>0</v>
      </c>
      <c r="L39" s="43"/>
      <c r="M39" s="7"/>
      <c r="N39" s="106"/>
      <c r="R39" s="3" t="str">
        <f t="shared" si="5"/>
        <v>王灵云</v>
      </c>
      <c r="S39" s="3">
        <f t="shared" si="6"/>
        <v>0</v>
      </c>
      <c r="T39" s="3">
        <f t="shared" si="7"/>
        <v>9</v>
      </c>
      <c r="U39" s="3" t="str">
        <f>IFERROR(INDEX($B$5:$B$904,MATCH(35,$T$5:$T$904,0)),"")</f>
        <v/>
      </c>
    </row>
    <row r="40" spans="1:21">
      <c r="A40" s="74">
        <f t="shared" si="0"/>
        <v>36</v>
      </c>
      <c r="B40" s="75" t="str">
        <f>IFERROR(INDEX(对接源_01入库吨位!$B$5:$B$304,MATCH(INT((ROW()-5)/3)+1,对接源_01入库吨位!$S$5:$S$304,0)),"")</f>
        <v>王灵云</v>
      </c>
      <c r="C40" s="75" t="str">
        <f>IFERROR(INDEX(对接源_01入库吨位!$C$5:$C$304,MATCH(INT((ROW()-5)/3)+1,对接源_01入库吨位!$S$5:$S$304,0)),"")</f>
        <v>香梨</v>
      </c>
      <c r="D40" s="89" t="str">
        <f t="shared" si="1"/>
        <v>装卸费</v>
      </c>
      <c r="E40" s="42">
        <f>IF($B40="","",IFERROR(IF($D40="周转打冷",N(INDEX(对接源_01入库吨位!$D$5:$D$304,MATCH(INT((ROW()-5)/3)+1,对接源_01入库吨位!$S$5:$S$304,0))),IF($D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1037</v>
      </c>
      <c r="F40" s="76">
        <f>IF($B40="","",ROUND(IFERROR(IF($D40="周转打冷",N(INDEX(对接源_01入库吨位!$H$5:$H$304,MATCH(INT((ROW()-5)/3)+1,对接源_01入库吨位!$S$5:$S$304,0))),IF($D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19557.1</v>
      </c>
      <c r="G40" s="122">
        <f t="shared" si="2"/>
        <v>19.557</v>
      </c>
      <c r="H40" s="43"/>
      <c r="I40" s="107"/>
      <c r="J40" s="123">
        <f t="shared" si="3"/>
        <v>0</v>
      </c>
      <c r="K40" s="76">
        <f t="shared" si="4"/>
        <v>0</v>
      </c>
      <c r="L40" s="43"/>
      <c r="M40" s="7"/>
      <c r="N40" s="106"/>
      <c r="R40" s="3" t="str">
        <f t="shared" si="5"/>
        <v>王灵云</v>
      </c>
      <c r="S40" s="3">
        <f t="shared" si="6"/>
        <v>0</v>
      </c>
      <c r="T40" s="3">
        <f t="shared" si="7"/>
        <v>9</v>
      </c>
      <c r="U40" s="3" t="str">
        <f>IFERROR(INDEX($B$5:$B$904,MATCH(36,$T$5:$T$904,0)),"")</f>
        <v/>
      </c>
    </row>
    <row r="41" spans="1:21">
      <c r="A41" s="74">
        <f t="shared" si="0"/>
        <v>37</v>
      </c>
      <c r="B41" s="75" t="str">
        <f>IFERROR(INDEX(对接源_01入库吨位!$B$5:$B$304,MATCH(INT((ROW()-5)/3)+1,对接源_01入库吨位!$S$5:$S$304,0)),"")</f>
        <v>杨艳玲</v>
      </c>
      <c r="C41" s="75" t="str">
        <f>IFERROR(INDEX(对接源_01入库吨位!$C$5:$C$304,MATCH(INT((ROW()-5)/3)+1,对接源_01入库吨位!$S$5:$S$304,0)),"")</f>
        <v>香梨</v>
      </c>
      <c r="D41" s="89" t="str">
        <f t="shared" si="1"/>
        <v>周转打冷</v>
      </c>
      <c r="E41" s="42">
        <f>IF($B41="","",IFERROR(IF($D41="周转打冷",N(INDEX(对接源_01入库吨位!$D$5:$D$304,MATCH(INT((ROW()-5)/3)+1,对接源_01入库吨位!$S$5:$S$304,0))),IF($D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104</v>
      </c>
      <c r="F41" s="76">
        <f>IF($B41="","",ROUND(IFERROR(IF($D41="周转打冷",N(INDEX(对接源_01入库吨位!$H$5:$H$304,MATCH(INT((ROW()-5)/3)+1,对接源_01入库吨位!$S$5:$S$304,0))),IF($D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1799.2</v>
      </c>
      <c r="G41" s="122">
        <f t="shared" si="2"/>
        <v>1.799</v>
      </c>
      <c r="H41" s="43"/>
      <c r="I41" s="107"/>
      <c r="J41" s="123">
        <f t="shared" si="3"/>
        <v>0</v>
      </c>
      <c r="K41" s="76">
        <f t="shared" si="4"/>
        <v>0</v>
      </c>
      <c r="L41" s="43"/>
      <c r="M41" s="7"/>
      <c r="N41" s="106"/>
      <c r="R41" s="3" t="str">
        <f t="shared" si="5"/>
        <v>杨艳玲</v>
      </c>
      <c r="S41" s="3">
        <f t="shared" si="6"/>
        <v>1</v>
      </c>
      <c r="T41" s="3">
        <f t="shared" si="7"/>
        <v>10</v>
      </c>
      <c r="U41" s="3" t="str">
        <f>IFERROR(INDEX($B$5:$B$904,MATCH(37,$T$5:$T$904,0)),"")</f>
        <v/>
      </c>
    </row>
    <row r="42" spans="1:21">
      <c r="A42" s="74">
        <f t="shared" si="0"/>
        <v>38</v>
      </c>
      <c r="B42" s="75" t="str">
        <f>IFERROR(INDEX(对接源_01入库吨位!$B$5:$B$304,MATCH(INT((ROW()-5)/3)+1,对接源_01入库吨位!$S$5:$S$304,0)),"")</f>
        <v>杨艳玲</v>
      </c>
      <c r="C42" s="75" t="str">
        <f>IFERROR(INDEX(对接源_01入库吨位!$C$5:$C$304,MATCH(INT((ROW()-5)/3)+1,对接源_01入库吨位!$S$5:$S$304,0)),"")</f>
        <v>香梨</v>
      </c>
      <c r="D42" s="89" t="str">
        <f t="shared" si="1"/>
        <v>仓储加工</v>
      </c>
      <c r="E42" s="42">
        <f>IF($B42="","",IFERROR(IF($D42="周转打冷",N(INDEX(对接源_01入库吨位!$D$5:$D$304,MATCH(INT((ROW()-5)/3)+1,对接源_01入库吨位!$S$5:$S$304,0))),IF($D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42" s="76">
        <f>IF($B42="","",ROUND(IFERROR(IF($D42="周转打冷",N(INDEX(对接源_01入库吨位!$H$5:$H$304,MATCH(INT((ROW()-5)/3)+1,对接源_01入库吨位!$S$5:$S$304,0))),IF($D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42" s="122">
        <f t="shared" si="2"/>
        <v>0</v>
      </c>
      <c r="H42" s="43"/>
      <c r="I42" s="107"/>
      <c r="J42" s="123">
        <f t="shared" si="3"/>
        <v>0</v>
      </c>
      <c r="K42" s="76">
        <f t="shared" si="4"/>
        <v>0</v>
      </c>
      <c r="L42" s="43"/>
      <c r="M42" s="7"/>
      <c r="N42" s="106"/>
      <c r="R42" s="3" t="str">
        <f t="shared" si="5"/>
        <v>杨艳玲</v>
      </c>
      <c r="S42" s="3">
        <f t="shared" si="6"/>
        <v>0</v>
      </c>
      <c r="T42" s="3">
        <f t="shared" si="7"/>
        <v>10</v>
      </c>
      <c r="U42" s="3" t="str">
        <f>IFERROR(INDEX($B$5:$B$904,MATCH(38,$T$5:$T$904,0)),"")</f>
        <v/>
      </c>
    </row>
    <row r="43" spans="1:21">
      <c r="A43" s="74">
        <f t="shared" si="0"/>
        <v>39</v>
      </c>
      <c r="B43" s="75" t="str">
        <f>IFERROR(INDEX(对接源_01入库吨位!$B$5:$B$304,MATCH(INT((ROW()-5)/3)+1,对接源_01入库吨位!$S$5:$S$304,0)),"")</f>
        <v>杨艳玲</v>
      </c>
      <c r="C43" s="75" t="str">
        <f>IFERROR(INDEX(对接源_01入库吨位!$C$5:$C$304,MATCH(INT((ROW()-5)/3)+1,对接源_01入库吨位!$S$5:$S$304,0)),"")</f>
        <v>香梨</v>
      </c>
      <c r="D43" s="89" t="str">
        <f t="shared" si="1"/>
        <v>装卸费</v>
      </c>
      <c r="E43" s="42">
        <f>IF($B43="","",IFERROR(IF($D43="周转打冷",N(INDEX(对接源_01入库吨位!$D$5:$D$304,MATCH(INT((ROW()-5)/3)+1,对接源_01入库吨位!$S$5:$S$304,0))),IF($D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104</v>
      </c>
      <c r="F43" s="76">
        <f>IF($B43="","",ROUND(IFERROR(IF($D43="周转打冷",N(INDEX(对接源_01入库吨位!$H$5:$H$304,MATCH(INT((ROW()-5)/3)+1,对接源_01入库吨位!$S$5:$S$304,0))),IF($D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1799.2</v>
      </c>
      <c r="G43" s="122">
        <f t="shared" si="2"/>
        <v>1.799</v>
      </c>
      <c r="H43" s="43"/>
      <c r="I43" s="107"/>
      <c r="J43" s="123">
        <f t="shared" si="3"/>
        <v>0</v>
      </c>
      <c r="K43" s="76">
        <f t="shared" si="4"/>
        <v>0</v>
      </c>
      <c r="L43" s="43"/>
      <c r="M43" s="7"/>
      <c r="N43" s="106"/>
      <c r="R43" s="3" t="str">
        <f t="shared" si="5"/>
        <v>杨艳玲</v>
      </c>
      <c r="S43" s="3">
        <f t="shared" si="6"/>
        <v>0</v>
      </c>
      <c r="T43" s="3">
        <f t="shared" si="7"/>
        <v>10</v>
      </c>
      <c r="U43" s="3" t="str">
        <f>IFERROR(INDEX($B$5:$B$904,MATCH(39,$T$5:$T$904,0)),"")</f>
        <v/>
      </c>
    </row>
    <row r="44" spans="1:21">
      <c r="A44" s="74">
        <f t="shared" si="0"/>
        <v>40</v>
      </c>
      <c r="B44" s="75" t="str">
        <f>IFERROR(INDEX(对接源_01入库吨位!$B$5:$B$304,MATCH(INT((ROW()-5)/3)+1,对接源_01入库吨位!$S$5:$S$304,0)),"")</f>
        <v>荆建君</v>
      </c>
      <c r="C44" s="75" t="str">
        <f>IFERROR(INDEX(对接源_01入库吨位!$C$5:$C$304,MATCH(INT((ROW()-5)/3)+1,对接源_01入库吨位!$S$5:$S$304,0)),"")</f>
        <v>香梨</v>
      </c>
      <c r="D44" s="89" t="str">
        <f t="shared" si="1"/>
        <v>周转打冷</v>
      </c>
      <c r="E44" s="42">
        <f>IF($B44="","",IFERROR(IF($D44="周转打冷",N(INDEX(对接源_01入库吨位!$D$5:$D$304,MATCH(INT((ROW()-5)/3)+1,对接源_01入库吨位!$S$5:$S$304,0))),IF($D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44" s="76">
        <f>IF($B44="","",ROUND(IFERROR(IF($D44="周转打冷",N(INDEX(对接源_01入库吨位!$H$5:$H$304,MATCH(INT((ROW()-5)/3)+1,对接源_01入库吨位!$S$5:$S$304,0))),IF($D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44" s="122">
        <f t="shared" si="2"/>
        <v>0</v>
      </c>
      <c r="H44" s="43"/>
      <c r="I44" s="107"/>
      <c r="J44" s="123">
        <f t="shared" si="3"/>
        <v>0</v>
      </c>
      <c r="K44" s="76">
        <f t="shared" si="4"/>
        <v>0</v>
      </c>
      <c r="L44" s="43"/>
      <c r="M44" s="7"/>
      <c r="N44" s="106"/>
      <c r="R44" s="3" t="str">
        <f t="shared" si="5"/>
        <v>荆建君</v>
      </c>
      <c r="S44" s="3">
        <f t="shared" si="6"/>
        <v>1</v>
      </c>
      <c r="T44" s="3">
        <f t="shared" si="7"/>
        <v>11</v>
      </c>
      <c r="U44" s="3" t="str">
        <f>IFERROR(INDEX($B$5:$B$904,MATCH(40,$T$5:$T$904,0)),"")</f>
        <v/>
      </c>
    </row>
    <row r="45" spans="1:21">
      <c r="A45" s="74">
        <f t="shared" si="0"/>
        <v>41</v>
      </c>
      <c r="B45" s="75" t="str">
        <f>IFERROR(INDEX(对接源_01入库吨位!$B$5:$B$304,MATCH(INT((ROW()-5)/3)+1,对接源_01入库吨位!$S$5:$S$304,0)),"")</f>
        <v>荆建君</v>
      </c>
      <c r="C45" s="75" t="str">
        <f>IFERROR(INDEX(对接源_01入库吨位!$C$5:$C$304,MATCH(INT((ROW()-5)/3)+1,对接源_01入库吨位!$S$5:$S$304,0)),"")</f>
        <v>香梨</v>
      </c>
      <c r="D45" s="89" t="str">
        <f t="shared" si="1"/>
        <v>仓储加工</v>
      </c>
      <c r="E45" s="42">
        <f>IF($B45="","",IFERROR(IF($D45="周转打冷",N(INDEX(对接源_01入库吨位!$D$5:$D$304,MATCH(INT((ROW()-5)/3)+1,对接源_01入库吨位!$S$5:$S$304,0))),IF($D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1216</v>
      </c>
      <c r="F45" s="76">
        <f>IF($B45="","",ROUND(IFERROR(IF($D45="周转打冷",N(INDEX(对接源_01入库吨位!$H$5:$H$304,MATCH(INT((ROW()-5)/3)+1,对接源_01入库吨位!$S$5:$S$304,0))),IF($D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22252.8</v>
      </c>
      <c r="G45" s="122">
        <f t="shared" si="2"/>
        <v>22.253</v>
      </c>
      <c r="H45" s="43"/>
      <c r="I45" s="107"/>
      <c r="J45" s="123">
        <f t="shared" si="3"/>
        <v>0</v>
      </c>
      <c r="K45" s="76">
        <f t="shared" si="4"/>
        <v>0</v>
      </c>
      <c r="L45" s="43"/>
      <c r="M45" s="7"/>
      <c r="N45" s="106"/>
      <c r="R45" s="3" t="str">
        <f t="shared" si="5"/>
        <v>荆建君</v>
      </c>
      <c r="S45" s="3">
        <f t="shared" si="6"/>
        <v>0</v>
      </c>
      <c r="T45" s="3">
        <f t="shared" si="7"/>
        <v>11</v>
      </c>
      <c r="U45" s="3" t="str">
        <f>IFERROR(INDEX($B$5:$B$904,MATCH(41,$T$5:$T$904,0)),"")</f>
        <v/>
      </c>
    </row>
    <row r="46" spans="1:21">
      <c r="A46" s="74">
        <f t="shared" si="0"/>
        <v>42</v>
      </c>
      <c r="B46" s="75" t="str">
        <f>IFERROR(INDEX(对接源_01入库吨位!$B$5:$B$304,MATCH(INT((ROW()-5)/3)+1,对接源_01入库吨位!$S$5:$S$304,0)),"")</f>
        <v>荆建君</v>
      </c>
      <c r="C46" s="75" t="str">
        <f>IFERROR(INDEX(对接源_01入库吨位!$C$5:$C$304,MATCH(INT((ROW()-5)/3)+1,对接源_01入库吨位!$S$5:$S$304,0)),"")</f>
        <v>香梨</v>
      </c>
      <c r="D46" s="89" t="str">
        <f t="shared" si="1"/>
        <v>装卸费</v>
      </c>
      <c r="E46" s="42">
        <f>IF($B46="","",IFERROR(IF($D46="周转打冷",N(INDEX(对接源_01入库吨位!$D$5:$D$304,MATCH(INT((ROW()-5)/3)+1,对接源_01入库吨位!$S$5:$S$304,0))),IF($D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1216</v>
      </c>
      <c r="F46" s="76">
        <f>IF($B46="","",ROUND(IFERROR(IF($D46="周转打冷",N(INDEX(对接源_01入库吨位!$H$5:$H$304,MATCH(INT((ROW()-5)/3)+1,对接源_01入库吨位!$S$5:$S$304,0))),IF($D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22252.8</v>
      </c>
      <c r="G46" s="122">
        <f t="shared" si="2"/>
        <v>22.253</v>
      </c>
      <c r="H46" s="43"/>
      <c r="I46" s="107"/>
      <c r="J46" s="123">
        <f t="shared" si="3"/>
        <v>0</v>
      </c>
      <c r="K46" s="76">
        <f t="shared" si="4"/>
        <v>0</v>
      </c>
      <c r="L46" s="43"/>
      <c r="M46" s="7"/>
      <c r="N46" s="106"/>
      <c r="R46" s="3" t="str">
        <f t="shared" si="5"/>
        <v>荆建君</v>
      </c>
      <c r="S46" s="3">
        <f t="shared" si="6"/>
        <v>0</v>
      </c>
      <c r="T46" s="3">
        <f t="shared" si="7"/>
        <v>11</v>
      </c>
      <c r="U46" s="3" t="str">
        <f>IFERROR(INDEX($B$5:$B$904,MATCH(42,$T$5:$T$904,0)),"")</f>
        <v/>
      </c>
    </row>
    <row r="47" spans="1:21">
      <c r="A47" s="74">
        <f t="shared" si="0"/>
        <v>43</v>
      </c>
      <c r="B47" s="75" t="str">
        <f>IFERROR(INDEX(对接源_01入库吨位!$B$5:$B$304,MATCH(INT((ROW()-5)/3)+1,对接源_01入库吨位!$S$5:$S$304,0)),"")</f>
        <v>王照雪</v>
      </c>
      <c r="C47" s="75" t="str">
        <f>IFERROR(INDEX(对接源_01入库吨位!$C$5:$C$304,MATCH(INT((ROW()-5)/3)+1,对接源_01入库吨位!$S$5:$S$304,0)),"")</f>
        <v>香梨</v>
      </c>
      <c r="D47" s="89" t="str">
        <f t="shared" si="1"/>
        <v>周转打冷</v>
      </c>
      <c r="E47" s="42">
        <f>IF($B47="","",IFERROR(IF($D47="周转打冷",N(INDEX(对接源_01入库吨位!$D$5:$D$304,MATCH(INT((ROW()-5)/3)+1,对接源_01入库吨位!$S$5:$S$304,0))),IF($D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47" s="76">
        <f>IF($B47="","",ROUND(IFERROR(IF($D47="周转打冷",N(INDEX(对接源_01入库吨位!$H$5:$H$304,MATCH(INT((ROW()-5)/3)+1,对接源_01入库吨位!$S$5:$S$304,0))),IF($D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47" s="122">
        <f t="shared" si="2"/>
        <v>0</v>
      </c>
      <c r="H47" s="43"/>
      <c r="I47" s="107"/>
      <c r="J47" s="123">
        <f t="shared" si="3"/>
        <v>0</v>
      </c>
      <c r="K47" s="76">
        <f t="shared" si="4"/>
        <v>0</v>
      </c>
      <c r="L47" s="43"/>
      <c r="M47" s="7"/>
      <c r="N47" s="106"/>
      <c r="R47" s="3" t="str">
        <f t="shared" si="5"/>
        <v>王照雪</v>
      </c>
      <c r="S47" s="3">
        <f t="shared" si="6"/>
        <v>0</v>
      </c>
      <c r="T47" s="3">
        <f t="shared" si="7"/>
        <v>11</v>
      </c>
      <c r="U47" s="3" t="str">
        <f>IFERROR(INDEX($B$5:$B$904,MATCH(43,$T$5:$T$904,0)),"")</f>
        <v/>
      </c>
    </row>
    <row r="48" spans="1:21">
      <c r="A48" s="74">
        <f t="shared" si="0"/>
        <v>44</v>
      </c>
      <c r="B48" s="75" t="str">
        <f>IFERROR(INDEX(对接源_01入库吨位!$B$5:$B$304,MATCH(INT((ROW()-5)/3)+1,对接源_01入库吨位!$S$5:$S$304,0)),"")</f>
        <v>王照雪</v>
      </c>
      <c r="C48" s="75" t="str">
        <f>IFERROR(INDEX(对接源_01入库吨位!$C$5:$C$304,MATCH(INT((ROW()-5)/3)+1,对接源_01入库吨位!$S$5:$S$304,0)),"")</f>
        <v>香梨</v>
      </c>
      <c r="D48" s="89" t="str">
        <f t="shared" si="1"/>
        <v>仓储加工</v>
      </c>
      <c r="E48" s="42">
        <f>IF($B48="","",IFERROR(IF($D48="周转打冷",N(INDEX(对接源_01入库吨位!$D$5:$D$304,MATCH(INT((ROW()-5)/3)+1,对接源_01入库吨位!$S$5:$S$304,0))),IF($D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543</v>
      </c>
      <c r="F48" s="76">
        <f>IF($B48="","",ROUND(IFERROR(IF($D48="周转打冷",N(INDEX(对接源_01入库吨位!$H$5:$H$304,MATCH(INT((ROW()-5)/3)+1,对接源_01入库吨位!$S$5:$S$304,0))),IF($D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10149.5</v>
      </c>
      <c r="G48" s="122">
        <f t="shared" si="2"/>
        <v>10.15</v>
      </c>
      <c r="H48" s="43"/>
      <c r="I48" s="107"/>
      <c r="J48" s="123">
        <f t="shared" si="3"/>
        <v>0</v>
      </c>
      <c r="K48" s="76">
        <f t="shared" si="4"/>
        <v>0</v>
      </c>
      <c r="L48" s="43"/>
      <c r="M48" s="7"/>
      <c r="N48" s="106"/>
      <c r="R48" s="3" t="str">
        <f t="shared" si="5"/>
        <v>王照雪</v>
      </c>
      <c r="S48" s="3">
        <f t="shared" si="6"/>
        <v>0</v>
      </c>
      <c r="T48" s="3">
        <f t="shared" si="7"/>
        <v>11</v>
      </c>
      <c r="U48" s="3" t="str">
        <f>IFERROR(INDEX($B$5:$B$904,MATCH(44,$T$5:$T$904,0)),"")</f>
        <v/>
      </c>
    </row>
    <row r="49" spans="1:21">
      <c r="A49" s="74">
        <f t="shared" si="0"/>
        <v>45</v>
      </c>
      <c r="B49" s="75" t="str">
        <f>IFERROR(INDEX(对接源_01入库吨位!$B$5:$B$304,MATCH(INT((ROW()-5)/3)+1,对接源_01入库吨位!$S$5:$S$304,0)),"")</f>
        <v>王照雪</v>
      </c>
      <c r="C49" s="75" t="str">
        <f>IFERROR(INDEX(对接源_01入库吨位!$C$5:$C$304,MATCH(INT((ROW()-5)/3)+1,对接源_01入库吨位!$S$5:$S$304,0)),"")</f>
        <v>香梨</v>
      </c>
      <c r="D49" s="89" t="str">
        <f t="shared" si="1"/>
        <v>装卸费</v>
      </c>
      <c r="E49" s="42">
        <f>IF($B49="","",IFERROR(IF($D49="周转打冷",N(INDEX(对接源_01入库吨位!$D$5:$D$304,MATCH(INT((ROW()-5)/3)+1,对接源_01入库吨位!$S$5:$S$304,0))),IF($D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543</v>
      </c>
      <c r="F49" s="76">
        <f>IF($B49="","",ROUND(IFERROR(IF($D49="周转打冷",N(INDEX(对接源_01入库吨位!$H$5:$H$304,MATCH(INT((ROW()-5)/3)+1,对接源_01入库吨位!$S$5:$S$304,0))),IF($D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10149.5</v>
      </c>
      <c r="G49" s="122">
        <f t="shared" si="2"/>
        <v>10.15</v>
      </c>
      <c r="H49" s="43"/>
      <c r="I49" s="107"/>
      <c r="J49" s="123">
        <f t="shared" si="3"/>
        <v>0</v>
      </c>
      <c r="K49" s="76">
        <f t="shared" si="4"/>
        <v>0</v>
      </c>
      <c r="L49" s="43"/>
      <c r="M49" s="7"/>
      <c r="N49" s="106"/>
      <c r="R49" s="3" t="str">
        <f t="shared" si="5"/>
        <v>王照雪</v>
      </c>
      <c r="S49" s="3">
        <f t="shared" si="6"/>
        <v>0</v>
      </c>
      <c r="T49" s="3">
        <f t="shared" si="7"/>
        <v>11</v>
      </c>
      <c r="U49" s="3" t="str">
        <f>IFERROR(INDEX($B$5:$B$904,MATCH(45,$T$5:$T$904,0)),"")</f>
        <v/>
      </c>
    </row>
    <row r="50" spans="1:21">
      <c r="A50" s="74">
        <f t="shared" si="0"/>
        <v>46</v>
      </c>
      <c r="B50" s="75" t="str">
        <f>IFERROR(INDEX(对接源_01入库吨位!$B$5:$B$304,MATCH(INT((ROW()-5)/3)+1,对接源_01入库吨位!$S$5:$S$304,0)),"")</f>
        <v>努尔敦</v>
      </c>
      <c r="C50" s="75" t="str">
        <f>IFERROR(INDEX(对接源_01入库吨位!$C$5:$C$304,MATCH(INT((ROW()-5)/3)+1,对接源_01入库吨位!$S$5:$S$304,0)),"")</f>
        <v>香梨</v>
      </c>
      <c r="D50" s="89" t="str">
        <f t="shared" si="1"/>
        <v>周转打冷</v>
      </c>
      <c r="E50" s="42">
        <f>IF($B50="","",IFERROR(IF($D50="周转打冷",N(INDEX(对接源_01入库吨位!$D$5:$D$304,MATCH(INT((ROW()-5)/3)+1,对接源_01入库吨位!$S$5:$S$304,0))),IF($D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50" s="76">
        <f>IF($B50="","",ROUND(IFERROR(IF($D50="周转打冷",N(INDEX(对接源_01入库吨位!$H$5:$H$304,MATCH(INT((ROW()-5)/3)+1,对接源_01入库吨位!$S$5:$S$304,0))),IF($D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50" s="122">
        <f t="shared" si="2"/>
        <v>0</v>
      </c>
      <c r="H50" s="43"/>
      <c r="I50" s="107"/>
      <c r="J50" s="123">
        <f t="shared" si="3"/>
        <v>0</v>
      </c>
      <c r="K50" s="76">
        <f t="shared" si="4"/>
        <v>0</v>
      </c>
      <c r="L50" s="43"/>
      <c r="M50" s="7"/>
      <c r="N50" s="106"/>
      <c r="R50" s="3" t="str">
        <f t="shared" si="5"/>
        <v>努尔敦</v>
      </c>
      <c r="S50" s="3">
        <f t="shared" si="6"/>
        <v>1</v>
      </c>
      <c r="T50" s="3">
        <f t="shared" si="7"/>
        <v>12</v>
      </c>
      <c r="U50" s="3" t="str">
        <f>IFERROR(INDEX($B$5:$B$904,MATCH(46,$T$5:$T$904,0)),"")</f>
        <v/>
      </c>
    </row>
    <row r="51" spans="1:21">
      <c r="A51" s="74">
        <f t="shared" si="0"/>
        <v>47</v>
      </c>
      <c r="B51" s="75" t="str">
        <f>IFERROR(INDEX(对接源_01入库吨位!$B$5:$B$304,MATCH(INT((ROW()-5)/3)+1,对接源_01入库吨位!$S$5:$S$304,0)),"")</f>
        <v>努尔敦</v>
      </c>
      <c r="C51" s="75" t="str">
        <f>IFERROR(INDEX(对接源_01入库吨位!$C$5:$C$304,MATCH(INT((ROW()-5)/3)+1,对接源_01入库吨位!$S$5:$S$304,0)),"")</f>
        <v>香梨</v>
      </c>
      <c r="D51" s="89" t="str">
        <f t="shared" si="1"/>
        <v>仓储加工</v>
      </c>
      <c r="E51" s="42">
        <f>IF($B51="","",IFERROR(IF($D51="周转打冷",N(INDEX(对接源_01入库吨位!$D$5:$D$304,MATCH(INT((ROW()-5)/3)+1,对接源_01入库吨位!$S$5:$S$304,0))),IF($D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1290</v>
      </c>
      <c r="F51" s="76">
        <f>IF($B51="","",ROUND(IFERROR(IF($D51="周转打冷",N(INDEX(对接源_01入库吨位!$H$5:$H$304,MATCH(INT((ROW()-5)/3)+1,对接源_01入库吨位!$S$5:$S$304,0))),IF($D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25351</v>
      </c>
      <c r="G51" s="122">
        <f t="shared" si="2"/>
        <v>25.351</v>
      </c>
      <c r="H51" s="43"/>
      <c r="I51" s="107"/>
      <c r="J51" s="123">
        <f t="shared" si="3"/>
        <v>0</v>
      </c>
      <c r="K51" s="76">
        <f t="shared" si="4"/>
        <v>0</v>
      </c>
      <c r="L51" s="43"/>
      <c r="M51" s="7"/>
      <c r="N51" s="106"/>
      <c r="R51" s="3" t="str">
        <f t="shared" si="5"/>
        <v>努尔敦</v>
      </c>
      <c r="S51" s="3">
        <f t="shared" si="6"/>
        <v>0</v>
      </c>
      <c r="T51" s="3">
        <f t="shared" si="7"/>
        <v>12</v>
      </c>
      <c r="U51" s="3" t="str">
        <f>IFERROR(INDEX($B$5:$B$904,MATCH(47,$T$5:$T$904,0)),"")</f>
        <v/>
      </c>
    </row>
    <row r="52" spans="1:21">
      <c r="A52" s="74">
        <f t="shared" si="0"/>
        <v>48</v>
      </c>
      <c r="B52" s="75" t="str">
        <f>IFERROR(INDEX(对接源_01入库吨位!$B$5:$B$304,MATCH(INT((ROW()-5)/3)+1,对接源_01入库吨位!$S$5:$S$304,0)),"")</f>
        <v>努尔敦</v>
      </c>
      <c r="C52" s="75" t="str">
        <f>IFERROR(INDEX(对接源_01入库吨位!$C$5:$C$304,MATCH(INT((ROW()-5)/3)+1,对接源_01入库吨位!$S$5:$S$304,0)),"")</f>
        <v>香梨</v>
      </c>
      <c r="D52" s="89" t="str">
        <f t="shared" si="1"/>
        <v>装卸费</v>
      </c>
      <c r="E52" s="42">
        <f>IF($B52="","",IFERROR(IF($D52="周转打冷",N(INDEX(对接源_01入库吨位!$D$5:$D$304,MATCH(INT((ROW()-5)/3)+1,对接源_01入库吨位!$S$5:$S$304,0))),IF($D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1290</v>
      </c>
      <c r="F52" s="76">
        <f>IF($B52="","",ROUND(IFERROR(IF($D52="周转打冷",N(INDEX(对接源_01入库吨位!$H$5:$H$304,MATCH(INT((ROW()-5)/3)+1,对接源_01入库吨位!$S$5:$S$304,0))),IF($D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25351</v>
      </c>
      <c r="G52" s="122">
        <f t="shared" si="2"/>
        <v>25.351</v>
      </c>
      <c r="H52" s="43"/>
      <c r="I52" s="107"/>
      <c r="J52" s="123">
        <f t="shared" si="3"/>
        <v>0</v>
      </c>
      <c r="K52" s="76">
        <f t="shared" si="4"/>
        <v>0</v>
      </c>
      <c r="L52" s="43"/>
      <c r="M52" s="7"/>
      <c r="N52" s="106"/>
      <c r="R52" s="3" t="str">
        <f t="shared" si="5"/>
        <v>努尔敦</v>
      </c>
      <c r="S52" s="3">
        <f t="shared" si="6"/>
        <v>0</v>
      </c>
      <c r="T52" s="3">
        <f t="shared" si="7"/>
        <v>12</v>
      </c>
      <c r="U52" s="3" t="str">
        <f>IFERROR(INDEX($B$5:$B$904,MATCH(48,$T$5:$T$904,0)),"")</f>
        <v/>
      </c>
    </row>
    <row r="53" spans="1:21">
      <c r="A53" s="74">
        <f t="shared" si="0"/>
        <v>49</v>
      </c>
      <c r="B53" s="75" t="str">
        <f>IFERROR(INDEX(对接源_01入库吨位!$B$5:$B$304,MATCH(INT((ROW()-5)/3)+1,对接源_01入库吨位!$S$5:$S$304,0)),"")</f>
        <v>王浩</v>
      </c>
      <c r="C53" s="75" t="str">
        <f>IFERROR(INDEX(对接源_01入库吨位!$C$5:$C$304,MATCH(INT((ROW()-5)/3)+1,对接源_01入库吨位!$S$5:$S$304,0)),"")</f>
        <v>香梨</v>
      </c>
      <c r="D53" s="89" t="str">
        <f t="shared" si="1"/>
        <v>周转打冷</v>
      </c>
      <c r="E53" s="42">
        <f>IF($B53="","",IFERROR(IF($D53="周转打冷",N(INDEX(对接源_01入库吨位!$D$5:$D$304,MATCH(INT((ROW()-5)/3)+1,对接源_01入库吨位!$S$5:$S$304,0))),IF($D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53" s="76">
        <f>IF($B53="","",ROUND(IFERROR(IF($D53="周转打冷",N(INDEX(对接源_01入库吨位!$H$5:$H$304,MATCH(INT((ROW()-5)/3)+1,对接源_01入库吨位!$S$5:$S$304,0))),IF($D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53" s="122">
        <f t="shared" si="2"/>
        <v>0</v>
      </c>
      <c r="H53" s="43"/>
      <c r="I53" s="107"/>
      <c r="J53" s="123">
        <f t="shared" si="3"/>
        <v>0</v>
      </c>
      <c r="K53" s="76">
        <f t="shared" si="4"/>
        <v>0</v>
      </c>
      <c r="L53" s="43"/>
      <c r="M53" s="7"/>
      <c r="N53" s="106"/>
      <c r="R53" s="3" t="str">
        <f t="shared" si="5"/>
        <v>王浩</v>
      </c>
      <c r="S53" s="3">
        <f t="shared" si="6"/>
        <v>1</v>
      </c>
      <c r="T53" s="3">
        <f t="shared" si="7"/>
        <v>13</v>
      </c>
      <c r="U53" s="3" t="str">
        <f>IFERROR(INDEX($B$5:$B$904,MATCH(49,$T$5:$T$904,0)),"")</f>
        <v/>
      </c>
    </row>
    <row r="54" spans="1:21">
      <c r="A54" s="74">
        <f t="shared" si="0"/>
        <v>50</v>
      </c>
      <c r="B54" s="75" t="str">
        <f>IFERROR(INDEX(对接源_01入库吨位!$B$5:$B$304,MATCH(INT((ROW()-5)/3)+1,对接源_01入库吨位!$S$5:$S$304,0)),"")</f>
        <v>王浩</v>
      </c>
      <c r="C54" s="75" t="str">
        <f>IFERROR(INDEX(对接源_01入库吨位!$C$5:$C$304,MATCH(INT((ROW()-5)/3)+1,对接源_01入库吨位!$S$5:$S$304,0)),"")</f>
        <v>香梨</v>
      </c>
      <c r="D54" s="89" t="str">
        <f t="shared" si="1"/>
        <v>仓储加工</v>
      </c>
      <c r="E54" s="42">
        <f>IF($B54="","",IFERROR(IF($D54="周转打冷",N(INDEX(对接源_01入库吨位!$D$5:$D$304,MATCH(INT((ROW()-5)/3)+1,对接源_01入库吨位!$S$5:$S$304,0))),IF($D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1184</v>
      </c>
      <c r="F54" s="76">
        <f>IF($B54="","",ROUND(IFERROR(IF($D54="周转打冷",N(INDEX(对接源_01入库吨位!$H$5:$H$304,MATCH(INT((ROW()-5)/3)+1,对接源_01入库吨位!$S$5:$S$304,0))),IF($D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21667.2</v>
      </c>
      <c r="G54" s="122">
        <f t="shared" si="2"/>
        <v>21.667</v>
      </c>
      <c r="H54" s="43"/>
      <c r="I54" s="107"/>
      <c r="J54" s="123">
        <f t="shared" si="3"/>
        <v>0</v>
      </c>
      <c r="K54" s="76">
        <f t="shared" si="4"/>
        <v>0</v>
      </c>
      <c r="L54" s="43"/>
      <c r="M54" s="7"/>
      <c r="N54" s="106"/>
      <c r="R54" s="3" t="str">
        <f t="shared" si="5"/>
        <v>王浩</v>
      </c>
      <c r="S54" s="3">
        <f t="shared" si="6"/>
        <v>0</v>
      </c>
      <c r="T54" s="3">
        <f t="shared" si="7"/>
        <v>13</v>
      </c>
      <c r="U54" s="3" t="str">
        <f>IFERROR(INDEX($B$5:$B$904,MATCH(50,$T$5:$T$904,0)),"")</f>
        <v/>
      </c>
    </row>
    <row r="55" spans="1:21">
      <c r="A55" s="74">
        <f t="shared" si="0"/>
        <v>51</v>
      </c>
      <c r="B55" s="75" t="str">
        <f>IFERROR(INDEX(对接源_01入库吨位!$B$5:$B$304,MATCH(INT((ROW()-5)/3)+1,对接源_01入库吨位!$S$5:$S$304,0)),"")</f>
        <v>王浩</v>
      </c>
      <c r="C55" s="75" t="str">
        <f>IFERROR(INDEX(对接源_01入库吨位!$C$5:$C$304,MATCH(INT((ROW()-5)/3)+1,对接源_01入库吨位!$S$5:$S$304,0)),"")</f>
        <v>香梨</v>
      </c>
      <c r="D55" s="89" t="str">
        <f t="shared" si="1"/>
        <v>装卸费</v>
      </c>
      <c r="E55" s="42">
        <f>IF($B55="","",IFERROR(IF($D55="周转打冷",N(INDEX(对接源_01入库吨位!$D$5:$D$304,MATCH(INT((ROW()-5)/3)+1,对接源_01入库吨位!$S$5:$S$304,0))),IF($D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1184</v>
      </c>
      <c r="F55" s="76">
        <f>IF($B55="","",ROUND(IFERROR(IF($D55="周转打冷",N(INDEX(对接源_01入库吨位!$H$5:$H$304,MATCH(INT((ROW()-5)/3)+1,对接源_01入库吨位!$S$5:$S$304,0))),IF($D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21667.2</v>
      </c>
      <c r="G55" s="122">
        <f t="shared" si="2"/>
        <v>21.667</v>
      </c>
      <c r="H55" s="43"/>
      <c r="I55" s="107"/>
      <c r="J55" s="123">
        <f t="shared" si="3"/>
        <v>0</v>
      </c>
      <c r="K55" s="76">
        <f t="shared" si="4"/>
        <v>0</v>
      </c>
      <c r="L55" s="43"/>
      <c r="M55" s="7"/>
      <c r="N55" s="106"/>
      <c r="R55" s="3" t="str">
        <f t="shared" si="5"/>
        <v>王浩</v>
      </c>
      <c r="S55" s="3">
        <f t="shared" si="6"/>
        <v>0</v>
      </c>
      <c r="T55" s="3">
        <f t="shared" si="7"/>
        <v>13</v>
      </c>
      <c r="U55" s="3" t="str">
        <f>IFERROR(INDEX($B$5:$B$904,MATCH(51,$T$5:$T$904,0)),"")</f>
        <v/>
      </c>
    </row>
    <row r="56" spans="1:21">
      <c r="A56" s="74" t="str">
        <f t="shared" si="0"/>
        <v/>
      </c>
      <c r="B56" s="75" t="str">
        <f>IFERROR(INDEX(对接源_01入库吨位!$B$5:$B$304,MATCH(INT((ROW()-5)/3)+1,对接源_01入库吨位!$S$5:$S$304,0)),"")</f>
        <v/>
      </c>
      <c r="C56" s="75" t="str">
        <f>IFERROR(INDEX(对接源_01入库吨位!$C$5:$C$304,MATCH(INT((ROW()-5)/3)+1,对接源_01入库吨位!$S$5:$S$304,0)),"")</f>
        <v/>
      </c>
      <c r="D56" s="89" t="str">
        <f t="shared" si="1"/>
        <v/>
      </c>
      <c r="E56" s="42" t="str">
        <f>IF($B56="","",IFERROR(IF($D56="周转打冷",N(INDEX(对接源_01入库吨位!$D$5:$D$304,MATCH(INT((ROW()-5)/3)+1,对接源_01入库吨位!$S$5:$S$304,0))),IF($D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" s="76" t="str">
        <f>IF($B56="","",ROUND(IFERROR(IF($D56="周转打冷",N(INDEX(对接源_01入库吨位!$H$5:$H$304,MATCH(INT((ROW()-5)/3)+1,对接源_01入库吨位!$S$5:$S$304,0))),IF($D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" s="122" t="str">
        <f t="shared" si="2"/>
        <v/>
      </c>
      <c r="H56" s="43"/>
      <c r="I56" s="107"/>
      <c r="J56" s="123" t="str">
        <f t="shared" si="3"/>
        <v/>
      </c>
      <c r="K56" s="76" t="str">
        <f t="shared" si="4"/>
        <v/>
      </c>
      <c r="L56" s="43"/>
      <c r="M56" s="7"/>
      <c r="N56" s="106"/>
      <c r="R56" s="3" t="str">
        <f t="shared" si="5"/>
        <v/>
      </c>
      <c r="S56" s="3">
        <f t="shared" si="6"/>
        <v>0</v>
      </c>
      <c r="T56" s="3">
        <f t="shared" si="7"/>
        <v>13</v>
      </c>
      <c r="U56" s="3" t="str">
        <f>IFERROR(INDEX($B$5:$B$904,MATCH(52,$T$5:$T$904,0)),"")</f>
        <v/>
      </c>
    </row>
    <row r="57" spans="1:21">
      <c r="A57" s="74" t="str">
        <f t="shared" si="0"/>
        <v/>
      </c>
      <c r="B57" s="75" t="str">
        <f>IFERROR(INDEX(对接源_01入库吨位!$B$5:$B$304,MATCH(INT((ROW()-5)/3)+1,对接源_01入库吨位!$S$5:$S$304,0)),"")</f>
        <v/>
      </c>
      <c r="C57" s="75" t="str">
        <f>IFERROR(INDEX(对接源_01入库吨位!$C$5:$C$304,MATCH(INT((ROW()-5)/3)+1,对接源_01入库吨位!$S$5:$S$304,0)),"")</f>
        <v/>
      </c>
      <c r="D57" s="89" t="str">
        <f t="shared" si="1"/>
        <v/>
      </c>
      <c r="E57" s="42" t="str">
        <f>IF($B57="","",IFERROR(IF($D57="周转打冷",N(INDEX(对接源_01入库吨位!$D$5:$D$304,MATCH(INT((ROW()-5)/3)+1,对接源_01入库吨位!$S$5:$S$304,0))),IF($D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" s="76" t="str">
        <f>IF($B57="","",ROUND(IFERROR(IF($D57="周转打冷",N(INDEX(对接源_01入库吨位!$H$5:$H$304,MATCH(INT((ROW()-5)/3)+1,对接源_01入库吨位!$S$5:$S$304,0))),IF($D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" s="122" t="str">
        <f t="shared" si="2"/>
        <v/>
      </c>
      <c r="H57" s="43"/>
      <c r="I57" s="107"/>
      <c r="J57" s="123" t="str">
        <f t="shared" si="3"/>
        <v/>
      </c>
      <c r="K57" s="76" t="str">
        <f t="shared" si="4"/>
        <v/>
      </c>
      <c r="L57" s="43"/>
      <c r="M57" s="7"/>
      <c r="N57" s="106"/>
      <c r="R57" s="3" t="str">
        <f t="shared" si="5"/>
        <v/>
      </c>
      <c r="S57" s="3">
        <f t="shared" si="6"/>
        <v>0</v>
      </c>
      <c r="T57" s="3">
        <f t="shared" si="7"/>
        <v>13</v>
      </c>
      <c r="U57" s="3" t="str">
        <f>IFERROR(INDEX($B$5:$B$904,MATCH(53,$T$5:$T$904,0)),"")</f>
        <v/>
      </c>
    </row>
    <row r="58" spans="1:21">
      <c r="A58" s="74" t="str">
        <f t="shared" si="0"/>
        <v/>
      </c>
      <c r="B58" s="75" t="str">
        <f>IFERROR(INDEX(对接源_01入库吨位!$B$5:$B$304,MATCH(INT((ROW()-5)/3)+1,对接源_01入库吨位!$S$5:$S$304,0)),"")</f>
        <v/>
      </c>
      <c r="C58" s="75" t="str">
        <f>IFERROR(INDEX(对接源_01入库吨位!$C$5:$C$304,MATCH(INT((ROW()-5)/3)+1,对接源_01入库吨位!$S$5:$S$304,0)),"")</f>
        <v/>
      </c>
      <c r="D58" s="89" t="str">
        <f t="shared" si="1"/>
        <v/>
      </c>
      <c r="E58" s="42" t="str">
        <f>IF($B58="","",IFERROR(IF($D58="周转打冷",N(INDEX(对接源_01入库吨位!$D$5:$D$304,MATCH(INT((ROW()-5)/3)+1,对接源_01入库吨位!$S$5:$S$304,0))),IF($D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" s="76" t="str">
        <f>IF($B58="","",ROUND(IFERROR(IF($D58="周转打冷",N(INDEX(对接源_01入库吨位!$H$5:$H$304,MATCH(INT((ROW()-5)/3)+1,对接源_01入库吨位!$S$5:$S$304,0))),IF($D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" s="122" t="str">
        <f t="shared" si="2"/>
        <v/>
      </c>
      <c r="H58" s="43"/>
      <c r="I58" s="107"/>
      <c r="J58" s="123" t="str">
        <f t="shared" si="3"/>
        <v/>
      </c>
      <c r="K58" s="76" t="str">
        <f t="shared" si="4"/>
        <v/>
      </c>
      <c r="L58" s="43"/>
      <c r="M58" s="7"/>
      <c r="N58" s="106"/>
      <c r="R58" s="3" t="str">
        <f t="shared" si="5"/>
        <v/>
      </c>
      <c r="S58" s="3">
        <f t="shared" si="6"/>
        <v>0</v>
      </c>
      <c r="T58" s="3">
        <f t="shared" si="7"/>
        <v>13</v>
      </c>
      <c r="U58" s="3" t="str">
        <f>IFERROR(INDEX($B$5:$B$904,MATCH(54,$T$5:$T$904,0)),"")</f>
        <v/>
      </c>
    </row>
    <row r="59" spans="1:21">
      <c r="A59" s="74" t="str">
        <f t="shared" si="0"/>
        <v/>
      </c>
      <c r="B59" s="75" t="str">
        <f>IFERROR(INDEX(对接源_01入库吨位!$B$5:$B$304,MATCH(INT((ROW()-5)/3)+1,对接源_01入库吨位!$S$5:$S$304,0)),"")</f>
        <v/>
      </c>
      <c r="C59" s="75" t="str">
        <f>IFERROR(INDEX(对接源_01入库吨位!$C$5:$C$304,MATCH(INT((ROW()-5)/3)+1,对接源_01入库吨位!$S$5:$S$304,0)),"")</f>
        <v/>
      </c>
      <c r="D59" s="89" t="str">
        <f t="shared" si="1"/>
        <v/>
      </c>
      <c r="E59" s="42" t="str">
        <f>IF($B59="","",IFERROR(IF($D59="周转打冷",N(INDEX(对接源_01入库吨位!$D$5:$D$304,MATCH(INT((ROW()-5)/3)+1,对接源_01入库吨位!$S$5:$S$304,0))),IF($D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" s="76" t="str">
        <f>IF($B59="","",ROUND(IFERROR(IF($D59="周转打冷",N(INDEX(对接源_01入库吨位!$H$5:$H$304,MATCH(INT((ROW()-5)/3)+1,对接源_01入库吨位!$S$5:$S$304,0))),IF($D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" s="122" t="str">
        <f t="shared" si="2"/>
        <v/>
      </c>
      <c r="H59" s="43"/>
      <c r="I59" s="107"/>
      <c r="J59" s="123" t="str">
        <f t="shared" si="3"/>
        <v/>
      </c>
      <c r="K59" s="76" t="str">
        <f t="shared" si="4"/>
        <v/>
      </c>
      <c r="L59" s="43"/>
      <c r="M59" s="7"/>
      <c r="N59" s="106"/>
      <c r="R59" s="3" t="str">
        <f t="shared" si="5"/>
        <v/>
      </c>
      <c r="S59" s="3">
        <f t="shared" si="6"/>
        <v>0</v>
      </c>
      <c r="T59" s="3">
        <f t="shared" si="7"/>
        <v>13</v>
      </c>
      <c r="U59" s="3" t="str">
        <f>IFERROR(INDEX($B$5:$B$904,MATCH(55,$T$5:$T$904,0)),"")</f>
        <v/>
      </c>
    </row>
    <row r="60" spans="1:21">
      <c r="A60" s="74" t="str">
        <f t="shared" si="0"/>
        <v/>
      </c>
      <c r="B60" s="75" t="str">
        <f>IFERROR(INDEX(对接源_01入库吨位!$B$5:$B$304,MATCH(INT((ROW()-5)/3)+1,对接源_01入库吨位!$S$5:$S$304,0)),"")</f>
        <v/>
      </c>
      <c r="C60" s="75" t="str">
        <f>IFERROR(INDEX(对接源_01入库吨位!$C$5:$C$304,MATCH(INT((ROW()-5)/3)+1,对接源_01入库吨位!$S$5:$S$304,0)),"")</f>
        <v/>
      </c>
      <c r="D60" s="89" t="str">
        <f t="shared" si="1"/>
        <v/>
      </c>
      <c r="E60" s="42" t="str">
        <f>IF($B60="","",IFERROR(IF($D60="周转打冷",N(INDEX(对接源_01入库吨位!$D$5:$D$304,MATCH(INT((ROW()-5)/3)+1,对接源_01入库吨位!$S$5:$S$304,0))),IF($D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" s="76" t="str">
        <f>IF($B60="","",ROUND(IFERROR(IF($D60="周转打冷",N(INDEX(对接源_01入库吨位!$H$5:$H$304,MATCH(INT((ROW()-5)/3)+1,对接源_01入库吨位!$S$5:$S$304,0))),IF($D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" s="122" t="str">
        <f t="shared" si="2"/>
        <v/>
      </c>
      <c r="H60" s="43"/>
      <c r="I60" s="107"/>
      <c r="J60" s="123" t="str">
        <f t="shared" si="3"/>
        <v/>
      </c>
      <c r="K60" s="76" t="str">
        <f t="shared" si="4"/>
        <v/>
      </c>
      <c r="L60" s="43"/>
      <c r="M60" s="7"/>
      <c r="N60" s="106"/>
      <c r="R60" s="3" t="str">
        <f t="shared" si="5"/>
        <v/>
      </c>
      <c r="S60" s="3">
        <f t="shared" si="6"/>
        <v>0</v>
      </c>
      <c r="T60" s="3">
        <f t="shared" si="7"/>
        <v>13</v>
      </c>
      <c r="U60" s="3" t="str">
        <f>IFERROR(INDEX($B$5:$B$904,MATCH(56,$T$5:$T$904,0)),"")</f>
        <v/>
      </c>
    </row>
    <row r="61" spans="1:21">
      <c r="A61" s="74" t="str">
        <f t="shared" si="0"/>
        <v/>
      </c>
      <c r="B61" s="75" t="str">
        <f>IFERROR(INDEX(对接源_01入库吨位!$B$5:$B$304,MATCH(INT((ROW()-5)/3)+1,对接源_01入库吨位!$S$5:$S$304,0)),"")</f>
        <v/>
      </c>
      <c r="C61" s="75" t="str">
        <f>IFERROR(INDEX(对接源_01入库吨位!$C$5:$C$304,MATCH(INT((ROW()-5)/3)+1,对接源_01入库吨位!$S$5:$S$304,0)),"")</f>
        <v/>
      </c>
      <c r="D61" s="89" t="str">
        <f t="shared" si="1"/>
        <v/>
      </c>
      <c r="E61" s="42" t="str">
        <f>IF($B61="","",IFERROR(IF($D61="周转打冷",N(INDEX(对接源_01入库吨位!$D$5:$D$304,MATCH(INT((ROW()-5)/3)+1,对接源_01入库吨位!$S$5:$S$304,0))),IF($D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" s="76" t="str">
        <f>IF($B61="","",ROUND(IFERROR(IF($D61="周转打冷",N(INDEX(对接源_01入库吨位!$H$5:$H$304,MATCH(INT((ROW()-5)/3)+1,对接源_01入库吨位!$S$5:$S$304,0))),IF($D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" s="122" t="str">
        <f t="shared" si="2"/>
        <v/>
      </c>
      <c r="H61" s="43"/>
      <c r="I61" s="107"/>
      <c r="J61" s="123" t="str">
        <f t="shared" si="3"/>
        <v/>
      </c>
      <c r="K61" s="76" t="str">
        <f t="shared" si="4"/>
        <v/>
      </c>
      <c r="L61" s="43"/>
      <c r="M61" s="7"/>
      <c r="N61" s="106"/>
      <c r="R61" s="3" t="str">
        <f t="shared" si="5"/>
        <v/>
      </c>
      <c r="S61" s="3">
        <f t="shared" si="6"/>
        <v>0</v>
      </c>
      <c r="T61" s="3">
        <f t="shared" si="7"/>
        <v>13</v>
      </c>
      <c r="U61" s="3" t="str">
        <f>IFERROR(INDEX($B$5:$B$904,MATCH(57,$T$5:$T$904,0)),"")</f>
        <v/>
      </c>
    </row>
    <row r="62" spans="1:21">
      <c r="A62" s="74" t="str">
        <f t="shared" si="0"/>
        <v/>
      </c>
      <c r="B62" s="75" t="str">
        <f>IFERROR(INDEX(对接源_01入库吨位!$B$5:$B$304,MATCH(INT((ROW()-5)/3)+1,对接源_01入库吨位!$S$5:$S$304,0)),"")</f>
        <v/>
      </c>
      <c r="C62" s="75" t="str">
        <f>IFERROR(INDEX(对接源_01入库吨位!$C$5:$C$304,MATCH(INT((ROW()-5)/3)+1,对接源_01入库吨位!$S$5:$S$304,0)),"")</f>
        <v/>
      </c>
      <c r="D62" s="89" t="str">
        <f t="shared" si="1"/>
        <v/>
      </c>
      <c r="E62" s="42" t="str">
        <f>IF($B62="","",IFERROR(IF($D62="周转打冷",N(INDEX(对接源_01入库吨位!$D$5:$D$304,MATCH(INT((ROW()-5)/3)+1,对接源_01入库吨位!$S$5:$S$304,0))),IF($D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" s="76" t="str">
        <f>IF($B62="","",ROUND(IFERROR(IF($D62="周转打冷",N(INDEX(对接源_01入库吨位!$H$5:$H$304,MATCH(INT((ROW()-5)/3)+1,对接源_01入库吨位!$S$5:$S$304,0))),IF($D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" s="122" t="str">
        <f t="shared" si="2"/>
        <v/>
      </c>
      <c r="H62" s="43"/>
      <c r="I62" s="107"/>
      <c r="J62" s="123" t="str">
        <f t="shared" si="3"/>
        <v/>
      </c>
      <c r="K62" s="76" t="str">
        <f t="shared" si="4"/>
        <v/>
      </c>
      <c r="L62" s="43"/>
      <c r="M62" s="7"/>
      <c r="N62" s="106"/>
      <c r="R62" s="3" t="str">
        <f t="shared" si="5"/>
        <v/>
      </c>
      <c r="S62" s="3">
        <f t="shared" si="6"/>
        <v>0</v>
      </c>
      <c r="T62" s="3">
        <f t="shared" si="7"/>
        <v>13</v>
      </c>
      <c r="U62" s="3" t="str">
        <f>IFERROR(INDEX($B$5:$B$904,MATCH(58,$T$5:$T$904,0)),"")</f>
        <v/>
      </c>
    </row>
    <row r="63" spans="1:21">
      <c r="A63" s="74" t="str">
        <f t="shared" si="0"/>
        <v/>
      </c>
      <c r="B63" s="75" t="str">
        <f>IFERROR(INDEX(对接源_01入库吨位!$B$5:$B$304,MATCH(INT((ROW()-5)/3)+1,对接源_01入库吨位!$S$5:$S$304,0)),"")</f>
        <v/>
      </c>
      <c r="C63" s="75" t="str">
        <f>IFERROR(INDEX(对接源_01入库吨位!$C$5:$C$304,MATCH(INT((ROW()-5)/3)+1,对接源_01入库吨位!$S$5:$S$304,0)),"")</f>
        <v/>
      </c>
      <c r="D63" s="89" t="str">
        <f t="shared" si="1"/>
        <v/>
      </c>
      <c r="E63" s="42" t="str">
        <f>IF($B63="","",IFERROR(IF($D63="周转打冷",N(INDEX(对接源_01入库吨位!$D$5:$D$304,MATCH(INT((ROW()-5)/3)+1,对接源_01入库吨位!$S$5:$S$304,0))),IF($D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" s="76" t="str">
        <f>IF($B63="","",ROUND(IFERROR(IF($D63="周转打冷",N(INDEX(对接源_01入库吨位!$H$5:$H$304,MATCH(INT((ROW()-5)/3)+1,对接源_01入库吨位!$S$5:$S$304,0))),IF($D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" s="122" t="str">
        <f t="shared" si="2"/>
        <v/>
      </c>
      <c r="H63" s="43"/>
      <c r="I63" s="107"/>
      <c r="J63" s="123" t="str">
        <f t="shared" si="3"/>
        <v/>
      </c>
      <c r="K63" s="76" t="str">
        <f t="shared" si="4"/>
        <v/>
      </c>
      <c r="L63" s="43"/>
      <c r="M63" s="7"/>
      <c r="N63" s="106"/>
      <c r="R63" s="3" t="str">
        <f t="shared" si="5"/>
        <v/>
      </c>
      <c r="S63" s="3">
        <f t="shared" si="6"/>
        <v>0</v>
      </c>
      <c r="T63" s="3">
        <f t="shared" si="7"/>
        <v>13</v>
      </c>
      <c r="U63" s="3" t="str">
        <f>IFERROR(INDEX($B$5:$B$904,MATCH(59,$T$5:$T$904,0)),"")</f>
        <v/>
      </c>
    </row>
    <row r="64" spans="1:21">
      <c r="A64" s="74" t="str">
        <f t="shared" si="0"/>
        <v/>
      </c>
      <c r="B64" s="75" t="str">
        <f>IFERROR(INDEX(对接源_01入库吨位!$B$5:$B$304,MATCH(INT((ROW()-5)/3)+1,对接源_01入库吨位!$S$5:$S$304,0)),"")</f>
        <v/>
      </c>
      <c r="C64" s="75" t="str">
        <f>IFERROR(INDEX(对接源_01入库吨位!$C$5:$C$304,MATCH(INT((ROW()-5)/3)+1,对接源_01入库吨位!$S$5:$S$304,0)),"")</f>
        <v/>
      </c>
      <c r="D64" s="89" t="str">
        <f t="shared" si="1"/>
        <v/>
      </c>
      <c r="E64" s="42" t="str">
        <f>IF($B64="","",IFERROR(IF($D64="周转打冷",N(INDEX(对接源_01入库吨位!$D$5:$D$304,MATCH(INT((ROW()-5)/3)+1,对接源_01入库吨位!$S$5:$S$304,0))),IF($D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" s="76" t="str">
        <f>IF($B64="","",ROUND(IFERROR(IF($D64="周转打冷",N(INDEX(对接源_01入库吨位!$H$5:$H$304,MATCH(INT((ROW()-5)/3)+1,对接源_01入库吨位!$S$5:$S$304,0))),IF($D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" s="122" t="str">
        <f t="shared" si="2"/>
        <v/>
      </c>
      <c r="H64" s="43"/>
      <c r="I64" s="107"/>
      <c r="J64" s="123" t="str">
        <f t="shared" si="3"/>
        <v/>
      </c>
      <c r="K64" s="76" t="str">
        <f t="shared" si="4"/>
        <v/>
      </c>
      <c r="L64" s="43"/>
      <c r="M64" s="7"/>
      <c r="N64" s="106"/>
      <c r="R64" s="3" t="str">
        <f t="shared" si="5"/>
        <v/>
      </c>
      <c r="S64" s="3">
        <f t="shared" si="6"/>
        <v>0</v>
      </c>
      <c r="T64" s="3">
        <f t="shared" si="7"/>
        <v>13</v>
      </c>
      <c r="U64" s="3" t="str">
        <f>IFERROR(INDEX($B$5:$B$904,MATCH(60,$T$5:$T$904,0)),"")</f>
        <v/>
      </c>
    </row>
    <row r="65" spans="1:21">
      <c r="A65" s="74" t="str">
        <f t="shared" si="0"/>
        <v/>
      </c>
      <c r="B65" s="75" t="str">
        <f>IFERROR(INDEX(对接源_01入库吨位!$B$5:$B$304,MATCH(INT((ROW()-5)/3)+1,对接源_01入库吨位!$S$5:$S$304,0)),"")</f>
        <v/>
      </c>
      <c r="C65" s="75" t="str">
        <f>IFERROR(INDEX(对接源_01入库吨位!$C$5:$C$304,MATCH(INT((ROW()-5)/3)+1,对接源_01入库吨位!$S$5:$S$304,0)),"")</f>
        <v/>
      </c>
      <c r="D65" s="89" t="str">
        <f t="shared" si="1"/>
        <v/>
      </c>
      <c r="E65" s="42" t="str">
        <f>IF($B65="","",IFERROR(IF($D65="周转打冷",N(INDEX(对接源_01入库吨位!$D$5:$D$304,MATCH(INT((ROW()-5)/3)+1,对接源_01入库吨位!$S$5:$S$304,0))),IF($D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" s="76" t="str">
        <f>IF($B65="","",ROUND(IFERROR(IF($D65="周转打冷",N(INDEX(对接源_01入库吨位!$H$5:$H$304,MATCH(INT((ROW()-5)/3)+1,对接源_01入库吨位!$S$5:$S$304,0))),IF($D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" s="122" t="str">
        <f t="shared" si="2"/>
        <v/>
      </c>
      <c r="H65" s="43"/>
      <c r="I65" s="107"/>
      <c r="J65" s="123" t="str">
        <f t="shared" si="3"/>
        <v/>
      </c>
      <c r="K65" s="76" t="str">
        <f t="shared" si="4"/>
        <v/>
      </c>
      <c r="L65" s="43"/>
      <c r="M65" s="7"/>
      <c r="N65" s="106"/>
      <c r="R65" s="3" t="str">
        <f t="shared" si="5"/>
        <v/>
      </c>
      <c r="S65" s="3">
        <f t="shared" si="6"/>
        <v>0</v>
      </c>
      <c r="T65" s="3">
        <f t="shared" si="7"/>
        <v>13</v>
      </c>
      <c r="U65" s="3" t="str">
        <f>IFERROR(INDEX($B$5:$B$904,MATCH(61,$T$5:$T$904,0)),"")</f>
        <v/>
      </c>
    </row>
    <row r="66" spans="1:21">
      <c r="A66" s="74" t="str">
        <f t="shared" si="0"/>
        <v/>
      </c>
      <c r="B66" s="75" t="str">
        <f>IFERROR(INDEX(对接源_01入库吨位!$B$5:$B$304,MATCH(INT((ROW()-5)/3)+1,对接源_01入库吨位!$S$5:$S$304,0)),"")</f>
        <v/>
      </c>
      <c r="C66" s="75" t="str">
        <f>IFERROR(INDEX(对接源_01入库吨位!$C$5:$C$304,MATCH(INT((ROW()-5)/3)+1,对接源_01入库吨位!$S$5:$S$304,0)),"")</f>
        <v/>
      </c>
      <c r="D66" s="89" t="str">
        <f t="shared" si="1"/>
        <v/>
      </c>
      <c r="E66" s="42" t="str">
        <f>IF($B66="","",IFERROR(IF($D66="周转打冷",N(INDEX(对接源_01入库吨位!$D$5:$D$304,MATCH(INT((ROW()-5)/3)+1,对接源_01入库吨位!$S$5:$S$304,0))),IF($D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" s="76" t="str">
        <f>IF($B66="","",ROUND(IFERROR(IF($D66="周转打冷",N(INDEX(对接源_01入库吨位!$H$5:$H$304,MATCH(INT((ROW()-5)/3)+1,对接源_01入库吨位!$S$5:$S$304,0))),IF($D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" s="122" t="str">
        <f t="shared" si="2"/>
        <v/>
      </c>
      <c r="H66" s="43"/>
      <c r="I66" s="107"/>
      <c r="J66" s="123" t="str">
        <f t="shared" si="3"/>
        <v/>
      </c>
      <c r="K66" s="76" t="str">
        <f t="shared" si="4"/>
        <v/>
      </c>
      <c r="L66" s="43"/>
      <c r="M66" s="7"/>
      <c r="N66" s="106"/>
      <c r="R66" s="3" t="str">
        <f t="shared" si="5"/>
        <v/>
      </c>
      <c r="S66" s="3">
        <f t="shared" si="6"/>
        <v>0</v>
      </c>
      <c r="T66" s="3">
        <f t="shared" si="7"/>
        <v>13</v>
      </c>
      <c r="U66" s="3" t="str">
        <f>IFERROR(INDEX($B$5:$B$904,MATCH(62,$T$5:$T$904,0)),"")</f>
        <v/>
      </c>
    </row>
    <row r="67" spans="1:21">
      <c r="A67" s="74" t="str">
        <f t="shared" si="0"/>
        <v/>
      </c>
      <c r="B67" s="75" t="str">
        <f>IFERROR(INDEX(对接源_01入库吨位!$B$5:$B$304,MATCH(INT((ROW()-5)/3)+1,对接源_01入库吨位!$S$5:$S$304,0)),"")</f>
        <v/>
      </c>
      <c r="C67" s="75" t="str">
        <f>IFERROR(INDEX(对接源_01入库吨位!$C$5:$C$304,MATCH(INT((ROW()-5)/3)+1,对接源_01入库吨位!$S$5:$S$304,0)),"")</f>
        <v/>
      </c>
      <c r="D67" s="89" t="str">
        <f t="shared" si="1"/>
        <v/>
      </c>
      <c r="E67" s="42" t="str">
        <f>IF($B67="","",IFERROR(IF($D67="周转打冷",N(INDEX(对接源_01入库吨位!$D$5:$D$304,MATCH(INT((ROW()-5)/3)+1,对接源_01入库吨位!$S$5:$S$304,0))),IF($D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" s="76" t="str">
        <f>IF($B67="","",ROUND(IFERROR(IF($D67="周转打冷",N(INDEX(对接源_01入库吨位!$H$5:$H$304,MATCH(INT((ROW()-5)/3)+1,对接源_01入库吨位!$S$5:$S$304,0))),IF($D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" s="122" t="str">
        <f t="shared" si="2"/>
        <v/>
      </c>
      <c r="H67" s="43"/>
      <c r="I67" s="107"/>
      <c r="J67" s="123" t="str">
        <f t="shared" si="3"/>
        <v/>
      </c>
      <c r="K67" s="76" t="str">
        <f t="shared" si="4"/>
        <v/>
      </c>
      <c r="L67" s="43"/>
      <c r="M67" s="7"/>
      <c r="N67" s="106"/>
      <c r="R67" s="3" t="str">
        <f t="shared" si="5"/>
        <v/>
      </c>
      <c r="S67" s="3">
        <f t="shared" si="6"/>
        <v>0</v>
      </c>
      <c r="T67" s="3">
        <f t="shared" si="7"/>
        <v>13</v>
      </c>
      <c r="U67" s="3" t="str">
        <f>IFERROR(INDEX($B$5:$B$904,MATCH(63,$T$5:$T$904,0)),"")</f>
        <v/>
      </c>
    </row>
    <row r="68" spans="1:21">
      <c r="A68" s="74" t="str">
        <f t="shared" si="0"/>
        <v/>
      </c>
      <c r="B68" s="75" t="str">
        <f>IFERROR(INDEX(对接源_01入库吨位!$B$5:$B$304,MATCH(INT((ROW()-5)/3)+1,对接源_01入库吨位!$S$5:$S$304,0)),"")</f>
        <v/>
      </c>
      <c r="C68" s="75" t="str">
        <f>IFERROR(INDEX(对接源_01入库吨位!$C$5:$C$304,MATCH(INT((ROW()-5)/3)+1,对接源_01入库吨位!$S$5:$S$304,0)),"")</f>
        <v/>
      </c>
      <c r="D68" s="89" t="str">
        <f t="shared" si="1"/>
        <v/>
      </c>
      <c r="E68" s="42" t="str">
        <f>IF($B68="","",IFERROR(IF($D68="周转打冷",N(INDEX(对接源_01入库吨位!$D$5:$D$304,MATCH(INT((ROW()-5)/3)+1,对接源_01入库吨位!$S$5:$S$304,0))),IF($D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" s="76" t="str">
        <f>IF($B68="","",ROUND(IFERROR(IF($D68="周转打冷",N(INDEX(对接源_01入库吨位!$H$5:$H$304,MATCH(INT((ROW()-5)/3)+1,对接源_01入库吨位!$S$5:$S$304,0))),IF($D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" s="122" t="str">
        <f t="shared" si="2"/>
        <v/>
      </c>
      <c r="H68" s="43"/>
      <c r="I68" s="107"/>
      <c r="J68" s="123" t="str">
        <f t="shared" si="3"/>
        <v/>
      </c>
      <c r="K68" s="76" t="str">
        <f t="shared" si="4"/>
        <v/>
      </c>
      <c r="L68" s="43"/>
      <c r="M68" s="7"/>
      <c r="N68" s="106"/>
      <c r="R68" s="3" t="str">
        <f t="shared" si="5"/>
        <v/>
      </c>
      <c r="S68" s="3">
        <f t="shared" si="6"/>
        <v>0</v>
      </c>
      <c r="T68" s="3">
        <f t="shared" si="7"/>
        <v>13</v>
      </c>
      <c r="U68" s="3" t="str">
        <f>IFERROR(INDEX($B$5:$B$904,MATCH(64,$T$5:$T$904,0)),"")</f>
        <v/>
      </c>
    </row>
    <row r="69" spans="1:21">
      <c r="A69" s="74" t="str">
        <f t="shared" ref="A69:A132" si="8">IF($B69="","",ROW()-4)</f>
        <v/>
      </c>
      <c r="B69" s="75" t="str">
        <f>IFERROR(INDEX(对接源_01入库吨位!$B$5:$B$304,MATCH(INT((ROW()-5)/3)+1,对接源_01入库吨位!$S$5:$S$304,0)),"")</f>
        <v/>
      </c>
      <c r="C69" s="75" t="str">
        <f>IFERROR(INDEX(对接源_01入库吨位!$C$5:$C$304,MATCH(INT((ROW()-5)/3)+1,对接源_01入库吨位!$S$5:$S$304,0)),"")</f>
        <v/>
      </c>
      <c r="D69" s="89" t="str">
        <f t="shared" ref="D69:D132" si="9">IF($B69="","",IF(MOD(ROW()-5,3)=0,"周转打冷",IF(MOD(ROW()-5,3)=1,"仓储加工","装卸费")))</f>
        <v/>
      </c>
      <c r="E69" s="42" t="str">
        <f>IF($B69="","",IFERROR(IF($D69="周转打冷",N(INDEX(对接源_01入库吨位!$D$5:$D$304,MATCH(INT((ROW()-5)/3)+1,对接源_01入库吨位!$S$5:$S$304,0))),IF($D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" s="76" t="str">
        <f>IF($B69="","",ROUND(IFERROR(IF($D69="周转打冷",N(INDEX(对接源_01入库吨位!$H$5:$H$304,MATCH(INT((ROW()-5)/3)+1,对接源_01入库吨位!$S$5:$S$304,0))),IF($D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" s="122" t="str">
        <f t="shared" ref="G69:G132" si="10">IF($B69="","",ROUND(N($F69)/1000,3))</f>
        <v/>
      </c>
      <c r="H69" s="43"/>
      <c r="I69" s="107"/>
      <c r="J69" s="123" t="str">
        <f t="shared" ref="J69:J132" si="11">IF($B69="","",IF($H69="按筐数×单价",N($E69),IF($H69="按总重KG×单价",N($F69),IF($H69="按吨位×单价",N($G69),0))))</f>
        <v/>
      </c>
      <c r="K69" s="76" t="str">
        <f t="shared" ref="K69:K132" si="12">IF($B69="","",ROUND(N($J69)*N($I69),2))</f>
        <v/>
      </c>
      <c r="L69" s="43"/>
      <c r="M69" s="7"/>
      <c r="N69" s="106"/>
      <c r="R69" s="3" t="str">
        <f t="shared" ref="R69:R132" si="13">IF($B69="","",$B69)</f>
        <v/>
      </c>
      <c r="S69" s="3">
        <f t="shared" ref="S69:S132" si="14">IF($R69="",0,IF(MATCH($R69,$R$5:$R$904,0)=ROW()-4,1,0))</f>
        <v>0</v>
      </c>
      <c r="T69" s="3">
        <f t="shared" ref="T69:T132" si="15">N(T68)+$S69</f>
        <v>13</v>
      </c>
      <c r="U69" s="3" t="str">
        <f>IFERROR(INDEX($B$5:$B$904,MATCH(65,$T$5:$T$904,0)),"")</f>
        <v/>
      </c>
    </row>
    <row r="70" spans="1:21">
      <c r="A70" s="74" t="str">
        <f t="shared" si="8"/>
        <v/>
      </c>
      <c r="B70" s="75" t="str">
        <f>IFERROR(INDEX(对接源_01入库吨位!$B$5:$B$304,MATCH(INT((ROW()-5)/3)+1,对接源_01入库吨位!$S$5:$S$304,0)),"")</f>
        <v/>
      </c>
      <c r="C70" s="75" t="str">
        <f>IFERROR(INDEX(对接源_01入库吨位!$C$5:$C$304,MATCH(INT((ROW()-5)/3)+1,对接源_01入库吨位!$S$5:$S$304,0)),"")</f>
        <v/>
      </c>
      <c r="D70" s="89" t="str">
        <f t="shared" si="9"/>
        <v/>
      </c>
      <c r="E70" s="42" t="str">
        <f>IF($B70="","",IFERROR(IF($D70="周转打冷",N(INDEX(对接源_01入库吨位!$D$5:$D$304,MATCH(INT((ROW()-5)/3)+1,对接源_01入库吨位!$S$5:$S$304,0))),IF($D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" s="76" t="str">
        <f>IF($B70="","",ROUND(IFERROR(IF($D70="周转打冷",N(INDEX(对接源_01入库吨位!$H$5:$H$304,MATCH(INT((ROW()-5)/3)+1,对接源_01入库吨位!$S$5:$S$304,0))),IF($D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" s="122" t="str">
        <f t="shared" si="10"/>
        <v/>
      </c>
      <c r="H70" s="43"/>
      <c r="I70" s="107"/>
      <c r="J70" s="123" t="str">
        <f t="shared" si="11"/>
        <v/>
      </c>
      <c r="K70" s="76" t="str">
        <f t="shared" si="12"/>
        <v/>
      </c>
      <c r="L70" s="43"/>
      <c r="M70" s="7"/>
      <c r="N70" s="106"/>
      <c r="R70" s="3" t="str">
        <f t="shared" si="13"/>
        <v/>
      </c>
      <c r="S70" s="3">
        <f t="shared" si="14"/>
        <v>0</v>
      </c>
      <c r="T70" s="3">
        <f t="shared" si="15"/>
        <v>13</v>
      </c>
      <c r="U70" s="3" t="str">
        <f>IFERROR(INDEX($B$5:$B$904,MATCH(66,$T$5:$T$904,0)),"")</f>
        <v/>
      </c>
    </row>
    <row r="71" spans="1:21">
      <c r="A71" s="74" t="str">
        <f t="shared" si="8"/>
        <v/>
      </c>
      <c r="B71" s="75" t="str">
        <f>IFERROR(INDEX(对接源_01入库吨位!$B$5:$B$304,MATCH(INT((ROW()-5)/3)+1,对接源_01入库吨位!$S$5:$S$304,0)),"")</f>
        <v/>
      </c>
      <c r="C71" s="75" t="str">
        <f>IFERROR(INDEX(对接源_01入库吨位!$C$5:$C$304,MATCH(INT((ROW()-5)/3)+1,对接源_01入库吨位!$S$5:$S$304,0)),"")</f>
        <v/>
      </c>
      <c r="D71" s="89" t="str">
        <f t="shared" si="9"/>
        <v/>
      </c>
      <c r="E71" s="42" t="str">
        <f>IF($B71="","",IFERROR(IF($D71="周转打冷",N(INDEX(对接源_01入库吨位!$D$5:$D$304,MATCH(INT((ROW()-5)/3)+1,对接源_01入库吨位!$S$5:$S$304,0))),IF($D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" s="76" t="str">
        <f>IF($B71="","",ROUND(IFERROR(IF($D71="周转打冷",N(INDEX(对接源_01入库吨位!$H$5:$H$304,MATCH(INT((ROW()-5)/3)+1,对接源_01入库吨位!$S$5:$S$304,0))),IF($D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" s="122" t="str">
        <f t="shared" si="10"/>
        <v/>
      </c>
      <c r="H71" s="43"/>
      <c r="I71" s="107"/>
      <c r="J71" s="123" t="str">
        <f t="shared" si="11"/>
        <v/>
      </c>
      <c r="K71" s="76" t="str">
        <f t="shared" si="12"/>
        <v/>
      </c>
      <c r="L71" s="43"/>
      <c r="M71" s="7"/>
      <c r="N71" s="106"/>
      <c r="R71" s="3" t="str">
        <f t="shared" si="13"/>
        <v/>
      </c>
      <c r="S71" s="3">
        <f t="shared" si="14"/>
        <v>0</v>
      </c>
      <c r="T71" s="3">
        <f t="shared" si="15"/>
        <v>13</v>
      </c>
      <c r="U71" s="3" t="str">
        <f>IFERROR(INDEX($B$5:$B$904,MATCH(67,$T$5:$T$904,0)),"")</f>
        <v/>
      </c>
    </row>
    <row r="72" spans="1:21">
      <c r="A72" s="74" t="str">
        <f t="shared" si="8"/>
        <v/>
      </c>
      <c r="B72" s="75" t="str">
        <f>IFERROR(INDEX(对接源_01入库吨位!$B$5:$B$304,MATCH(INT((ROW()-5)/3)+1,对接源_01入库吨位!$S$5:$S$304,0)),"")</f>
        <v/>
      </c>
      <c r="C72" s="75" t="str">
        <f>IFERROR(INDEX(对接源_01入库吨位!$C$5:$C$304,MATCH(INT((ROW()-5)/3)+1,对接源_01入库吨位!$S$5:$S$304,0)),"")</f>
        <v/>
      </c>
      <c r="D72" s="89" t="str">
        <f t="shared" si="9"/>
        <v/>
      </c>
      <c r="E72" s="42" t="str">
        <f>IF($B72="","",IFERROR(IF($D72="周转打冷",N(INDEX(对接源_01入库吨位!$D$5:$D$304,MATCH(INT((ROW()-5)/3)+1,对接源_01入库吨位!$S$5:$S$304,0))),IF($D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" s="76" t="str">
        <f>IF($B72="","",ROUND(IFERROR(IF($D72="周转打冷",N(INDEX(对接源_01入库吨位!$H$5:$H$304,MATCH(INT((ROW()-5)/3)+1,对接源_01入库吨位!$S$5:$S$304,0))),IF($D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" s="122" t="str">
        <f t="shared" si="10"/>
        <v/>
      </c>
      <c r="H72" s="43"/>
      <c r="I72" s="107"/>
      <c r="J72" s="123" t="str">
        <f t="shared" si="11"/>
        <v/>
      </c>
      <c r="K72" s="76" t="str">
        <f t="shared" si="12"/>
        <v/>
      </c>
      <c r="L72" s="43"/>
      <c r="M72" s="7"/>
      <c r="N72" s="106"/>
      <c r="R72" s="3" t="str">
        <f t="shared" si="13"/>
        <v/>
      </c>
      <c r="S72" s="3">
        <f t="shared" si="14"/>
        <v>0</v>
      </c>
      <c r="T72" s="3">
        <f t="shared" si="15"/>
        <v>13</v>
      </c>
      <c r="U72" s="3" t="str">
        <f>IFERROR(INDEX($B$5:$B$904,MATCH(68,$T$5:$T$904,0)),"")</f>
        <v/>
      </c>
    </row>
    <row r="73" spans="1:21">
      <c r="A73" s="74" t="str">
        <f t="shared" si="8"/>
        <v/>
      </c>
      <c r="B73" s="75" t="str">
        <f>IFERROR(INDEX(对接源_01入库吨位!$B$5:$B$304,MATCH(INT((ROW()-5)/3)+1,对接源_01入库吨位!$S$5:$S$304,0)),"")</f>
        <v/>
      </c>
      <c r="C73" s="75" t="str">
        <f>IFERROR(INDEX(对接源_01入库吨位!$C$5:$C$304,MATCH(INT((ROW()-5)/3)+1,对接源_01入库吨位!$S$5:$S$304,0)),"")</f>
        <v/>
      </c>
      <c r="D73" s="89" t="str">
        <f t="shared" si="9"/>
        <v/>
      </c>
      <c r="E73" s="42" t="str">
        <f>IF($B73="","",IFERROR(IF($D73="周转打冷",N(INDEX(对接源_01入库吨位!$D$5:$D$304,MATCH(INT((ROW()-5)/3)+1,对接源_01入库吨位!$S$5:$S$304,0))),IF($D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" s="76" t="str">
        <f>IF($B73="","",ROUND(IFERROR(IF($D73="周转打冷",N(INDEX(对接源_01入库吨位!$H$5:$H$304,MATCH(INT((ROW()-5)/3)+1,对接源_01入库吨位!$S$5:$S$304,0))),IF($D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" s="122" t="str">
        <f t="shared" si="10"/>
        <v/>
      </c>
      <c r="H73" s="43"/>
      <c r="I73" s="107"/>
      <c r="J73" s="123" t="str">
        <f t="shared" si="11"/>
        <v/>
      </c>
      <c r="K73" s="76" t="str">
        <f t="shared" si="12"/>
        <v/>
      </c>
      <c r="L73" s="43"/>
      <c r="M73" s="7"/>
      <c r="N73" s="106"/>
      <c r="R73" s="3" t="str">
        <f t="shared" si="13"/>
        <v/>
      </c>
      <c r="S73" s="3">
        <f t="shared" si="14"/>
        <v>0</v>
      </c>
      <c r="T73" s="3">
        <f t="shared" si="15"/>
        <v>13</v>
      </c>
      <c r="U73" s="3" t="str">
        <f>IFERROR(INDEX($B$5:$B$904,MATCH(69,$T$5:$T$904,0)),"")</f>
        <v/>
      </c>
    </row>
    <row r="74" spans="1:21">
      <c r="A74" s="74" t="str">
        <f t="shared" si="8"/>
        <v/>
      </c>
      <c r="B74" s="75" t="str">
        <f>IFERROR(INDEX(对接源_01入库吨位!$B$5:$B$304,MATCH(INT((ROW()-5)/3)+1,对接源_01入库吨位!$S$5:$S$304,0)),"")</f>
        <v/>
      </c>
      <c r="C74" s="75" t="str">
        <f>IFERROR(INDEX(对接源_01入库吨位!$C$5:$C$304,MATCH(INT((ROW()-5)/3)+1,对接源_01入库吨位!$S$5:$S$304,0)),"")</f>
        <v/>
      </c>
      <c r="D74" s="89" t="str">
        <f t="shared" si="9"/>
        <v/>
      </c>
      <c r="E74" s="42" t="str">
        <f>IF($B74="","",IFERROR(IF($D74="周转打冷",N(INDEX(对接源_01入库吨位!$D$5:$D$304,MATCH(INT((ROW()-5)/3)+1,对接源_01入库吨位!$S$5:$S$304,0))),IF($D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" s="76" t="str">
        <f>IF($B74="","",ROUND(IFERROR(IF($D74="周转打冷",N(INDEX(对接源_01入库吨位!$H$5:$H$304,MATCH(INT((ROW()-5)/3)+1,对接源_01入库吨位!$S$5:$S$304,0))),IF($D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" s="122" t="str">
        <f t="shared" si="10"/>
        <v/>
      </c>
      <c r="H74" s="43"/>
      <c r="I74" s="107"/>
      <c r="J74" s="123" t="str">
        <f t="shared" si="11"/>
        <v/>
      </c>
      <c r="K74" s="76" t="str">
        <f t="shared" si="12"/>
        <v/>
      </c>
      <c r="L74" s="43"/>
      <c r="M74" s="7"/>
      <c r="N74" s="106"/>
      <c r="R74" s="3" t="str">
        <f t="shared" si="13"/>
        <v/>
      </c>
      <c r="S74" s="3">
        <f t="shared" si="14"/>
        <v>0</v>
      </c>
      <c r="T74" s="3">
        <f t="shared" si="15"/>
        <v>13</v>
      </c>
      <c r="U74" s="3" t="str">
        <f>IFERROR(INDEX($B$5:$B$904,MATCH(70,$T$5:$T$904,0)),"")</f>
        <v/>
      </c>
    </row>
    <row r="75" spans="1:21">
      <c r="A75" s="74" t="str">
        <f t="shared" si="8"/>
        <v/>
      </c>
      <c r="B75" s="75" t="str">
        <f>IFERROR(INDEX(对接源_01入库吨位!$B$5:$B$304,MATCH(INT((ROW()-5)/3)+1,对接源_01入库吨位!$S$5:$S$304,0)),"")</f>
        <v/>
      </c>
      <c r="C75" s="75" t="str">
        <f>IFERROR(INDEX(对接源_01入库吨位!$C$5:$C$304,MATCH(INT((ROW()-5)/3)+1,对接源_01入库吨位!$S$5:$S$304,0)),"")</f>
        <v/>
      </c>
      <c r="D75" s="89" t="str">
        <f t="shared" si="9"/>
        <v/>
      </c>
      <c r="E75" s="42" t="str">
        <f>IF($B75="","",IFERROR(IF($D75="周转打冷",N(INDEX(对接源_01入库吨位!$D$5:$D$304,MATCH(INT((ROW()-5)/3)+1,对接源_01入库吨位!$S$5:$S$304,0))),IF($D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" s="76" t="str">
        <f>IF($B75="","",ROUND(IFERROR(IF($D75="周转打冷",N(INDEX(对接源_01入库吨位!$H$5:$H$304,MATCH(INT((ROW()-5)/3)+1,对接源_01入库吨位!$S$5:$S$304,0))),IF($D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" s="122" t="str">
        <f t="shared" si="10"/>
        <v/>
      </c>
      <c r="H75" s="43"/>
      <c r="I75" s="107"/>
      <c r="J75" s="123" t="str">
        <f t="shared" si="11"/>
        <v/>
      </c>
      <c r="K75" s="76" t="str">
        <f t="shared" si="12"/>
        <v/>
      </c>
      <c r="L75" s="43"/>
      <c r="M75" s="7"/>
      <c r="N75" s="106"/>
      <c r="R75" s="3" t="str">
        <f t="shared" si="13"/>
        <v/>
      </c>
      <c r="S75" s="3">
        <f t="shared" si="14"/>
        <v>0</v>
      </c>
      <c r="T75" s="3">
        <f t="shared" si="15"/>
        <v>13</v>
      </c>
      <c r="U75" s="3" t="str">
        <f>IFERROR(INDEX($B$5:$B$904,MATCH(71,$T$5:$T$904,0)),"")</f>
        <v/>
      </c>
    </row>
    <row r="76" spans="1:21">
      <c r="A76" s="74" t="str">
        <f t="shared" si="8"/>
        <v/>
      </c>
      <c r="B76" s="75" t="str">
        <f>IFERROR(INDEX(对接源_01入库吨位!$B$5:$B$304,MATCH(INT((ROW()-5)/3)+1,对接源_01入库吨位!$S$5:$S$304,0)),"")</f>
        <v/>
      </c>
      <c r="C76" s="75" t="str">
        <f>IFERROR(INDEX(对接源_01入库吨位!$C$5:$C$304,MATCH(INT((ROW()-5)/3)+1,对接源_01入库吨位!$S$5:$S$304,0)),"")</f>
        <v/>
      </c>
      <c r="D76" s="89" t="str">
        <f t="shared" si="9"/>
        <v/>
      </c>
      <c r="E76" s="42" t="str">
        <f>IF($B76="","",IFERROR(IF($D76="周转打冷",N(INDEX(对接源_01入库吨位!$D$5:$D$304,MATCH(INT((ROW()-5)/3)+1,对接源_01入库吨位!$S$5:$S$304,0))),IF($D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" s="76" t="str">
        <f>IF($B76="","",ROUND(IFERROR(IF($D76="周转打冷",N(INDEX(对接源_01入库吨位!$H$5:$H$304,MATCH(INT((ROW()-5)/3)+1,对接源_01入库吨位!$S$5:$S$304,0))),IF($D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" s="122" t="str">
        <f t="shared" si="10"/>
        <v/>
      </c>
      <c r="H76" s="43"/>
      <c r="I76" s="107"/>
      <c r="J76" s="123" t="str">
        <f t="shared" si="11"/>
        <v/>
      </c>
      <c r="K76" s="76" t="str">
        <f t="shared" si="12"/>
        <v/>
      </c>
      <c r="L76" s="43"/>
      <c r="M76" s="7"/>
      <c r="N76" s="106"/>
      <c r="R76" s="3" t="str">
        <f t="shared" si="13"/>
        <v/>
      </c>
      <c r="S76" s="3">
        <f t="shared" si="14"/>
        <v>0</v>
      </c>
      <c r="T76" s="3">
        <f t="shared" si="15"/>
        <v>13</v>
      </c>
      <c r="U76" s="3" t="str">
        <f>IFERROR(INDEX($B$5:$B$904,MATCH(72,$T$5:$T$904,0)),"")</f>
        <v/>
      </c>
    </row>
    <row r="77" spans="1:21">
      <c r="A77" s="74" t="str">
        <f t="shared" si="8"/>
        <v/>
      </c>
      <c r="B77" s="75" t="str">
        <f>IFERROR(INDEX(对接源_01入库吨位!$B$5:$B$304,MATCH(INT((ROW()-5)/3)+1,对接源_01入库吨位!$S$5:$S$304,0)),"")</f>
        <v/>
      </c>
      <c r="C77" s="75" t="str">
        <f>IFERROR(INDEX(对接源_01入库吨位!$C$5:$C$304,MATCH(INT((ROW()-5)/3)+1,对接源_01入库吨位!$S$5:$S$304,0)),"")</f>
        <v/>
      </c>
      <c r="D77" s="89" t="str">
        <f t="shared" si="9"/>
        <v/>
      </c>
      <c r="E77" s="42" t="str">
        <f>IF($B77="","",IFERROR(IF($D77="周转打冷",N(INDEX(对接源_01入库吨位!$D$5:$D$304,MATCH(INT((ROW()-5)/3)+1,对接源_01入库吨位!$S$5:$S$304,0))),IF($D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" s="76" t="str">
        <f>IF($B77="","",ROUND(IFERROR(IF($D77="周转打冷",N(INDEX(对接源_01入库吨位!$H$5:$H$304,MATCH(INT((ROW()-5)/3)+1,对接源_01入库吨位!$S$5:$S$304,0))),IF($D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" s="122" t="str">
        <f t="shared" si="10"/>
        <v/>
      </c>
      <c r="H77" s="43"/>
      <c r="I77" s="107"/>
      <c r="J77" s="123" t="str">
        <f t="shared" si="11"/>
        <v/>
      </c>
      <c r="K77" s="76" t="str">
        <f t="shared" si="12"/>
        <v/>
      </c>
      <c r="L77" s="43"/>
      <c r="M77" s="7"/>
      <c r="N77" s="106"/>
      <c r="R77" s="3" t="str">
        <f t="shared" si="13"/>
        <v/>
      </c>
      <c r="S77" s="3">
        <f t="shared" si="14"/>
        <v>0</v>
      </c>
      <c r="T77" s="3">
        <f t="shared" si="15"/>
        <v>13</v>
      </c>
      <c r="U77" s="3" t="str">
        <f>IFERROR(INDEX($B$5:$B$904,MATCH(73,$T$5:$T$904,0)),"")</f>
        <v/>
      </c>
    </row>
    <row r="78" spans="1:21">
      <c r="A78" s="74" t="str">
        <f t="shared" si="8"/>
        <v/>
      </c>
      <c r="B78" s="75" t="str">
        <f>IFERROR(INDEX(对接源_01入库吨位!$B$5:$B$304,MATCH(INT((ROW()-5)/3)+1,对接源_01入库吨位!$S$5:$S$304,0)),"")</f>
        <v/>
      </c>
      <c r="C78" s="75" t="str">
        <f>IFERROR(INDEX(对接源_01入库吨位!$C$5:$C$304,MATCH(INT((ROW()-5)/3)+1,对接源_01入库吨位!$S$5:$S$304,0)),"")</f>
        <v/>
      </c>
      <c r="D78" s="89" t="str">
        <f t="shared" si="9"/>
        <v/>
      </c>
      <c r="E78" s="42" t="str">
        <f>IF($B78="","",IFERROR(IF($D78="周转打冷",N(INDEX(对接源_01入库吨位!$D$5:$D$304,MATCH(INT((ROW()-5)/3)+1,对接源_01入库吨位!$S$5:$S$304,0))),IF($D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" s="76" t="str">
        <f>IF($B78="","",ROUND(IFERROR(IF($D78="周转打冷",N(INDEX(对接源_01入库吨位!$H$5:$H$304,MATCH(INT((ROW()-5)/3)+1,对接源_01入库吨位!$S$5:$S$304,0))),IF($D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" s="122" t="str">
        <f t="shared" si="10"/>
        <v/>
      </c>
      <c r="H78" s="43"/>
      <c r="I78" s="107"/>
      <c r="J78" s="123" t="str">
        <f t="shared" si="11"/>
        <v/>
      </c>
      <c r="K78" s="76" t="str">
        <f t="shared" si="12"/>
        <v/>
      </c>
      <c r="L78" s="43"/>
      <c r="M78" s="7"/>
      <c r="N78" s="106"/>
      <c r="R78" s="3" t="str">
        <f t="shared" si="13"/>
        <v/>
      </c>
      <c r="S78" s="3">
        <f t="shared" si="14"/>
        <v>0</v>
      </c>
      <c r="T78" s="3">
        <f t="shared" si="15"/>
        <v>13</v>
      </c>
      <c r="U78" s="3" t="str">
        <f>IFERROR(INDEX($B$5:$B$904,MATCH(74,$T$5:$T$904,0)),"")</f>
        <v/>
      </c>
    </row>
    <row r="79" spans="1:21">
      <c r="A79" s="74" t="str">
        <f t="shared" si="8"/>
        <v/>
      </c>
      <c r="B79" s="75" t="str">
        <f>IFERROR(INDEX(对接源_01入库吨位!$B$5:$B$304,MATCH(INT((ROW()-5)/3)+1,对接源_01入库吨位!$S$5:$S$304,0)),"")</f>
        <v/>
      </c>
      <c r="C79" s="75" t="str">
        <f>IFERROR(INDEX(对接源_01入库吨位!$C$5:$C$304,MATCH(INT((ROW()-5)/3)+1,对接源_01入库吨位!$S$5:$S$304,0)),"")</f>
        <v/>
      </c>
      <c r="D79" s="89" t="str">
        <f t="shared" si="9"/>
        <v/>
      </c>
      <c r="E79" s="42" t="str">
        <f>IF($B79="","",IFERROR(IF($D79="周转打冷",N(INDEX(对接源_01入库吨位!$D$5:$D$304,MATCH(INT((ROW()-5)/3)+1,对接源_01入库吨位!$S$5:$S$304,0))),IF($D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" s="76" t="str">
        <f>IF($B79="","",ROUND(IFERROR(IF($D79="周转打冷",N(INDEX(对接源_01入库吨位!$H$5:$H$304,MATCH(INT((ROW()-5)/3)+1,对接源_01入库吨位!$S$5:$S$304,0))),IF($D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" s="122" t="str">
        <f t="shared" si="10"/>
        <v/>
      </c>
      <c r="H79" s="43"/>
      <c r="I79" s="107"/>
      <c r="J79" s="123" t="str">
        <f t="shared" si="11"/>
        <v/>
      </c>
      <c r="K79" s="76" t="str">
        <f t="shared" si="12"/>
        <v/>
      </c>
      <c r="L79" s="43"/>
      <c r="M79" s="7"/>
      <c r="N79" s="106"/>
      <c r="R79" s="3" t="str">
        <f t="shared" si="13"/>
        <v/>
      </c>
      <c r="S79" s="3">
        <f t="shared" si="14"/>
        <v>0</v>
      </c>
      <c r="T79" s="3">
        <f t="shared" si="15"/>
        <v>13</v>
      </c>
      <c r="U79" s="3" t="str">
        <f>IFERROR(INDEX($B$5:$B$904,MATCH(75,$T$5:$T$904,0)),"")</f>
        <v/>
      </c>
    </row>
    <row r="80" spans="1:21">
      <c r="A80" s="74" t="str">
        <f t="shared" si="8"/>
        <v/>
      </c>
      <c r="B80" s="75" t="str">
        <f>IFERROR(INDEX(对接源_01入库吨位!$B$5:$B$304,MATCH(INT((ROW()-5)/3)+1,对接源_01入库吨位!$S$5:$S$304,0)),"")</f>
        <v/>
      </c>
      <c r="C80" s="75" t="str">
        <f>IFERROR(INDEX(对接源_01入库吨位!$C$5:$C$304,MATCH(INT((ROW()-5)/3)+1,对接源_01入库吨位!$S$5:$S$304,0)),"")</f>
        <v/>
      </c>
      <c r="D80" s="89" t="str">
        <f t="shared" si="9"/>
        <v/>
      </c>
      <c r="E80" s="42" t="str">
        <f>IF($B80="","",IFERROR(IF($D80="周转打冷",N(INDEX(对接源_01入库吨位!$D$5:$D$304,MATCH(INT((ROW()-5)/3)+1,对接源_01入库吨位!$S$5:$S$304,0))),IF($D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" s="76" t="str">
        <f>IF($B80="","",ROUND(IFERROR(IF($D80="周转打冷",N(INDEX(对接源_01入库吨位!$H$5:$H$304,MATCH(INT((ROW()-5)/3)+1,对接源_01入库吨位!$S$5:$S$304,0))),IF($D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" s="122" t="str">
        <f t="shared" si="10"/>
        <v/>
      </c>
      <c r="H80" s="43"/>
      <c r="I80" s="107"/>
      <c r="J80" s="123" t="str">
        <f t="shared" si="11"/>
        <v/>
      </c>
      <c r="K80" s="76" t="str">
        <f t="shared" si="12"/>
        <v/>
      </c>
      <c r="L80" s="43"/>
      <c r="M80" s="7"/>
      <c r="N80" s="106"/>
      <c r="R80" s="3" t="str">
        <f t="shared" si="13"/>
        <v/>
      </c>
      <c r="S80" s="3">
        <f t="shared" si="14"/>
        <v>0</v>
      </c>
      <c r="T80" s="3">
        <f t="shared" si="15"/>
        <v>13</v>
      </c>
      <c r="U80" s="3" t="str">
        <f>IFERROR(INDEX($B$5:$B$904,MATCH(76,$T$5:$T$904,0)),"")</f>
        <v/>
      </c>
    </row>
    <row r="81" spans="1:21">
      <c r="A81" s="74" t="str">
        <f t="shared" si="8"/>
        <v/>
      </c>
      <c r="B81" s="75" t="str">
        <f>IFERROR(INDEX(对接源_01入库吨位!$B$5:$B$304,MATCH(INT((ROW()-5)/3)+1,对接源_01入库吨位!$S$5:$S$304,0)),"")</f>
        <v/>
      </c>
      <c r="C81" s="75" t="str">
        <f>IFERROR(INDEX(对接源_01入库吨位!$C$5:$C$304,MATCH(INT((ROW()-5)/3)+1,对接源_01入库吨位!$S$5:$S$304,0)),"")</f>
        <v/>
      </c>
      <c r="D81" s="89" t="str">
        <f t="shared" si="9"/>
        <v/>
      </c>
      <c r="E81" s="42" t="str">
        <f>IF($B81="","",IFERROR(IF($D81="周转打冷",N(INDEX(对接源_01入库吨位!$D$5:$D$304,MATCH(INT((ROW()-5)/3)+1,对接源_01入库吨位!$S$5:$S$304,0))),IF($D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" s="76" t="str">
        <f>IF($B81="","",ROUND(IFERROR(IF($D81="周转打冷",N(INDEX(对接源_01入库吨位!$H$5:$H$304,MATCH(INT((ROW()-5)/3)+1,对接源_01入库吨位!$S$5:$S$304,0))),IF($D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" s="122" t="str">
        <f t="shared" si="10"/>
        <v/>
      </c>
      <c r="H81" s="43"/>
      <c r="I81" s="107"/>
      <c r="J81" s="123" t="str">
        <f t="shared" si="11"/>
        <v/>
      </c>
      <c r="K81" s="76" t="str">
        <f t="shared" si="12"/>
        <v/>
      </c>
      <c r="L81" s="43"/>
      <c r="M81" s="7"/>
      <c r="N81" s="106"/>
      <c r="R81" s="3" t="str">
        <f t="shared" si="13"/>
        <v/>
      </c>
      <c r="S81" s="3">
        <f t="shared" si="14"/>
        <v>0</v>
      </c>
      <c r="T81" s="3">
        <f t="shared" si="15"/>
        <v>13</v>
      </c>
      <c r="U81" s="3" t="str">
        <f>IFERROR(INDEX($B$5:$B$904,MATCH(77,$T$5:$T$904,0)),"")</f>
        <v/>
      </c>
    </row>
    <row r="82" spans="1:21">
      <c r="A82" s="74" t="str">
        <f t="shared" si="8"/>
        <v/>
      </c>
      <c r="B82" s="75" t="str">
        <f>IFERROR(INDEX(对接源_01入库吨位!$B$5:$B$304,MATCH(INT((ROW()-5)/3)+1,对接源_01入库吨位!$S$5:$S$304,0)),"")</f>
        <v/>
      </c>
      <c r="C82" s="75" t="str">
        <f>IFERROR(INDEX(对接源_01入库吨位!$C$5:$C$304,MATCH(INT((ROW()-5)/3)+1,对接源_01入库吨位!$S$5:$S$304,0)),"")</f>
        <v/>
      </c>
      <c r="D82" s="89" t="str">
        <f t="shared" si="9"/>
        <v/>
      </c>
      <c r="E82" s="42" t="str">
        <f>IF($B82="","",IFERROR(IF($D82="周转打冷",N(INDEX(对接源_01入库吨位!$D$5:$D$304,MATCH(INT((ROW()-5)/3)+1,对接源_01入库吨位!$S$5:$S$304,0))),IF($D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" s="76" t="str">
        <f>IF($B82="","",ROUND(IFERROR(IF($D82="周转打冷",N(INDEX(对接源_01入库吨位!$H$5:$H$304,MATCH(INT((ROW()-5)/3)+1,对接源_01入库吨位!$S$5:$S$304,0))),IF($D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" s="122" t="str">
        <f t="shared" si="10"/>
        <v/>
      </c>
      <c r="H82" s="43"/>
      <c r="I82" s="107"/>
      <c r="J82" s="123" t="str">
        <f t="shared" si="11"/>
        <v/>
      </c>
      <c r="K82" s="76" t="str">
        <f t="shared" si="12"/>
        <v/>
      </c>
      <c r="L82" s="43"/>
      <c r="M82" s="7"/>
      <c r="N82" s="106"/>
      <c r="R82" s="3" t="str">
        <f t="shared" si="13"/>
        <v/>
      </c>
      <c r="S82" s="3">
        <f t="shared" si="14"/>
        <v>0</v>
      </c>
      <c r="T82" s="3">
        <f t="shared" si="15"/>
        <v>13</v>
      </c>
      <c r="U82" s="3" t="str">
        <f>IFERROR(INDEX($B$5:$B$904,MATCH(78,$T$5:$T$904,0)),"")</f>
        <v/>
      </c>
    </row>
    <row r="83" spans="1:21">
      <c r="A83" s="74" t="str">
        <f t="shared" si="8"/>
        <v/>
      </c>
      <c r="B83" s="75" t="str">
        <f>IFERROR(INDEX(对接源_01入库吨位!$B$5:$B$304,MATCH(INT((ROW()-5)/3)+1,对接源_01入库吨位!$S$5:$S$304,0)),"")</f>
        <v/>
      </c>
      <c r="C83" s="75" t="str">
        <f>IFERROR(INDEX(对接源_01入库吨位!$C$5:$C$304,MATCH(INT((ROW()-5)/3)+1,对接源_01入库吨位!$S$5:$S$304,0)),"")</f>
        <v/>
      </c>
      <c r="D83" s="89" t="str">
        <f t="shared" si="9"/>
        <v/>
      </c>
      <c r="E83" s="42" t="str">
        <f>IF($B83="","",IFERROR(IF($D83="周转打冷",N(INDEX(对接源_01入库吨位!$D$5:$D$304,MATCH(INT((ROW()-5)/3)+1,对接源_01入库吨位!$S$5:$S$304,0))),IF($D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" s="76" t="str">
        <f>IF($B83="","",ROUND(IFERROR(IF($D83="周转打冷",N(INDEX(对接源_01入库吨位!$H$5:$H$304,MATCH(INT((ROW()-5)/3)+1,对接源_01入库吨位!$S$5:$S$304,0))),IF($D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" s="122" t="str">
        <f t="shared" si="10"/>
        <v/>
      </c>
      <c r="H83" s="43"/>
      <c r="I83" s="107"/>
      <c r="J83" s="123" t="str">
        <f t="shared" si="11"/>
        <v/>
      </c>
      <c r="K83" s="76" t="str">
        <f t="shared" si="12"/>
        <v/>
      </c>
      <c r="L83" s="43"/>
      <c r="M83" s="7"/>
      <c r="N83" s="106"/>
      <c r="R83" s="3" t="str">
        <f t="shared" si="13"/>
        <v/>
      </c>
      <c r="S83" s="3">
        <f t="shared" si="14"/>
        <v>0</v>
      </c>
      <c r="T83" s="3">
        <f t="shared" si="15"/>
        <v>13</v>
      </c>
      <c r="U83" s="3" t="str">
        <f>IFERROR(INDEX($B$5:$B$904,MATCH(79,$T$5:$T$904,0)),"")</f>
        <v/>
      </c>
    </row>
    <row r="84" spans="1:21">
      <c r="A84" s="74" t="str">
        <f t="shared" si="8"/>
        <v/>
      </c>
      <c r="B84" s="75" t="str">
        <f>IFERROR(INDEX(对接源_01入库吨位!$B$5:$B$304,MATCH(INT((ROW()-5)/3)+1,对接源_01入库吨位!$S$5:$S$304,0)),"")</f>
        <v/>
      </c>
      <c r="C84" s="75" t="str">
        <f>IFERROR(INDEX(对接源_01入库吨位!$C$5:$C$304,MATCH(INT((ROW()-5)/3)+1,对接源_01入库吨位!$S$5:$S$304,0)),"")</f>
        <v/>
      </c>
      <c r="D84" s="89" t="str">
        <f t="shared" si="9"/>
        <v/>
      </c>
      <c r="E84" s="42" t="str">
        <f>IF($B84="","",IFERROR(IF($D84="周转打冷",N(INDEX(对接源_01入库吨位!$D$5:$D$304,MATCH(INT((ROW()-5)/3)+1,对接源_01入库吨位!$S$5:$S$304,0))),IF($D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" s="76" t="str">
        <f>IF($B84="","",ROUND(IFERROR(IF($D84="周转打冷",N(INDEX(对接源_01入库吨位!$H$5:$H$304,MATCH(INT((ROW()-5)/3)+1,对接源_01入库吨位!$S$5:$S$304,0))),IF($D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" s="122" t="str">
        <f t="shared" si="10"/>
        <v/>
      </c>
      <c r="H84" s="43"/>
      <c r="I84" s="107"/>
      <c r="J84" s="123" t="str">
        <f t="shared" si="11"/>
        <v/>
      </c>
      <c r="K84" s="76" t="str">
        <f t="shared" si="12"/>
        <v/>
      </c>
      <c r="L84" s="43"/>
      <c r="M84" s="7"/>
      <c r="N84" s="106"/>
      <c r="R84" s="3" t="str">
        <f t="shared" si="13"/>
        <v/>
      </c>
      <c r="S84" s="3">
        <f t="shared" si="14"/>
        <v>0</v>
      </c>
      <c r="T84" s="3">
        <f t="shared" si="15"/>
        <v>13</v>
      </c>
      <c r="U84" s="3" t="str">
        <f>IFERROR(INDEX($B$5:$B$904,MATCH(80,$T$5:$T$904,0)),"")</f>
        <v/>
      </c>
    </row>
    <row r="85" spans="1:21">
      <c r="A85" s="74" t="str">
        <f t="shared" si="8"/>
        <v/>
      </c>
      <c r="B85" s="75" t="str">
        <f>IFERROR(INDEX(对接源_01入库吨位!$B$5:$B$304,MATCH(INT((ROW()-5)/3)+1,对接源_01入库吨位!$S$5:$S$304,0)),"")</f>
        <v/>
      </c>
      <c r="C85" s="75" t="str">
        <f>IFERROR(INDEX(对接源_01入库吨位!$C$5:$C$304,MATCH(INT((ROW()-5)/3)+1,对接源_01入库吨位!$S$5:$S$304,0)),"")</f>
        <v/>
      </c>
      <c r="D85" s="89" t="str">
        <f t="shared" si="9"/>
        <v/>
      </c>
      <c r="E85" s="42" t="str">
        <f>IF($B85="","",IFERROR(IF($D85="周转打冷",N(INDEX(对接源_01入库吨位!$D$5:$D$304,MATCH(INT((ROW()-5)/3)+1,对接源_01入库吨位!$S$5:$S$304,0))),IF($D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" s="76" t="str">
        <f>IF($B85="","",ROUND(IFERROR(IF($D85="周转打冷",N(INDEX(对接源_01入库吨位!$H$5:$H$304,MATCH(INT((ROW()-5)/3)+1,对接源_01入库吨位!$S$5:$S$304,0))),IF($D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" s="122" t="str">
        <f t="shared" si="10"/>
        <v/>
      </c>
      <c r="H85" s="43"/>
      <c r="I85" s="107"/>
      <c r="J85" s="123" t="str">
        <f t="shared" si="11"/>
        <v/>
      </c>
      <c r="K85" s="76" t="str">
        <f t="shared" si="12"/>
        <v/>
      </c>
      <c r="L85" s="43"/>
      <c r="M85" s="7"/>
      <c r="N85" s="106"/>
      <c r="R85" s="3" t="str">
        <f t="shared" si="13"/>
        <v/>
      </c>
      <c r="S85" s="3">
        <f t="shared" si="14"/>
        <v>0</v>
      </c>
      <c r="T85" s="3">
        <f t="shared" si="15"/>
        <v>13</v>
      </c>
      <c r="U85" s="3" t="str">
        <f>IFERROR(INDEX($B$5:$B$904,MATCH(81,$T$5:$T$904,0)),"")</f>
        <v/>
      </c>
    </row>
    <row r="86" spans="1:21">
      <c r="A86" s="74" t="str">
        <f t="shared" si="8"/>
        <v/>
      </c>
      <c r="B86" s="75" t="str">
        <f>IFERROR(INDEX(对接源_01入库吨位!$B$5:$B$304,MATCH(INT((ROW()-5)/3)+1,对接源_01入库吨位!$S$5:$S$304,0)),"")</f>
        <v/>
      </c>
      <c r="C86" s="75" t="str">
        <f>IFERROR(INDEX(对接源_01入库吨位!$C$5:$C$304,MATCH(INT((ROW()-5)/3)+1,对接源_01入库吨位!$S$5:$S$304,0)),"")</f>
        <v/>
      </c>
      <c r="D86" s="89" t="str">
        <f t="shared" si="9"/>
        <v/>
      </c>
      <c r="E86" s="42" t="str">
        <f>IF($B86="","",IFERROR(IF($D86="周转打冷",N(INDEX(对接源_01入库吨位!$D$5:$D$304,MATCH(INT((ROW()-5)/3)+1,对接源_01入库吨位!$S$5:$S$304,0))),IF($D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" s="76" t="str">
        <f>IF($B86="","",ROUND(IFERROR(IF($D86="周转打冷",N(INDEX(对接源_01入库吨位!$H$5:$H$304,MATCH(INT((ROW()-5)/3)+1,对接源_01入库吨位!$S$5:$S$304,0))),IF($D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" s="122" t="str">
        <f t="shared" si="10"/>
        <v/>
      </c>
      <c r="H86" s="43"/>
      <c r="I86" s="107"/>
      <c r="J86" s="123" t="str">
        <f t="shared" si="11"/>
        <v/>
      </c>
      <c r="K86" s="76" t="str">
        <f t="shared" si="12"/>
        <v/>
      </c>
      <c r="L86" s="43"/>
      <c r="M86" s="7"/>
      <c r="N86" s="106"/>
      <c r="R86" s="3" t="str">
        <f t="shared" si="13"/>
        <v/>
      </c>
      <c r="S86" s="3">
        <f t="shared" si="14"/>
        <v>0</v>
      </c>
      <c r="T86" s="3">
        <f t="shared" si="15"/>
        <v>13</v>
      </c>
      <c r="U86" s="3" t="str">
        <f>IFERROR(INDEX($B$5:$B$904,MATCH(82,$T$5:$T$904,0)),"")</f>
        <v/>
      </c>
    </row>
    <row r="87" spans="1:21">
      <c r="A87" s="74" t="str">
        <f t="shared" si="8"/>
        <v/>
      </c>
      <c r="B87" s="75" t="str">
        <f>IFERROR(INDEX(对接源_01入库吨位!$B$5:$B$304,MATCH(INT((ROW()-5)/3)+1,对接源_01入库吨位!$S$5:$S$304,0)),"")</f>
        <v/>
      </c>
      <c r="C87" s="75" t="str">
        <f>IFERROR(INDEX(对接源_01入库吨位!$C$5:$C$304,MATCH(INT((ROW()-5)/3)+1,对接源_01入库吨位!$S$5:$S$304,0)),"")</f>
        <v/>
      </c>
      <c r="D87" s="89" t="str">
        <f t="shared" si="9"/>
        <v/>
      </c>
      <c r="E87" s="42" t="str">
        <f>IF($B87="","",IFERROR(IF($D87="周转打冷",N(INDEX(对接源_01入库吨位!$D$5:$D$304,MATCH(INT((ROW()-5)/3)+1,对接源_01入库吨位!$S$5:$S$304,0))),IF($D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" s="76" t="str">
        <f>IF($B87="","",ROUND(IFERROR(IF($D87="周转打冷",N(INDEX(对接源_01入库吨位!$H$5:$H$304,MATCH(INT((ROW()-5)/3)+1,对接源_01入库吨位!$S$5:$S$304,0))),IF($D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" s="122" t="str">
        <f t="shared" si="10"/>
        <v/>
      </c>
      <c r="H87" s="43"/>
      <c r="I87" s="107"/>
      <c r="J87" s="123" t="str">
        <f t="shared" si="11"/>
        <v/>
      </c>
      <c r="K87" s="76" t="str">
        <f t="shared" si="12"/>
        <v/>
      </c>
      <c r="L87" s="43"/>
      <c r="M87" s="7"/>
      <c r="N87" s="106"/>
      <c r="R87" s="3" t="str">
        <f t="shared" si="13"/>
        <v/>
      </c>
      <c r="S87" s="3">
        <f t="shared" si="14"/>
        <v>0</v>
      </c>
      <c r="T87" s="3">
        <f t="shared" si="15"/>
        <v>13</v>
      </c>
      <c r="U87" s="3" t="str">
        <f>IFERROR(INDEX($B$5:$B$904,MATCH(83,$T$5:$T$904,0)),"")</f>
        <v/>
      </c>
    </row>
    <row r="88" spans="1:21">
      <c r="A88" s="74" t="str">
        <f t="shared" si="8"/>
        <v/>
      </c>
      <c r="B88" s="75" t="str">
        <f>IFERROR(INDEX(对接源_01入库吨位!$B$5:$B$304,MATCH(INT((ROW()-5)/3)+1,对接源_01入库吨位!$S$5:$S$304,0)),"")</f>
        <v/>
      </c>
      <c r="C88" s="75" t="str">
        <f>IFERROR(INDEX(对接源_01入库吨位!$C$5:$C$304,MATCH(INT((ROW()-5)/3)+1,对接源_01入库吨位!$S$5:$S$304,0)),"")</f>
        <v/>
      </c>
      <c r="D88" s="89" t="str">
        <f t="shared" si="9"/>
        <v/>
      </c>
      <c r="E88" s="42" t="str">
        <f>IF($B88="","",IFERROR(IF($D88="周转打冷",N(INDEX(对接源_01入库吨位!$D$5:$D$304,MATCH(INT((ROW()-5)/3)+1,对接源_01入库吨位!$S$5:$S$304,0))),IF($D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" s="76" t="str">
        <f>IF($B88="","",ROUND(IFERROR(IF($D88="周转打冷",N(INDEX(对接源_01入库吨位!$H$5:$H$304,MATCH(INT((ROW()-5)/3)+1,对接源_01入库吨位!$S$5:$S$304,0))),IF($D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" s="122" t="str">
        <f t="shared" si="10"/>
        <v/>
      </c>
      <c r="H88" s="43"/>
      <c r="I88" s="107"/>
      <c r="J88" s="123" t="str">
        <f t="shared" si="11"/>
        <v/>
      </c>
      <c r="K88" s="76" t="str">
        <f t="shared" si="12"/>
        <v/>
      </c>
      <c r="L88" s="43"/>
      <c r="M88" s="7"/>
      <c r="N88" s="106"/>
      <c r="R88" s="3" t="str">
        <f t="shared" si="13"/>
        <v/>
      </c>
      <c r="S88" s="3">
        <f t="shared" si="14"/>
        <v>0</v>
      </c>
      <c r="T88" s="3">
        <f t="shared" si="15"/>
        <v>13</v>
      </c>
      <c r="U88" s="3" t="str">
        <f>IFERROR(INDEX($B$5:$B$904,MATCH(84,$T$5:$T$904,0)),"")</f>
        <v/>
      </c>
    </row>
    <row r="89" spans="1:21">
      <c r="A89" s="74" t="str">
        <f t="shared" si="8"/>
        <v/>
      </c>
      <c r="B89" s="75" t="str">
        <f>IFERROR(INDEX(对接源_01入库吨位!$B$5:$B$304,MATCH(INT((ROW()-5)/3)+1,对接源_01入库吨位!$S$5:$S$304,0)),"")</f>
        <v/>
      </c>
      <c r="C89" s="75" t="str">
        <f>IFERROR(INDEX(对接源_01入库吨位!$C$5:$C$304,MATCH(INT((ROW()-5)/3)+1,对接源_01入库吨位!$S$5:$S$304,0)),"")</f>
        <v/>
      </c>
      <c r="D89" s="89" t="str">
        <f t="shared" si="9"/>
        <v/>
      </c>
      <c r="E89" s="42" t="str">
        <f>IF($B89="","",IFERROR(IF($D89="周转打冷",N(INDEX(对接源_01入库吨位!$D$5:$D$304,MATCH(INT((ROW()-5)/3)+1,对接源_01入库吨位!$S$5:$S$304,0))),IF($D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" s="76" t="str">
        <f>IF($B89="","",ROUND(IFERROR(IF($D89="周转打冷",N(INDEX(对接源_01入库吨位!$H$5:$H$304,MATCH(INT((ROW()-5)/3)+1,对接源_01入库吨位!$S$5:$S$304,0))),IF($D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" s="122" t="str">
        <f t="shared" si="10"/>
        <v/>
      </c>
      <c r="H89" s="43"/>
      <c r="I89" s="107"/>
      <c r="J89" s="123" t="str">
        <f t="shared" si="11"/>
        <v/>
      </c>
      <c r="K89" s="76" t="str">
        <f t="shared" si="12"/>
        <v/>
      </c>
      <c r="L89" s="43"/>
      <c r="M89" s="7"/>
      <c r="N89" s="106"/>
      <c r="R89" s="3" t="str">
        <f t="shared" si="13"/>
        <v/>
      </c>
      <c r="S89" s="3">
        <f t="shared" si="14"/>
        <v>0</v>
      </c>
      <c r="T89" s="3">
        <f t="shared" si="15"/>
        <v>13</v>
      </c>
      <c r="U89" s="3" t="str">
        <f>IFERROR(INDEX($B$5:$B$904,MATCH(85,$T$5:$T$904,0)),"")</f>
        <v/>
      </c>
    </row>
    <row r="90" spans="1:21">
      <c r="A90" s="74" t="str">
        <f t="shared" si="8"/>
        <v/>
      </c>
      <c r="B90" s="75" t="str">
        <f>IFERROR(INDEX(对接源_01入库吨位!$B$5:$B$304,MATCH(INT((ROW()-5)/3)+1,对接源_01入库吨位!$S$5:$S$304,0)),"")</f>
        <v/>
      </c>
      <c r="C90" s="75" t="str">
        <f>IFERROR(INDEX(对接源_01入库吨位!$C$5:$C$304,MATCH(INT((ROW()-5)/3)+1,对接源_01入库吨位!$S$5:$S$304,0)),"")</f>
        <v/>
      </c>
      <c r="D90" s="89" t="str">
        <f t="shared" si="9"/>
        <v/>
      </c>
      <c r="E90" s="42" t="str">
        <f>IF($B90="","",IFERROR(IF($D90="周转打冷",N(INDEX(对接源_01入库吨位!$D$5:$D$304,MATCH(INT((ROW()-5)/3)+1,对接源_01入库吨位!$S$5:$S$304,0))),IF($D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" s="76" t="str">
        <f>IF($B90="","",ROUND(IFERROR(IF($D90="周转打冷",N(INDEX(对接源_01入库吨位!$H$5:$H$304,MATCH(INT((ROW()-5)/3)+1,对接源_01入库吨位!$S$5:$S$304,0))),IF($D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" s="122" t="str">
        <f t="shared" si="10"/>
        <v/>
      </c>
      <c r="H90" s="43"/>
      <c r="I90" s="107"/>
      <c r="J90" s="123" t="str">
        <f t="shared" si="11"/>
        <v/>
      </c>
      <c r="K90" s="76" t="str">
        <f t="shared" si="12"/>
        <v/>
      </c>
      <c r="L90" s="43"/>
      <c r="M90" s="7"/>
      <c r="N90" s="106"/>
      <c r="R90" s="3" t="str">
        <f t="shared" si="13"/>
        <v/>
      </c>
      <c r="S90" s="3">
        <f t="shared" si="14"/>
        <v>0</v>
      </c>
      <c r="T90" s="3">
        <f t="shared" si="15"/>
        <v>13</v>
      </c>
      <c r="U90" s="3" t="str">
        <f>IFERROR(INDEX($B$5:$B$904,MATCH(86,$T$5:$T$904,0)),"")</f>
        <v/>
      </c>
    </row>
    <row r="91" spans="1:21">
      <c r="A91" s="74" t="str">
        <f t="shared" si="8"/>
        <v/>
      </c>
      <c r="B91" s="75" t="str">
        <f>IFERROR(INDEX(对接源_01入库吨位!$B$5:$B$304,MATCH(INT((ROW()-5)/3)+1,对接源_01入库吨位!$S$5:$S$304,0)),"")</f>
        <v/>
      </c>
      <c r="C91" s="75" t="str">
        <f>IFERROR(INDEX(对接源_01入库吨位!$C$5:$C$304,MATCH(INT((ROW()-5)/3)+1,对接源_01入库吨位!$S$5:$S$304,0)),"")</f>
        <v/>
      </c>
      <c r="D91" s="89" t="str">
        <f t="shared" si="9"/>
        <v/>
      </c>
      <c r="E91" s="42" t="str">
        <f>IF($B91="","",IFERROR(IF($D91="周转打冷",N(INDEX(对接源_01入库吨位!$D$5:$D$304,MATCH(INT((ROW()-5)/3)+1,对接源_01入库吨位!$S$5:$S$304,0))),IF($D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1" s="76" t="str">
        <f>IF($B91="","",ROUND(IFERROR(IF($D91="周转打冷",N(INDEX(对接源_01入库吨位!$H$5:$H$304,MATCH(INT((ROW()-5)/3)+1,对接源_01入库吨位!$S$5:$S$304,0))),IF($D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1" s="122" t="str">
        <f t="shared" si="10"/>
        <v/>
      </c>
      <c r="H91" s="43"/>
      <c r="I91" s="107"/>
      <c r="J91" s="123" t="str">
        <f t="shared" si="11"/>
        <v/>
      </c>
      <c r="K91" s="76" t="str">
        <f t="shared" si="12"/>
        <v/>
      </c>
      <c r="L91" s="43"/>
      <c r="M91" s="7"/>
      <c r="N91" s="106"/>
      <c r="R91" s="3" t="str">
        <f t="shared" si="13"/>
        <v/>
      </c>
      <c r="S91" s="3">
        <f t="shared" si="14"/>
        <v>0</v>
      </c>
      <c r="T91" s="3">
        <f t="shared" si="15"/>
        <v>13</v>
      </c>
      <c r="U91" s="3" t="str">
        <f>IFERROR(INDEX($B$5:$B$904,MATCH(87,$T$5:$T$904,0)),"")</f>
        <v/>
      </c>
    </row>
    <row r="92" spans="1:21">
      <c r="A92" s="74" t="str">
        <f t="shared" si="8"/>
        <v/>
      </c>
      <c r="B92" s="75" t="str">
        <f>IFERROR(INDEX(对接源_01入库吨位!$B$5:$B$304,MATCH(INT((ROW()-5)/3)+1,对接源_01入库吨位!$S$5:$S$304,0)),"")</f>
        <v/>
      </c>
      <c r="C92" s="75" t="str">
        <f>IFERROR(INDEX(对接源_01入库吨位!$C$5:$C$304,MATCH(INT((ROW()-5)/3)+1,对接源_01入库吨位!$S$5:$S$304,0)),"")</f>
        <v/>
      </c>
      <c r="D92" s="89" t="str">
        <f t="shared" si="9"/>
        <v/>
      </c>
      <c r="E92" s="42" t="str">
        <f>IF($B92="","",IFERROR(IF($D92="周转打冷",N(INDEX(对接源_01入库吨位!$D$5:$D$304,MATCH(INT((ROW()-5)/3)+1,对接源_01入库吨位!$S$5:$S$304,0))),IF($D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2" s="76" t="str">
        <f>IF($B92="","",ROUND(IFERROR(IF($D92="周转打冷",N(INDEX(对接源_01入库吨位!$H$5:$H$304,MATCH(INT((ROW()-5)/3)+1,对接源_01入库吨位!$S$5:$S$304,0))),IF($D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2" s="122" t="str">
        <f t="shared" si="10"/>
        <v/>
      </c>
      <c r="H92" s="43"/>
      <c r="I92" s="107"/>
      <c r="J92" s="123" t="str">
        <f t="shared" si="11"/>
        <v/>
      </c>
      <c r="K92" s="76" t="str">
        <f t="shared" si="12"/>
        <v/>
      </c>
      <c r="L92" s="43"/>
      <c r="M92" s="7"/>
      <c r="N92" s="106"/>
      <c r="R92" s="3" t="str">
        <f t="shared" si="13"/>
        <v/>
      </c>
      <c r="S92" s="3">
        <f t="shared" si="14"/>
        <v>0</v>
      </c>
      <c r="T92" s="3">
        <f t="shared" si="15"/>
        <v>13</v>
      </c>
      <c r="U92" s="3" t="str">
        <f>IFERROR(INDEX($B$5:$B$904,MATCH(88,$T$5:$T$904,0)),"")</f>
        <v/>
      </c>
    </row>
    <row r="93" spans="1:21">
      <c r="A93" s="74" t="str">
        <f t="shared" si="8"/>
        <v/>
      </c>
      <c r="B93" s="75" t="str">
        <f>IFERROR(INDEX(对接源_01入库吨位!$B$5:$B$304,MATCH(INT((ROW()-5)/3)+1,对接源_01入库吨位!$S$5:$S$304,0)),"")</f>
        <v/>
      </c>
      <c r="C93" s="75" t="str">
        <f>IFERROR(INDEX(对接源_01入库吨位!$C$5:$C$304,MATCH(INT((ROW()-5)/3)+1,对接源_01入库吨位!$S$5:$S$304,0)),"")</f>
        <v/>
      </c>
      <c r="D93" s="89" t="str">
        <f t="shared" si="9"/>
        <v/>
      </c>
      <c r="E93" s="42" t="str">
        <f>IF($B93="","",IFERROR(IF($D93="周转打冷",N(INDEX(对接源_01入库吨位!$D$5:$D$304,MATCH(INT((ROW()-5)/3)+1,对接源_01入库吨位!$S$5:$S$304,0))),IF($D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3" s="76" t="str">
        <f>IF($B93="","",ROUND(IFERROR(IF($D93="周转打冷",N(INDEX(对接源_01入库吨位!$H$5:$H$304,MATCH(INT((ROW()-5)/3)+1,对接源_01入库吨位!$S$5:$S$304,0))),IF($D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3" s="122" t="str">
        <f t="shared" si="10"/>
        <v/>
      </c>
      <c r="H93" s="43"/>
      <c r="I93" s="107"/>
      <c r="J93" s="123" t="str">
        <f t="shared" si="11"/>
        <v/>
      </c>
      <c r="K93" s="76" t="str">
        <f t="shared" si="12"/>
        <v/>
      </c>
      <c r="L93" s="43"/>
      <c r="M93" s="7"/>
      <c r="N93" s="106"/>
      <c r="R93" s="3" t="str">
        <f t="shared" si="13"/>
        <v/>
      </c>
      <c r="S93" s="3">
        <f t="shared" si="14"/>
        <v>0</v>
      </c>
      <c r="T93" s="3">
        <f t="shared" si="15"/>
        <v>13</v>
      </c>
      <c r="U93" s="3" t="str">
        <f>IFERROR(INDEX($B$5:$B$904,MATCH(89,$T$5:$T$904,0)),"")</f>
        <v/>
      </c>
    </row>
    <row r="94" spans="1:21">
      <c r="A94" s="74" t="str">
        <f t="shared" si="8"/>
        <v/>
      </c>
      <c r="B94" s="75" t="str">
        <f>IFERROR(INDEX(对接源_01入库吨位!$B$5:$B$304,MATCH(INT((ROW()-5)/3)+1,对接源_01入库吨位!$S$5:$S$304,0)),"")</f>
        <v/>
      </c>
      <c r="C94" s="75" t="str">
        <f>IFERROR(INDEX(对接源_01入库吨位!$C$5:$C$304,MATCH(INT((ROW()-5)/3)+1,对接源_01入库吨位!$S$5:$S$304,0)),"")</f>
        <v/>
      </c>
      <c r="D94" s="89" t="str">
        <f t="shared" si="9"/>
        <v/>
      </c>
      <c r="E94" s="42" t="str">
        <f>IF($B94="","",IFERROR(IF($D94="周转打冷",N(INDEX(对接源_01入库吨位!$D$5:$D$304,MATCH(INT((ROW()-5)/3)+1,对接源_01入库吨位!$S$5:$S$304,0))),IF($D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4" s="76" t="str">
        <f>IF($B94="","",ROUND(IFERROR(IF($D94="周转打冷",N(INDEX(对接源_01入库吨位!$H$5:$H$304,MATCH(INT((ROW()-5)/3)+1,对接源_01入库吨位!$S$5:$S$304,0))),IF($D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4" s="122" t="str">
        <f t="shared" si="10"/>
        <v/>
      </c>
      <c r="H94" s="43"/>
      <c r="I94" s="107"/>
      <c r="J94" s="123" t="str">
        <f t="shared" si="11"/>
        <v/>
      </c>
      <c r="K94" s="76" t="str">
        <f t="shared" si="12"/>
        <v/>
      </c>
      <c r="L94" s="43"/>
      <c r="M94" s="7"/>
      <c r="N94" s="106"/>
      <c r="R94" s="3" t="str">
        <f t="shared" si="13"/>
        <v/>
      </c>
      <c r="S94" s="3">
        <f t="shared" si="14"/>
        <v>0</v>
      </c>
      <c r="T94" s="3">
        <f t="shared" si="15"/>
        <v>13</v>
      </c>
      <c r="U94" s="3" t="str">
        <f>IFERROR(INDEX($B$5:$B$904,MATCH(90,$T$5:$T$904,0)),"")</f>
        <v/>
      </c>
    </row>
    <row r="95" spans="1:21">
      <c r="A95" s="74" t="str">
        <f t="shared" si="8"/>
        <v/>
      </c>
      <c r="B95" s="75" t="str">
        <f>IFERROR(INDEX(对接源_01入库吨位!$B$5:$B$304,MATCH(INT((ROW()-5)/3)+1,对接源_01入库吨位!$S$5:$S$304,0)),"")</f>
        <v/>
      </c>
      <c r="C95" s="75" t="str">
        <f>IFERROR(INDEX(对接源_01入库吨位!$C$5:$C$304,MATCH(INT((ROW()-5)/3)+1,对接源_01入库吨位!$S$5:$S$304,0)),"")</f>
        <v/>
      </c>
      <c r="D95" s="89" t="str">
        <f t="shared" si="9"/>
        <v/>
      </c>
      <c r="E95" s="42" t="str">
        <f>IF($B95="","",IFERROR(IF($D95="周转打冷",N(INDEX(对接源_01入库吨位!$D$5:$D$304,MATCH(INT((ROW()-5)/3)+1,对接源_01入库吨位!$S$5:$S$304,0))),IF($D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5" s="76" t="str">
        <f>IF($B95="","",ROUND(IFERROR(IF($D95="周转打冷",N(INDEX(对接源_01入库吨位!$H$5:$H$304,MATCH(INT((ROW()-5)/3)+1,对接源_01入库吨位!$S$5:$S$304,0))),IF($D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5" s="122" t="str">
        <f t="shared" si="10"/>
        <v/>
      </c>
      <c r="H95" s="43"/>
      <c r="I95" s="107"/>
      <c r="J95" s="123" t="str">
        <f t="shared" si="11"/>
        <v/>
      </c>
      <c r="K95" s="76" t="str">
        <f t="shared" si="12"/>
        <v/>
      </c>
      <c r="L95" s="43"/>
      <c r="M95" s="7"/>
      <c r="N95" s="106"/>
      <c r="R95" s="3" t="str">
        <f t="shared" si="13"/>
        <v/>
      </c>
      <c r="S95" s="3">
        <f t="shared" si="14"/>
        <v>0</v>
      </c>
      <c r="T95" s="3">
        <f t="shared" si="15"/>
        <v>13</v>
      </c>
      <c r="U95" s="3" t="str">
        <f>IFERROR(INDEX($B$5:$B$904,MATCH(91,$T$5:$T$904,0)),"")</f>
        <v/>
      </c>
    </row>
    <row r="96" spans="1:21">
      <c r="A96" s="74" t="str">
        <f t="shared" si="8"/>
        <v/>
      </c>
      <c r="B96" s="75" t="str">
        <f>IFERROR(INDEX(对接源_01入库吨位!$B$5:$B$304,MATCH(INT((ROW()-5)/3)+1,对接源_01入库吨位!$S$5:$S$304,0)),"")</f>
        <v/>
      </c>
      <c r="C96" s="75" t="str">
        <f>IFERROR(INDEX(对接源_01入库吨位!$C$5:$C$304,MATCH(INT((ROW()-5)/3)+1,对接源_01入库吨位!$S$5:$S$304,0)),"")</f>
        <v/>
      </c>
      <c r="D96" s="89" t="str">
        <f t="shared" si="9"/>
        <v/>
      </c>
      <c r="E96" s="42" t="str">
        <f>IF($B96="","",IFERROR(IF($D96="周转打冷",N(INDEX(对接源_01入库吨位!$D$5:$D$304,MATCH(INT((ROW()-5)/3)+1,对接源_01入库吨位!$S$5:$S$304,0))),IF($D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6" s="76" t="str">
        <f>IF($B96="","",ROUND(IFERROR(IF($D96="周转打冷",N(INDEX(对接源_01入库吨位!$H$5:$H$304,MATCH(INT((ROW()-5)/3)+1,对接源_01入库吨位!$S$5:$S$304,0))),IF($D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6" s="122" t="str">
        <f t="shared" si="10"/>
        <v/>
      </c>
      <c r="H96" s="43"/>
      <c r="I96" s="107"/>
      <c r="J96" s="123" t="str">
        <f t="shared" si="11"/>
        <v/>
      </c>
      <c r="K96" s="76" t="str">
        <f t="shared" si="12"/>
        <v/>
      </c>
      <c r="L96" s="43"/>
      <c r="M96" s="7"/>
      <c r="N96" s="106"/>
      <c r="R96" s="3" t="str">
        <f t="shared" si="13"/>
        <v/>
      </c>
      <c r="S96" s="3">
        <f t="shared" si="14"/>
        <v>0</v>
      </c>
      <c r="T96" s="3">
        <f t="shared" si="15"/>
        <v>13</v>
      </c>
      <c r="U96" s="3" t="str">
        <f>IFERROR(INDEX($B$5:$B$904,MATCH(92,$T$5:$T$904,0)),"")</f>
        <v/>
      </c>
    </row>
    <row r="97" spans="1:21">
      <c r="A97" s="74" t="str">
        <f t="shared" si="8"/>
        <v/>
      </c>
      <c r="B97" s="75" t="str">
        <f>IFERROR(INDEX(对接源_01入库吨位!$B$5:$B$304,MATCH(INT((ROW()-5)/3)+1,对接源_01入库吨位!$S$5:$S$304,0)),"")</f>
        <v/>
      </c>
      <c r="C97" s="75" t="str">
        <f>IFERROR(INDEX(对接源_01入库吨位!$C$5:$C$304,MATCH(INT((ROW()-5)/3)+1,对接源_01入库吨位!$S$5:$S$304,0)),"")</f>
        <v/>
      </c>
      <c r="D97" s="89" t="str">
        <f t="shared" si="9"/>
        <v/>
      </c>
      <c r="E97" s="42" t="str">
        <f>IF($B97="","",IFERROR(IF($D97="周转打冷",N(INDEX(对接源_01入库吨位!$D$5:$D$304,MATCH(INT((ROW()-5)/3)+1,对接源_01入库吨位!$S$5:$S$304,0))),IF($D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7" s="76" t="str">
        <f>IF($B97="","",ROUND(IFERROR(IF($D97="周转打冷",N(INDEX(对接源_01入库吨位!$H$5:$H$304,MATCH(INT((ROW()-5)/3)+1,对接源_01入库吨位!$S$5:$S$304,0))),IF($D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7" s="122" t="str">
        <f t="shared" si="10"/>
        <v/>
      </c>
      <c r="H97" s="43"/>
      <c r="I97" s="107"/>
      <c r="J97" s="123" t="str">
        <f t="shared" si="11"/>
        <v/>
      </c>
      <c r="K97" s="76" t="str">
        <f t="shared" si="12"/>
        <v/>
      </c>
      <c r="L97" s="43"/>
      <c r="M97" s="7"/>
      <c r="N97" s="106"/>
      <c r="R97" s="3" t="str">
        <f t="shared" si="13"/>
        <v/>
      </c>
      <c r="S97" s="3">
        <f t="shared" si="14"/>
        <v>0</v>
      </c>
      <c r="T97" s="3">
        <f t="shared" si="15"/>
        <v>13</v>
      </c>
      <c r="U97" s="3" t="str">
        <f>IFERROR(INDEX($B$5:$B$904,MATCH(93,$T$5:$T$904,0)),"")</f>
        <v/>
      </c>
    </row>
    <row r="98" spans="1:21">
      <c r="A98" s="74" t="str">
        <f t="shared" si="8"/>
        <v/>
      </c>
      <c r="B98" s="75" t="str">
        <f>IFERROR(INDEX(对接源_01入库吨位!$B$5:$B$304,MATCH(INT((ROW()-5)/3)+1,对接源_01入库吨位!$S$5:$S$304,0)),"")</f>
        <v/>
      </c>
      <c r="C98" s="75" t="str">
        <f>IFERROR(INDEX(对接源_01入库吨位!$C$5:$C$304,MATCH(INT((ROW()-5)/3)+1,对接源_01入库吨位!$S$5:$S$304,0)),"")</f>
        <v/>
      </c>
      <c r="D98" s="89" t="str">
        <f t="shared" si="9"/>
        <v/>
      </c>
      <c r="E98" s="42" t="str">
        <f>IF($B98="","",IFERROR(IF($D98="周转打冷",N(INDEX(对接源_01入库吨位!$D$5:$D$304,MATCH(INT((ROW()-5)/3)+1,对接源_01入库吨位!$S$5:$S$304,0))),IF($D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8" s="76" t="str">
        <f>IF($B98="","",ROUND(IFERROR(IF($D98="周转打冷",N(INDEX(对接源_01入库吨位!$H$5:$H$304,MATCH(INT((ROW()-5)/3)+1,对接源_01入库吨位!$S$5:$S$304,0))),IF($D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8" s="122" t="str">
        <f t="shared" si="10"/>
        <v/>
      </c>
      <c r="H98" s="43"/>
      <c r="I98" s="107"/>
      <c r="J98" s="123" t="str">
        <f t="shared" si="11"/>
        <v/>
      </c>
      <c r="K98" s="76" t="str">
        <f t="shared" si="12"/>
        <v/>
      </c>
      <c r="L98" s="43"/>
      <c r="M98" s="7"/>
      <c r="N98" s="106"/>
      <c r="R98" s="3" t="str">
        <f t="shared" si="13"/>
        <v/>
      </c>
      <c r="S98" s="3">
        <f t="shared" si="14"/>
        <v>0</v>
      </c>
      <c r="T98" s="3">
        <f t="shared" si="15"/>
        <v>13</v>
      </c>
      <c r="U98" s="3" t="str">
        <f>IFERROR(INDEX($B$5:$B$904,MATCH(94,$T$5:$T$904,0)),"")</f>
        <v/>
      </c>
    </row>
    <row r="99" spans="1:21">
      <c r="A99" s="74" t="str">
        <f t="shared" si="8"/>
        <v/>
      </c>
      <c r="B99" s="75" t="str">
        <f>IFERROR(INDEX(对接源_01入库吨位!$B$5:$B$304,MATCH(INT((ROW()-5)/3)+1,对接源_01入库吨位!$S$5:$S$304,0)),"")</f>
        <v/>
      </c>
      <c r="C99" s="75" t="str">
        <f>IFERROR(INDEX(对接源_01入库吨位!$C$5:$C$304,MATCH(INT((ROW()-5)/3)+1,对接源_01入库吨位!$S$5:$S$304,0)),"")</f>
        <v/>
      </c>
      <c r="D99" s="89" t="str">
        <f t="shared" si="9"/>
        <v/>
      </c>
      <c r="E99" s="42" t="str">
        <f>IF($B99="","",IFERROR(IF($D99="周转打冷",N(INDEX(对接源_01入库吨位!$D$5:$D$304,MATCH(INT((ROW()-5)/3)+1,对接源_01入库吨位!$S$5:$S$304,0))),IF($D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9" s="76" t="str">
        <f>IF($B99="","",ROUND(IFERROR(IF($D99="周转打冷",N(INDEX(对接源_01入库吨位!$H$5:$H$304,MATCH(INT((ROW()-5)/3)+1,对接源_01入库吨位!$S$5:$S$304,0))),IF($D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9" s="122" t="str">
        <f t="shared" si="10"/>
        <v/>
      </c>
      <c r="H99" s="43"/>
      <c r="I99" s="107"/>
      <c r="J99" s="123" t="str">
        <f t="shared" si="11"/>
        <v/>
      </c>
      <c r="K99" s="76" t="str">
        <f t="shared" si="12"/>
        <v/>
      </c>
      <c r="L99" s="43"/>
      <c r="M99" s="7"/>
      <c r="N99" s="106"/>
      <c r="R99" s="3" t="str">
        <f t="shared" si="13"/>
        <v/>
      </c>
      <c r="S99" s="3">
        <f t="shared" si="14"/>
        <v>0</v>
      </c>
      <c r="T99" s="3">
        <f t="shared" si="15"/>
        <v>13</v>
      </c>
      <c r="U99" s="3" t="str">
        <f>IFERROR(INDEX($B$5:$B$904,MATCH(95,$T$5:$T$904,0)),"")</f>
        <v/>
      </c>
    </row>
    <row r="100" spans="1:21">
      <c r="A100" s="74" t="str">
        <f t="shared" si="8"/>
        <v/>
      </c>
      <c r="B100" s="75" t="str">
        <f>IFERROR(INDEX(对接源_01入库吨位!$B$5:$B$304,MATCH(INT((ROW()-5)/3)+1,对接源_01入库吨位!$S$5:$S$304,0)),"")</f>
        <v/>
      </c>
      <c r="C100" s="75" t="str">
        <f>IFERROR(INDEX(对接源_01入库吨位!$C$5:$C$304,MATCH(INT((ROW()-5)/3)+1,对接源_01入库吨位!$S$5:$S$304,0)),"")</f>
        <v/>
      </c>
      <c r="D100" s="89" t="str">
        <f t="shared" si="9"/>
        <v/>
      </c>
      <c r="E100" s="42" t="str">
        <f>IF($B100="","",IFERROR(IF($D100="周转打冷",N(INDEX(对接源_01入库吨位!$D$5:$D$304,MATCH(INT((ROW()-5)/3)+1,对接源_01入库吨位!$S$5:$S$304,0))),IF($D100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0" s="76" t="str">
        <f>IF($B100="","",ROUND(IFERROR(IF($D100="周转打冷",N(INDEX(对接源_01入库吨位!$H$5:$H$304,MATCH(INT((ROW()-5)/3)+1,对接源_01入库吨位!$S$5:$S$304,0))),IF($D100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0" s="122" t="str">
        <f t="shared" si="10"/>
        <v/>
      </c>
      <c r="H100" s="43"/>
      <c r="I100" s="107"/>
      <c r="J100" s="123" t="str">
        <f t="shared" si="11"/>
        <v/>
      </c>
      <c r="K100" s="76" t="str">
        <f t="shared" si="12"/>
        <v/>
      </c>
      <c r="L100" s="43"/>
      <c r="M100" s="7"/>
      <c r="N100" s="106"/>
      <c r="R100" s="3" t="str">
        <f t="shared" si="13"/>
        <v/>
      </c>
      <c r="S100" s="3">
        <f t="shared" si="14"/>
        <v>0</v>
      </c>
      <c r="T100" s="3">
        <f t="shared" si="15"/>
        <v>13</v>
      </c>
      <c r="U100" s="3" t="str">
        <f>IFERROR(INDEX($B$5:$B$904,MATCH(96,$T$5:$T$904,0)),"")</f>
        <v/>
      </c>
    </row>
    <row r="101" spans="1:21">
      <c r="A101" s="74" t="str">
        <f t="shared" si="8"/>
        <v/>
      </c>
      <c r="B101" s="75" t="str">
        <f>IFERROR(INDEX(对接源_01入库吨位!$B$5:$B$304,MATCH(INT((ROW()-5)/3)+1,对接源_01入库吨位!$S$5:$S$304,0)),"")</f>
        <v/>
      </c>
      <c r="C101" s="75" t="str">
        <f>IFERROR(INDEX(对接源_01入库吨位!$C$5:$C$304,MATCH(INT((ROW()-5)/3)+1,对接源_01入库吨位!$S$5:$S$304,0)),"")</f>
        <v/>
      </c>
      <c r="D101" s="89" t="str">
        <f t="shared" si="9"/>
        <v/>
      </c>
      <c r="E101" s="42" t="str">
        <f>IF($B101="","",IFERROR(IF($D101="周转打冷",N(INDEX(对接源_01入库吨位!$D$5:$D$304,MATCH(INT((ROW()-5)/3)+1,对接源_01入库吨位!$S$5:$S$304,0))),IF($D101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1" s="76" t="str">
        <f>IF($B101="","",ROUND(IFERROR(IF($D101="周转打冷",N(INDEX(对接源_01入库吨位!$H$5:$H$304,MATCH(INT((ROW()-5)/3)+1,对接源_01入库吨位!$S$5:$S$304,0))),IF($D101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1" s="122" t="str">
        <f t="shared" si="10"/>
        <v/>
      </c>
      <c r="H101" s="43"/>
      <c r="I101" s="107"/>
      <c r="J101" s="123" t="str">
        <f t="shared" si="11"/>
        <v/>
      </c>
      <c r="K101" s="76" t="str">
        <f t="shared" si="12"/>
        <v/>
      </c>
      <c r="L101" s="43"/>
      <c r="M101" s="7"/>
      <c r="N101" s="106"/>
      <c r="R101" s="3" t="str">
        <f t="shared" si="13"/>
        <v/>
      </c>
      <c r="S101" s="3">
        <f t="shared" si="14"/>
        <v>0</v>
      </c>
      <c r="T101" s="3">
        <f t="shared" si="15"/>
        <v>13</v>
      </c>
      <c r="U101" s="3" t="str">
        <f>IFERROR(INDEX($B$5:$B$904,MATCH(97,$T$5:$T$904,0)),"")</f>
        <v/>
      </c>
    </row>
    <row r="102" spans="1:21">
      <c r="A102" s="74" t="str">
        <f t="shared" si="8"/>
        <v/>
      </c>
      <c r="B102" s="75" t="str">
        <f>IFERROR(INDEX(对接源_01入库吨位!$B$5:$B$304,MATCH(INT((ROW()-5)/3)+1,对接源_01入库吨位!$S$5:$S$304,0)),"")</f>
        <v/>
      </c>
      <c r="C102" s="75" t="str">
        <f>IFERROR(INDEX(对接源_01入库吨位!$C$5:$C$304,MATCH(INT((ROW()-5)/3)+1,对接源_01入库吨位!$S$5:$S$304,0)),"")</f>
        <v/>
      </c>
      <c r="D102" s="89" t="str">
        <f t="shared" si="9"/>
        <v/>
      </c>
      <c r="E102" s="42" t="str">
        <f>IF($B102="","",IFERROR(IF($D102="周转打冷",N(INDEX(对接源_01入库吨位!$D$5:$D$304,MATCH(INT((ROW()-5)/3)+1,对接源_01入库吨位!$S$5:$S$304,0))),IF($D102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2" s="76" t="str">
        <f>IF($B102="","",ROUND(IFERROR(IF($D102="周转打冷",N(INDEX(对接源_01入库吨位!$H$5:$H$304,MATCH(INT((ROW()-5)/3)+1,对接源_01入库吨位!$S$5:$S$304,0))),IF($D102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2" s="122" t="str">
        <f t="shared" si="10"/>
        <v/>
      </c>
      <c r="H102" s="43"/>
      <c r="I102" s="107"/>
      <c r="J102" s="123" t="str">
        <f t="shared" si="11"/>
        <v/>
      </c>
      <c r="K102" s="76" t="str">
        <f t="shared" si="12"/>
        <v/>
      </c>
      <c r="L102" s="43"/>
      <c r="M102" s="7"/>
      <c r="N102" s="106"/>
      <c r="R102" s="3" t="str">
        <f t="shared" si="13"/>
        <v/>
      </c>
      <c r="S102" s="3">
        <f t="shared" si="14"/>
        <v>0</v>
      </c>
      <c r="T102" s="3">
        <f t="shared" si="15"/>
        <v>13</v>
      </c>
      <c r="U102" s="3" t="str">
        <f>IFERROR(INDEX($B$5:$B$904,MATCH(98,$T$5:$T$904,0)),"")</f>
        <v/>
      </c>
    </row>
    <row r="103" spans="1:21">
      <c r="A103" s="74" t="str">
        <f t="shared" si="8"/>
        <v/>
      </c>
      <c r="B103" s="75" t="str">
        <f>IFERROR(INDEX(对接源_01入库吨位!$B$5:$B$304,MATCH(INT((ROW()-5)/3)+1,对接源_01入库吨位!$S$5:$S$304,0)),"")</f>
        <v/>
      </c>
      <c r="C103" s="75" t="str">
        <f>IFERROR(INDEX(对接源_01入库吨位!$C$5:$C$304,MATCH(INT((ROW()-5)/3)+1,对接源_01入库吨位!$S$5:$S$304,0)),"")</f>
        <v/>
      </c>
      <c r="D103" s="89" t="str">
        <f t="shared" si="9"/>
        <v/>
      </c>
      <c r="E103" s="42" t="str">
        <f>IF($B103="","",IFERROR(IF($D103="周转打冷",N(INDEX(对接源_01入库吨位!$D$5:$D$304,MATCH(INT((ROW()-5)/3)+1,对接源_01入库吨位!$S$5:$S$304,0))),IF($D103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3" s="76" t="str">
        <f>IF($B103="","",ROUND(IFERROR(IF($D103="周转打冷",N(INDEX(对接源_01入库吨位!$H$5:$H$304,MATCH(INT((ROW()-5)/3)+1,对接源_01入库吨位!$S$5:$S$304,0))),IF($D103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3" s="122" t="str">
        <f t="shared" si="10"/>
        <v/>
      </c>
      <c r="H103" s="43"/>
      <c r="I103" s="107"/>
      <c r="J103" s="123" t="str">
        <f t="shared" si="11"/>
        <v/>
      </c>
      <c r="K103" s="76" t="str">
        <f t="shared" si="12"/>
        <v/>
      </c>
      <c r="L103" s="43"/>
      <c r="M103" s="7"/>
      <c r="N103" s="106"/>
      <c r="R103" s="3" t="str">
        <f t="shared" si="13"/>
        <v/>
      </c>
      <c r="S103" s="3">
        <f t="shared" si="14"/>
        <v>0</v>
      </c>
      <c r="T103" s="3">
        <f t="shared" si="15"/>
        <v>13</v>
      </c>
      <c r="U103" s="3" t="str">
        <f>IFERROR(INDEX($B$5:$B$904,MATCH(99,$T$5:$T$904,0)),"")</f>
        <v/>
      </c>
    </row>
    <row r="104" spans="1:21">
      <c r="A104" s="74" t="str">
        <f t="shared" si="8"/>
        <v/>
      </c>
      <c r="B104" s="75" t="str">
        <f>IFERROR(INDEX(对接源_01入库吨位!$B$5:$B$304,MATCH(INT((ROW()-5)/3)+1,对接源_01入库吨位!$S$5:$S$304,0)),"")</f>
        <v/>
      </c>
      <c r="C104" s="75" t="str">
        <f>IFERROR(INDEX(对接源_01入库吨位!$C$5:$C$304,MATCH(INT((ROW()-5)/3)+1,对接源_01入库吨位!$S$5:$S$304,0)),"")</f>
        <v/>
      </c>
      <c r="D104" s="89" t="str">
        <f t="shared" si="9"/>
        <v/>
      </c>
      <c r="E104" s="42" t="str">
        <f>IF($B104="","",IFERROR(IF($D104="周转打冷",N(INDEX(对接源_01入库吨位!$D$5:$D$304,MATCH(INT((ROW()-5)/3)+1,对接源_01入库吨位!$S$5:$S$304,0))),IF($D104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4" s="76" t="str">
        <f>IF($B104="","",ROUND(IFERROR(IF($D104="周转打冷",N(INDEX(对接源_01入库吨位!$H$5:$H$304,MATCH(INT((ROW()-5)/3)+1,对接源_01入库吨位!$S$5:$S$304,0))),IF($D104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4" s="122" t="str">
        <f t="shared" si="10"/>
        <v/>
      </c>
      <c r="H104" s="43"/>
      <c r="I104" s="107"/>
      <c r="J104" s="123" t="str">
        <f t="shared" si="11"/>
        <v/>
      </c>
      <c r="K104" s="76" t="str">
        <f t="shared" si="12"/>
        <v/>
      </c>
      <c r="L104" s="43"/>
      <c r="M104" s="7"/>
      <c r="N104" s="106"/>
      <c r="R104" s="3" t="str">
        <f t="shared" si="13"/>
        <v/>
      </c>
      <c r="S104" s="3">
        <f t="shared" si="14"/>
        <v>0</v>
      </c>
      <c r="T104" s="3">
        <f t="shared" si="15"/>
        <v>13</v>
      </c>
      <c r="U104" s="3" t="str">
        <f>IFERROR(INDEX($B$5:$B$904,MATCH(100,$T$5:$T$904,0)),"")</f>
        <v/>
      </c>
    </row>
    <row r="105" spans="1:21">
      <c r="A105" s="74" t="str">
        <f t="shared" si="8"/>
        <v/>
      </c>
      <c r="B105" s="75" t="str">
        <f>IFERROR(INDEX(对接源_01入库吨位!$B$5:$B$304,MATCH(INT((ROW()-5)/3)+1,对接源_01入库吨位!$S$5:$S$304,0)),"")</f>
        <v/>
      </c>
      <c r="C105" s="75" t="str">
        <f>IFERROR(INDEX(对接源_01入库吨位!$C$5:$C$304,MATCH(INT((ROW()-5)/3)+1,对接源_01入库吨位!$S$5:$S$304,0)),"")</f>
        <v/>
      </c>
      <c r="D105" s="89" t="str">
        <f t="shared" si="9"/>
        <v/>
      </c>
      <c r="E105" s="42" t="str">
        <f>IF($B105="","",IFERROR(IF($D105="周转打冷",N(INDEX(对接源_01入库吨位!$D$5:$D$304,MATCH(INT((ROW()-5)/3)+1,对接源_01入库吨位!$S$5:$S$304,0))),IF($D105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5" s="76" t="str">
        <f>IF($B105="","",ROUND(IFERROR(IF($D105="周转打冷",N(INDEX(对接源_01入库吨位!$H$5:$H$304,MATCH(INT((ROW()-5)/3)+1,对接源_01入库吨位!$S$5:$S$304,0))),IF($D105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5" s="122" t="str">
        <f t="shared" si="10"/>
        <v/>
      </c>
      <c r="H105" s="43"/>
      <c r="I105" s="107"/>
      <c r="J105" s="123" t="str">
        <f t="shared" si="11"/>
        <v/>
      </c>
      <c r="K105" s="76" t="str">
        <f t="shared" si="12"/>
        <v/>
      </c>
      <c r="L105" s="43"/>
      <c r="M105" s="7"/>
      <c r="N105" s="106"/>
      <c r="R105" s="3" t="str">
        <f t="shared" si="13"/>
        <v/>
      </c>
      <c r="S105" s="3">
        <f t="shared" si="14"/>
        <v>0</v>
      </c>
      <c r="T105" s="3">
        <f t="shared" si="15"/>
        <v>13</v>
      </c>
      <c r="U105" s="3" t="str">
        <f>IFERROR(INDEX($B$5:$B$904,MATCH(101,$T$5:$T$904,0)),"")</f>
        <v/>
      </c>
    </row>
    <row r="106" spans="1:21">
      <c r="A106" s="74" t="str">
        <f t="shared" si="8"/>
        <v/>
      </c>
      <c r="B106" s="75" t="str">
        <f>IFERROR(INDEX(对接源_01入库吨位!$B$5:$B$304,MATCH(INT((ROW()-5)/3)+1,对接源_01入库吨位!$S$5:$S$304,0)),"")</f>
        <v/>
      </c>
      <c r="C106" s="75" t="str">
        <f>IFERROR(INDEX(对接源_01入库吨位!$C$5:$C$304,MATCH(INT((ROW()-5)/3)+1,对接源_01入库吨位!$S$5:$S$304,0)),"")</f>
        <v/>
      </c>
      <c r="D106" s="89" t="str">
        <f t="shared" si="9"/>
        <v/>
      </c>
      <c r="E106" s="42" t="str">
        <f>IF($B106="","",IFERROR(IF($D106="周转打冷",N(INDEX(对接源_01入库吨位!$D$5:$D$304,MATCH(INT((ROW()-5)/3)+1,对接源_01入库吨位!$S$5:$S$304,0))),IF($D106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6" s="76" t="str">
        <f>IF($B106="","",ROUND(IFERROR(IF($D106="周转打冷",N(INDEX(对接源_01入库吨位!$H$5:$H$304,MATCH(INT((ROW()-5)/3)+1,对接源_01入库吨位!$S$5:$S$304,0))),IF($D106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6" s="122" t="str">
        <f t="shared" si="10"/>
        <v/>
      </c>
      <c r="H106" s="43"/>
      <c r="I106" s="107"/>
      <c r="J106" s="123" t="str">
        <f t="shared" si="11"/>
        <v/>
      </c>
      <c r="K106" s="76" t="str">
        <f t="shared" si="12"/>
        <v/>
      </c>
      <c r="L106" s="43"/>
      <c r="M106" s="7"/>
      <c r="N106" s="106"/>
      <c r="R106" s="3" t="str">
        <f t="shared" si="13"/>
        <v/>
      </c>
      <c r="S106" s="3">
        <f t="shared" si="14"/>
        <v>0</v>
      </c>
      <c r="T106" s="3">
        <f t="shared" si="15"/>
        <v>13</v>
      </c>
      <c r="U106" s="3" t="str">
        <f>IFERROR(INDEX($B$5:$B$904,MATCH(102,$T$5:$T$904,0)),"")</f>
        <v/>
      </c>
    </row>
    <row r="107" spans="1:21">
      <c r="A107" s="74" t="str">
        <f t="shared" si="8"/>
        <v/>
      </c>
      <c r="B107" s="75" t="str">
        <f>IFERROR(INDEX(对接源_01入库吨位!$B$5:$B$304,MATCH(INT((ROW()-5)/3)+1,对接源_01入库吨位!$S$5:$S$304,0)),"")</f>
        <v/>
      </c>
      <c r="C107" s="75" t="str">
        <f>IFERROR(INDEX(对接源_01入库吨位!$C$5:$C$304,MATCH(INT((ROW()-5)/3)+1,对接源_01入库吨位!$S$5:$S$304,0)),"")</f>
        <v/>
      </c>
      <c r="D107" s="89" t="str">
        <f t="shared" si="9"/>
        <v/>
      </c>
      <c r="E107" s="42" t="str">
        <f>IF($B107="","",IFERROR(IF($D107="周转打冷",N(INDEX(对接源_01入库吨位!$D$5:$D$304,MATCH(INT((ROW()-5)/3)+1,对接源_01入库吨位!$S$5:$S$304,0))),IF($D107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7" s="76" t="str">
        <f>IF($B107="","",ROUND(IFERROR(IF($D107="周转打冷",N(INDEX(对接源_01入库吨位!$H$5:$H$304,MATCH(INT((ROW()-5)/3)+1,对接源_01入库吨位!$S$5:$S$304,0))),IF($D107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7" s="122" t="str">
        <f t="shared" si="10"/>
        <v/>
      </c>
      <c r="H107" s="43"/>
      <c r="I107" s="107"/>
      <c r="J107" s="123" t="str">
        <f t="shared" si="11"/>
        <v/>
      </c>
      <c r="K107" s="76" t="str">
        <f t="shared" si="12"/>
        <v/>
      </c>
      <c r="L107" s="43"/>
      <c r="M107" s="7"/>
      <c r="N107" s="106"/>
      <c r="R107" s="3" t="str">
        <f t="shared" si="13"/>
        <v/>
      </c>
      <c r="S107" s="3">
        <f t="shared" si="14"/>
        <v>0</v>
      </c>
      <c r="T107" s="3">
        <f t="shared" si="15"/>
        <v>13</v>
      </c>
      <c r="U107" s="3" t="str">
        <f>IFERROR(INDEX($B$5:$B$904,MATCH(103,$T$5:$T$904,0)),"")</f>
        <v/>
      </c>
    </row>
    <row r="108" spans="1:21">
      <c r="A108" s="74" t="str">
        <f t="shared" si="8"/>
        <v/>
      </c>
      <c r="B108" s="75" t="str">
        <f>IFERROR(INDEX(对接源_01入库吨位!$B$5:$B$304,MATCH(INT((ROW()-5)/3)+1,对接源_01入库吨位!$S$5:$S$304,0)),"")</f>
        <v/>
      </c>
      <c r="C108" s="75" t="str">
        <f>IFERROR(INDEX(对接源_01入库吨位!$C$5:$C$304,MATCH(INT((ROW()-5)/3)+1,对接源_01入库吨位!$S$5:$S$304,0)),"")</f>
        <v/>
      </c>
      <c r="D108" s="89" t="str">
        <f t="shared" si="9"/>
        <v/>
      </c>
      <c r="E108" s="42" t="str">
        <f>IF($B108="","",IFERROR(IF($D108="周转打冷",N(INDEX(对接源_01入库吨位!$D$5:$D$304,MATCH(INT((ROW()-5)/3)+1,对接源_01入库吨位!$S$5:$S$304,0))),IF($D108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8" s="76" t="str">
        <f>IF($B108="","",ROUND(IFERROR(IF($D108="周转打冷",N(INDEX(对接源_01入库吨位!$H$5:$H$304,MATCH(INT((ROW()-5)/3)+1,对接源_01入库吨位!$S$5:$S$304,0))),IF($D108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8" s="122" t="str">
        <f t="shared" si="10"/>
        <v/>
      </c>
      <c r="H108" s="43"/>
      <c r="I108" s="107"/>
      <c r="J108" s="123" t="str">
        <f t="shared" si="11"/>
        <v/>
      </c>
      <c r="K108" s="76" t="str">
        <f t="shared" si="12"/>
        <v/>
      </c>
      <c r="L108" s="43"/>
      <c r="M108" s="7"/>
      <c r="N108" s="106"/>
      <c r="R108" s="3" t="str">
        <f t="shared" si="13"/>
        <v/>
      </c>
      <c r="S108" s="3">
        <f t="shared" si="14"/>
        <v>0</v>
      </c>
      <c r="T108" s="3">
        <f t="shared" si="15"/>
        <v>13</v>
      </c>
      <c r="U108" s="3" t="str">
        <f>IFERROR(INDEX($B$5:$B$904,MATCH(104,$T$5:$T$904,0)),"")</f>
        <v/>
      </c>
    </row>
    <row r="109" spans="1:21">
      <c r="A109" s="74" t="str">
        <f t="shared" si="8"/>
        <v/>
      </c>
      <c r="B109" s="75" t="str">
        <f>IFERROR(INDEX(对接源_01入库吨位!$B$5:$B$304,MATCH(INT((ROW()-5)/3)+1,对接源_01入库吨位!$S$5:$S$304,0)),"")</f>
        <v/>
      </c>
      <c r="C109" s="75" t="str">
        <f>IFERROR(INDEX(对接源_01入库吨位!$C$5:$C$304,MATCH(INT((ROW()-5)/3)+1,对接源_01入库吨位!$S$5:$S$304,0)),"")</f>
        <v/>
      </c>
      <c r="D109" s="89" t="str">
        <f t="shared" si="9"/>
        <v/>
      </c>
      <c r="E109" s="42" t="str">
        <f>IF($B109="","",IFERROR(IF($D109="周转打冷",N(INDEX(对接源_01入库吨位!$D$5:$D$304,MATCH(INT((ROW()-5)/3)+1,对接源_01入库吨位!$S$5:$S$304,0))),IF($D109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9" s="76" t="str">
        <f>IF($B109="","",ROUND(IFERROR(IF($D109="周转打冷",N(INDEX(对接源_01入库吨位!$H$5:$H$304,MATCH(INT((ROW()-5)/3)+1,对接源_01入库吨位!$S$5:$S$304,0))),IF($D109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9" s="122" t="str">
        <f t="shared" si="10"/>
        <v/>
      </c>
      <c r="H109" s="43"/>
      <c r="I109" s="107"/>
      <c r="J109" s="123" t="str">
        <f t="shared" si="11"/>
        <v/>
      </c>
      <c r="K109" s="76" t="str">
        <f t="shared" si="12"/>
        <v/>
      </c>
      <c r="L109" s="43"/>
      <c r="M109" s="7"/>
      <c r="N109" s="106"/>
      <c r="R109" s="3" t="str">
        <f t="shared" si="13"/>
        <v/>
      </c>
      <c r="S109" s="3">
        <f t="shared" si="14"/>
        <v>0</v>
      </c>
      <c r="T109" s="3">
        <f t="shared" si="15"/>
        <v>13</v>
      </c>
      <c r="U109" s="3" t="str">
        <f>IFERROR(INDEX($B$5:$B$904,MATCH(105,$T$5:$T$904,0)),"")</f>
        <v/>
      </c>
    </row>
    <row r="110" spans="1:21">
      <c r="A110" s="74" t="str">
        <f t="shared" si="8"/>
        <v/>
      </c>
      <c r="B110" s="75" t="str">
        <f>IFERROR(INDEX(对接源_01入库吨位!$B$5:$B$304,MATCH(INT((ROW()-5)/3)+1,对接源_01入库吨位!$S$5:$S$304,0)),"")</f>
        <v/>
      </c>
      <c r="C110" s="75" t="str">
        <f>IFERROR(INDEX(对接源_01入库吨位!$C$5:$C$304,MATCH(INT((ROW()-5)/3)+1,对接源_01入库吨位!$S$5:$S$304,0)),"")</f>
        <v/>
      </c>
      <c r="D110" s="89" t="str">
        <f t="shared" si="9"/>
        <v/>
      </c>
      <c r="E110" s="42" t="str">
        <f>IF($B110="","",IFERROR(IF($D110="周转打冷",N(INDEX(对接源_01入库吨位!$D$5:$D$304,MATCH(INT((ROW()-5)/3)+1,对接源_01入库吨位!$S$5:$S$304,0))),IF($D110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0" s="76" t="str">
        <f>IF($B110="","",ROUND(IFERROR(IF($D110="周转打冷",N(INDEX(对接源_01入库吨位!$H$5:$H$304,MATCH(INT((ROW()-5)/3)+1,对接源_01入库吨位!$S$5:$S$304,0))),IF($D110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0" s="122" t="str">
        <f t="shared" si="10"/>
        <v/>
      </c>
      <c r="H110" s="43"/>
      <c r="I110" s="107"/>
      <c r="J110" s="123" t="str">
        <f t="shared" si="11"/>
        <v/>
      </c>
      <c r="K110" s="76" t="str">
        <f t="shared" si="12"/>
        <v/>
      </c>
      <c r="L110" s="43"/>
      <c r="M110" s="7"/>
      <c r="N110" s="106"/>
      <c r="R110" s="3" t="str">
        <f t="shared" si="13"/>
        <v/>
      </c>
      <c r="S110" s="3">
        <f t="shared" si="14"/>
        <v>0</v>
      </c>
      <c r="T110" s="3">
        <f t="shared" si="15"/>
        <v>13</v>
      </c>
      <c r="U110" s="3" t="str">
        <f>IFERROR(INDEX($B$5:$B$904,MATCH(106,$T$5:$T$904,0)),"")</f>
        <v/>
      </c>
    </row>
    <row r="111" spans="1:21">
      <c r="A111" s="74" t="str">
        <f t="shared" si="8"/>
        <v/>
      </c>
      <c r="B111" s="75" t="str">
        <f>IFERROR(INDEX(对接源_01入库吨位!$B$5:$B$304,MATCH(INT((ROW()-5)/3)+1,对接源_01入库吨位!$S$5:$S$304,0)),"")</f>
        <v/>
      </c>
      <c r="C111" s="75" t="str">
        <f>IFERROR(INDEX(对接源_01入库吨位!$C$5:$C$304,MATCH(INT((ROW()-5)/3)+1,对接源_01入库吨位!$S$5:$S$304,0)),"")</f>
        <v/>
      </c>
      <c r="D111" s="89" t="str">
        <f t="shared" si="9"/>
        <v/>
      </c>
      <c r="E111" s="42" t="str">
        <f>IF($B111="","",IFERROR(IF($D111="周转打冷",N(INDEX(对接源_01入库吨位!$D$5:$D$304,MATCH(INT((ROW()-5)/3)+1,对接源_01入库吨位!$S$5:$S$304,0))),IF($D111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1" s="76" t="str">
        <f>IF($B111="","",ROUND(IFERROR(IF($D111="周转打冷",N(INDEX(对接源_01入库吨位!$H$5:$H$304,MATCH(INT((ROW()-5)/3)+1,对接源_01入库吨位!$S$5:$S$304,0))),IF($D111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1" s="122" t="str">
        <f t="shared" si="10"/>
        <v/>
      </c>
      <c r="H111" s="43"/>
      <c r="I111" s="107"/>
      <c r="J111" s="123" t="str">
        <f t="shared" si="11"/>
        <v/>
      </c>
      <c r="K111" s="76" t="str">
        <f t="shared" si="12"/>
        <v/>
      </c>
      <c r="L111" s="43"/>
      <c r="M111" s="7"/>
      <c r="N111" s="106"/>
      <c r="R111" s="3" t="str">
        <f t="shared" si="13"/>
        <v/>
      </c>
      <c r="S111" s="3">
        <f t="shared" si="14"/>
        <v>0</v>
      </c>
      <c r="T111" s="3">
        <f t="shared" si="15"/>
        <v>13</v>
      </c>
      <c r="U111" s="3" t="str">
        <f>IFERROR(INDEX($B$5:$B$904,MATCH(107,$T$5:$T$904,0)),"")</f>
        <v/>
      </c>
    </row>
    <row r="112" spans="1:21">
      <c r="A112" s="74" t="str">
        <f t="shared" si="8"/>
        <v/>
      </c>
      <c r="B112" s="75" t="str">
        <f>IFERROR(INDEX(对接源_01入库吨位!$B$5:$B$304,MATCH(INT((ROW()-5)/3)+1,对接源_01入库吨位!$S$5:$S$304,0)),"")</f>
        <v/>
      </c>
      <c r="C112" s="75" t="str">
        <f>IFERROR(INDEX(对接源_01入库吨位!$C$5:$C$304,MATCH(INT((ROW()-5)/3)+1,对接源_01入库吨位!$S$5:$S$304,0)),"")</f>
        <v/>
      </c>
      <c r="D112" s="89" t="str">
        <f t="shared" si="9"/>
        <v/>
      </c>
      <c r="E112" s="42" t="str">
        <f>IF($B112="","",IFERROR(IF($D112="周转打冷",N(INDEX(对接源_01入库吨位!$D$5:$D$304,MATCH(INT((ROW()-5)/3)+1,对接源_01入库吨位!$S$5:$S$304,0))),IF($D112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2" s="76" t="str">
        <f>IF($B112="","",ROUND(IFERROR(IF($D112="周转打冷",N(INDEX(对接源_01入库吨位!$H$5:$H$304,MATCH(INT((ROW()-5)/3)+1,对接源_01入库吨位!$S$5:$S$304,0))),IF($D112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2" s="122" t="str">
        <f t="shared" si="10"/>
        <v/>
      </c>
      <c r="H112" s="43"/>
      <c r="I112" s="107"/>
      <c r="J112" s="123" t="str">
        <f t="shared" si="11"/>
        <v/>
      </c>
      <c r="K112" s="76" t="str">
        <f t="shared" si="12"/>
        <v/>
      </c>
      <c r="L112" s="43"/>
      <c r="M112" s="7"/>
      <c r="N112" s="106"/>
      <c r="R112" s="3" t="str">
        <f t="shared" si="13"/>
        <v/>
      </c>
      <c r="S112" s="3">
        <f t="shared" si="14"/>
        <v>0</v>
      </c>
      <c r="T112" s="3">
        <f t="shared" si="15"/>
        <v>13</v>
      </c>
      <c r="U112" s="3" t="str">
        <f>IFERROR(INDEX($B$5:$B$904,MATCH(108,$T$5:$T$904,0)),"")</f>
        <v/>
      </c>
    </row>
    <row r="113" spans="1:21">
      <c r="A113" s="74" t="str">
        <f t="shared" si="8"/>
        <v/>
      </c>
      <c r="B113" s="75" t="str">
        <f>IFERROR(INDEX(对接源_01入库吨位!$B$5:$B$304,MATCH(INT((ROW()-5)/3)+1,对接源_01入库吨位!$S$5:$S$304,0)),"")</f>
        <v/>
      </c>
      <c r="C113" s="75" t="str">
        <f>IFERROR(INDEX(对接源_01入库吨位!$C$5:$C$304,MATCH(INT((ROW()-5)/3)+1,对接源_01入库吨位!$S$5:$S$304,0)),"")</f>
        <v/>
      </c>
      <c r="D113" s="89" t="str">
        <f t="shared" si="9"/>
        <v/>
      </c>
      <c r="E113" s="42" t="str">
        <f>IF($B113="","",IFERROR(IF($D113="周转打冷",N(INDEX(对接源_01入库吨位!$D$5:$D$304,MATCH(INT((ROW()-5)/3)+1,对接源_01入库吨位!$S$5:$S$304,0))),IF($D113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3" s="76" t="str">
        <f>IF($B113="","",ROUND(IFERROR(IF($D113="周转打冷",N(INDEX(对接源_01入库吨位!$H$5:$H$304,MATCH(INT((ROW()-5)/3)+1,对接源_01入库吨位!$S$5:$S$304,0))),IF($D113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3" s="122" t="str">
        <f t="shared" si="10"/>
        <v/>
      </c>
      <c r="H113" s="43"/>
      <c r="I113" s="107"/>
      <c r="J113" s="123" t="str">
        <f t="shared" si="11"/>
        <v/>
      </c>
      <c r="K113" s="76" t="str">
        <f t="shared" si="12"/>
        <v/>
      </c>
      <c r="L113" s="43"/>
      <c r="M113" s="7"/>
      <c r="N113" s="106"/>
      <c r="R113" s="3" t="str">
        <f t="shared" si="13"/>
        <v/>
      </c>
      <c r="S113" s="3">
        <f t="shared" si="14"/>
        <v>0</v>
      </c>
      <c r="T113" s="3">
        <f t="shared" si="15"/>
        <v>13</v>
      </c>
      <c r="U113" s="3" t="str">
        <f>IFERROR(INDEX($B$5:$B$904,MATCH(109,$T$5:$T$904,0)),"")</f>
        <v/>
      </c>
    </row>
    <row r="114" spans="1:21">
      <c r="A114" s="74" t="str">
        <f t="shared" si="8"/>
        <v/>
      </c>
      <c r="B114" s="75" t="str">
        <f>IFERROR(INDEX(对接源_01入库吨位!$B$5:$B$304,MATCH(INT((ROW()-5)/3)+1,对接源_01入库吨位!$S$5:$S$304,0)),"")</f>
        <v/>
      </c>
      <c r="C114" s="75" t="str">
        <f>IFERROR(INDEX(对接源_01入库吨位!$C$5:$C$304,MATCH(INT((ROW()-5)/3)+1,对接源_01入库吨位!$S$5:$S$304,0)),"")</f>
        <v/>
      </c>
      <c r="D114" s="89" t="str">
        <f t="shared" si="9"/>
        <v/>
      </c>
      <c r="E114" s="42" t="str">
        <f>IF($B114="","",IFERROR(IF($D114="周转打冷",N(INDEX(对接源_01入库吨位!$D$5:$D$304,MATCH(INT((ROW()-5)/3)+1,对接源_01入库吨位!$S$5:$S$304,0))),IF($D114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4" s="76" t="str">
        <f>IF($B114="","",ROUND(IFERROR(IF($D114="周转打冷",N(INDEX(对接源_01入库吨位!$H$5:$H$304,MATCH(INT((ROW()-5)/3)+1,对接源_01入库吨位!$S$5:$S$304,0))),IF($D114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4" s="122" t="str">
        <f t="shared" si="10"/>
        <v/>
      </c>
      <c r="H114" s="43"/>
      <c r="I114" s="107"/>
      <c r="J114" s="123" t="str">
        <f t="shared" si="11"/>
        <v/>
      </c>
      <c r="K114" s="76" t="str">
        <f t="shared" si="12"/>
        <v/>
      </c>
      <c r="L114" s="43"/>
      <c r="M114" s="7"/>
      <c r="N114" s="106"/>
      <c r="R114" s="3" t="str">
        <f t="shared" si="13"/>
        <v/>
      </c>
      <c r="S114" s="3">
        <f t="shared" si="14"/>
        <v>0</v>
      </c>
      <c r="T114" s="3">
        <f t="shared" si="15"/>
        <v>13</v>
      </c>
      <c r="U114" s="3" t="str">
        <f>IFERROR(INDEX($B$5:$B$904,MATCH(110,$T$5:$T$904,0)),"")</f>
        <v/>
      </c>
    </row>
    <row r="115" spans="1:21">
      <c r="A115" s="74" t="str">
        <f t="shared" si="8"/>
        <v/>
      </c>
      <c r="B115" s="75" t="str">
        <f>IFERROR(INDEX(对接源_01入库吨位!$B$5:$B$304,MATCH(INT((ROW()-5)/3)+1,对接源_01入库吨位!$S$5:$S$304,0)),"")</f>
        <v/>
      </c>
      <c r="C115" s="75" t="str">
        <f>IFERROR(INDEX(对接源_01入库吨位!$C$5:$C$304,MATCH(INT((ROW()-5)/3)+1,对接源_01入库吨位!$S$5:$S$304,0)),"")</f>
        <v/>
      </c>
      <c r="D115" s="89" t="str">
        <f t="shared" si="9"/>
        <v/>
      </c>
      <c r="E115" s="42" t="str">
        <f>IF($B115="","",IFERROR(IF($D115="周转打冷",N(INDEX(对接源_01入库吨位!$D$5:$D$304,MATCH(INT((ROW()-5)/3)+1,对接源_01入库吨位!$S$5:$S$304,0))),IF($D115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5" s="76" t="str">
        <f>IF($B115="","",ROUND(IFERROR(IF($D115="周转打冷",N(INDEX(对接源_01入库吨位!$H$5:$H$304,MATCH(INT((ROW()-5)/3)+1,对接源_01入库吨位!$S$5:$S$304,0))),IF($D115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5" s="122" t="str">
        <f t="shared" si="10"/>
        <v/>
      </c>
      <c r="H115" s="43"/>
      <c r="I115" s="107"/>
      <c r="J115" s="123" t="str">
        <f t="shared" si="11"/>
        <v/>
      </c>
      <c r="K115" s="76" t="str">
        <f t="shared" si="12"/>
        <v/>
      </c>
      <c r="L115" s="43"/>
      <c r="M115" s="7"/>
      <c r="N115" s="106"/>
      <c r="R115" s="3" t="str">
        <f t="shared" si="13"/>
        <v/>
      </c>
      <c r="S115" s="3">
        <f t="shared" si="14"/>
        <v>0</v>
      </c>
      <c r="T115" s="3">
        <f t="shared" si="15"/>
        <v>13</v>
      </c>
      <c r="U115" s="3" t="str">
        <f>IFERROR(INDEX($B$5:$B$904,MATCH(111,$T$5:$T$904,0)),"")</f>
        <v/>
      </c>
    </row>
    <row r="116" spans="1:21">
      <c r="A116" s="74" t="str">
        <f t="shared" si="8"/>
        <v/>
      </c>
      <c r="B116" s="75" t="str">
        <f>IFERROR(INDEX(对接源_01入库吨位!$B$5:$B$304,MATCH(INT((ROW()-5)/3)+1,对接源_01入库吨位!$S$5:$S$304,0)),"")</f>
        <v/>
      </c>
      <c r="C116" s="75" t="str">
        <f>IFERROR(INDEX(对接源_01入库吨位!$C$5:$C$304,MATCH(INT((ROW()-5)/3)+1,对接源_01入库吨位!$S$5:$S$304,0)),"")</f>
        <v/>
      </c>
      <c r="D116" s="89" t="str">
        <f t="shared" si="9"/>
        <v/>
      </c>
      <c r="E116" s="42" t="str">
        <f>IF($B116="","",IFERROR(IF($D116="周转打冷",N(INDEX(对接源_01入库吨位!$D$5:$D$304,MATCH(INT((ROW()-5)/3)+1,对接源_01入库吨位!$S$5:$S$304,0))),IF($D116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6" s="76" t="str">
        <f>IF($B116="","",ROUND(IFERROR(IF($D116="周转打冷",N(INDEX(对接源_01入库吨位!$H$5:$H$304,MATCH(INT((ROW()-5)/3)+1,对接源_01入库吨位!$S$5:$S$304,0))),IF($D116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6" s="122" t="str">
        <f t="shared" si="10"/>
        <v/>
      </c>
      <c r="H116" s="43"/>
      <c r="I116" s="107"/>
      <c r="J116" s="123" t="str">
        <f t="shared" si="11"/>
        <v/>
      </c>
      <c r="K116" s="76" t="str">
        <f t="shared" si="12"/>
        <v/>
      </c>
      <c r="L116" s="43"/>
      <c r="M116" s="7"/>
      <c r="N116" s="106"/>
      <c r="R116" s="3" t="str">
        <f t="shared" si="13"/>
        <v/>
      </c>
      <c r="S116" s="3">
        <f t="shared" si="14"/>
        <v>0</v>
      </c>
      <c r="T116" s="3">
        <f t="shared" si="15"/>
        <v>13</v>
      </c>
      <c r="U116" s="3" t="str">
        <f>IFERROR(INDEX($B$5:$B$904,MATCH(112,$T$5:$T$904,0)),"")</f>
        <v/>
      </c>
    </row>
    <row r="117" spans="1:21">
      <c r="A117" s="74" t="str">
        <f t="shared" si="8"/>
        <v/>
      </c>
      <c r="B117" s="75" t="str">
        <f>IFERROR(INDEX(对接源_01入库吨位!$B$5:$B$304,MATCH(INT((ROW()-5)/3)+1,对接源_01入库吨位!$S$5:$S$304,0)),"")</f>
        <v/>
      </c>
      <c r="C117" s="75" t="str">
        <f>IFERROR(INDEX(对接源_01入库吨位!$C$5:$C$304,MATCH(INT((ROW()-5)/3)+1,对接源_01入库吨位!$S$5:$S$304,0)),"")</f>
        <v/>
      </c>
      <c r="D117" s="89" t="str">
        <f t="shared" si="9"/>
        <v/>
      </c>
      <c r="E117" s="42" t="str">
        <f>IF($B117="","",IFERROR(IF($D117="周转打冷",N(INDEX(对接源_01入库吨位!$D$5:$D$304,MATCH(INT((ROW()-5)/3)+1,对接源_01入库吨位!$S$5:$S$304,0))),IF($D117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7" s="76" t="str">
        <f>IF($B117="","",ROUND(IFERROR(IF($D117="周转打冷",N(INDEX(对接源_01入库吨位!$H$5:$H$304,MATCH(INT((ROW()-5)/3)+1,对接源_01入库吨位!$S$5:$S$304,0))),IF($D117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7" s="122" t="str">
        <f t="shared" si="10"/>
        <v/>
      </c>
      <c r="H117" s="43"/>
      <c r="I117" s="107"/>
      <c r="J117" s="123" t="str">
        <f t="shared" si="11"/>
        <v/>
      </c>
      <c r="K117" s="76" t="str">
        <f t="shared" si="12"/>
        <v/>
      </c>
      <c r="L117" s="43"/>
      <c r="M117" s="7"/>
      <c r="N117" s="106"/>
      <c r="R117" s="3" t="str">
        <f t="shared" si="13"/>
        <v/>
      </c>
      <c r="S117" s="3">
        <f t="shared" si="14"/>
        <v>0</v>
      </c>
      <c r="T117" s="3">
        <f t="shared" si="15"/>
        <v>13</v>
      </c>
      <c r="U117" s="3" t="str">
        <f>IFERROR(INDEX($B$5:$B$904,MATCH(113,$T$5:$T$904,0)),"")</f>
        <v/>
      </c>
    </row>
    <row r="118" spans="1:21">
      <c r="A118" s="74" t="str">
        <f t="shared" si="8"/>
        <v/>
      </c>
      <c r="B118" s="75" t="str">
        <f>IFERROR(INDEX(对接源_01入库吨位!$B$5:$B$304,MATCH(INT((ROW()-5)/3)+1,对接源_01入库吨位!$S$5:$S$304,0)),"")</f>
        <v/>
      </c>
      <c r="C118" s="75" t="str">
        <f>IFERROR(INDEX(对接源_01入库吨位!$C$5:$C$304,MATCH(INT((ROW()-5)/3)+1,对接源_01入库吨位!$S$5:$S$304,0)),"")</f>
        <v/>
      </c>
      <c r="D118" s="89" t="str">
        <f t="shared" si="9"/>
        <v/>
      </c>
      <c r="E118" s="42" t="str">
        <f>IF($B118="","",IFERROR(IF($D118="周转打冷",N(INDEX(对接源_01入库吨位!$D$5:$D$304,MATCH(INT((ROW()-5)/3)+1,对接源_01入库吨位!$S$5:$S$304,0))),IF($D118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8" s="76" t="str">
        <f>IF($B118="","",ROUND(IFERROR(IF($D118="周转打冷",N(INDEX(对接源_01入库吨位!$H$5:$H$304,MATCH(INT((ROW()-5)/3)+1,对接源_01入库吨位!$S$5:$S$304,0))),IF($D118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8" s="122" t="str">
        <f t="shared" si="10"/>
        <v/>
      </c>
      <c r="H118" s="43"/>
      <c r="I118" s="107"/>
      <c r="J118" s="123" t="str">
        <f t="shared" si="11"/>
        <v/>
      </c>
      <c r="K118" s="76" t="str">
        <f t="shared" si="12"/>
        <v/>
      </c>
      <c r="L118" s="43"/>
      <c r="M118" s="7"/>
      <c r="N118" s="106"/>
      <c r="R118" s="3" t="str">
        <f t="shared" si="13"/>
        <v/>
      </c>
      <c r="S118" s="3">
        <f t="shared" si="14"/>
        <v>0</v>
      </c>
      <c r="T118" s="3">
        <f t="shared" si="15"/>
        <v>13</v>
      </c>
      <c r="U118" s="3" t="str">
        <f>IFERROR(INDEX($B$5:$B$904,MATCH(114,$T$5:$T$904,0)),"")</f>
        <v/>
      </c>
    </row>
    <row r="119" spans="1:21">
      <c r="A119" s="74" t="str">
        <f t="shared" si="8"/>
        <v/>
      </c>
      <c r="B119" s="75" t="str">
        <f>IFERROR(INDEX(对接源_01入库吨位!$B$5:$B$304,MATCH(INT((ROW()-5)/3)+1,对接源_01入库吨位!$S$5:$S$304,0)),"")</f>
        <v/>
      </c>
      <c r="C119" s="75" t="str">
        <f>IFERROR(INDEX(对接源_01入库吨位!$C$5:$C$304,MATCH(INT((ROW()-5)/3)+1,对接源_01入库吨位!$S$5:$S$304,0)),"")</f>
        <v/>
      </c>
      <c r="D119" s="89" t="str">
        <f t="shared" si="9"/>
        <v/>
      </c>
      <c r="E119" s="42" t="str">
        <f>IF($B119="","",IFERROR(IF($D119="周转打冷",N(INDEX(对接源_01入库吨位!$D$5:$D$304,MATCH(INT((ROW()-5)/3)+1,对接源_01入库吨位!$S$5:$S$304,0))),IF($D119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9" s="76" t="str">
        <f>IF($B119="","",ROUND(IFERROR(IF($D119="周转打冷",N(INDEX(对接源_01入库吨位!$H$5:$H$304,MATCH(INT((ROW()-5)/3)+1,对接源_01入库吨位!$S$5:$S$304,0))),IF($D119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9" s="122" t="str">
        <f t="shared" si="10"/>
        <v/>
      </c>
      <c r="H119" s="43"/>
      <c r="I119" s="107"/>
      <c r="J119" s="123" t="str">
        <f t="shared" si="11"/>
        <v/>
      </c>
      <c r="K119" s="76" t="str">
        <f t="shared" si="12"/>
        <v/>
      </c>
      <c r="L119" s="43"/>
      <c r="M119" s="7"/>
      <c r="N119" s="106"/>
      <c r="R119" s="3" t="str">
        <f t="shared" si="13"/>
        <v/>
      </c>
      <c r="S119" s="3">
        <f t="shared" si="14"/>
        <v>0</v>
      </c>
      <c r="T119" s="3">
        <f t="shared" si="15"/>
        <v>13</v>
      </c>
      <c r="U119" s="3" t="str">
        <f>IFERROR(INDEX($B$5:$B$904,MATCH(115,$T$5:$T$904,0)),"")</f>
        <v/>
      </c>
    </row>
    <row r="120" spans="1:21">
      <c r="A120" s="74" t="str">
        <f t="shared" si="8"/>
        <v/>
      </c>
      <c r="B120" s="75" t="str">
        <f>IFERROR(INDEX(对接源_01入库吨位!$B$5:$B$304,MATCH(INT((ROW()-5)/3)+1,对接源_01入库吨位!$S$5:$S$304,0)),"")</f>
        <v/>
      </c>
      <c r="C120" s="75" t="str">
        <f>IFERROR(INDEX(对接源_01入库吨位!$C$5:$C$304,MATCH(INT((ROW()-5)/3)+1,对接源_01入库吨位!$S$5:$S$304,0)),"")</f>
        <v/>
      </c>
      <c r="D120" s="89" t="str">
        <f t="shared" si="9"/>
        <v/>
      </c>
      <c r="E120" s="42" t="str">
        <f>IF($B120="","",IFERROR(IF($D120="周转打冷",N(INDEX(对接源_01入库吨位!$D$5:$D$304,MATCH(INT((ROW()-5)/3)+1,对接源_01入库吨位!$S$5:$S$304,0))),IF($D120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0" s="76" t="str">
        <f>IF($B120="","",ROUND(IFERROR(IF($D120="周转打冷",N(INDEX(对接源_01入库吨位!$H$5:$H$304,MATCH(INT((ROW()-5)/3)+1,对接源_01入库吨位!$S$5:$S$304,0))),IF($D120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0" s="122" t="str">
        <f t="shared" si="10"/>
        <v/>
      </c>
      <c r="H120" s="43"/>
      <c r="I120" s="107"/>
      <c r="J120" s="123" t="str">
        <f t="shared" si="11"/>
        <v/>
      </c>
      <c r="K120" s="76" t="str">
        <f t="shared" si="12"/>
        <v/>
      </c>
      <c r="L120" s="43"/>
      <c r="M120" s="7"/>
      <c r="N120" s="106"/>
      <c r="R120" s="3" t="str">
        <f t="shared" si="13"/>
        <v/>
      </c>
      <c r="S120" s="3">
        <f t="shared" si="14"/>
        <v>0</v>
      </c>
      <c r="T120" s="3">
        <f t="shared" si="15"/>
        <v>13</v>
      </c>
      <c r="U120" s="3" t="str">
        <f>IFERROR(INDEX($B$5:$B$904,MATCH(116,$T$5:$T$904,0)),"")</f>
        <v/>
      </c>
    </row>
    <row r="121" spans="1:21">
      <c r="A121" s="74" t="str">
        <f t="shared" si="8"/>
        <v/>
      </c>
      <c r="B121" s="75" t="str">
        <f>IFERROR(INDEX(对接源_01入库吨位!$B$5:$B$304,MATCH(INT((ROW()-5)/3)+1,对接源_01入库吨位!$S$5:$S$304,0)),"")</f>
        <v/>
      </c>
      <c r="C121" s="75" t="str">
        <f>IFERROR(INDEX(对接源_01入库吨位!$C$5:$C$304,MATCH(INT((ROW()-5)/3)+1,对接源_01入库吨位!$S$5:$S$304,0)),"")</f>
        <v/>
      </c>
      <c r="D121" s="89" t="str">
        <f t="shared" si="9"/>
        <v/>
      </c>
      <c r="E121" s="42" t="str">
        <f>IF($B121="","",IFERROR(IF($D121="周转打冷",N(INDEX(对接源_01入库吨位!$D$5:$D$304,MATCH(INT((ROW()-5)/3)+1,对接源_01入库吨位!$S$5:$S$304,0))),IF($D121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1" s="76" t="str">
        <f>IF($B121="","",ROUND(IFERROR(IF($D121="周转打冷",N(INDEX(对接源_01入库吨位!$H$5:$H$304,MATCH(INT((ROW()-5)/3)+1,对接源_01入库吨位!$S$5:$S$304,0))),IF($D121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1" s="122" t="str">
        <f t="shared" si="10"/>
        <v/>
      </c>
      <c r="H121" s="43"/>
      <c r="I121" s="107"/>
      <c r="J121" s="123" t="str">
        <f t="shared" si="11"/>
        <v/>
      </c>
      <c r="K121" s="76" t="str">
        <f t="shared" si="12"/>
        <v/>
      </c>
      <c r="L121" s="43"/>
      <c r="M121" s="7"/>
      <c r="N121" s="106"/>
      <c r="R121" s="3" t="str">
        <f t="shared" si="13"/>
        <v/>
      </c>
      <c r="S121" s="3">
        <f t="shared" si="14"/>
        <v>0</v>
      </c>
      <c r="T121" s="3">
        <f t="shared" si="15"/>
        <v>13</v>
      </c>
      <c r="U121" s="3" t="str">
        <f>IFERROR(INDEX($B$5:$B$904,MATCH(117,$T$5:$T$904,0)),"")</f>
        <v/>
      </c>
    </row>
    <row r="122" spans="1:21">
      <c r="A122" s="74" t="str">
        <f t="shared" si="8"/>
        <v/>
      </c>
      <c r="B122" s="75" t="str">
        <f>IFERROR(INDEX(对接源_01入库吨位!$B$5:$B$304,MATCH(INT((ROW()-5)/3)+1,对接源_01入库吨位!$S$5:$S$304,0)),"")</f>
        <v/>
      </c>
      <c r="C122" s="75" t="str">
        <f>IFERROR(INDEX(对接源_01入库吨位!$C$5:$C$304,MATCH(INT((ROW()-5)/3)+1,对接源_01入库吨位!$S$5:$S$304,0)),"")</f>
        <v/>
      </c>
      <c r="D122" s="89" t="str">
        <f t="shared" si="9"/>
        <v/>
      </c>
      <c r="E122" s="42" t="str">
        <f>IF($B122="","",IFERROR(IF($D122="周转打冷",N(INDEX(对接源_01入库吨位!$D$5:$D$304,MATCH(INT((ROW()-5)/3)+1,对接源_01入库吨位!$S$5:$S$304,0))),IF($D122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2" s="76" t="str">
        <f>IF($B122="","",ROUND(IFERROR(IF($D122="周转打冷",N(INDEX(对接源_01入库吨位!$H$5:$H$304,MATCH(INT((ROW()-5)/3)+1,对接源_01入库吨位!$S$5:$S$304,0))),IF($D122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2" s="122" t="str">
        <f t="shared" si="10"/>
        <v/>
      </c>
      <c r="H122" s="43"/>
      <c r="I122" s="107"/>
      <c r="J122" s="123" t="str">
        <f t="shared" si="11"/>
        <v/>
      </c>
      <c r="K122" s="76" t="str">
        <f t="shared" si="12"/>
        <v/>
      </c>
      <c r="L122" s="43"/>
      <c r="M122" s="7"/>
      <c r="N122" s="106"/>
      <c r="R122" s="3" t="str">
        <f t="shared" si="13"/>
        <v/>
      </c>
      <c r="S122" s="3">
        <f t="shared" si="14"/>
        <v>0</v>
      </c>
      <c r="T122" s="3">
        <f t="shared" si="15"/>
        <v>13</v>
      </c>
      <c r="U122" s="3" t="str">
        <f>IFERROR(INDEX($B$5:$B$904,MATCH(118,$T$5:$T$904,0)),"")</f>
        <v/>
      </c>
    </row>
    <row r="123" spans="1:21">
      <c r="A123" s="74" t="str">
        <f t="shared" si="8"/>
        <v/>
      </c>
      <c r="B123" s="75" t="str">
        <f>IFERROR(INDEX(对接源_01入库吨位!$B$5:$B$304,MATCH(INT((ROW()-5)/3)+1,对接源_01入库吨位!$S$5:$S$304,0)),"")</f>
        <v/>
      </c>
      <c r="C123" s="75" t="str">
        <f>IFERROR(INDEX(对接源_01入库吨位!$C$5:$C$304,MATCH(INT((ROW()-5)/3)+1,对接源_01入库吨位!$S$5:$S$304,0)),"")</f>
        <v/>
      </c>
      <c r="D123" s="89" t="str">
        <f t="shared" si="9"/>
        <v/>
      </c>
      <c r="E123" s="42" t="str">
        <f>IF($B123="","",IFERROR(IF($D123="周转打冷",N(INDEX(对接源_01入库吨位!$D$5:$D$304,MATCH(INT((ROW()-5)/3)+1,对接源_01入库吨位!$S$5:$S$304,0))),IF($D123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3" s="76" t="str">
        <f>IF($B123="","",ROUND(IFERROR(IF($D123="周转打冷",N(INDEX(对接源_01入库吨位!$H$5:$H$304,MATCH(INT((ROW()-5)/3)+1,对接源_01入库吨位!$S$5:$S$304,0))),IF($D123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3" s="122" t="str">
        <f t="shared" si="10"/>
        <v/>
      </c>
      <c r="H123" s="43"/>
      <c r="I123" s="107"/>
      <c r="J123" s="123" t="str">
        <f t="shared" si="11"/>
        <v/>
      </c>
      <c r="K123" s="76" t="str">
        <f t="shared" si="12"/>
        <v/>
      </c>
      <c r="L123" s="43"/>
      <c r="M123" s="7"/>
      <c r="N123" s="106"/>
      <c r="R123" s="3" t="str">
        <f t="shared" si="13"/>
        <v/>
      </c>
      <c r="S123" s="3">
        <f t="shared" si="14"/>
        <v>0</v>
      </c>
      <c r="T123" s="3">
        <f t="shared" si="15"/>
        <v>13</v>
      </c>
      <c r="U123" s="3" t="str">
        <f>IFERROR(INDEX($B$5:$B$904,MATCH(119,$T$5:$T$904,0)),"")</f>
        <v/>
      </c>
    </row>
    <row r="124" spans="1:21">
      <c r="A124" s="74" t="str">
        <f t="shared" si="8"/>
        <v/>
      </c>
      <c r="B124" s="75" t="str">
        <f>IFERROR(INDEX(对接源_01入库吨位!$B$5:$B$304,MATCH(INT((ROW()-5)/3)+1,对接源_01入库吨位!$S$5:$S$304,0)),"")</f>
        <v/>
      </c>
      <c r="C124" s="75" t="str">
        <f>IFERROR(INDEX(对接源_01入库吨位!$C$5:$C$304,MATCH(INT((ROW()-5)/3)+1,对接源_01入库吨位!$S$5:$S$304,0)),"")</f>
        <v/>
      </c>
      <c r="D124" s="89" t="str">
        <f t="shared" si="9"/>
        <v/>
      </c>
      <c r="E124" s="42" t="str">
        <f>IF($B124="","",IFERROR(IF($D124="周转打冷",N(INDEX(对接源_01入库吨位!$D$5:$D$304,MATCH(INT((ROW()-5)/3)+1,对接源_01入库吨位!$S$5:$S$304,0))),IF($D124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4" s="76" t="str">
        <f>IF($B124="","",ROUND(IFERROR(IF($D124="周转打冷",N(INDEX(对接源_01入库吨位!$H$5:$H$304,MATCH(INT((ROW()-5)/3)+1,对接源_01入库吨位!$S$5:$S$304,0))),IF($D124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4" s="122" t="str">
        <f t="shared" si="10"/>
        <v/>
      </c>
      <c r="H124" s="43"/>
      <c r="I124" s="107"/>
      <c r="J124" s="123" t="str">
        <f t="shared" si="11"/>
        <v/>
      </c>
      <c r="K124" s="76" t="str">
        <f t="shared" si="12"/>
        <v/>
      </c>
      <c r="L124" s="43"/>
      <c r="M124" s="7"/>
      <c r="N124" s="106"/>
      <c r="R124" s="3" t="str">
        <f t="shared" si="13"/>
        <v/>
      </c>
      <c r="S124" s="3">
        <f t="shared" si="14"/>
        <v>0</v>
      </c>
      <c r="T124" s="3">
        <f t="shared" si="15"/>
        <v>13</v>
      </c>
      <c r="U124" s="3" t="str">
        <f>IFERROR(INDEX($B$5:$B$904,MATCH(120,$T$5:$T$904,0)),"")</f>
        <v/>
      </c>
    </row>
    <row r="125" spans="1:21">
      <c r="A125" s="74" t="str">
        <f t="shared" si="8"/>
        <v/>
      </c>
      <c r="B125" s="75" t="str">
        <f>IFERROR(INDEX(对接源_01入库吨位!$B$5:$B$304,MATCH(INT((ROW()-5)/3)+1,对接源_01入库吨位!$S$5:$S$304,0)),"")</f>
        <v/>
      </c>
      <c r="C125" s="75" t="str">
        <f>IFERROR(INDEX(对接源_01入库吨位!$C$5:$C$304,MATCH(INT((ROW()-5)/3)+1,对接源_01入库吨位!$S$5:$S$304,0)),"")</f>
        <v/>
      </c>
      <c r="D125" s="89" t="str">
        <f t="shared" si="9"/>
        <v/>
      </c>
      <c r="E125" s="42" t="str">
        <f>IF($B125="","",IFERROR(IF($D125="周转打冷",N(INDEX(对接源_01入库吨位!$D$5:$D$304,MATCH(INT((ROW()-5)/3)+1,对接源_01入库吨位!$S$5:$S$304,0))),IF($D125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5" s="76" t="str">
        <f>IF($B125="","",ROUND(IFERROR(IF($D125="周转打冷",N(INDEX(对接源_01入库吨位!$H$5:$H$304,MATCH(INT((ROW()-5)/3)+1,对接源_01入库吨位!$S$5:$S$304,0))),IF($D125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5" s="122" t="str">
        <f t="shared" si="10"/>
        <v/>
      </c>
      <c r="H125" s="43"/>
      <c r="I125" s="107"/>
      <c r="J125" s="123" t="str">
        <f t="shared" si="11"/>
        <v/>
      </c>
      <c r="K125" s="76" t="str">
        <f t="shared" si="12"/>
        <v/>
      </c>
      <c r="L125" s="43"/>
      <c r="M125" s="7"/>
      <c r="N125" s="106"/>
      <c r="R125" s="3" t="str">
        <f t="shared" si="13"/>
        <v/>
      </c>
      <c r="S125" s="3">
        <f t="shared" si="14"/>
        <v>0</v>
      </c>
      <c r="T125" s="3">
        <f t="shared" si="15"/>
        <v>13</v>
      </c>
    </row>
    <row r="126" spans="1:21">
      <c r="A126" s="74" t="str">
        <f t="shared" si="8"/>
        <v/>
      </c>
      <c r="B126" s="75" t="str">
        <f>IFERROR(INDEX(对接源_01入库吨位!$B$5:$B$304,MATCH(INT((ROW()-5)/3)+1,对接源_01入库吨位!$S$5:$S$304,0)),"")</f>
        <v/>
      </c>
      <c r="C126" s="75" t="str">
        <f>IFERROR(INDEX(对接源_01入库吨位!$C$5:$C$304,MATCH(INT((ROW()-5)/3)+1,对接源_01入库吨位!$S$5:$S$304,0)),"")</f>
        <v/>
      </c>
      <c r="D126" s="89" t="str">
        <f t="shared" si="9"/>
        <v/>
      </c>
      <c r="E126" s="42" t="str">
        <f>IF($B126="","",IFERROR(IF($D126="周转打冷",N(INDEX(对接源_01入库吨位!$D$5:$D$304,MATCH(INT((ROW()-5)/3)+1,对接源_01入库吨位!$S$5:$S$304,0))),IF($D126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6" s="76" t="str">
        <f>IF($B126="","",ROUND(IFERROR(IF($D126="周转打冷",N(INDEX(对接源_01入库吨位!$H$5:$H$304,MATCH(INT((ROW()-5)/3)+1,对接源_01入库吨位!$S$5:$S$304,0))),IF($D126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6" s="122" t="str">
        <f t="shared" si="10"/>
        <v/>
      </c>
      <c r="H126" s="43"/>
      <c r="I126" s="107"/>
      <c r="J126" s="123" t="str">
        <f t="shared" si="11"/>
        <v/>
      </c>
      <c r="K126" s="76" t="str">
        <f t="shared" si="12"/>
        <v/>
      </c>
      <c r="L126" s="43"/>
      <c r="M126" s="7"/>
      <c r="N126" s="106"/>
      <c r="R126" s="3" t="str">
        <f t="shared" si="13"/>
        <v/>
      </c>
      <c r="S126" s="3">
        <f t="shared" si="14"/>
        <v>0</v>
      </c>
      <c r="T126" s="3">
        <f t="shared" si="15"/>
        <v>13</v>
      </c>
    </row>
    <row r="127" spans="1:21">
      <c r="A127" s="74" t="str">
        <f t="shared" si="8"/>
        <v/>
      </c>
      <c r="B127" s="75" t="str">
        <f>IFERROR(INDEX(对接源_01入库吨位!$B$5:$B$304,MATCH(INT((ROW()-5)/3)+1,对接源_01入库吨位!$S$5:$S$304,0)),"")</f>
        <v/>
      </c>
      <c r="C127" s="75" t="str">
        <f>IFERROR(INDEX(对接源_01入库吨位!$C$5:$C$304,MATCH(INT((ROW()-5)/3)+1,对接源_01入库吨位!$S$5:$S$304,0)),"")</f>
        <v/>
      </c>
      <c r="D127" s="89" t="str">
        <f t="shared" si="9"/>
        <v/>
      </c>
      <c r="E127" s="42" t="str">
        <f>IF($B127="","",IFERROR(IF($D127="周转打冷",N(INDEX(对接源_01入库吨位!$D$5:$D$304,MATCH(INT((ROW()-5)/3)+1,对接源_01入库吨位!$S$5:$S$304,0))),IF($D127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7" s="76" t="str">
        <f>IF($B127="","",ROUND(IFERROR(IF($D127="周转打冷",N(INDEX(对接源_01入库吨位!$H$5:$H$304,MATCH(INT((ROW()-5)/3)+1,对接源_01入库吨位!$S$5:$S$304,0))),IF($D127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7" s="122" t="str">
        <f t="shared" si="10"/>
        <v/>
      </c>
      <c r="H127" s="43"/>
      <c r="I127" s="107"/>
      <c r="J127" s="123" t="str">
        <f t="shared" si="11"/>
        <v/>
      </c>
      <c r="K127" s="76" t="str">
        <f t="shared" si="12"/>
        <v/>
      </c>
      <c r="L127" s="43"/>
      <c r="M127" s="7"/>
      <c r="N127" s="106"/>
      <c r="R127" s="3" t="str">
        <f t="shared" si="13"/>
        <v/>
      </c>
      <c r="S127" s="3">
        <f t="shared" si="14"/>
        <v>0</v>
      </c>
      <c r="T127" s="3">
        <f t="shared" si="15"/>
        <v>13</v>
      </c>
    </row>
    <row r="128" spans="1:21">
      <c r="A128" s="74" t="str">
        <f t="shared" si="8"/>
        <v/>
      </c>
      <c r="B128" s="75" t="str">
        <f>IFERROR(INDEX(对接源_01入库吨位!$B$5:$B$304,MATCH(INT((ROW()-5)/3)+1,对接源_01入库吨位!$S$5:$S$304,0)),"")</f>
        <v/>
      </c>
      <c r="C128" s="75" t="str">
        <f>IFERROR(INDEX(对接源_01入库吨位!$C$5:$C$304,MATCH(INT((ROW()-5)/3)+1,对接源_01入库吨位!$S$5:$S$304,0)),"")</f>
        <v/>
      </c>
      <c r="D128" s="89" t="str">
        <f t="shared" si="9"/>
        <v/>
      </c>
      <c r="E128" s="42" t="str">
        <f>IF($B128="","",IFERROR(IF($D128="周转打冷",N(INDEX(对接源_01入库吨位!$D$5:$D$304,MATCH(INT((ROW()-5)/3)+1,对接源_01入库吨位!$S$5:$S$304,0))),IF($D128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8" s="76" t="str">
        <f>IF($B128="","",ROUND(IFERROR(IF($D128="周转打冷",N(INDEX(对接源_01入库吨位!$H$5:$H$304,MATCH(INT((ROW()-5)/3)+1,对接源_01入库吨位!$S$5:$S$304,0))),IF($D128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8" s="122" t="str">
        <f t="shared" si="10"/>
        <v/>
      </c>
      <c r="H128" s="43"/>
      <c r="I128" s="107"/>
      <c r="J128" s="123" t="str">
        <f t="shared" si="11"/>
        <v/>
      </c>
      <c r="K128" s="76" t="str">
        <f t="shared" si="12"/>
        <v/>
      </c>
      <c r="L128" s="43"/>
      <c r="M128" s="7"/>
      <c r="N128" s="106"/>
      <c r="R128" s="3" t="str">
        <f t="shared" si="13"/>
        <v/>
      </c>
      <c r="S128" s="3">
        <f t="shared" si="14"/>
        <v>0</v>
      </c>
      <c r="T128" s="3">
        <f t="shared" si="15"/>
        <v>13</v>
      </c>
    </row>
    <row r="129" spans="1:20">
      <c r="A129" s="74" t="str">
        <f t="shared" si="8"/>
        <v/>
      </c>
      <c r="B129" s="75" t="str">
        <f>IFERROR(INDEX(对接源_01入库吨位!$B$5:$B$304,MATCH(INT((ROW()-5)/3)+1,对接源_01入库吨位!$S$5:$S$304,0)),"")</f>
        <v/>
      </c>
      <c r="C129" s="75" t="str">
        <f>IFERROR(INDEX(对接源_01入库吨位!$C$5:$C$304,MATCH(INT((ROW()-5)/3)+1,对接源_01入库吨位!$S$5:$S$304,0)),"")</f>
        <v/>
      </c>
      <c r="D129" s="89" t="str">
        <f t="shared" si="9"/>
        <v/>
      </c>
      <c r="E129" s="42" t="str">
        <f>IF($B129="","",IFERROR(IF($D129="周转打冷",N(INDEX(对接源_01入库吨位!$D$5:$D$304,MATCH(INT((ROW()-5)/3)+1,对接源_01入库吨位!$S$5:$S$304,0))),IF($D129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9" s="76" t="str">
        <f>IF($B129="","",ROUND(IFERROR(IF($D129="周转打冷",N(INDEX(对接源_01入库吨位!$H$5:$H$304,MATCH(INT((ROW()-5)/3)+1,对接源_01入库吨位!$S$5:$S$304,0))),IF($D129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9" s="122" t="str">
        <f t="shared" si="10"/>
        <v/>
      </c>
      <c r="H129" s="43"/>
      <c r="I129" s="107"/>
      <c r="J129" s="123" t="str">
        <f t="shared" si="11"/>
        <v/>
      </c>
      <c r="K129" s="76" t="str">
        <f t="shared" si="12"/>
        <v/>
      </c>
      <c r="L129" s="43"/>
      <c r="M129" s="7"/>
      <c r="N129" s="106"/>
      <c r="R129" s="3" t="str">
        <f t="shared" si="13"/>
        <v/>
      </c>
      <c r="S129" s="3">
        <f t="shared" si="14"/>
        <v>0</v>
      </c>
      <c r="T129" s="3">
        <f t="shared" si="15"/>
        <v>13</v>
      </c>
    </row>
    <row r="130" spans="1:20">
      <c r="A130" s="74" t="str">
        <f t="shared" si="8"/>
        <v/>
      </c>
      <c r="B130" s="75" t="str">
        <f>IFERROR(INDEX(对接源_01入库吨位!$B$5:$B$304,MATCH(INT((ROW()-5)/3)+1,对接源_01入库吨位!$S$5:$S$304,0)),"")</f>
        <v/>
      </c>
      <c r="C130" s="75" t="str">
        <f>IFERROR(INDEX(对接源_01入库吨位!$C$5:$C$304,MATCH(INT((ROW()-5)/3)+1,对接源_01入库吨位!$S$5:$S$304,0)),"")</f>
        <v/>
      </c>
      <c r="D130" s="89" t="str">
        <f t="shared" si="9"/>
        <v/>
      </c>
      <c r="E130" s="42" t="str">
        <f>IF($B130="","",IFERROR(IF($D130="周转打冷",N(INDEX(对接源_01入库吨位!$D$5:$D$304,MATCH(INT((ROW()-5)/3)+1,对接源_01入库吨位!$S$5:$S$304,0))),IF($D130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0" s="76" t="str">
        <f>IF($B130="","",ROUND(IFERROR(IF($D130="周转打冷",N(INDEX(对接源_01入库吨位!$H$5:$H$304,MATCH(INT((ROW()-5)/3)+1,对接源_01入库吨位!$S$5:$S$304,0))),IF($D130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0" s="122" t="str">
        <f t="shared" si="10"/>
        <v/>
      </c>
      <c r="H130" s="43"/>
      <c r="I130" s="107"/>
      <c r="J130" s="123" t="str">
        <f t="shared" si="11"/>
        <v/>
      </c>
      <c r="K130" s="76" t="str">
        <f t="shared" si="12"/>
        <v/>
      </c>
      <c r="L130" s="43"/>
      <c r="M130" s="7"/>
      <c r="N130" s="106"/>
      <c r="R130" s="3" t="str">
        <f t="shared" si="13"/>
        <v/>
      </c>
      <c r="S130" s="3">
        <f t="shared" si="14"/>
        <v>0</v>
      </c>
      <c r="T130" s="3">
        <f t="shared" si="15"/>
        <v>13</v>
      </c>
    </row>
    <row r="131" spans="1:20">
      <c r="A131" s="74" t="str">
        <f t="shared" si="8"/>
        <v/>
      </c>
      <c r="B131" s="75" t="str">
        <f>IFERROR(INDEX(对接源_01入库吨位!$B$5:$B$304,MATCH(INT((ROW()-5)/3)+1,对接源_01入库吨位!$S$5:$S$304,0)),"")</f>
        <v/>
      </c>
      <c r="C131" s="75" t="str">
        <f>IFERROR(INDEX(对接源_01入库吨位!$C$5:$C$304,MATCH(INT((ROW()-5)/3)+1,对接源_01入库吨位!$S$5:$S$304,0)),"")</f>
        <v/>
      </c>
      <c r="D131" s="89" t="str">
        <f t="shared" si="9"/>
        <v/>
      </c>
      <c r="E131" s="42" t="str">
        <f>IF($B131="","",IFERROR(IF($D131="周转打冷",N(INDEX(对接源_01入库吨位!$D$5:$D$304,MATCH(INT((ROW()-5)/3)+1,对接源_01入库吨位!$S$5:$S$304,0))),IF($D131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1" s="76" t="str">
        <f>IF($B131="","",ROUND(IFERROR(IF($D131="周转打冷",N(INDEX(对接源_01入库吨位!$H$5:$H$304,MATCH(INT((ROW()-5)/3)+1,对接源_01入库吨位!$S$5:$S$304,0))),IF($D131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1" s="122" t="str">
        <f t="shared" si="10"/>
        <v/>
      </c>
      <c r="H131" s="43"/>
      <c r="I131" s="107"/>
      <c r="J131" s="123" t="str">
        <f t="shared" si="11"/>
        <v/>
      </c>
      <c r="K131" s="76" t="str">
        <f t="shared" si="12"/>
        <v/>
      </c>
      <c r="L131" s="43"/>
      <c r="M131" s="7"/>
      <c r="N131" s="106"/>
      <c r="R131" s="3" t="str">
        <f t="shared" si="13"/>
        <v/>
      </c>
      <c r="S131" s="3">
        <f t="shared" si="14"/>
        <v>0</v>
      </c>
      <c r="T131" s="3">
        <f t="shared" si="15"/>
        <v>13</v>
      </c>
    </row>
    <row r="132" spans="1:20">
      <c r="A132" s="74" t="str">
        <f t="shared" si="8"/>
        <v/>
      </c>
      <c r="B132" s="75" t="str">
        <f>IFERROR(INDEX(对接源_01入库吨位!$B$5:$B$304,MATCH(INT((ROW()-5)/3)+1,对接源_01入库吨位!$S$5:$S$304,0)),"")</f>
        <v/>
      </c>
      <c r="C132" s="75" t="str">
        <f>IFERROR(INDEX(对接源_01入库吨位!$C$5:$C$304,MATCH(INT((ROW()-5)/3)+1,对接源_01入库吨位!$S$5:$S$304,0)),"")</f>
        <v/>
      </c>
      <c r="D132" s="89" t="str">
        <f t="shared" si="9"/>
        <v/>
      </c>
      <c r="E132" s="42" t="str">
        <f>IF($B132="","",IFERROR(IF($D132="周转打冷",N(INDEX(对接源_01入库吨位!$D$5:$D$304,MATCH(INT((ROW()-5)/3)+1,对接源_01入库吨位!$S$5:$S$304,0))),IF($D132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2" s="76" t="str">
        <f>IF($B132="","",ROUND(IFERROR(IF($D132="周转打冷",N(INDEX(对接源_01入库吨位!$H$5:$H$304,MATCH(INT((ROW()-5)/3)+1,对接源_01入库吨位!$S$5:$S$304,0))),IF($D132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2" s="122" t="str">
        <f t="shared" si="10"/>
        <v/>
      </c>
      <c r="H132" s="43"/>
      <c r="I132" s="107"/>
      <c r="J132" s="123" t="str">
        <f t="shared" si="11"/>
        <v/>
      </c>
      <c r="K132" s="76" t="str">
        <f t="shared" si="12"/>
        <v/>
      </c>
      <c r="L132" s="43"/>
      <c r="M132" s="7"/>
      <c r="N132" s="106"/>
      <c r="R132" s="3" t="str">
        <f t="shared" si="13"/>
        <v/>
      </c>
      <c r="S132" s="3">
        <f t="shared" si="14"/>
        <v>0</v>
      </c>
      <c r="T132" s="3">
        <f t="shared" si="15"/>
        <v>13</v>
      </c>
    </row>
    <row r="133" spans="1:20">
      <c r="A133" s="74" t="str">
        <f t="shared" ref="A133:A196" si="16">IF($B133="","",ROW()-4)</f>
        <v/>
      </c>
      <c r="B133" s="75" t="str">
        <f>IFERROR(INDEX(对接源_01入库吨位!$B$5:$B$304,MATCH(INT((ROW()-5)/3)+1,对接源_01入库吨位!$S$5:$S$304,0)),"")</f>
        <v/>
      </c>
      <c r="C133" s="75" t="str">
        <f>IFERROR(INDEX(对接源_01入库吨位!$C$5:$C$304,MATCH(INT((ROW()-5)/3)+1,对接源_01入库吨位!$S$5:$S$304,0)),"")</f>
        <v/>
      </c>
      <c r="D133" s="89" t="str">
        <f t="shared" ref="D133:D196" si="17">IF($B133="","",IF(MOD(ROW()-5,3)=0,"周转打冷",IF(MOD(ROW()-5,3)=1,"仓储加工","装卸费")))</f>
        <v/>
      </c>
      <c r="E133" s="42" t="str">
        <f>IF($B133="","",IFERROR(IF($D133="周转打冷",N(INDEX(对接源_01入库吨位!$D$5:$D$304,MATCH(INT((ROW()-5)/3)+1,对接源_01入库吨位!$S$5:$S$304,0))),IF($D133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3" s="76" t="str">
        <f>IF($B133="","",ROUND(IFERROR(IF($D133="周转打冷",N(INDEX(对接源_01入库吨位!$H$5:$H$304,MATCH(INT((ROW()-5)/3)+1,对接源_01入库吨位!$S$5:$S$304,0))),IF($D133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3" s="122" t="str">
        <f t="shared" ref="G133:G196" si="18">IF($B133="","",ROUND(N($F133)/1000,3))</f>
        <v/>
      </c>
      <c r="H133" s="43"/>
      <c r="I133" s="107"/>
      <c r="J133" s="123" t="str">
        <f t="shared" ref="J133:J196" si="19">IF($B133="","",IF($H133="按筐数×单价",N($E133),IF($H133="按总重KG×单价",N($F133),IF($H133="按吨位×单价",N($G133),0))))</f>
        <v/>
      </c>
      <c r="K133" s="76" t="str">
        <f t="shared" ref="K133:K196" si="20">IF($B133="","",ROUND(N($J133)*N($I133),2))</f>
        <v/>
      </c>
      <c r="L133" s="43"/>
      <c r="M133" s="7"/>
      <c r="N133" s="106"/>
      <c r="R133" s="3" t="str">
        <f t="shared" ref="R133:R196" si="21">IF($B133="","",$B133)</f>
        <v/>
      </c>
      <c r="S133" s="3">
        <f t="shared" ref="S133:S196" si="22">IF($R133="",0,IF(MATCH($R133,$R$5:$R$904,0)=ROW()-4,1,0))</f>
        <v>0</v>
      </c>
      <c r="T133" s="3">
        <f t="shared" ref="T133:T196" si="23">N(T132)+$S133</f>
        <v>13</v>
      </c>
    </row>
    <row r="134" spans="1:20">
      <c r="A134" s="74" t="str">
        <f t="shared" si="16"/>
        <v/>
      </c>
      <c r="B134" s="75" t="str">
        <f>IFERROR(INDEX(对接源_01入库吨位!$B$5:$B$304,MATCH(INT((ROW()-5)/3)+1,对接源_01入库吨位!$S$5:$S$304,0)),"")</f>
        <v/>
      </c>
      <c r="C134" s="75" t="str">
        <f>IFERROR(INDEX(对接源_01入库吨位!$C$5:$C$304,MATCH(INT((ROW()-5)/3)+1,对接源_01入库吨位!$S$5:$S$304,0)),"")</f>
        <v/>
      </c>
      <c r="D134" s="89" t="str">
        <f t="shared" si="17"/>
        <v/>
      </c>
      <c r="E134" s="42" t="str">
        <f>IF($B134="","",IFERROR(IF($D134="周转打冷",N(INDEX(对接源_01入库吨位!$D$5:$D$304,MATCH(INT((ROW()-5)/3)+1,对接源_01入库吨位!$S$5:$S$304,0))),IF($D134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4" s="76" t="str">
        <f>IF($B134="","",ROUND(IFERROR(IF($D134="周转打冷",N(INDEX(对接源_01入库吨位!$H$5:$H$304,MATCH(INT((ROW()-5)/3)+1,对接源_01入库吨位!$S$5:$S$304,0))),IF($D134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4" s="122" t="str">
        <f t="shared" si="18"/>
        <v/>
      </c>
      <c r="H134" s="43"/>
      <c r="I134" s="107"/>
      <c r="J134" s="123" t="str">
        <f t="shared" si="19"/>
        <v/>
      </c>
      <c r="K134" s="76" t="str">
        <f t="shared" si="20"/>
        <v/>
      </c>
      <c r="L134" s="43"/>
      <c r="M134" s="7"/>
      <c r="N134" s="106"/>
      <c r="R134" s="3" t="str">
        <f t="shared" si="21"/>
        <v/>
      </c>
      <c r="S134" s="3">
        <f t="shared" si="22"/>
        <v>0</v>
      </c>
      <c r="T134" s="3">
        <f t="shared" si="23"/>
        <v>13</v>
      </c>
    </row>
    <row r="135" spans="1:20">
      <c r="A135" s="74" t="str">
        <f t="shared" si="16"/>
        <v/>
      </c>
      <c r="B135" s="75" t="str">
        <f>IFERROR(INDEX(对接源_01入库吨位!$B$5:$B$304,MATCH(INT((ROW()-5)/3)+1,对接源_01入库吨位!$S$5:$S$304,0)),"")</f>
        <v/>
      </c>
      <c r="C135" s="75" t="str">
        <f>IFERROR(INDEX(对接源_01入库吨位!$C$5:$C$304,MATCH(INT((ROW()-5)/3)+1,对接源_01入库吨位!$S$5:$S$304,0)),"")</f>
        <v/>
      </c>
      <c r="D135" s="89" t="str">
        <f t="shared" si="17"/>
        <v/>
      </c>
      <c r="E135" s="42" t="str">
        <f>IF($B135="","",IFERROR(IF($D135="周转打冷",N(INDEX(对接源_01入库吨位!$D$5:$D$304,MATCH(INT((ROW()-5)/3)+1,对接源_01入库吨位!$S$5:$S$304,0))),IF($D135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5" s="76" t="str">
        <f>IF($B135="","",ROUND(IFERROR(IF($D135="周转打冷",N(INDEX(对接源_01入库吨位!$H$5:$H$304,MATCH(INT((ROW()-5)/3)+1,对接源_01入库吨位!$S$5:$S$304,0))),IF($D135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5" s="122" t="str">
        <f t="shared" si="18"/>
        <v/>
      </c>
      <c r="H135" s="43"/>
      <c r="I135" s="107"/>
      <c r="J135" s="123" t="str">
        <f t="shared" si="19"/>
        <v/>
      </c>
      <c r="K135" s="76" t="str">
        <f t="shared" si="20"/>
        <v/>
      </c>
      <c r="L135" s="43"/>
      <c r="M135" s="7"/>
      <c r="N135" s="106"/>
      <c r="R135" s="3" t="str">
        <f t="shared" si="21"/>
        <v/>
      </c>
      <c r="S135" s="3">
        <f t="shared" si="22"/>
        <v>0</v>
      </c>
      <c r="T135" s="3">
        <f t="shared" si="23"/>
        <v>13</v>
      </c>
    </row>
    <row r="136" spans="1:20">
      <c r="A136" s="74" t="str">
        <f t="shared" si="16"/>
        <v/>
      </c>
      <c r="B136" s="75" t="str">
        <f>IFERROR(INDEX(对接源_01入库吨位!$B$5:$B$304,MATCH(INT((ROW()-5)/3)+1,对接源_01入库吨位!$S$5:$S$304,0)),"")</f>
        <v/>
      </c>
      <c r="C136" s="75" t="str">
        <f>IFERROR(INDEX(对接源_01入库吨位!$C$5:$C$304,MATCH(INT((ROW()-5)/3)+1,对接源_01入库吨位!$S$5:$S$304,0)),"")</f>
        <v/>
      </c>
      <c r="D136" s="89" t="str">
        <f t="shared" si="17"/>
        <v/>
      </c>
      <c r="E136" s="42" t="str">
        <f>IF($B136="","",IFERROR(IF($D136="周转打冷",N(INDEX(对接源_01入库吨位!$D$5:$D$304,MATCH(INT((ROW()-5)/3)+1,对接源_01入库吨位!$S$5:$S$304,0))),IF($D136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6" s="76" t="str">
        <f>IF($B136="","",ROUND(IFERROR(IF($D136="周转打冷",N(INDEX(对接源_01入库吨位!$H$5:$H$304,MATCH(INT((ROW()-5)/3)+1,对接源_01入库吨位!$S$5:$S$304,0))),IF($D136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6" s="122" t="str">
        <f t="shared" si="18"/>
        <v/>
      </c>
      <c r="H136" s="43"/>
      <c r="I136" s="107"/>
      <c r="J136" s="123" t="str">
        <f t="shared" si="19"/>
        <v/>
      </c>
      <c r="K136" s="76" t="str">
        <f t="shared" si="20"/>
        <v/>
      </c>
      <c r="L136" s="43"/>
      <c r="M136" s="7"/>
      <c r="N136" s="106"/>
      <c r="R136" s="3" t="str">
        <f t="shared" si="21"/>
        <v/>
      </c>
      <c r="S136" s="3">
        <f t="shared" si="22"/>
        <v>0</v>
      </c>
      <c r="T136" s="3">
        <f t="shared" si="23"/>
        <v>13</v>
      </c>
    </row>
    <row r="137" spans="1:20">
      <c r="A137" s="74" t="str">
        <f t="shared" si="16"/>
        <v/>
      </c>
      <c r="B137" s="75" t="str">
        <f>IFERROR(INDEX(对接源_01入库吨位!$B$5:$B$304,MATCH(INT((ROW()-5)/3)+1,对接源_01入库吨位!$S$5:$S$304,0)),"")</f>
        <v/>
      </c>
      <c r="C137" s="75" t="str">
        <f>IFERROR(INDEX(对接源_01入库吨位!$C$5:$C$304,MATCH(INT((ROW()-5)/3)+1,对接源_01入库吨位!$S$5:$S$304,0)),"")</f>
        <v/>
      </c>
      <c r="D137" s="89" t="str">
        <f t="shared" si="17"/>
        <v/>
      </c>
      <c r="E137" s="42" t="str">
        <f>IF($B137="","",IFERROR(IF($D137="周转打冷",N(INDEX(对接源_01入库吨位!$D$5:$D$304,MATCH(INT((ROW()-5)/3)+1,对接源_01入库吨位!$S$5:$S$304,0))),IF($D137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7" s="76" t="str">
        <f>IF($B137="","",ROUND(IFERROR(IF($D137="周转打冷",N(INDEX(对接源_01入库吨位!$H$5:$H$304,MATCH(INT((ROW()-5)/3)+1,对接源_01入库吨位!$S$5:$S$304,0))),IF($D137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7" s="122" t="str">
        <f t="shared" si="18"/>
        <v/>
      </c>
      <c r="H137" s="43"/>
      <c r="I137" s="107"/>
      <c r="J137" s="123" t="str">
        <f t="shared" si="19"/>
        <v/>
      </c>
      <c r="K137" s="76" t="str">
        <f t="shared" si="20"/>
        <v/>
      </c>
      <c r="L137" s="43"/>
      <c r="M137" s="7"/>
      <c r="N137" s="106"/>
      <c r="R137" s="3" t="str">
        <f t="shared" si="21"/>
        <v/>
      </c>
      <c r="S137" s="3">
        <f t="shared" si="22"/>
        <v>0</v>
      </c>
      <c r="T137" s="3">
        <f t="shared" si="23"/>
        <v>13</v>
      </c>
    </row>
    <row r="138" spans="1:20">
      <c r="A138" s="74" t="str">
        <f t="shared" si="16"/>
        <v/>
      </c>
      <c r="B138" s="75" t="str">
        <f>IFERROR(INDEX(对接源_01入库吨位!$B$5:$B$304,MATCH(INT((ROW()-5)/3)+1,对接源_01入库吨位!$S$5:$S$304,0)),"")</f>
        <v/>
      </c>
      <c r="C138" s="75" t="str">
        <f>IFERROR(INDEX(对接源_01入库吨位!$C$5:$C$304,MATCH(INT((ROW()-5)/3)+1,对接源_01入库吨位!$S$5:$S$304,0)),"")</f>
        <v/>
      </c>
      <c r="D138" s="89" t="str">
        <f t="shared" si="17"/>
        <v/>
      </c>
      <c r="E138" s="42" t="str">
        <f>IF($B138="","",IFERROR(IF($D138="周转打冷",N(INDEX(对接源_01入库吨位!$D$5:$D$304,MATCH(INT((ROW()-5)/3)+1,对接源_01入库吨位!$S$5:$S$304,0))),IF($D138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8" s="76" t="str">
        <f>IF($B138="","",ROUND(IFERROR(IF($D138="周转打冷",N(INDEX(对接源_01入库吨位!$H$5:$H$304,MATCH(INT((ROW()-5)/3)+1,对接源_01入库吨位!$S$5:$S$304,0))),IF($D138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8" s="122" t="str">
        <f t="shared" si="18"/>
        <v/>
      </c>
      <c r="H138" s="43"/>
      <c r="I138" s="107"/>
      <c r="J138" s="123" t="str">
        <f t="shared" si="19"/>
        <v/>
      </c>
      <c r="K138" s="76" t="str">
        <f t="shared" si="20"/>
        <v/>
      </c>
      <c r="L138" s="43"/>
      <c r="M138" s="7"/>
      <c r="N138" s="106"/>
      <c r="R138" s="3" t="str">
        <f t="shared" si="21"/>
        <v/>
      </c>
      <c r="S138" s="3">
        <f t="shared" si="22"/>
        <v>0</v>
      </c>
      <c r="T138" s="3">
        <f t="shared" si="23"/>
        <v>13</v>
      </c>
    </row>
    <row r="139" spans="1:20">
      <c r="A139" s="74" t="str">
        <f t="shared" si="16"/>
        <v/>
      </c>
      <c r="B139" s="75" t="str">
        <f>IFERROR(INDEX(对接源_01入库吨位!$B$5:$B$304,MATCH(INT((ROW()-5)/3)+1,对接源_01入库吨位!$S$5:$S$304,0)),"")</f>
        <v/>
      </c>
      <c r="C139" s="75" t="str">
        <f>IFERROR(INDEX(对接源_01入库吨位!$C$5:$C$304,MATCH(INT((ROW()-5)/3)+1,对接源_01入库吨位!$S$5:$S$304,0)),"")</f>
        <v/>
      </c>
      <c r="D139" s="89" t="str">
        <f t="shared" si="17"/>
        <v/>
      </c>
      <c r="E139" s="42" t="str">
        <f>IF($B139="","",IFERROR(IF($D139="周转打冷",N(INDEX(对接源_01入库吨位!$D$5:$D$304,MATCH(INT((ROW()-5)/3)+1,对接源_01入库吨位!$S$5:$S$304,0))),IF($D139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9" s="76" t="str">
        <f>IF($B139="","",ROUND(IFERROR(IF($D139="周转打冷",N(INDEX(对接源_01入库吨位!$H$5:$H$304,MATCH(INT((ROW()-5)/3)+1,对接源_01入库吨位!$S$5:$S$304,0))),IF($D139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9" s="122" t="str">
        <f t="shared" si="18"/>
        <v/>
      </c>
      <c r="H139" s="43"/>
      <c r="I139" s="107"/>
      <c r="J139" s="123" t="str">
        <f t="shared" si="19"/>
        <v/>
      </c>
      <c r="K139" s="76" t="str">
        <f t="shared" si="20"/>
        <v/>
      </c>
      <c r="L139" s="43"/>
      <c r="M139" s="7"/>
      <c r="N139" s="106"/>
      <c r="R139" s="3" t="str">
        <f t="shared" si="21"/>
        <v/>
      </c>
      <c r="S139" s="3">
        <f t="shared" si="22"/>
        <v>0</v>
      </c>
      <c r="T139" s="3">
        <f t="shared" si="23"/>
        <v>13</v>
      </c>
    </row>
    <row r="140" spans="1:20">
      <c r="A140" s="74" t="str">
        <f t="shared" si="16"/>
        <v/>
      </c>
      <c r="B140" s="75" t="str">
        <f>IFERROR(INDEX(对接源_01入库吨位!$B$5:$B$304,MATCH(INT((ROW()-5)/3)+1,对接源_01入库吨位!$S$5:$S$304,0)),"")</f>
        <v/>
      </c>
      <c r="C140" s="75" t="str">
        <f>IFERROR(INDEX(对接源_01入库吨位!$C$5:$C$304,MATCH(INT((ROW()-5)/3)+1,对接源_01入库吨位!$S$5:$S$304,0)),"")</f>
        <v/>
      </c>
      <c r="D140" s="89" t="str">
        <f t="shared" si="17"/>
        <v/>
      </c>
      <c r="E140" s="42" t="str">
        <f>IF($B140="","",IFERROR(IF($D140="周转打冷",N(INDEX(对接源_01入库吨位!$D$5:$D$304,MATCH(INT((ROW()-5)/3)+1,对接源_01入库吨位!$S$5:$S$304,0))),IF($D140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0" s="76" t="str">
        <f>IF($B140="","",ROUND(IFERROR(IF($D140="周转打冷",N(INDEX(对接源_01入库吨位!$H$5:$H$304,MATCH(INT((ROW()-5)/3)+1,对接源_01入库吨位!$S$5:$S$304,0))),IF($D140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0" s="122" t="str">
        <f t="shared" si="18"/>
        <v/>
      </c>
      <c r="H140" s="43"/>
      <c r="I140" s="107"/>
      <c r="J140" s="123" t="str">
        <f t="shared" si="19"/>
        <v/>
      </c>
      <c r="K140" s="76" t="str">
        <f t="shared" si="20"/>
        <v/>
      </c>
      <c r="L140" s="43"/>
      <c r="M140" s="7"/>
      <c r="N140" s="106"/>
      <c r="R140" s="3" t="str">
        <f t="shared" si="21"/>
        <v/>
      </c>
      <c r="S140" s="3">
        <f t="shared" si="22"/>
        <v>0</v>
      </c>
      <c r="T140" s="3">
        <f t="shared" si="23"/>
        <v>13</v>
      </c>
    </row>
    <row r="141" spans="1:20">
      <c r="A141" s="74" t="str">
        <f t="shared" si="16"/>
        <v/>
      </c>
      <c r="B141" s="75" t="str">
        <f>IFERROR(INDEX(对接源_01入库吨位!$B$5:$B$304,MATCH(INT((ROW()-5)/3)+1,对接源_01入库吨位!$S$5:$S$304,0)),"")</f>
        <v/>
      </c>
      <c r="C141" s="75" t="str">
        <f>IFERROR(INDEX(对接源_01入库吨位!$C$5:$C$304,MATCH(INT((ROW()-5)/3)+1,对接源_01入库吨位!$S$5:$S$304,0)),"")</f>
        <v/>
      </c>
      <c r="D141" s="89" t="str">
        <f t="shared" si="17"/>
        <v/>
      </c>
      <c r="E141" s="42" t="str">
        <f>IF($B141="","",IFERROR(IF($D141="周转打冷",N(INDEX(对接源_01入库吨位!$D$5:$D$304,MATCH(INT((ROW()-5)/3)+1,对接源_01入库吨位!$S$5:$S$304,0))),IF($D141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1" s="76" t="str">
        <f>IF($B141="","",ROUND(IFERROR(IF($D141="周转打冷",N(INDEX(对接源_01入库吨位!$H$5:$H$304,MATCH(INT((ROW()-5)/3)+1,对接源_01入库吨位!$S$5:$S$304,0))),IF($D141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1" s="122" t="str">
        <f t="shared" si="18"/>
        <v/>
      </c>
      <c r="H141" s="43"/>
      <c r="I141" s="107"/>
      <c r="J141" s="123" t="str">
        <f t="shared" si="19"/>
        <v/>
      </c>
      <c r="K141" s="76" t="str">
        <f t="shared" si="20"/>
        <v/>
      </c>
      <c r="L141" s="43"/>
      <c r="M141" s="7"/>
      <c r="N141" s="106"/>
      <c r="R141" s="3" t="str">
        <f t="shared" si="21"/>
        <v/>
      </c>
      <c r="S141" s="3">
        <f t="shared" si="22"/>
        <v>0</v>
      </c>
      <c r="T141" s="3">
        <f t="shared" si="23"/>
        <v>13</v>
      </c>
    </row>
    <row r="142" spans="1:20">
      <c r="A142" s="74" t="str">
        <f t="shared" si="16"/>
        <v/>
      </c>
      <c r="B142" s="75" t="str">
        <f>IFERROR(INDEX(对接源_01入库吨位!$B$5:$B$304,MATCH(INT((ROW()-5)/3)+1,对接源_01入库吨位!$S$5:$S$304,0)),"")</f>
        <v/>
      </c>
      <c r="C142" s="75" t="str">
        <f>IFERROR(INDEX(对接源_01入库吨位!$C$5:$C$304,MATCH(INT((ROW()-5)/3)+1,对接源_01入库吨位!$S$5:$S$304,0)),"")</f>
        <v/>
      </c>
      <c r="D142" s="89" t="str">
        <f t="shared" si="17"/>
        <v/>
      </c>
      <c r="E142" s="42" t="str">
        <f>IF($B142="","",IFERROR(IF($D142="周转打冷",N(INDEX(对接源_01入库吨位!$D$5:$D$304,MATCH(INT((ROW()-5)/3)+1,对接源_01入库吨位!$S$5:$S$304,0))),IF($D142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2" s="76" t="str">
        <f>IF($B142="","",ROUND(IFERROR(IF($D142="周转打冷",N(INDEX(对接源_01入库吨位!$H$5:$H$304,MATCH(INT((ROW()-5)/3)+1,对接源_01入库吨位!$S$5:$S$304,0))),IF($D142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2" s="122" t="str">
        <f t="shared" si="18"/>
        <v/>
      </c>
      <c r="H142" s="43"/>
      <c r="I142" s="107"/>
      <c r="J142" s="123" t="str">
        <f t="shared" si="19"/>
        <v/>
      </c>
      <c r="K142" s="76" t="str">
        <f t="shared" si="20"/>
        <v/>
      </c>
      <c r="L142" s="43"/>
      <c r="M142" s="7"/>
      <c r="N142" s="106"/>
      <c r="R142" s="3" t="str">
        <f t="shared" si="21"/>
        <v/>
      </c>
      <c r="S142" s="3">
        <f t="shared" si="22"/>
        <v>0</v>
      </c>
      <c r="T142" s="3">
        <f t="shared" si="23"/>
        <v>13</v>
      </c>
    </row>
    <row r="143" spans="1:20">
      <c r="A143" s="74" t="str">
        <f t="shared" si="16"/>
        <v/>
      </c>
      <c r="B143" s="75" t="str">
        <f>IFERROR(INDEX(对接源_01入库吨位!$B$5:$B$304,MATCH(INT((ROW()-5)/3)+1,对接源_01入库吨位!$S$5:$S$304,0)),"")</f>
        <v/>
      </c>
      <c r="C143" s="75" t="str">
        <f>IFERROR(INDEX(对接源_01入库吨位!$C$5:$C$304,MATCH(INT((ROW()-5)/3)+1,对接源_01入库吨位!$S$5:$S$304,0)),"")</f>
        <v/>
      </c>
      <c r="D143" s="89" t="str">
        <f t="shared" si="17"/>
        <v/>
      </c>
      <c r="E143" s="42" t="str">
        <f>IF($B143="","",IFERROR(IF($D143="周转打冷",N(INDEX(对接源_01入库吨位!$D$5:$D$304,MATCH(INT((ROW()-5)/3)+1,对接源_01入库吨位!$S$5:$S$304,0))),IF($D143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3" s="76" t="str">
        <f>IF($B143="","",ROUND(IFERROR(IF($D143="周转打冷",N(INDEX(对接源_01入库吨位!$H$5:$H$304,MATCH(INT((ROW()-5)/3)+1,对接源_01入库吨位!$S$5:$S$304,0))),IF($D143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3" s="122" t="str">
        <f t="shared" si="18"/>
        <v/>
      </c>
      <c r="H143" s="43"/>
      <c r="I143" s="107"/>
      <c r="J143" s="123" t="str">
        <f t="shared" si="19"/>
        <v/>
      </c>
      <c r="K143" s="76" t="str">
        <f t="shared" si="20"/>
        <v/>
      </c>
      <c r="L143" s="43"/>
      <c r="M143" s="7"/>
      <c r="N143" s="106"/>
      <c r="R143" s="3" t="str">
        <f t="shared" si="21"/>
        <v/>
      </c>
      <c r="S143" s="3">
        <f t="shared" si="22"/>
        <v>0</v>
      </c>
      <c r="T143" s="3">
        <f t="shared" si="23"/>
        <v>13</v>
      </c>
    </row>
    <row r="144" spans="1:20">
      <c r="A144" s="74" t="str">
        <f t="shared" si="16"/>
        <v/>
      </c>
      <c r="B144" s="75" t="str">
        <f>IFERROR(INDEX(对接源_01入库吨位!$B$5:$B$304,MATCH(INT((ROW()-5)/3)+1,对接源_01入库吨位!$S$5:$S$304,0)),"")</f>
        <v/>
      </c>
      <c r="C144" s="75" t="str">
        <f>IFERROR(INDEX(对接源_01入库吨位!$C$5:$C$304,MATCH(INT((ROW()-5)/3)+1,对接源_01入库吨位!$S$5:$S$304,0)),"")</f>
        <v/>
      </c>
      <c r="D144" s="89" t="str">
        <f t="shared" si="17"/>
        <v/>
      </c>
      <c r="E144" s="42" t="str">
        <f>IF($B144="","",IFERROR(IF($D144="周转打冷",N(INDEX(对接源_01入库吨位!$D$5:$D$304,MATCH(INT((ROW()-5)/3)+1,对接源_01入库吨位!$S$5:$S$304,0))),IF($D144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4" s="76" t="str">
        <f>IF($B144="","",ROUND(IFERROR(IF($D144="周转打冷",N(INDEX(对接源_01入库吨位!$H$5:$H$304,MATCH(INT((ROW()-5)/3)+1,对接源_01入库吨位!$S$5:$S$304,0))),IF($D144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4" s="122" t="str">
        <f t="shared" si="18"/>
        <v/>
      </c>
      <c r="H144" s="43"/>
      <c r="I144" s="107"/>
      <c r="J144" s="123" t="str">
        <f t="shared" si="19"/>
        <v/>
      </c>
      <c r="K144" s="76" t="str">
        <f t="shared" si="20"/>
        <v/>
      </c>
      <c r="L144" s="43"/>
      <c r="M144" s="7"/>
      <c r="N144" s="106"/>
      <c r="R144" s="3" t="str">
        <f t="shared" si="21"/>
        <v/>
      </c>
      <c r="S144" s="3">
        <f t="shared" si="22"/>
        <v>0</v>
      </c>
      <c r="T144" s="3">
        <f t="shared" si="23"/>
        <v>13</v>
      </c>
    </row>
    <row r="145" spans="1:20">
      <c r="A145" s="74" t="str">
        <f t="shared" si="16"/>
        <v/>
      </c>
      <c r="B145" s="75" t="str">
        <f>IFERROR(INDEX(对接源_01入库吨位!$B$5:$B$304,MATCH(INT((ROW()-5)/3)+1,对接源_01入库吨位!$S$5:$S$304,0)),"")</f>
        <v/>
      </c>
      <c r="C145" s="75" t="str">
        <f>IFERROR(INDEX(对接源_01入库吨位!$C$5:$C$304,MATCH(INT((ROW()-5)/3)+1,对接源_01入库吨位!$S$5:$S$304,0)),"")</f>
        <v/>
      </c>
      <c r="D145" s="89" t="str">
        <f t="shared" si="17"/>
        <v/>
      </c>
      <c r="E145" s="42" t="str">
        <f>IF($B145="","",IFERROR(IF($D145="周转打冷",N(INDEX(对接源_01入库吨位!$D$5:$D$304,MATCH(INT((ROW()-5)/3)+1,对接源_01入库吨位!$S$5:$S$304,0))),IF($D145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5" s="76" t="str">
        <f>IF($B145="","",ROUND(IFERROR(IF($D145="周转打冷",N(INDEX(对接源_01入库吨位!$H$5:$H$304,MATCH(INT((ROW()-5)/3)+1,对接源_01入库吨位!$S$5:$S$304,0))),IF($D145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5" s="122" t="str">
        <f t="shared" si="18"/>
        <v/>
      </c>
      <c r="H145" s="43"/>
      <c r="I145" s="107"/>
      <c r="J145" s="123" t="str">
        <f t="shared" si="19"/>
        <v/>
      </c>
      <c r="K145" s="76" t="str">
        <f t="shared" si="20"/>
        <v/>
      </c>
      <c r="L145" s="43"/>
      <c r="M145" s="7"/>
      <c r="N145" s="106"/>
      <c r="R145" s="3" t="str">
        <f t="shared" si="21"/>
        <v/>
      </c>
      <c r="S145" s="3">
        <f t="shared" si="22"/>
        <v>0</v>
      </c>
      <c r="T145" s="3">
        <f t="shared" si="23"/>
        <v>13</v>
      </c>
    </row>
    <row r="146" spans="1:20">
      <c r="A146" s="74" t="str">
        <f t="shared" si="16"/>
        <v/>
      </c>
      <c r="B146" s="75" t="str">
        <f>IFERROR(INDEX(对接源_01入库吨位!$B$5:$B$304,MATCH(INT((ROW()-5)/3)+1,对接源_01入库吨位!$S$5:$S$304,0)),"")</f>
        <v/>
      </c>
      <c r="C146" s="75" t="str">
        <f>IFERROR(INDEX(对接源_01入库吨位!$C$5:$C$304,MATCH(INT((ROW()-5)/3)+1,对接源_01入库吨位!$S$5:$S$304,0)),"")</f>
        <v/>
      </c>
      <c r="D146" s="89" t="str">
        <f t="shared" si="17"/>
        <v/>
      </c>
      <c r="E146" s="42" t="str">
        <f>IF($B146="","",IFERROR(IF($D146="周转打冷",N(INDEX(对接源_01入库吨位!$D$5:$D$304,MATCH(INT((ROW()-5)/3)+1,对接源_01入库吨位!$S$5:$S$304,0))),IF($D146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6" s="76" t="str">
        <f>IF($B146="","",ROUND(IFERROR(IF($D146="周转打冷",N(INDEX(对接源_01入库吨位!$H$5:$H$304,MATCH(INT((ROW()-5)/3)+1,对接源_01入库吨位!$S$5:$S$304,0))),IF($D146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6" s="122" t="str">
        <f t="shared" si="18"/>
        <v/>
      </c>
      <c r="H146" s="43"/>
      <c r="I146" s="107"/>
      <c r="J146" s="123" t="str">
        <f t="shared" si="19"/>
        <v/>
      </c>
      <c r="K146" s="76" t="str">
        <f t="shared" si="20"/>
        <v/>
      </c>
      <c r="L146" s="43"/>
      <c r="M146" s="7"/>
      <c r="N146" s="106"/>
      <c r="R146" s="3" t="str">
        <f t="shared" si="21"/>
        <v/>
      </c>
      <c r="S146" s="3">
        <f t="shared" si="22"/>
        <v>0</v>
      </c>
      <c r="T146" s="3">
        <f t="shared" si="23"/>
        <v>13</v>
      </c>
    </row>
    <row r="147" spans="1:20">
      <c r="A147" s="74" t="str">
        <f t="shared" si="16"/>
        <v/>
      </c>
      <c r="B147" s="75" t="str">
        <f>IFERROR(INDEX(对接源_01入库吨位!$B$5:$B$304,MATCH(INT((ROW()-5)/3)+1,对接源_01入库吨位!$S$5:$S$304,0)),"")</f>
        <v/>
      </c>
      <c r="C147" s="75" t="str">
        <f>IFERROR(INDEX(对接源_01入库吨位!$C$5:$C$304,MATCH(INT((ROW()-5)/3)+1,对接源_01入库吨位!$S$5:$S$304,0)),"")</f>
        <v/>
      </c>
      <c r="D147" s="89" t="str">
        <f t="shared" si="17"/>
        <v/>
      </c>
      <c r="E147" s="42" t="str">
        <f>IF($B147="","",IFERROR(IF($D147="周转打冷",N(INDEX(对接源_01入库吨位!$D$5:$D$304,MATCH(INT((ROW()-5)/3)+1,对接源_01入库吨位!$S$5:$S$304,0))),IF($D147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7" s="76" t="str">
        <f>IF($B147="","",ROUND(IFERROR(IF($D147="周转打冷",N(INDEX(对接源_01入库吨位!$H$5:$H$304,MATCH(INT((ROW()-5)/3)+1,对接源_01入库吨位!$S$5:$S$304,0))),IF($D147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7" s="122" t="str">
        <f t="shared" si="18"/>
        <v/>
      </c>
      <c r="H147" s="43"/>
      <c r="I147" s="107"/>
      <c r="J147" s="123" t="str">
        <f t="shared" si="19"/>
        <v/>
      </c>
      <c r="K147" s="76" t="str">
        <f t="shared" si="20"/>
        <v/>
      </c>
      <c r="L147" s="43"/>
      <c r="M147" s="7"/>
      <c r="N147" s="106"/>
      <c r="R147" s="3" t="str">
        <f t="shared" si="21"/>
        <v/>
      </c>
      <c r="S147" s="3">
        <f t="shared" si="22"/>
        <v>0</v>
      </c>
      <c r="T147" s="3">
        <f t="shared" si="23"/>
        <v>13</v>
      </c>
    </row>
    <row r="148" spans="1:20">
      <c r="A148" s="74" t="str">
        <f t="shared" si="16"/>
        <v/>
      </c>
      <c r="B148" s="75" t="str">
        <f>IFERROR(INDEX(对接源_01入库吨位!$B$5:$B$304,MATCH(INT((ROW()-5)/3)+1,对接源_01入库吨位!$S$5:$S$304,0)),"")</f>
        <v/>
      </c>
      <c r="C148" s="75" t="str">
        <f>IFERROR(INDEX(对接源_01入库吨位!$C$5:$C$304,MATCH(INT((ROW()-5)/3)+1,对接源_01入库吨位!$S$5:$S$304,0)),"")</f>
        <v/>
      </c>
      <c r="D148" s="89" t="str">
        <f t="shared" si="17"/>
        <v/>
      </c>
      <c r="E148" s="42" t="str">
        <f>IF($B148="","",IFERROR(IF($D148="周转打冷",N(INDEX(对接源_01入库吨位!$D$5:$D$304,MATCH(INT((ROW()-5)/3)+1,对接源_01入库吨位!$S$5:$S$304,0))),IF($D148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8" s="76" t="str">
        <f>IF($B148="","",ROUND(IFERROR(IF($D148="周转打冷",N(INDEX(对接源_01入库吨位!$H$5:$H$304,MATCH(INT((ROW()-5)/3)+1,对接源_01入库吨位!$S$5:$S$304,0))),IF($D148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8" s="122" t="str">
        <f t="shared" si="18"/>
        <v/>
      </c>
      <c r="H148" s="43"/>
      <c r="I148" s="107"/>
      <c r="J148" s="123" t="str">
        <f t="shared" si="19"/>
        <v/>
      </c>
      <c r="K148" s="76" t="str">
        <f t="shared" si="20"/>
        <v/>
      </c>
      <c r="L148" s="43"/>
      <c r="M148" s="7"/>
      <c r="N148" s="106"/>
      <c r="R148" s="3" t="str">
        <f t="shared" si="21"/>
        <v/>
      </c>
      <c r="S148" s="3">
        <f t="shared" si="22"/>
        <v>0</v>
      </c>
      <c r="T148" s="3">
        <f t="shared" si="23"/>
        <v>13</v>
      </c>
    </row>
    <row r="149" spans="1:20">
      <c r="A149" s="74" t="str">
        <f t="shared" si="16"/>
        <v/>
      </c>
      <c r="B149" s="75" t="str">
        <f>IFERROR(INDEX(对接源_01入库吨位!$B$5:$B$304,MATCH(INT((ROW()-5)/3)+1,对接源_01入库吨位!$S$5:$S$304,0)),"")</f>
        <v/>
      </c>
      <c r="C149" s="75" t="str">
        <f>IFERROR(INDEX(对接源_01入库吨位!$C$5:$C$304,MATCH(INT((ROW()-5)/3)+1,对接源_01入库吨位!$S$5:$S$304,0)),"")</f>
        <v/>
      </c>
      <c r="D149" s="89" t="str">
        <f t="shared" si="17"/>
        <v/>
      </c>
      <c r="E149" s="42" t="str">
        <f>IF($B149="","",IFERROR(IF($D149="周转打冷",N(INDEX(对接源_01入库吨位!$D$5:$D$304,MATCH(INT((ROW()-5)/3)+1,对接源_01入库吨位!$S$5:$S$304,0))),IF($D149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9" s="76" t="str">
        <f>IF($B149="","",ROUND(IFERROR(IF($D149="周转打冷",N(INDEX(对接源_01入库吨位!$H$5:$H$304,MATCH(INT((ROW()-5)/3)+1,对接源_01入库吨位!$S$5:$S$304,0))),IF($D149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9" s="122" t="str">
        <f t="shared" si="18"/>
        <v/>
      </c>
      <c r="H149" s="43"/>
      <c r="I149" s="107"/>
      <c r="J149" s="123" t="str">
        <f t="shared" si="19"/>
        <v/>
      </c>
      <c r="K149" s="76" t="str">
        <f t="shared" si="20"/>
        <v/>
      </c>
      <c r="L149" s="43"/>
      <c r="M149" s="7"/>
      <c r="N149" s="106"/>
      <c r="R149" s="3" t="str">
        <f t="shared" si="21"/>
        <v/>
      </c>
      <c r="S149" s="3">
        <f t="shared" si="22"/>
        <v>0</v>
      </c>
      <c r="T149" s="3">
        <f t="shared" si="23"/>
        <v>13</v>
      </c>
    </row>
    <row r="150" spans="1:20">
      <c r="A150" s="74" t="str">
        <f t="shared" si="16"/>
        <v/>
      </c>
      <c r="B150" s="75" t="str">
        <f>IFERROR(INDEX(对接源_01入库吨位!$B$5:$B$304,MATCH(INT((ROW()-5)/3)+1,对接源_01入库吨位!$S$5:$S$304,0)),"")</f>
        <v/>
      </c>
      <c r="C150" s="75" t="str">
        <f>IFERROR(INDEX(对接源_01入库吨位!$C$5:$C$304,MATCH(INT((ROW()-5)/3)+1,对接源_01入库吨位!$S$5:$S$304,0)),"")</f>
        <v/>
      </c>
      <c r="D150" s="89" t="str">
        <f t="shared" si="17"/>
        <v/>
      </c>
      <c r="E150" s="42" t="str">
        <f>IF($B150="","",IFERROR(IF($D150="周转打冷",N(INDEX(对接源_01入库吨位!$D$5:$D$304,MATCH(INT((ROW()-5)/3)+1,对接源_01入库吨位!$S$5:$S$304,0))),IF($D150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0" s="76" t="str">
        <f>IF($B150="","",ROUND(IFERROR(IF($D150="周转打冷",N(INDEX(对接源_01入库吨位!$H$5:$H$304,MATCH(INT((ROW()-5)/3)+1,对接源_01入库吨位!$S$5:$S$304,0))),IF($D150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0" s="122" t="str">
        <f t="shared" si="18"/>
        <v/>
      </c>
      <c r="H150" s="43"/>
      <c r="I150" s="107"/>
      <c r="J150" s="123" t="str">
        <f t="shared" si="19"/>
        <v/>
      </c>
      <c r="K150" s="76" t="str">
        <f t="shared" si="20"/>
        <v/>
      </c>
      <c r="L150" s="43"/>
      <c r="M150" s="7"/>
      <c r="N150" s="106"/>
      <c r="R150" s="3" t="str">
        <f t="shared" si="21"/>
        <v/>
      </c>
      <c r="S150" s="3">
        <f t="shared" si="22"/>
        <v>0</v>
      </c>
      <c r="T150" s="3">
        <f t="shared" si="23"/>
        <v>13</v>
      </c>
    </row>
    <row r="151" spans="1:20">
      <c r="A151" s="74" t="str">
        <f t="shared" si="16"/>
        <v/>
      </c>
      <c r="B151" s="75" t="str">
        <f>IFERROR(INDEX(对接源_01入库吨位!$B$5:$B$304,MATCH(INT((ROW()-5)/3)+1,对接源_01入库吨位!$S$5:$S$304,0)),"")</f>
        <v/>
      </c>
      <c r="C151" s="75" t="str">
        <f>IFERROR(INDEX(对接源_01入库吨位!$C$5:$C$304,MATCH(INT((ROW()-5)/3)+1,对接源_01入库吨位!$S$5:$S$304,0)),"")</f>
        <v/>
      </c>
      <c r="D151" s="89" t="str">
        <f t="shared" si="17"/>
        <v/>
      </c>
      <c r="E151" s="42" t="str">
        <f>IF($B151="","",IFERROR(IF($D151="周转打冷",N(INDEX(对接源_01入库吨位!$D$5:$D$304,MATCH(INT((ROW()-5)/3)+1,对接源_01入库吨位!$S$5:$S$304,0))),IF($D151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1" s="76" t="str">
        <f>IF($B151="","",ROUND(IFERROR(IF($D151="周转打冷",N(INDEX(对接源_01入库吨位!$H$5:$H$304,MATCH(INT((ROW()-5)/3)+1,对接源_01入库吨位!$S$5:$S$304,0))),IF($D151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1" s="122" t="str">
        <f t="shared" si="18"/>
        <v/>
      </c>
      <c r="H151" s="43"/>
      <c r="I151" s="107"/>
      <c r="J151" s="123" t="str">
        <f t="shared" si="19"/>
        <v/>
      </c>
      <c r="K151" s="76" t="str">
        <f t="shared" si="20"/>
        <v/>
      </c>
      <c r="L151" s="43"/>
      <c r="M151" s="7"/>
      <c r="N151" s="106"/>
      <c r="R151" s="3" t="str">
        <f t="shared" si="21"/>
        <v/>
      </c>
      <c r="S151" s="3">
        <f t="shared" si="22"/>
        <v>0</v>
      </c>
      <c r="T151" s="3">
        <f t="shared" si="23"/>
        <v>13</v>
      </c>
    </row>
    <row r="152" spans="1:20">
      <c r="A152" s="74" t="str">
        <f t="shared" si="16"/>
        <v/>
      </c>
      <c r="B152" s="75" t="str">
        <f>IFERROR(INDEX(对接源_01入库吨位!$B$5:$B$304,MATCH(INT((ROW()-5)/3)+1,对接源_01入库吨位!$S$5:$S$304,0)),"")</f>
        <v/>
      </c>
      <c r="C152" s="75" t="str">
        <f>IFERROR(INDEX(对接源_01入库吨位!$C$5:$C$304,MATCH(INT((ROW()-5)/3)+1,对接源_01入库吨位!$S$5:$S$304,0)),"")</f>
        <v/>
      </c>
      <c r="D152" s="89" t="str">
        <f t="shared" si="17"/>
        <v/>
      </c>
      <c r="E152" s="42" t="str">
        <f>IF($B152="","",IFERROR(IF($D152="周转打冷",N(INDEX(对接源_01入库吨位!$D$5:$D$304,MATCH(INT((ROW()-5)/3)+1,对接源_01入库吨位!$S$5:$S$304,0))),IF($D152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2" s="76" t="str">
        <f>IF($B152="","",ROUND(IFERROR(IF($D152="周转打冷",N(INDEX(对接源_01入库吨位!$H$5:$H$304,MATCH(INT((ROW()-5)/3)+1,对接源_01入库吨位!$S$5:$S$304,0))),IF($D152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2" s="122" t="str">
        <f t="shared" si="18"/>
        <v/>
      </c>
      <c r="H152" s="43"/>
      <c r="I152" s="107"/>
      <c r="J152" s="123" t="str">
        <f t="shared" si="19"/>
        <v/>
      </c>
      <c r="K152" s="76" t="str">
        <f t="shared" si="20"/>
        <v/>
      </c>
      <c r="L152" s="43"/>
      <c r="M152" s="7"/>
      <c r="N152" s="106"/>
      <c r="R152" s="3" t="str">
        <f t="shared" si="21"/>
        <v/>
      </c>
      <c r="S152" s="3">
        <f t="shared" si="22"/>
        <v>0</v>
      </c>
      <c r="T152" s="3">
        <f t="shared" si="23"/>
        <v>13</v>
      </c>
    </row>
    <row r="153" spans="1:20">
      <c r="A153" s="74" t="str">
        <f t="shared" si="16"/>
        <v/>
      </c>
      <c r="B153" s="75" t="str">
        <f>IFERROR(INDEX(对接源_01入库吨位!$B$5:$B$304,MATCH(INT((ROW()-5)/3)+1,对接源_01入库吨位!$S$5:$S$304,0)),"")</f>
        <v/>
      </c>
      <c r="C153" s="75" t="str">
        <f>IFERROR(INDEX(对接源_01入库吨位!$C$5:$C$304,MATCH(INT((ROW()-5)/3)+1,对接源_01入库吨位!$S$5:$S$304,0)),"")</f>
        <v/>
      </c>
      <c r="D153" s="89" t="str">
        <f t="shared" si="17"/>
        <v/>
      </c>
      <c r="E153" s="42" t="str">
        <f>IF($B153="","",IFERROR(IF($D153="周转打冷",N(INDEX(对接源_01入库吨位!$D$5:$D$304,MATCH(INT((ROW()-5)/3)+1,对接源_01入库吨位!$S$5:$S$304,0))),IF($D153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3" s="76" t="str">
        <f>IF($B153="","",ROUND(IFERROR(IF($D153="周转打冷",N(INDEX(对接源_01入库吨位!$H$5:$H$304,MATCH(INT((ROW()-5)/3)+1,对接源_01入库吨位!$S$5:$S$304,0))),IF($D153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3" s="122" t="str">
        <f t="shared" si="18"/>
        <v/>
      </c>
      <c r="H153" s="43"/>
      <c r="I153" s="107"/>
      <c r="J153" s="123" t="str">
        <f t="shared" si="19"/>
        <v/>
      </c>
      <c r="K153" s="76" t="str">
        <f t="shared" si="20"/>
        <v/>
      </c>
      <c r="L153" s="43"/>
      <c r="M153" s="7"/>
      <c r="N153" s="106"/>
      <c r="R153" s="3" t="str">
        <f t="shared" si="21"/>
        <v/>
      </c>
      <c r="S153" s="3">
        <f t="shared" si="22"/>
        <v>0</v>
      </c>
      <c r="T153" s="3">
        <f t="shared" si="23"/>
        <v>13</v>
      </c>
    </row>
    <row r="154" spans="1:20">
      <c r="A154" s="74" t="str">
        <f t="shared" si="16"/>
        <v/>
      </c>
      <c r="B154" s="75" t="str">
        <f>IFERROR(INDEX(对接源_01入库吨位!$B$5:$B$304,MATCH(INT((ROW()-5)/3)+1,对接源_01入库吨位!$S$5:$S$304,0)),"")</f>
        <v/>
      </c>
      <c r="C154" s="75" t="str">
        <f>IFERROR(INDEX(对接源_01入库吨位!$C$5:$C$304,MATCH(INT((ROW()-5)/3)+1,对接源_01入库吨位!$S$5:$S$304,0)),"")</f>
        <v/>
      </c>
      <c r="D154" s="89" t="str">
        <f t="shared" si="17"/>
        <v/>
      </c>
      <c r="E154" s="42" t="str">
        <f>IF($B154="","",IFERROR(IF($D154="周转打冷",N(INDEX(对接源_01入库吨位!$D$5:$D$304,MATCH(INT((ROW()-5)/3)+1,对接源_01入库吨位!$S$5:$S$304,0))),IF($D154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4" s="76" t="str">
        <f>IF($B154="","",ROUND(IFERROR(IF($D154="周转打冷",N(INDEX(对接源_01入库吨位!$H$5:$H$304,MATCH(INT((ROW()-5)/3)+1,对接源_01入库吨位!$S$5:$S$304,0))),IF($D154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4" s="122" t="str">
        <f t="shared" si="18"/>
        <v/>
      </c>
      <c r="H154" s="43"/>
      <c r="I154" s="107"/>
      <c r="J154" s="123" t="str">
        <f t="shared" si="19"/>
        <v/>
      </c>
      <c r="K154" s="76" t="str">
        <f t="shared" si="20"/>
        <v/>
      </c>
      <c r="L154" s="43"/>
      <c r="M154" s="7"/>
      <c r="N154" s="106"/>
      <c r="R154" s="3" t="str">
        <f t="shared" si="21"/>
        <v/>
      </c>
      <c r="S154" s="3">
        <f t="shared" si="22"/>
        <v>0</v>
      </c>
      <c r="T154" s="3">
        <f t="shared" si="23"/>
        <v>13</v>
      </c>
    </row>
    <row r="155" spans="1:20">
      <c r="A155" s="74" t="str">
        <f t="shared" si="16"/>
        <v/>
      </c>
      <c r="B155" s="75" t="str">
        <f>IFERROR(INDEX(对接源_01入库吨位!$B$5:$B$304,MATCH(INT((ROW()-5)/3)+1,对接源_01入库吨位!$S$5:$S$304,0)),"")</f>
        <v/>
      </c>
      <c r="C155" s="75" t="str">
        <f>IFERROR(INDEX(对接源_01入库吨位!$C$5:$C$304,MATCH(INT((ROW()-5)/3)+1,对接源_01入库吨位!$S$5:$S$304,0)),"")</f>
        <v/>
      </c>
      <c r="D155" s="89" t="str">
        <f t="shared" si="17"/>
        <v/>
      </c>
      <c r="E155" s="42" t="str">
        <f>IF($B155="","",IFERROR(IF($D155="周转打冷",N(INDEX(对接源_01入库吨位!$D$5:$D$304,MATCH(INT((ROW()-5)/3)+1,对接源_01入库吨位!$S$5:$S$304,0))),IF($D155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5" s="76" t="str">
        <f>IF($B155="","",ROUND(IFERROR(IF($D155="周转打冷",N(INDEX(对接源_01入库吨位!$H$5:$H$304,MATCH(INT((ROW()-5)/3)+1,对接源_01入库吨位!$S$5:$S$304,0))),IF($D155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5" s="122" t="str">
        <f t="shared" si="18"/>
        <v/>
      </c>
      <c r="H155" s="43"/>
      <c r="I155" s="107"/>
      <c r="J155" s="123" t="str">
        <f t="shared" si="19"/>
        <v/>
      </c>
      <c r="K155" s="76" t="str">
        <f t="shared" si="20"/>
        <v/>
      </c>
      <c r="L155" s="43"/>
      <c r="M155" s="7"/>
      <c r="N155" s="106"/>
      <c r="R155" s="3" t="str">
        <f t="shared" si="21"/>
        <v/>
      </c>
      <c r="S155" s="3">
        <f t="shared" si="22"/>
        <v>0</v>
      </c>
      <c r="T155" s="3">
        <f t="shared" si="23"/>
        <v>13</v>
      </c>
    </row>
    <row r="156" spans="1:20">
      <c r="A156" s="74" t="str">
        <f t="shared" si="16"/>
        <v/>
      </c>
      <c r="B156" s="75" t="str">
        <f>IFERROR(INDEX(对接源_01入库吨位!$B$5:$B$304,MATCH(INT((ROW()-5)/3)+1,对接源_01入库吨位!$S$5:$S$304,0)),"")</f>
        <v/>
      </c>
      <c r="C156" s="75" t="str">
        <f>IFERROR(INDEX(对接源_01入库吨位!$C$5:$C$304,MATCH(INT((ROW()-5)/3)+1,对接源_01入库吨位!$S$5:$S$304,0)),"")</f>
        <v/>
      </c>
      <c r="D156" s="89" t="str">
        <f t="shared" si="17"/>
        <v/>
      </c>
      <c r="E156" s="42" t="str">
        <f>IF($B156="","",IFERROR(IF($D156="周转打冷",N(INDEX(对接源_01入库吨位!$D$5:$D$304,MATCH(INT((ROW()-5)/3)+1,对接源_01入库吨位!$S$5:$S$304,0))),IF($D156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6" s="76" t="str">
        <f>IF($B156="","",ROUND(IFERROR(IF($D156="周转打冷",N(INDEX(对接源_01入库吨位!$H$5:$H$304,MATCH(INT((ROW()-5)/3)+1,对接源_01入库吨位!$S$5:$S$304,0))),IF($D156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6" s="122" t="str">
        <f t="shared" si="18"/>
        <v/>
      </c>
      <c r="H156" s="43"/>
      <c r="I156" s="107"/>
      <c r="J156" s="123" t="str">
        <f t="shared" si="19"/>
        <v/>
      </c>
      <c r="K156" s="76" t="str">
        <f t="shared" si="20"/>
        <v/>
      </c>
      <c r="L156" s="43"/>
      <c r="M156" s="7"/>
      <c r="N156" s="106"/>
      <c r="R156" s="3" t="str">
        <f t="shared" si="21"/>
        <v/>
      </c>
      <c r="S156" s="3">
        <f t="shared" si="22"/>
        <v>0</v>
      </c>
      <c r="T156" s="3">
        <f t="shared" si="23"/>
        <v>13</v>
      </c>
    </row>
    <row r="157" spans="1:20">
      <c r="A157" s="74" t="str">
        <f t="shared" si="16"/>
        <v/>
      </c>
      <c r="B157" s="75" t="str">
        <f>IFERROR(INDEX(对接源_01入库吨位!$B$5:$B$304,MATCH(INT((ROW()-5)/3)+1,对接源_01入库吨位!$S$5:$S$304,0)),"")</f>
        <v/>
      </c>
      <c r="C157" s="75" t="str">
        <f>IFERROR(INDEX(对接源_01入库吨位!$C$5:$C$304,MATCH(INT((ROW()-5)/3)+1,对接源_01入库吨位!$S$5:$S$304,0)),"")</f>
        <v/>
      </c>
      <c r="D157" s="89" t="str">
        <f t="shared" si="17"/>
        <v/>
      </c>
      <c r="E157" s="42" t="str">
        <f>IF($B157="","",IFERROR(IF($D157="周转打冷",N(INDEX(对接源_01入库吨位!$D$5:$D$304,MATCH(INT((ROW()-5)/3)+1,对接源_01入库吨位!$S$5:$S$304,0))),IF($D157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7" s="76" t="str">
        <f>IF($B157="","",ROUND(IFERROR(IF($D157="周转打冷",N(INDEX(对接源_01入库吨位!$H$5:$H$304,MATCH(INT((ROW()-5)/3)+1,对接源_01入库吨位!$S$5:$S$304,0))),IF($D157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7" s="122" t="str">
        <f t="shared" si="18"/>
        <v/>
      </c>
      <c r="H157" s="43"/>
      <c r="I157" s="107"/>
      <c r="J157" s="123" t="str">
        <f t="shared" si="19"/>
        <v/>
      </c>
      <c r="K157" s="76" t="str">
        <f t="shared" si="20"/>
        <v/>
      </c>
      <c r="L157" s="43"/>
      <c r="M157" s="7"/>
      <c r="N157" s="106"/>
      <c r="R157" s="3" t="str">
        <f t="shared" si="21"/>
        <v/>
      </c>
      <c r="S157" s="3">
        <f t="shared" si="22"/>
        <v>0</v>
      </c>
      <c r="T157" s="3">
        <f t="shared" si="23"/>
        <v>13</v>
      </c>
    </row>
    <row r="158" spans="1:20">
      <c r="A158" s="74" t="str">
        <f t="shared" si="16"/>
        <v/>
      </c>
      <c r="B158" s="75" t="str">
        <f>IFERROR(INDEX(对接源_01入库吨位!$B$5:$B$304,MATCH(INT((ROW()-5)/3)+1,对接源_01入库吨位!$S$5:$S$304,0)),"")</f>
        <v/>
      </c>
      <c r="C158" s="75" t="str">
        <f>IFERROR(INDEX(对接源_01入库吨位!$C$5:$C$304,MATCH(INT((ROW()-5)/3)+1,对接源_01入库吨位!$S$5:$S$304,0)),"")</f>
        <v/>
      </c>
      <c r="D158" s="89" t="str">
        <f t="shared" si="17"/>
        <v/>
      </c>
      <c r="E158" s="42" t="str">
        <f>IF($B158="","",IFERROR(IF($D158="周转打冷",N(INDEX(对接源_01入库吨位!$D$5:$D$304,MATCH(INT((ROW()-5)/3)+1,对接源_01入库吨位!$S$5:$S$304,0))),IF($D158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8" s="76" t="str">
        <f>IF($B158="","",ROUND(IFERROR(IF($D158="周转打冷",N(INDEX(对接源_01入库吨位!$H$5:$H$304,MATCH(INT((ROW()-5)/3)+1,对接源_01入库吨位!$S$5:$S$304,0))),IF($D158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8" s="122" t="str">
        <f t="shared" si="18"/>
        <v/>
      </c>
      <c r="H158" s="43"/>
      <c r="I158" s="107"/>
      <c r="J158" s="123" t="str">
        <f t="shared" si="19"/>
        <v/>
      </c>
      <c r="K158" s="76" t="str">
        <f t="shared" si="20"/>
        <v/>
      </c>
      <c r="L158" s="43"/>
      <c r="M158" s="7"/>
      <c r="N158" s="106"/>
      <c r="R158" s="3" t="str">
        <f t="shared" si="21"/>
        <v/>
      </c>
      <c r="S158" s="3">
        <f t="shared" si="22"/>
        <v>0</v>
      </c>
      <c r="T158" s="3">
        <f t="shared" si="23"/>
        <v>13</v>
      </c>
    </row>
    <row r="159" spans="1:20">
      <c r="A159" s="74" t="str">
        <f t="shared" si="16"/>
        <v/>
      </c>
      <c r="B159" s="75" t="str">
        <f>IFERROR(INDEX(对接源_01入库吨位!$B$5:$B$304,MATCH(INT((ROW()-5)/3)+1,对接源_01入库吨位!$S$5:$S$304,0)),"")</f>
        <v/>
      </c>
      <c r="C159" s="75" t="str">
        <f>IFERROR(INDEX(对接源_01入库吨位!$C$5:$C$304,MATCH(INT((ROW()-5)/3)+1,对接源_01入库吨位!$S$5:$S$304,0)),"")</f>
        <v/>
      </c>
      <c r="D159" s="89" t="str">
        <f t="shared" si="17"/>
        <v/>
      </c>
      <c r="E159" s="42" t="str">
        <f>IF($B159="","",IFERROR(IF($D159="周转打冷",N(INDEX(对接源_01入库吨位!$D$5:$D$304,MATCH(INT((ROW()-5)/3)+1,对接源_01入库吨位!$S$5:$S$304,0))),IF($D159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9" s="76" t="str">
        <f>IF($B159="","",ROUND(IFERROR(IF($D159="周转打冷",N(INDEX(对接源_01入库吨位!$H$5:$H$304,MATCH(INT((ROW()-5)/3)+1,对接源_01入库吨位!$S$5:$S$304,0))),IF($D159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9" s="122" t="str">
        <f t="shared" si="18"/>
        <v/>
      </c>
      <c r="H159" s="43"/>
      <c r="I159" s="107"/>
      <c r="J159" s="123" t="str">
        <f t="shared" si="19"/>
        <v/>
      </c>
      <c r="K159" s="76" t="str">
        <f t="shared" si="20"/>
        <v/>
      </c>
      <c r="L159" s="43"/>
      <c r="M159" s="7"/>
      <c r="N159" s="106"/>
      <c r="R159" s="3" t="str">
        <f t="shared" si="21"/>
        <v/>
      </c>
      <c r="S159" s="3">
        <f t="shared" si="22"/>
        <v>0</v>
      </c>
      <c r="T159" s="3">
        <f t="shared" si="23"/>
        <v>13</v>
      </c>
    </row>
    <row r="160" spans="1:20">
      <c r="A160" s="74" t="str">
        <f t="shared" si="16"/>
        <v/>
      </c>
      <c r="B160" s="75" t="str">
        <f>IFERROR(INDEX(对接源_01入库吨位!$B$5:$B$304,MATCH(INT((ROW()-5)/3)+1,对接源_01入库吨位!$S$5:$S$304,0)),"")</f>
        <v/>
      </c>
      <c r="C160" s="75" t="str">
        <f>IFERROR(INDEX(对接源_01入库吨位!$C$5:$C$304,MATCH(INT((ROW()-5)/3)+1,对接源_01入库吨位!$S$5:$S$304,0)),"")</f>
        <v/>
      </c>
      <c r="D160" s="89" t="str">
        <f t="shared" si="17"/>
        <v/>
      </c>
      <c r="E160" s="42" t="str">
        <f>IF($B160="","",IFERROR(IF($D160="周转打冷",N(INDEX(对接源_01入库吨位!$D$5:$D$304,MATCH(INT((ROW()-5)/3)+1,对接源_01入库吨位!$S$5:$S$304,0))),IF($D160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0" s="76" t="str">
        <f>IF($B160="","",ROUND(IFERROR(IF($D160="周转打冷",N(INDEX(对接源_01入库吨位!$H$5:$H$304,MATCH(INT((ROW()-5)/3)+1,对接源_01入库吨位!$S$5:$S$304,0))),IF($D160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0" s="122" t="str">
        <f t="shared" si="18"/>
        <v/>
      </c>
      <c r="H160" s="43"/>
      <c r="I160" s="107"/>
      <c r="J160" s="123" t="str">
        <f t="shared" si="19"/>
        <v/>
      </c>
      <c r="K160" s="76" t="str">
        <f t="shared" si="20"/>
        <v/>
      </c>
      <c r="L160" s="43"/>
      <c r="M160" s="7"/>
      <c r="N160" s="106"/>
      <c r="R160" s="3" t="str">
        <f t="shared" si="21"/>
        <v/>
      </c>
      <c r="S160" s="3">
        <f t="shared" si="22"/>
        <v>0</v>
      </c>
      <c r="T160" s="3">
        <f t="shared" si="23"/>
        <v>13</v>
      </c>
    </row>
    <row r="161" spans="1:20">
      <c r="A161" s="74" t="str">
        <f t="shared" si="16"/>
        <v/>
      </c>
      <c r="B161" s="75" t="str">
        <f>IFERROR(INDEX(对接源_01入库吨位!$B$5:$B$304,MATCH(INT((ROW()-5)/3)+1,对接源_01入库吨位!$S$5:$S$304,0)),"")</f>
        <v/>
      </c>
      <c r="C161" s="75" t="str">
        <f>IFERROR(INDEX(对接源_01入库吨位!$C$5:$C$304,MATCH(INT((ROW()-5)/3)+1,对接源_01入库吨位!$S$5:$S$304,0)),"")</f>
        <v/>
      </c>
      <c r="D161" s="89" t="str">
        <f t="shared" si="17"/>
        <v/>
      </c>
      <c r="E161" s="42" t="str">
        <f>IF($B161="","",IFERROR(IF($D161="周转打冷",N(INDEX(对接源_01入库吨位!$D$5:$D$304,MATCH(INT((ROW()-5)/3)+1,对接源_01入库吨位!$S$5:$S$304,0))),IF($D161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1" s="76" t="str">
        <f>IF($B161="","",ROUND(IFERROR(IF($D161="周转打冷",N(INDEX(对接源_01入库吨位!$H$5:$H$304,MATCH(INT((ROW()-5)/3)+1,对接源_01入库吨位!$S$5:$S$304,0))),IF($D161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1" s="122" t="str">
        <f t="shared" si="18"/>
        <v/>
      </c>
      <c r="H161" s="43"/>
      <c r="I161" s="107"/>
      <c r="J161" s="123" t="str">
        <f t="shared" si="19"/>
        <v/>
      </c>
      <c r="K161" s="76" t="str">
        <f t="shared" si="20"/>
        <v/>
      </c>
      <c r="L161" s="43"/>
      <c r="M161" s="7"/>
      <c r="N161" s="106"/>
      <c r="R161" s="3" t="str">
        <f t="shared" si="21"/>
        <v/>
      </c>
      <c r="S161" s="3">
        <f t="shared" si="22"/>
        <v>0</v>
      </c>
      <c r="T161" s="3">
        <f t="shared" si="23"/>
        <v>13</v>
      </c>
    </row>
    <row r="162" spans="1:20">
      <c r="A162" s="74" t="str">
        <f t="shared" si="16"/>
        <v/>
      </c>
      <c r="B162" s="75" t="str">
        <f>IFERROR(INDEX(对接源_01入库吨位!$B$5:$B$304,MATCH(INT((ROW()-5)/3)+1,对接源_01入库吨位!$S$5:$S$304,0)),"")</f>
        <v/>
      </c>
      <c r="C162" s="75" t="str">
        <f>IFERROR(INDEX(对接源_01入库吨位!$C$5:$C$304,MATCH(INT((ROW()-5)/3)+1,对接源_01入库吨位!$S$5:$S$304,0)),"")</f>
        <v/>
      </c>
      <c r="D162" s="89" t="str">
        <f t="shared" si="17"/>
        <v/>
      </c>
      <c r="E162" s="42" t="str">
        <f>IF($B162="","",IFERROR(IF($D162="周转打冷",N(INDEX(对接源_01入库吨位!$D$5:$D$304,MATCH(INT((ROW()-5)/3)+1,对接源_01入库吨位!$S$5:$S$304,0))),IF($D162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2" s="76" t="str">
        <f>IF($B162="","",ROUND(IFERROR(IF($D162="周转打冷",N(INDEX(对接源_01入库吨位!$H$5:$H$304,MATCH(INT((ROW()-5)/3)+1,对接源_01入库吨位!$S$5:$S$304,0))),IF($D162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2" s="122" t="str">
        <f t="shared" si="18"/>
        <v/>
      </c>
      <c r="H162" s="43"/>
      <c r="I162" s="107"/>
      <c r="J162" s="123" t="str">
        <f t="shared" si="19"/>
        <v/>
      </c>
      <c r="K162" s="76" t="str">
        <f t="shared" si="20"/>
        <v/>
      </c>
      <c r="L162" s="43"/>
      <c r="M162" s="7"/>
      <c r="N162" s="106"/>
      <c r="R162" s="3" t="str">
        <f t="shared" si="21"/>
        <v/>
      </c>
      <c r="S162" s="3">
        <f t="shared" si="22"/>
        <v>0</v>
      </c>
      <c r="T162" s="3">
        <f t="shared" si="23"/>
        <v>13</v>
      </c>
    </row>
    <row r="163" spans="1:20">
      <c r="A163" s="74" t="str">
        <f t="shared" si="16"/>
        <v/>
      </c>
      <c r="B163" s="75" t="str">
        <f>IFERROR(INDEX(对接源_01入库吨位!$B$5:$B$304,MATCH(INT((ROW()-5)/3)+1,对接源_01入库吨位!$S$5:$S$304,0)),"")</f>
        <v/>
      </c>
      <c r="C163" s="75" t="str">
        <f>IFERROR(INDEX(对接源_01入库吨位!$C$5:$C$304,MATCH(INT((ROW()-5)/3)+1,对接源_01入库吨位!$S$5:$S$304,0)),"")</f>
        <v/>
      </c>
      <c r="D163" s="89" t="str">
        <f t="shared" si="17"/>
        <v/>
      </c>
      <c r="E163" s="42" t="str">
        <f>IF($B163="","",IFERROR(IF($D163="周转打冷",N(INDEX(对接源_01入库吨位!$D$5:$D$304,MATCH(INT((ROW()-5)/3)+1,对接源_01入库吨位!$S$5:$S$304,0))),IF($D163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3" s="76" t="str">
        <f>IF($B163="","",ROUND(IFERROR(IF($D163="周转打冷",N(INDEX(对接源_01入库吨位!$H$5:$H$304,MATCH(INT((ROW()-5)/3)+1,对接源_01入库吨位!$S$5:$S$304,0))),IF($D163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3" s="122" t="str">
        <f t="shared" si="18"/>
        <v/>
      </c>
      <c r="H163" s="43"/>
      <c r="I163" s="107"/>
      <c r="J163" s="123" t="str">
        <f t="shared" si="19"/>
        <v/>
      </c>
      <c r="K163" s="76" t="str">
        <f t="shared" si="20"/>
        <v/>
      </c>
      <c r="L163" s="43"/>
      <c r="M163" s="7"/>
      <c r="N163" s="106"/>
      <c r="R163" s="3" t="str">
        <f t="shared" si="21"/>
        <v/>
      </c>
      <c r="S163" s="3">
        <f t="shared" si="22"/>
        <v>0</v>
      </c>
      <c r="T163" s="3">
        <f t="shared" si="23"/>
        <v>13</v>
      </c>
    </row>
    <row r="164" spans="1:20">
      <c r="A164" s="74" t="str">
        <f t="shared" si="16"/>
        <v/>
      </c>
      <c r="B164" s="75" t="str">
        <f>IFERROR(INDEX(对接源_01入库吨位!$B$5:$B$304,MATCH(INT((ROW()-5)/3)+1,对接源_01入库吨位!$S$5:$S$304,0)),"")</f>
        <v/>
      </c>
      <c r="C164" s="75" t="str">
        <f>IFERROR(INDEX(对接源_01入库吨位!$C$5:$C$304,MATCH(INT((ROW()-5)/3)+1,对接源_01入库吨位!$S$5:$S$304,0)),"")</f>
        <v/>
      </c>
      <c r="D164" s="89" t="str">
        <f t="shared" si="17"/>
        <v/>
      </c>
      <c r="E164" s="42" t="str">
        <f>IF($B164="","",IFERROR(IF($D164="周转打冷",N(INDEX(对接源_01入库吨位!$D$5:$D$304,MATCH(INT((ROW()-5)/3)+1,对接源_01入库吨位!$S$5:$S$304,0))),IF($D164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4" s="76" t="str">
        <f>IF($B164="","",ROUND(IFERROR(IF($D164="周转打冷",N(INDEX(对接源_01入库吨位!$H$5:$H$304,MATCH(INT((ROW()-5)/3)+1,对接源_01入库吨位!$S$5:$S$304,0))),IF($D164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4" s="122" t="str">
        <f t="shared" si="18"/>
        <v/>
      </c>
      <c r="H164" s="43"/>
      <c r="I164" s="107"/>
      <c r="J164" s="123" t="str">
        <f t="shared" si="19"/>
        <v/>
      </c>
      <c r="K164" s="76" t="str">
        <f t="shared" si="20"/>
        <v/>
      </c>
      <c r="L164" s="43"/>
      <c r="M164" s="7"/>
      <c r="N164" s="106"/>
      <c r="R164" s="3" t="str">
        <f t="shared" si="21"/>
        <v/>
      </c>
      <c r="S164" s="3">
        <f t="shared" si="22"/>
        <v>0</v>
      </c>
      <c r="T164" s="3">
        <f t="shared" si="23"/>
        <v>13</v>
      </c>
    </row>
    <row r="165" spans="1:20">
      <c r="A165" s="74" t="str">
        <f t="shared" si="16"/>
        <v/>
      </c>
      <c r="B165" s="75" t="str">
        <f>IFERROR(INDEX(对接源_01入库吨位!$B$5:$B$304,MATCH(INT((ROW()-5)/3)+1,对接源_01入库吨位!$S$5:$S$304,0)),"")</f>
        <v/>
      </c>
      <c r="C165" s="75" t="str">
        <f>IFERROR(INDEX(对接源_01入库吨位!$C$5:$C$304,MATCH(INT((ROW()-5)/3)+1,对接源_01入库吨位!$S$5:$S$304,0)),"")</f>
        <v/>
      </c>
      <c r="D165" s="89" t="str">
        <f t="shared" si="17"/>
        <v/>
      </c>
      <c r="E165" s="42" t="str">
        <f>IF($B165="","",IFERROR(IF($D165="周转打冷",N(INDEX(对接源_01入库吨位!$D$5:$D$304,MATCH(INT((ROW()-5)/3)+1,对接源_01入库吨位!$S$5:$S$304,0))),IF($D165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5" s="76" t="str">
        <f>IF($B165="","",ROUND(IFERROR(IF($D165="周转打冷",N(INDEX(对接源_01入库吨位!$H$5:$H$304,MATCH(INT((ROW()-5)/3)+1,对接源_01入库吨位!$S$5:$S$304,0))),IF($D165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5" s="122" t="str">
        <f t="shared" si="18"/>
        <v/>
      </c>
      <c r="H165" s="43"/>
      <c r="I165" s="107"/>
      <c r="J165" s="123" t="str">
        <f t="shared" si="19"/>
        <v/>
      </c>
      <c r="K165" s="76" t="str">
        <f t="shared" si="20"/>
        <v/>
      </c>
      <c r="L165" s="43"/>
      <c r="M165" s="7"/>
      <c r="N165" s="106"/>
      <c r="R165" s="3" t="str">
        <f t="shared" si="21"/>
        <v/>
      </c>
      <c r="S165" s="3">
        <f t="shared" si="22"/>
        <v>0</v>
      </c>
      <c r="T165" s="3">
        <f t="shared" si="23"/>
        <v>13</v>
      </c>
    </row>
    <row r="166" spans="1:20">
      <c r="A166" s="74" t="str">
        <f t="shared" si="16"/>
        <v/>
      </c>
      <c r="B166" s="75" t="str">
        <f>IFERROR(INDEX(对接源_01入库吨位!$B$5:$B$304,MATCH(INT((ROW()-5)/3)+1,对接源_01入库吨位!$S$5:$S$304,0)),"")</f>
        <v/>
      </c>
      <c r="C166" s="75" t="str">
        <f>IFERROR(INDEX(对接源_01入库吨位!$C$5:$C$304,MATCH(INT((ROW()-5)/3)+1,对接源_01入库吨位!$S$5:$S$304,0)),"")</f>
        <v/>
      </c>
      <c r="D166" s="89" t="str">
        <f t="shared" si="17"/>
        <v/>
      </c>
      <c r="E166" s="42" t="str">
        <f>IF($B166="","",IFERROR(IF($D166="周转打冷",N(INDEX(对接源_01入库吨位!$D$5:$D$304,MATCH(INT((ROW()-5)/3)+1,对接源_01入库吨位!$S$5:$S$304,0))),IF($D166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6" s="76" t="str">
        <f>IF($B166="","",ROUND(IFERROR(IF($D166="周转打冷",N(INDEX(对接源_01入库吨位!$H$5:$H$304,MATCH(INT((ROW()-5)/3)+1,对接源_01入库吨位!$S$5:$S$304,0))),IF($D166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6" s="122" t="str">
        <f t="shared" si="18"/>
        <v/>
      </c>
      <c r="H166" s="43"/>
      <c r="I166" s="107"/>
      <c r="J166" s="123" t="str">
        <f t="shared" si="19"/>
        <v/>
      </c>
      <c r="K166" s="76" t="str">
        <f t="shared" si="20"/>
        <v/>
      </c>
      <c r="L166" s="43"/>
      <c r="M166" s="7"/>
      <c r="N166" s="106"/>
      <c r="R166" s="3" t="str">
        <f t="shared" si="21"/>
        <v/>
      </c>
      <c r="S166" s="3">
        <f t="shared" si="22"/>
        <v>0</v>
      </c>
      <c r="T166" s="3">
        <f t="shared" si="23"/>
        <v>13</v>
      </c>
    </row>
    <row r="167" spans="1:20">
      <c r="A167" s="74" t="str">
        <f t="shared" si="16"/>
        <v/>
      </c>
      <c r="B167" s="75" t="str">
        <f>IFERROR(INDEX(对接源_01入库吨位!$B$5:$B$304,MATCH(INT((ROW()-5)/3)+1,对接源_01入库吨位!$S$5:$S$304,0)),"")</f>
        <v/>
      </c>
      <c r="C167" s="75" t="str">
        <f>IFERROR(INDEX(对接源_01入库吨位!$C$5:$C$304,MATCH(INT((ROW()-5)/3)+1,对接源_01入库吨位!$S$5:$S$304,0)),"")</f>
        <v/>
      </c>
      <c r="D167" s="89" t="str">
        <f t="shared" si="17"/>
        <v/>
      </c>
      <c r="E167" s="42" t="str">
        <f>IF($B167="","",IFERROR(IF($D167="周转打冷",N(INDEX(对接源_01入库吨位!$D$5:$D$304,MATCH(INT((ROW()-5)/3)+1,对接源_01入库吨位!$S$5:$S$304,0))),IF($D167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7" s="76" t="str">
        <f>IF($B167="","",ROUND(IFERROR(IF($D167="周转打冷",N(INDEX(对接源_01入库吨位!$H$5:$H$304,MATCH(INT((ROW()-5)/3)+1,对接源_01入库吨位!$S$5:$S$304,0))),IF($D167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7" s="122" t="str">
        <f t="shared" si="18"/>
        <v/>
      </c>
      <c r="H167" s="43"/>
      <c r="I167" s="107"/>
      <c r="J167" s="123" t="str">
        <f t="shared" si="19"/>
        <v/>
      </c>
      <c r="K167" s="76" t="str">
        <f t="shared" si="20"/>
        <v/>
      </c>
      <c r="L167" s="43"/>
      <c r="M167" s="7"/>
      <c r="N167" s="106"/>
      <c r="R167" s="3" t="str">
        <f t="shared" si="21"/>
        <v/>
      </c>
      <c r="S167" s="3">
        <f t="shared" si="22"/>
        <v>0</v>
      </c>
      <c r="T167" s="3">
        <f t="shared" si="23"/>
        <v>13</v>
      </c>
    </row>
    <row r="168" spans="1:20">
      <c r="A168" s="74" t="str">
        <f t="shared" si="16"/>
        <v/>
      </c>
      <c r="B168" s="75" t="str">
        <f>IFERROR(INDEX(对接源_01入库吨位!$B$5:$B$304,MATCH(INT((ROW()-5)/3)+1,对接源_01入库吨位!$S$5:$S$304,0)),"")</f>
        <v/>
      </c>
      <c r="C168" s="75" t="str">
        <f>IFERROR(INDEX(对接源_01入库吨位!$C$5:$C$304,MATCH(INT((ROW()-5)/3)+1,对接源_01入库吨位!$S$5:$S$304,0)),"")</f>
        <v/>
      </c>
      <c r="D168" s="89" t="str">
        <f t="shared" si="17"/>
        <v/>
      </c>
      <c r="E168" s="42" t="str">
        <f>IF($B168="","",IFERROR(IF($D168="周转打冷",N(INDEX(对接源_01入库吨位!$D$5:$D$304,MATCH(INT((ROW()-5)/3)+1,对接源_01入库吨位!$S$5:$S$304,0))),IF($D168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8" s="76" t="str">
        <f>IF($B168="","",ROUND(IFERROR(IF($D168="周转打冷",N(INDEX(对接源_01入库吨位!$H$5:$H$304,MATCH(INT((ROW()-5)/3)+1,对接源_01入库吨位!$S$5:$S$304,0))),IF($D168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8" s="122" t="str">
        <f t="shared" si="18"/>
        <v/>
      </c>
      <c r="H168" s="43"/>
      <c r="I168" s="107"/>
      <c r="J168" s="123" t="str">
        <f t="shared" si="19"/>
        <v/>
      </c>
      <c r="K168" s="76" t="str">
        <f t="shared" si="20"/>
        <v/>
      </c>
      <c r="L168" s="43"/>
      <c r="M168" s="7"/>
      <c r="N168" s="106"/>
      <c r="R168" s="3" t="str">
        <f t="shared" si="21"/>
        <v/>
      </c>
      <c r="S168" s="3">
        <f t="shared" si="22"/>
        <v>0</v>
      </c>
      <c r="T168" s="3">
        <f t="shared" si="23"/>
        <v>13</v>
      </c>
    </row>
    <row r="169" spans="1:20">
      <c r="A169" s="74" t="str">
        <f t="shared" si="16"/>
        <v/>
      </c>
      <c r="B169" s="75" t="str">
        <f>IFERROR(INDEX(对接源_01入库吨位!$B$5:$B$304,MATCH(INT((ROW()-5)/3)+1,对接源_01入库吨位!$S$5:$S$304,0)),"")</f>
        <v/>
      </c>
      <c r="C169" s="75" t="str">
        <f>IFERROR(INDEX(对接源_01入库吨位!$C$5:$C$304,MATCH(INT((ROW()-5)/3)+1,对接源_01入库吨位!$S$5:$S$304,0)),"")</f>
        <v/>
      </c>
      <c r="D169" s="89" t="str">
        <f t="shared" si="17"/>
        <v/>
      </c>
      <c r="E169" s="42" t="str">
        <f>IF($B169="","",IFERROR(IF($D169="周转打冷",N(INDEX(对接源_01入库吨位!$D$5:$D$304,MATCH(INT((ROW()-5)/3)+1,对接源_01入库吨位!$S$5:$S$304,0))),IF($D169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9" s="76" t="str">
        <f>IF($B169="","",ROUND(IFERROR(IF($D169="周转打冷",N(INDEX(对接源_01入库吨位!$H$5:$H$304,MATCH(INT((ROW()-5)/3)+1,对接源_01入库吨位!$S$5:$S$304,0))),IF($D169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9" s="122" t="str">
        <f t="shared" si="18"/>
        <v/>
      </c>
      <c r="H169" s="43"/>
      <c r="I169" s="107"/>
      <c r="J169" s="123" t="str">
        <f t="shared" si="19"/>
        <v/>
      </c>
      <c r="K169" s="76" t="str">
        <f t="shared" si="20"/>
        <v/>
      </c>
      <c r="L169" s="43"/>
      <c r="M169" s="7"/>
      <c r="N169" s="106"/>
      <c r="R169" s="3" t="str">
        <f t="shared" si="21"/>
        <v/>
      </c>
      <c r="S169" s="3">
        <f t="shared" si="22"/>
        <v>0</v>
      </c>
      <c r="T169" s="3">
        <f t="shared" si="23"/>
        <v>13</v>
      </c>
    </row>
    <row r="170" spans="1:20">
      <c r="A170" s="74" t="str">
        <f t="shared" si="16"/>
        <v/>
      </c>
      <c r="B170" s="75" t="str">
        <f>IFERROR(INDEX(对接源_01入库吨位!$B$5:$B$304,MATCH(INT((ROW()-5)/3)+1,对接源_01入库吨位!$S$5:$S$304,0)),"")</f>
        <v/>
      </c>
      <c r="C170" s="75" t="str">
        <f>IFERROR(INDEX(对接源_01入库吨位!$C$5:$C$304,MATCH(INT((ROW()-5)/3)+1,对接源_01入库吨位!$S$5:$S$304,0)),"")</f>
        <v/>
      </c>
      <c r="D170" s="89" t="str">
        <f t="shared" si="17"/>
        <v/>
      </c>
      <c r="E170" s="42" t="str">
        <f>IF($B170="","",IFERROR(IF($D170="周转打冷",N(INDEX(对接源_01入库吨位!$D$5:$D$304,MATCH(INT((ROW()-5)/3)+1,对接源_01入库吨位!$S$5:$S$304,0))),IF($D170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0" s="76" t="str">
        <f>IF($B170="","",ROUND(IFERROR(IF($D170="周转打冷",N(INDEX(对接源_01入库吨位!$H$5:$H$304,MATCH(INT((ROW()-5)/3)+1,对接源_01入库吨位!$S$5:$S$304,0))),IF($D170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0" s="122" t="str">
        <f t="shared" si="18"/>
        <v/>
      </c>
      <c r="H170" s="43"/>
      <c r="I170" s="107"/>
      <c r="J170" s="123" t="str">
        <f t="shared" si="19"/>
        <v/>
      </c>
      <c r="K170" s="76" t="str">
        <f t="shared" si="20"/>
        <v/>
      </c>
      <c r="L170" s="43"/>
      <c r="M170" s="7"/>
      <c r="N170" s="106"/>
      <c r="R170" s="3" t="str">
        <f t="shared" si="21"/>
        <v/>
      </c>
      <c r="S170" s="3">
        <f t="shared" si="22"/>
        <v>0</v>
      </c>
      <c r="T170" s="3">
        <f t="shared" si="23"/>
        <v>13</v>
      </c>
    </row>
    <row r="171" spans="1:20">
      <c r="A171" s="74" t="str">
        <f t="shared" si="16"/>
        <v/>
      </c>
      <c r="B171" s="75" t="str">
        <f>IFERROR(INDEX(对接源_01入库吨位!$B$5:$B$304,MATCH(INT((ROW()-5)/3)+1,对接源_01入库吨位!$S$5:$S$304,0)),"")</f>
        <v/>
      </c>
      <c r="C171" s="75" t="str">
        <f>IFERROR(INDEX(对接源_01入库吨位!$C$5:$C$304,MATCH(INT((ROW()-5)/3)+1,对接源_01入库吨位!$S$5:$S$304,0)),"")</f>
        <v/>
      </c>
      <c r="D171" s="89" t="str">
        <f t="shared" si="17"/>
        <v/>
      </c>
      <c r="E171" s="42" t="str">
        <f>IF($B171="","",IFERROR(IF($D171="周转打冷",N(INDEX(对接源_01入库吨位!$D$5:$D$304,MATCH(INT((ROW()-5)/3)+1,对接源_01入库吨位!$S$5:$S$304,0))),IF($D171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1" s="76" t="str">
        <f>IF($B171="","",ROUND(IFERROR(IF($D171="周转打冷",N(INDEX(对接源_01入库吨位!$H$5:$H$304,MATCH(INT((ROW()-5)/3)+1,对接源_01入库吨位!$S$5:$S$304,0))),IF($D171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1" s="122" t="str">
        <f t="shared" si="18"/>
        <v/>
      </c>
      <c r="H171" s="43"/>
      <c r="I171" s="107"/>
      <c r="J171" s="123" t="str">
        <f t="shared" si="19"/>
        <v/>
      </c>
      <c r="K171" s="76" t="str">
        <f t="shared" si="20"/>
        <v/>
      </c>
      <c r="L171" s="43"/>
      <c r="M171" s="7"/>
      <c r="N171" s="106"/>
      <c r="R171" s="3" t="str">
        <f t="shared" si="21"/>
        <v/>
      </c>
      <c r="S171" s="3">
        <f t="shared" si="22"/>
        <v>0</v>
      </c>
      <c r="T171" s="3">
        <f t="shared" si="23"/>
        <v>13</v>
      </c>
    </row>
    <row r="172" spans="1:20">
      <c r="A172" s="74" t="str">
        <f t="shared" si="16"/>
        <v/>
      </c>
      <c r="B172" s="75" t="str">
        <f>IFERROR(INDEX(对接源_01入库吨位!$B$5:$B$304,MATCH(INT((ROW()-5)/3)+1,对接源_01入库吨位!$S$5:$S$304,0)),"")</f>
        <v/>
      </c>
      <c r="C172" s="75" t="str">
        <f>IFERROR(INDEX(对接源_01入库吨位!$C$5:$C$304,MATCH(INT((ROW()-5)/3)+1,对接源_01入库吨位!$S$5:$S$304,0)),"")</f>
        <v/>
      </c>
      <c r="D172" s="89" t="str">
        <f t="shared" si="17"/>
        <v/>
      </c>
      <c r="E172" s="42" t="str">
        <f>IF($B172="","",IFERROR(IF($D172="周转打冷",N(INDEX(对接源_01入库吨位!$D$5:$D$304,MATCH(INT((ROW()-5)/3)+1,对接源_01入库吨位!$S$5:$S$304,0))),IF($D172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2" s="76" t="str">
        <f>IF($B172="","",ROUND(IFERROR(IF($D172="周转打冷",N(INDEX(对接源_01入库吨位!$H$5:$H$304,MATCH(INT((ROW()-5)/3)+1,对接源_01入库吨位!$S$5:$S$304,0))),IF($D172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2" s="122" t="str">
        <f t="shared" si="18"/>
        <v/>
      </c>
      <c r="H172" s="43"/>
      <c r="I172" s="107"/>
      <c r="J172" s="123" t="str">
        <f t="shared" si="19"/>
        <v/>
      </c>
      <c r="K172" s="76" t="str">
        <f t="shared" si="20"/>
        <v/>
      </c>
      <c r="L172" s="43"/>
      <c r="M172" s="7"/>
      <c r="N172" s="106"/>
      <c r="R172" s="3" t="str">
        <f t="shared" si="21"/>
        <v/>
      </c>
      <c r="S172" s="3">
        <f t="shared" si="22"/>
        <v>0</v>
      </c>
      <c r="T172" s="3">
        <f t="shared" si="23"/>
        <v>13</v>
      </c>
    </row>
    <row r="173" spans="1:20">
      <c r="A173" s="74" t="str">
        <f t="shared" si="16"/>
        <v/>
      </c>
      <c r="B173" s="75" t="str">
        <f>IFERROR(INDEX(对接源_01入库吨位!$B$5:$B$304,MATCH(INT((ROW()-5)/3)+1,对接源_01入库吨位!$S$5:$S$304,0)),"")</f>
        <v/>
      </c>
      <c r="C173" s="75" t="str">
        <f>IFERROR(INDEX(对接源_01入库吨位!$C$5:$C$304,MATCH(INT((ROW()-5)/3)+1,对接源_01入库吨位!$S$5:$S$304,0)),"")</f>
        <v/>
      </c>
      <c r="D173" s="89" t="str">
        <f t="shared" si="17"/>
        <v/>
      </c>
      <c r="E173" s="42" t="str">
        <f>IF($B173="","",IFERROR(IF($D173="周转打冷",N(INDEX(对接源_01入库吨位!$D$5:$D$304,MATCH(INT((ROW()-5)/3)+1,对接源_01入库吨位!$S$5:$S$304,0))),IF($D173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3" s="76" t="str">
        <f>IF($B173="","",ROUND(IFERROR(IF($D173="周转打冷",N(INDEX(对接源_01入库吨位!$H$5:$H$304,MATCH(INT((ROW()-5)/3)+1,对接源_01入库吨位!$S$5:$S$304,0))),IF($D173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3" s="122" t="str">
        <f t="shared" si="18"/>
        <v/>
      </c>
      <c r="H173" s="43"/>
      <c r="I173" s="107"/>
      <c r="J173" s="123" t="str">
        <f t="shared" si="19"/>
        <v/>
      </c>
      <c r="K173" s="76" t="str">
        <f t="shared" si="20"/>
        <v/>
      </c>
      <c r="L173" s="43"/>
      <c r="M173" s="7"/>
      <c r="N173" s="106"/>
      <c r="R173" s="3" t="str">
        <f t="shared" si="21"/>
        <v/>
      </c>
      <c r="S173" s="3">
        <f t="shared" si="22"/>
        <v>0</v>
      </c>
      <c r="T173" s="3">
        <f t="shared" si="23"/>
        <v>13</v>
      </c>
    </row>
    <row r="174" spans="1:20">
      <c r="A174" s="74" t="str">
        <f t="shared" si="16"/>
        <v/>
      </c>
      <c r="B174" s="75" t="str">
        <f>IFERROR(INDEX(对接源_01入库吨位!$B$5:$B$304,MATCH(INT((ROW()-5)/3)+1,对接源_01入库吨位!$S$5:$S$304,0)),"")</f>
        <v/>
      </c>
      <c r="C174" s="75" t="str">
        <f>IFERROR(INDEX(对接源_01入库吨位!$C$5:$C$304,MATCH(INT((ROW()-5)/3)+1,对接源_01入库吨位!$S$5:$S$304,0)),"")</f>
        <v/>
      </c>
      <c r="D174" s="89" t="str">
        <f t="shared" si="17"/>
        <v/>
      </c>
      <c r="E174" s="42" t="str">
        <f>IF($B174="","",IFERROR(IF($D174="周转打冷",N(INDEX(对接源_01入库吨位!$D$5:$D$304,MATCH(INT((ROW()-5)/3)+1,对接源_01入库吨位!$S$5:$S$304,0))),IF($D174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4" s="76" t="str">
        <f>IF($B174="","",ROUND(IFERROR(IF($D174="周转打冷",N(INDEX(对接源_01入库吨位!$H$5:$H$304,MATCH(INT((ROW()-5)/3)+1,对接源_01入库吨位!$S$5:$S$304,0))),IF($D174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4" s="122" t="str">
        <f t="shared" si="18"/>
        <v/>
      </c>
      <c r="H174" s="43"/>
      <c r="I174" s="107"/>
      <c r="J174" s="123" t="str">
        <f t="shared" si="19"/>
        <v/>
      </c>
      <c r="K174" s="76" t="str">
        <f t="shared" si="20"/>
        <v/>
      </c>
      <c r="L174" s="43"/>
      <c r="M174" s="7"/>
      <c r="N174" s="106"/>
      <c r="R174" s="3" t="str">
        <f t="shared" si="21"/>
        <v/>
      </c>
      <c r="S174" s="3">
        <f t="shared" si="22"/>
        <v>0</v>
      </c>
      <c r="T174" s="3">
        <f t="shared" si="23"/>
        <v>13</v>
      </c>
    </row>
    <row r="175" spans="1:20">
      <c r="A175" s="74" t="str">
        <f t="shared" si="16"/>
        <v/>
      </c>
      <c r="B175" s="75" t="str">
        <f>IFERROR(INDEX(对接源_01入库吨位!$B$5:$B$304,MATCH(INT((ROW()-5)/3)+1,对接源_01入库吨位!$S$5:$S$304,0)),"")</f>
        <v/>
      </c>
      <c r="C175" s="75" t="str">
        <f>IFERROR(INDEX(对接源_01入库吨位!$C$5:$C$304,MATCH(INT((ROW()-5)/3)+1,对接源_01入库吨位!$S$5:$S$304,0)),"")</f>
        <v/>
      </c>
      <c r="D175" s="89" t="str">
        <f t="shared" si="17"/>
        <v/>
      </c>
      <c r="E175" s="42" t="str">
        <f>IF($B175="","",IFERROR(IF($D175="周转打冷",N(INDEX(对接源_01入库吨位!$D$5:$D$304,MATCH(INT((ROW()-5)/3)+1,对接源_01入库吨位!$S$5:$S$304,0))),IF($D175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5" s="76" t="str">
        <f>IF($B175="","",ROUND(IFERROR(IF($D175="周转打冷",N(INDEX(对接源_01入库吨位!$H$5:$H$304,MATCH(INT((ROW()-5)/3)+1,对接源_01入库吨位!$S$5:$S$304,0))),IF($D175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5" s="122" t="str">
        <f t="shared" si="18"/>
        <v/>
      </c>
      <c r="H175" s="43"/>
      <c r="I175" s="107"/>
      <c r="J175" s="123" t="str">
        <f t="shared" si="19"/>
        <v/>
      </c>
      <c r="K175" s="76" t="str">
        <f t="shared" si="20"/>
        <v/>
      </c>
      <c r="L175" s="43"/>
      <c r="M175" s="7"/>
      <c r="N175" s="106"/>
      <c r="R175" s="3" t="str">
        <f t="shared" si="21"/>
        <v/>
      </c>
      <c r="S175" s="3">
        <f t="shared" si="22"/>
        <v>0</v>
      </c>
      <c r="T175" s="3">
        <f t="shared" si="23"/>
        <v>13</v>
      </c>
    </row>
    <row r="176" spans="1:20">
      <c r="A176" s="74" t="str">
        <f t="shared" si="16"/>
        <v/>
      </c>
      <c r="B176" s="75" t="str">
        <f>IFERROR(INDEX(对接源_01入库吨位!$B$5:$B$304,MATCH(INT((ROW()-5)/3)+1,对接源_01入库吨位!$S$5:$S$304,0)),"")</f>
        <v/>
      </c>
      <c r="C176" s="75" t="str">
        <f>IFERROR(INDEX(对接源_01入库吨位!$C$5:$C$304,MATCH(INT((ROW()-5)/3)+1,对接源_01入库吨位!$S$5:$S$304,0)),"")</f>
        <v/>
      </c>
      <c r="D176" s="89" t="str">
        <f t="shared" si="17"/>
        <v/>
      </c>
      <c r="E176" s="42" t="str">
        <f>IF($B176="","",IFERROR(IF($D176="周转打冷",N(INDEX(对接源_01入库吨位!$D$5:$D$304,MATCH(INT((ROW()-5)/3)+1,对接源_01入库吨位!$S$5:$S$304,0))),IF($D176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6" s="76" t="str">
        <f>IF($B176="","",ROUND(IFERROR(IF($D176="周转打冷",N(INDEX(对接源_01入库吨位!$H$5:$H$304,MATCH(INT((ROW()-5)/3)+1,对接源_01入库吨位!$S$5:$S$304,0))),IF($D176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6" s="122" t="str">
        <f t="shared" si="18"/>
        <v/>
      </c>
      <c r="H176" s="43"/>
      <c r="I176" s="107"/>
      <c r="J176" s="123" t="str">
        <f t="shared" si="19"/>
        <v/>
      </c>
      <c r="K176" s="76" t="str">
        <f t="shared" si="20"/>
        <v/>
      </c>
      <c r="L176" s="43"/>
      <c r="M176" s="7"/>
      <c r="N176" s="106"/>
      <c r="R176" s="3" t="str">
        <f t="shared" si="21"/>
        <v/>
      </c>
      <c r="S176" s="3">
        <f t="shared" si="22"/>
        <v>0</v>
      </c>
      <c r="T176" s="3">
        <f t="shared" si="23"/>
        <v>13</v>
      </c>
    </row>
    <row r="177" spans="1:20">
      <c r="A177" s="74" t="str">
        <f t="shared" si="16"/>
        <v/>
      </c>
      <c r="B177" s="75" t="str">
        <f>IFERROR(INDEX(对接源_01入库吨位!$B$5:$B$304,MATCH(INT((ROW()-5)/3)+1,对接源_01入库吨位!$S$5:$S$304,0)),"")</f>
        <v/>
      </c>
      <c r="C177" s="75" t="str">
        <f>IFERROR(INDEX(对接源_01入库吨位!$C$5:$C$304,MATCH(INT((ROW()-5)/3)+1,对接源_01入库吨位!$S$5:$S$304,0)),"")</f>
        <v/>
      </c>
      <c r="D177" s="89" t="str">
        <f t="shared" si="17"/>
        <v/>
      </c>
      <c r="E177" s="42" t="str">
        <f>IF($B177="","",IFERROR(IF($D177="周转打冷",N(INDEX(对接源_01入库吨位!$D$5:$D$304,MATCH(INT((ROW()-5)/3)+1,对接源_01入库吨位!$S$5:$S$304,0))),IF($D177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7" s="76" t="str">
        <f>IF($B177="","",ROUND(IFERROR(IF($D177="周转打冷",N(INDEX(对接源_01入库吨位!$H$5:$H$304,MATCH(INT((ROW()-5)/3)+1,对接源_01入库吨位!$S$5:$S$304,0))),IF($D177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7" s="122" t="str">
        <f t="shared" si="18"/>
        <v/>
      </c>
      <c r="H177" s="43"/>
      <c r="I177" s="107"/>
      <c r="J177" s="123" t="str">
        <f t="shared" si="19"/>
        <v/>
      </c>
      <c r="K177" s="76" t="str">
        <f t="shared" si="20"/>
        <v/>
      </c>
      <c r="L177" s="43"/>
      <c r="M177" s="7"/>
      <c r="N177" s="106"/>
      <c r="R177" s="3" t="str">
        <f t="shared" si="21"/>
        <v/>
      </c>
      <c r="S177" s="3">
        <f t="shared" si="22"/>
        <v>0</v>
      </c>
      <c r="T177" s="3">
        <f t="shared" si="23"/>
        <v>13</v>
      </c>
    </row>
    <row r="178" spans="1:20">
      <c r="A178" s="74" t="str">
        <f t="shared" si="16"/>
        <v/>
      </c>
      <c r="B178" s="75" t="str">
        <f>IFERROR(INDEX(对接源_01入库吨位!$B$5:$B$304,MATCH(INT((ROW()-5)/3)+1,对接源_01入库吨位!$S$5:$S$304,0)),"")</f>
        <v/>
      </c>
      <c r="C178" s="75" t="str">
        <f>IFERROR(INDEX(对接源_01入库吨位!$C$5:$C$304,MATCH(INT((ROW()-5)/3)+1,对接源_01入库吨位!$S$5:$S$304,0)),"")</f>
        <v/>
      </c>
      <c r="D178" s="89" t="str">
        <f t="shared" si="17"/>
        <v/>
      </c>
      <c r="E178" s="42" t="str">
        <f>IF($B178="","",IFERROR(IF($D178="周转打冷",N(INDEX(对接源_01入库吨位!$D$5:$D$304,MATCH(INT((ROW()-5)/3)+1,对接源_01入库吨位!$S$5:$S$304,0))),IF($D178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8" s="76" t="str">
        <f>IF($B178="","",ROUND(IFERROR(IF($D178="周转打冷",N(INDEX(对接源_01入库吨位!$H$5:$H$304,MATCH(INT((ROW()-5)/3)+1,对接源_01入库吨位!$S$5:$S$304,0))),IF($D178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8" s="122" t="str">
        <f t="shared" si="18"/>
        <v/>
      </c>
      <c r="H178" s="43"/>
      <c r="I178" s="107"/>
      <c r="J178" s="123" t="str">
        <f t="shared" si="19"/>
        <v/>
      </c>
      <c r="K178" s="76" t="str">
        <f t="shared" si="20"/>
        <v/>
      </c>
      <c r="L178" s="43"/>
      <c r="M178" s="7"/>
      <c r="N178" s="106"/>
      <c r="R178" s="3" t="str">
        <f t="shared" si="21"/>
        <v/>
      </c>
      <c r="S178" s="3">
        <f t="shared" si="22"/>
        <v>0</v>
      </c>
      <c r="T178" s="3">
        <f t="shared" si="23"/>
        <v>13</v>
      </c>
    </row>
    <row r="179" spans="1:20">
      <c r="A179" s="74" t="str">
        <f t="shared" si="16"/>
        <v/>
      </c>
      <c r="B179" s="75" t="str">
        <f>IFERROR(INDEX(对接源_01入库吨位!$B$5:$B$304,MATCH(INT((ROW()-5)/3)+1,对接源_01入库吨位!$S$5:$S$304,0)),"")</f>
        <v/>
      </c>
      <c r="C179" s="75" t="str">
        <f>IFERROR(INDEX(对接源_01入库吨位!$C$5:$C$304,MATCH(INT((ROW()-5)/3)+1,对接源_01入库吨位!$S$5:$S$304,0)),"")</f>
        <v/>
      </c>
      <c r="D179" s="89" t="str">
        <f t="shared" si="17"/>
        <v/>
      </c>
      <c r="E179" s="42" t="str">
        <f>IF($B179="","",IFERROR(IF($D179="周转打冷",N(INDEX(对接源_01入库吨位!$D$5:$D$304,MATCH(INT((ROW()-5)/3)+1,对接源_01入库吨位!$S$5:$S$304,0))),IF($D179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9" s="76" t="str">
        <f>IF($B179="","",ROUND(IFERROR(IF($D179="周转打冷",N(INDEX(对接源_01入库吨位!$H$5:$H$304,MATCH(INT((ROW()-5)/3)+1,对接源_01入库吨位!$S$5:$S$304,0))),IF($D179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9" s="122" t="str">
        <f t="shared" si="18"/>
        <v/>
      </c>
      <c r="H179" s="43"/>
      <c r="I179" s="107"/>
      <c r="J179" s="123" t="str">
        <f t="shared" si="19"/>
        <v/>
      </c>
      <c r="K179" s="76" t="str">
        <f t="shared" si="20"/>
        <v/>
      </c>
      <c r="L179" s="43"/>
      <c r="M179" s="7"/>
      <c r="N179" s="106"/>
      <c r="R179" s="3" t="str">
        <f t="shared" si="21"/>
        <v/>
      </c>
      <c r="S179" s="3">
        <f t="shared" si="22"/>
        <v>0</v>
      </c>
      <c r="T179" s="3">
        <f t="shared" si="23"/>
        <v>13</v>
      </c>
    </row>
    <row r="180" spans="1:20">
      <c r="A180" s="74" t="str">
        <f t="shared" si="16"/>
        <v/>
      </c>
      <c r="B180" s="75" t="str">
        <f>IFERROR(INDEX(对接源_01入库吨位!$B$5:$B$304,MATCH(INT((ROW()-5)/3)+1,对接源_01入库吨位!$S$5:$S$304,0)),"")</f>
        <v/>
      </c>
      <c r="C180" s="75" t="str">
        <f>IFERROR(INDEX(对接源_01入库吨位!$C$5:$C$304,MATCH(INT((ROW()-5)/3)+1,对接源_01入库吨位!$S$5:$S$304,0)),"")</f>
        <v/>
      </c>
      <c r="D180" s="89" t="str">
        <f t="shared" si="17"/>
        <v/>
      </c>
      <c r="E180" s="42" t="str">
        <f>IF($B180="","",IFERROR(IF($D180="周转打冷",N(INDEX(对接源_01入库吨位!$D$5:$D$304,MATCH(INT((ROW()-5)/3)+1,对接源_01入库吨位!$S$5:$S$304,0))),IF($D180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0" s="76" t="str">
        <f>IF($B180="","",ROUND(IFERROR(IF($D180="周转打冷",N(INDEX(对接源_01入库吨位!$H$5:$H$304,MATCH(INT((ROW()-5)/3)+1,对接源_01入库吨位!$S$5:$S$304,0))),IF($D180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0" s="122" t="str">
        <f t="shared" si="18"/>
        <v/>
      </c>
      <c r="H180" s="43"/>
      <c r="I180" s="107"/>
      <c r="J180" s="123" t="str">
        <f t="shared" si="19"/>
        <v/>
      </c>
      <c r="K180" s="76" t="str">
        <f t="shared" si="20"/>
        <v/>
      </c>
      <c r="L180" s="43"/>
      <c r="M180" s="7"/>
      <c r="N180" s="106"/>
      <c r="R180" s="3" t="str">
        <f t="shared" si="21"/>
        <v/>
      </c>
      <c r="S180" s="3">
        <f t="shared" si="22"/>
        <v>0</v>
      </c>
      <c r="T180" s="3">
        <f t="shared" si="23"/>
        <v>13</v>
      </c>
    </row>
    <row r="181" spans="1:20">
      <c r="A181" s="74" t="str">
        <f t="shared" si="16"/>
        <v/>
      </c>
      <c r="B181" s="75" t="str">
        <f>IFERROR(INDEX(对接源_01入库吨位!$B$5:$B$304,MATCH(INT((ROW()-5)/3)+1,对接源_01入库吨位!$S$5:$S$304,0)),"")</f>
        <v/>
      </c>
      <c r="C181" s="75" t="str">
        <f>IFERROR(INDEX(对接源_01入库吨位!$C$5:$C$304,MATCH(INT((ROW()-5)/3)+1,对接源_01入库吨位!$S$5:$S$304,0)),"")</f>
        <v/>
      </c>
      <c r="D181" s="89" t="str">
        <f t="shared" si="17"/>
        <v/>
      </c>
      <c r="E181" s="42" t="str">
        <f>IF($B181="","",IFERROR(IF($D181="周转打冷",N(INDEX(对接源_01入库吨位!$D$5:$D$304,MATCH(INT((ROW()-5)/3)+1,对接源_01入库吨位!$S$5:$S$304,0))),IF($D181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1" s="76" t="str">
        <f>IF($B181="","",ROUND(IFERROR(IF($D181="周转打冷",N(INDEX(对接源_01入库吨位!$H$5:$H$304,MATCH(INT((ROW()-5)/3)+1,对接源_01入库吨位!$S$5:$S$304,0))),IF($D181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1" s="122" t="str">
        <f t="shared" si="18"/>
        <v/>
      </c>
      <c r="H181" s="43"/>
      <c r="I181" s="107"/>
      <c r="J181" s="123" t="str">
        <f t="shared" si="19"/>
        <v/>
      </c>
      <c r="K181" s="76" t="str">
        <f t="shared" si="20"/>
        <v/>
      </c>
      <c r="L181" s="43"/>
      <c r="M181" s="7"/>
      <c r="N181" s="106"/>
      <c r="R181" s="3" t="str">
        <f t="shared" si="21"/>
        <v/>
      </c>
      <c r="S181" s="3">
        <f t="shared" si="22"/>
        <v>0</v>
      </c>
      <c r="T181" s="3">
        <f t="shared" si="23"/>
        <v>13</v>
      </c>
    </row>
    <row r="182" spans="1:20">
      <c r="A182" s="74" t="str">
        <f t="shared" si="16"/>
        <v/>
      </c>
      <c r="B182" s="75" t="str">
        <f>IFERROR(INDEX(对接源_01入库吨位!$B$5:$B$304,MATCH(INT((ROW()-5)/3)+1,对接源_01入库吨位!$S$5:$S$304,0)),"")</f>
        <v/>
      </c>
      <c r="C182" s="75" t="str">
        <f>IFERROR(INDEX(对接源_01入库吨位!$C$5:$C$304,MATCH(INT((ROW()-5)/3)+1,对接源_01入库吨位!$S$5:$S$304,0)),"")</f>
        <v/>
      </c>
      <c r="D182" s="89" t="str">
        <f t="shared" si="17"/>
        <v/>
      </c>
      <c r="E182" s="42" t="str">
        <f>IF($B182="","",IFERROR(IF($D182="周转打冷",N(INDEX(对接源_01入库吨位!$D$5:$D$304,MATCH(INT((ROW()-5)/3)+1,对接源_01入库吨位!$S$5:$S$304,0))),IF($D182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2" s="76" t="str">
        <f>IF($B182="","",ROUND(IFERROR(IF($D182="周转打冷",N(INDEX(对接源_01入库吨位!$H$5:$H$304,MATCH(INT((ROW()-5)/3)+1,对接源_01入库吨位!$S$5:$S$304,0))),IF($D182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2" s="122" t="str">
        <f t="shared" si="18"/>
        <v/>
      </c>
      <c r="H182" s="43"/>
      <c r="I182" s="107"/>
      <c r="J182" s="123" t="str">
        <f t="shared" si="19"/>
        <v/>
      </c>
      <c r="K182" s="76" t="str">
        <f t="shared" si="20"/>
        <v/>
      </c>
      <c r="L182" s="43"/>
      <c r="M182" s="7"/>
      <c r="N182" s="106"/>
      <c r="R182" s="3" t="str">
        <f t="shared" si="21"/>
        <v/>
      </c>
      <c r="S182" s="3">
        <f t="shared" si="22"/>
        <v>0</v>
      </c>
      <c r="T182" s="3">
        <f t="shared" si="23"/>
        <v>13</v>
      </c>
    </row>
    <row r="183" spans="1:20">
      <c r="A183" s="74" t="str">
        <f t="shared" si="16"/>
        <v/>
      </c>
      <c r="B183" s="75" t="str">
        <f>IFERROR(INDEX(对接源_01入库吨位!$B$5:$B$304,MATCH(INT((ROW()-5)/3)+1,对接源_01入库吨位!$S$5:$S$304,0)),"")</f>
        <v/>
      </c>
      <c r="C183" s="75" t="str">
        <f>IFERROR(INDEX(对接源_01入库吨位!$C$5:$C$304,MATCH(INT((ROW()-5)/3)+1,对接源_01入库吨位!$S$5:$S$304,0)),"")</f>
        <v/>
      </c>
      <c r="D183" s="89" t="str">
        <f t="shared" si="17"/>
        <v/>
      </c>
      <c r="E183" s="42" t="str">
        <f>IF($B183="","",IFERROR(IF($D183="周转打冷",N(INDEX(对接源_01入库吨位!$D$5:$D$304,MATCH(INT((ROW()-5)/3)+1,对接源_01入库吨位!$S$5:$S$304,0))),IF($D183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3" s="76" t="str">
        <f>IF($B183="","",ROUND(IFERROR(IF($D183="周转打冷",N(INDEX(对接源_01入库吨位!$H$5:$H$304,MATCH(INT((ROW()-5)/3)+1,对接源_01入库吨位!$S$5:$S$304,0))),IF($D183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3" s="122" t="str">
        <f t="shared" si="18"/>
        <v/>
      </c>
      <c r="H183" s="43"/>
      <c r="I183" s="107"/>
      <c r="J183" s="123" t="str">
        <f t="shared" si="19"/>
        <v/>
      </c>
      <c r="K183" s="76" t="str">
        <f t="shared" si="20"/>
        <v/>
      </c>
      <c r="L183" s="43"/>
      <c r="M183" s="7"/>
      <c r="N183" s="106"/>
      <c r="R183" s="3" t="str">
        <f t="shared" si="21"/>
        <v/>
      </c>
      <c r="S183" s="3">
        <f t="shared" si="22"/>
        <v>0</v>
      </c>
      <c r="T183" s="3">
        <f t="shared" si="23"/>
        <v>13</v>
      </c>
    </row>
    <row r="184" spans="1:20">
      <c r="A184" s="74" t="str">
        <f t="shared" si="16"/>
        <v/>
      </c>
      <c r="B184" s="75" t="str">
        <f>IFERROR(INDEX(对接源_01入库吨位!$B$5:$B$304,MATCH(INT((ROW()-5)/3)+1,对接源_01入库吨位!$S$5:$S$304,0)),"")</f>
        <v/>
      </c>
      <c r="C184" s="75" t="str">
        <f>IFERROR(INDEX(对接源_01入库吨位!$C$5:$C$304,MATCH(INT((ROW()-5)/3)+1,对接源_01入库吨位!$S$5:$S$304,0)),"")</f>
        <v/>
      </c>
      <c r="D184" s="89" t="str">
        <f t="shared" si="17"/>
        <v/>
      </c>
      <c r="E184" s="42" t="str">
        <f>IF($B184="","",IFERROR(IF($D184="周转打冷",N(INDEX(对接源_01入库吨位!$D$5:$D$304,MATCH(INT((ROW()-5)/3)+1,对接源_01入库吨位!$S$5:$S$304,0))),IF($D184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4" s="76" t="str">
        <f>IF($B184="","",ROUND(IFERROR(IF($D184="周转打冷",N(INDEX(对接源_01入库吨位!$H$5:$H$304,MATCH(INT((ROW()-5)/3)+1,对接源_01入库吨位!$S$5:$S$304,0))),IF($D184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4" s="122" t="str">
        <f t="shared" si="18"/>
        <v/>
      </c>
      <c r="H184" s="43"/>
      <c r="I184" s="107"/>
      <c r="J184" s="123" t="str">
        <f t="shared" si="19"/>
        <v/>
      </c>
      <c r="K184" s="76" t="str">
        <f t="shared" si="20"/>
        <v/>
      </c>
      <c r="L184" s="43"/>
      <c r="M184" s="7"/>
      <c r="N184" s="106"/>
      <c r="R184" s="3" t="str">
        <f t="shared" si="21"/>
        <v/>
      </c>
      <c r="S184" s="3">
        <f t="shared" si="22"/>
        <v>0</v>
      </c>
      <c r="T184" s="3">
        <f t="shared" si="23"/>
        <v>13</v>
      </c>
    </row>
    <row r="185" spans="1:20">
      <c r="A185" s="74" t="str">
        <f t="shared" si="16"/>
        <v/>
      </c>
      <c r="B185" s="75" t="str">
        <f>IFERROR(INDEX(对接源_01入库吨位!$B$5:$B$304,MATCH(INT((ROW()-5)/3)+1,对接源_01入库吨位!$S$5:$S$304,0)),"")</f>
        <v/>
      </c>
      <c r="C185" s="75" t="str">
        <f>IFERROR(INDEX(对接源_01入库吨位!$C$5:$C$304,MATCH(INT((ROW()-5)/3)+1,对接源_01入库吨位!$S$5:$S$304,0)),"")</f>
        <v/>
      </c>
      <c r="D185" s="89" t="str">
        <f t="shared" si="17"/>
        <v/>
      </c>
      <c r="E185" s="42" t="str">
        <f>IF($B185="","",IFERROR(IF($D185="周转打冷",N(INDEX(对接源_01入库吨位!$D$5:$D$304,MATCH(INT((ROW()-5)/3)+1,对接源_01入库吨位!$S$5:$S$304,0))),IF($D185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5" s="76" t="str">
        <f>IF($B185="","",ROUND(IFERROR(IF($D185="周转打冷",N(INDEX(对接源_01入库吨位!$H$5:$H$304,MATCH(INT((ROW()-5)/3)+1,对接源_01入库吨位!$S$5:$S$304,0))),IF($D185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5" s="122" t="str">
        <f t="shared" si="18"/>
        <v/>
      </c>
      <c r="H185" s="43"/>
      <c r="I185" s="107"/>
      <c r="J185" s="123" t="str">
        <f t="shared" si="19"/>
        <v/>
      </c>
      <c r="K185" s="76" t="str">
        <f t="shared" si="20"/>
        <v/>
      </c>
      <c r="L185" s="43"/>
      <c r="M185" s="7"/>
      <c r="N185" s="106"/>
      <c r="R185" s="3" t="str">
        <f t="shared" si="21"/>
        <v/>
      </c>
      <c r="S185" s="3">
        <f t="shared" si="22"/>
        <v>0</v>
      </c>
      <c r="T185" s="3">
        <f t="shared" si="23"/>
        <v>13</v>
      </c>
    </row>
    <row r="186" spans="1:20">
      <c r="A186" s="74" t="str">
        <f t="shared" si="16"/>
        <v/>
      </c>
      <c r="B186" s="75" t="str">
        <f>IFERROR(INDEX(对接源_01入库吨位!$B$5:$B$304,MATCH(INT((ROW()-5)/3)+1,对接源_01入库吨位!$S$5:$S$304,0)),"")</f>
        <v/>
      </c>
      <c r="C186" s="75" t="str">
        <f>IFERROR(INDEX(对接源_01入库吨位!$C$5:$C$304,MATCH(INT((ROW()-5)/3)+1,对接源_01入库吨位!$S$5:$S$304,0)),"")</f>
        <v/>
      </c>
      <c r="D186" s="89" t="str">
        <f t="shared" si="17"/>
        <v/>
      </c>
      <c r="E186" s="42" t="str">
        <f>IF($B186="","",IFERROR(IF($D186="周转打冷",N(INDEX(对接源_01入库吨位!$D$5:$D$304,MATCH(INT((ROW()-5)/3)+1,对接源_01入库吨位!$S$5:$S$304,0))),IF($D186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6" s="76" t="str">
        <f>IF($B186="","",ROUND(IFERROR(IF($D186="周转打冷",N(INDEX(对接源_01入库吨位!$H$5:$H$304,MATCH(INT((ROW()-5)/3)+1,对接源_01入库吨位!$S$5:$S$304,0))),IF($D186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6" s="122" t="str">
        <f t="shared" si="18"/>
        <v/>
      </c>
      <c r="H186" s="43"/>
      <c r="I186" s="107"/>
      <c r="J186" s="123" t="str">
        <f t="shared" si="19"/>
        <v/>
      </c>
      <c r="K186" s="76" t="str">
        <f t="shared" si="20"/>
        <v/>
      </c>
      <c r="L186" s="43"/>
      <c r="M186" s="7"/>
      <c r="N186" s="106"/>
      <c r="R186" s="3" t="str">
        <f t="shared" si="21"/>
        <v/>
      </c>
      <c r="S186" s="3">
        <f t="shared" si="22"/>
        <v>0</v>
      </c>
      <c r="T186" s="3">
        <f t="shared" si="23"/>
        <v>13</v>
      </c>
    </row>
    <row r="187" spans="1:20">
      <c r="A187" s="74" t="str">
        <f t="shared" si="16"/>
        <v/>
      </c>
      <c r="B187" s="75" t="str">
        <f>IFERROR(INDEX(对接源_01入库吨位!$B$5:$B$304,MATCH(INT((ROW()-5)/3)+1,对接源_01入库吨位!$S$5:$S$304,0)),"")</f>
        <v/>
      </c>
      <c r="C187" s="75" t="str">
        <f>IFERROR(INDEX(对接源_01入库吨位!$C$5:$C$304,MATCH(INT((ROW()-5)/3)+1,对接源_01入库吨位!$S$5:$S$304,0)),"")</f>
        <v/>
      </c>
      <c r="D187" s="89" t="str">
        <f t="shared" si="17"/>
        <v/>
      </c>
      <c r="E187" s="42" t="str">
        <f>IF($B187="","",IFERROR(IF($D187="周转打冷",N(INDEX(对接源_01入库吨位!$D$5:$D$304,MATCH(INT((ROW()-5)/3)+1,对接源_01入库吨位!$S$5:$S$304,0))),IF($D187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7" s="76" t="str">
        <f>IF($B187="","",ROUND(IFERROR(IF($D187="周转打冷",N(INDEX(对接源_01入库吨位!$H$5:$H$304,MATCH(INT((ROW()-5)/3)+1,对接源_01入库吨位!$S$5:$S$304,0))),IF($D187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7" s="122" t="str">
        <f t="shared" si="18"/>
        <v/>
      </c>
      <c r="H187" s="43"/>
      <c r="I187" s="107"/>
      <c r="J187" s="123" t="str">
        <f t="shared" si="19"/>
        <v/>
      </c>
      <c r="K187" s="76" t="str">
        <f t="shared" si="20"/>
        <v/>
      </c>
      <c r="L187" s="43"/>
      <c r="M187" s="7"/>
      <c r="N187" s="106"/>
      <c r="R187" s="3" t="str">
        <f t="shared" si="21"/>
        <v/>
      </c>
      <c r="S187" s="3">
        <f t="shared" si="22"/>
        <v>0</v>
      </c>
      <c r="T187" s="3">
        <f t="shared" si="23"/>
        <v>13</v>
      </c>
    </row>
    <row r="188" spans="1:20">
      <c r="A188" s="74" t="str">
        <f t="shared" si="16"/>
        <v/>
      </c>
      <c r="B188" s="75" t="str">
        <f>IFERROR(INDEX(对接源_01入库吨位!$B$5:$B$304,MATCH(INT((ROW()-5)/3)+1,对接源_01入库吨位!$S$5:$S$304,0)),"")</f>
        <v/>
      </c>
      <c r="C188" s="75" t="str">
        <f>IFERROR(INDEX(对接源_01入库吨位!$C$5:$C$304,MATCH(INT((ROW()-5)/3)+1,对接源_01入库吨位!$S$5:$S$304,0)),"")</f>
        <v/>
      </c>
      <c r="D188" s="89" t="str">
        <f t="shared" si="17"/>
        <v/>
      </c>
      <c r="E188" s="42" t="str">
        <f>IF($B188="","",IFERROR(IF($D188="周转打冷",N(INDEX(对接源_01入库吨位!$D$5:$D$304,MATCH(INT((ROW()-5)/3)+1,对接源_01入库吨位!$S$5:$S$304,0))),IF($D188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8" s="76" t="str">
        <f>IF($B188="","",ROUND(IFERROR(IF($D188="周转打冷",N(INDEX(对接源_01入库吨位!$H$5:$H$304,MATCH(INT((ROW()-5)/3)+1,对接源_01入库吨位!$S$5:$S$304,0))),IF($D188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8" s="122" t="str">
        <f t="shared" si="18"/>
        <v/>
      </c>
      <c r="H188" s="43"/>
      <c r="I188" s="107"/>
      <c r="J188" s="123" t="str">
        <f t="shared" si="19"/>
        <v/>
      </c>
      <c r="K188" s="76" t="str">
        <f t="shared" si="20"/>
        <v/>
      </c>
      <c r="L188" s="43"/>
      <c r="M188" s="7"/>
      <c r="N188" s="106"/>
      <c r="R188" s="3" t="str">
        <f t="shared" si="21"/>
        <v/>
      </c>
      <c r="S188" s="3">
        <f t="shared" si="22"/>
        <v>0</v>
      </c>
      <c r="T188" s="3">
        <f t="shared" si="23"/>
        <v>13</v>
      </c>
    </row>
    <row r="189" spans="1:20">
      <c r="A189" s="74" t="str">
        <f t="shared" si="16"/>
        <v/>
      </c>
      <c r="B189" s="75" t="str">
        <f>IFERROR(INDEX(对接源_01入库吨位!$B$5:$B$304,MATCH(INT((ROW()-5)/3)+1,对接源_01入库吨位!$S$5:$S$304,0)),"")</f>
        <v/>
      </c>
      <c r="C189" s="75" t="str">
        <f>IFERROR(INDEX(对接源_01入库吨位!$C$5:$C$304,MATCH(INT((ROW()-5)/3)+1,对接源_01入库吨位!$S$5:$S$304,0)),"")</f>
        <v/>
      </c>
      <c r="D189" s="89" t="str">
        <f t="shared" si="17"/>
        <v/>
      </c>
      <c r="E189" s="42" t="str">
        <f>IF($B189="","",IFERROR(IF($D189="周转打冷",N(INDEX(对接源_01入库吨位!$D$5:$D$304,MATCH(INT((ROW()-5)/3)+1,对接源_01入库吨位!$S$5:$S$304,0))),IF($D189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9" s="76" t="str">
        <f>IF($B189="","",ROUND(IFERROR(IF($D189="周转打冷",N(INDEX(对接源_01入库吨位!$H$5:$H$304,MATCH(INT((ROW()-5)/3)+1,对接源_01入库吨位!$S$5:$S$304,0))),IF($D189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9" s="122" t="str">
        <f t="shared" si="18"/>
        <v/>
      </c>
      <c r="H189" s="43"/>
      <c r="I189" s="107"/>
      <c r="J189" s="123" t="str">
        <f t="shared" si="19"/>
        <v/>
      </c>
      <c r="K189" s="76" t="str">
        <f t="shared" si="20"/>
        <v/>
      </c>
      <c r="L189" s="43"/>
      <c r="M189" s="7"/>
      <c r="N189" s="106"/>
      <c r="R189" s="3" t="str">
        <f t="shared" si="21"/>
        <v/>
      </c>
      <c r="S189" s="3">
        <f t="shared" si="22"/>
        <v>0</v>
      </c>
      <c r="T189" s="3">
        <f t="shared" si="23"/>
        <v>13</v>
      </c>
    </row>
    <row r="190" spans="1:20">
      <c r="A190" s="74" t="str">
        <f t="shared" si="16"/>
        <v/>
      </c>
      <c r="B190" s="75" t="str">
        <f>IFERROR(INDEX(对接源_01入库吨位!$B$5:$B$304,MATCH(INT((ROW()-5)/3)+1,对接源_01入库吨位!$S$5:$S$304,0)),"")</f>
        <v/>
      </c>
      <c r="C190" s="75" t="str">
        <f>IFERROR(INDEX(对接源_01入库吨位!$C$5:$C$304,MATCH(INT((ROW()-5)/3)+1,对接源_01入库吨位!$S$5:$S$304,0)),"")</f>
        <v/>
      </c>
      <c r="D190" s="89" t="str">
        <f t="shared" si="17"/>
        <v/>
      </c>
      <c r="E190" s="42" t="str">
        <f>IF($B190="","",IFERROR(IF($D190="周转打冷",N(INDEX(对接源_01入库吨位!$D$5:$D$304,MATCH(INT((ROW()-5)/3)+1,对接源_01入库吨位!$S$5:$S$304,0))),IF($D190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0" s="76" t="str">
        <f>IF($B190="","",ROUND(IFERROR(IF($D190="周转打冷",N(INDEX(对接源_01入库吨位!$H$5:$H$304,MATCH(INT((ROW()-5)/3)+1,对接源_01入库吨位!$S$5:$S$304,0))),IF($D190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0" s="122" t="str">
        <f t="shared" si="18"/>
        <v/>
      </c>
      <c r="H190" s="43"/>
      <c r="I190" s="107"/>
      <c r="J190" s="123" t="str">
        <f t="shared" si="19"/>
        <v/>
      </c>
      <c r="K190" s="76" t="str">
        <f t="shared" si="20"/>
        <v/>
      </c>
      <c r="L190" s="43"/>
      <c r="M190" s="7"/>
      <c r="N190" s="106"/>
      <c r="R190" s="3" t="str">
        <f t="shared" si="21"/>
        <v/>
      </c>
      <c r="S190" s="3">
        <f t="shared" si="22"/>
        <v>0</v>
      </c>
      <c r="T190" s="3">
        <f t="shared" si="23"/>
        <v>13</v>
      </c>
    </row>
    <row r="191" spans="1:20">
      <c r="A191" s="74" t="str">
        <f t="shared" si="16"/>
        <v/>
      </c>
      <c r="B191" s="75" t="str">
        <f>IFERROR(INDEX(对接源_01入库吨位!$B$5:$B$304,MATCH(INT((ROW()-5)/3)+1,对接源_01入库吨位!$S$5:$S$304,0)),"")</f>
        <v/>
      </c>
      <c r="C191" s="75" t="str">
        <f>IFERROR(INDEX(对接源_01入库吨位!$C$5:$C$304,MATCH(INT((ROW()-5)/3)+1,对接源_01入库吨位!$S$5:$S$304,0)),"")</f>
        <v/>
      </c>
      <c r="D191" s="89" t="str">
        <f t="shared" si="17"/>
        <v/>
      </c>
      <c r="E191" s="42" t="str">
        <f>IF($B191="","",IFERROR(IF($D191="周转打冷",N(INDEX(对接源_01入库吨位!$D$5:$D$304,MATCH(INT((ROW()-5)/3)+1,对接源_01入库吨位!$S$5:$S$304,0))),IF($D191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1" s="76" t="str">
        <f>IF($B191="","",ROUND(IFERROR(IF($D191="周转打冷",N(INDEX(对接源_01入库吨位!$H$5:$H$304,MATCH(INT((ROW()-5)/3)+1,对接源_01入库吨位!$S$5:$S$304,0))),IF($D191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1" s="122" t="str">
        <f t="shared" si="18"/>
        <v/>
      </c>
      <c r="H191" s="43"/>
      <c r="I191" s="107"/>
      <c r="J191" s="123" t="str">
        <f t="shared" si="19"/>
        <v/>
      </c>
      <c r="K191" s="76" t="str">
        <f t="shared" si="20"/>
        <v/>
      </c>
      <c r="L191" s="43"/>
      <c r="M191" s="7"/>
      <c r="N191" s="106"/>
      <c r="R191" s="3" t="str">
        <f t="shared" si="21"/>
        <v/>
      </c>
      <c r="S191" s="3">
        <f t="shared" si="22"/>
        <v>0</v>
      </c>
      <c r="T191" s="3">
        <f t="shared" si="23"/>
        <v>13</v>
      </c>
    </row>
    <row r="192" spans="1:20">
      <c r="A192" s="74" t="str">
        <f t="shared" si="16"/>
        <v/>
      </c>
      <c r="B192" s="75" t="str">
        <f>IFERROR(INDEX(对接源_01入库吨位!$B$5:$B$304,MATCH(INT((ROW()-5)/3)+1,对接源_01入库吨位!$S$5:$S$304,0)),"")</f>
        <v/>
      </c>
      <c r="C192" s="75" t="str">
        <f>IFERROR(INDEX(对接源_01入库吨位!$C$5:$C$304,MATCH(INT((ROW()-5)/3)+1,对接源_01入库吨位!$S$5:$S$304,0)),"")</f>
        <v/>
      </c>
      <c r="D192" s="89" t="str">
        <f t="shared" si="17"/>
        <v/>
      </c>
      <c r="E192" s="42" t="str">
        <f>IF($B192="","",IFERROR(IF($D192="周转打冷",N(INDEX(对接源_01入库吨位!$D$5:$D$304,MATCH(INT((ROW()-5)/3)+1,对接源_01入库吨位!$S$5:$S$304,0))),IF($D192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2" s="76" t="str">
        <f>IF($B192="","",ROUND(IFERROR(IF($D192="周转打冷",N(INDEX(对接源_01入库吨位!$H$5:$H$304,MATCH(INT((ROW()-5)/3)+1,对接源_01入库吨位!$S$5:$S$304,0))),IF($D192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2" s="122" t="str">
        <f t="shared" si="18"/>
        <v/>
      </c>
      <c r="H192" s="43"/>
      <c r="I192" s="107"/>
      <c r="J192" s="123" t="str">
        <f t="shared" si="19"/>
        <v/>
      </c>
      <c r="K192" s="76" t="str">
        <f t="shared" si="20"/>
        <v/>
      </c>
      <c r="L192" s="43"/>
      <c r="M192" s="7"/>
      <c r="N192" s="106"/>
      <c r="R192" s="3" t="str">
        <f t="shared" si="21"/>
        <v/>
      </c>
      <c r="S192" s="3">
        <f t="shared" si="22"/>
        <v>0</v>
      </c>
      <c r="T192" s="3">
        <f t="shared" si="23"/>
        <v>13</v>
      </c>
    </row>
    <row r="193" spans="1:20">
      <c r="A193" s="74" t="str">
        <f t="shared" si="16"/>
        <v/>
      </c>
      <c r="B193" s="75" t="str">
        <f>IFERROR(INDEX(对接源_01入库吨位!$B$5:$B$304,MATCH(INT((ROW()-5)/3)+1,对接源_01入库吨位!$S$5:$S$304,0)),"")</f>
        <v/>
      </c>
      <c r="C193" s="75" t="str">
        <f>IFERROR(INDEX(对接源_01入库吨位!$C$5:$C$304,MATCH(INT((ROW()-5)/3)+1,对接源_01入库吨位!$S$5:$S$304,0)),"")</f>
        <v/>
      </c>
      <c r="D193" s="89" t="str">
        <f t="shared" si="17"/>
        <v/>
      </c>
      <c r="E193" s="42" t="str">
        <f>IF($B193="","",IFERROR(IF($D193="周转打冷",N(INDEX(对接源_01入库吨位!$D$5:$D$304,MATCH(INT((ROW()-5)/3)+1,对接源_01入库吨位!$S$5:$S$304,0))),IF($D193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3" s="76" t="str">
        <f>IF($B193="","",ROUND(IFERROR(IF($D193="周转打冷",N(INDEX(对接源_01入库吨位!$H$5:$H$304,MATCH(INT((ROW()-5)/3)+1,对接源_01入库吨位!$S$5:$S$304,0))),IF($D193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3" s="122" t="str">
        <f t="shared" si="18"/>
        <v/>
      </c>
      <c r="H193" s="43"/>
      <c r="I193" s="107"/>
      <c r="J193" s="123" t="str">
        <f t="shared" si="19"/>
        <v/>
      </c>
      <c r="K193" s="76" t="str">
        <f t="shared" si="20"/>
        <v/>
      </c>
      <c r="L193" s="43"/>
      <c r="M193" s="7"/>
      <c r="N193" s="106"/>
      <c r="R193" s="3" t="str">
        <f t="shared" si="21"/>
        <v/>
      </c>
      <c r="S193" s="3">
        <f t="shared" si="22"/>
        <v>0</v>
      </c>
      <c r="T193" s="3">
        <f t="shared" si="23"/>
        <v>13</v>
      </c>
    </row>
    <row r="194" spans="1:20">
      <c r="A194" s="74" t="str">
        <f t="shared" si="16"/>
        <v/>
      </c>
      <c r="B194" s="75" t="str">
        <f>IFERROR(INDEX(对接源_01入库吨位!$B$5:$B$304,MATCH(INT((ROW()-5)/3)+1,对接源_01入库吨位!$S$5:$S$304,0)),"")</f>
        <v/>
      </c>
      <c r="C194" s="75" t="str">
        <f>IFERROR(INDEX(对接源_01入库吨位!$C$5:$C$304,MATCH(INT((ROW()-5)/3)+1,对接源_01入库吨位!$S$5:$S$304,0)),"")</f>
        <v/>
      </c>
      <c r="D194" s="89" t="str">
        <f t="shared" si="17"/>
        <v/>
      </c>
      <c r="E194" s="42" t="str">
        <f>IF($B194="","",IFERROR(IF($D194="周转打冷",N(INDEX(对接源_01入库吨位!$D$5:$D$304,MATCH(INT((ROW()-5)/3)+1,对接源_01入库吨位!$S$5:$S$304,0))),IF($D194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4" s="76" t="str">
        <f>IF($B194="","",ROUND(IFERROR(IF($D194="周转打冷",N(INDEX(对接源_01入库吨位!$H$5:$H$304,MATCH(INT((ROW()-5)/3)+1,对接源_01入库吨位!$S$5:$S$304,0))),IF($D194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4" s="122" t="str">
        <f t="shared" si="18"/>
        <v/>
      </c>
      <c r="H194" s="43"/>
      <c r="I194" s="107"/>
      <c r="J194" s="123" t="str">
        <f t="shared" si="19"/>
        <v/>
      </c>
      <c r="K194" s="76" t="str">
        <f t="shared" si="20"/>
        <v/>
      </c>
      <c r="L194" s="43"/>
      <c r="M194" s="7"/>
      <c r="N194" s="106"/>
      <c r="R194" s="3" t="str">
        <f t="shared" si="21"/>
        <v/>
      </c>
      <c r="S194" s="3">
        <f t="shared" si="22"/>
        <v>0</v>
      </c>
      <c r="T194" s="3">
        <f t="shared" si="23"/>
        <v>13</v>
      </c>
    </row>
    <row r="195" spans="1:20">
      <c r="A195" s="74" t="str">
        <f t="shared" si="16"/>
        <v/>
      </c>
      <c r="B195" s="75" t="str">
        <f>IFERROR(INDEX(对接源_01入库吨位!$B$5:$B$304,MATCH(INT((ROW()-5)/3)+1,对接源_01入库吨位!$S$5:$S$304,0)),"")</f>
        <v/>
      </c>
      <c r="C195" s="75" t="str">
        <f>IFERROR(INDEX(对接源_01入库吨位!$C$5:$C$304,MATCH(INT((ROW()-5)/3)+1,对接源_01入库吨位!$S$5:$S$304,0)),"")</f>
        <v/>
      </c>
      <c r="D195" s="89" t="str">
        <f t="shared" si="17"/>
        <v/>
      </c>
      <c r="E195" s="42" t="str">
        <f>IF($B195="","",IFERROR(IF($D195="周转打冷",N(INDEX(对接源_01入库吨位!$D$5:$D$304,MATCH(INT((ROW()-5)/3)+1,对接源_01入库吨位!$S$5:$S$304,0))),IF($D195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5" s="76" t="str">
        <f>IF($B195="","",ROUND(IFERROR(IF($D195="周转打冷",N(INDEX(对接源_01入库吨位!$H$5:$H$304,MATCH(INT((ROW()-5)/3)+1,对接源_01入库吨位!$S$5:$S$304,0))),IF($D195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5" s="122" t="str">
        <f t="shared" si="18"/>
        <v/>
      </c>
      <c r="H195" s="43"/>
      <c r="I195" s="107"/>
      <c r="J195" s="123" t="str">
        <f t="shared" si="19"/>
        <v/>
      </c>
      <c r="K195" s="76" t="str">
        <f t="shared" si="20"/>
        <v/>
      </c>
      <c r="L195" s="43"/>
      <c r="M195" s="7"/>
      <c r="N195" s="106"/>
      <c r="R195" s="3" t="str">
        <f t="shared" si="21"/>
        <v/>
      </c>
      <c r="S195" s="3">
        <f t="shared" si="22"/>
        <v>0</v>
      </c>
      <c r="T195" s="3">
        <f t="shared" si="23"/>
        <v>13</v>
      </c>
    </row>
    <row r="196" spans="1:20">
      <c r="A196" s="74" t="str">
        <f t="shared" si="16"/>
        <v/>
      </c>
      <c r="B196" s="75" t="str">
        <f>IFERROR(INDEX(对接源_01入库吨位!$B$5:$B$304,MATCH(INT((ROW()-5)/3)+1,对接源_01入库吨位!$S$5:$S$304,0)),"")</f>
        <v/>
      </c>
      <c r="C196" s="75" t="str">
        <f>IFERROR(INDEX(对接源_01入库吨位!$C$5:$C$304,MATCH(INT((ROW()-5)/3)+1,对接源_01入库吨位!$S$5:$S$304,0)),"")</f>
        <v/>
      </c>
      <c r="D196" s="89" t="str">
        <f t="shared" si="17"/>
        <v/>
      </c>
      <c r="E196" s="42" t="str">
        <f>IF($B196="","",IFERROR(IF($D196="周转打冷",N(INDEX(对接源_01入库吨位!$D$5:$D$304,MATCH(INT((ROW()-5)/3)+1,对接源_01入库吨位!$S$5:$S$304,0))),IF($D196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6" s="76" t="str">
        <f>IF($B196="","",ROUND(IFERROR(IF($D196="周转打冷",N(INDEX(对接源_01入库吨位!$H$5:$H$304,MATCH(INT((ROW()-5)/3)+1,对接源_01入库吨位!$S$5:$S$304,0))),IF($D196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6" s="122" t="str">
        <f t="shared" si="18"/>
        <v/>
      </c>
      <c r="H196" s="43"/>
      <c r="I196" s="107"/>
      <c r="J196" s="123" t="str">
        <f t="shared" si="19"/>
        <v/>
      </c>
      <c r="K196" s="76" t="str">
        <f t="shared" si="20"/>
        <v/>
      </c>
      <c r="L196" s="43"/>
      <c r="M196" s="7"/>
      <c r="N196" s="106"/>
      <c r="R196" s="3" t="str">
        <f t="shared" si="21"/>
        <v/>
      </c>
      <c r="S196" s="3">
        <f t="shared" si="22"/>
        <v>0</v>
      </c>
      <c r="T196" s="3">
        <f t="shared" si="23"/>
        <v>13</v>
      </c>
    </row>
    <row r="197" spans="1:20">
      <c r="A197" s="74" t="str">
        <f t="shared" ref="A197:A260" si="24">IF($B197="","",ROW()-4)</f>
        <v/>
      </c>
      <c r="B197" s="75" t="str">
        <f>IFERROR(INDEX(对接源_01入库吨位!$B$5:$B$304,MATCH(INT((ROW()-5)/3)+1,对接源_01入库吨位!$S$5:$S$304,0)),"")</f>
        <v/>
      </c>
      <c r="C197" s="75" t="str">
        <f>IFERROR(INDEX(对接源_01入库吨位!$C$5:$C$304,MATCH(INT((ROW()-5)/3)+1,对接源_01入库吨位!$S$5:$S$304,0)),"")</f>
        <v/>
      </c>
      <c r="D197" s="89" t="str">
        <f t="shared" ref="D197:D260" si="25">IF($B197="","",IF(MOD(ROW()-5,3)=0,"周转打冷",IF(MOD(ROW()-5,3)=1,"仓储加工","装卸费")))</f>
        <v/>
      </c>
      <c r="E197" s="42" t="str">
        <f>IF($B197="","",IFERROR(IF($D197="周转打冷",N(INDEX(对接源_01入库吨位!$D$5:$D$304,MATCH(INT((ROW()-5)/3)+1,对接源_01入库吨位!$S$5:$S$304,0))),IF($D197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7" s="76" t="str">
        <f>IF($B197="","",ROUND(IFERROR(IF($D197="周转打冷",N(INDEX(对接源_01入库吨位!$H$5:$H$304,MATCH(INT((ROW()-5)/3)+1,对接源_01入库吨位!$S$5:$S$304,0))),IF($D197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7" s="122" t="str">
        <f t="shared" ref="G197:G260" si="26">IF($B197="","",ROUND(N($F197)/1000,3))</f>
        <v/>
      </c>
      <c r="H197" s="43"/>
      <c r="I197" s="107"/>
      <c r="J197" s="123" t="str">
        <f t="shared" ref="J197:J260" si="27">IF($B197="","",IF($H197="按筐数×单价",N($E197),IF($H197="按总重KG×单价",N($F197),IF($H197="按吨位×单价",N($G197),0))))</f>
        <v/>
      </c>
      <c r="K197" s="76" t="str">
        <f t="shared" ref="K197:K260" si="28">IF($B197="","",ROUND(N($J197)*N($I197),2))</f>
        <v/>
      </c>
      <c r="L197" s="43"/>
      <c r="M197" s="7"/>
      <c r="N197" s="106"/>
      <c r="R197" s="3" t="str">
        <f t="shared" ref="R197:R260" si="29">IF($B197="","",$B197)</f>
        <v/>
      </c>
      <c r="S197" s="3">
        <f t="shared" ref="S197:S260" si="30">IF($R197="",0,IF(MATCH($R197,$R$5:$R$904,0)=ROW()-4,1,0))</f>
        <v>0</v>
      </c>
      <c r="T197" s="3">
        <f t="shared" ref="T197:T260" si="31">N(T196)+$S197</f>
        <v>13</v>
      </c>
    </row>
    <row r="198" spans="1:20">
      <c r="A198" s="74" t="str">
        <f t="shared" si="24"/>
        <v/>
      </c>
      <c r="B198" s="75" t="str">
        <f>IFERROR(INDEX(对接源_01入库吨位!$B$5:$B$304,MATCH(INT((ROW()-5)/3)+1,对接源_01入库吨位!$S$5:$S$304,0)),"")</f>
        <v/>
      </c>
      <c r="C198" s="75" t="str">
        <f>IFERROR(INDEX(对接源_01入库吨位!$C$5:$C$304,MATCH(INT((ROW()-5)/3)+1,对接源_01入库吨位!$S$5:$S$304,0)),"")</f>
        <v/>
      </c>
      <c r="D198" s="89" t="str">
        <f t="shared" si="25"/>
        <v/>
      </c>
      <c r="E198" s="42" t="str">
        <f>IF($B198="","",IFERROR(IF($D198="周转打冷",N(INDEX(对接源_01入库吨位!$D$5:$D$304,MATCH(INT((ROW()-5)/3)+1,对接源_01入库吨位!$S$5:$S$304,0))),IF($D198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8" s="76" t="str">
        <f>IF($B198="","",ROUND(IFERROR(IF($D198="周转打冷",N(INDEX(对接源_01入库吨位!$H$5:$H$304,MATCH(INT((ROW()-5)/3)+1,对接源_01入库吨位!$S$5:$S$304,0))),IF($D198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8" s="122" t="str">
        <f t="shared" si="26"/>
        <v/>
      </c>
      <c r="H198" s="43"/>
      <c r="I198" s="107"/>
      <c r="J198" s="123" t="str">
        <f t="shared" si="27"/>
        <v/>
      </c>
      <c r="K198" s="76" t="str">
        <f t="shared" si="28"/>
        <v/>
      </c>
      <c r="L198" s="43"/>
      <c r="M198" s="7"/>
      <c r="N198" s="106"/>
      <c r="R198" s="3" t="str">
        <f t="shared" si="29"/>
        <v/>
      </c>
      <c r="S198" s="3">
        <f t="shared" si="30"/>
        <v>0</v>
      </c>
      <c r="T198" s="3">
        <f t="shared" si="31"/>
        <v>13</v>
      </c>
    </row>
    <row r="199" spans="1:20">
      <c r="A199" s="74" t="str">
        <f t="shared" si="24"/>
        <v/>
      </c>
      <c r="B199" s="75" t="str">
        <f>IFERROR(INDEX(对接源_01入库吨位!$B$5:$B$304,MATCH(INT((ROW()-5)/3)+1,对接源_01入库吨位!$S$5:$S$304,0)),"")</f>
        <v/>
      </c>
      <c r="C199" s="75" t="str">
        <f>IFERROR(INDEX(对接源_01入库吨位!$C$5:$C$304,MATCH(INT((ROW()-5)/3)+1,对接源_01入库吨位!$S$5:$S$304,0)),"")</f>
        <v/>
      </c>
      <c r="D199" s="89" t="str">
        <f t="shared" si="25"/>
        <v/>
      </c>
      <c r="E199" s="42" t="str">
        <f>IF($B199="","",IFERROR(IF($D199="周转打冷",N(INDEX(对接源_01入库吨位!$D$5:$D$304,MATCH(INT((ROW()-5)/3)+1,对接源_01入库吨位!$S$5:$S$304,0))),IF($D199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9" s="76" t="str">
        <f>IF($B199="","",ROUND(IFERROR(IF($D199="周转打冷",N(INDEX(对接源_01入库吨位!$H$5:$H$304,MATCH(INT((ROW()-5)/3)+1,对接源_01入库吨位!$S$5:$S$304,0))),IF($D199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9" s="122" t="str">
        <f t="shared" si="26"/>
        <v/>
      </c>
      <c r="H199" s="43"/>
      <c r="I199" s="107"/>
      <c r="J199" s="123" t="str">
        <f t="shared" si="27"/>
        <v/>
      </c>
      <c r="K199" s="76" t="str">
        <f t="shared" si="28"/>
        <v/>
      </c>
      <c r="L199" s="43"/>
      <c r="M199" s="7"/>
      <c r="N199" s="106"/>
      <c r="R199" s="3" t="str">
        <f t="shared" si="29"/>
        <v/>
      </c>
      <c r="S199" s="3">
        <f t="shared" si="30"/>
        <v>0</v>
      </c>
      <c r="T199" s="3">
        <f t="shared" si="31"/>
        <v>13</v>
      </c>
    </row>
    <row r="200" spans="1:20">
      <c r="A200" s="74" t="str">
        <f t="shared" si="24"/>
        <v/>
      </c>
      <c r="B200" s="75" t="str">
        <f>IFERROR(INDEX(对接源_01入库吨位!$B$5:$B$304,MATCH(INT((ROW()-5)/3)+1,对接源_01入库吨位!$S$5:$S$304,0)),"")</f>
        <v/>
      </c>
      <c r="C200" s="75" t="str">
        <f>IFERROR(INDEX(对接源_01入库吨位!$C$5:$C$304,MATCH(INT((ROW()-5)/3)+1,对接源_01入库吨位!$S$5:$S$304,0)),"")</f>
        <v/>
      </c>
      <c r="D200" s="89" t="str">
        <f t="shared" si="25"/>
        <v/>
      </c>
      <c r="E200" s="42" t="str">
        <f>IF($B200="","",IFERROR(IF($D200="周转打冷",N(INDEX(对接源_01入库吨位!$D$5:$D$304,MATCH(INT((ROW()-5)/3)+1,对接源_01入库吨位!$S$5:$S$304,0))),IF($D200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0" s="76" t="str">
        <f>IF($B200="","",ROUND(IFERROR(IF($D200="周转打冷",N(INDEX(对接源_01入库吨位!$H$5:$H$304,MATCH(INT((ROW()-5)/3)+1,对接源_01入库吨位!$S$5:$S$304,0))),IF($D200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0" s="122" t="str">
        <f t="shared" si="26"/>
        <v/>
      </c>
      <c r="H200" s="43"/>
      <c r="I200" s="107"/>
      <c r="J200" s="123" t="str">
        <f t="shared" si="27"/>
        <v/>
      </c>
      <c r="K200" s="76" t="str">
        <f t="shared" si="28"/>
        <v/>
      </c>
      <c r="L200" s="43"/>
      <c r="M200" s="7"/>
      <c r="N200" s="106"/>
      <c r="R200" s="3" t="str">
        <f t="shared" si="29"/>
        <v/>
      </c>
      <c r="S200" s="3">
        <f t="shared" si="30"/>
        <v>0</v>
      </c>
      <c r="T200" s="3">
        <f t="shared" si="31"/>
        <v>13</v>
      </c>
    </row>
    <row r="201" spans="1:20">
      <c r="A201" s="74" t="str">
        <f t="shared" si="24"/>
        <v/>
      </c>
      <c r="B201" s="75" t="str">
        <f>IFERROR(INDEX(对接源_01入库吨位!$B$5:$B$304,MATCH(INT((ROW()-5)/3)+1,对接源_01入库吨位!$S$5:$S$304,0)),"")</f>
        <v/>
      </c>
      <c r="C201" s="75" t="str">
        <f>IFERROR(INDEX(对接源_01入库吨位!$C$5:$C$304,MATCH(INT((ROW()-5)/3)+1,对接源_01入库吨位!$S$5:$S$304,0)),"")</f>
        <v/>
      </c>
      <c r="D201" s="89" t="str">
        <f t="shared" si="25"/>
        <v/>
      </c>
      <c r="E201" s="42" t="str">
        <f>IF($B201="","",IFERROR(IF($D201="周转打冷",N(INDEX(对接源_01入库吨位!$D$5:$D$304,MATCH(INT((ROW()-5)/3)+1,对接源_01入库吨位!$S$5:$S$304,0))),IF($D201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1" s="76" t="str">
        <f>IF($B201="","",ROUND(IFERROR(IF($D201="周转打冷",N(INDEX(对接源_01入库吨位!$H$5:$H$304,MATCH(INT((ROW()-5)/3)+1,对接源_01入库吨位!$S$5:$S$304,0))),IF($D201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1" s="122" t="str">
        <f t="shared" si="26"/>
        <v/>
      </c>
      <c r="H201" s="43"/>
      <c r="I201" s="107"/>
      <c r="J201" s="123" t="str">
        <f t="shared" si="27"/>
        <v/>
      </c>
      <c r="K201" s="76" t="str">
        <f t="shared" si="28"/>
        <v/>
      </c>
      <c r="L201" s="43"/>
      <c r="M201" s="7"/>
      <c r="N201" s="106"/>
      <c r="R201" s="3" t="str">
        <f t="shared" si="29"/>
        <v/>
      </c>
      <c r="S201" s="3">
        <f t="shared" si="30"/>
        <v>0</v>
      </c>
      <c r="T201" s="3">
        <f t="shared" si="31"/>
        <v>13</v>
      </c>
    </row>
    <row r="202" spans="1:20">
      <c r="A202" s="74" t="str">
        <f t="shared" si="24"/>
        <v/>
      </c>
      <c r="B202" s="75" t="str">
        <f>IFERROR(INDEX(对接源_01入库吨位!$B$5:$B$304,MATCH(INT((ROW()-5)/3)+1,对接源_01入库吨位!$S$5:$S$304,0)),"")</f>
        <v/>
      </c>
      <c r="C202" s="75" t="str">
        <f>IFERROR(INDEX(对接源_01入库吨位!$C$5:$C$304,MATCH(INT((ROW()-5)/3)+1,对接源_01入库吨位!$S$5:$S$304,0)),"")</f>
        <v/>
      </c>
      <c r="D202" s="89" t="str">
        <f t="shared" si="25"/>
        <v/>
      </c>
      <c r="E202" s="42" t="str">
        <f>IF($B202="","",IFERROR(IF($D202="周转打冷",N(INDEX(对接源_01入库吨位!$D$5:$D$304,MATCH(INT((ROW()-5)/3)+1,对接源_01入库吨位!$S$5:$S$304,0))),IF($D202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2" s="76" t="str">
        <f>IF($B202="","",ROUND(IFERROR(IF($D202="周转打冷",N(INDEX(对接源_01入库吨位!$H$5:$H$304,MATCH(INT((ROW()-5)/3)+1,对接源_01入库吨位!$S$5:$S$304,0))),IF($D202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2" s="122" t="str">
        <f t="shared" si="26"/>
        <v/>
      </c>
      <c r="H202" s="43"/>
      <c r="I202" s="107"/>
      <c r="J202" s="123" t="str">
        <f t="shared" si="27"/>
        <v/>
      </c>
      <c r="K202" s="76" t="str">
        <f t="shared" si="28"/>
        <v/>
      </c>
      <c r="L202" s="43"/>
      <c r="M202" s="7"/>
      <c r="N202" s="106"/>
      <c r="R202" s="3" t="str">
        <f t="shared" si="29"/>
        <v/>
      </c>
      <c r="S202" s="3">
        <f t="shared" si="30"/>
        <v>0</v>
      </c>
      <c r="T202" s="3">
        <f t="shared" si="31"/>
        <v>13</v>
      </c>
    </row>
    <row r="203" spans="1:20">
      <c r="A203" s="74" t="str">
        <f t="shared" si="24"/>
        <v/>
      </c>
      <c r="B203" s="75" t="str">
        <f>IFERROR(INDEX(对接源_01入库吨位!$B$5:$B$304,MATCH(INT((ROW()-5)/3)+1,对接源_01入库吨位!$S$5:$S$304,0)),"")</f>
        <v/>
      </c>
      <c r="C203" s="75" t="str">
        <f>IFERROR(INDEX(对接源_01入库吨位!$C$5:$C$304,MATCH(INT((ROW()-5)/3)+1,对接源_01入库吨位!$S$5:$S$304,0)),"")</f>
        <v/>
      </c>
      <c r="D203" s="89" t="str">
        <f t="shared" si="25"/>
        <v/>
      </c>
      <c r="E203" s="42" t="str">
        <f>IF($B203="","",IFERROR(IF($D203="周转打冷",N(INDEX(对接源_01入库吨位!$D$5:$D$304,MATCH(INT((ROW()-5)/3)+1,对接源_01入库吨位!$S$5:$S$304,0))),IF($D203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3" s="76" t="str">
        <f>IF($B203="","",ROUND(IFERROR(IF($D203="周转打冷",N(INDEX(对接源_01入库吨位!$H$5:$H$304,MATCH(INT((ROW()-5)/3)+1,对接源_01入库吨位!$S$5:$S$304,0))),IF($D203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3" s="122" t="str">
        <f t="shared" si="26"/>
        <v/>
      </c>
      <c r="H203" s="43"/>
      <c r="I203" s="107"/>
      <c r="J203" s="123" t="str">
        <f t="shared" si="27"/>
        <v/>
      </c>
      <c r="K203" s="76" t="str">
        <f t="shared" si="28"/>
        <v/>
      </c>
      <c r="L203" s="43"/>
      <c r="M203" s="7"/>
      <c r="N203" s="106"/>
      <c r="R203" s="3" t="str">
        <f t="shared" si="29"/>
        <v/>
      </c>
      <c r="S203" s="3">
        <f t="shared" si="30"/>
        <v>0</v>
      </c>
      <c r="T203" s="3">
        <f t="shared" si="31"/>
        <v>13</v>
      </c>
    </row>
    <row r="204" spans="1:20">
      <c r="A204" s="74" t="str">
        <f t="shared" si="24"/>
        <v/>
      </c>
      <c r="B204" s="75" t="str">
        <f>IFERROR(INDEX(对接源_01入库吨位!$B$5:$B$304,MATCH(INT((ROW()-5)/3)+1,对接源_01入库吨位!$S$5:$S$304,0)),"")</f>
        <v/>
      </c>
      <c r="C204" s="75" t="str">
        <f>IFERROR(INDEX(对接源_01入库吨位!$C$5:$C$304,MATCH(INT((ROW()-5)/3)+1,对接源_01入库吨位!$S$5:$S$304,0)),"")</f>
        <v/>
      </c>
      <c r="D204" s="89" t="str">
        <f t="shared" si="25"/>
        <v/>
      </c>
      <c r="E204" s="42" t="str">
        <f>IF($B204="","",IFERROR(IF($D204="周转打冷",N(INDEX(对接源_01入库吨位!$D$5:$D$304,MATCH(INT((ROW()-5)/3)+1,对接源_01入库吨位!$S$5:$S$304,0))),IF($D204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4" s="76" t="str">
        <f>IF($B204="","",ROUND(IFERROR(IF($D204="周转打冷",N(INDEX(对接源_01入库吨位!$H$5:$H$304,MATCH(INT((ROW()-5)/3)+1,对接源_01入库吨位!$S$5:$S$304,0))),IF($D204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4" s="122" t="str">
        <f t="shared" si="26"/>
        <v/>
      </c>
      <c r="H204" s="43"/>
      <c r="I204" s="107"/>
      <c r="J204" s="123" t="str">
        <f t="shared" si="27"/>
        <v/>
      </c>
      <c r="K204" s="76" t="str">
        <f t="shared" si="28"/>
        <v/>
      </c>
      <c r="L204" s="43"/>
      <c r="M204" s="7"/>
      <c r="N204" s="106"/>
      <c r="R204" s="3" t="str">
        <f t="shared" si="29"/>
        <v/>
      </c>
      <c r="S204" s="3">
        <f t="shared" si="30"/>
        <v>0</v>
      </c>
      <c r="T204" s="3">
        <f t="shared" si="31"/>
        <v>13</v>
      </c>
    </row>
    <row r="205" spans="1:20">
      <c r="A205" s="74" t="str">
        <f t="shared" si="24"/>
        <v/>
      </c>
      <c r="B205" s="75" t="str">
        <f>IFERROR(INDEX(对接源_01入库吨位!$B$5:$B$304,MATCH(INT((ROW()-5)/3)+1,对接源_01入库吨位!$S$5:$S$304,0)),"")</f>
        <v/>
      </c>
      <c r="C205" s="75" t="str">
        <f>IFERROR(INDEX(对接源_01入库吨位!$C$5:$C$304,MATCH(INT((ROW()-5)/3)+1,对接源_01入库吨位!$S$5:$S$304,0)),"")</f>
        <v/>
      </c>
      <c r="D205" s="89" t="str">
        <f t="shared" si="25"/>
        <v/>
      </c>
      <c r="E205" s="42" t="str">
        <f>IF($B205="","",IFERROR(IF($D205="周转打冷",N(INDEX(对接源_01入库吨位!$D$5:$D$304,MATCH(INT((ROW()-5)/3)+1,对接源_01入库吨位!$S$5:$S$304,0))),IF($D205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5" s="76" t="str">
        <f>IF($B205="","",ROUND(IFERROR(IF($D205="周转打冷",N(INDEX(对接源_01入库吨位!$H$5:$H$304,MATCH(INT((ROW()-5)/3)+1,对接源_01入库吨位!$S$5:$S$304,0))),IF($D205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5" s="122" t="str">
        <f t="shared" si="26"/>
        <v/>
      </c>
      <c r="H205" s="43"/>
      <c r="I205" s="107"/>
      <c r="J205" s="123" t="str">
        <f t="shared" si="27"/>
        <v/>
      </c>
      <c r="K205" s="76" t="str">
        <f t="shared" si="28"/>
        <v/>
      </c>
      <c r="L205" s="43"/>
      <c r="M205" s="7"/>
      <c r="N205" s="106"/>
      <c r="R205" s="3" t="str">
        <f t="shared" si="29"/>
        <v/>
      </c>
      <c r="S205" s="3">
        <f t="shared" si="30"/>
        <v>0</v>
      </c>
      <c r="T205" s="3">
        <f t="shared" si="31"/>
        <v>13</v>
      </c>
    </row>
    <row r="206" spans="1:20">
      <c r="A206" s="74" t="str">
        <f t="shared" si="24"/>
        <v/>
      </c>
      <c r="B206" s="75" t="str">
        <f>IFERROR(INDEX(对接源_01入库吨位!$B$5:$B$304,MATCH(INT((ROW()-5)/3)+1,对接源_01入库吨位!$S$5:$S$304,0)),"")</f>
        <v/>
      </c>
      <c r="C206" s="75" t="str">
        <f>IFERROR(INDEX(对接源_01入库吨位!$C$5:$C$304,MATCH(INT((ROW()-5)/3)+1,对接源_01入库吨位!$S$5:$S$304,0)),"")</f>
        <v/>
      </c>
      <c r="D206" s="89" t="str">
        <f t="shared" si="25"/>
        <v/>
      </c>
      <c r="E206" s="42" t="str">
        <f>IF($B206="","",IFERROR(IF($D206="周转打冷",N(INDEX(对接源_01入库吨位!$D$5:$D$304,MATCH(INT((ROW()-5)/3)+1,对接源_01入库吨位!$S$5:$S$304,0))),IF($D206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6" s="76" t="str">
        <f>IF($B206="","",ROUND(IFERROR(IF($D206="周转打冷",N(INDEX(对接源_01入库吨位!$H$5:$H$304,MATCH(INT((ROW()-5)/3)+1,对接源_01入库吨位!$S$5:$S$304,0))),IF($D206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6" s="122" t="str">
        <f t="shared" si="26"/>
        <v/>
      </c>
      <c r="H206" s="43"/>
      <c r="I206" s="107"/>
      <c r="J206" s="123" t="str">
        <f t="shared" si="27"/>
        <v/>
      </c>
      <c r="K206" s="76" t="str">
        <f t="shared" si="28"/>
        <v/>
      </c>
      <c r="L206" s="43"/>
      <c r="M206" s="7"/>
      <c r="N206" s="106"/>
      <c r="R206" s="3" t="str">
        <f t="shared" si="29"/>
        <v/>
      </c>
      <c r="S206" s="3">
        <f t="shared" si="30"/>
        <v>0</v>
      </c>
      <c r="T206" s="3">
        <f t="shared" si="31"/>
        <v>13</v>
      </c>
    </row>
    <row r="207" spans="1:20">
      <c r="A207" s="74" t="str">
        <f t="shared" si="24"/>
        <v/>
      </c>
      <c r="B207" s="75" t="str">
        <f>IFERROR(INDEX(对接源_01入库吨位!$B$5:$B$304,MATCH(INT((ROW()-5)/3)+1,对接源_01入库吨位!$S$5:$S$304,0)),"")</f>
        <v/>
      </c>
      <c r="C207" s="75" t="str">
        <f>IFERROR(INDEX(对接源_01入库吨位!$C$5:$C$304,MATCH(INT((ROW()-5)/3)+1,对接源_01入库吨位!$S$5:$S$304,0)),"")</f>
        <v/>
      </c>
      <c r="D207" s="89" t="str">
        <f t="shared" si="25"/>
        <v/>
      </c>
      <c r="E207" s="42" t="str">
        <f>IF($B207="","",IFERROR(IF($D207="周转打冷",N(INDEX(对接源_01入库吨位!$D$5:$D$304,MATCH(INT((ROW()-5)/3)+1,对接源_01入库吨位!$S$5:$S$304,0))),IF($D207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7" s="76" t="str">
        <f>IF($B207="","",ROUND(IFERROR(IF($D207="周转打冷",N(INDEX(对接源_01入库吨位!$H$5:$H$304,MATCH(INT((ROW()-5)/3)+1,对接源_01入库吨位!$S$5:$S$304,0))),IF($D207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7" s="122" t="str">
        <f t="shared" si="26"/>
        <v/>
      </c>
      <c r="H207" s="43"/>
      <c r="I207" s="107"/>
      <c r="J207" s="123" t="str">
        <f t="shared" si="27"/>
        <v/>
      </c>
      <c r="K207" s="76" t="str">
        <f t="shared" si="28"/>
        <v/>
      </c>
      <c r="L207" s="43"/>
      <c r="M207" s="7"/>
      <c r="N207" s="106"/>
      <c r="R207" s="3" t="str">
        <f t="shared" si="29"/>
        <v/>
      </c>
      <c r="S207" s="3">
        <f t="shared" si="30"/>
        <v>0</v>
      </c>
      <c r="T207" s="3">
        <f t="shared" si="31"/>
        <v>13</v>
      </c>
    </row>
    <row r="208" spans="1:20">
      <c r="A208" s="74" t="str">
        <f t="shared" si="24"/>
        <v/>
      </c>
      <c r="B208" s="75" t="str">
        <f>IFERROR(INDEX(对接源_01入库吨位!$B$5:$B$304,MATCH(INT((ROW()-5)/3)+1,对接源_01入库吨位!$S$5:$S$304,0)),"")</f>
        <v/>
      </c>
      <c r="C208" s="75" t="str">
        <f>IFERROR(INDEX(对接源_01入库吨位!$C$5:$C$304,MATCH(INT((ROW()-5)/3)+1,对接源_01入库吨位!$S$5:$S$304,0)),"")</f>
        <v/>
      </c>
      <c r="D208" s="89" t="str">
        <f t="shared" si="25"/>
        <v/>
      </c>
      <c r="E208" s="42" t="str">
        <f>IF($B208="","",IFERROR(IF($D208="周转打冷",N(INDEX(对接源_01入库吨位!$D$5:$D$304,MATCH(INT((ROW()-5)/3)+1,对接源_01入库吨位!$S$5:$S$304,0))),IF($D208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8" s="76" t="str">
        <f>IF($B208="","",ROUND(IFERROR(IF($D208="周转打冷",N(INDEX(对接源_01入库吨位!$H$5:$H$304,MATCH(INT((ROW()-5)/3)+1,对接源_01入库吨位!$S$5:$S$304,0))),IF($D208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8" s="122" t="str">
        <f t="shared" si="26"/>
        <v/>
      </c>
      <c r="H208" s="43"/>
      <c r="I208" s="107"/>
      <c r="J208" s="123" t="str">
        <f t="shared" si="27"/>
        <v/>
      </c>
      <c r="K208" s="76" t="str">
        <f t="shared" si="28"/>
        <v/>
      </c>
      <c r="L208" s="43"/>
      <c r="M208" s="7"/>
      <c r="N208" s="106"/>
      <c r="R208" s="3" t="str">
        <f t="shared" si="29"/>
        <v/>
      </c>
      <c r="S208" s="3">
        <f t="shared" si="30"/>
        <v>0</v>
      </c>
      <c r="T208" s="3">
        <f t="shared" si="31"/>
        <v>13</v>
      </c>
    </row>
    <row r="209" spans="1:20">
      <c r="A209" s="74" t="str">
        <f t="shared" si="24"/>
        <v/>
      </c>
      <c r="B209" s="75" t="str">
        <f>IFERROR(INDEX(对接源_01入库吨位!$B$5:$B$304,MATCH(INT((ROW()-5)/3)+1,对接源_01入库吨位!$S$5:$S$304,0)),"")</f>
        <v/>
      </c>
      <c r="C209" s="75" t="str">
        <f>IFERROR(INDEX(对接源_01入库吨位!$C$5:$C$304,MATCH(INT((ROW()-5)/3)+1,对接源_01入库吨位!$S$5:$S$304,0)),"")</f>
        <v/>
      </c>
      <c r="D209" s="89" t="str">
        <f t="shared" si="25"/>
        <v/>
      </c>
      <c r="E209" s="42" t="str">
        <f>IF($B209="","",IFERROR(IF($D209="周转打冷",N(INDEX(对接源_01入库吨位!$D$5:$D$304,MATCH(INT((ROW()-5)/3)+1,对接源_01入库吨位!$S$5:$S$304,0))),IF($D209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9" s="76" t="str">
        <f>IF($B209="","",ROUND(IFERROR(IF($D209="周转打冷",N(INDEX(对接源_01入库吨位!$H$5:$H$304,MATCH(INT((ROW()-5)/3)+1,对接源_01入库吨位!$S$5:$S$304,0))),IF($D209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9" s="122" t="str">
        <f t="shared" si="26"/>
        <v/>
      </c>
      <c r="H209" s="43"/>
      <c r="I209" s="107"/>
      <c r="J209" s="123" t="str">
        <f t="shared" si="27"/>
        <v/>
      </c>
      <c r="K209" s="76" t="str">
        <f t="shared" si="28"/>
        <v/>
      </c>
      <c r="L209" s="43"/>
      <c r="M209" s="7"/>
      <c r="N209" s="106"/>
      <c r="R209" s="3" t="str">
        <f t="shared" si="29"/>
        <v/>
      </c>
      <c r="S209" s="3">
        <f t="shared" si="30"/>
        <v>0</v>
      </c>
      <c r="T209" s="3">
        <f t="shared" si="31"/>
        <v>13</v>
      </c>
    </row>
    <row r="210" spans="1:20">
      <c r="A210" s="74" t="str">
        <f t="shared" si="24"/>
        <v/>
      </c>
      <c r="B210" s="75" t="str">
        <f>IFERROR(INDEX(对接源_01入库吨位!$B$5:$B$304,MATCH(INT((ROW()-5)/3)+1,对接源_01入库吨位!$S$5:$S$304,0)),"")</f>
        <v/>
      </c>
      <c r="C210" s="75" t="str">
        <f>IFERROR(INDEX(对接源_01入库吨位!$C$5:$C$304,MATCH(INT((ROW()-5)/3)+1,对接源_01入库吨位!$S$5:$S$304,0)),"")</f>
        <v/>
      </c>
      <c r="D210" s="89" t="str">
        <f t="shared" si="25"/>
        <v/>
      </c>
      <c r="E210" s="42" t="str">
        <f>IF($B210="","",IFERROR(IF($D210="周转打冷",N(INDEX(对接源_01入库吨位!$D$5:$D$304,MATCH(INT((ROW()-5)/3)+1,对接源_01入库吨位!$S$5:$S$304,0))),IF($D210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0" s="76" t="str">
        <f>IF($B210="","",ROUND(IFERROR(IF($D210="周转打冷",N(INDEX(对接源_01入库吨位!$H$5:$H$304,MATCH(INT((ROW()-5)/3)+1,对接源_01入库吨位!$S$5:$S$304,0))),IF($D210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0" s="122" t="str">
        <f t="shared" si="26"/>
        <v/>
      </c>
      <c r="H210" s="43"/>
      <c r="I210" s="107"/>
      <c r="J210" s="123" t="str">
        <f t="shared" si="27"/>
        <v/>
      </c>
      <c r="K210" s="76" t="str">
        <f t="shared" si="28"/>
        <v/>
      </c>
      <c r="L210" s="43"/>
      <c r="M210" s="7"/>
      <c r="N210" s="106"/>
      <c r="R210" s="3" t="str">
        <f t="shared" si="29"/>
        <v/>
      </c>
      <c r="S210" s="3">
        <f t="shared" si="30"/>
        <v>0</v>
      </c>
      <c r="T210" s="3">
        <f t="shared" si="31"/>
        <v>13</v>
      </c>
    </row>
    <row r="211" spans="1:20">
      <c r="A211" s="74" t="str">
        <f t="shared" si="24"/>
        <v/>
      </c>
      <c r="B211" s="75" t="str">
        <f>IFERROR(INDEX(对接源_01入库吨位!$B$5:$B$304,MATCH(INT((ROW()-5)/3)+1,对接源_01入库吨位!$S$5:$S$304,0)),"")</f>
        <v/>
      </c>
      <c r="C211" s="75" t="str">
        <f>IFERROR(INDEX(对接源_01入库吨位!$C$5:$C$304,MATCH(INT((ROW()-5)/3)+1,对接源_01入库吨位!$S$5:$S$304,0)),"")</f>
        <v/>
      </c>
      <c r="D211" s="89" t="str">
        <f t="shared" si="25"/>
        <v/>
      </c>
      <c r="E211" s="42" t="str">
        <f>IF($B211="","",IFERROR(IF($D211="周转打冷",N(INDEX(对接源_01入库吨位!$D$5:$D$304,MATCH(INT((ROW()-5)/3)+1,对接源_01入库吨位!$S$5:$S$304,0))),IF($D211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1" s="76" t="str">
        <f>IF($B211="","",ROUND(IFERROR(IF($D211="周转打冷",N(INDEX(对接源_01入库吨位!$H$5:$H$304,MATCH(INT((ROW()-5)/3)+1,对接源_01入库吨位!$S$5:$S$304,0))),IF($D211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1" s="122" t="str">
        <f t="shared" si="26"/>
        <v/>
      </c>
      <c r="H211" s="43"/>
      <c r="I211" s="107"/>
      <c r="J211" s="123" t="str">
        <f t="shared" si="27"/>
        <v/>
      </c>
      <c r="K211" s="76" t="str">
        <f t="shared" si="28"/>
        <v/>
      </c>
      <c r="L211" s="43"/>
      <c r="M211" s="7"/>
      <c r="N211" s="106"/>
      <c r="R211" s="3" t="str">
        <f t="shared" si="29"/>
        <v/>
      </c>
      <c r="S211" s="3">
        <f t="shared" si="30"/>
        <v>0</v>
      </c>
      <c r="T211" s="3">
        <f t="shared" si="31"/>
        <v>13</v>
      </c>
    </row>
    <row r="212" spans="1:20">
      <c r="A212" s="74" t="str">
        <f t="shared" si="24"/>
        <v/>
      </c>
      <c r="B212" s="75" t="str">
        <f>IFERROR(INDEX(对接源_01入库吨位!$B$5:$B$304,MATCH(INT((ROW()-5)/3)+1,对接源_01入库吨位!$S$5:$S$304,0)),"")</f>
        <v/>
      </c>
      <c r="C212" s="75" t="str">
        <f>IFERROR(INDEX(对接源_01入库吨位!$C$5:$C$304,MATCH(INT((ROW()-5)/3)+1,对接源_01入库吨位!$S$5:$S$304,0)),"")</f>
        <v/>
      </c>
      <c r="D212" s="89" t="str">
        <f t="shared" si="25"/>
        <v/>
      </c>
      <c r="E212" s="42" t="str">
        <f>IF($B212="","",IFERROR(IF($D212="周转打冷",N(INDEX(对接源_01入库吨位!$D$5:$D$304,MATCH(INT((ROW()-5)/3)+1,对接源_01入库吨位!$S$5:$S$304,0))),IF($D212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2" s="76" t="str">
        <f>IF($B212="","",ROUND(IFERROR(IF($D212="周转打冷",N(INDEX(对接源_01入库吨位!$H$5:$H$304,MATCH(INT((ROW()-5)/3)+1,对接源_01入库吨位!$S$5:$S$304,0))),IF($D212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2" s="122" t="str">
        <f t="shared" si="26"/>
        <v/>
      </c>
      <c r="H212" s="43"/>
      <c r="I212" s="107"/>
      <c r="J212" s="123" t="str">
        <f t="shared" si="27"/>
        <v/>
      </c>
      <c r="K212" s="76" t="str">
        <f t="shared" si="28"/>
        <v/>
      </c>
      <c r="L212" s="43"/>
      <c r="M212" s="7"/>
      <c r="N212" s="106"/>
      <c r="R212" s="3" t="str">
        <f t="shared" si="29"/>
        <v/>
      </c>
      <c r="S212" s="3">
        <f t="shared" si="30"/>
        <v>0</v>
      </c>
      <c r="T212" s="3">
        <f t="shared" si="31"/>
        <v>13</v>
      </c>
    </row>
    <row r="213" spans="1:20">
      <c r="A213" s="74" t="str">
        <f t="shared" si="24"/>
        <v/>
      </c>
      <c r="B213" s="75" t="str">
        <f>IFERROR(INDEX(对接源_01入库吨位!$B$5:$B$304,MATCH(INT((ROW()-5)/3)+1,对接源_01入库吨位!$S$5:$S$304,0)),"")</f>
        <v/>
      </c>
      <c r="C213" s="75" t="str">
        <f>IFERROR(INDEX(对接源_01入库吨位!$C$5:$C$304,MATCH(INT((ROW()-5)/3)+1,对接源_01入库吨位!$S$5:$S$304,0)),"")</f>
        <v/>
      </c>
      <c r="D213" s="89" t="str">
        <f t="shared" si="25"/>
        <v/>
      </c>
      <c r="E213" s="42" t="str">
        <f>IF($B213="","",IFERROR(IF($D213="周转打冷",N(INDEX(对接源_01入库吨位!$D$5:$D$304,MATCH(INT((ROW()-5)/3)+1,对接源_01入库吨位!$S$5:$S$304,0))),IF($D213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3" s="76" t="str">
        <f>IF($B213="","",ROUND(IFERROR(IF($D213="周转打冷",N(INDEX(对接源_01入库吨位!$H$5:$H$304,MATCH(INT((ROW()-5)/3)+1,对接源_01入库吨位!$S$5:$S$304,0))),IF($D213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3" s="122" t="str">
        <f t="shared" si="26"/>
        <v/>
      </c>
      <c r="H213" s="43"/>
      <c r="I213" s="107"/>
      <c r="J213" s="123" t="str">
        <f t="shared" si="27"/>
        <v/>
      </c>
      <c r="K213" s="76" t="str">
        <f t="shared" si="28"/>
        <v/>
      </c>
      <c r="L213" s="43"/>
      <c r="M213" s="7"/>
      <c r="N213" s="106"/>
      <c r="R213" s="3" t="str">
        <f t="shared" si="29"/>
        <v/>
      </c>
      <c r="S213" s="3">
        <f t="shared" si="30"/>
        <v>0</v>
      </c>
      <c r="T213" s="3">
        <f t="shared" si="31"/>
        <v>13</v>
      </c>
    </row>
    <row r="214" spans="1:20">
      <c r="A214" s="74" t="str">
        <f t="shared" si="24"/>
        <v/>
      </c>
      <c r="B214" s="75" t="str">
        <f>IFERROR(INDEX(对接源_01入库吨位!$B$5:$B$304,MATCH(INT((ROW()-5)/3)+1,对接源_01入库吨位!$S$5:$S$304,0)),"")</f>
        <v/>
      </c>
      <c r="C214" s="75" t="str">
        <f>IFERROR(INDEX(对接源_01入库吨位!$C$5:$C$304,MATCH(INT((ROW()-5)/3)+1,对接源_01入库吨位!$S$5:$S$304,0)),"")</f>
        <v/>
      </c>
      <c r="D214" s="89" t="str">
        <f t="shared" si="25"/>
        <v/>
      </c>
      <c r="E214" s="42" t="str">
        <f>IF($B214="","",IFERROR(IF($D214="周转打冷",N(INDEX(对接源_01入库吨位!$D$5:$D$304,MATCH(INT((ROW()-5)/3)+1,对接源_01入库吨位!$S$5:$S$304,0))),IF($D214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4" s="76" t="str">
        <f>IF($B214="","",ROUND(IFERROR(IF($D214="周转打冷",N(INDEX(对接源_01入库吨位!$H$5:$H$304,MATCH(INT((ROW()-5)/3)+1,对接源_01入库吨位!$S$5:$S$304,0))),IF($D214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4" s="122" t="str">
        <f t="shared" si="26"/>
        <v/>
      </c>
      <c r="H214" s="43"/>
      <c r="I214" s="107"/>
      <c r="J214" s="123" t="str">
        <f t="shared" si="27"/>
        <v/>
      </c>
      <c r="K214" s="76" t="str">
        <f t="shared" si="28"/>
        <v/>
      </c>
      <c r="L214" s="43"/>
      <c r="M214" s="7"/>
      <c r="N214" s="106"/>
      <c r="R214" s="3" t="str">
        <f t="shared" si="29"/>
        <v/>
      </c>
      <c r="S214" s="3">
        <f t="shared" si="30"/>
        <v>0</v>
      </c>
      <c r="T214" s="3">
        <f t="shared" si="31"/>
        <v>13</v>
      </c>
    </row>
    <row r="215" spans="1:20">
      <c r="A215" s="74" t="str">
        <f t="shared" si="24"/>
        <v/>
      </c>
      <c r="B215" s="75" t="str">
        <f>IFERROR(INDEX(对接源_01入库吨位!$B$5:$B$304,MATCH(INT((ROW()-5)/3)+1,对接源_01入库吨位!$S$5:$S$304,0)),"")</f>
        <v/>
      </c>
      <c r="C215" s="75" t="str">
        <f>IFERROR(INDEX(对接源_01入库吨位!$C$5:$C$304,MATCH(INT((ROW()-5)/3)+1,对接源_01入库吨位!$S$5:$S$304,0)),"")</f>
        <v/>
      </c>
      <c r="D215" s="89" t="str">
        <f t="shared" si="25"/>
        <v/>
      </c>
      <c r="E215" s="42" t="str">
        <f>IF($B215="","",IFERROR(IF($D215="周转打冷",N(INDEX(对接源_01入库吨位!$D$5:$D$304,MATCH(INT((ROW()-5)/3)+1,对接源_01入库吨位!$S$5:$S$304,0))),IF($D215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5" s="76" t="str">
        <f>IF($B215="","",ROUND(IFERROR(IF($D215="周转打冷",N(INDEX(对接源_01入库吨位!$H$5:$H$304,MATCH(INT((ROW()-5)/3)+1,对接源_01入库吨位!$S$5:$S$304,0))),IF($D215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5" s="122" t="str">
        <f t="shared" si="26"/>
        <v/>
      </c>
      <c r="H215" s="43"/>
      <c r="I215" s="107"/>
      <c r="J215" s="123" t="str">
        <f t="shared" si="27"/>
        <v/>
      </c>
      <c r="K215" s="76" t="str">
        <f t="shared" si="28"/>
        <v/>
      </c>
      <c r="L215" s="43"/>
      <c r="M215" s="7"/>
      <c r="N215" s="106"/>
      <c r="R215" s="3" t="str">
        <f t="shared" si="29"/>
        <v/>
      </c>
      <c r="S215" s="3">
        <f t="shared" si="30"/>
        <v>0</v>
      </c>
      <c r="T215" s="3">
        <f t="shared" si="31"/>
        <v>13</v>
      </c>
    </row>
    <row r="216" spans="1:20">
      <c r="A216" s="74" t="str">
        <f t="shared" si="24"/>
        <v/>
      </c>
      <c r="B216" s="75" t="str">
        <f>IFERROR(INDEX(对接源_01入库吨位!$B$5:$B$304,MATCH(INT((ROW()-5)/3)+1,对接源_01入库吨位!$S$5:$S$304,0)),"")</f>
        <v/>
      </c>
      <c r="C216" s="75" t="str">
        <f>IFERROR(INDEX(对接源_01入库吨位!$C$5:$C$304,MATCH(INT((ROW()-5)/3)+1,对接源_01入库吨位!$S$5:$S$304,0)),"")</f>
        <v/>
      </c>
      <c r="D216" s="89" t="str">
        <f t="shared" si="25"/>
        <v/>
      </c>
      <c r="E216" s="42" t="str">
        <f>IF($B216="","",IFERROR(IF($D216="周转打冷",N(INDEX(对接源_01入库吨位!$D$5:$D$304,MATCH(INT((ROW()-5)/3)+1,对接源_01入库吨位!$S$5:$S$304,0))),IF($D216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6" s="76" t="str">
        <f>IF($B216="","",ROUND(IFERROR(IF($D216="周转打冷",N(INDEX(对接源_01入库吨位!$H$5:$H$304,MATCH(INT((ROW()-5)/3)+1,对接源_01入库吨位!$S$5:$S$304,0))),IF($D216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6" s="122" t="str">
        <f t="shared" si="26"/>
        <v/>
      </c>
      <c r="H216" s="43"/>
      <c r="I216" s="107"/>
      <c r="J216" s="123" t="str">
        <f t="shared" si="27"/>
        <v/>
      </c>
      <c r="K216" s="76" t="str">
        <f t="shared" si="28"/>
        <v/>
      </c>
      <c r="L216" s="43"/>
      <c r="M216" s="7"/>
      <c r="N216" s="106"/>
      <c r="R216" s="3" t="str">
        <f t="shared" si="29"/>
        <v/>
      </c>
      <c r="S216" s="3">
        <f t="shared" si="30"/>
        <v>0</v>
      </c>
      <c r="T216" s="3">
        <f t="shared" si="31"/>
        <v>13</v>
      </c>
    </row>
    <row r="217" spans="1:20">
      <c r="A217" s="74" t="str">
        <f t="shared" si="24"/>
        <v/>
      </c>
      <c r="B217" s="75" t="str">
        <f>IFERROR(INDEX(对接源_01入库吨位!$B$5:$B$304,MATCH(INT((ROW()-5)/3)+1,对接源_01入库吨位!$S$5:$S$304,0)),"")</f>
        <v/>
      </c>
      <c r="C217" s="75" t="str">
        <f>IFERROR(INDEX(对接源_01入库吨位!$C$5:$C$304,MATCH(INT((ROW()-5)/3)+1,对接源_01入库吨位!$S$5:$S$304,0)),"")</f>
        <v/>
      </c>
      <c r="D217" s="89" t="str">
        <f t="shared" si="25"/>
        <v/>
      </c>
      <c r="E217" s="42" t="str">
        <f>IF($B217="","",IFERROR(IF($D217="周转打冷",N(INDEX(对接源_01入库吨位!$D$5:$D$304,MATCH(INT((ROW()-5)/3)+1,对接源_01入库吨位!$S$5:$S$304,0))),IF($D217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7" s="76" t="str">
        <f>IF($B217="","",ROUND(IFERROR(IF($D217="周转打冷",N(INDEX(对接源_01入库吨位!$H$5:$H$304,MATCH(INT((ROW()-5)/3)+1,对接源_01入库吨位!$S$5:$S$304,0))),IF($D217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7" s="122" t="str">
        <f t="shared" si="26"/>
        <v/>
      </c>
      <c r="H217" s="43"/>
      <c r="I217" s="107"/>
      <c r="J217" s="123" t="str">
        <f t="shared" si="27"/>
        <v/>
      </c>
      <c r="K217" s="76" t="str">
        <f t="shared" si="28"/>
        <v/>
      </c>
      <c r="L217" s="43"/>
      <c r="M217" s="7"/>
      <c r="N217" s="106"/>
      <c r="R217" s="3" t="str">
        <f t="shared" si="29"/>
        <v/>
      </c>
      <c r="S217" s="3">
        <f t="shared" si="30"/>
        <v>0</v>
      </c>
      <c r="T217" s="3">
        <f t="shared" si="31"/>
        <v>13</v>
      </c>
    </row>
    <row r="218" spans="1:20">
      <c r="A218" s="74" t="str">
        <f t="shared" si="24"/>
        <v/>
      </c>
      <c r="B218" s="75" t="str">
        <f>IFERROR(INDEX(对接源_01入库吨位!$B$5:$B$304,MATCH(INT((ROW()-5)/3)+1,对接源_01入库吨位!$S$5:$S$304,0)),"")</f>
        <v/>
      </c>
      <c r="C218" s="75" t="str">
        <f>IFERROR(INDEX(对接源_01入库吨位!$C$5:$C$304,MATCH(INT((ROW()-5)/3)+1,对接源_01入库吨位!$S$5:$S$304,0)),"")</f>
        <v/>
      </c>
      <c r="D218" s="89" t="str">
        <f t="shared" si="25"/>
        <v/>
      </c>
      <c r="E218" s="42" t="str">
        <f>IF($B218="","",IFERROR(IF($D218="周转打冷",N(INDEX(对接源_01入库吨位!$D$5:$D$304,MATCH(INT((ROW()-5)/3)+1,对接源_01入库吨位!$S$5:$S$304,0))),IF($D218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8" s="76" t="str">
        <f>IF($B218="","",ROUND(IFERROR(IF($D218="周转打冷",N(INDEX(对接源_01入库吨位!$H$5:$H$304,MATCH(INT((ROW()-5)/3)+1,对接源_01入库吨位!$S$5:$S$304,0))),IF($D218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8" s="122" t="str">
        <f t="shared" si="26"/>
        <v/>
      </c>
      <c r="H218" s="43"/>
      <c r="I218" s="107"/>
      <c r="J218" s="123" t="str">
        <f t="shared" si="27"/>
        <v/>
      </c>
      <c r="K218" s="76" t="str">
        <f t="shared" si="28"/>
        <v/>
      </c>
      <c r="L218" s="43"/>
      <c r="M218" s="7"/>
      <c r="N218" s="106"/>
      <c r="R218" s="3" t="str">
        <f t="shared" si="29"/>
        <v/>
      </c>
      <c r="S218" s="3">
        <f t="shared" si="30"/>
        <v>0</v>
      </c>
      <c r="T218" s="3">
        <f t="shared" si="31"/>
        <v>13</v>
      </c>
    </row>
    <row r="219" spans="1:20">
      <c r="A219" s="74" t="str">
        <f t="shared" si="24"/>
        <v/>
      </c>
      <c r="B219" s="75" t="str">
        <f>IFERROR(INDEX(对接源_01入库吨位!$B$5:$B$304,MATCH(INT((ROW()-5)/3)+1,对接源_01入库吨位!$S$5:$S$304,0)),"")</f>
        <v/>
      </c>
      <c r="C219" s="75" t="str">
        <f>IFERROR(INDEX(对接源_01入库吨位!$C$5:$C$304,MATCH(INT((ROW()-5)/3)+1,对接源_01入库吨位!$S$5:$S$304,0)),"")</f>
        <v/>
      </c>
      <c r="D219" s="89" t="str">
        <f t="shared" si="25"/>
        <v/>
      </c>
      <c r="E219" s="42" t="str">
        <f>IF($B219="","",IFERROR(IF($D219="周转打冷",N(INDEX(对接源_01入库吨位!$D$5:$D$304,MATCH(INT((ROW()-5)/3)+1,对接源_01入库吨位!$S$5:$S$304,0))),IF($D219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9" s="76" t="str">
        <f>IF($B219="","",ROUND(IFERROR(IF($D219="周转打冷",N(INDEX(对接源_01入库吨位!$H$5:$H$304,MATCH(INT((ROW()-5)/3)+1,对接源_01入库吨位!$S$5:$S$304,0))),IF($D219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9" s="122" t="str">
        <f t="shared" si="26"/>
        <v/>
      </c>
      <c r="H219" s="43"/>
      <c r="I219" s="107"/>
      <c r="J219" s="123" t="str">
        <f t="shared" si="27"/>
        <v/>
      </c>
      <c r="K219" s="76" t="str">
        <f t="shared" si="28"/>
        <v/>
      </c>
      <c r="L219" s="43"/>
      <c r="M219" s="7"/>
      <c r="N219" s="106"/>
      <c r="R219" s="3" t="str">
        <f t="shared" si="29"/>
        <v/>
      </c>
      <c r="S219" s="3">
        <f t="shared" si="30"/>
        <v>0</v>
      </c>
      <c r="T219" s="3">
        <f t="shared" si="31"/>
        <v>13</v>
      </c>
    </row>
    <row r="220" spans="1:20">
      <c r="A220" s="74" t="str">
        <f t="shared" si="24"/>
        <v/>
      </c>
      <c r="B220" s="75" t="str">
        <f>IFERROR(INDEX(对接源_01入库吨位!$B$5:$B$304,MATCH(INT((ROW()-5)/3)+1,对接源_01入库吨位!$S$5:$S$304,0)),"")</f>
        <v/>
      </c>
      <c r="C220" s="75" t="str">
        <f>IFERROR(INDEX(对接源_01入库吨位!$C$5:$C$304,MATCH(INT((ROW()-5)/3)+1,对接源_01入库吨位!$S$5:$S$304,0)),"")</f>
        <v/>
      </c>
      <c r="D220" s="89" t="str">
        <f t="shared" si="25"/>
        <v/>
      </c>
      <c r="E220" s="42" t="str">
        <f>IF($B220="","",IFERROR(IF($D220="周转打冷",N(INDEX(对接源_01入库吨位!$D$5:$D$304,MATCH(INT((ROW()-5)/3)+1,对接源_01入库吨位!$S$5:$S$304,0))),IF($D220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0" s="76" t="str">
        <f>IF($B220="","",ROUND(IFERROR(IF($D220="周转打冷",N(INDEX(对接源_01入库吨位!$H$5:$H$304,MATCH(INT((ROW()-5)/3)+1,对接源_01入库吨位!$S$5:$S$304,0))),IF($D220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0" s="122" t="str">
        <f t="shared" si="26"/>
        <v/>
      </c>
      <c r="H220" s="43"/>
      <c r="I220" s="107"/>
      <c r="J220" s="123" t="str">
        <f t="shared" si="27"/>
        <v/>
      </c>
      <c r="K220" s="76" t="str">
        <f t="shared" si="28"/>
        <v/>
      </c>
      <c r="L220" s="43"/>
      <c r="M220" s="7"/>
      <c r="N220" s="106"/>
      <c r="R220" s="3" t="str">
        <f t="shared" si="29"/>
        <v/>
      </c>
      <c r="S220" s="3">
        <f t="shared" si="30"/>
        <v>0</v>
      </c>
      <c r="T220" s="3">
        <f t="shared" si="31"/>
        <v>13</v>
      </c>
    </row>
    <row r="221" spans="1:20">
      <c r="A221" s="74" t="str">
        <f t="shared" si="24"/>
        <v/>
      </c>
      <c r="B221" s="75" t="str">
        <f>IFERROR(INDEX(对接源_01入库吨位!$B$5:$B$304,MATCH(INT((ROW()-5)/3)+1,对接源_01入库吨位!$S$5:$S$304,0)),"")</f>
        <v/>
      </c>
      <c r="C221" s="75" t="str">
        <f>IFERROR(INDEX(对接源_01入库吨位!$C$5:$C$304,MATCH(INT((ROW()-5)/3)+1,对接源_01入库吨位!$S$5:$S$304,0)),"")</f>
        <v/>
      </c>
      <c r="D221" s="89" t="str">
        <f t="shared" si="25"/>
        <v/>
      </c>
      <c r="E221" s="42" t="str">
        <f>IF($B221="","",IFERROR(IF($D221="周转打冷",N(INDEX(对接源_01入库吨位!$D$5:$D$304,MATCH(INT((ROW()-5)/3)+1,对接源_01入库吨位!$S$5:$S$304,0))),IF($D221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1" s="76" t="str">
        <f>IF($B221="","",ROUND(IFERROR(IF($D221="周转打冷",N(INDEX(对接源_01入库吨位!$H$5:$H$304,MATCH(INT((ROW()-5)/3)+1,对接源_01入库吨位!$S$5:$S$304,0))),IF($D221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1" s="122" t="str">
        <f t="shared" si="26"/>
        <v/>
      </c>
      <c r="H221" s="43"/>
      <c r="I221" s="107"/>
      <c r="J221" s="123" t="str">
        <f t="shared" si="27"/>
        <v/>
      </c>
      <c r="K221" s="76" t="str">
        <f t="shared" si="28"/>
        <v/>
      </c>
      <c r="L221" s="43"/>
      <c r="M221" s="7"/>
      <c r="N221" s="106"/>
      <c r="R221" s="3" t="str">
        <f t="shared" si="29"/>
        <v/>
      </c>
      <c r="S221" s="3">
        <f t="shared" si="30"/>
        <v>0</v>
      </c>
      <c r="T221" s="3">
        <f t="shared" si="31"/>
        <v>13</v>
      </c>
    </row>
    <row r="222" spans="1:20">
      <c r="A222" s="74" t="str">
        <f t="shared" si="24"/>
        <v/>
      </c>
      <c r="B222" s="75" t="str">
        <f>IFERROR(INDEX(对接源_01入库吨位!$B$5:$B$304,MATCH(INT((ROW()-5)/3)+1,对接源_01入库吨位!$S$5:$S$304,0)),"")</f>
        <v/>
      </c>
      <c r="C222" s="75" t="str">
        <f>IFERROR(INDEX(对接源_01入库吨位!$C$5:$C$304,MATCH(INT((ROW()-5)/3)+1,对接源_01入库吨位!$S$5:$S$304,0)),"")</f>
        <v/>
      </c>
      <c r="D222" s="89" t="str">
        <f t="shared" si="25"/>
        <v/>
      </c>
      <c r="E222" s="42" t="str">
        <f>IF($B222="","",IFERROR(IF($D222="周转打冷",N(INDEX(对接源_01入库吨位!$D$5:$D$304,MATCH(INT((ROW()-5)/3)+1,对接源_01入库吨位!$S$5:$S$304,0))),IF($D222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2" s="76" t="str">
        <f>IF($B222="","",ROUND(IFERROR(IF($D222="周转打冷",N(INDEX(对接源_01入库吨位!$H$5:$H$304,MATCH(INT((ROW()-5)/3)+1,对接源_01入库吨位!$S$5:$S$304,0))),IF($D222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2" s="122" t="str">
        <f t="shared" si="26"/>
        <v/>
      </c>
      <c r="H222" s="43"/>
      <c r="I222" s="107"/>
      <c r="J222" s="123" t="str">
        <f t="shared" si="27"/>
        <v/>
      </c>
      <c r="K222" s="76" t="str">
        <f t="shared" si="28"/>
        <v/>
      </c>
      <c r="L222" s="43"/>
      <c r="M222" s="7"/>
      <c r="N222" s="106"/>
      <c r="R222" s="3" t="str">
        <f t="shared" si="29"/>
        <v/>
      </c>
      <c r="S222" s="3">
        <f t="shared" si="30"/>
        <v>0</v>
      </c>
      <c r="T222" s="3">
        <f t="shared" si="31"/>
        <v>13</v>
      </c>
    </row>
    <row r="223" spans="1:20">
      <c r="A223" s="74" t="str">
        <f t="shared" si="24"/>
        <v/>
      </c>
      <c r="B223" s="75" t="str">
        <f>IFERROR(INDEX(对接源_01入库吨位!$B$5:$B$304,MATCH(INT((ROW()-5)/3)+1,对接源_01入库吨位!$S$5:$S$304,0)),"")</f>
        <v/>
      </c>
      <c r="C223" s="75" t="str">
        <f>IFERROR(INDEX(对接源_01入库吨位!$C$5:$C$304,MATCH(INT((ROW()-5)/3)+1,对接源_01入库吨位!$S$5:$S$304,0)),"")</f>
        <v/>
      </c>
      <c r="D223" s="89" t="str">
        <f t="shared" si="25"/>
        <v/>
      </c>
      <c r="E223" s="42" t="str">
        <f>IF($B223="","",IFERROR(IF($D223="周转打冷",N(INDEX(对接源_01入库吨位!$D$5:$D$304,MATCH(INT((ROW()-5)/3)+1,对接源_01入库吨位!$S$5:$S$304,0))),IF($D223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3" s="76" t="str">
        <f>IF($B223="","",ROUND(IFERROR(IF($D223="周转打冷",N(INDEX(对接源_01入库吨位!$H$5:$H$304,MATCH(INT((ROW()-5)/3)+1,对接源_01入库吨位!$S$5:$S$304,0))),IF($D223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3" s="122" t="str">
        <f t="shared" si="26"/>
        <v/>
      </c>
      <c r="H223" s="43"/>
      <c r="I223" s="107"/>
      <c r="J223" s="123" t="str">
        <f t="shared" si="27"/>
        <v/>
      </c>
      <c r="K223" s="76" t="str">
        <f t="shared" si="28"/>
        <v/>
      </c>
      <c r="L223" s="43"/>
      <c r="M223" s="7"/>
      <c r="N223" s="106"/>
      <c r="R223" s="3" t="str">
        <f t="shared" si="29"/>
        <v/>
      </c>
      <c r="S223" s="3">
        <f t="shared" si="30"/>
        <v>0</v>
      </c>
      <c r="T223" s="3">
        <f t="shared" si="31"/>
        <v>13</v>
      </c>
    </row>
    <row r="224" spans="1:20">
      <c r="A224" s="74" t="str">
        <f t="shared" si="24"/>
        <v/>
      </c>
      <c r="B224" s="75" t="str">
        <f>IFERROR(INDEX(对接源_01入库吨位!$B$5:$B$304,MATCH(INT((ROW()-5)/3)+1,对接源_01入库吨位!$S$5:$S$304,0)),"")</f>
        <v/>
      </c>
      <c r="C224" s="75" t="str">
        <f>IFERROR(INDEX(对接源_01入库吨位!$C$5:$C$304,MATCH(INT((ROW()-5)/3)+1,对接源_01入库吨位!$S$5:$S$304,0)),"")</f>
        <v/>
      </c>
      <c r="D224" s="89" t="str">
        <f t="shared" si="25"/>
        <v/>
      </c>
      <c r="E224" s="42" t="str">
        <f>IF($B224="","",IFERROR(IF($D224="周转打冷",N(INDEX(对接源_01入库吨位!$D$5:$D$304,MATCH(INT((ROW()-5)/3)+1,对接源_01入库吨位!$S$5:$S$304,0))),IF($D224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4" s="76" t="str">
        <f>IF($B224="","",ROUND(IFERROR(IF($D224="周转打冷",N(INDEX(对接源_01入库吨位!$H$5:$H$304,MATCH(INT((ROW()-5)/3)+1,对接源_01入库吨位!$S$5:$S$304,0))),IF($D224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4" s="122" t="str">
        <f t="shared" si="26"/>
        <v/>
      </c>
      <c r="H224" s="43"/>
      <c r="I224" s="107"/>
      <c r="J224" s="123" t="str">
        <f t="shared" si="27"/>
        <v/>
      </c>
      <c r="K224" s="76" t="str">
        <f t="shared" si="28"/>
        <v/>
      </c>
      <c r="L224" s="43"/>
      <c r="M224" s="7"/>
      <c r="N224" s="106"/>
      <c r="R224" s="3" t="str">
        <f t="shared" si="29"/>
        <v/>
      </c>
      <c r="S224" s="3">
        <f t="shared" si="30"/>
        <v>0</v>
      </c>
      <c r="T224" s="3">
        <f t="shared" si="31"/>
        <v>13</v>
      </c>
    </row>
    <row r="225" spans="1:20">
      <c r="A225" s="74" t="str">
        <f t="shared" si="24"/>
        <v/>
      </c>
      <c r="B225" s="75" t="str">
        <f>IFERROR(INDEX(对接源_01入库吨位!$B$5:$B$304,MATCH(INT((ROW()-5)/3)+1,对接源_01入库吨位!$S$5:$S$304,0)),"")</f>
        <v/>
      </c>
      <c r="C225" s="75" t="str">
        <f>IFERROR(INDEX(对接源_01入库吨位!$C$5:$C$304,MATCH(INT((ROW()-5)/3)+1,对接源_01入库吨位!$S$5:$S$304,0)),"")</f>
        <v/>
      </c>
      <c r="D225" s="89" t="str">
        <f t="shared" si="25"/>
        <v/>
      </c>
      <c r="E225" s="42" t="str">
        <f>IF($B225="","",IFERROR(IF($D225="周转打冷",N(INDEX(对接源_01入库吨位!$D$5:$D$304,MATCH(INT((ROW()-5)/3)+1,对接源_01入库吨位!$S$5:$S$304,0))),IF($D225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5" s="76" t="str">
        <f>IF($B225="","",ROUND(IFERROR(IF($D225="周转打冷",N(INDEX(对接源_01入库吨位!$H$5:$H$304,MATCH(INT((ROW()-5)/3)+1,对接源_01入库吨位!$S$5:$S$304,0))),IF($D225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5" s="122" t="str">
        <f t="shared" si="26"/>
        <v/>
      </c>
      <c r="H225" s="43"/>
      <c r="I225" s="107"/>
      <c r="J225" s="123" t="str">
        <f t="shared" si="27"/>
        <v/>
      </c>
      <c r="K225" s="76" t="str">
        <f t="shared" si="28"/>
        <v/>
      </c>
      <c r="L225" s="43"/>
      <c r="M225" s="7"/>
      <c r="N225" s="106"/>
      <c r="R225" s="3" t="str">
        <f t="shared" si="29"/>
        <v/>
      </c>
      <c r="S225" s="3">
        <f t="shared" si="30"/>
        <v>0</v>
      </c>
      <c r="T225" s="3">
        <f t="shared" si="31"/>
        <v>13</v>
      </c>
    </row>
    <row r="226" spans="1:20">
      <c r="A226" s="74" t="str">
        <f t="shared" si="24"/>
        <v/>
      </c>
      <c r="B226" s="75" t="str">
        <f>IFERROR(INDEX(对接源_01入库吨位!$B$5:$B$304,MATCH(INT((ROW()-5)/3)+1,对接源_01入库吨位!$S$5:$S$304,0)),"")</f>
        <v/>
      </c>
      <c r="C226" s="75" t="str">
        <f>IFERROR(INDEX(对接源_01入库吨位!$C$5:$C$304,MATCH(INT((ROW()-5)/3)+1,对接源_01入库吨位!$S$5:$S$304,0)),"")</f>
        <v/>
      </c>
      <c r="D226" s="89" t="str">
        <f t="shared" si="25"/>
        <v/>
      </c>
      <c r="E226" s="42" t="str">
        <f>IF($B226="","",IFERROR(IF($D226="周转打冷",N(INDEX(对接源_01入库吨位!$D$5:$D$304,MATCH(INT((ROW()-5)/3)+1,对接源_01入库吨位!$S$5:$S$304,0))),IF($D226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6" s="76" t="str">
        <f>IF($B226="","",ROUND(IFERROR(IF($D226="周转打冷",N(INDEX(对接源_01入库吨位!$H$5:$H$304,MATCH(INT((ROW()-5)/3)+1,对接源_01入库吨位!$S$5:$S$304,0))),IF($D226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6" s="122" t="str">
        <f t="shared" si="26"/>
        <v/>
      </c>
      <c r="H226" s="43"/>
      <c r="I226" s="107"/>
      <c r="J226" s="123" t="str">
        <f t="shared" si="27"/>
        <v/>
      </c>
      <c r="K226" s="76" t="str">
        <f t="shared" si="28"/>
        <v/>
      </c>
      <c r="L226" s="43"/>
      <c r="M226" s="7"/>
      <c r="N226" s="106"/>
      <c r="R226" s="3" t="str">
        <f t="shared" si="29"/>
        <v/>
      </c>
      <c r="S226" s="3">
        <f t="shared" si="30"/>
        <v>0</v>
      </c>
      <c r="T226" s="3">
        <f t="shared" si="31"/>
        <v>13</v>
      </c>
    </row>
    <row r="227" spans="1:20">
      <c r="A227" s="74" t="str">
        <f t="shared" si="24"/>
        <v/>
      </c>
      <c r="B227" s="75" t="str">
        <f>IFERROR(INDEX(对接源_01入库吨位!$B$5:$B$304,MATCH(INT((ROW()-5)/3)+1,对接源_01入库吨位!$S$5:$S$304,0)),"")</f>
        <v/>
      </c>
      <c r="C227" s="75" t="str">
        <f>IFERROR(INDEX(对接源_01入库吨位!$C$5:$C$304,MATCH(INT((ROW()-5)/3)+1,对接源_01入库吨位!$S$5:$S$304,0)),"")</f>
        <v/>
      </c>
      <c r="D227" s="89" t="str">
        <f t="shared" si="25"/>
        <v/>
      </c>
      <c r="E227" s="42" t="str">
        <f>IF($B227="","",IFERROR(IF($D227="周转打冷",N(INDEX(对接源_01入库吨位!$D$5:$D$304,MATCH(INT((ROW()-5)/3)+1,对接源_01入库吨位!$S$5:$S$304,0))),IF($D227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7" s="76" t="str">
        <f>IF($B227="","",ROUND(IFERROR(IF($D227="周转打冷",N(INDEX(对接源_01入库吨位!$H$5:$H$304,MATCH(INT((ROW()-5)/3)+1,对接源_01入库吨位!$S$5:$S$304,0))),IF($D227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7" s="122" t="str">
        <f t="shared" si="26"/>
        <v/>
      </c>
      <c r="H227" s="43"/>
      <c r="I227" s="107"/>
      <c r="J227" s="123" t="str">
        <f t="shared" si="27"/>
        <v/>
      </c>
      <c r="K227" s="76" t="str">
        <f t="shared" si="28"/>
        <v/>
      </c>
      <c r="L227" s="43"/>
      <c r="M227" s="7"/>
      <c r="N227" s="106"/>
      <c r="R227" s="3" t="str">
        <f t="shared" si="29"/>
        <v/>
      </c>
      <c r="S227" s="3">
        <f t="shared" si="30"/>
        <v>0</v>
      </c>
      <c r="T227" s="3">
        <f t="shared" si="31"/>
        <v>13</v>
      </c>
    </row>
    <row r="228" spans="1:20">
      <c r="A228" s="74" t="str">
        <f t="shared" si="24"/>
        <v/>
      </c>
      <c r="B228" s="75" t="str">
        <f>IFERROR(INDEX(对接源_01入库吨位!$B$5:$B$304,MATCH(INT((ROW()-5)/3)+1,对接源_01入库吨位!$S$5:$S$304,0)),"")</f>
        <v/>
      </c>
      <c r="C228" s="75" t="str">
        <f>IFERROR(INDEX(对接源_01入库吨位!$C$5:$C$304,MATCH(INT((ROW()-5)/3)+1,对接源_01入库吨位!$S$5:$S$304,0)),"")</f>
        <v/>
      </c>
      <c r="D228" s="89" t="str">
        <f t="shared" si="25"/>
        <v/>
      </c>
      <c r="E228" s="42" t="str">
        <f>IF($B228="","",IFERROR(IF($D228="周转打冷",N(INDEX(对接源_01入库吨位!$D$5:$D$304,MATCH(INT((ROW()-5)/3)+1,对接源_01入库吨位!$S$5:$S$304,0))),IF($D228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8" s="76" t="str">
        <f>IF($B228="","",ROUND(IFERROR(IF($D228="周转打冷",N(INDEX(对接源_01入库吨位!$H$5:$H$304,MATCH(INT((ROW()-5)/3)+1,对接源_01入库吨位!$S$5:$S$304,0))),IF($D228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8" s="122" t="str">
        <f t="shared" si="26"/>
        <v/>
      </c>
      <c r="H228" s="43"/>
      <c r="I228" s="107"/>
      <c r="J228" s="123" t="str">
        <f t="shared" si="27"/>
        <v/>
      </c>
      <c r="K228" s="76" t="str">
        <f t="shared" si="28"/>
        <v/>
      </c>
      <c r="L228" s="43"/>
      <c r="M228" s="7"/>
      <c r="N228" s="106"/>
      <c r="R228" s="3" t="str">
        <f t="shared" si="29"/>
        <v/>
      </c>
      <c r="S228" s="3">
        <f t="shared" si="30"/>
        <v>0</v>
      </c>
      <c r="T228" s="3">
        <f t="shared" si="31"/>
        <v>13</v>
      </c>
    </row>
    <row r="229" spans="1:20">
      <c r="A229" s="74" t="str">
        <f t="shared" si="24"/>
        <v/>
      </c>
      <c r="B229" s="75" t="str">
        <f>IFERROR(INDEX(对接源_01入库吨位!$B$5:$B$304,MATCH(INT((ROW()-5)/3)+1,对接源_01入库吨位!$S$5:$S$304,0)),"")</f>
        <v/>
      </c>
      <c r="C229" s="75" t="str">
        <f>IFERROR(INDEX(对接源_01入库吨位!$C$5:$C$304,MATCH(INT((ROW()-5)/3)+1,对接源_01入库吨位!$S$5:$S$304,0)),"")</f>
        <v/>
      </c>
      <c r="D229" s="89" t="str">
        <f t="shared" si="25"/>
        <v/>
      </c>
      <c r="E229" s="42" t="str">
        <f>IF($B229="","",IFERROR(IF($D229="周转打冷",N(INDEX(对接源_01入库吨位!$D$5:$D$304,MATCH(INT((ROW()-5)/3)+1,对接源_01入库吨位!$S$5:$S$304,0))),IF($D229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9" s="76" t="str">
        <f>IF($B229="","",ROUND(IFERROR(IF($D229="周转打冷",N(INDEX(对接源_01入库吨位!$H$5:$H$304,MATCH(INT((ROW()-5)/3)+1,对接源_01入库吨位!$S$5:$S$304,0))),IF($D229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9" s="122" t="str">
        <f t="shared" si="26"/>
        <v/>
      </c>
      <c r="H229" s="43"/>
      <c r="I229" s="107"/>
      <c r="J229" s="123" t="str">
        <f t="shared" si="27"/>
        <v/>
      </c>
      <c r="K229" s="76" t="str">
        <f t="shared" si="28"/>
        <v/>
      </c>
      <c r="L229" s="43"/>
      <c r="M229" s="7"/>
      <c r="N229" s="106"/>
      <c r="R229" s="3" t="str">
        <f t="shared" si="29"/>
        <v/>
      </c>
      <c r="S229" s="3">
        <f t="shared" si="30"/>
        <v>0</v>
      </c>
      <c r="T229" s="3">
        <f t="shared" si="31"/>
        <v>13</v>
      </c>
    </row>
    <row r="230" spans="1:20">
      <c r="A230" s="74" t="str">
        <f t="shared" si="24"/>
        <v/>
      </c>
      <c r="B230" s="75" t="str">
        <f>IFERROR(INDEX(对接源_01入库吨位!$B$5:$B$304,MATCH(INT((ROW()-5)/3)+1,对接源_01入库吨位!$S$5:$S$304,0)),"")</f>
        <v/>
      </c>
      <c r="C230" s="75" t="str">
        <f>IFERROR(INDEX(对接源_01入库吨位!$C$5:$C$304,MATCH(INT((ROW()-5)/3)+1,对接源_01入库吨位!$S$5:$S$304,0)),"")</f>
        <v/>
      </c>
      <c r="D230" s="89" t="str">
        <f t="shared" si="25"/>
        <v/>
      </c>
      <c r="E230" s="42" t="str">
        <f>IF($B230="","",IFERROR(IF($D230="周转打冷",N(INDEX(对接源_01入库吨位!$D$5:$D$304,MATCH(INT((ROW()-5)/3)+1,对接源_01入库吨位!$S$5:$S$304,0))),IF($D230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0" s="76" t="str">
        <f>IF($B230="","",ROUND(IFERROR(IF($D230="周转打冷",N(INDEX(对接源_01入库吨位!$H$5:$H$304,MATCH(INT((ROW()-5)/3)+1,对接源_01入库吨位!$S$5:$S$304,0))),IF($D230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0" s="122" t="str">
        <f t="shared" si="26"/>
        <v/>
      </c>
      <c r="H230" s="43"/>
      <c r="I230" s="107"/>
      <c r="J230" s="123" t="str">
        <f t="shared" si="27"/>
        <v/>
      </c>
      <c r="K230" s="76" t="str">
        <f t="shared" si="28"/>
        <v/>
      </c>
      <c r="L230" s="43"/>
      <c r="M230" s="7"/>
      <c r="N230" s="106"/>
      <c r="R230" s="3" t="str">
        <f t="shared" si="29"/>
        <v/>
      </c>
      <c r="S230" s="3">
        <f t="shared" si="30"/>
        <v>0</v>
      </c>
      <c r="T230" s="3">
        <f t="shared" si="31"/>
        <v>13</v>
      </c>
    </row>
    <row r="231" spans="1:20">
      <c r="A231" s="74" t="str">
        <f t="shared" si="24"/>
        <v/>
      </c>
      <c r="B231" s="75" t="str">
        <f>IFERROR(INDEX(对接源_01入库吨位!$B$5:$B$304,MATCH(INT((ROW()-5)/3)+1,对接源_01入库吨位!$S$5:$S$304,0)),"")</f>
        <v/>
      </c>
      <c r="C231" s="75" t="str">
        <f>IFERROR(INDEX(对接源_01入库吨位!$C$5:$C$304,MATCH(INT((ROW()-5)/3)+1,对接源_01入库吨位!$S$5:$S$304,0)),"")</f>
        <v/>
      </c>
      <c r="D231" s="89" t="str">
        <f t="shared" si="25"/>
        <v/>
      </c>
      <c r="E231" s="42" t="str">
        <f>IF($B231="","",IFERROR(IF($D231="周转打冷",N(INDEX(对接源_01入库吨位!$D$5:$D$304,MATCH(INT((ROW()-5)/3)+1,对接源_01入库吨位!$S$5:$S$304,0))),IF($D231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1" s="76" t="str">
        <f>IF($B231="","",ROUND(IFERROR(IF($D231="周转打冷",N(INDEX(对接源_01入库吨位!$H$5:$H$304,MATCH(INT((ROW()-5)/3)+1,对接源_01入库吨位!$S$5:$S$304,0))),IF($D231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1" s="122" t="str">
        <f t="shared" si="26"/>
        <v/>
      </c>
      <c r="H231" s="43"/>
      <c r="I231" s="107"/>
      <c r="J231" s="123" t="str">
        <f t="shared" si="27"/>
        <v/>
      </c>
      <c r="K231" s="76" t="str">
        <f t="shared" si="28"/>
        <v/>
      </c>
      <c r="L231" s="43"/>
      <c r="M231" s="7"/>
      <c r="N231" s="106"/>
      <c r="R231" s="3" t="str">
        <f t="shared" si="29"/>
        <v/>
      </c>
      <c r="S231" s="3">
        <f t="shared" si="30"/>
        <v>0</v>
      </c>
      <c r="T231" s="3">
        <f t="shared" si="31"/>
        <v>13</v>
      </c>
    </row>
    <row r="232" spans="1:20">
      <c r="A232" s="74" t="str">
        <f t="shared" si="24"/>
        <v/>
      </c>
      <c r="B232" s="75" t="str">
        <f>IFERROR(INDEX(对接源_01入库吨位!$B$5:$B$304,MATCH(INT((ROW()-5)/3)+1,对接源_01入库吨位!$S$5:$S$304,0)),"")</f>
        <v/>
      </c>
      <c r="C232" s="75" t="str">
        <f>IFERROR(INDEX(对接源_01入库吨位!$C$5:$C$304,MATCH(INT((ROW()-5)/3)+1,对接源_01入库吨位!$S$5:$S$304,0)),"")</f>
        <v/>
      </c>
      <c r="D232" s="89" t="str">
        <f t="shared" si="25"/>
        <v/>
      </c>
      <c r="E232" s="42" t="str">
        <f>IF($B232="","",IFERROR(IF($D232="周转打冷",N(INDEX(对接源_01入库吨位!$D$5:$D$304,MATCH(INT((ROW()-5)/3)+1,对接源_01入库吨位!$S$5:$S$304,0))),IF($D232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2" s="76" t="str">
        <f>IF($B232="","",ROUND(IFERROR(IF($D232="周转打冷",N(INDEX(对接源_01入库吨位!$H$5:$H$304,MATCH(INT((ROW()-5)/3)+1,对接源_01入库吨位!$S$5:$S$304,0))),IF($D232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2" s="122" t="str">
        <f t="shared" si="26"/>
        <v/>
      </c>
      <c r="H232" s="43"/>
      <c r="I232" s="107"/>
      <c r="J232" s="123" t="str">
        <f t="shared" si="27"/>
        <v/>
      </c>
      <c r="K232" s="76" t="str">
        <f t="shared" si="28"/>
        <v/>
      </c>
      <c r="L232" s="43"/>
      <c r="M232" s="7"/>
      <c r="N232" s="106"/>
      <c r="R232" s="3" t="str">
        <f t="shared" si="29"/>
        <v/>
      </c>
      <c r="S232" s="3">
        <f t="shared" si="30"/>
        <v>0</v>
      </c>
      <c r="T232" s="3">
        <f t="shared" si="31"/>
        <v>13</v>
      </c>
    </row>
    <row r="233" spans="1:20">
      <c r="A233" s="74" t="str">
        <f t="shared" si="24"/>
        <v/>
      </c>
      <c r="B233" s="75" t="str">
        <f>IFERROR(INDEX(对接源_01入库吨位!$B$5:$B$304,MATCH(INT((ROW()-5)/3)+1,对接源_01入库吨位!$S$5:$S$304,0)),"")</f>
        <v/>
      </c>
      <c r="C233" s="75" t="str">
        <f>IFERROR(INDEX(对接源_01入库吨位!$C$5:$C$304,MATCH(INT((ROW()-5)/3)+1,对接源_01入库吨位!$S$5:$S$304,0)),"")</f>
        <v/>
      </c>
      <c r="D233" s="89" t="str">
        <f t="shared" si="25"/>
        <v/>
      </c>
      <c r="E233" s="42" t="str">
        <f>IF($B233="","",IFERROR(IF($D233="周转打冷",N(INDEX(对接源_01入库吨位!$D$5:$D$304,MATCH(INT((ROW()-5)/3)+1,对接源_01入库吨位!$S$5:$S$304,0))),IF($D233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3" s="76" t="str">
        <f>IF($B233="","",ROUND(IFERROR(IF($D233="周转打冷",N(INDEX(对接源_01入库吨位!$H$5:$H$304,MATCH(INT((ROW()-5)/3)+1,对接源_01入库吨位!$S$5:$S$304,0))),IF($D233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3" s="122" t="str">
        <f t="shared" si="26"/>
        <v/>
      </c>
      <c r="H233" s="43"/>
      <c r="I233" s="107"/>
      <c r="J233" s="123" t="str">
        <f t="shared" si="27"/>
        <v/>
      </c>
      <c r="K233" s="76" t="str">
        <f t="shared" si="28"/>
        <v/>
      </c>
      <c r="L233" s="43"/>
      <c r="M233" s="7"/>
      <c r="N233" s="106"/>
      <c r="R233" s="3" t="str">
        <f t="shared" si="29"/>
        <v/>
      </c>
      <c r="S233" s="3">
        <f t="shared" si="30"/>
        <v>0</v>
      </c>
      <c r="T233" s="3">
        <f t="shared" si="31"/>
        <v>13</v>
      </c>
    </row>
    <row r="234" spans="1:20">
      <c r="A234" s="74" t="str">
        <f t="shared" si="24"/>
        <v/>
      </c>
      <c r="B234" s="75" t="str">
        <f>IFERROR(INDEX(对接源_01入库吨位!$B$5:$B$304,MATCH(INT((ROW()-5)/3)+1,对接源_01入库吨位!$S$5:$S$304,0)),"")</f>
        <v/>
      </c>
      <c r="C234" s="75" t="str">
        <f>IFERROR(INDEX(对接源_01入库吨位!$C$5:$C$304,MATCH(INT((ROW()-5)/3)+1,对接源_01入库吨位!$S$5:$S$304,0)),"")</f>
        <v/>
      </c>
      <c r="D234" s="89" t="str">
        <f t="shared" si="25"/>
        <v/>
      </c>
      <c r="E234" s="42" t="str">
        <f>IF($B234="","",IFERROR(IF($D234="周转打冷",N(INDEX(对接源_01入库吨位!$D$5:$D$304,MATCH(INT((ROW()-5)/3)+1,对接源_01入库吨位!$S$5:$S$304,0))),IF($D234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4" s="76" t="str">
        <f>IF($B234="","",ROUND(IFERROR(IF($D234="周转打冷",N(INDEX(对接源_01入库吨位!$H$5:$H$304,MATCH(INT((ROW()-5)/3)+1,对接源_01入库吨位!$S$5:$S$304,0))),IF($D234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4" s="122" t="str">
        <f t="shared" si="26"/>
        <v/>
      </c>
      <c r="H234" s="43"/>
      <c r="I234" s="107"/>
      <c r="J234" s="123" t="str">
        <f t="shared" si="27"/>
        <v/>
      </c>
      <c r="K234" s="76" t="str">
        <f t="shared" si="28"/>
        <v/>
      </c>
      <c r="L234" s="43"/>
      <c r="M234" s="7"/>
      <c r="N234" s="106"/>
      <c r="R234" s="3" t="str">
        <f t="shared" si="29"/>
        <v/>
      </c>
      <c r="S234" s="3">
        <f t="shared" si="30"/>
        <v>0</v>
      </c>
      <c r="T234" s="3">
        <f t="shared" si="31"/>
        <v>13</v>
      </c>
    </row>
    <row r="235" spans="1:20">
      <c r="A235" s="74" t="str">
        <f t="shared" si="24"/>
        <v/>
      </c>
      <c r="B235" s="75" t="str">
        <f>IFERROR(INDEX(对接源_01入库吨位!$B$5:$B$304,MATCH(INT((ROW()-5)/3)+1,对接源_01入库吨位!$S$5:$S$304,0)),"")</f>
        <v/>
      </c>
      <c r="C235" s="75" t="str">
        <f>IFERROR(INDEX(对接源_01入库吨位!$C$5:$C$304,MATCH(INT((ROW()-5)/3)+1,对接源_01入库吨位!$S$5:$S$304,0)),"")</f>
        <v/>
      </c>
      <c r="D235" s="89" t="str">
        <f t="shared" si="25"/>
        <v/>
      </c>
      <c r="E235" s="42" t="str">
        <f>IF($B235="","",IFERROR(IF($D235="周转打冷",N(INDEX(对接源_01入库吨位!$D$5:$D$304,MATCH(INT((ROW()-5)/3)+1,对接源_01入库吨位!$S$5:$S$304,0))),IF($D235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5" s="76" t="str">
        <f>IF($B235="","",ROUND(IFERROR(IF($D235="周转打冷",N(INDEX(对接源_01入库吨位!$H$5:$H$304,MATCH(INT((ROW()-5)/3)+1,对接源_01入库吨位!$S$5:$S$304,0))),IF($D235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5" s="122" t="str">
        <f t="shared" si="26"/>
        <v/>
      </c>
      <c r="H235" s="43"/>
      <c r="I235" s="107"/>
      <c r="J235" s="123" t="str">
        <f t="shared" si="27"/>
        <v/>
      </c>
      <c r="K235" s="76" t="str">
        <f t="shared" si="28"/>
        <v/>
      </c>
      <c r="L235" s="43"/>
      <c r="M235" s="7"/>
      <c r="N235" s="106"/>
      <c r="R235" s="3" t="str">
        <f t="shared" si="29"/>
        <v/>
      </c>
      <c r="S235" s="3">
        <f t="shared" si="30"/>
        <v>0</v>
      </c>
      <c r="T235" s="3">
        <f t="shared" si="31"/>
        <v>13</v>
      </c>
    </row>
    <row r="236" spans="1:20">
      <c r="A236" s="74" t="str">
        <f t="shared" si="24"/>
        <v/>
      </c>
      <c r="B236" s="75" t="str">
        <f>IFERROR(INDEX(对接源_01入库吨位!$B$5:$B$304,MATCH(INT((ROW()-5)/3)+1,对接源_01入库吨位!$S$5:$S$304,0)),"")</f>
        <v/>
      </c>
      <c r="C236" s="75" t="str">
        <f>IFERROR(INDEX(对接源_01入库吨位!$C$5:$C$304,MATCH(INT((ROW()-5)/3)+1,对接源_01入库吨位!$S$5:$S$304,0)),"")</f>
        <v/>
      </c>
      <c r="D236" s="89" t="str">
        <f t="shared" si="25"/>
        <v/>
      </c>
      <c r="E236" s="42" t="str">
        <f>IF($B236="","",IFERROR(IF($D236="周转打冷",N(INDEX(对接源_01入库吨位!$D$5:$D$304,MATCH(INT((ROW()-5)/3)+1,对接源_01入库吨位!$S$5:$S$304,0))),IF($D236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6" s="76" t="str">
        <f>IF($B236="","",ROUND(IFERROR(IF($D236="周转打冷",N(INDEX(对接源_01入库吨位!$H$5:$H$304,MATCH(INT((ROW()-5)/3)+1,对接源_01入库吨位!$S$5:$S$304,0))),IF($D236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6" s="122" t="str">
        <f t="shared" si="26"/>
        <v/>
      </c>
      <c r="H236" s="43"/>
      <c r="I236" s="107"/>
      <c r="J236" s="123" t="str">
        <f t="shared" si="27"/>
        <v/>
      </c>
      <c r="K236" s="76" t="str">
        <f t="shared" si="28"/>
        <v/>
      </c>
      <c r="L236" s="43"/>
      <c r="M236" s="7"/>
      <c r="N236" s="106"/>
      <c r="R236" s="3" t="str">
        <f t="shared" si="29"/>
        <v/>
      </c>
      <c r="S236" s="3">
        <f t="shared" si="30"/>
        <v>0</v>
      </c>
      <c r="T236" s="3">
        <f t="shared" si="31"/>
        <v>13</v>
      </c>
    </row>
    <row r="237" spans="1:20">
      <c r="A237" s="74" t="str">
        <f t="shared" si="24"/>
        <v/>
      </c>
      <c r="B237" s="75" t="str">
        <f>IFERROR(INDEX(对接源_01入库吨位!$B$5:$B$304,MATCH(INT((ROW()-5)/3)+1,对接源_01入库吨位!$S$5:$S$304,0)),"")</f>
        <v/>
      </c>
      <c r="C237" s="75" t="str">
        <f>IFERROR(INDEX(对接源_01入库吨位!$C$5:$C$304,MATCH(INT((ROW()-5)/3)+1,对接源_01入库吨位!$S$5:$S$304,0)),"")</f>
        <v/>
      </c>
      <c r="D237" s="89" t="str">
        <f t="shared" si="25"/>
        <v/>
      </c>
      <c r="E237" s="42" t="str">
        <f>IF($B237="","",IFERROR(IF($D237="周转打冷",N(INDEX(对接源_01入库吨位!$D$5:$D$304,MATCH(INT((ROW()-5)/3)+1,对接源_01入库吨位!$S$5:$S$304,0))),IF($D237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7" s="76" t="str">
        <f>IF($B237="","",ROUND(IFERROR(IF($D237="周转打冷",N(INDEX(对接源_01入库吨位!$H$5:$H$304,MATCH(INT((ROW()-5)/3)+1,对接源_01入库吨位!$S$5:$S$304,0))),IF($D237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7" s="122" t="str">
        <f t="shared" si="26"/>
        <v/>
      </c>
      <c r="H237" s="43"/>
      <c r="I237" s="107"/>
      <c r="J237" s="123" t="str">
        <f t="shared" si="27"/>
        <v/>
      </c>
      <c r="K237" s="76" t="str">
        <f t="shared" si="28"/>
        <v/>
      </c>
      <c r="L237" s="43"/>
      <c r="M237" s="7"/>
      <c r="N237" s="106"/>
      <c r="R237" s="3" t="str">
        <f t="shared" si="29"/>
        <v/>
      </c>
      <c r="S237" s="3">
        <f t="shared" si="30"/>
        <v>0</v>
      </c>
      <c r="T237" s="3">
        <f t="shared" si="31"/>
        <v>13</v>
      </c>
    </row>
    <row r="238" spans="1:20">
      <c r="A238" s="74" t="str">
        <f t="shared" si="24"/>
        <v/>
      </c>
      <c r="B238" s="75" t="str">
        <f>IFERROR(INDEX(对接源_01入库吨位!$B$5:$B$304,MATCH(INT((ROW()-5)/3)+1,对接源_01入库吨位!$S$5:$S$304,0)),"")</f>
        <v/>
      </c>
      <c r="C238" s="75" t="str">
        <f>IFERROR(INDEX(对接源_01入库吨位!$C$5:$C$304,MATCH(INT((ROW()-5)/3)+1,对接源_01入库吨位!$S$5:$S$304,0)),"")</f>
        <v/>
      </c>
      <c r="D238" s="89" t="str">
        <f t="shared" si="25"/>
        <v/>
      </c>
      <c r="E238" s="42" t="str">
        <f>IF($B238="","",IFERROR(IF($D238="周转打冷",N(INDEX(对接源_01入库吨位!$D$5:$D$304,MATCH(INT((ROW()-5)/3)+1,对接源_01入库吨位!$S$5:$S$304,0))),IF($D238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8" s="76" t="str">
        <f>IF($B238="","",ROUND(IFERROR(IF($D238="周转打冷",N(INDEX(对接源_01入库吨位!$H$5:$H$304,MATCH(INT((ROW()-5)/3)+1,对接源_01入库吨位!$S$5:$S$304,0))),IF($D238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8" s="122" t="str">
        <f t="shared" si="26"/>
        <v/>
      </c>
      <c r="H238" s="43"/>
      <c r="I238" s="107"/>
      <c r="J238" s="123" t="str">
        <f t="shared" si="27"/>
        <v/>
      </c>
      <c r="K238" s="76" t="str">
        <f t="shared" si="28"/>
        <v/>
      </c>
      <c r="L238" s="43"/>
      <c r="M238" s="7"/>
      <c r="N238" s="106"/>
      <c r="R238" s="3" t="str">
        <f t="shared" si="29"/>
        <v/>
      </c>
      <c r="S238" s="3">
        <f t="shared" si="30"/>
        <v>0</v>
      </c>
      <c r="T238" s="3">
        <f t="shared" si="31"/>
        <v>13</v>
      </c>
    </row>
    <row r="239" spans="1:20">
      <c r="A239" s="74" t="str">
        <f t="shared" si="24"/>
        <v/>
      </c>
      <c r="B239" s="75" t="str">
        <f>IFERROR(INDEX(对接源_01入库吨位!$B$5:$B$304,MATCH(INT((ROW()-5)/3)+1,对接源_01入库吨位!$S$5:$S$304,0)),"")</f>
        <v/>
      </c>
      <c r="C239" s="75" t="str">
        <f>IFERROR(INDEX(对接源_01入库吨位!$C$5:$C$304,MATCH(INT((ROW()-5)/3)+1,对接源_01入库吨位!$S$5:$S$304,0)),"")</f>
        <v/>
      </c>
      <c r="D239" s="89" t="str">
        <f t="shared" si="25"/>
        <v/>
      </c>
      <c r="E239" s="42" t="str">
        <f>IF($B239="","",IFERROR(IF($D239="周转打冷",N(INDEX(对接源_01入库吨位!$D$5:$D$304,MATCH(INT((ROW()-5)/3)+1,对接源_01入库吨位!$S$5:$S$304,0))),IF($D239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9" s="76" t="str">
        <f>IF($B239="","",ROUND(IFERROR(IF($D239="周转打冷",N(INDEX(对接源_01入库吨位!$H$5:$H$304,MATCH(INT((ROW()-5)/3)+1,对接源_01入库吨位!$S$5:$S$304,0))),IF($D239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9" s="122" t="str">
        <f t="shared" si="26"/>
        <v/>
      </c>
      <c r="H239" s="43"/>
      <c r="I239" s="107"/>
      <c r="J239" s="123" t="str">
        <f t="shared" si="27"/>
        <v/>
      </c>
      <c r="K239" s="76" t="str">
        <f t="shared" si="28"/>
        <v/>
      </c>
      <c r="L239" s="43"/>
      <c r="M239" s="7"/>
      <c r="N239" s="106"/>
      <c r="R239" s="3" t="str">
        <f t="shared" si="29"/>
        <v/>
      </c>
      <c r="S239" s="3">
        <f t="shared" si="30"/>
        <v>0</v>
      </c>
      <c r="T239" s="3">
        <f t="shared" si="31"/>
        <v>13</v>
      </c>
    </row>
    <row r="240" spans="1:20">
      <c r="A240" s="74" t="str">
        <f t="shared" si="24"/>
        <v/>
      </c>
      <c r="B240" s="75" t="str">
        <f>IFERROR(INDEX(对接源_01入库吨位!$B$5:$B$304,MATCH(INT((ROW()-5)/3)+1,对接源_01入库吨位!$S$5:$S$304,0)),"")</f>
        <v/>
      </c>
      <c r="C240" s="75" t="str">
        <f>IFERROR(INDEX(对接源_01入库吨位!$C$5:$C$304,MATCH(INT((ROW()-5)/3)+1,对接源_01入库吨位!$S$5:$S$304,0)),"")</f>
        <v/>
      </c>
      <c r="D240" s="89" t="str">
        <f t="shared" si="25"/>
        <v/>
      </c>
      <c r="E240" s="42" t="str">
        <f>IF($B240="","",IFERROR(IF($D240="周转打冷",N(INDEX(对接源_01入库吨位!$D$5:$D$304,MATCH(INT((ROW()-5)/3)+1,对接源_01入库吨位!$S$5:$S$304,0))),IF($D240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0" s="76" t="str">
        <f>IF($B240="","",ROUND(IFERROR(IF($D240="周转打冷",N(INDEX(对接源_01入库吨位!$H$5:$H$304,MATCH(INT((ROW()-5)/3)+1,对接源_01入库吨位!$S$5:$S$304,0))),IF($D240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0" s="122" t="str">
        <f t="shared" si="26"/>
        <v/>
      </c>
      <c r="H240" s="43"/>
      <c r="I240" s="107"/>
      <c r="J240" s="123" t="str">
        <f t="shared" si="27"/>
        <v/>
      </c>
      <c r="K240" s="76" t="str">
        <f t="shared" si="28"/>
        <v/>
      </c>
      <c r="L240" s="43"/>
      <c r="M240" s="7"/>
      <c r="N240" s="106"/>
      <c r="R240" s="3" t="str">
        <f t="shared" si="29"/>
        <v/>
      </c>
      <c r="S240" s="3">
        <f t="shared" si="30"/>
        <v>0</v>
      </c>
      <c r="T240" s="3">
        <f t="shared" si="31"/>
        <v>13</v>
      </c>
    </row>
    <row r="241" spans="1:20">
      <c r="A241" s="74" t="str">
        <f t="shared" si="24"/>
        <v/>
      </c>
      <c r="B241" s="75" t="str">
        <f>IFERROR(INDEX(对接源_01入库吨位!$B$5:$B$304,MATCH(INT((ROW()-5)/3)+1,对接源_01入库吨位!$S$5:$S$304,0)),"")</f>
        <v/>
      </c>
      <c r="C241" s="75" t="str">
        <f>IFERROR(INDEX(对接源_01入库吨位!$C$5:$C$304,MATCH(INT((ROW()-5)/3)+1,对接源_01入库吨位!$S$5:$S$304,0)),"")</f>
        <v/>
      </c>
      <c r="D241" s="89" t="str">
        <f t="shared" si="25"/>
        <v/>
      </c>
      <c r="E241" s="42" t="str">
        <f>IF($B241="","",IFERROR(IF($D241="周转打冷",N(INDEX(对接源_01入库吨位!$D$5:$D$304,MATCH(INT((ROW()-5)/3)+1,对接源_01入库吨位!$S$5:$S$304,0))),IF($D241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1" s="76" t="str">
        <f>IF($B241="","",ROUND(IFERROR(IF($D241="周转打冷",N(INDEX(对接源_01入库吨位!$H$5:$H$304,MATCH(INT((ROW()-5)/3)+1,对接源_01入库吨位!$S$5:$S$304,0))),IF($D241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1" s="122" t="str">
        <f t="shared" si="26"/>
        <v/>
      </c>
      <c r="H241" s="43"/>
      <c r="I241" s="107"/>
      <c r="J241" s="123" t="str">
        <f t="shared" si="27"/>
        <v/>
      </c>
      <c r="K241" s="76" t="str">
        <f t="shared" si="28"/>
        <v/>
      </c>
      <c r="L241" s="43"/>
      <c r="M241" s="7"/>
      <c r="N241" s="106"/>
      <c r="R241" s="3" t="str">
        <f t="shared" si="29"/>
        <v/>
      </c>
      <c r="S241" s="3">
        <f t="shared" si="30"/>
        <v>0</v>
      </c>
      <c r="T241" s="3">
        <f t="shared" si="31"/>
        <v>13</v>
      </c>
    </row>
    <row r="242" spans="1:20">
      <c r="A242" s="74" t="str">
        <f t="shared" si="24"/>
        <v/>
      </c>
      <c r="B242" s="75" t="str">
        <f>IFERROR(INDEX(对接源_01入库吨位!$B$5:$B$304,MATCH(INT((ROW()-5)/3)+1,对接源_01入库吨位!$S$5:$S$304,0)),"")</f>
        <v/>
      </c>
      <c r="C242" s="75" t="str">
        <f>IFERROR(INDEX(对接源_01入库吨位!$C$5:$C$304,MATCH(INT((ROW()-5)/3)+1,对接源_01入库吨位!$S$5:$S$304,0)),"")</f>
        <v/>
      </c>
      <c r="D242" s="89" t="str">
        <f t="shared" si="25"/>
        <v/>
      </c>
      <c r="E242" s="42" t="str">
        <f>IF($B242="","",IFERROR(IF($D242="周转打冷",N(INDEX(对接源_01入库吨位!$D$5:$D$304,MATCH(INT((ROW()-5)/3)+1,对接源_01入库吨位!$S$5:$S$304,0))),IF($D242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2" s="76" t="str">
        <f>IF($B242="","",ROUND(IFERROR(IF($D242="周转打冷",N(INDEX(对接源_01入库吨位!$H$5:$H$304,MATCH(INT((ROW()-5)/3)+1,对接源_01入库吨位!$S$5:$S$304,0))),IF($D242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2" s="122" t="str">
        <f t="shared" si="26"/>
        <v/>
      </c>
      <c r="H242" s="43"/>
      <c r="I242" s="107"/>
      <c r="J242" s="123" t="str">
        <f t="shared" si="27"/>
        <v/>
      </c>
      <c r="K242" s="76" t="str">
        <f t="shared" si="28"/>
        <v/>
      </c>
      <c r="L242" s="43"/>
      <c r="M242" s="7"/>
      <c r="N242" s="106"/>
      <c r="R242" s="3" t="str">
        <f t="shared" si="29"/>
        <v/>
      </c>
      <c r="S242" s="3">
        <f t="shared" si="30"/>
        <v>0</v>
      </c>
      <c r="T242" s="3">
        <f t="shared" si="31"/>
        <v>13</v>
      </c>
    </row>
    <row r="243" spans="1:20">
      <c r="A243" s="74" t="str">
        <f t="shared" si="24"/>
        <v/>
      </c>
      <c r="B243" s="75" t="str">
        <f>IFERROR(INDEX(对接源_01入库吨位!$B$5:$B$304,MATCH(INT((ROW()-5)/3)+1,对接源_01入库吨位!$S$5:$S$304,0)),"")</f>
        <v/>
      </c>
      <c r="C243" s="75" t="str">
        <f>IFERROR(INDEX(对接源_01入库吨位!$C$5:$C$304,MATCH(INT((ROW()-5)/3)+1,对接源_01入库吨位!$S$5:$S$304,0)),"")</f>
        <v/>
      </c>
      <c r="D243" s="89" t="str">
        <f t="shared" si="25"/>
        <v/>
      </c>
      <c r="E243" s="42" t="str">
        <f>IF($B243="","",IFERROR(IF($D243="周转打冷",N(INDEX(对接源_01入库吨位!$D$5:$D$304,MATCH(INT((ROW()-5)/3)+1,对接源_01入库吨位!$S$5:$S$304,0))),IF($D243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3" s="76" t="str">
        <f>IF($B243="","",ROUND(IFERROR(IF($D243="周转打冷",N(INDEX(对接源_01入库吨位!$H$5:$H$304,MATCH(INT((ROW()-5)/3)+1,对接源_01入库吨位!$S$5:$S$304,0))),IF($D243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3" s="122" t="str">
        <f t="shared" si="26"/>
        <v/>
      </c>
      <c r="H243" s="43"/>
      <c r="I243" s="107"/>
      <c r="J243" s="123" t="str">
        <f t="shared" si="27"/>
        <v/>
      </c>
      <c r="K243" s="76" t="str">
        <f t="shared" si="28"/>
        <v/>
      </c>
      <c r="L243" s="43"/>
      <c r="M243" s="7"/>
      <c r="N243" s="106"/>
      <c r="R243" s="3" t="str">
        <f t="shared" si="29"/>
        <v/>
      </c>
      <c r="S243" s="3">
        <f t="shared" si="30"/>
        <v>0</v>
      </c>
      <c r="T243" s="3">
        <f t="shared" si="31"/>
        <v>13</v>
      </c>
    </row>
    <row r="244" spans="1:20">
      <c r="A244" s="74" t="str">
        <f t="shared" si="24"/>
        <v/>
      </c>
      <c r="B244" s="75" t="str">
        <f>IFERROR(INDEX(对接源_01入库吨位!$B$5:$B$304,MATCH(INT((ROW()-5)/3)+1,对接源_01入库吨位!$S$5:$S$304,0)),"")</f>
        <v/>
      </c>
      <c r="C244" s="75" t="str">
        <f>IFERROR(INDEX(对接源_01入库吨位!$C$5:$C$304,MATCH(INT((ROW()-5)/3)+1,对接源_01入库吨位!$S$5:$S$304,0)),"")</f>
        <v/>
      </c>
      <c r="D244" s="89" t="str">
        <f t="shared" si="25"/>
        <v/>
      </c>
      <c r="E244" s="42" t="str">
        <f>IF($B244="","",IFERROR(IF($D244="周转打冷",N(INDEX(对接源_01入库吨位!$D$5:$D$304,MATCH(INT((ROW()-5)/3)+1,对接源_01入库吨位!$S$5:$S$304,0))),IF($D244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4" s="76" t="str">
        <f>IF($B244="","",ROUND(IFERROR(IF($D244="周转打冷",N(INDEX(对接源_01入库吨位!$H$5:$H$304,MATCH(INT((ROW()-5)/3)+1,对接源_01入库吨位!$S$5:$S$304,0))),IF($D244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4" s="122" t="str">
        <f t="shared" si="26"/>
        <v/>
      </c>
      <c r="H244" s="43"/>
      <c r="I244" s="107"/>
      <c r="J244" s="123" t="str">
        <f t="shared" si="27"/>
        <v/>
      </c>
      <c r="K244" s="76" t="str">
        <f t="shared" si="28"/>
        <v/>
      </c>
      <c r="L244" s="43"/>
      <c r="M244" s="7"/>
      <c r="N244" s="106"/>
      <c r="R244" s="3" t="str">
        <f t="shared" si="29"/>
        <v/>
      </c>
      <c r="S244" s="3">
        <f t="shared" si="30"/>
        <v>0</v>
      </c>
      <c r="T244" s="3">
        <f t="shared" si="31"/>
        <v>13</v>
      </c>
    </row>
    <row r="245" spans="1:20">
      <c r="A245" s="74" t="str">
        <f t="shared" si="24"/>
        <v/>
      </c>
      <c r="B245" s="75" t="str">
        <f>IFERROR(INDEX(对接源_01入库吨位!$B$5:$B$304,MATCH(INT((ROW()-5)/3)+1,对接源_01入库吨位!$S$5:$S$304,0)),"")</f>
        <v/>
      </c>
      <c r="C245" s="75" t="str">
        <f>IFERROR(INDEX(对接源_01入库吨位!$C$5:$C$304,MATCH(INT((ROW()-5)/3)+1,对接源_01入库吨位!$S$5:$S$304,0)),"")</f>
        <v/>
      </c>
      <c r="D245" s="89" t="str">
        <f t="shared" si="25"/>
        <v/>
      </c>
      <c r="E245" s="42" t="str">
        <f>IF($B245="","",IFERROR(IF($D245="周转打冷",N(INDEX(对接源_01入库吨位!$D$5:$D$304,MATCH(INT((ROW()-5)/3)+1,对接源_01入库吨位!$S$5:$S$304,0))),IF($D245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5" s="76" t="str">
        <f>IF($B245="","",ROUND(IFERROR(IF($D245="周转打冷",N(INDEX(对接源_01入库吨位!$H$5:$H$304,MATCH(INT((ROW()-5)/3)+1,对接源_01入库吨位!$S$5:$S$304,0))),IF($D245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5" s="122" t="str">
        <f t="shared" si="26"/>
        <v/>
      </c>
      <c r="H245" s="43"/>
      <c r="I245" s="107"/>
      <c r="J245" s="123" t="str">
        <f t="shared" si="27"/>
        <v/>
      </c>
      <c r="K245" s="76" t="str">
        <f t="shared" si="28"/>
        <v/>
      </c>
      <c r="L245" s="43"/>
      <c r="M245" s="7"/>
      <c r="N245" s="106"/>
      <c r="R245" s="3" t="str">
        <f t="shared" si="29"/>
        <v/>
      </c>
      <c r="S245" s="3">
        <f t="shared" si="30"/>
        <v>0</v>
      </c>
      <c r="T245" s="3">
        <f t="shared" si="31"/>
        <v>13</v>
      </c>
    </row>
    <row r="246" spans="1:20">
      <c r="A246" s="74" t="str">
        <f t="shared" si="24"/>
        <v/>
      </c>
      <c r="B246" s="75" t="str">
        <f>IFERROR(INDEX(对接源_01入库吨位!$B$5:$B$304,MATCH(INT((ROW()-5)/3)+1,对接源_01入库吨位!$S$5:$S$304,0)),"")</f>
        <v/>
      </c>
      <c r="C246" s="75" t="str">
        <f>IFERROR(INDEX(对接源_01入库吨位!$C$5:$C$304,MATCH(INT((ROW()-5)/3)+1,对接源_01入库吨位!$S$5:$S$304,0)),"")</f>
        <v/>
      </c>
      <c r="D246" s="89" t="str">
        <f t="shared" si="25"/>
        <v/>
      </c>
      <c r="E246" s="42" t="str">
        <f>IF($B246="","",IFERROR(IF($D246="周转打冷",N(INDEX(对接源_01入库吨位!$D$5:$D$304,MATCH(INT((ROW()-5)/3)+1,对接源_01入库吨位!$S$5:$S$304,0))),IF($D246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6" s="76" t="str">
        <f>IF($B246="","",ROUND(IFERROR(IF($D246="周转打冷",N(INDEX(对接源_01入库吨位!$H$5:$H$304,MATCH(INT((ROW()-5)/3)+1,对接源_01入库吨位!$S$5:$S$304,0))),IF($D246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6" s="122" t="str">
        <f t="shared" si="26"/>
        <v/>
      </c>
      <c r="H246" s="43"/>
      <c r="I246" s="107"/>
      <c r="J246" s="123" t="str">
        <f t="shared" si="27"/>
        <v/>
      </c>
      <c r="K246" s="76" t="str">
        <f t="shared" si="28"/>
        <v/>
      </c>
      <c r="L246" s="43"/>
      <c r="M246" s="7"/>
      <c r="N246" s="106"/>
      <c r="R246" s="3" t="str">
        <f t="shared" si="29"/>
        <v/>
      </c>
      <c r="S246" s="3">
        <f t="shared" si="30"/>
        <v>0</v>
      </c>
      <c r="T246" s="3">
        <f t="shared" si="31"/>
        <v>13</v>
      </c>
    </row>
    <row r="247" spans="1:20">
      <c r="A247" s="74" t="str">
        <f t="shared" si="24"/>
        <v/>
      </c>
      <c r="B247" s="75" t="str">
        <f>IFERROR(INDEX(对接源_01入库吨位!$B$5:$B$304,MATCH(INT((ROW()-5)/3)+1,对接源_01入库吨位!$S$5:$S$304,0)),"")</f>
        <v/>
      </c>
      <c r="C247" s="75" t="str">
        <f>IFERROR(INDEX(对接源_01入库吨位!$C$5:$C$304,MATCH(INT((ROW()-5)/3)+1,对接源_01入库吨位!$S$5:$S$304,0)),"")</f>
        <v/>
      </c>
      <c r="D247" s="89" t="str">
        <f t="shared" si="25"/>
        <v/>
      </c>
      <c r="E247" s="42" t="str">
        <f>IF($B247="","",IFERROR(IF($D247="周转打冷",N(INDEX(对接源_01入库吨位!$D$5:$D$304,MATCH(INT((ROW()-5)/3)+1,对接源_01入库吨位!$S$5:$S$304,0))),IF($D247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7" s="76" t="str">
        <f>IF($B247="","",ROUND(IFERROR(IF($D247="周转打冷",N(INDEX(对接源_01入库吨位!$H$5:$H$304,MATCH(INT((ROW()-5)/3)+1,对接源_01入库吨位!$S$5:$S$304,0))),IF($D247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7" s="122" t="str">
        <f t="shared" si="26"/>
        <v/>
      </c>
      <c r="H247" s="43"/>
      <c r="I247" s="107"/>
      <c r="J247" s="123" t="str">
        <f t="shared" si="27"/>
        <v/>
      </c>
      <c r="K247" s="76" t="str">
        <f t="shared" si="28"/>
        <v/>
      </c>
      <c r="L247" s="43"/>
      <c r="M247" s="7"/>
      <c r="N247" s="106"/>
      <c r="R247" s="3" t="str">
        <f t="shared" si="29"/>
        <v/>
      </c>
      <c r="S247" s="3">
        <f t="shared" si="30"/>
        <v>0</v>
      </c>
      <c r="T247" s="3">
        <f t="shared" si="31"/>
        <v>13</v>
      </c>
    </row>
    <row r="248" spans="1:20">
      <c r="A248" s="74" t="str">
        <f t="shared" si="24"/>
        <v/>
      </c>
      <c r="B248" s="75" t="str">
        <f>IFERROR(INDEX(对接源_01入库吨位!$B$5:$B$304,MATCH(INT((ROW()-5)/3)+1,对接源_01入库吨位!$S$5:$S$304,0)),"")</f>
        <v/>
      </c>
      <c r="C248" s="75" t="str">
        <f>IFERROR(INDEX(对接源_01入库吨位!$C$5:$C$304,MATCH(INT((ROW()-5)/3)+1,对接源_01入库吨位!$S$5:$S$304,0)),"")</f>
        <v/>
      </c>
      <c r="D248" s="89" t="str">
        <f t="shared" si="25"/>
        <v/>
      </c>
      <c r="E248" s="42" t="str">
        <f>IF($B248="","",IFERROR(IF($D248="周转打冷",N(INDEX(对接源_01入库吨位!$D$5:$D$304,MATCH(INT((ROW()-5)/3)+1,对接源_01入库吨位!$S$5:$S$304,0))),IF($D248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8" s="76" t="str">
        <f>IF($B248="","",ROUND(IFERROR(IF($D248="周转打冷",N(INDEX(对接源_01入库吨位!$H$5:$H$304,MATCH(INT((ROW()-5)/3)+1,对接源_01入库吨位!$S$5:$S$304,0))),IF($D248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8" s="122" t="str">
        <f t="shared" si="26"/>
        <v/>
      </c>
      <c r="H248" s="43"/>
      <c r="I248" s="107"/>
      <c r="J248" s="123" t="str">
        <f t="shared" si="27"/>
        <v/>
      </c>
      <c r="K248" s="76" t="str">
        <f t="shared" si="28"/>
        <v/>
      </c>
      <c r="L248" s="43"/>
      <c r="M248" s="7"/>
      <c r="N248" s="106"/>
      <c r="R248" s="3" t="str">
        <f t="shared" si="29"/>
        <v/>
      </c>
      <c r="S248" s="3">
        <f t="shared" si="30"/>
        <v>0</v>
      </c>
      <c r="T248" s="3">
        <f t="shared" si="31"/>
        <v>13</v>
      </c>
    </row>
    <row r="249" spans="1:20">
      <c r="A249" s="74" t="str">
        <f t="shared" si="24"/>
        <v/>
      </c>
      <c r="B249" s="75" t="str">
        <f>IFERROR(INDEX(对接源_01入库吨位!$B$5:$B$304,MATCH(INT((ROW()-5)/3)+1,对接源_01入库吨位!$S$5:$S$304,0)),"")</f>
        <v/>
      </c>
      <c r="C249" s="75" t="str">
        <f>IFERROR(INDEX(对接源_01入库吨位!$C$5:$C$304,MATCH(INT((ROW()-5)/3)+1,对接源_01入库吨位!$S$5:$S$304,0)),"")</f>
        <v/>
      </c>
      <c r="D249" s="89" t="str">
        <f t="shared" si="25"/>
        <v/>
      </c>
      <c r="E249" s="42" t="str">
        <f>IF($B249="","",IFERROR(IF($D249="周转打冷",N(INDEX(对接源_01入库吨位!$D$5:$D$304,MATCH(INT((ROW()-5)/3)+1,对接源_01入库吨位!$S$5:$S$304,0))),IF($D249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9" s="76" t="str">
        <f>IF($B249="","",ROUND(IFERROR(IF($D249="周转打冷",N(INDEX(对接源_01入库吨位!$H$5:$H$304,MATCH(INT((ROW()-5)/3)+1,对接源_01入库吨位!$S$5:$S$304,0))),IF($D249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9" s="122" t="str">
        <f t="shared" si="26"/>
        <v/>
      </c>
      <c r="H249" s="43"/>
      <c r="I249" s="107"/>
      <c r="J249" s="123" t="str">
        <f t="shared" si="27"/>
        <v/>
      </c>
      <c r="K249" s="76" t="str">
        <f t="shared" si="28"/>
        <v/>
      </c>
      <c r="L249" s="43"/>
      <c r="M249" s="7"/>
      <c r="N249" s="106"/>
      <c r="R249" s="3" t="str">
        <f t="shared" si="29"/>
        <v/>
      </c>
      <c r="S249" s="3">
        <f t="shared" si="30"/>
        <v>0</v>
      </c>
      <c r="T249" s="3">
        <f t="shared" si="31"/>
        <v>13</v>
      </c>
    </row>
    <row r="250" spans="1:20">
      <c r="A250" s="74" t="str">
        <f t="shared" si="24"/>
        <v/>
      </c>
      <c r="B250" s="75" t="str">
        <f>IFERROR(INDEX(对接源_01入库吨位!$B$5:$B$304,MATCH(INT((ROW()-5)/3)+1,对接源_01入库吨位!$S$5:$S$304,0)),"")</f>
        <v/>
      </c>
      <c r="C250" s="75" t="str">
        <f>IFERROR(INDEX(对接源_01入库吨位!$C$5:$C$304,MATCH(INT((ROW()-5)/3)+1,对接源_01入库吨位!$S$5:$S$304,0)),"")</f>
        <v/>
      </c>
      <c r="D250" s="89" t="str">
        <f t="shared" si="25"/>
        <v/>
      </c>
      <c r="E250" s="42" t="str">
        <f>IF($B250="","",IFERROR(IF($D250="周转打冷",N(INDEX(对接源_01入库吨位!$D$5:$D$304,MATCH(INT((ROW()-5)/3)+1,对接源_01入库吨位!$S$5:$S$304,0))),IF($D250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0" s="76" t="str">
        <f>IF($B250="","",ROUND(IFERROR(IF($D250="周转打冷",N(INDEX(对接源_01入库吨位!$H$5:$H$304,MATCH(INT((ROW()-5)/3)+1,对接源_01入库吨位!$S$5:$S$304,0))),IF($D250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0" s="122" t="str">
        <f t="shared" si="26"/>
        <v/>
      </c>
      <c r="H250" s="43"/>
      <c r="I250" s="107"/>
      <c r="J250" s="123" t="str">
        <f t="shared" si="27"/>
        <v/>
      </c>
      <c r="K250" s="76" t="str">
        <f t="shared" si="28"/>
        <v/>
      </c>
      <c r="L250" s="43"/>
      <c r="M250" s="7"/>
      <c r="N250" s="106"/>
      <c r="R250" s="3" t="str">
        <f t="shared" si="29"/>
        <v/>
      </c>
      <c r="S250" s="3">
        <f t="shared" si="30"/>
        <v>0</v>
      </c>
      <c r="T250" s="3">
        <f t="shared" si="31"/>
        <v>13</v>
      </c>
    </row>
    <row r="251" spans="1:20">
      <c r="A251" s="74" t="str">
        <f t="shared" si="24"/>
        <v/>
      </c>
      <c r="B251" s="75" t="str">
        <f>IFERROR(INDEX(对接源_01入库吨位!$B$5:$B$304,MATCH(INT((ROW()-5)/3)+1,对接源_01入库吨位!$S$5:$S$304,0)),"")</f>
        <v/>
      </c>
      <c r="C251" s="75" t="str">
        <f>IFERROR(INDEX(对接源_01入库吨位!$C$5:$C$304,MATCH(INT((ROW()-5)/3)+1,对接源_01入库吨位!$S$5:$S$304,0)),"")</f>
        <v/>
      </c>
      <c r="D251" s="89" t="str">
        <f t="shared" si="25"/>
        <v/>
      </c>
      <c r="E251" s="42" t="str">
        <f>IF($B251="","",IFERROR(IF($D251="周转打冷",N(INDEX(对接源_01入库吨位!$D$5:$D$304,MATCH(INT((ROW()-5)/3)+1,对接源_01入库吨位!$S$5:$S$304,0))),IF($D251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1" s="76" t="str">
        <f>IF($B251="","",ROUND(IFERROR(IF($D251="周转打冷",N(INDEX(对接源_01入库吨位!$H$5:$H$304,MATCH(INT((ROW()-5)/3)+1,对接源_01入库吨位!$S$5:$S$304,0))),IF($D251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1" s="122" t="str">
        <f t="shared" si="26"/>
        <v/>
      </c>
      <c r="H251" s="43"/>
      <c r="I251" s="107"/>
      <c r="J251" s="123" t="str">
        <f t="shared" si="27"/>
        <v/>
      </c>
      <c r="K251" s="76" t="str">
        <f t="shared" si="28"/>
        <v/>
      </c>
      <c r="L251" s="43"/>
      <c r="M251" s="7"/>
      <c r="N251" s="106"/>
      <c r="R251" s="3" t="str">
        <f t="shared" si="29"/>
        <v/>
      </c>
      <c r="S251" s="3">
        <f t="shared" si="30"/>
        <v>0</v>
      </c>
      <c r="T251" s="3">
        <f t="shared" si="31"/>
        <v>13</v>
      </c>
    </row>
    <row r="252" spans="1:20">
      <c r="A252" s="74" t="str">
        <f t="shared" si="24"/>
        <v/>
      </c>
      <c r="B252" s="75" t="str">
        <f>IFERROR(INDEX(对接源_01入库吨位!$B$5:$B$304,MATCH(INT((ROW()-5)/3)+1,对接源_01入库吨位!$S$5:$S$304,0)),"")</f>
        <v/>
      </c>
      <c r="C252" s="75" t="str">
        <f>IFERROR(INDEX(对接源_01入库吨位!$C$5:$C$304,MATCH(INT((ROW()-5)/3)+1,对接源_01入库吨位!$S$5:$S$304,0)),"")</f>
        <v/>
      </c>
      <c r="D252" s="89" t="str">
        <f t="shared" si="25"/>
        <v/>
      </c>
      <c r="E252" s="42" t="str">
        <f>IF($B252="","",IFERROR(IF($D252="周转打冷",N(INDEX(对接源_01入库吨位!$D$5:$D$304,MATCH(INT((ROW()-5)/3)+1,对接源_01入库吨位!$S$5:$S$304,0))),IF($D252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2" s="76" t="str">
        <f>IF($B252="","",ROUND(IFERROR(IF($D252="周转打冷",N(INDEX(对接源_01入库吨位!$H$5:$H$304,MATCH(INT((ROW()-5)/3)+1,对接源_01入库吨位!$S$5:$S$304,0))),IF($D252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2" s="122" t="str">
        <f t="shared" si="26"/>
        <v/>
      </c>
      <c r="H252" s="43"/>
      <c r="I252" s="107"/>
      <c r="J252" s="123" t="str">
        <f t="shared" si="27"/>
        <v/>
      </c>
      <c r="K252" s="76" t="str">
        <f t="shared" si="28"/>
        <v/>
      </c>
      <c r="L252" s="43"/>
      <c r="M252" s="7"/>
      <c r="N252" s="106"/>
      <c r="R252" s="3" t="str">
        <f t="shared" si="29"/>
        <v/>
      </c>
      <c r="S252" s="3">
        <f t="shared" si="30"/>
        <v>0</v>
      </c>
      <c r="T252" s="3">
        <f t="shared" si="31"/>
        <v>13</v>
      </c>
    </row>
    <row r="253" spans="1:20">
      <c r="A253" s="74" t="str">
        <f t="shared" si="24"/>
        <v/>
      </c>
      <c r="B253" s="75" t="str">
        <f>IFERROR(INDEX(对接源_01入库吨位!$B$5:$B$304,MATCH(INT((ROW()-5)/3)+1,对接源_01入库吨位!$S$5:$S$304,0)),"")</f>
        <v/>
      </c>
      <c r="C253" s="75" t="str">
        <f>IFERROR(INDEX(对接源_01入库吨位!$C$5:$C$304,MATCH(INT((ROW()-5)/3)+1,对接源_01入库吨位!$S$5:$S$304,0)),"")</f>
        <v/>
      </c>
      <c r="D253" s="89" t="str">
        <f t="shared" si="25"/>
        <v/>
      </c>
      <c r="E253" s="42" t="str">
        <f>IF($B253="","",IFERROR(IF($D253="周转打冷",N(INDEX(对接源_01入库吨位!$D$5:$D$304,MATCH(INT((ROW()-5)/3)+1,对接源_01入库吨位!$S$5:$S$304,0))),IF($D253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3" s="76" t="str">
        <f>IF($B253="","",ROUND(IFERROR(IF($D253="周转打冷",N(INDEX(对接源_01入库吨位!$H$5:$H$304,MATCH(INT((ROW()-5)/3)+1,对接源_01入库吨位!$S$5:$S$304,0))),IF($D253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3" s="122" t="str">
        <f t="shared" si="26"/>
        <v/>
      </c>
      <c r="H253" s="43"/>
      <c r="I253" s="107"/>
      <c r="J253" s="123" t="str">
        <f t="shared" si="27"/>
        <v/>
      </c>
      <c r="K253" s="76" t="str">
        <f t="shared" si="28"/>
        <v/>
      </c>
      <c r="L253" s="43"/>
      <c r="M253" s="7"/>
      <c r="N253" s="106"/>
      <c r="R253" s="3" t="str">
        <f t="shared" si="29"/>
        <v/>
      </c>
      <c r="S253" s="3">
        <f t="shared" si="30"/>
        <v>0</v>
      </c>
      <c r="T253" s="3">
        <f t="shared" si="31"/>
        <v>13</v>
      </c>
    </row>
    <row r="254" spans="1:20">
      <c r="A254" s="74" t="str">
        <f t="shared" si="24"/>
        <v/>
      </c>
      <c r="B254" s="75" t="str">
        <f>IFERROR(INDEX(对接源_01入库吨位!$B$5:$B$304,MATCH(INT((ROW()-5)/3)+1,对接源_01入库吨位!$S$5:$S$304,0)),"")</f>
        <v/>
      </c>
      <c r="C254" s="75" t="str">
        <f>IFERROR(INDEX(对接源_01入库吨位!$C$5:$C$304,MATCH(INT((ROW()-5)/3)+1,对接源_01入库吨位!$S$5:$S$304,0)),"")</f>
        <v/>
      </c>
      <c r="D254" s="89" t="str">
        <f t="shared" si="25"/>
        <v/>
      </c>
      <c r="E254" s="42" t="str">
        <f>IF($B254="","",IFERROR(IF($D254="周转打冷",N(INDEX(对接源_01入库吨位!$D$5:$D$304,MATCH(INT((ROW()-5)/3)+1,对接源_01入库吨位!$S$5:$S$304,0))),IF($D254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4" s="76" t="str">
        <f>IF($B254="","",ROUND(IFERROR(IF($D254="周转打冷",N(INDEX(对接源_01入库吨位!$H$5:$H$304,MATCH(INT((ROW()-5)/3)+1,对接源_01入库吨位!$S$5:$S$304,0))),IF($D254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4" s="122" t="str">
        <f t="shared" si="26"/>
        <v/>
      </c>
      <c r="H254" s="43"/>
      <c r="I254" s="107"/>
      <c r="J254" s="123" t="str">
        <f t="shared" si="27"/>
        <v/>
      </c>
      <c r="K254" s="76" t="str">
        <f t="shared" si="28"/>
        <v/>
      </c>
      <c r="L254" s="43"/>
      <c r="M254" s="7"/>
      <c r="N254" s="106"/>
      <c r="R254" s="3" t="str">
        <f t="shared" si="29"/>
        <v/>
      </c>
      <c r="S254" s="3">
        <f t="shared" si="30"/>
        <v>0</v>
      </c>
      <c r="T254" s="3">
        <f t="shared" si="31"/>
        <v>13</v>
      </c>
    </row>
    <row r="255" spans="1:20">
      <c r="A255" s="74" t="str">
        <f t="shared" si="24"/>
        <v/>
      </c>
      <c r="B255" s="75" t="str">
        <f>IFERROR(INDEX(对接源_01入库吨位!$B$5:$B$304,MATCH(INT((ROW()-5)/3)+1,对接源_01入库吨位!$S$5:$S$304,0)),"")</f>
        <v/>
      </c>
      <c r="C255" s="75" t="str">
        <f>IFERROR(INDEX(对接源_01入库吨位!$C$5:$C$304,MATCH(INT((ROW()-5)/3)+1,对接源_01入库吨位!$S$5:$S$304,0)),"")</f>
        <v/>
      </c>
      <c r="D255" s="89" t="str">
        <f t="shared" si="25"/>
        <v/>
      </c>
      <c r="E255" s="42" t="str">
        <f>IF($B255="","",IFERROR(IF($D255="周转打冷",N(INDEX(对接源_01入库吨位!$D$5:$D$304,MATCH(INT((ROW()-5)/3)+1,对接源_01入库吨位!$S$5:$S$304,0))),IF($D255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5" s="76" t="str">
        <f>IF($B255="","",ROUND(IFERROR(IF($D255="周转打冷",N(INDEX(对接源_01入库吨位!$H$5:$H$304,MATCH(INT((ROW()-5)/3)+1,对接源_01入库吨位!$S$5:$S$304,0))),IF($D255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5" s="122" t="str">
        <f t="shared" si="26"/>
        <v/>
      </c>
      <c r="H255" s="43"/>
      <c r="I255" s="107"/>
      <c r="J255" s="123" t="str">
        <f t="shared" si="27"/>
        <v/>
      </c>
      <c r="K255" s="76" t="str">
        <f t="shared" si="28"/>
        <v/>
      </c>
      <c r="L255" s="43"/>
      <c r="M255" s="7"/>
      <c r="N255" s="106"/>
      <c r="R255" s="3" t="str">
        <f t="shared" si="29"/>
        <v/>
      </c>
      <c r="S255" s="3">
        <f t="shared" si="30"/>
        <v>0</v>
      </c>
      <c r="T255" s="3">
        <f t="shared" si="31"/>
        <v>13</v>
      </c>
    </row>
    <row r="256" spans="1:20">
      <c r="A256" s="74" t="str">
        <f t="shared" si="24"/>
        <v/>
      </c>
      <c r="B256" s="75" t="str">
        <f>IFERROR(INDEX(对接源_01入库吨位!$B$5:$B$304,MATCH(INT((ROW()-5)/3)+1,对接源_01入库吨位!$S$5:$S$304,0)),"")</f>
        <v/>
      </c>
      <c r="C256" s="75" t="str">
        <f>IFERROR(INDEX(对接源_01入库吨位!$C$5:$C$304,MATCH(INT((ROW()-5)/3)+1,对接源_01入库吨位!$S$5:$S$304,0)),"")</f>
        <v/>
      </c>
      <c r="D256" s="89" t="str">
        <f t="shared" si="25"/>
        <v/>
      </c>
      <c r="E256" s="42" t="str">
        <f>IF($B256="","",IFERROR(IF($D256="周转打冷",N(INDEX(对接源_01入库吨位!$D$5:$D$304,MATCH(INT((ROW()-5)/3)+1,对接源_01入库吨位!$S$5:$S$304,0))),IF($D256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6" s="76" t="str">
        <f>IF($B256="","",ROUND(IFERROR(IF($D256="周转打冷",N(INDEX(对接源_01入库吨位!$H$5:$H$304,MATCH(INT((ROW()-5)/3)+1,对接源_01入库吨位!$S$5:$S$304,0))),IF($D256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6" s="122" t="str">
        <f t="shared" si="26"/>
        <v/>
      </c>
      <c r="H256" s="43"/>
      <c r="I256" s="107"/>
      <c r="J256" s="123" t="str">
        <f t="shared" si="27"/>
        <v/>
      </c>
      <c r="K256" s="76" t="str">
        <f t="shared" si="28"/>
        <v/>
      </c>
      <c r="L256" s="43"/>
      <c r="M256" s="7"/>
      <c r="N256" s="106"/>
      <c r="R256" s="3" t="str">
        <f t="shared" si="29"/>
        <v/>
      </c>
      <c r="S256" s="3">
        <f t="shared" si="30"/>
        <v>0</v>
      </c>
      <c r="T256" s="3">
        <f t="shared" si="31"/>
        <v>13</v>
      </c>
    </row>
    <row r="257" spans="1:20">
      <c r="A257" s="74" t="str">
        <f t="shared" si="24"/>
        <v/>
      </c>
      <c r="B257" s="75" t="str">
        <f>IFERROR(INDEX(对接源_01入库吨位!$B$5:$B$304,MATCH(INT((ROW()-5)/3)+1,对接源_01入库吨位!$S$5:$S$304,0)),"")</f>
        <v/>
      </c>
      <c r="C257" s="75" t="str">
        <f>IFERROR(INDEX(对接源_01入库吨位!$C$5:$C$304,MATCH(INT((ROW()-5)/3)+1,对接源_01入库吨位!$S$5:$S$304,0)),"")</f>
        <v/>
      </c>
      <c r="D257" s="89" t="str">
        <f t="shared" si="25"/>
        <v/>
      </c>
      <c r="E257" s="42" t="str">
        <f>IF($B257="","",IFERROR(IF($D257="周转打冷",N(INDEX(对接源_01入库吨位!$D$5:$D$304,MATCH(INT((ROW()-5)/3)+1,对接源_01入库吨位!$S$5:$S$304,0))),IF($D257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7" s="76" t="str">
        <f>IF($B257="","",ROUND(IFERROR(IF($D257="周转打冷",N(INDEX(对接源_01入库吨位!$H$5:$H$304,MATCH(INT((ROW()-5)/3)+1,对接源_01入库吨位!$S$5:$S$304,0))),IF($D257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7" s="122" t="str">
        <f t="shared" si="26"/>
        <v/>
      </c>
      <c r="H257" s="43"/>
      <c r="I257" s="107"/>
      <c r="J257" s="123" t="str">
        <f t="shared" si="27"/>
        <v/>
      </c>
      <c r="K257" s="76" t="str">
        <f t="shared" si="28"/>
        <v/>
      </c>
      <c r="L257" s="43"/>
      <c r="M257" s="7"/>
      <c r="N257" s="106"/>
      <c r="R257" s="3" t="str">
        <f t="shared" si="29"/>
        <v/>
      </c>
      <c r="S257" s="3">
        <f t="shared" si="30"/>
        <v>0</v>
      </c>
      <c r="T257" s="3">
        <f t="shared" si="31"/>
        <v>13</v>
      </c>
    </row>
    <row r="258" spans="1:20">
      <c r="A258" s="74" t="str">
        <f t="shared" si="24"/>
        <v/>
      </c>
      <c r="B258" s="75" t="str">
        <f>IFERROR(INDEX(对接源_01入库吨位!$B$5:$B$304,MATCH(INT((ROW()-5)/3)+1,对接源_01入库吨位!$S$5:$S$304,0)),"")</f>
        <v/>
      </c>
      <c r="C258" s="75" t="str">
        <f>IFERROR(INDEX(对接源_01入库吨位!$C$5:$C$304,MATCH(INT((ROW()-5)/3)+1,对接源_01入库吨位!$S$5:$S$304,0)),"")</f>
        <v/>
      </c>
      <c r="D258" s="89" t="str">
        <f t="shared" si="25"/>
        <v/>
      </c>
      <c r="E258" s="42" t="str">
        <f>IF($B258="","",IFERROR(IF($D258="周转打冷",N(INDEX(对接源_01入库吨位!$D$5:$D$304,MATCH(INT((ROW()-5)/3)+1,对接源_01入库吨位!$S$5:$S$304,0))),IF($D258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8" s="76" t="str">
        <f>IF($B258="","",ROUND(IFERROR(IF($D258="周转打冷",N(INDEX(对接源_01入库吨位!$H$5:$H$304,MATCH(INT((ROW()-5)/3)+1,对接源_01入库吨位!$S$5:$S$304,0))),IF($D258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8" s="122" t="str">
        <f t="shared" si="26"/>
        <v/>
      </c>
      <c r="H258" s="43"/>
      <c r="I258" s="107"/>
      <c r="J258" s="123" t="str">
        <f t="shared" si="27"/>
        <v/>
      </c>
      <c r="K258" s="76" t="str">
        <f t="shared" si="28"/>
        <v/>
      </c>
      <c r="L258" s="43"/>
      <c r="M258" s="7"/>
      <c r="N258" s="106"/>
      <c r="R258" s="3" t="str">
        <f t="shared" si="29"/>
        <v/>
      </c>
      <c r="S258" s="3">
        <f t="shared" si="30"/>
        <v>0</v>
      </c>
      <c r="T258" s="3">
        <f t="shared" si="31"/>
        <v>13</v>
      </c>
    </row>
    <row r="259" spans="1:20">
      <c r="A259" s="74" t="str">
        <f t="shared" si="24"/>
        <v/>
      </c>
      <c r="B259" s="75" t="str">
        <f>IFERROR(INDEX(对接源_01入库吨位!$B$5:$B$304,MATCH(INT((ROW()-5)/3)+1,对接源_01入库吨位!$S$5:$S$304,0)),"")</f>
        <v/>
      </c>
      <c r="C259" s="75" t="str">
        <f>IFERROR(INDEX(对接源_01入库吨位!$C$5:$C$304,MATCH(INT((ROW()-5)/3)+1,对接源_01入库吨位!$S$5:$S$304,0)),"")</f>
        <v/>
      </c>
      <c r="D259" s="89" t="str">
        <f t="shared" si="25"/>
        <v/>
      </c>
      <c r="E259" s="42" t="str">
        <f>IF($B259="","",IFERROR(IF($D259="周转打冷",N(INDEX(对接源_01入库吨位!$D$5:$D$304,MATCH(INT((ROW()-5)/3)+1,对接源_01入库吨位!$S$5:$S$304,0))),IF($D259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9" s="76" t="str">
        <f>IF($B259="","",ROUND(IFERROR(IF($D259="周转打冷",N(INDEX(对接源_01入库吨位!$H$5:$H$304,MATCH(INT((ROW()-5)/3)+1,对接源_01入库吨位!$S$5:$S$304,0))),IF($D259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9" s="122" t="str">
        <f t="shared" si="26"/>
        <v/>
      </c>
      <c r="H259" s="43"/>
      <c r="I259" s="107"/>
      <c r="J259" s="123" t="str">
        <f t="shared" si="27"/>
        <v/>
      </c>
      <c r="K259" s="76" t="str">
        <f t="shared" si="28"/>
        <v/>
      </c>
      <c r="L259" s="43"/>
      <c r="M259" s="7"/>
      <c r="N259" s="106"/>
      <c r="R259" s="3" t="str">
        <f t="shared" si="29"/>
        <v/>
      </c>
      <c r="S259" s="3">
        <f t="shared" si="30"/>
        <v>0</v>
      </c>
      <c r="T259" s="3">
        <f t="shared" si="31"/>
        <v>13</v>
      </c>
    </row>
    <row r="260" spans="1:20">
      <c r="A260" s="74" t="str">
        <f t="shared" si="24"/>
        <v/>
      </c>
      <c r="B260" s="75" t="str">
        <f>IFERROR(INDEX(对接源_01入库吨位!$B$5:$B$304,MATCH(INT((ROW()-5)/3)+1,对接源_01入库吨位!$S$5:$S$304,0)),"")</f>
        <v/>
      </c>
      <c r="C260" s="75" t="str">
        <f>IFERROR(INDEX(对接源_01入库吨位!$C$5:$C$304,MATCH(INT((ROW()-5)/3)+1,对接源_01入库吨位!$S$5:$S$304,0)),"")</f>
        <v/>
      </c>
      <c r="D260" s="89" t="str">
        <f t="shared" si="25"/>
        <v/>
      </c>
      <c r="E260" s="42" t="str">
        <f>IF($B260="","",IFERROR(IF($D260="周转打冷",N(INDEX(对接源_01入库吨位!$D$5:$D$304,MATCH(INT((ROW()-5)/3)+1,对接源_01入库吨位!$S$5:$S$304,0))),IF($D260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0" s="76" t="str">
        <f>IF($B260="","",ROUND(IFERROR(IF($D260="周转打冷",N(INDEX(对接源_01入库吨位!$H$5:$H$304,MATCH(INT((ROW()-5)/3)+1,对接源_01入库吨位!$S$5:$S$304,0))),IF($D260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0" s="122" t="str">
        <f t="shared" si="26"/>
        <v/>
      </c>
      <c r="H260" s="43"/>
      <c r="I260" s="107"/>
      <c r="J260" s="123" t="str">
        <f t="shared" si="27"/>
        <v/>
      </c>
      <c r="K260" s="76" t="str">
        <f t="shared" si="28"/>
        <v/>
      </c>
      <c r="L260" s="43"/>
      <c r="M260" s="7"/>
      <c r="N260" s="106"/>
      <c r="R260" s="3" t="str">
        <f t="shared" si="29"/>
        <v/>
      </c>
      <c r="S260" s="3">
        <f t="shared" si="30"/>
        <v>0</v>
      </c>
      <c r="T260" s="3">
        <f t="shared" si="31"/>
        <v>13</v>
      </c>
    </row>
    <row r="261" spans="1:20">
      <c r="A261" s="74" t="str">
        <f t="shared" ref="A261:A324" si="32">IF($B261="","",ROW()-4)</f>
        <v/>
      </c>
      <c r="B261" s="75" t="str">
        <f>IFERROR(INDEX(对接源_01入库吨位!$B$5:$B$304,MATCH(INT((ROW()-5)/3)+1,对接源_01入库吨位!$S$5:$S$304,0)),"")</f>
        <v/>
      </c>
      <c r="C261" s="75" t="str">
        <f>IFERROR(INDEX(对接源_01入库吨位!$C$5:$C$304,MATCH(INT((ROW()-5)/3)+1,对接源_01入库吨位!$S$5:$S$304,0)),"")</f>
        <v/>
      </c>
      <c r="D261" s="89" t="str">
        <f t="shared" ref="D261:D324" si="33">IF($B261="","",IF(MOD(ROW()-5,3)=0,"周转打冷",IF(MOD(ROW()-5,3)=1,"仓储加工","装卸费")))</f>
        <v/>
      </c>
      <c r="E261" s="42" t="str">
        <f>IF($B261="","",IFERROR(IF($D261="周转打冷",N(INDEX(对接源_01入库吨位!$D$5:$D$304,MATCH(INT((ROW()-5)/3)+1,对接源_01入库吨位!$S$5:$S$304,0))),IF($D261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1" s="76" t="str">
        <f>IF($B261="","",ROUND(IFERROR(IF($D261="周转打冷",N(INDEX(对接源_01入库吨位!$H$5:$H$304,MATCH(INT((ROW()-5)/3)+1,对接源_01入库吨位!$S$5:$S$304,0))),IF($D261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1" s="122" t="str">
        <f t="shared" ref="G261:G324" si="34">IF($B261="","",ROUND(N($F261)/1000,3))</f>
        <v/>
      </c>
      <c r="H261" s="43"/>
      <c r="I261" s="107"/>
      <c r="J261" s="123" t="str">
        <f t="shared" ref="J261:J324" si="35">IF($B261="","",IF($H261="按筐数×单价",N($E261),IF($H261="按总重KG×单价",N($F261),IF($H261="按吨位×单价",N($G261),0))))</f>
        <v/>
      </c>
      <c r="K261" s="76" t="str">
        <f t="shared" ref="K261:K324" si="36">IF($B261="","",ROUND(N($J261)*N($I261),2))</f>
        <v/>
      </c>
      <c r="L261" s="43"/>
      <c r="M261" s="7"/>
      <c r="N261" s="106"/>
      <c r="R261" s="3" t="str">
        <f t="shared" ref="R261:R324" si="37">IF($B261="","",$B261)</f>
        <v/>
      </c>
      <c r="S261" s="3">
        <f t="shared" ref="S261:S324" si="38">IF($R261="",0,IF(MATCH($R261,$R$5:$R$904,0)=ROW()-4,1,0))</f>
        <v>0</v>
      </c>
      <c r="T261" s="3">
        <f t="shared" ref="T261:T324" si="39">N(T260)+$S261</f>
        <v>13</v>
      </c>
    </row>
    <row r="262" spans="1:20">
      <c r="A262" s="74" t="str">
        <f t="shared" si="32"/>
        <v/>
      </c>
      <c r="B262" s="75" t="str">
        <f>IFERROR(INDEX(对接源_01入库吨位!$B$5:$B$304,MATCH(INT((ROW()-5)/3)+1,对接源_01入库吨位!$S$5:$S$304,0)),"")</f>
        <v/>
      </c>
      <c r="C262" s="75" t="str">
        <f>IFERROR(INDEX(对接源_01入库吨位!$C$5:$C$304,MATCH(INT((ROW()-5)/3)+1,对接源_01入库吨位!$S$5:$S$304,0)),"")</f>
        <v/>
      </c>
      <c r="D262" s="89" t="str">
        <f t="shared" si="33"/>
        <v/>
      </c>
      <c r="E262" s="42" t="str">
        <f>IF($B262="","",IFERROR(IF($D262="周转打冷",N(INDEX(对接源_01入库吨位!$D$5:$D$304,MATCH(INT((ROW()-5)/3)+1,对接源_01入库吨位!$S$5:$S$304,0))),IF($D262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2" s="76" t="str">
        <f>IF($B262="","",ROUND(IFERROR(IF($D262="周转打冷",N(INDEX(对接源_01入库吨位!$H$5:$H$304,MATCH(INT((ROW()-5)/3)+1,对接源_01入库吨位!$S$5:$S$304,0))),IF($D262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2" s="122" t="str">
        <f t="shared" si="34"/>
        <v/>
      </c>
      <c r="H262" s="43"/>
      <c r="I262" s="107"/>
      <c r="J262" s="123" t="str">
        <f t="shared" si="35"/>
        <v/>
      </c>
      <c r="K262" s="76" t="str">
        <f t="shared" si="36"/>
        <v/>
      </c>
      <c r="L262" s="43"/>
      <c r="M262" s="7"/>
      <c r="N262" s="106"/>
      <c r="R262" s="3" t="str">
        <f t="shared" si="37"/>
        <v/>
      </c>
      <c r="S262" s="3">
        <f t="shared" si="38"/>
        <v>0</v>
      </c>
      <c r="T262" s="3">
        <f t="shared" si="39"/>
        <v>13</v>
      </c>
    </row>
    <row r="263" spans="1:20">
      <c r="A263" s="74" t="str">
        <f t="shared" si="32"/>
        <v/>
      </c>
      <c r="B263" s="75" t="str">
        <f>IFERROR(INDEX(对接源_01入库吨位!$B$5:$B$304,MATCH(INT((ROW()-5)/3)+1,对接源_01入库吨位!$S$5:$S$304,0)),"")</f>
        <v/>
      </c>
      <c r="C263" s="75" t="str">
        <f>IFERROR(INDEX(对接源_01入库吨位!$C$5:$C$304,MATCH(INT((ROW()-5)/3)+1,对接源_01入库吨位!$S$5:$S$304,0)),"")</f>
        <v/>
      </c>
      <c r="D263" s="89" t="str">
        <f t="shared" si="33"/>
        <v/>
      </c>
      <c r="E263" s="42" t="str">
        <f>IF($B263="","",IFERROR(IF($D263="周转打冷",N(INDEX(对接源_01入库吨位!$D$5:$D$304,MATCH(INT((ROW()-5)/3)+1,对接源_01入库吨位!$S$5:$S$304,0))),IF($D263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3" s="76" t="str">
        <f>IF($B263="","",ROUND(IFERROR(IF($D263="周转打冷",N(INDEX(对接源_01入库吨位!$H$5:$H$304,MATCH(INT((ROW()-5)/3)+1,对接源_01入库吨位!$S$5:$S$304,0))),IF($D263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3" s="122" t="str">
        <f t="shared" si="34"/>
        <v/>
      </c>
      <c r="H263" s="43"/>
      <c r="I263" s="107"/>
      <c r="J263" s="123" t="str">
        <f t="shared" si="35"/>
        <v/>
      </c>
      <c r="K263" s="76" t="str">
        <f t="shared" si="36"/>
        <v/>
      </c>
      <c r="L263" s="43"/>
      <c r="M263" s="7"/>
      <c r="N263" s="106"/>
      <c r="R263" s="3" t="str">
        <f t="shared" si="37"/>
        <v/>
      </c>
      <c r="S263" s="3">
        <f t="shared" si="38"/>
        <v>0</v>
      </c>
      <c r="T263" s="3">
        <f t="shared" si="39"/>
        <v>13</v>
      </c>
    </row>
    <row r="264" spans="1:20">
      <c r="A264" s="74" t="str">
        <f t="shared" si="32"/>
        <v/>
      </c>
      <c r="B264" s="75" t="str">
        <f>IFERROR(INDEX(对接源_01入库吨位!$B$5:$B$304,MATCH(INT((ROW()-5)/3)+1,对接源_01入库吨位!$S$5:$S$304,0)),"")</f>
        <v/>
      </c>
      <c r="C264" s="75" t="str">
        <f>IFERROR(INDEX(对接源_01入库吨位!$C$5:$C$304,MATCH(INT((ROW()-5)/3)+1,对接源_01入库吨位!$S$5:$S$304,0)),"")</f>
        <v/>
      </c>
      <c r="D264" s="89" t="str">
        <f t="shared" si="33"/>
        <v/>
      </c>
      <c r="E264" s="42" t="str">
        <f>IF($B264="","",IFERROR(IF($D264="周转打冷",N(INDEX(对接源_01入库吨位!$D$5:$D$304,MATCH(INT((ROW()-5)/3)+1,对接源_01入库吨位!$S$5:$S$304,0))),IF($D264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4" s="76" t="str">
        <f>IF($B264="","",ROUND(IFERROR(IF($D264="周转打冷",N(INDEX(对接源_01入库吨位!$H$5:$H$304,MATCH(INT((ROW()-5)/3)+1,对接源_01入库吨位!$S$5:$S$304,0))),IF($D264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4" s="122" t="str">
        <f t="shared" si="34"/>
        <v/>
      </c>
      <c r="H264" s="43"/>
      <c r="I264" s="107"/>
      <c r="J264" s="123" t="str">
        <f t="shared" si="35"/>
        <v/>
      </c>
      <c r="K264" s="76" t="str">
        <f t="shared" si="36"/>
        <v/>
      </c>
      <c r="L264" s="43"/>
      <c r="M264" s="7"/>
      <c r="N264" s="106"/>
      <c r="R264" s="3" t="str">
        <f t="shared" si="37"/>
        <v/>
      </c>
      <c r="S264" s="3">
        <f t="shared" si="38"/>
        <v>0</v>
      </c>
      <c r="T264" s="3">
        <f t="shared" si="39"/>
        <v>13</v>
      </c>
    </row>
    <row r="265" spans="1:20">
      <c r="A265" s="74" t="str">
        <f t="shared" si="32"/>
        <v/>
      </c>
      <c r="B265" s="75" t="str">
        <f>IFERROR(INDEX(对接源_01入库吨位!$B$5:$B$304,MATCH(INT((ROW()-5)/3)+1,对接源_01入库吨位!$S$5:$S$304,0)),"")</f>
        <v/>
      </c>
      <c r="C265" s="75" t="str">
        <f>IFERROR(INDEX(对接源_01入库吨位!$C$5:$C$304,MATCH(INT((ROW()-5)/3)+1,对接源_01入库吨位!$S$5:$S$304,0)),"")</f>
        <v/>
      </c>
      <c r="D265" s="89" t="str">
        <f t="shared" si="33"/>
        <v/>
      </c>
      <c r="E265" s="42" t="str">
        <f>IF($B265="","",IFERROR(IF($D265="周转打冷",N(INDEX(对接源_01入库吨位!$D$5:$D$304,MATCH(INT((ROW()-5)/3)+1,对接源_01入库吨位!$S$5:$S$304,0))),IF($D265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5" s="76" t="str">
        <f>IF($B265="","",ROUND(IFERROR(IF($D265="周转打冷",N(INDEX(对接源_01入库吨位!$H$5:$H$304,MATCH(INT((ROW()-5)/3)+1,对接源_01入库吨位!$S$5:$S$304,0))),IF($D265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5" s="122" t="str">
        <f t="shared" si="34"/>
        <v/>
      </c>
      <c r="H265" s="43"/>
      <c r="I265" s="107"/>
      <c r="J265" s="123" t="str">
        <f t="shared" si="35"/>
        <v/>
      </c>
      <c r="K265" s="76" t="str">
        <f t="shared" si="36"/>
        <v/>
      </c>
      <c r="L265" s="43"/>
      <c r="M265" s="7"/>
      <c r="N265" s="106"/>
      <c r="R265" s="3" t="str">
        <f t="shared" si="37"/>
        <v/>
      </c>
      <c r="S265" s="3">
        <f t="shared" si="38"/>
        <v>0</v>
      </c>
      <c r="T265" s="3">
        <f t="shared" si="39"/>
        <v>13</v>
      </c>
    </row>
    <row r="266" spans="1:20">
      <c r="A266" s="74" t="str">
        <f t="shared" si="32"/>
        <v/>
      </c>
      <c r="B266" s="75" t="str">
        <f>IFERROR(INDEX(对接源_01入库吨位!$B$5:$B$304,MATCH(INT((ROW()-5)/3)+1,对接源_01入库吨位!$S$5:$S$304,0)),"")</f>
        <v/>
      </c>
      <c r="C266" s="75" t="str">
        <f>IFERROR(INDEX(对接源_01入库吨位!$C$5:$C$304,MATCH(INT((ROW()-5)/3)+1,对接源_01入库吨位!$S$5:$S$304,0)),"")</f>
        <v/>
      </c>
      <c r="D266" s="89" t="str">
        <f t="shared" si="33"/>
        <v/>
      </c>
      <c r="E266" s="42" t="str">
        <f>IF($B266="","",IFERROR(IF($D266="周转打冷",N(INDEX(对接源_01入库吨位!$D$5:$D$304,MATCH(INT((ROW()-5)/3)+1,对接源_01入库吨位!$S$5:$S$304,0))),IF($D266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6" s="76" t="str">
        <f>IF($B266="","",ROUND(IFERROR(IF($D266="周转打冷",N(INDEX(对接源_01入库吨位!$H$5:$H$304,MATCH(INT((ROW()-5)/3)+1,对接源_01入库吨位!$S$5:$S$304,0))),IF($D266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6" s="122" t="str">
        <f t="shared" si="34"/>
        <v/>
      </c>
      <c r="H266" s="43"/>
      <c r="I266" s="107"/>
      <c r="J266" s="123" t="str">
        <f t="shared" si="35"/>
        <v/>
      </c>
      <c r="K266" s="76" t="str">
        <f t="shared" si="36"/>
        <v/>
      </c>
      <c r="L266" s="43"/>
      <c r="M266" s="7"/>
      <c r="N266" s="106"/>
      <c r="R266" s="3" t="str">
        <f t="shared" si="37"/>
        <v/>
      </c>
      <c r="S266" s="3">
        <f t="shared" si="38"/>
        <v>0</v>
      </c>
      <c r="T266" s="3">
        <f t="shared" si="39"/>
        <v>13</v>
      </c>
    </row>
    <row r="267" spans="1:20">
      <c r="A267" s="74" t="str">
        <f t="shared" si="32"/>
        <v/>
      </c>
      <c r="B267" s="75" t="str">
        <f>IFERROR(INDEX(对接源_01入库吨位!$B$5:$B$304,MATCH(INT((ROW()-5)/3)+1,对接源_01入库吨位!$S$5:$S$304,0)),"")</f>
        <v/>
      </c>
      <c r="C267" s="75" t="str">
        <f>IFERROR(INDEX(对接源_01入库吨位!$C$5:$C$304,MATCH(INT((ROW()-5)/3)+1,对接源_01入库吨位!$S$5:$S$304,0)),"")</f>
        <v/>
      </c>
      <c r="D267" s="89" t="str">
        <f t="shared" si="33"/>
        <v/>
      </c>
      <c r="E267" s="42" t="str">
        <f>IF($B267="","",IFERROR(IF($D267="周转打冷",N(INDEX(对接源_01入库吨位!$D$5:$D$304,MATCH(INT((ROW()-5)/3)+1,对接源_01入库吨位!$S$5:$S$304,0))),IF($D267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7" s="76" t="str">
        <f>IF($B267="","",ROUND(IFERROR(IF($D267="周转打冷",N(INDEX(对接源_01入库吨位!$H$5:$H$304,MATCH(INT((ROW()-5)/3)+1,对接源_01入库吨位!$S$5:$S$304,0))),IF($D267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7" s="122" t="str">
        <f t="shared" si="34"/>
        <v/>
      </c>
      <c r="H267" s="43"/>
      <c r="I267" s="107"/>
      <c r="J267" s="123" t="str">
        <f t="shared" si="35"/>
        <v/>
      </c>
      <c r="K267" s="76" t="str">
        <f t="shared" si="36"/>
        <v/>
      </c>
      <c r="L267" s="43"/>
      <c r="M267" s="7"/>
      <c r="N267" s="106"/>
      <c r="R267" s="3" t="str">
        <f t="shared" si="37"/>
        <v/>
      </c>
      <c r="S267" s="3">
        <f t="shared" si="38"/>
        <v>0</v>
      </c>
      <c r="T267" s="3">
        <f t="shared" si="39"/>
        <v>13</v>
      </c>
    </row>
    <row r="268" spans="1:20">
      <c r="A268" s="74" t="str">
        <f t="shared" si="32"/>
        <v/>
      </c>
      <c r="B268" s="75" t="str">
        <f>IFERROR(INDEX(对接源_01入库吨位!$B$5:$B$304,MATCH(INT((ROW()-5)/3)+1,对接源_01入库吨位!$S$5:$S$304,0)),"")</f>
        <v/>
      </c>
      <c r="C268" s="75" t="str">
        <f>IFERROR(INDEX(对接源_01入库吨位!$C$5:$C$304,MATCH(INT((ROW()-5)/3)+1,对接源_01入库吨位!$S$5:$S$304,0)),"")</f>
        <v/>
      </c>
      <c r="D268" s="89" t="str">
        <f t="shared" si="33"/>
        <v/>
      </c>
      <c r="E268" s="42" t="str">
        <f>IF($B268="","",IFERROR(IF($D268="周转打冷",N(INDEX(对接源_01入库吨位!$D$5:$D$304,MATCH(INT((ROW()-5)/3)+1,对接源_01入库吨位!$S$5:$S$304,0))),IF($D268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8" s="76" t="str">
        <f>IF($B268="","",ROUND(IFERROR(IF($D268="周转打冷",N(INDEX(对接源_01入库吨位!$H$5:$H$304,MATCH(INT((ROW()-5)/3)+1,对接源_01入库吨位!$S$5:$S$304,0))),IF($D268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8" s="122" t="str">
        <f t="shared" si="34"/>
        <v/>
      </c>
      <c r="H268" s="43"/>
      <c r="I268" s="107"/>
      <c r="J268" s="123" t="str">
        <f t="shared" si="35"/>
        <v/>
      </c>
      <c r="K268" s="76" t="str">
        <f t="shared" si="36"/>
        <v/>
      </c>
      <c r="L268" s="43"/>
      <c r="M268" s="7"/>
      <c r="N268" s="106"/>
      <c r="R268" s="3" t="str">
        <f t="shared" si="37"/>
        <v/>
      </c>
      <c r="S268" s="3">
        <f t="shared" si="38"/>
        <v>0</v>
      </c>
      <c r="T268" s="3">
        <f t="shared" si="39"/>
        <v>13</v>
      </c>
    </row>
    <row r="269" spans="1:20">
      <c r="A269" s="74" t="str">
        <f t="shared" si="32"/>
        <v/>
      </c>
      <c r="B269" s="75" t="str">
        <f>IFERROR(INDEX(对接源_01入库吨位!$B$5:$B$304,MATCH(INT((ROW()-5)/3)+1,对接源_01入库吨位!$S$5:$S$304,0)),"")</f>
        <v/>
      </c>
      <c r="C269" s="75" t="str">
        <f>IFERROR(INDEX(对接源_01入库吨位!$C$5:$C$304,MATCH(INT((ROW()-5)/3)+1,对接源_01入库吨位!$S$5:$S$304,0)),"")</f>
        <v/>
      </c>
      <c r="D269" s="89" t="str">
        <f t="shared" si="33"/>
        <v/>
      </c>
      <c r="E269" s="42" t="str">
        <f>IF($B269="","",IFERROR(IF($D269="周转打冷",N(INDEX(对接源_01入库吨位!$D$5:$D$304,MATCH(INT((ROW()-5)/3)+1,对接源_01入库吨位!$S$5:$S$304,0))),IF($D269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9" s="76" t="str">
        <f>IF($B269="","",ROUND(IFERROR(IF($D269="周转打冷",N(INDEX(对接源_01入库吨位!$H$5:$H$304,MATCH(INT((ROW()-5)/3)+1,对接源_01入库吨位!$S$5:$S$304,0))),IF($D269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9" s="122" t="str">
        <f t="shared" si="34"/>
        <v/>
      </c>
      <c r="H269" s="43"/>
      <c r="I269" s="107"/>
      <c r="J269" s="123" t="str">
        <f t="shared" si="35"/>
        <v/>
      </c>
      <c r="K269" s="76" t="str">
        <f t="shared" si="36"/>
        <v/>
      </c>
      <c r="L269" s="43"/>
      <c r="M269" s="7"/>
      <c r="N269" s="106"/>
      <c r="R269" s="3" t="str">
        <f t="shared" si="37"/>
        <v/>
      </c>
      <c r="S269" s="3">
        <f t="shared" si="38"/>
        <v>0</v>
      </c>
      <c r="T269" s="3">
        <f t="shared" si="39"/>
        <v>13</v>
      </c>
    </row>
    <row r="270" spans="1:20">
      <c r="A270" s="74" t="str">
        <f t="shared" si="32"/>
        <v/>
      </c>
      <c r="B270" s="75" t="str">
        <f>IFERROR(INDEX(对接源_01入库吨位!$B$5:$B$304,MATCH(INT((ROW()-5)/3)+1,对接源_01入库吨位!$S$5:$S$304,0)),"")</f>
        <v/>
      </c>
      <c r="C270" s="75" t="str">
        <f>IFERROR(INDEX(对接源_01入库吨位!$C$5:$C$304,MATCH(INT((ROW()-5)/3)+1,对接源_01入库吨位!$S$5:$S$304,0)),"")</f>
        <v/>
      </c>
      <c r="D270" s="89" t="str">
        <f t="shared" si="33"/>
        <v/>
      </c>
      <c r="E270" s="42" t="str">
        <f>IF($B270="","",IFERROR(IF($D270="周转打冷",N(INDEX(对接源_01入库吨位!$D$5:$D$304,MATCH(INT((ROW()-5)/3)+1,对接源_01入库吨位!$S$5:$S$304,0))),IF($D270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0" s="76" t="str">
        <f>IF($B270="","",ROUND(IFERROR(IF($D270="周转打冷",N(INDEX(对接源_01入库吨位!$H$5:$H$304,MATCH(INT((ROW()-5)/3)+1,对接源_01入库吨位!$S$5:$S$304,0))),IF($D270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0" s="122" t="str">
        <f t="shared" si="34"/>
        <v/>
      </c>
      <c r="H270" s="43"/>
      <c r="I270" s="107"/>
      <c r="J270" s="123" t="str">
        <f t="shared" si="35"/>
        <v/>
      </c>
      <c r="K270" s="76" t="str">
        <f t="shared" si="36"/>
        <v/>
      </c>
      <c r="L270" s="43"/>
      <c r="M270" s="7"/>
      <c r="N270" s="106"/>
      <c r="R270" s="3" t="str">
        <f t="shared" si="37"/>
        <v/>
      </c>
      <c r="S270" s="3">
        <f t="shared" si="38"/>
        <v>0</v>
      </c>
      <c r="T270" s="3">
        <f t="shared" si="39"/>
        <v>13</v>
      </c>
    </row>
    <row r="271" spans="1:20">
      <c r="A271" s="74" t="str">
        <f t="shared" si="32"/>
        <v/>
      </c>
      <c r="B271" s="75" t="str">
        <f>IFERROR(INDEX(对接源_01入库吨位!$B$5:$B$304,MATCH(INT((ROW()-5)/3)+1,对接源_01入库吨位!$S$5:$S$304,0)),"")</f>
        <v/>
      </c>
      <c r="C271" s="75" t="str">
        <f>IFERROR(INDEX(对接源_01入库吨位!$C$5:$C$304,MATCH(INT((ROW()-5)/3)+1,对接源_01入库吨位!$S$5:$S$304,0)),"")</f>
        <v/>
      </c>
      <c r="D271" s="89" t="str">
        <f t="shared" si="33"/>
        <v/>
      </c>
      <c r="E271" s="42" t="str">
        <f>IF($B271="","",IFERROR(IF($D271="周转打冷",N(INDEX(对接源_01入库吨位!$D$5:$D$304,MATCH(INT((ROW()-5)/3)+1,对接源_01入库吨位!$S$5:$S$304,0))),IF($D271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1" s="76" t="str">
        <f>IF($B271="","",ROUND(IFERROR(IF($D271="周转打冷",N(INDEX(对接源_01入库吨位!$H$5:$H$304,MATCH(INT((ROW()-5)/3)+1,对接源_01入库吨位!$S$5:$S$304,0))),IF($D271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1" s="122" t="str">
        <f t="shared" si="34"/>
        <v/>
      </c>
      <c r="H271" s="43"/>
      <c r="I271" s="107"/>
      <c r="J271" s="123" t="str">
        <f t="shared" si="35"/>
        <v/>
      </c>
      <c r="K271" s="76" t="str">
        <f t="shared" si="36"/>
        <v/>
      </c>
      <c r="L271" s="43"/>
      <c r="M271" s="7"/>
      <c r="N271" s="106"/>
      <c r="R271" s="3" t="str">
        <f t="shared" si="37"/>
        <v/>
      </c>
      <c r="S271" s="3">
        <f t="shared" si="38"/>
        <v>0</v>
      </c>
      <c r="T271" s="3">
        <f t="shared" si="39"/>
        <v>13</v>
      </c>
    </row>
    <row r="272" spans="1:20">
      <c r="A272" s="74" t="str">
        <f t="shared" si="32"/>
        <v/>
      </c>
      <c r="B272" s="75" t="str">
        <f>IFERROR(INDEX(对接源_01入库吨位!$B$5:$B$304,MATCH(INT((ROW()-5)/3)+1,对接源_01入库吨位!$S$5:$S$304,0)),"")</f>
        <v/>
      </c>
      <c r="C272" s="75" t="str">
        <f>IFERROR(INDEX(对接源_01入库吨位!$C$5:$C$304,MATCH(INT((ROW()-5)/3)+1,对接源_01入库吨位!$S$5:$S$304,0)),"")</f>
        <v/>
      </c>
      <c r="D272" s="89" t="str">
        <f t="shared" si="33"/>
        <v/>
      </c>
      <c r="E272" s="42" t="str">
        <f>IF($B272="","",IFERROR(IF($D272="周转打冷",N(INDEX(对接源_01入库吨位!$D$5:$D$304,MATCH(INT((ROW()-5)/3)+1,对接源_01入库吨位!$S$5:$S$304,0))),IF($D272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2" s="76" t="str">
        <f>IF($B272="","",ROUND(IFERROR(IF($D272="周转打冷",N(INDEX(对接源_01入库吨位!$H$5:$H$304,MATCH(INT((ROW()-5)/3)+1,对接源_01入库吨位!$S$5:$S$304,0))),IF($D272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2" s="122" t="str">
        <f t="shared" si="34"/>
        <v/>
      </c>
      <c r="H272" s="43"/>
      <c r="I272" s="107"/>
      <c r="J272" s="123" t="str">
        <f t="shared" si="35"/>
        <v/>
      </c>
      <c r="K272" s="76" t="str">
        <f t="shared" si="36"/>
        <v/>
      </c>
      <c r="L272" s="43"/>
      <c r="M272" s="7"/>
      <c r="N272" s="106"/>
      <c r="R272" s="3" t="str">
        <f t="shared" si="37"/>
        <v/>
      </c>
      <c r="S272" s="3">
        <f t="shared" si="38"/>
        <v>0</v>
      </c>
      <c r="T272" s="3">
        <f t="shared" si="39"/>
        <v>13</v>
      </c>
    </row>
    <row r="273" spans="1:20">
      <c r="A273" s="74" t="str">
        <f t="shared" si="32"/>
        <v/>
      </c>
      <c r="B273" s="75" t="str">
        <f>IFERROR(INDEX(对接源_01入库吨位!$B$5:$B$304,MATCH(INT((ROW()-5)/3)+1,对接源_01入库吨位!$S$5:$S$304,0)),"")</f>
        <v/>
      </c>
      <c r="C273" s="75" t="str">
        <f>IFERROR(INDEX(对接源_01入库吨位!$C$5:$C$304,MATCH(INT((ROW()-5)/3)+1,对接源_01入库吨位!$S$5:$S$304,0)),"")</f>
        <v/>
      </c>
      <c r="D273" s="89" t="str">
        <f t="shared" si="33"/>
        <v/>
      </c>
      <c r="E273" s="42" t="str">
        <f>IF($B273="","",IFERROR(IF($D273="周转打冷",N(INDEX(对接源_01入库吨位!$D$5:$D$304,MATCH(INT((ROW()-5)/3)+1,对接源_01入库吨位!$S$5:$S$304,0))),IF($D273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3" s="76" t="str">
        <f>IF($B273="","",ROUND(IFERROR(IF($D273="周转打冷",N(INDEX(对接源_01入库吨位!$H$5:$H$304,MATCH(INT((ROW()-5)/3)+1,对接源_01入库吨位!$S$5:$S$304,0))),IF($D273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3" s="122" t="str">
        <f t="shared" si="34"/>
        <v/>
      </c>
      <c r="H273" s="43"/>
      <c r="I273" s="107"/>
      <c r="J273" s="123" t="str">
        <f t="shared" si="35"/>
        <v/>
      </c>
      <c r="K273" s="76" t="str">
        <f t="shared" si="36"/>
        <v/>
      </c>
      <c r="L273" s="43"/>
      <c r="M273" s="7"/>
      <c r="N273" s="106"/>
      <c r="R273" s="3" t="str">
        <f t="shared" si="37"/>
        <v/>
      </c>
      <c r="S273" s="3">
        <f t="shared" si="38"/>
        <v>0</v>
      </c>
      <c r="T273" s="3">
        <f t="shared" si="39"/>
        <v>13</v>
      </c>
    </row>
    <row r="274" spans="1:20">
      <c r="A274" s="74" t="str">
        <f t="shared" si="32"/>
        <v/>
      </c>
      <c r="B274" s="75" t="str">
        <f>IFERROR(INDEX(对接源_01入库吨位!$B$5:$B$304,MATCH(INT((ROW()-5)/3)+1,对接源_01入库吨位!$S$5:$S$304,0)),"")</f>
        <v/>
      </c>
      <c r="C274" s="75" t="str">
        <f>IFERROR(INDEX(对接源_01入库吨位!$C$5:$C$304,MATCH(INT((ROW()-5)/3)+1,对接源_01入库吨位!$S$5:$S$304,0)),"")</f>
        <v/>
      </c>
      <c r="D274" s="89" t="str">
        <f t="shared" si="33"/>
        <v/>
      </c>
      <c r="E274" s="42" t="str">
        <f>IF($B274="","",IFERROR(IF($D274="周转打冷",N(INDEX(对接源_01入库吨位!$D$5:$D$304,MATCH(INT((ROW()-5)/3)+1,对接源_01入库吨位!$S$5:$S$304,0))),IF($D274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4" s="76" t="str">
        <f>IF($B274="","",ROUND(IFERROR(IF($D274="周转打冷",N(INDEX(对接源_01入库吨位!$H$5:$H$304,MATCH(INT((ROW()-5)/3)+1,对接源_01入库吨位!$S$5:$S$304,0))),IF($D274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4" s="122" t="str">
        <f t="shared" si="34"/>
        <v/>
      </c>
      <c r="H274" s="43"/>
      <c r="I274" s="107"/>
      <c r="J274" s="123" t="str">
        <f t="shared" si="35"/>
        <v/>
      </c>
      <c r="K274" s="76" t="str">
        <f t="shared" si="36"/>
        <v/>
      </c>
      <c r="L274" s="43"/>
      <c r="M274" s="7"/>
      <c r="N274" s="106"/>
      <c r="R274" s="3" t="str">
        <f t="shared" si="37"/>
        <v/>
      </c>
      <c r="S274" s="3">
        <f t="shared" si="38"/>
        <v>0</v>
      </c>
      <c r="T274" s="3">
        <f t="shared" si="39"/>
        <v>13</v>
      </c>
    </row>
    <row r="275" spans="1:20">
      <c r="A275" s="74" t="str">
        <f t="shared" si="32"/>
        <v/>
      </c>
      <c r="B275" s="75" t="str">
        <f>IFERROR(INDEX(对接源_01入库吨位!$B$5:$B$304,MATCH(INT((ROW()-5)/3)+1,对接源_01入库吨位!$S$5:$S$304,0)),"")</f>
        <v/>
      </c>
      <c r="C275" s="75" t="str">
        <f>IFERROR(INDEX(对接源_01入库吨位!$C$5:$C$304,MATCH(INT((ROW()-5)/3)+1,对接源_01入库吨位!$S$5:$S$304,0)),"")</f>
        <v/>
      </c>
      <c r="D275" s="89" t="str">
        <f t="shared" si="33"/>
        <v/>
      </c>
      <c r="E275" s="42" t="str">
        <f>IF($B275="","",IFERROR(IF($D275="周转打冷",N(INDEX(对接源_01入库吨位!$D$5:$D$304,MATCH(INT((ROW()-5)/3)+1,对接源_01入库吨位!$S$5:$S$304,0))),IF($D275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5" s="76" t="str">
        <f>IF($B275="","",ROUND(IFERROR(IF($D275="周转打冷",N(INDEX(对接源_01入库吨位!$H$5:$H$304,MATCH(INT((ROW()-5)/3)+1,对接源_01入库吨位!$S$5:$S$304,0))),IF($D275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5" s="122" t="str">
        <f t="shared" si="34"/>
        <v/>
      </c>
      <c r="H275" s="43"/>
      <c r="I275" s="107"/>
      <c r="J275" s="123" t="str">
        <f t="shared" si="35"/>
        <v/>
      </c>
      <c r="K275" s="76" t="str">
        <f t="shared" si="36"/>
        <v/>
      </c>
      <c r="L275" s="43"/>
      <c r="M275" s="7"/>
      <c r="N275" s="106"/>
      <c r="R275" s="3" t="str">
        <f t="shared" si="37"/>
        <v/>
      </c>
      <c r="S275" s="3">
        <f t="shared" si="38"/>
        <v>0</v>
      </c>
      <c r="T275" s="3">
        <f t="shared" si="39"/>
        <v>13</v>
      </c>
    </row>
    <row r="276" spans="1:20">
      <c r="A276" s="74" t="str">
        <f t="shared" si="32"/>
        <v/>
      </c>
      <c r="B276" s="75" t="str">
        <f>IFERROR(INDEX(对接源_01入库吨位!$B$5:$B$304,MATCH(INT((ROW()-5)/3)+1,对接源_01入库吨位!$S$5:$S$304,0)),"")</f>
        <v/>
      </c>
      <c r="C276" s="75" t="str">
        <f>IFERROR(INDEX(对接源_01入库吨位!$C$5:$C$304,MATCH(INT((ROW()-5)/3)+1,对接源_01入库吨位!$S$5:$S$304,0)),"")</f>
        <v/>
      </c>
      <c r="D276" s="89" t="str">
        <f t="shared" si="33"/>
        <v/>
      </c>
      <c r="E276" s="42" t="str">
        <f>IF($B276="","",IFERROR(IF($D276="周转打冷",N(INDEX(对接源_01入库吨位!$D$5:$D$304,MATCH(INT((ROW()-5)/3)+1,对接源_01入库吨位!$S$5:$S$304,0))),IF($D276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6" s="76" t="str">
        <f>IF($B276="","",ROUND(IFERROR(IF($D276="周转打冷",N(INDEX(对接源_01入库吨位!$H$5:$H$304,MATCH(INT((ROW()-5)/3)+1,对接源_01入库吨位!$S$5:$S$304,0))),IF($D276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6" s="122" t="str">
        <f t="shared" si="34"/>
        <v/>
      </c>
      <c r="H276" s="43"/>
      <c r="I276" s="107"/>
      <c r="J276" s="123" t="str">
        <f t="shared" si="35"/>
        <v/>
      </c>
      <c r="K276" s="76" t="str">
        <f t="shared" si="36"/>
        <v/>
      </c>
      <c r="L276" s="43"/>
      <c r="M276" s="7"/>
      <c r="N276" s="106"/>
      <c r="R276" s="3" t="str">
        <f t="shared" si="37"/>
        <v/>
      </c>
      <c r="S276" s="3">
        <f t="shared" si="38"/>
        <v>0</v>
      </c>
      <c r="T276" s="3">
        <f t="shared" si="39"/>
        <v>13</v>
      </c>
    </row>
    <row r="277" spans="1:20">
      <c r="A277" s="74" t="str">
        <f t="shared" si="32"/>
        <v/>
      </c>
      <c r="B277" s="75" t="str">
        <f>IFERROR(INDEX(对接源_01入库吨位!$B$5:$B$304,MATCH(INT((ROW()-5)/3)+1,对接源_01入库吨位!$S$5:$S$304,0)),"")</f>
        <v/>
      </c>
      <c r="C277" s="75" t="str">
        <f>IFERROR(INDEX(对接源_01入库吨位!$C$5:$C$304,MATCH(INT((ROW()-5)/3)+1,对接源_01入库吨位!$S$5:$S$304,0)),"")</f>
        <v/>
      </c>
      <c r="D277" s="89" t="str">
        <f t="shared" si="33"/>
        <v/>
      </c>
      <c r="E277" s="42" t="str">
        <f>IF($B277="","",IFERROR(IF($D277="周转打冷",N(INDEX(对接源_01入库吨位!$D$5:$D$304,MATCH(INT((ROW()-5)/3)+1,对接源_01入库吨位!$S$5:$S$304,0))),IF($D277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7" s="76" t="str">
        <f>IF($B277="","",ROUND(IFERROR(IF($D277="周转打冷",N(INDEX(对接源_01入库吨位!$H$5:$H$304,MATCH(INT((ROW()-5)/3)+1,对接源_01入库吨位!$S$5:$S$304,0))),IF($D277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7" s="122" t="str">
        <f t="shared" si="34"/>
        <v/>
      </c>
      <c r="H277" s="43"/>
      <c r="I277" s="107"/>
      <c r="J277" s="123" t="str">
        <f t="shared" si="35"/>
        <v/>
      </c>
      <c r="K277" s="76" t="str">
        <f t="shared" si="36"/>
        <v/>
      </c>
      <c r="L277" s="43"/>
      <c r="M277" s="7"/>
      <c r="N277" s="106"/>
      <c r="R277" s="3" t="str">
        <f t="shared" si="37"/>
        <v/>
      </c>
      <c r="S277" s="3">
        <f t="shared" si="38"/>
        <v>0</v>
      </c>
      <c r="T277" s="3">
        <f t="shared" si="39"/>
        <v>13</v>
      </c>
    </row>
    <row r="278" spans="1:20">
      <c r="A278" s="74" t="str">
        <f t="shared" si="32"/>
        <v/>
      </c>
      <c r="B278" s="75" t="str">
        <f>IFERROR(INDEX(对接源_01入库吨位!$B$5:$B$304,MATCH(INT((ROW()-5)/3)+1,对接源_01入库吨位!$S$5:$S$304,0)),"")</f>
        <v/>
      </c>
      <c r="C278" s="75" t="str">
        <f>IFERROR(INDEX(对接源_01入库吨位!$C$5:$C$304,MATCH(INT((ROW()-5)/3)+1,对接源_01入库吨位!$S$5:$S$304,0)),"")</f>
        <v/>
      </c>
      <c r="D278" s="89" t="str">
        <f t="shared" si="33"/>
        <v/>
      </c>
      <c r="E278" s="42" t="str">
        <f>IF($B278="","",IFERROR(IF($D278="周转打冷",N(INDEX(对接源_01入库吨位!$D$5:$D$304,MATCH(INT((ROW()-5)/3)+1,对接源_01入库吨位!$S$5:$S$304,0))),IF($D278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8" s="76" t="str">
        <f>IF($B278="","",ROUND(IFERROR(IF($D278="周转打冷",N(INDEX(对接源_01入库吨位!$H$5:$H$304,MATCH(INT((ROW()-5)/3)+1,对接源_01入库吨位!$S$5:$S$304,0))),IF($D278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8" s="122" t="str">
        <f t="shared" si="34"/>
        <v/>
      </c>
      <c r="H278" s="43"/>
      <c r="I278" s="107"/>
      <c r="J278" s="123" t="str">
        <f t="shared" si="35"/>
        <v/>
      </c>
      <c r="K278" s="76" t="str">
        <f t="shared" si="36"/>
        <v/>
      </c>
      <c r="L278" s="43"/>
      <c r="M278" s="7"/>
      <c r="N278" s="106"/>
      <c r="R278" s="3" t="str">
        <f t="shared" si="37"/>
        <v/>
      </c>
      <c r="S278" s="3">
        <f t="shared" si="38"/>
        <v>0</v>
      </c>
      <c r="T278" s="3">
        <f t="shared" si="39"/>
        <v>13</v>
      </c>
    </row>
    <row r="279" spans="1:20">
      <c r="A279" s="74" t="str">
        <f t="shared" si="32"/>
        <v/>
      </c>
      <c r="B279" s="75" t="str">
        <f>IFERROR(INDEX(对接源_01入库吨位!$B$5:$B$304,MATCH(INT((ROW()-5)/3)+1,对接源_01入库吨位!$S$5:$S$304,0)),"")</f>
        <v/>
      </c>
      <c r="C279" s="75" t="str">
        <f>IFERROR(INDEX(对接源_01入库吨位!$C$5:$C$304,MATCH(INT((ROW()-5)/3)+1,对接源_01入库吨位!$S$5:$S$304,0)),"")</f>
        <v/>
      </c>
      <c r="D279" s="89" t="str">
        <f t="shared" si="33"/>
        <v/>
      </c>
      <c r="E279" s="42" t="str">
        <f>IF($B279="","",IFERROR(IF($D279="周转打冷",N(INDEX(对接源_01入库吨位!$D$5:$D$304,MATCH(INT((ROW()-5)/3)+1,对接源_01入库吨位!$S$5:$S$304,0))),IF($D279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9" s="76" t="str">
        <f>IF($B279="","",ROUND(IFERROR(IF($D279="周转打冷",N(INDEX(对接源_01入库吨位!$H$5:$H$304,MATCH(INT((ROW()-5)/3)+1,对接源_01入库吨位!$S$5:$S$304,0))),IF($D279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9" s="122" t="str">
        <f t="shared" si="34"/>
        <v/>
      </c>
      <c r="H279" s="43"/>
      <c r="I279" s="107"/>
      <c r="J279" s="123" t="str">
        <f t="shared" si="35"/>
        <v/>
      </c>
      <c r="K279" s="76" t="str">
        <f t="shared" si="36"/>
        <v/>
      </c>
      <c r="L279" s="43"/>
      <c r="M279" s="7"/>
      <c r="N279" s="106"/>
      <c r="R279" s="3" t="str">
        <f t="shared" si="37"/>
        <v/>
      </c>
      <c r="S279" s="3">
        <f t="shared" si="38"/>
        <v>0</v>
      </c>
      <c r="T279" s="3">
        <f t="shared" si="39"/>
        <v>13</v>
      </c>
    </row>
    <row r="280" spans="1:20">
      <c r="A280" s="74" t="str">
        <f t="shared" si="32"/>
        <v/>
      </c>
      <c r="B280" s="75" t="str">
        <f>IFERROR(INDEX(对接源_01入库吨位!$B$5:$B$304,MATCH(INT((ROW()-5)/3)+1,对接源_01入库吨位!$S$5:$S$304,0)),"")</f>
        <v/>
      </c>
      <c r="C280" s="75" t="str">
        <f>IFERROR(INDEX(对接源_01入库吨位!$C$5:$C$304,MATCH(INT((ROW()-5)/3)+1,对接源_01入库吨位!$S$5:$S$304,0)),"")</f>
        <v/>
      </c>
      <c r="D280" s="89" t="str">
        <f t="shared" si="33"/>
        <v/>
      </c>
      <c r="E280" s="42" t="str">
        <f>IF($B280="","",IFERROR(IF($D280="周转打冷",N(INDEX(对接源_01入库吨位!$D$5:$D$304,MATCH(INT((ROW()-5)/3)+1,对接源_01入库吨位!$S$5:$S$304,0))),IF($D280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0" s="76" t="str">
        <f>IF($B280="","",ROUND(IFERROR(IF($D280="周转打冷",N(INDEX(对接源_01入库吨位!$H$5:$H$304,MATCH(INT((ROW()-5)/3)+1,对接源_01入库吨位!$S$5:$S$304,0))),IF($D280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0" s="122" t="str">
        <f t="shared" si="34"/>
        <v/>
      </c>
      <c r="H280" s="43"/>
      <c r="I280" s="107"/>
      <c r="J280" s="123" t="str">
        <f t="shared" si="35"/>
        <v/>
      </c>
      <c r="K280" s="76" t="str">
        <f t="shared" si="36"/>
        <v/>
      </c>
      <c r="L280" s="43"/>
      <c r="M280" s="7"/>
      <c r="N280" s="106"/>
      <c r="R280" s="3" t="str">
        <f t="shared" si="37"/>
        <v/>
      </c>
      <c r="S280" s="3">
        <f t="shared" si="38"/>
        <v>0</v>
      </c>
      <c r="T280" s="3">
        <f t="shared" si="39"/>
        <v>13</v>
      </c>
    </row>
    <row r="281" spans="1:20">
      <c r="A281" s="74" t="str">
        <f t="shared" si="32"/>
        <v/>
      </c>
      <c r="B281" s="75" t="str">
        <f>IFERROR(INDEX(对接源_01入库吨位!$B$5:$B$304,MATCH(INT((ROW()-5)/3)+1,对接源_01入库吨位!$S$5:$S$304,0)),"")</f>
        <v/>
      </c>
      <c r="C281" s="75" t="str">
        <f>IFERROR(INDEX(对接源_01入库吨位!$C$5:$C$304,MATCH(INT((ROW()-5)/3)+1,对接源_01入库吨位!$S$5:$S$304,0)),"")</f>
        <v/>
      </c>
      <c r="D281" s="89" t="str">
        <f t="shared" si="33"/>
        <v/>
      </c>
      <c r="E281" s="42" t="str">
        <f>IF($B281="","",IFERROR(IF($D281="周转打冷",N(INDEX(对接源_01入库吨位!$D$5:$D$304,MATCH(INT((ROW()-5)/3)+1,对接源_01入库吨位!$S$5:$S$304,0))),IF($D281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1" s="76" t="str">
        <f>IF($B281="","",ROUND(IFERROR(IF($D281="周转打冷",N(INDEX(对接源_01入库吨位!$H$5:$H$304,MATCH(INT((ROW()-5)/3)+1,对接源_01入库吨位!$S$5:$S$304,0))),IF($D281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1" s="122" t="str">
        <f t="shared" si="34"/>
        <v/>
      </c>
      <c r="H281" s="43"/>
      <c r="I281" s="107"/>
      <c r="J281" s="123" t="str">
        <f t="shared" si="35"/>
        <v/>
      </c>
      <c r="K281" s="76" t="str">
        <f t="shared" si="36"/>
        <v/>
      </c>
      <c r="L281" s="43"/>
      <c r="M281" s="7"/>
      <c r="N281" s="106"/>
      <c r="R281" s="3" t="str">
        <f t="shared" si="37"/>
        <v/>
      </c>
      <c r="S281" s="3">
        <f t="shared" si="38"/>
        <v>0</v>
      </c>
      <c r="T281" s="3">
        <f t="shared" si="39"/>
        <v>13</v>
      </c>
    </row>
    <row r="282" spans="1:20">
      <c r="A282" s="74" t="str">
        <f t="shared" si="32"/>
        <v/>
      </c>
      <c r="B282" s="75" t="str">
        <f>IFERROR(INDEX(对接源_01入库吨位!$B$5:$B$304,MATCH(INT((ROW()-5)/3)+1,对接源_01入库吨位!$S$5:$S$304,0)),"")</f>
        <v/>
      </c>
      <c r="C282" s="75" t="str">
        <f>IFERROR(INDEX(对接源_01入库吨位!$C$5:$C$304,MATCH(INT((ROW()-5)/3)+1,对接源_01入库吨位!$S$5:$S$304,0)),"")</f>
        <v/>
      </c>
      <c r="D282" s="89" t="str">
        <f t="shared" si="33"/>
        <v/>
      </c>
      <c r="E282" s="42" t="str">
        <f>IF($B282="","",IFERROR(IF($D282="周转打冷",N(INDEX(对接源_01入库吨位!$D$5:$D$304,MATCH(INT((ROW()-5)/3)+1,对接源_01入库吨位!$S$5:$S$304,0))),IF($D282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2" s="76" t="str">
        <f>IF($B282="","",ROUND(IFERROR(IF($D282="周转打冷",N(INDEX(对接源_01入库吨位!$H$5:$H$304,MATCH(INT((ROW()-5)/3)+1,对接源_01入库吨位!$S$5:$S$304,0))),IF($D282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2" s="122" t="str">
        <f t="shared" si="34"/>
        <v/>
      </c>
      <c r="H282" s="43"/>
      <c r="I282" s="107"/>
      <c r="J282" s="123" t="str">
        <f t="shared" si="35"/>
        <v/>
      </c>
      <c r="K282" s="76" t="str">
        <f t="shared" si="36"/>
        <v/>
      </c>
      <c r="L282" s="43"/>
      <c r="M282" s="7"/>
      <c r="N282" s="106"/>
      <c r="R282" s="3" t="str">
        <f t="shared" si="37"/>
        <v/>
      </c>
      <c r="S282" s="3">
        <f t="shared" si="38"/>
        <v>0</v>
      </c>
      <c r="T282" s="3">
        <f t="shared" si="39"/>
        <v>13</v>
      </c>
    </row>
    <row r="283" spans="1:20">
      <c r="A283" s="74" t="str">
        <f t="shared" si="32"/>
        <v/>
      </c>
      <c r="B283" s="75" t="str">
        <f>IFERROR(INDEX(对接源_01入库吨位!$B$5:$B$304,MATCH(INT((ROW()-5)/3)+1,对接源_01入库吨位!$S$5:$S$304,0)),"")</f>
        <v/>
      </c>
      <c r="C283" s="75" t="str">
        <f>IFERROR(INDEX(对接源_01入库吨位!$C$5:$C$304,MATCH(INT((ROW()-5)/3)+1,对接源_01入库吨位!$S$5:$S$304,0)),"")</f>
        <v/>
      </c>
      <c r="D283" s="89" t="str">
        <f t="shared" si="33"/>
        <v/>
      </c>
      <c r="E283" s="42" t="str">
        <f>IF($B283="","",IFERROR(IF($D283="周转打冷",N(INDEX(对接源_01入库吨位!$D$5:$D$304,MATCH(INT((ROW()-5)/3)+1,对接源_01入库吨位!$S$5:$S$304,0))),IF($D283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3" s="76" t="str">
        <f>IF($B283="","",ROUND(IFERROR(IF($D283="周转打冷",N(INDEX(对接源_01入库吨位!$H$5:$H$304,MATCH(INT((ROW()-5)/3)+1,对接源_01入库吨位!$S$5:$S$304,0))),IF($D283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3" s="122" t="str">
        <f t="shared" si="34"/>
        <v/>
      </c>
      <c r="H283" s="43"/>
      <c r="I283" s="107"/>
      <c r="J283" s="123" t="str">
        <f t="shared" si="35"/>
        <v/>
      </c>
      <c r="K283" s="76" t="str">
        <f t="shared" si="36"/>
        <v/>
      </c>
      <c r="L283" s="43"/>
      <c r="M283" s="7"/>
      <c r="N283" s="106"/>
      <c r="R283" s="3" t="str">
        <f t="shared" si="37"/>
        <v/>
      </c>
      <c r="S283" s="3">
        <f t="shared" si="38"/>
        <v>0</v>
      </c>
      <c r="T283" s="3">
        <f t="shared" si="39"/>
        <v>13</v>
      </c>
    </row>
    <row r="284" spans="1:20">
      <c r="A284" s="74" t="str">
        <f t="shared" si="32"/>
        <v/>
      </c>
      <c r="B284" s="75" t="str">
        <f>IFERROR(INDEX(对接源_01入库吨位!$B$5:$B$304,MATCH(INT((ROW()-5)/3)+1,对接源_01入库吨位!$S$5:$S$304,0)),"")</f>
        <v/>
      </c>
      <c r="C284" s="75" t="str">
        <f>IFERROR(INDEX(对接源_01入库吨位!$C$5:$C$304,MATCH(INT((ROW()-5)/3)+1,对接源_01入库吨位!$S$5:$S$304,0)),"")</f>
        <v/>
      </c>
      <c r="D284" s="89" t="str">
        <f t="shared" si="33"/>
        <v/>
      </c>
      <c r="E284" s="42" t="str">
        <f>IF($B284="","",IFERROR(IF($D284="周转打冷",N(INDEX(对接源_01入库吨位!$D$5:$D$304,MATCH(INT((ROW()-5)/3)+1,对接源_01入库吨位!$S$5:$S$304,0))),IF($D284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4" s="76" t="str">
        <f>IF($B284="","",ROUND(IFERROR(IF($D284="周转打冷",N(INDEX(对接源_01入库吨位!$H$5:$H$304,MATCH(INT((ROW()-5)/3)+1,对接源_01入库吨位!$S$5:$S$304,0))),IF($D284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4" s="122" t="str">
        <f t="shared" si="34"/>
        <v/>
      </c>
      <c r="H284" s="43"/>
      <c r="I284" s="107"/>
      <c r="J284" s="123" t="str">
        <f t="shared" si="35"/>
        <v/>
      </c>
      <c r="K284" s="76" t="str">
        <f t="shared" si="36"/>
        <v/>
      </c>
      <c r="L284" s="43"/>
      <c r="M284" s="7"/>
      <c r="N284" s="106"/>
      <c r="R284" s="3" t="str">
        <f t="shared" si="37"/>
        <v/>
      </c>
      <c r="S284" s="3">
        <f t="shared" si="38"/>
        <v>0</v>
      </c>
      <c r="T284" s="3">
        <f t="shared" si="39"/>
        <v>13</v>
      </c>
    </row>
    <row r="285" spans="1:20">
      <c r="A285" s="74" t="str">
        <f t="shared" si="32"/>
        <v/>
      </c>
      <c r="B285" s="75" t="str">
        <f>IFERROR(INDEX(对接源_01入库吨位!$B$5:$B$304,MATCH(INT((ROW()-5)/3)+1,对接源_01入库吨位!$S$5:$S$304,0)),"")</f>
        <v/>
      </c>
      <c r="C285" s="75" t="str">
        <f>IFERROR(INDEX(对接源_01入库吨位!$C$5:$C$304,MATCH(INT((ROW()-5)/3)+1,对接源_01入库吨位!$S$5:$S$304,0)),"")</f>
        <v/>
      </c>
      <c r="D285" s="89" t="str">
        <f t="shared" si="33"/>
        <v/>
      </c>
      <c r="E285" s="42" t="str">
        <f>IF($B285="","",IFERROR(IF($D285="周转打冷",N(INDEX(对接源_01入库吨位!$D$5:$D$304,MATCH(INT((ROW()-5)/3)+1,对接源_01入库吨位!$S$5:$S$304,0))),IF($D285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5" s="76" t="str">
        <f>IF($B285="","",ROUND(IFERROR(IF($D285="周转打冷",N(INDEX(对接源_01入库吨位!$H$5:$H$304,MATCH(INT((ROW()-5)/3)+1,对接源_01入库吨位!$S$5:$S$304,0))),IF($D285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5" s="122" t="str">
        <f t="shared" si="34"/>
        <v/>
      </c>
      <c r="H285" s="43"/>
      <c r="I285" s="107"/>
      <c r="J285" s="123" t="str">
        <f t="shared" si="35"/>
        <v/>
      </c>
      <c r="K285" s="76" t="str">
        <f t="shared" si="36"/>
        <v/>
      </c>
      <c r="L285" s="43"/>
      <c r="M285" s="7"/>
      <c r="N285" s="106"/>
      <c r="R285" s="3" t="str">
        <f t="shared" si="37"/>
        <v/>
      </c>
      <c r="S285" s="3">
        <f t="shared" si="38"/>
        <v>0</v>
      </c>
      <c r="T285" s="3">
        <f t="shared" si="39"/>
        <v>13</v>
      </c>
    </row>
    <row r="286" spans="1:20">
      <c r="A286" s="74" t="str">
        <f t="shared" si="32"/>
        <v/>
      </c>
      <c r="B286" s="75" t="str">
        <f>IFERROR(INDEX(对接源_01入库吨位!$B$5:$B$304,MATCH(INT((ROW()-5)/3)+1,对接源_01入库吨位!$S$5:$S$304,0)),"")</f>
        <v/>
      </c>
      <c r="C286" s="75" t="str">
        <f>IFERROR(INDEX(对接源_01入库吨位!$C$5:$C$304,MATCH(INT((ROW()-5)/3)+1,对接源_01入库吨位!$S$5:$S$304,0)),"")</f>
        <v/>
      </c>
      <c r="D286" s="89" t="str">
        <f t="shared" si="33"/>
        <v/>
      </c>
      <c r="E286" s="42" t="str">
        <f>IF($B286="","",IFERROR(IF($D286="周转打冷",N(INDEX(对接源_01入库吨位!$D$5:$D$304,MATCH(INT((ROW()-5)/3)+1,对接源_01入库吨位!$S$5:$S$304,0))),IF($D286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6" s="76" t="str">
        <f>IF($B286="","",ROUND(IFERROR(IF($D286="周转打冷",N(INDEX(对接源_01入库吨位!$H$5:$H$304,MATCH(INT((ROW()-5)/3)+1,对接源_01入库吨位!$S$5:$S$304,0))),IF($D286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6" s="122" t="str">
        <f t="shared" si="34"/>
        <v/>
      </c>
      <c r="H286" s="43"/>
      <c r="I286" s="107"/>
      <c r="J286" s="123" t="str">
        <f t="shared" si="35"/>
        <v/>
      </c>
      <c r="K286" s="76" t="str">
        <f t="shared" si="36"/>
        <v/>
      </c>
      <c r="L286" s="43"/>
      <c r="M286" s="7"/>
      <c r="N286" s="106"/>
      <c r="R286" s="3" t="str">
        <f t="shared" si="37"/>
        <v/>
      </c>
      <c r="S286" s="3">
        <f t="shared" si="38"/>
        <v>0</v>
      </c>
      <c r="T286" s="3">
        <f t="shared" si="39"/>
        <v>13</v>
      </c>
    </row>
    <row r="287" spans="1:20">
      <c r="A287" s="74" t="str">
        <f t="shared" si="32"/>
        <v/>
      </c>
      <c r="B287" s="75" t="str">
        <f>IFERROR(INDEX(对接源_01入库吨位!$B$5:$B$304,MATCH(INT((ROW()-5)/3)+1,对接源_01入库吨位!$S$5:$S$304,0)),"")</f>
        <v/>
      </c>
      <c r="C287" s="75" t="str">
        <f>IFERROR(INDEX(对接源_01入库吨位!$C$5:$C$304,MATCH(INT((ROW()-5)/3)+1,对接源_01入库吨位!$S$5:$S$304,0)),"")</f>
        <v/>
      </c>
      <c r="D287" s="89" t="str">
        <f t="shared" si="33"/>
        <v/>
      </c>
      <c r="E287" s="42" t="str">
        <f>IF($B287="","",IFERROR(IF($D287="周转打冷",N(INDEX(对接源_01入库吨位!$D$5:$D$304,MATCH(INT((ROW()-5)/3)+1,对接源_01入库吨位!$S$5:$S$304,0))),IF($D287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7" s="76" t="str">
        <f>IF($B287="","",ROUND(IFERROR(IF($D287="周转打冷",N(INDEX(对接源_01入库吨位!$H$5:$H$304,MATCH(INT((ROW()-5)/3)+1,对接源_01入库吨位!$S$5:$S$304,0))),IF($D287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7" s="122" t="str">
        <f t="shared" si="34"/>
        <v/>
      </c>
      <c r="H287" s="43"/>
      <c r="I287" s="107"/>
      <c r="J287" s="123" t="str">
        <f t="shared" si="35"/>
        <v/>
      </c>
      <c r="K287" s="76" t="str">
        <f t="shared" si="36"/>
        <v/>
      </c>
      <c r="L287" s="43"/>
      <c r="M287" s="7"/>
      <c r="N287" s="106"/>
      <c r="R287" s="3" t="str">
        <f t="shared" si="37"/>
        <v/>
      </c>
      <c r="S287" s="3">
        <f t="shared" si="38"/>
        <v>0</v>
      </c>
      <c r="T287" s="3">
        <f t="shared" si="39"/>
        <v>13</v>
      </c>
    </row>
    <row r="288" spans="1:20">
      <c r="A288" s="74" t="str">
        <f t="shared" si="32"/>
        <v/>
      </c>
      <c r="B288" s="75" t="str">
        <f>IFERROR(INDEX(对接源_01入库吨位!$B$5:$B$304,MATCH(INT((ROW()-5)/3)+1,对接源_01入库吨位!$S$5:$S$304,0)),"")</f>
        <v/>
      </c>
      <c r="C288" s="75" t="str">
        <f>IFERROR(INDEX(对接源_01入库吨位!$C$5:$C$304,MATCH(INT((ROW()-5)/3)+1,对接源_01入库吨位!$S$5:$S$304,0)),"")</f>
        <v/>
      </c>
      <c r="D288" s="89" t="str">
        <f t="shared" si="33"/>
        <v/>
      </c>
      <c r="E288" s="42" t="str">
        <f>IF($B288="","",IFERROR(IF($D288="周转打冷",N(INDEX(对接源_01入库吨位!$D$5:$D$304,MATCH(INT((ROW()-5)/3)+1,对接源_01入库吨位!$S$5:$S$304,0))),IF($D288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8" s="76" t="str">
        <f>IF($B288="","",ROUND(IFERROR(IF($D288="周转打冷",N(INDEX(对接源_01入库吨位!$H$5:$H$304,MATCH(INT((ROW()-5)/3)+1,对接源_01入库吨位!$S$5:$S$304,0))),IF($D288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8" s="122" t="str">
        <f t="shared" si="34"/>
        <v/>
      </c>
      <c r="H288" s="43"/>
      <c r="I288" s="107"/>
      <c r="J288" s="123" t="str">
        <f t="shared" si="35"/>
        <v/>
      </c>
      <c r="K288" s="76" t="str">
        <f t="shared" si="36"/>
        <v/>
      </c>
      <c r="L288" s="43"/>
      <c r="M288" s="7"/>
      <c r="N288" s="106"/>
      <c r="R288" s="3" t="str">
        <f t="shared" si="37"/>
        <v/>
      </c>
      <c r="S288" s="3">
        <f t="shared" si="38"/>
        <v>0</v>
      </c>
      <c r="T288" s="3">
        <f t="shared" si="39"/>
        <v>13</v>
      </c>
    </row>
    <row r="289" spans="1:20">
      <c r="A289" s="74" t="str">
        <f t="shared" si="32"/>
        <v/>
      </c>
      <c r="B289" s="75" t="str">
        <f>IFERROR(INDEX(对接源_01入库吨位!$B$5:$B$304,MATCH(INT((ROW()-5)/3)+1,对接源_01入库吨位!$S$5:$S$304,0)),"")</f>
        <v/>
      </c>
      <c r="C289" s="75" t="str">
        <f>IFERROR(INDEX(对接源_01入库吨位!$C$5:$C$304,MATCH(INT((ROW()-5)/3)+1,对接源_01入库吨位!$S$5:$S$304,0)),"")</f>
        <v/>
      </c>
      <c r="D289" s="89" t="str">
        <f t="shared" si="33"/>
        <v/>
      </c>
      <c r="E289" s="42" t="str">
        <f>IF($B289="","",IFERROR(IF($D289="周转打冷",N(INDEX(对接源_01入库吨位!$D$5:$D$304,MATCH(INT((ROW()-5)/3)+1,对接源_01入库吨位!$S$5:$S$304,0))),IF($D289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9" s="76" t="str">
        <f>IF($B289="","",ROUND(IFERROR(IF($D289="周转打冷",N(INDEX(对接源_01入库吨位!$H$5:$H$304,MATCH(INT((ROW()-5)/3)+1,对接源_01入库吨位!$S$5:$S$304,0))),IF($D289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9" s="122" t="str">
        <f t="shared" si="34"/>
        <v/>
      </c>
      <c r="H289" s="43"/>
      <c r="I289" s="107"/>
      <c r="J289" s="123" t="str">
        <f t="shared" si="35"/>
        <v/>
      </c>
      <c r="K289" s="76" t="str">
        <f t="shared" si="36"/>
        <v/>
      </c>
      <c r="L289" s="43"/>
      <c r="M289" s="7"/>
      <c r="N289" s="106"/>
      <c r="R289" s="3" t="str">
        <f t="shared" si="37"/>
        <v/>
      </c>
      <c r="S289" s="3">
        <f t="shared" si="38"/>
        <v>0</v>
      </c>
      <c r="T289" s="3">
        <f t="shared" si="39"/>
        <v>13</v>
      </c>
    </row>
    <row r="290" spans="1:20">
      <c r="A290" s="74" t="str">
        <f t="shared" si="32"/>
        <v/>
      </c>
      <c r="B290" s="75" t="str">
        <f>IFERROR(INDEX(对接源_01入库吨位!$B$5:$B$304,MATCH(INT((ROW()-5)/3)+1,对接源_01入库吨位!$S$5:$S$304,0)),"")</f>
        <v/>
      </c>
      <c r="C290" s="75" t="str">
        <f>IFERROR(INDEX(对接源_01入库吨位!$C$5:$C$304,MATCH(INT((ROW()-5)/3)+1,对接源_01入库吨位!$S$5:$S$304,0)),"")</f>
        <v/>
      </c>
      <c r="D290" s="89" t="str">
        <f t="shared" si="33"/>
        <v/>
      </c>
      <c r="E290" s="42" t="str">
        <f>IF($B290="","",IFERROR(IF($D290="周转打冷",N(INDEX(对接源_01入库吨位!$D$5:$D$304,MATCH(INT((ROW()-5)/3)+1,对接源_01入库吨位!$S$5:$S$304,0))),IF($D290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0" s="76" t="str">
        <f>IF($B290="","",ROUND(IFERROR(IF($D290="周转打冷",N(INDEX(对接源_01入库吨位!$H$5:$H$304,MATCH(INT((ROW()-5)/3)+1,对接源_01入库吨位!$S$5:$S$304,0))),IF($D290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0" s="122" t="str">
        <f t="shared" si="34"/>
        <v/>
      </c>
      <c r="H290" s="43"/>
      <c r="I290" s="107"/>
      <c r="J290" s="123" t="str">
        <f t="shared" si="35"/>
        <v/>
      </c>
      <c r="K290" s="76" t="str">
        <f t="shared" si="36"/>
        <v/>
      </c>
      <c r="L290" s="43"/>
      <c r="M290" s="7"/>
      <c r="N290" s="106"/>
      <c r="R290" s="3" t="str">
        <f t="shared" si="37"/>
        <v/>
      </c>
      <c r="S290" s="3">
        <f t="shared" si="38"/>
        <v>0</v>
      </c>
      <c r="T290" s="3">
        <f t="shared" si="39"/>
        <v>13</v>
      </c>
    </row>
    <row r="291" spans="1:20">
      <c r="A291" s="74" t="str">
        <f t="shared" si="32"/>
        <v/>
      </c>
      <c r="B291" s="75" t="str">
        <f>IFERROR(INDEX(对接源_01入库吨位!$B$5:$B$304,MATCH(INT((ROW()-5)/3)+1,对接源_01入库吨位!$S$5:$S$304,0)),"")</f>
        <v/>
      </c>
      <c r="C291" s="75" t="str">
        <f>IFERROR(INDEX(对接源_01入库吨位!$C$5:$C$304,MATCH(INT((ROW()-5)/3)+1,对接源_01入库吨位!$S$5:$S$304,0)),"")</f>
        <v/>
      </c>
      <c r="D291" s="89" t="str">
        <f t="shared" si="33"/>
        <v/>
      </c>
      <c r="E291" s="42" t="str">
        <f>IF($B291="","",IFERROR(IF($D291="周转打冷",N(INDEX(对接源_01入库吨位!$D$5:$D$304,MATCH(INT((ROW()-5)/3)+1,对接源_01入库吨位!$S$5:$S$304,0))),IF($D291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1" s="76" t="str">
        <f>IF($B291="","",ROUND(IFERROR(IF($D291="周转打冷",N(INDEX(对接源_01入库吨位!$H$5:$H$304,MATCH(INT((ROW()-5)/3)+1,对接源_01入库吨位!$S$5:$S$304,0))),IF($D291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1" s="122" t="str">
        <f t="shared" si="34"/>
        <v/>
      </c>
      <c r="H291" s="43"/>
      <c r="I291" s="107"/>
      <c r="J291" s="123" t="str">
        <f t="shared" si="35"/>
        <v/>
      </c>
      <c r="K291" s="76" t="str">
        <f t="shared" si="36"/>
        <v/>
      </c>
      <c r="L291" s="43"/>
      <c r="M291" s="7"/>
      <c r="N291" s="106"/>
      <c r="R291" s="3" t="str">
        <f t="shared" si="37"/>
        <v/>
      </c>
      <c r="S291" s="3">
        <f t="shared" si="38"/>
        <v>0</v>
      </c>
      <c r="T291" s="3">
        <f t="shared" si="39"/>
        <v>13</v>
      </c>
    </row>
    <row r="292" spans="1:20">
      <c r="A292" s="74" t="str">
        <f t="shared" si="32"/>
        <v/>
      </c>
      <c r="B292" s="75" t="str">
        <f>IFERROR(INDEX(对接源_01入库吨位!$B$5:$B$304,MATCH(INT((ROW()-5)/3)+1,对接源_01入库吨位!$S$5:$S$304,0)),"")</f>
        <v/>
      </c>
      <c r="C292" s="75" t="str">
        <f>IFERROR(INDEX(对接源_01入库吨位!$C$5:$C$304,MATCH(INT((ROW()-5)/3)+1,对接源_01入库吨位!$S$5:$S$304,0)),"")</f>
        <v/>
      </c>
      <c r="D292" s="89" t="str">
        <f t="shared" si="33"/>
        <v/>
      </c>
      <c r="E292" s="42" t="str">
        <f>IF($B292="","",IFERROR(IF($D292="周转打冷",N(INDEX(对接源_01入库吨位!$D$5:$D$304,MATCH(INT((ROW()-5)/3)+1,对接源_01入库吨位!$S$5:$S$304,0))),IF($D292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2" s="76" t="str">
        <f>IF($B292="","",ROUND(IFERROR(IF($D292="周转打冷",N(INDEX(对接源_01入库吨位!$H$5:$H$304,MATCH(INT((ROW()-5)/3)+1,对接源_01入库吨位!$S$5:$S$304,0))),IF($D292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2" s="122" t="str">
        <f t="shared" si="34"/>
        <v/>
      </c>
      <c r="H292" s="43"/>
      <c r="I292" s="107"/>
      <c r="J292" s="123" t="str">
        <f t="shared" si="35"/>
        <v/>
      </c>
      <c r="K292" s="76" t="str">
        <f t="shared" si="36"/>
        <v/>
      </c>
      <c r="L292" s="43"/>
      <c r="M292" s="7"/>
      <c r="N292" s="106"/>
      <c r="R292" s="3" t="str">
        <f t="shared" si="37"/>
        <v/>
      </c>
      <c r="S292" s="3">
        <f t="shared" si="38"/>
        <v>0</v>
      </c>
      <c r="T292" s="3">
        <f t="shared" si="39"/>
        <v>13</v>
      </c>
    </row>
    <row r="293" spans="1:20">
      <c r="A293" s="74" t="str">
        <f t="shared" si="32"/>
        <v/>
      </c>
      <c r="B293" s="75" t="str">
        <f>IFERROR(INDEX(对接源_01入库吨位!$B$5:$B$304,MATCH(INT((ROW()-5)/3)+1,对接源_01入库吨位!$S$5:$S$304,0)),"")</f>
        <v/>
      </c>
      <c r="C293" s="75" t="str">
        <f>IFERROR(INDEX(对接源_01入库吨位!$C$5:$C$304,MATCH(INT((ROW()-5)/3)+1,对接源_01入库吨位!$S$5:$S$304,0)),"")</f>
        <v/>
      </c>
      <c r="D293" s="89" t="str">
        <f t="shared" si="33"/>
        <v/>
      </c>
      <c r="E293" s="42" t="str">
        <f>IF($B293="","",IFERROR(IF($D293="周转打冷",N(INDEX(对接源_01入库吨位!$D$5:$D$304,MATCH(INT((ROW()-5)/3)+1,对接源_01入库吨位!$S$5:$S$304,0))),IF($D293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3" s="76" t="str">
        <f>IF($B293="","",ROUND(IFERROR(IF($D293="周转打冷",N(INDEX(对接源_01入库吨位!$H$5:$H$304,MATCH(INT((ROW()-5)/3)+1,对接源_01入库吨位!$S$5:$S$304,0))),IF($D293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3" s="122" t="str">
        <f t="shared" si="34"/>
        <v/>
      </c>
      <c r="H293" s="43"/>
      <c r="I293" s="107"/>
      <c r="J293" s="123" t="str">
        <f t="shared" si="35"/>
        <v/>
      </c>
      <c r="K293" s="76" t="str">
        <f t="shared" si="36"/>
        <v/>
      </c>
      <c r="L293" s="43"/>
      <c r="M293" s="7"/>
      <c r="N293" s="106"/>
      <c r="R293" s="3" t="str">
        <f t="shared" si="37"/>
        <v/>
      </c>
      <c r="S293" s="3">
        <f t="shared" si="38"/>
        <v>0</v>
      </c>
      <c r="T293" s="3">
        <f t="shared" si="39"/>
        <v>13</v>
      </c>
    </row>
    <row r="294" spans="1:20">
      <c r="A294" s="74" t="str">
        <f t="shared" si="32"/>
        <v/>
      </c>
      <c r="B294" s="75" t="str">
        <f>IFERROR(INDEX(对接源_01入库吨位!$B$5:$B$304,MATCH(INT((ROW()-5)/3)+1,对接源_01入库吨位!$S$5:$S$304,0)),"")</f>
        <v/>
      </c>
      <c r="C294" s="75" t="str">
        <f>IFERROR(INDEX(对接源_01入库吨位!$C$5:$C$304,MATCH(INT((ROW()-5)/3)+1,对接源_01入库吨位!$S$5:$S$304,0)),"")</f>
        <v/>
      </c>
      <c r="D294" s="89" t="str">
        <f t="shared" si="33"/>
        <v/>
      </c>
      <c r="E294" s="42" t="str">
        <f>IF($B294="","",IFERROR(IF($D294="周转打冷",N(INDEX(对接源_01入库吨位!$D$5:$D$304,MATCH(INT((ROW()-5)/3)+1,对接源_01入库吨位!$S$5:$S$304,0))),IF($D294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4" s="76" t="str">
        <f>IF($B294="","",ROUND(IFERROR(IF($D294="周转打冷",N(INDEX(对接源_01入库吨位!$H$5:$H$304,MATCH(INT((ROW()-5)/3)+1,对接源_01入库吨位!$S$5:$S$304,0))),IF($D294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4" s="122" t="str">
        <f t="shared" si="34"/>
        <v/>
      </c>
      <c r="H294" s="43"/>
      <c r="I294" s="107"/>
      <c r="J294" s="123" t="str">
        <f t="shared" si="35"/>
        <v/>
      </c>
      <c r="K294" s="76" t="str">
        <f t="shared" si="36"/>
        <v/>
      </c>
      <c r="L294" s="43"/>
      <c r="M294" s="7"/>
      <c r="N294" s="106"/>
      <c r="R294" s="3" t="str">
        <f t="shared" si="37"/>
        <v/>
      </c>
      <c r="S294" s="3">
        <f t="shared" si="38"/>
        <v>0</v>
      </c>
      <c r="T294" s="3">
        <f t="shared" si="39"/>
        <v>13</v>
      </c>
    </row>
    <row r="295" spans="1:20">
      <c r="A295" s="74" t="str">
        <f t="shared" si="32"/>
        <v/>
      </c>
      <c r="B295" s="75" t="str">
        <f>IFERROR(INDEX(对接源_01入库吨位!$B$5:$B$304,MATCH(INT((ROW()-5)/3)+1,对接源_01入库吨位!$S$5:$S$304,0)),"")</f>
        <v/>
      </c>
      <c r="C295" s="75" t="str">
        <f>IFERROR(INDEX(对接源_01入库吨位!$C$5:$C$304,MATCH(INT((ROW()-5)/3)+1,对接源_01入库吨位!$S$5:$S$304,0)),"")</f>
        <v/>
      </c>
      <c r="D295" s="89" t="str">
        <f t="shared" si="33"/>
        <v/>
      </c>
      <c r="E295" s="42" t="str">
        <f>IF($B295="","",IFERROR(IF($D295="周转打冷",N(INDEX(对接源_01入库吨位!$D$5:$D$304,MATCH(INT((ROW()-5)/3)+1,对接源_01入库吨位!$S$5:$S$304,0))),IF($D295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5" s="76" t="str">
        <f>IF($B295="","",ROUND(IFERROR(IF($D295="周转打冷",N(INDEX(对接源_01入库吨位!$H$5:$H$304,MATCH(INT((ROW()-5)/3)+1,对接源_01入库吨位!$S$5:$S$304,0))),IF($D295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5" s="122" t="str">
        <f t="shared" si="34"/>
        <v/>
      </c>
      <c r="H295" s="43"/>
      <c r="I295" s="107"/>
      <c r="J295" s="123" t="str">
        <f t="shared" si="35"/>
        <v/>
      </c>
      <c r="K295" s="76" t="str">
        <f t="shared" si="36"/>
        <v/>
      </c>
      <c r="L295" s="43"/>
      <c r="M295" s="7"/>
      <c r="N295" s="106"/>
      <c r="R295" s="3" t="str">
        <f t="shared" si="37"/>
        <v/>
      </c>
      <c r="S295" s="3">
        <f t="shared" si="38"/>
        <v>0</v>
      </c>
      <c r="T295" s="3">
        <f t="shared" si="39"/>
        <v>13</v>
      </c>
    </row>
    <row r="296" spans="1:20">
      <c r="A296" s="74" t="str">
        <f t="shared" si="32"/>
        <v/>
      </c>
      <c r="B296" s="75" t="str">
        <f>IFERROR(INDEX(对接源_01入库吨位!$B$5:$B$304,MATCH(INT((ROW()-5)/3)+1,对接源_01入库吨位!$S$5:$S$304,0)),"")</f>
        <v/>
      </c>
      <c r="C296" s="75" t="str">
        <f>IFERROR(INDEX(对接源_01入库吨位!$C$5:$C$304,MATCH(INT((ROW()-5)/3)+1,对接源_01入库吨位!$S$5:$S$304,0)),"")</f>
        <v/>
      </c>
      <c r="D296" s="89" t="str">
        <f t="shared" si="33"/>
        <v/>
      </c>
      <c r="E296" s="42" t="str">
        <f>IF($B296="","",IFERROR(IF($D296="周转打冷",N(INDEX(对接源_01入库吨位!$D$5:$D$304,MATCH(INT((ROW()-5)/3)+1,对接源_01入库吨位!$S$5:$S$304,0))),IF($D296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6" s="76" t="str">
        <f>IF($B296="","",ROUND(IFERROR(IF($D296="周转打冷",N(INDEX(对接源_01入库吨位!$H$5:$H$304,MATCH(INT((ROW()-5)/3)+1,对接源_01入库吨位!$S$5:$S$304,0))),IF($D296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6" s="122" t="str">
        <f t="shared" si="34"/>
        <v/>
      </c>
      <c r="H296" s="43"/>
      <c r="I296" s="107"/>
      <c r="J296" s="123" t="str">
        <f t="shared" si="35"/>
        <v/>
      </c>
      <c r="K296" s="76" t="str">
        <f t="shared" si="36"/>
        <v/>
      </c>
      <c r="L296" s="43"/>
      <c r="M296" s="7"/>
      <c r="N296" s="106"/>
      <c r="R296" s="3" t="str">
        <f t="shared" si="37"/>
        <v/>
      </c>
      <c r="S296" s="3">
        <f t="shared" si="38"/>
        <v>0</v>
      </c>
      <c r="T296" s="3">
        <f t="shared" si="39"/>
        <v>13</v>
      </c>
    </row>
    <row r="297" spans="1:20">
      <c r="A297" s="74" t="str">
        <f t="shared" si="32"/>
        <v/>
      </c>
      <c r="B297" s="75" t="str">
        <f>IFERROR(INDEX(对接源_01入库吨位!$B$5:$B$304,MATCH(INT((ROW()-5)/3)+1,对接源_01入库吨位!$S$5:$S$304,0)),"")</f>
        <v/>
      </c>
      <c r="C297" s="75" t="str">
        <f>IFERROR(INDEX(对接源_01入库吨位!$C$5:$C$304,MATCH(INT((ROW()-5)/3)+1,对接源_01入库吨位!$S$5:$S$304,0)),"")</f>
        <v/>
      </c>
      <c r="D297" s="89" t="str">
        <f t="shared" si="33"/>
        <v/>
      </c>
      <c r="E297" s="42" t="str">
        <f>IF($B297="","",IFERROR(IF($D297="周转打冷",N(INDEX(对接源_01入库吨位!$D$5:$D$304,MATCH(INT((ROW()-5)/3)+1,对接源_01入库吨位!$S$5:$S$304,0))),IF($D297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7" s="76" t="str">
        <f>IF($B297="","",ROUND(IFERROR(IF($D297="周转打冷",N(INDEX(对接源_01入库吨位!$H$5:$H$304,MATCH(INT((ROW()-5)/3)+1,对接源_01入库吨位!$S$5:$S$304,0))),IF($D297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7" s="122" t="str">
        <f t="shared" si="34"/>
        <v/>
      </c>
      <c r="H297" s="43"/>
      <c r="I297" s="107"/>
      <c r="J297" s="123" t="str">
        <f t="shared" si="35"/>
        <v/>
      </c>
      <c r="K297" s="76" t="str">
        <f t="shared" si="36"/>
        <v/>
      </c>
      <c r="L297" s="43"/>
      <c r="M297" s="7"/>
      <c r="N297" s="106"/>
      <c r="R297" s="3" t="str">
        <f t="shared" si="37"/>
        <v/>
      </c>
      <c r="S297" s="3">
        <f t="shared" si="38"/>
        <v>0</v>
      </c>
      <c r="T297" s="3">
        <f t="shared" si="39"/>
        <v>13</v>
      </c>
    </row>
    <row r="298" spans="1:20">
      <c r="A298" s="74" t="str">
        <f t="shared" si="32"/>
        <v/>
      </c>
      <c r="B298" s="75" t="str">
        <f>IFERROR(INDEX(对接源_01入库吨位!$B$5:$B$304,MATCH(INT((ROW()-5)/3)+1,对接源_01入库吨位!$S$5:$S$304,0)),"")</f>
        <v/>
      </c>
      <c r="C298" s="75" t="str">
        <f>IFERROR(INDEX(对接源_01入库吨位!$C$5:$C$304,MATCH(INT((ROW()-5)/3)+1,对接源_01入库吨位!$S$5:$S$304,0)),"")</f>
        <v/>
      </c>
      <c r="D298" s="89" t="str">
        <f t="shared" si="33"/>
        <v/>
      </c>
      <c r="E298" s="42" t="str">
        <f>IF($B298="","",IFERROR(IF($D298="周转打冷",N(INDEX(对接源_01入库吨位!$D$5:$D$304,MATCH(INT((ROW()-5)/3)+1,对接源_01入库吨位!$S$5:$S$304,0))),IF($D298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8" s="76" t="str">
        <f>IF($B298="","",ROUND(IFERROR(IF($D298="周转打冷",N(INDEX(对接源_01入库吨位!$H$5:$H$304,MATCH(INT((ROW()-5)/3)+1,对接源_01入库吨位!$S$5:$S$304,0))),IF($D298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8" s="122" t="str">
        <f t="shared" si="34"/>
        <v/>
      </c>
      <c r="H298" s="43"/>
      <c r="I298" s="107"/>
      <c r="J298" s="123" t="str">
        <f t="shared" si="35"/>
        <v/>
      </c>
      <c r="K298" s="76" t="str">
        <f t="shared" si="36"/>
        <v/>
      </c>
      <c r="L298" s="43"/>
      <c r="M298" s="7"/>
      <c r="N298" s="106"/>
      <c r="R298" s="3" t="str">
        <f t="shared" si="37"/>
        <v/>
      </c>
      <c r="S298" s="3">
        <f t="shared" si="38"/>
        <v>0</v>
      </c>
      <c r="T298" s="3">
        <f t="shared" si="39"/>
        <v>13</v>
      </c>
    </row>
    <row r="299" spans="1:20">
      <c r="A299" s="74" t="str">
        <f t="shared" si="32"/>
        <v/>
      </c>
      <c r="B299" s="75" t="str">
        <f>IFERROR(INDEX(对接源_01入库吨位!$B$5:$B$304,MATCH(INT((ROW()-5)/3)+1,对接源_01入库吨位!$S$5:$S$304,0)),"")</f>
        <v/>
      </c>
      <c r="C299" s="75" t="str">
        <f>IFERROR(INDEX(对接源_01入库吨位!$C$5:$C$304,MATCH(INT((ROW()-5)/3)+1,对接源_01入库吨位!$S$5:$S$304,0)),"")</f>
        <v/>
      </c>
      <c r="D299" s="89" t="str">
        <f t="shared" si="33"/>
        <v/>
      </c>
      <c r="E299" s="42" t="str">
        <f>IF($B299="","",IFERROR(IF($D299="周转打冷",N(INDEX(对接源_01入库吨位!$D$5:$D$304,MATCH(INT((ROW()-5)/3)+1,对接源_01入库吨位!$S$5:$S$304,0))),IF($D299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9" s="76" t="str">
        <f>IF($B299="","",ROUND(IFERROR(IF($D299="周转打冷",N(INDEX(对接源_01入库吨位!$H$5:$H$304,MATCH(INT((ROW()-5)/3)+1,对接源_01入库吨位!$S$5:$S$304,0))),IF($D299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9" s="122" t="str">
        <f t="shared" si="34"/>
        <v/>
      </c>
      <c r="H299" s="43"/>
      <c r="I299" s="107"/>
      <c r="J299" s="123" t="str">
        <f t="shared" si="35"/>
        <v/>
      </c>
      <c r="K299" s="76" t="str">
        <f t="shared" si="36"/>
        <v/>
      </c>
      <c r="L299" s="43"/>
      <c r="M299" s="7"/>
      <c r="N299" s="106"/>
      <c r="R299" s="3" t="str">
        <f t="shared" si="37"/>
        <v/>
      </c>
      <c r="S299" s="3">
        <f t="shared" si="38"/>
        <v>0</v>
      </c>
      <c r="T299" s="3">
        <f t="shared" si="39"/>
        <v>13</v>
      </c>
    </row>
    <row r="300" spans="1:20">
      <c r="A300" s="74" t="str">
        <f t="shared" si="32"/>
        <v/>
      </c>
      <c r="B300" s="75" t="str">
        <f>IFERROR(INDEX(对接源_01入库吨位!$B$5:$B$304,MATCH(INT((ROW()-5)/3)+1,对接源_01入库吨位!$S$5:$S$304,0)),"")</f>
        <v/>
      </c>
      <c r="C300" s="75" t="str">
        <f>IFERROR(INDEX(对接源_01入库吨位!$C$5:$C$304,MATCH(INT((ROW()-5)/3)+1,对接源_01入库吨位!$S$5:$S$304,0)),"")</f>
        <v/>
      </c>
      <c r="D300" s="89" t="str">
        <f t="shared" si="33"/>
        <v/>
      </c>
      <c r="E300" s="42" t="str">
        <f>IF($B300="","",IFERROR(IF($D300="周转打冷",N(INDEX(对接源_01入库吨位!$D$5:$D$304,MATCH(INT((ROW()-5)/3)+1,对接源_01入库吨位!$S$5:$S$304,0))),IF($D300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0" s="76" t="str">
        <f>IF($B300="","",ROUND(IFERROR(IF($D300="周转打冷",N(INDEX(对接源_01入库吨位!$H$5:$H$304,MATCH(INT((ROW()-5)/3)+1,对接源_01入库吨位!$S$5:$S$304,0))),IF($D300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0" s="122" t="str">
        <f t="shared" si="34"/>
        <v/>
      </c>
      <c r="H300" s="43"/>
      <c r="I300" s="107"/>
      <c r="J300" s="123" t="str">
        <f t="shared" si="35"/>
        <v/>
      </c>
      <c r="K300" s="76" t="str">
        <f t="shared" si="36"/>
        <v/>
      </c>
      <c r="L300" s="43"/>
      <c r="M300" s="7"/>
      <c r="N300" s="106"/>
      <c r="R300" s="3" t="str">
        <f t="shared" si="37"/>
        <v/>
      </c>
      <c r="S300" s="3">
        <f t="shared" si="38"/>
        <v>0</v>
      </c>
      <c r="T300" s="3">
        <f t="shared" si="39"/>
        <v>13</v>
      </c>
    </row>
    <row r="301" spans="1:20">
      <c r="A301" s="74" t="str">
        <f t="shared" si="32"/>
        <v/>
      </c>
      <c r="B301" s="75" t="str">
        <f>IFERROR(INDEX(对接源_01入库吨位!$B$5:$B$304,MATCH(INT((ROW()-5)/3)+1,对接源_01入库吨位!$S$5:$S$304,0)),"")</f>
        <v/>
      </c>
      <c r="C301" s="75" t="str">
        <f>IFERROR(INDEX(对接源_01入库吨位!$C$5:$C$304,MATCH(INT((ROW()-5)/3)+1,对接源_01入库吨位!$S$5:$S$304,0)),"")</f>
        <v/>
      </c>
      <c r="D301" s="89" t="str">
        <f t="shared" si="33"/>
        <v/>
      </c>
      <c r="E301" s="42" t="str">
        <f>IF($B301="","",IFERROR(IF($D301="周转打冷",N(INDEX(对接源_01入库吨位!$D$5:$D$304,MATCH(INT((ROW()-5)/3)+1,对接源_01入库吨位!$S$5:$S$304,0))),IF($D301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1" s="76" t="str">
        <f>IF($B301="","",ROUND(IFERROR(IF($D301="周转打冷",N(INDEX(对接源_01入库吨位!$H$5:$H$304,MATCH(INT((ROW()-5)/3)+1,对接源_01入库吨位!$S$5:$S$304,0))),IF($D301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1" s="122" t="str">
        <f t="shared" si="34"/>
        <v/>
      </c>
      <c r="H301" s="43"/>
      <c r="I301" s="107"/>
      <c r="J301" s="123" t="str">
        <f t="shared" si="35"/>
        <v/>
      </c>
      <c r="K301" s="76" t="str">
        <f t="shared" si="36"/>
        <v/>
      </c>
      <c r="L301" s="43"/>
      <c r="M301" s="7"/>
      <c r="N301" s="106"/>
      <c r="R301" s="3" t="str">
        <f t="shared" si="37"/>
        <v/>
      </c>
      <c r="S301" s="3">
        <f t="shared" si="38"/>
        <v>0</v>
      </c>
      <c r="T301" s="3">
        <f t="shared" si="39"/>
        <v>13</v>
      </c>
    </row>
    <row r="302" spans="1:20">
      <c r="A302" s="74" t="str">
        <f t="shared" si="32"/>
        <v/>
      </c>
      <c r="B302" s="75" t="str">
        <f>IFERROR(INDEX(对接源_01入库吨位!$B$5:$B$304,MATCH(INT((ROW()-5)/3)+1,对接源_01入库吨位!$S$5:$S$304,0)),"")</f>
        <v/>
      </c>
      <c r="C302" s="75" t="str">
        <f>IFERROR(INDEX(对接源_01入库吨位!$C$5:$C$304,MATCH(INT((ROW()-5)/3)+1,对接源_01入库吨位!$S$5:$S$304,0)),"")</f>
        <v/>
      </c>
      <c r="D302" s="89" t="str">
        <f t="shared" si="33"/>
        <v/>
      </c>
      <c r="E302" s="42" t="str">
        <f>IF($B302="","",IFERROR(IF($D302="周转打冷",N(INDEX(对接源_01入库吨位!$D$5:$D$304,MATCH(INT((ROW()-5)/3)+1,对接源_01入库吨位!$S$5:$S$304,0))),IF($D302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2" s="76" t="str">
        <f>IF($B302="","",ROUND(IFERROR(IF($D302="周转打冷",N(INDEX(对接源_01入库吨位!$H$5:$H$304,MATCH(INT((ROW()-5)/3)+1,对接源_01入库吨位!$S$5:$S$304,0))),IF($D302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2" s="122" t="str">
        <f t="shared" si="34"/>
        <v/>
      </c>
      <c r="H302" s="43"/>
      <c r="I302" s="107"/>
      <c r="J302" s="123" t="str">
        <f t="shared" si="35"/>
        <v/>
      </c>
      <c r="K302" s="76" t="str">
        <f t="shared" si="36"/>
        <v/>
      </c>
      <c r="L302" s="43"/>
      <c r="M302" s="7"/>
      <c r="N302" s="106"/>
      <c r="R302" s="3" t="str">
        <f t="shared" si="37"/>
        <v/>
      </c>
      <c r="S302" s="3">
        <f t="shared" si="38"/>
        <v>0</v>
      </c>
      <c r="T302" s="3">
        <f t="shared" si="39"/>
        <v>13</v>
      </c>
    </row>
    <row r="303" spans="1:20">
      <c r="A303" s="74" t="str">
        <f t="shared" si="32"/>
        <v/>
      </c>
      <c r="B303" s="75" t="str">
        <f>IFERROR(INDEX(对接源_01入库吨位!$B$5:$B$304,MATCH(INT((ROW()-5)/3)+1,对接源_01入库吨位!$S$5:$S$304,0)),"")</f>
        <v/>
      </c>
      <c r="C303" s="75" t="str">
        <f>IFERROR(INDEX(对接源_01入库吨位!$C$5:$C$304,MATCH(INT((ROW()-5)/3)+1,对接源_01入库吨位!$S$5:$S$304,0)),"")</f>
        <v/>
      </c>
      <c r="D303" s="89" t="str">
        <f t="shared" si="33"/>
        <v/>
      </c>
      <c r="E303" s="42" t="str">
        <f>IF($B303="","",IFERROR(IF($D303="周转打冷",N(INDEX(对接源_01入库吨位!$D$5:$D$304,MATCH(INT((ROW()-5)/3)+1,对接源_01入库吨位!$S$5:$S$304,0))),IF($D303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3" s="76" t="str">
        <f>IF($B303="","",ROUND(IFERROR(IF($D303="周转打冷",N(INDEX(对接源_01入库吨位!$H$5:$H$304,MATCH(INT((ROW()-5)/3)+1,对接源_01入库吨位!$S$5:$S$304,0))),IF($D303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3" s="122" t="str">
        <f t="shared" si="34"/>
        <v/>
      </c>
      <c r="H303" s="43"/>
      <c r="I303" s="107"/>
      <c r="J303" s="123" t="str">
        <f t="shared" si="35"/>
        <v/>
      </c>
      <c r="K303" s="76" t="str">
        <f t="shared" si="36"/>
        <v/>
      </c>
      <c r="L303" s="43"/>
      <c r="M303" s="7"/>
      <c r="N303" s="106"/>
      <c r="R303" s="3" t="str">
        <f t="shared" si="37"/>
        <v/>
      </c>
      <c r="S303" s="3">
        <f t="shared" si="38"/>
        <v>0</v>
      </c>
      <c r="T303" s="3">
        <f t="shared" si="39"/>
        <v>13</v>
      </c>
    </row>
    <row r="304" spans="1:20">
      <c r="A304" s="74" t="str">
        <f t="shared" si="32"/>
        <v/>
      </c>
      <c r="B304" s="75" t="str">
        <f>IFERROR(INDEX(对接源_01入库吨位!$B$5:$B$304,MATCH(INT((ROW()-5)/3)+1,对接源_01入库吨位!$S$5:$S$304,0)),"")</f>
        <v/>
      </c>
      <c r="C304" s="75" t="str">
        <f>IFERROR(INDEX(对接源_01入库吨位!$C$5:$C$304,MATCH(INT((ROW()-5)/3)+1,对接源_01入库吨位!$S$5:$S$304,0)),"")</f>
        <v/>
      </c>
      <c r="D304" s="89" t="str">
        <f t="shared" si="33"/>
        <v/>
      </c>
      <c r="E304" s="42" t="str">
        <f>IF($B304="","",IFERROR(IF($D304="周转打冷",N(INDEX(对接源_01入库吨位!$D$5:$D$304,MATCH(INT((ROW()-5)/3)+1,对接源_01入库吨位!$S$5:$S$304,0))),IF($D304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4" s="76" t="str">
        <f>IF($B304="","",ROUND(IFERROR(IF($D304="周转打冷",N(INDEX(对接源_01入库吨位!$H$5:$H$304,MATCH(INT((ROW()-5)/3)+1,对接源_01入库吨位!$S$5:$S$304,0))),IF($D304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4" s="122" t="str">
        <f t="shared" si="34"/>
        <v/>
      </c>
      <c r="H304" s="43"/>
      <c r="I304" s="107"/>
      <c r="J304" s="123" t="str">
        <f t="shared" si="35"/>
        <v/>
      </c>
      <c r="K304" s="76" t="str">
        <f t="shared" si="36"/>
        <v/>
      </c>
      <c r="L304" s="43"/>
      <c r="M304" s="7"/>
      <c r="N304" s="106"/>
      <c r="R304" s="3" t="str">
        <f t="shared" si="37"/>
        <v/>
      </c>
      <c r="S304" s="3">
        <f t="shared" si="38"/>
        <v>0</v>
      </c>
      <c r="T304" s="3">
        <f t="shared" si="39"/>
        <v>13</v>
      </c>
    </row>
    <row r="305" spans="1:20">
      <c r="A305" s="74" t="str">
        <f t="shared" si="32"/>
        <v/>
      </c>
      <c r="B305" s="75" t="str">
        <f>IFERROR(INDEX(对接源_01入库吨位!$B$5:$B$304,MATCH(INT((ROW()-5)/3)+1,对接源_01入库吨位!$S$5:$S$304,0)),"")</f>
        <v/>
      </c>
      <c r="C305" s="75" t="str">
        <f>IFERROR(INDEX(对接源_01入库吨位!$C$5:$C$304,MATCH(INT((ROW()-5)/3)+1,对接源_01入库吨位!$S$5:$S$304,0)),"")</f>
        <v/>
      </c>
      <c r="D305" s="89" t="str">
        <f t="shared" si="33"/>
        <v/>
      </c>
      <c r="E305" s="42" t="str">
        <f>IF($B305="","",IFERROR(IF($D305="周转打冷",N(INDEX(对接源_01入库吨位!$D$5:$D$304,MATCH(INT((ROW()-5)/3)+1,对接源_01入库吨位!$S$5:$S$304,0))),IF($D305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5" s="76" t="str">
        <f>IF($B305="","",ROUND(IFERROR(IF($D305="周转打冷",N(INDEX(对接源_01入库吨位!$H$5:$H$304,MATCH(INT((ROW()-5)/3)+1,对接源_01入库吨位!$S$5:$S$304,0))),IF($D305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5" s="122" t="str">
        <f t="shared" si="34"/>
        <v/>
      </c>
      <c r="H305" s="43"/>
      <c r="I305" s="107"/>
      <c r="J305" s="123" t="str">
        <f t="shared" si="35"/>
        <v/>
      </c>
      <c r="K305" s="76" t="str">
        <f t="shared" si="36"/>
        <v/>
      </c>
      <c r="L305" s="43"/>
      <c r="M305" s="7"/>
      <c r="N305" s="106"/>
      <c r="R305" s="3" t="str">
        <f t="shared" si="37"/>
        <v/>
      </c>
      <c r="S305" s="3">
        <f t="shared" si="38"/>
        <v>0</v>
      </c>
      <c r="T305" s="3">
        <f t="shared" si="39"/>
        <v>13</v>
      </c>
    </row>
    <row r="306" spans="1:20">
      <c r="A306" s="74" t="str">
        <f t="shared" si="32"/>
        <v/>
      </c>
      <c r="B306" s="75" t="str">
        <f>IFERROR(INDEX(对接源_01入库吨位!$B$5:$B$304,MATCH(INT((ROW()-5)/3)+1,对接源_01入库吨位!$S$5:$S$304,0)),"")</f>
        <v/>
      </c>
      <c r="C306" s="75" t="str">
        <f>IFERROR(INDEX(对接源_01入库吨位!$C$5:$C$304,MATCH(INT((ROW()-5)/3)+1,对接源_01入库吨位!$S$5:$S$304,0)),"")</f>
        <v/>
      </c>
      <c r="D306" s="89" t="str">
        <f t="shared" si="33"/>
        <v/>
      </c>
      <c r="E306" s="42" t="str">
        <f>IF($B306="","",IFERROR(IF($D306="周转打冷",N(INDEX(对接源_01入库吨位!$D$5:$D$304,MATCH(INT((ROW()-5)/3)+1,对接源_01入库吨位!$S$5:$S$304,0))),IF($D306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6" s="76" t="str">
        <f>IF($B306="","",ROUND(IFERROR(IF($D306="周转打冷",N(INDEX(对接源_01入库吨位!$H$5:$H$304,MATCH(INT((ROW()-5)/3)+1,对接源_01入库吨位!$S$5:$S$304,0))),IF($D306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6" s="122" t="str">
        <f t="shared" si="34"/>
        <v/>
      </c>
      <c r="H306" s="43"/>
      <c r="I306" s="107"/>
      <c r="J306" s="123" t="str">
        <f t="shared" si="35"/>
        <v/>
      </c>
      <c r="K306" s="76" t="str">
        <f t="shared" si="36"/>
        <v/>
      </c>
      <c r="L306" s="43"/>
      <c r="M306" s="7"/>
      <c r="N306" s="106"/>
      <c r="R306" s="3" t="str">
        <f t="shared" si="37"/>
        <v/>
      </c>
      <c r="S306" s="3">
        <f t="shared" si="38"/>
        <v>0</v>
      </c>
      <c r="T306" s="3">
        <f t="shared" si="39"/>
        <v>13</v>
      </c>
    </row>
    <row r="307" spans="1:20">
      <c r="A307" s="74" t="str">
        <f t="shared" si="32"/>
        <v/>
      </c>
      <c r="B307" s="75" t="str">
        <f>IFERROR(INDEX(对接源_01入库吨位!$B$5:$B$304,MATCH(INT((ROW()-5)/3)+1,对接源_01入库吨位!$S$5:$S$304,0)),"")</f>
        <v/>
      </c>
      <c r="C307" s="75" t="str">
        <f>IFERROR(INDEX(对接源_01入库吨位!$C$5:$C$304,MATCH(INT((ROW()-5)/3)+1,对接源_01入库吨位!$S$5:$S$304,0)),"")</f>
        <v/>
      </c>
      <c r="D307" s="89" t="str">
        <f t="shared" si="33"/>
        <v/>
      </c>
      <c r="E307" s="42" t="str">
        <f>IF($B307="","",IFERROR(IF($D307="周转打冷",N(INDEX(对接源_01入库吨位!$D$5:$D$304,MATCH(INT((ROW()-5)/3)+1,对接源_01入库吨位!$S$5:$S$304,0))),IF($D307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7" s="76" t="str">
        <f>IF($B307="","",ROUND(IFERROR(IF($D307="周转打冷",N(INDEX(对接源_01入库吨位!$H$5:$H$304,MATCH(INT((ROW()-5)/3)+1,对接源_01入库吨位!$S$5:$S$304,0))),IF($D307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7" s="122" t="str">
        <f t="shared" si="34"/>
        <v/>
      </c>
      <c r="H307" s="43"/>
      <c r="I307" s="107"/>
      <c r="J307" s="123" t="str">
        <f t="shared" si="35"/>
        <v/>
      </c>
      <c r="K307" s="76" t="str">
        <f t="shared" si="36"/>
        <v/>
      </c>
      <c r="L307" s="43"/>
      <c r="M307" s="7"/>
      <c r="N307" s="106"/>
      <c r="R307" s="3" t="str">
        <f t="shared" si="37"/>
        <v/>
      </c>
      <c r="S307" s="3">
        <f t="shared" si="38"/>
        <v>0</v>
      </c>
      <c r="T307" s="3">
        <f t="shared" si="39"/>
        <v>13</v>
      </c>
    </row>
    <row r="308" spans="1:20">
      <c r="A308" s="74" t="str">
        <f t="shared" si="32"/>
        <v/>
      </c>
      <c r="B308" s="75" t="str">
        <f>IFERROR(INDEX(对接源_01入库吨位!$B$5:$B$304,MATCH(INT((ROW()-5)/3)+1,对接源_01入库吨位!$S$5:$S$304,0)),"")</f>
        <v/>
      </c>
      <c r="C308" s="75" t="str">
        <f>IFERROR(INDEX(对接源_01入库吨位!$C$5:$C$304,MATCH(INT((ROW()-5)/3)+1,对接源_01入库吨位!$S$5:$S$304,0)),"")</f>
        <v/>
      </c>
      <c r="D308" s="89" t="str">
        <f t="shared" si="33"/>
        <v/>
      </c>
      <c r="E308" s="42" t="str">
        <f>IF($B308="","",IFERROR(IF($D308="周转打冷",N(INDEX(对接源_01入库吨位!$D$5:$D$304,MATCH(INT((ROW()-5)/3)+1,对接源_01入库吨位!$S$5:$S$304,0))),IF($D308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8" s="76" t="str">
        <f>IF($B308="","",ROUND(IFERROR(IF($D308="周转打冷",N(INDEX(对接源_01入库吨位!$H$5:$H$304,MATCH(INT((ROW()-5)/3)+1,对接源_01入库吨位!$S$5:$S$304,0))),IF($D308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8" s="122" t="str">
        <f t="shared" si="34"/>
        <v/>
      </c>
      <c r="H308" s="43"/>
      <c r="I308" s="107"/>
      <c r="J308" s="123" t="str">
        <f t="shared" si="35"/>
        <v/>
      </c>
      <c r="K308" s="76" t="str">
        <f t="shared" si="36"/>
        <v/>
      </c>
      <c r="L308" s="43"/>
      <c r="M308" s="7"/>
      <c r="N308" s="106"/>
      <c r="R308" s="3" t="str">
        <f t="shared" si="37"/>
        <v/>
      </c>
      <c r="S308" s="3">
        <f t="shared" si="38"/>
        <v>0</v>
      </c>
      <c r="T308" s="3">
        <f t="shared" si="39"/>
        <v>13</v>
      </c>
    </row>
    <row r="309" spans="1:20">
      <c r="A309" s="74" t="str">
        <f t="shared" si="32"/>
        <v/>
      </c>
      <c r="B309" s="75" t="str">
        <f>IFERROR(INDEX(对接源_01入库吨位!$B$5:$B$304,MATCH(INT((ROW()-5)/3)+1,对接源_01入库吨位!$S$5:$S$304,0)),"")</f>
        <v/>
      </c>
      <c r="C309" s="75" t="str">
        <f>IFERROR(INDEX(对接源_01入库吨位!$C$5:$C$304,MATCH(INT((ROW()-5)/3)+1,对接源_01入库吨位!$S$5:$S$304,0)),"")</f>
        <v/>
      </c>
      <c r="D309" s="89" t="str">
        <f t="shared" si="33"/>
        <v/>
      </c>
      <c r="E309" s="42" t="str">
        <f>IF($B309="","",IFERROR(IF($D309="周转打冷",N(INDEX(对接源_01入库吨位!$D$5:$D$304,MATCH(INT((ROW()-5)/3)+1,对接源_01入库吨位!$S$5:$S$304,0))),IF($D309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9" s="76" t="str">
        <f>IF($B309="","",ROUND(IFERROR(IF($D309="周转打冷",N(INDEX(对接源_01入库吨位!$H$5:$H$304,MATCH(INT((ROW()-5)/3)+1,对接源_01入库吨位!$S$5:$S$304,0))),IF($D309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9" s="122" t="str">
        <f t="shared" si="34"/>
        <v/>
      </c>
      <c r="H309" s="43"/>
      <c r="I309" s="107"/>
      <c r="J309" s="123" t="str">
        <f t="shared" si="35"/>
        <v/>
      </c>
      <c r="K309" s="76" t="str">
        <f t="shared" si="36"/>
        <v/>
      </c>
      <c r="L309" s="43"/>
      <c r="M309" s="7"/>
      <c r="N309" s="106"/>
      <c r="R309" s="3" t="str">
        <f t="shared" si="37"/>
        <v/>
      </c>
      <c r="S309" s="3">
        <f t="shared" si="38"/>
        <v>0</v>
      </c>
      <c r="T309" s="3">
        <f t="shared" si="39"/>
        <v>13</v>
      </c>
    </row>
    <row r="310" spans="1:20">
      <c r="A310" s="74" t="str">
        <f t="shared" si="32"/>
        <v/>
      </c>
      <c r="B310" s="75" t="str">
        <f>IFERROR(INDEX(对接源_01入库吨位!$B$5:$B$304,MATCH(INT((ROW()-5)/3)+1,对接源_01入库吨位!$S$5:$S$304,0)),"")</f>
        <v/>
      </c>
      <c r="C310" s="75" t="str">
        <f>IFERROR(INDEX(对接源_01入库吨位!$C$5:$C$304,MATCH(INT((ROW()-5)/3)+1,对接源_01入库吨位!$S$5:$S$304,0)),"")</f>
        <v/>
      </c>
      <c r="D310" s="89" t="str">
        <f t="shared" si="33"/>
        <v/>
      </c>
      <c r="E310" s="42" t="str">
        <f>IF($B310="","",IFERROR(IF($D310="周转打冷",N(INDEX(对接源_01入库吨位!$D$5:$D$304,MATCH(INT((ROW()-5)/3)+1,对接源_01入库吨位!$S$5:$S$304,0))),IF($D310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0" s="76" t="str">
        <f>IF($B310="","",ROUND(IFERROR(IF($D310="周转打冷",N(INDEX(对接源_01入库吨位!$H$5:$H$304,MATCH(INT((ROW()-5)/3)+1,对接源_01入库吨位!$S$5:$S$304,0))),IF($D310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0" s="122" t="str">
        <f t="shared" si="34"/>
        <v/>
      </c>
      <c r="H310" s="43"/>
      <c r="I310" s="107"/>
      <c r="J310" s="123" t="str">
        <f t="shared" si="35"/>
        <v/>
      </c>
      <c r="K310" s="76" t="str">
        <f t="shared" si="36"/>
        <v/>
      </c>
      <c r="L310" s="43"/>
      <c r="M310" s="7"/>
      <c r="N310" s="106"/>
      <c r="R310" s="3" t="str">
        <f t="shared" si="37"/>
        <v/>
      </c>
      <c r="S310" s="3">
        <f t="shared" si="38"/>
        <v>0</v>
      </c>
      <c r="T310" s="3">
        <f t="shared" si="39"/>
        <v>13</v>
      </c>
    </row>
    <row r="311" spans="1:20">
      <c r="A311" s="74" t="str">
        <f t="shared" si="32"/>
        <v/>
      </c>
      <c r="B311" s="75" t="str">
        <f>IFERROR(INDEX(对接源_01入库吨位!$B$5:$B$304,MATCH(INT((ROW()-5)/3)+1,对接源_01入库吨位!$S$5:$S$304,0)),"")</f>
        <v/>
      </c>
      <c r="C311" s="75" t="str">
        <f>IFERROR(INDEX(对接源_01入库吨位!$C$5:$C$304,MATCH(INT((ROW()-5)/3)+1,对接源_01入库吨位!$S$5:$S$304,0)),"")</f>
        <v/>
      </c>
      <c r="D311" s="89" t="str">
        <f t="shared" si="33"/>
        <v/>
      </c>
      <c r="E311" s="42" t="str">
        <f>IF($B311="","",IFERROR(IF($D311="周转打冷",N(INDEX(对接源_01入库吨位!$D$5:$D$304,MATCH(INT((ROW()-5)/3)+1,对接源_01入库吨位!$S$5:$S$304,0))),IF($D311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1" s="76" t="str">
        <f>IF($B311="","",ROUND(IFERROR(IF($D311="周转打冷",N(INDEX(对接源_01入库吨位!$H$5:$H$304,MATCH(INT((ROW()-5)/3)+1,对接源_01入库吨位!$S$5:$S$304,0))),IF($D311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1" s="122" t="str">
        <f t="shared" si="34"/>
        <v/>
      </c>
      <c r="H311" s="43"/>
      <c r="I311" s="107"/>
      <c r="J311" s="123" t="str">
        <f t="shared" si="35"/>
        <v/>
      </c>
      <c r="K311" s="76" t="str">
        <f t="shared" si="36"/>
        <v/>
      </c>
      <c r="L311" s="43"/>
      <c r="M311" s="7"/>
      <c r="N311" s="106"/>
      <c r="R311" s="3" t="str">
        <f t="shared" si="37"/>
        <v/>
      </c>
      <c r="S311" s="3">
        <f t="shared" si="38"/>
        <v>0</v>
      </c>
      <c r="T311" s="3">
        <f t="shared" si="39"/>
        <v>13</v>
      </c>
    </row>
    <row r="312" spans="1:20">
      <c r="A312" s="74" t="str">
        <f t="shared" si="32"/>
        <v/>
      </c>
      <c r="B312" s="75" t="str">
        <f>IFERROR(INDEX(对接源_01入库吨位!$B$5:$B$304,MATCH(INT((ROW()-5)/3)+1,对接源_01入库吨位!$S$5:$S$304,0)),"")</f>
        <v/>
      </c>
      <c r="C312" s="75" t="str">
        <f>IFERROR(INDEX(对接源_01入库吨位!$C$5:$C$304,MATCH(INT((ROW()-5)/3)+1,对接源_01入库吨位!$S$5:$S$304,0)),"")</f>
        <v/>
      </c>
      <c r="D312" s="89" t="str">
        <f t="shared" si="33"/>
        <v/>
      </c>
      <c r="E312" s="42" t="str">
        <f>IF($B312="","",IFERROR(IF($D312="周转打冷",N(INDEX(对接源_01入库吨位!$D$5:$D$304,MATCH(INT((ROW()-5)/3)+1,对接源_01入库吨位!$S$5:$S$304,0))),IF($D312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2" s="76" t="str">
        <f>IF($B312="","",ROUND(IFERROR(IF($D312="周转打冷",N(INDEX(对接源_01入库吨位!$H$5:$H$304,MATCH(INT((ROW()-5)/3)+1,对接源_01入库吨位!$S$5:$S$304,0))),IF($D312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2" s="122" t="str">
        <f t="shared" si="34"/>
        <v/>
      </c>
      <c r="H312" s="43"/>
      <c r="I312" s="107"/>
      <c r="J312" s="123" t="str">
        <f t="shared" si="35"/>
        <v/>
      </c>
      <c r="K312" s="76" t="str">
        <f t="shared" si="36"/>
        <v/>
      </c>
      <c r="L312" s="43"/>
      <c r="M312" s="7"/>
      <c r="N312" s="106"/>
      <c r="R312" s="3" t="str">
        <f t="shared" si="37"/>
        <v/>
      </c>
      <c r="S312" s="3">
        <f t="shared" si="38"/>
        <v>0</v>
      </c>
      <c r="T312" s="3">
        <f t="shared" si="39"/>
        <v>13</v>
      </c>
    </row>
    <row r="313" spans="1:20">
      <c r="A313" s="74" t="str">
        <f t="shared" si="32"/>
        <v/>
      </c>
      <c r="B313" s="75" t="str">
        <f>IFERROR(INDEX(对接源_01入库吨位!$B$5:$B$304,MATCH(INT((ROW()-5)/3)+1,对接源_01入库吨位!$S$5:$S$304,0)),"")</f>
        <v/>
      </c>
      <c r="C313" s="75" t="str">
        <f>IFERROR(INDEX(对接源_01入库吨位!$C$5:$C$304,MATCH(INT((ROW()-5)/3)+1,对接源_01入库吨位!$S$5:$S$304,0)),"")</f>
        <v/>
      </c>
      <c r="D313" s="89" t="str">
        <f t="shared" si="33"/>
        <v/>
      </c>
      <c r="E313" s="42" t="str">
        <f>IF($B313="","",IFERROR(IF($D313="周转打冷",N(INDEX(对接源_01入库吨位!$D$5:$D$304,MATCH(INT((ROW()-5)/3)+1,对接源_01入库吨位!$S$5:$S$304,0))),IF($D313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3" s="76" t="str">
        <f>IF($B313="","",ROUND(IFERROR(IF($D313="周转打冷",N(INDEX(对接源_01入库吨位!$H$5:$H$304,MATCH(INT((ROW()-5)/3)+1,对接源_01入库吨位!$S$5:$S$304,0))),IF($D313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3" s="122" t="str">
        <f t="shared" si="34"/>
        <v/>
      </c>
      <c r="H313" s="43"/>
      <c r="I313" s="107"/>
      <c r="J313" s="123" t="str">
        <f t="shared" si="35"/>
        <v/>
      </c>
      <c r="K313" s="76" t="str">
        <f t="shared" si="36"/>
        <v/>
      </c>
      <c r="L313" s="43"/>
      <c r="M313" s="7"/>
      <c r="N313" s="106"/>
      <c r="R313" s="3" t="str">
        <f t="shared" si="37"/>
        <v/>
      </c>
      <c r="S313" s="3">
        <f t="shared" si="38"/>
        <v>0</v>
      </c>
      <c r="T313" s="3">
        <f t="shared" si="39"/>
        <v>13</v>
      </c>
    </row>
    <row r="314" spans="1:20">
      <c r="A314" s="74" t="str">
        <f t="shared" si="32"/>
        <v/>
      </c>
      <c r="B314" s="75" t="str">
        <f>IFERROR(INDEX(对接源_01入库吨位!$B$5:$B$304,MATCH(INT((ROW()-5)/3)+1,对接源_01入库吨位!$S$5:$S$304,0)),"")</f>
        <v/>
      </c>
      <c r="C314" s="75" t="str">
        <f>IFERROR(INDEX(对接源_01入库吨位!$C$5:$C$304,MATCH(INT((ROW()-5)/3)+1,对接源_01入库吨位!$S$5:$S$304,0)),"")</f>
        <v/>
      </c>
      <c r="D314" s="89" t="str">
        <f t="shared" si="33"/>
        <v/>
      </c>
      <c r="E314" s="42" t="str">
        <f>IF($B314="","",IFERROR(IF($D314="周转打冷",N(INDEX(对接源_01入库吨位!$D$5:$D$304,MATCH(INT((ROW()-5)/3)+1,对接源_01入库吨位!$S$5:$S$304,0))),IF($D314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4" s="76" t="str">
        <f>IF($B314="","",ROUND(IFERROR(IF($D314="周转打冷",N(INDEX(对接源_01入库吨位!$H$5:$H$304,MATCH(INT((ROW()-5)/3)+1,对接源_01入库吨位!$S$5:$S$304,0))),IF($D314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4" s="122" t="str">
        <f t="shared" si="34"/>
        <v/>
      </c>
      <c r="H314" s="43"/>
      <c r="I314" s="107"/>
      <c r="J314" s="123" t="str">
        <f t="shared" si="35"/>
        <v/>
      </c>
      <c r="K314" s="76" t="str">
        <f t="shared" si="36"/>
        <v/>
      </c>
      <c r="L314" s="43"/>
      <c r="M314" s="7"/>
      <c r="N314" s="106"/>
      <c r="R314" s="3" t="str">
        <f t="shared" si="37"/>
        <v/>
      </c>
      <c r="S314" s="3">
        <f t="shared" si="38"/>
        <v>0</v>
      </c>
      <c r="T314" s="3">
        <f t="shared" si="39"/>
        <v>13</v>
      </c>
    </row>
    <row r="315" spans="1:20">
      <c r="A315" s="74" t="str">
        <f t="shared" si="32"/>
        <v/>
      </c>
      <c r="B315" s="75" t="str">
        <f>IFERROR(INDEX(对接源_01入库吨位!$B$5:$B$304,MATCH(INT((ROW()-5)/3)+1,对接源_01入库吨位!$S$5:$S$304,0)),"")</f>
        <v/>
      </c>
      <c r="C315" s="75" t="str">
        <f>IFERROR(INDEX(对接源_01入库吨位!$C$5:$C$304,MATCH(INT((ROW()-5)/3)+1,对接源_01入库吨位!$S$5:$S$304,0)),"")</f>
        <v/>
      </c>
      <c r="D315" s="89" t="str">
        <f t="shared" si="33"/>
        <v/>
      </c>
      <c r="E315" s="42" t="str">
        <f>IF($B315="","",IFERROR(IF($D315="周转打冷",N(INDEX(对接源_01入库吨位!$D$5:$D$304,MATCH(INT((ROW()-5)/3)+1,对接源_01入库吨位!$S$5:$S$304,0))),IF($D315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5" s="76" t="str">
        <f>IF($B315="","",ROUND(IFERROR(IF($D315="周转打冷",N(INDEX(对接源_01入库吨位!$H$5:$H$304,MATCH(INT((ROW()-5)/3)+1,对接源_01入库吨位!$S$5:$S$304,0))),IF($D315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5" s="122" t="str">
        <f t="shared" si="34"/>
        <v/>
      </c>
      <c r="H315" s="43"/>
      <c r="I315" s="107"/>
      <c r="J315" s="123" t="str">
        <f t="shared" si="35"/>
        <v/>
      </c>
      <c r="K315" s="76" t="str">
        <f t="shared" si="36"/>
        <v/>
      </c>
      <c r="L315" s="43"/>
      <c r="M315" s="7"/>
      <c r="N315" s="106"/>
      <c r="R315" s="3" t="str">
        <f t="shared" si="37"/>
        <v/>
      </c>
      <c r="S315" s="3">
        <f t="shared" si="38"/>
        <v>0</v>
      </c>
      <c r="T315" s="3">
        <f t="shared" si="39"/>
        <v>13</v>
      </c>
    </row>
    <row r="316" spans="1:20">
      <c r="A316" s="74" t="str">
        <f t="shared" si="32"/>
        <v/>
      </c>
      <c r="B316" s="75" t="str">
        <f>IFERROR(INDEX(对接源_01入库吨位!$B$5:$B$304,MATCH(INT((ROW()-5)/3)+1,对接源_01入库吨位!$S$5:$S$304,0)),"")</f>
        <v/>
      </c>
      <c r="C316" s="75" t="str">
        <f>IFERROR(INDEX(对接源_01入库吨位!$C$5:$C$304,MATCH(INT((ROW()-5)/3)+1,对接源_01入库吨位!$S$5:$S$304,0)),"")</f>
        <v/>
      </c>
      <c r="D316" s="89" t="str">
        <f t="shared" si="33"/>
        <v/>
      </c>
      <c r="E316" s="42" t="str">
        <f>IF($B316="","",IFERROR(IF($D316="周转打冷",N(INDEX(对接源_01入库吨位!$D$5:$D$304,MATCH(INT((ROW()-5)/3)+1,对接源_01入库吨位!$S$5:$S$304,0))),IF($D316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6" s="76" t="str">
        <f>IF($B316="","",ROUND(IFERROR(IF($D316="周转打冷",N(INDEX(对接源_01入库吨位!$H$5:$H$304,MATCH(INT((ROW()-5)/3)+1,对接源_01入库吨位!$S$5:$S$304,0))),IF($D316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6" s="122" t="str">
        <f t="shared" si="34"/>
        <v/>
      </c>
      <c r="H316" s="43"/>
      <c r="I316" s="107"/>
      <c r="J316" s="123" t="str">
        <f t="shared" si="35"/>
        <v/>
      </c>
      <c r="K316" s="76" t="str">
        <f t="shared" si="36"/>
        <v/>
      </c>
      <c r="L316" s="43"/>
      <c r="M316" s="7"/>
      <c r="N316" s="106"/>
      <c r="R316" s="3" t="str">
        <f t="shared" si="37"/>
        <v/>
      </c>
      <c r="S316" s="3">
        <f t="shared" si="38"/>
        <v>0</v>
      </c>
      <c r="T316" s="3">
        <f t="shared" si="39"/>
        <v>13</v>
      </c>
    </row>
    <row r="317" spans="1:20">
      <c r="A317" s="74" t="str">
        <f t="shared" si="32"/>
        <v/>
      </c>
      <c r="B317" s="75" t="str">
        <f>IFERROR(INDEX(对接源_01入库吨位!$B$5:$B$304,MATCH(INT((ROW()-5)/3)+1,对接源_01入库吨位!$S$5:$S$304,0)),"")</f>
        <v/>
      </c>
      <c r="C317" s="75" t="str">
        <f>IFERROR(INDEX(对接源_01入库吨位!$C$5:$C$304,MATCH(INT((ROW()-5)/3)+1,对接源_01入库吨位!$S$5:$S$304,0)),"")</f>
        <v/>
      </c>
      <c r="D317" s="89" t="str">
        <f t="shared" si="33"/>
        <v/>
      </c>
      <c r="E317" s="42" t="str">
        <f>IF($B317="","",IFERROR(IF($D317="周转打冷",N(INDEX(对接源_01入库吨位!$D$5:$D$304,MATCH(INT((ROW()-5)/3)+1,对接源_01入库吨位!$S$5:$S$304,0))),IF($D317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7" s="76" t="str">
        <f>IF($B317="","",ROUND(IFERROR(IF($D317="周转打冷",N(INDEX(对接源_01入库吨位!$H$5:$H$304,MATCH(INT((ROW()-5)/3)+1,对接源_01入库吨位!$S$5:$S$304,0))),IF($D317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7" s="122" t="str">
        <f t="shared" si="34"/>
        <v/>
      </c>
      <c r="H317" s="43"/>
      <c r="I317" s="107"/>
      <c r="J317" s="123" t="str">
        <f t="shared" si="35"/>
        <v/>
      </c>
      <c r="K317" s="76" t="str">
        <f t="shared" si="36"/>
        <v/>
      </c>
      <c r="L317" s="43"/>
      <c r="M317" s="7"/>
      <c r="N317" s="106"/>
      <c r="R317" s="3" t="str">
        <f t="shared" si="37"/>
        <v/>
      </c>
      <c r="S317" s="3">
        <f t="shared" si="38"/>
        <v>0</v>
      </c>
      <c r="T317" s="3">
        <f t="shared" si="39"/>
        <v>13</v>
      </c>
    </row>
    <row r="318" spans="1:20">
      <c r="A318" s="74" t="str">
        <f t="shared" si="32"/>
        <v/>
      </c>
      <c r="B318" s="75" t="str">
        <f>IFERROR(INDEX(对接源_01入库吨位!$B$5:$B$304,MATCH(INT((ROW()-5)/3)+1,对接源_01入库吨位!$S$5:$S$304,0)),"")</f>
        <v/>
      </c>
      <c r="C318" s="75" t="str">
        <f>IFERROR(INDEX(对接源_01入库吨位!$C$5:$C$304,MATCH(INT((ROW()-5)/3)+1,对接源_01入库吨位!$S$5:$S$304,0)),"")</f>
        <v/>
      </c>
      <c r="D318" s="89" t="str">
        <f t="shared" si="33"/>
        <v/>
      </c>
      <c r="E318" s="42" t="str">
        <f>IF($B318="","",IFERROR(IF($D318="周转打冷",N(INDEX(对接源_01入库吨位!$D$5:$D$304,MATCH(INT((ROW()-5)/3)+1,对接源_01入库吨位!$S$5:$S$304,0))),IF($D318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8" s="76" t="str">
        <f>IF($B318="","",ROUND(IFERROR(IF($D318="周转打冷",N(INDEX(对接源_01入库吨位!$H$5:$H$304,MATCH(INT((ROW()-5)/3)+1,对接源_01入库吨位!$S$5:$S$304,0))),IF($D318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8" s="122" t="str">
        <f t="shared" si="34"/>
        <v/>
      </c>
      <c r="H318" s="43"/>
      <c r="I318" s="107"/>
      <c r="J318" s="123" t="str">
        <f t="shared" si="35"/>
        <v/>
      </c>
      <c r="K318" s="76" t="str">
        <f t="shared" si="36"/>
        <v/>
      </c>
      <c r="L318" s="43"/>
      <c r="M318" s="7"/>
      <c r="N318" s="106"/>
      <c r="R318" s="3" t="str">
        <f t="shared" si="37"/>
        <v/>
      </c>
      <c r="S318" s="3">
        <f t="shared" si="38"/>
        <v>0</v>
      </c>
      <c r="T318" s="3">
        <f t="shared" si="39"/>
        <v>13</v>
      </c>
    </row>
    <row r="319" spans="1:20">
      <c r="A319" s="74" t="str">
        <f t="shared" si="32"/>
        <v/>
      </c>
      <c r="B319" s="75" t="str">
        <f>IFERROR(INDEX(对接源_01入库吨位!$B$5:$B$304,MATCH(INT((ROW()-5)/3)+1,对接源_01入库吨位!$S$5:$S$304,0)),"")</f>
        <v/>
      </c>
      <c r="C319" s="75" t="str">
        <f>IFERROR(INDEX(对接源_01入库吨位!$C$5:$C$304,MATCH(INT((ROW()-5)/3)+1,对接源_01入库吨位!$S$5:$S$304,0)),"")</f>
        <v/>
      </c>
      <c r="D319" s="89" t="str">
        <f t="shared" si="33"/>
        <v/>
      </c>
      <c r="E319" s="42" t="str">
        <f>IF($B319="","",IFERROR(IF($D319="周转打冷",N(INDEX(对接源_01入库吨位!$D$5:$D$304,MATCH(INT((ROW()-5)/3)+1,对接源_01入库吨位!$S$5:$S$304,0))),IF($D319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9" s="76" t="str">
        <f>IF($B319="","",ROUND(IFERROR(IF($D319="周转打冷",N(INDEX(对接源_01入库吨位!$H$5:$H$304,MATCH(INT((ROW()-5)/3)+1,对接源_01入库吨位!$S$5:$S$304,0))),IF($D319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9" s="122" t="str">
        <f t="shared" si="34"/>
        <v/>
      </c>
      <c r="H319" s="43"/>
      <c r="I319" s="107"/>
      <c r="J319" s="123" t="str">
        <f t="shared" si="35"/>
        <v/>
      </c>
      <c r="K319" s="76" t="str">
        <f t="shared" si="36"/>
        <v/>
      </c>
      <c r="L319" s="43"/>
      <c r="M319" s="7"/>
      <c r="N319" s="106"/>
      <c r="R319" s="3" t="str">
        <f t="shared" si="37"/>
        <v/>
      </c>
      <c r="S319" s="3">
        <f t="shared" si="38"/>
        <v>0</v>
      </c>
      <c r="T319" s="3">
        <f t="shared" si="39"/>
        <v>13</v>
      </c>
    </row>
    <row r="320" spans="1:20">
      <c r="A320" s="74" t="str">
        <f t="shared" si="32"/>
        <v/>
      </c>
      <c r="B320" s="75" t="str">
        <f>IFERROR(INDEX(对接源_01入库吨位!$B$5:$B$304,MATCH(INT((ROW()-5)/3)+1,对接源_01入库吨位!$S$5:$S$304,0)),"")</f>
        <v/>
      </c>
      <c r="C320" s="75" t="str">
        <f>IFERROR(INDEX(对接源_01入库吨位!$C$5:$C$304,MATCH(INT((ROW()-5)/3)+1,对接源_01入库吨位!$S$5:$S$304,0)),"")</f>
        <v/>
      </c>
      <c r="D320" s="89" t="str">
        <f t="shared" si="33"/>
        <v/>
      </c>
      <c r="E320" s="42" t="str">
        <f>IF($B320="","",IFERROR(IF($D320="周转打冷",N(INDEX(对接源_01入库吨位!$D$5:$D$304,MATCH(INT((ROW()-5)/3)+1,对接源_01入库吨位!$S$5:$S$304,0))),IF($D320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0" s="76" t="str">
        <f>IF($B320="","",ROUND(IFERROR(IF($D320="周转打冷",N(INDEX(对接源_01入库吨位!$H$5:$H$304,MATCH(INT((ROW()-5)/3)+1,对接源_01入库吨位!$S$5:$S$304,0))),IF($D320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0" s="122" t="str">
        <f t="shared" si="34"/>
        <v/>
      </c>
      <c r="H320" s="43"/>
      <c r="I320" s="107"/>
      <c r="J320" s="123" t="str">
        <f t="shared" si="35"/>
        <v/>
      </c>
      <c r="K320" s="76" t="str">
        <f t="shared" si="36"/>
        <v/>
      </c>
      <c r="L320" s="43"/>
      <c r="M320" s="7"/>
      <c r="N320" s="106"/>
      <c r="R320" s="3" t="str">
        <f t="shared" si="37"/>
        <v/>
      </c>
      <c r="S320" s="3">
        <f t="shared" si="38"/>
        <v>0</v>
      </c>
      <c r="T320" s="3">
        <f t="shared" si="39"/>
        <v>13</v>
      </c>
    </row>
    <row r="321" spans="1:20">
      <c r="A321" s="74" t="str">
        <f t="shared" si="32"/>
        <v/>
      </c>
      <c r="B321" s="75" t="str">
        <f>IFERROR(INDEX(对接源_01入库吨位!$B$5:$B$304,MATCH(INT((ROW()-5)/3)+1,对接源_01入库吨位!$S$5:$S$304,0)),"")</f>
        <v/>
      </c>
      <c r="C321" s="75" t="str">
        <f>IFERROR(INDEX(对接源_01入库吨位!$C$5:$C$304,MATCH(INT((ROW()-5)/3)+1,对接源_01入库吨位!$S$5:$S$304,0)),"")</f>
        <v/>
      </c>
      <c r="D321" s="89" t="str">
        <f t="shared" si="33"/>
        <v/>
      </c>
      <c r="E321" s="42" t="str">
        <f>IF($B321="","",IFERROR(IF($D321="周转打冷",N(INDEX(对接源_01入库吨位!$D$5:$D$304,MATCH(INT((ROW()-5)/3)+1,对接源_01入库吨位!$S$5:$S$304,0))),IF($D321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1" s="76" t="str">
        <f>IF($B321="","",ROUND(IFERROR(IF($D321="周转打冷",N(INDEX(对接源_01入库吨位!$H$5:$H$304,MATCH(INT((ROW()-5)/3)+1,对接源_01入库吨位!$S$5:$S$304,0))),IF($D321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1" s="122" t="str">
        <f t="shared" si="34"/>
        <v/>
      </c>
      <c r="H321" s="43"/>
      <c r="I321" s="107"/>
      <c r="J321" s="123" t="str">
        <f t="shared" si="35"/>
        <v/>
      </c>
      <c r="K321" s="76" t="str">
        <f t="shared" si="36"/>
        <v/>
      </c>
      <c r="L321" s="43"/>
      <c r="M321" s="7"/>
      <c r="N321" s="106"/>
      <c r="R321" s="3" t="str">
        <f t="shared" si="37"/>
        <v/>
      </c>
      <c r="S321" s="3">
        <f t="shared" si="38"/>
        <v>0</v>
      </c>
      <c r="T321" s="3">
        <f t="shared" si="39"/>
        <v>13</v>
      </c>
    </row>
    <row r="322" spans="1:20">
      <c r="A322" s="74" t="str">
        <f t="shared" si="32"/>
        <v/>
      </c>
      <c r="B322" s="75" t="str">
        <f>IFERROR(INDEX(对接源_01入库吨位!$B$5:$B$304,MATCH(INT((ROW()-5)/3)+1,对接源_01入库吨位!$S$5:$S$304,0)),"")</f>
        <v/>
      </c>
      <c r="C322" s="75" t="str">
        <f>IFERROR(INDEX(对接源_01入库吨位!$C$5:$C$304,MATCH(INT((ROW()-5)/3)+1,对接源_01入库吨位!$S$5:$S$304,0)),"")</f>
        <v/>
      </c>
      <c r="D322" s="89" t="str">
        <f t="shared" si="33"/>
        <v/>
      </c>
      <c r="E322" s="42" t="str">
        <f>IF($B322="","",IFERROR(IF($D322="周转打冷",N(INDEX(对接源_01入库吨位!$D$5:$D$304,MATCH(INT((ROW()-5)/3)+1,对接源_01入库吨位!$S$5:$S$304,0))),IF($D322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2" s="76" t="str">
        <f>IF($B322="","",ROUND(IFERROR(IF($D322="周转打冷",N(INDEX(对接源_01入库吨位!$H$5:$H$304,MATCH(INT((ROW()-5)/3)+1,对接源_01入库吨位!$S$5:$S$304,0))),IF($D322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2" s="122" t="str">
        <f t="shared" si="34"/>
        <v/>
      </c>
      <c r="H322" s="43"/>
      <c r="I322" s="107"/>
      <c r="J322" s="123" t="str">
        <f t="shared" si="35"/>
        <v/>
      </c>
      <c r="K322" s="76" t="str">
        <f t="shared" si="36"/>
        <v/>
      </c>
      <c r="L322" s="43"/>
      <c r="M322" s="7"/>
      <c r="N322" s="106"/>
      <c r="R322" s="3" t="str">
        <f t="shared" si="37"/>
        <v/>
      </c>
      <c r="S322" s="3">
        <f t="shared" si="38"/>
        <v>0</v>
      </c>
      <c r="T322" s="3">
        <f t="shared" si="39"/>
        <v>13</v>
      </c>
    </row>
    <row r="323" spans="1:20">
      <c r="A323" s="74" t="str">
        <f t="shared" si="32"/>
        <v/>
      </c>
      <c r="B323" s="75" t="str">
        <f>IFERROR(INDEX(对接源_01入库吨位!$B$5:$B$304,MATCH(INT((ROW()-5)/3)+1,对接源_01入库吨位!$S$5:$S$304,0)),"")</f>
        <v/>
      </c>
      <c r="C323" s="75" t="str">
        <f>IFERROR(INDEX(对接源_01入库吨位!$C$5:$C$304,MATCH(INT((ROW()-5)/3)+1,对接源_01入库吨位!$S$5:$S$304,0)),"")</f>
        <v/>
      </c>
      <c r="D323" s="89" t="str">
        <f t="shared" si="33"/>
        <v/>
      </c>
      <c r="E323" s="42" t="str">
        <f>IF($B323="","",IFERROR(IF($D323="周转打冷",N(INDEX(对接源_01入库吨位!$D$5:$D$304,MATCH(INT((ROW()-5)/3)+1,对接源_01入库吨位!$S$5:$S$304,0))),IF($D323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3" s="76" t="str">
        <f>IF($B323="","",ROUND(IFERROR(IF($D323="周转打冷",N(INDEX(对接源_01入库吨位!$H$5:$H$304,MATCH(INT((ROW()-5)/3)+1,对接源_01入库吨位!$S$5:$S$304,0))),IF($D323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3" s="122" t="str">
        <f t="shared" si="34"/>
        <v/>
      </c>
      <c r="H323" s="43"/>
      <c r="I323" s="107"/>
      <c r="J323" s="123" t="str">
        <f t="shared" si="35"/>
        <v/>
      </c>
      <c r="K323" s="76" t="str">
        <f t="shared" si="36"/>
        <v/>
      </c>
      <c r="L323" s="43"/>
      <c r="M323" s="7"/>
      <c r="N323" s="106"/>
      <c r="R323" s="3" t="str">
        <f t="shared" si="37"/>
        <v/>
      </c>
      <c r="S323" s="3">
        <f t="shared" si="38"/>
        <v>0</v>
      </c>
      <c r="T323" s="3">
        <f t="shared" si="39"/>
        <v>13</v>
      </c>
    </row>
    <row r="324" spans="1:20">
      <c r="A324" s="74" t="str">
        <f t="shared" si="32"/>
        <v/>
      </c>
      <c r="B324" s="75" t="str">
        <f>IFERROR(INDEX(对接源_01入库吨位!$B$5:$B$304,MATCH(INT((ROW()-5)/3)+1,对接源_01入库吨位!$S$5:$S$304,0)),"")</f>
        <v/>
      </c>
      <c r="C324" s="75" t="str">
        <f>IFERROR(INDEX(对接源_01入库吨位!$C$5:$C$304,MATCH(INT((ROW()-5)/3)+1,对接源_01入库吨位!$S$5:$S$304,0)),"")</f>
        <v/>
      </c>
      <c r="D324" s="89" t="str">
        <f t="shared" si="33"/>
        <v/>
      </c>
      <c r="E324" s="42" t="str">
        <f>IF($B324="","",IFERROR(IF($D324="周转打冷",N(INDEX(对接源_01入库吨位!$D$5:$D$304,MATCH(INT((ROW()-5)/3)+1,对接源_01入库吨位!$S$5:$S$304,0))),IF($D324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4" s="76" t="str">
        <f>IF($B324="","",ROUND(IFERROR(IF($D324="周转打冷",N(INDEX(对接源_01入库吨位!$H$5:$H$304,MATCH(INT((ROW()-5)/3)+1,对接源_01入库吨位!$S$5:$S$304,0))),IF($D324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4" s="122" t="str">
        <f t="shared" si="34"/>
        <v/>
      </c>
      <c r="H324" s="43"/>
      <c r="I324" s="107"/>
      <c r="J324" s="123" t="str">
        <f t="shared" si="35"/>
        <v/>
      </c>
      <c r="K324" s="76" t="str">
        <f t="shared" si="36"/>
        <v/>
      </c>
      <c r="L324" s="43"/>
      <c r="M324" s="7"/>
      <c r="N324" s="106"/>
      <c r="R324" s="3" t="str">
        <f t="shared" si="37"/>
        <v/>
      </c>
      <c r="S324" s="3">
        <f t="shared" si="38"/>
        <v>0</v>
      </c>
      <c r="T324" s="3">
        <f t="shared" si="39"/>
        <v>13</v>
      </c>
    </row>
    <row r="325" spans="1:20">
      <c r="A325" s="74" t="str">
        <f t="shared" ref="A325:A388" si="40">IF($B325="","",ROW()-4)</f>
        <v/>
      </c>
      <c r="B325" s="75" t="str">
        <f>IFERROR(INDEX(对接源_01入库吨位!$B$5:$B$304,MATCH(INT((ROW()-5)/3)+1,对接源_01入库吨位!$S$5:$S$304,0)),"")</f>
        <v/>
      </c>
      <c r="C325" s="75" t="str">
        <f>IFERROR(INDEX(对接源_01入库吨位!$C$5:$C$304,MATCH(INT((ROW()-5)/3)+1,对接源_01入库吨位!$S$5:$S$304,0)),"")</f>
        <v/>
      </c>
      <c r="D325" s="89" t="str">
        <f t="shared" ref="D325:D388" si="41">IF($B325="","",IF(MOD(ROW()-5,3)=0,"周转打冷",IF(MOD(ROW()-5,3)=1,"仓储加工","装卸费")))</f>
        <v/>
      </c>
      <c r="E325" s="42" t="str">
        <f>IF($B325="","",IFERROR(IF($D325="周转打冷",N(INDEX(对接源_01入库吨位!$D$5:$D$304,MATCH(INT((ROW()-5)/3)+1,对接源_01入库吨位!$S$5:$S$304,0))),IF($D325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5" s="76" t="str">
        <f>IF($B325="","",ROUND(IFERROR(IF($D325="周转打冷",N(INDEX(对接源_01入库吨位!$H$5:$H$304,MATCH(INT((ROW()-5)/3)+1,对接源_01入库吨位!$S$5:$S$304,0))),IF($D325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5" s="122" t="str">
        <f t="shared" ref="G325:G388" si="42">IF($B325="","",ROUND(N($F325)/1000,3))</f>
        <v/>
      </c>
      <c r="H325" s="43"/>
      <c r="I325" s="107"/>
      <c r="J325" s="123" t="str">
        <f t="shared" ref="J325:J388" si="43">IF($B325="","",IF($H325="按筐数×单价",N($E325),IF($H325="按总重KG×单价",N($F325),IF($H325="按吨位×单价",N($G325),0))))</f>
        <v/>
      </c>
      <c r="K325" s="76" t="str">
        <f t="shared" ref="K325:K388" si="44">IF($B325="","",ROUND(N($J325)*N($I325),2))</f>
        <v/>
      </c>
      <c r="L325" s="43"/>
      <c r="M325" s="7"/>
      <c r="N325" s="106"/>
      <c r="R325" s="3" t="str">
        <f t="shared" ref="R325:R388" si="45">IF($B325="","",$B325)</f>
        <v/>
      </c>
      <c r="S325" s="3">
        <f t="shared" ref="S325:S388" si="46">IF($R325="",0,IF(MATCH($R325,$R$5:$R$904,0)=ROW()-4,1,0))</f>
        <v>0</v>
      </c>
      <c r="T325" s="3">
        <f t="shared" ref="T325:T388" si="47">N(T324)+$S325</f>
        <v>13</v>
      </c>
    </row>
    <row r="326" spans="1:20">
      <c r="A326" s="74" t="str">
        <f t="shared" si="40"/>
        <v/>
      </c>
      <c r="B326" s="75" t="str">
        <f>IFERROR(INDEX(对接源_01入库吨位!$B$5:$B$304,MATCH(INT((ROW()-5)/3)+1,对接源_01入库吨位!$S$5:$S$304,0)),"")</f>
        <v/>
      </c>
      <c r="C326" s="75" t="str">
        <f>IFERROR(INDEX(对接源_01入库吨位!$C$5:$C$304,MATCH(INT((ROW()-5)/3)+1,对接源_01入库吨位!$S$5:$S$304,0)),"")</f>
        <v/>
      </c>
      <c r="D326" s="89" t="str">
        <f t="shared" si="41"/>
        <v/>
      </c>
      <c r="E326" s="42" t="str">
        <f>IF($B326="","",IFERROR(IF($D326="周转打冷",N(INDEX(对接源_01入库吨位!$D$5:$D$304,MATCH(INT((ROW()-5)/3)+1,对接源_01入库吨位!$S$5:$S$304,0))),IF($D326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6" s="76" t="str">
        <f>IF($B326="","",ROUND(IFERROR(IF($D326="周转打冷",N(INDEX(对接源_01入库吨位!$H$5:$H$304,MATCH(INT((ROW()-5)/3)+1,对接源_01入库吨位!$S$5:$S$304,0))),IF($D326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6" s="122" t="str">
        <f t="shared" si="42"/>
        <v/>
      </c>
      <c r="H326" s="43"/>
      <c r="I326" s="107"/>
      <c r="J326" s="123" t="str">
        <f t="shared" si="43"/>
        <v/>
      </c>
      <c r="K326" s="76" t="str">
        <f t="shared" si="44"/>
        <v/>
      </c>
      <c r="L326" s="43"/>
      <c r="M326" s="7"/>
      <c r="N326" s="106"/>
      <c r="R326" s="3" t="str">
        <f t="shared" si="45"/>
        <v/>
      </c>
      <c r="S326" s="3">
        <f t="shared" si="46"/>
        <v>0</v>
      </c>
      <c r="T326" s="3">
        <f t="shared" si="47"/>
        <v>13</v>
      </c>
    </row>
    <row r="327" spans="1:20">
      <c r="A327" s="74" t="str">
        <f t="shared" si="40"/>
        <v/>
      </c>
      <c r="B327" s="75" t="str">
        <f>IFERROR(INDEX(对接源_01入库吨位!$B$5:$B$304,MATCH(INT((ROW()-5)/3)+1,对接源_01入库吨位!$S$5:$S$304,0)),"")</f>
        <v/>
      </c>
      <c r="C327" s="75" t="str">
        <f>IFERROR(INDEX(对接源_01入库吨位!$C$5:$C$304,MATCH(INT((ROW()-5)/3)+1,对接源_01入库吨位!$S$5:$S$304,0)),"")</f>
        <v/>
      </c>
      <c r="D327" s="89" t="str">
        <f t="shared" si="41"/>
        <v/>
      </c>
      <c r="E327" s="42" t="str">
        <f>IF($B327="","",IFERROR(IF($D327="周转打冷",N(INDEX(对接源_01入库吨位!$D$5:$D$304,MATCH(INT((ROW()-5)/3)+1,对接源_01入库吨位!$S$5:$S$304,0))),IF($D327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7" s="76" t="str">
        <f>IF($B327="","",ROUND(IFERROR(IF($D327="周转打冷",N(INDEX(对接源_01入库吨位!$H$5:$H$304,MATCH(INT((ROW()-5)/3)+1,对接源_01入库吨位!$S$5:$S$304,0))),IF($D327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7" s="122" t="str">
        <f t="shared" si="42"/>
        <v/>
      </c>
      <c r="H327" s="43"/>
      <c r="I327" s="107"/>
      <c r="J327" s="123" t="str">
        <f t="shared" si="43"/>
        <v/>
      </c>
      <c r="K327" s="76" t="str">
        <f t="shared" si="44"/>
        <v/>
      </c>
      <c r="L327" s="43"/>
      <c r="M327" s="7"/>
      <c r="N327" s="106"/>
      <c r="R327" s="3" t="str">
        <f t="shared" si="45"/>
        <v/>
      </c>
      <c r="S327" s="3">
        <f t="shared" si="46"/>
        <v>0</v>
      </c>
      <c r="T327" s="3">
        <f t="shared" si="47"/>
        <v>13</v>
      </c>
    </row>
    <row r="328" spans="1:20">
      <c r="A328" s="74" t="str">
        <f t="shared" si="40"/>
        <v/>
      </c>
      <c r="B328" s="75" t="str">
        <f>IFERROR(INDEX(对接源_01入库吨位!$B$5:$B$304,MATCH(INT((ROW()-5)/3)+1,对接源_01入库吨位!$S$5:$S$304,0)),"")</f>
        <v/>
      </c>
      <c r="C328" s="75" t="str">
        <f>IFERROR(INDEX(对接源_01入库吨位!$C$5:$C$304,MATCH(INT((ROW()-5)/3)+1,对接源_01入库吨位!$S$5:$S$304,0)),"")</f>
        <v/>
      </c>
      <c r="D328" s="89" t="str">
        <f t="shared" si="41"/>
        <v/>
      </c>
      <c r="E328" s="42" t="str">
        <f>IF($B328="","",IFERROR(IF($D328="周转打冷",N(INDEX(对接源_01入库吨位!$D$5:$D$304,MATCH(INT((ROW()-5)/3)+1,对接源_01入库吨位!$S$5:$S$304,0))),IF($D328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8" s="76" t="str">
        <f>IF($B328="","",ROUND(IFERROR(IF($D328="周转打冷",N(INDEX(对接源_01入库吨位!$H$5:$H$304,MATCH(INT((ROW()-5)/3)+1,对接源_01入库吨位!$S$5:$S$304,0))),IF($D328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8" s="122" t="str">
        <f t="shared" si="42"/>
        <v/>
      </c>
      <c r="H328" s="43"/>
      <c r="I328" s="107"/>
      <c r="J328" s="123" t="str">
        <f t="shared" si="43"/>
        <v/>
      </c>
      <c r="K328" s="76" t="str">
        <f t="shared" si="44"/>
        <v/>
      </c>
      <c r="L328" s="43"/>
      <c r="M328" s="7"/>
      <c r="N328" s="106"/>
      <c r="R328" s="3" t="str">
        <f t="shared" si="45"/>
        <v/>
      </c>
      <c r="S328" s="3">
        <f t="shared" si="46"/>
        <v>0</v>
      </c>
      <c r="T328" s="3">
        <f t="shared" si="47"/>
        <v>13</v>
      </c>
    </row>
    <row r="329" spans="1:20">
      <c r="A329" s="74" t="str">
        <f t="shared" si="40"/>
        <v/>
      </c>
      <c r="B329" s="75" t="str">
        <f>IFERROR(INDEX(对接源_01入库吨位!$B$5:$B$304,MATCH(INT((ROW()-5)/3)+1,对接源_01入库吨位!$S$5:$S$304,0)),"")</f>
        <v/>
      </c>
      <c r="C329" s="75" t="str">
        <f>IFERROR(INDEX(对接源_01入库吨位!$C$5:$C$304,MATCH(INT((ROW()-5)/3)+1,对接源_01入库吨位!$S$5:$S$304,0)),"")</f>
        <v/>
      </c>
      <c r="D329" s="89" t="str">
        <f t="shared" si="41"/>
        <v/>
      </c>
      <c r="E329" s="42" t="str">
        <f>IF($B329="","",IFERROR(IF($D329="周转打冷",N(INDEX(对接源_01入库吨位!$D$5:$D$304,MATCH(INT((ROW()-5)/3)+1,对接源_01入库吨位!$S$5:$S$304,0))),IF($D329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9" s="76" t="str">
        <f>IF($B329="","",ROUND(IFERROR(IF($D329="周转打冷",N(INDEX(对接源_01入库吨位!$H$5:$H$304,MATCH(INT((ROW()-5)/3)+1,对接源_01入库吨位!$S$5:$S$304,0))),IF($D329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9" s="122" t="str">
        <f t="shared" si="42"/>
        <v/>
      </c>
      <c r="H329" s="43"/>
      <c r="I329" s="107"/>
      <c r="J329" s="123" t="str">
        <f t="shared" si="43"/>
        <v/>
      </c>
      <c r="K329" s="76" t="str">
        <f t="shared" si="44"/>
        <v/>
      </c>
      <c r="L329" s="43"/>
      <c r="M329" s="7"/>
      <c r="N329" s="106"/>
      <c r="R329" s="3" t="str">
        <f t="shared" si="45"/>
        <v/>
      </c>
      <c r="S329" s="3">
        <f t="shared" si="46"/>
        <v>0</v>
      </c>
      <c r="T329" s="3">
        <f t="shared" si="47"/>
        <v>13</v>
      </c>
    </row>
    <row r="330" spans="1:20">
      <c r="A330" s="74" t="str">
        <f t="shared" si="40"/>
        <v/>
      </c>
      <c r="B330" s="75" t="str">
        <f>IFERROR(INDEX(对接源_01入库吨位!$B$5:$B$304,MATCH(INT((ROW()-5)/3)+1,对接源_01入库吨位!$S$5:$S$304,0)),"")</f>
        <v/>
      </c>
      <c r="C330" s="75" t="str">
        <f>IFERROR(INDEX(对接源_01入库吨位!$C$5:$C$304,MATCH(INT((ROW()-5)/3)+1,对接源_01入库吨位!$S$5:$S$304,0)),"")</f>
        <v/>
      </c>
      <c r="D330" s="89" t="str">
        <f t="shared" si="41"/>
        <v/>
      </c>
      <c r="E330" s="42" t="str">
        <f>IF($B330="","",IFERROR(IF($D330="周转打冷",N(INDEX(对接源_01入库吨位!$D$5:$D$304,MATCH(INT((ROW()-5)/3)+1,对接源_01入库吨位!$S$5:$S$304,0))),IF($D330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0" s="76" t="str">
        <f>IF($B330="","",ROUND(IFERROR(IF($D330="周转打冷",N(INDEX(对接源_01入库吨位!$H$5:$H$304,MATCH(INT((ROW()-5)/3)+1,对接源_01入库吨位!$S$5:$S$304,0))),IF($D330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0" s="122" t="str">
        <f t="shared" si="42"/>
        <v/>
      </c>
      <c r="H330" s="43"/>
      <c r="I330" s="107"/>
      <c r="J330" s="123" t="str">
        <f t="shared" si="43"/>
        <v/>
      </c>
      <c r="K330" s="76" t="str">
        <f t="shared" si="44"/>
        <v/>
      </c>
      <c r="L330" s="43"/>
      <c r="M330" s="7"/>
      <c r="N330" s="106"/>
      <c r="R330" s="3" t="str">
        <f t="shared" si="45"/>
        <v/>
      </c>
      <c r="S330" s="3">
        <f t="shared" si="46"/>
        <v>0</v>
      </c>
      <c r="T330" s="3">
        <f t="shared" si="47"/>
        <v>13</v>
      </c>
    </row>
    <row r="331" spans="1:20">
      <c r="A331" s="74" t="str">
        <f t="shared" si="40"/>
        <v/>
      </c>
      <c r="B331" s="75" t="str">
        <f>IFERROR(INDEX(对接源_01入库吨位!$B$5:$B$304,MATCH(INT((ROW()-5)/3)+1,对接源_01入库吨位!$S$5:$S$304,0)),"")</f>
        <v/>
      </c>
      <c r="C331" s="75" t="str">
        <f>IFERROR(INDEX(对接源_01入库吨位!$C$5:$C$304,MATCH(INT((ROW()-5)/3)+1,对接源_01入库吨位!$S$5:$S$304,0)),"")</f>
        <v/>
      </c>
      <c r="D331" s="89" t="str">
        <f t="shared" si="41"/>
        <v/>
      </c>
      <c r="E331" s="42" t="str">
        <f>IF($B331="","",IFERROR(IF($D331="周转打冷",N(INDEX(对接源_01入库吨位!$D$5:$D$304,MATCH(INT((ROW()-5)/3)+1,对接源_01入库吨位!$S$5:$S$304,0))),IF($D331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1" s="76" t="str">
        <f>IF($B331="","",ROUND(IFERROR(IF($D331="周转打冷",N(INDEX(对接源_01入库吨位!$H$5:$H$304,MATCH(INT((ROW()-5)/3)+1,对接源_01入库吨位!$S$5:$S$304,0))),IF($D331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1" s="122" t="str">
        <f t="shared" si="42"/>
        <v/>
      </c>
      <c r="H331" s="43"/>
      <c r="I331" s="107"/>
      <c r="J331" s="123" t="str">
        <f t="shared" si="43"/>
        <v/>
      </c>
      <c r="K331" s="76" t="str">
        <f t="shared" si="44"/>
        <v/>
      </c>
      <c r="L331" s="43"/>
      <c r="M331" s="7"/>
      <c r="N331" s="106"/>
      <c r="R331" s="3" t="str">
        <f t="shared" si="45"/>
        <v/>
      </c>
      <c r="S331" s="3">
        <f t="shared" si="46"/>
        <v>0</v>
      </c>
      <c r="T331" s="3">
        <f t="shared" si="47"/>
        <v>13</v>
      </c>
    </row>
    <row r="332" spans="1:20">
      <c r="A332" s="74" t="str">
        <f t="shared" si="40"/>
        <v/>
      </c>
      <c r="B332" s="75" t="str">
        <f>IFERROR(INDEX(对接源_01入库吨位!$B$5:$B$304,MATCH(INT((ROW()-5)/3)+1,对接源_01入库吨位!$S$5:$S$304,0)),"")</f>
        <v/>
      </c>
      <c r="C332" s="75" t="str">
        <f>IFERROR(INDEX(对接源_01入库吨位!$C$5:$C$304,MATCH(INT((ROW()-5)/3)+1,对接源_01入库吨位!$S$5:$S$304,0)),"")</f>
        <v/>
      </c>
      <c r="D332" s="89" t="str">
        <f t="shared" si="41"/>
        <v/>
      </c>
      <c r="E332" s="42" t="str">
        <f>IF($B332="","",IFERROR(IF($D332="周转打冷",N(INDEX(对接源_01入库吨位!$D$5:$D$304,MATCH(INT((ROW()-5)/3)+1,对接源_01入库吨位!$S$5:$S$304,0))),IF($D332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2" s="76" t="str">
        <f>IF($B332="","",ROUND(IFERROR(IF($D332="周转打冷",N(INDEX(对接源_01入库吨位!$H$5:$H$304,MATCH(INT((ROW()-5)/3)+1,对接源_01入库吨位!$S$5:$S$304,0))),IF($D332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2" s="122" t="str">
        <f t="shared" si="42"/>
        <v/>
      </c>
      <c r="H332" s="43"/>
      <c r="I332" s="107"/>
      <c r="J332" s="123" t="str">
        <f t="shared" si="43"/>
        <v/>
      </c>
      <c r="K332" s="76" t="str">
        <f t="shared" si="44"/>
        <v/>
      </c>
      <c r="L332" s="43"/>
      <c r="M332" s="7"/>
      <c r="N332" s="106"/>
      <c r="R332" s="3" t="str">
        <f t="shared" si="45"/>
        <v/>
      </c>
      <c r="S332" s="3">
        <f t="shared" si="46"/>
        <v>0</v>
      </c>
      <c r="T332" s="3">
        <f t="shared" si="47"/>
        <v>13</v>
      </c>
    </row>
    <row r="333" spans="1:20">
      <c r="A333" s="74" t="str">
        <f t="shared" si="40"/>
        <v/>
      </c>
      <c r="B333" s="75" t="str">
        <f>IFERROR(INDEX(对接源_01入库吨位!$B$5:$B$304,MATCH(INT((ROW()-5)/3)+1,对接源_01入库吨位!$S$5:$S$304,0)),"")</f>
        <v/>
      </c>
      <c r="C333" s="75" t="str">
        <f>IFERROR(INDEX(对接源_01入库吨位!$C$5:$C$304,MATCH(INT((ROW()-5)/3)+1,对接源_01入库吨位!$S$5:$S$304,0)),"")</f>
        <v/>
      </c>
      <c r="D333" s="89" t="str">
        <f t="shared" si="41"/>
        <v/>
      </c>
      <c r="E333" s="42" t="str">
        <f>IF($B333="","",IFERROR(IF($D333="周转打冷",N(INDEX(对接源_01入库吨位!$D$5:$D$304,MATCH(INT((ROW()-5)/3)+1,对接源_01入库吨位!$S$5:$S$304,0))),IF($D333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3" s="76" t="str">
        <f>IF($B333="","",ROUND(IFERROR(IF($D333="周转打冷",N(INDEX(对接源_01入库吨位!$H$5:$H$304,MATCH(INT((ROW()-5)/3)+1,对接源_01入库吨位!$S$5:$S$304,0))),IF($D333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3" s="122" t="str">
        <f t="shared" si="42"/>
        <v/>
      </c>
      <c r="H333" s="43"/>
      <c r="I333" s="107"/>
      <c r="J333" s="123" t="str">
        <f t="shared" si="43"/>
        <v/>
      </c>
      <c r="K333" s="76" t="str">
        <f t="shared" si="44"/>
        <v/>
      </c>
      <c r="L333" s="43"/>
      <c r="M333" s="7"/>
      <c r="N333" s="106"/>
      <c r="R333" s="3" t="str">
        <f t="shared" si="45"/>
        <v/>
      </c>
      <c r="S333" s="3">
        <f t="shared" si="46"/>
        <v>0</v>
      </c>
      <c r="T333" s="3">
        <f t="shared" si="47"/>
        <v>13</v>
      </c>
    </row>
    <row r="334" spans="1:20">
      <c r="A334" s="74" t="str">
        <f t="shared" si="40"/>
        <v/>
      </c>
      <c r="B334" s="75" t="str">
        <f>IFERROR(INDEX(对接源_01入库吨位!$B$5:$B$304,MATCH(INT((ROW()-5)/3)+1,对接源_01入库吨位!$S$5:$S$304,0)),"")</f>
        <v/>
      </c>
      <c r="C334" s="75" t="str">
        <f>IFERROR(INDEX(对接源_01入库吨位!$C$5:$C$304,MATCH(INT((ROW()-5)/3)+1,对接源_01入库吨位!$S$5:$S$304,0)),"")</f>
        <v/>
      </c>
      <c r="D334" s="89" t="str">
        <f t="shared" si="41"/>
        <v/>
      </c>
      <c r="E334" s="42" t="str">
        <f>IF($B334="","",IFERROR(IF($D334="周转打冷",N(INDEX(对接源_01入库吨位!$D$5:$D$304,MATCH(INT((ROW()-5)/3)+1,对接源_01入库吨位!$S$5:$S$304,0))),IF($D334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4" s="76" t="str">
        <f>IF($B334="","",ROUND(IFERROR(IF($D334="周转打冷",N(INDEX(对接源_01入库吨位!$H$5:$H$304,MATCH(INT((ROW()-5)/3)+1,对接源_01入库吨位!$S$5:$S$304,0))),IF($D334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4" s="122" t="str">
        <f t="shared" si="42"/>
        <v/>
      </c>
      <c r="H334" s="43"/>
      <c r="I334" s="107"/>
      <c r="J334" s="123" t="str">
        <f t="shared" si="43"/>
        <v/>
      </c>
      <c r="K334" s="76" t="str">
        <f t="shared" si="44"/>
        <v/>
      </c>
      <c r="L334" s="43"/>
      <c r="M334" s="7"/>
      <c r="N334" s="106"/>
      <c r="R334" s="3" t="str">
        <f t="shared" si="45"/>
        <v/>
      </c>
      <c r="S334" s="3">
        <f t="shared" si="46"/>
        <v>0</v>
      </c>
      <c r="T334" s="3">
        <f t="shared" si="47"/>
        <v>13</v>
      </c>
    </row>
    <row r="335" spans="1:20">
      <c r="A335" s="74" t="str">
        <f t="shared" si="40"/>
        <v/>
      </c>
      <c r="B335" s="75" t="str">
        <f>IFERROR(INDEX(对接源_01入库吨位!$B$5:$B$304,MATCH(INT((ROW()-5)/3)+1,对接源_01入库吨位!$S$5:$S$304,0)),"")</f>
        <v/>
      </c>
      <c r="C335" s="75" t="str">
        <f>IFERROR(INDEX(对接源_01入库吨位!$C$5:$C$304,MATCH(INT((ROW()-5)/3)+1,对接源_01入库吨位!$S$5:$S$304,0)),"")</f>
        <v/>
      </c>
      <c r="D335" s="89" t="str">
        <f t="shared" si="41"/>
        <v/>
      </c>
      <c r="E335" s="42" t="str">
        <f>IF($B335="","",IFERROR(IF($D335="周转打冷",N(INDEX(对接源_01入库吨位!$D$5:$D$304,MATCH(INT((ROW()-5)/3)+1,对接源_01入库吨位!$S$5:$S$304,0))),IF($D335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5" s="76" t="str">
        <f>IF($B335="","",ROUND(IFERROR(IF($D335="周转打冷",N(INDEX(对接源_01入库吨位!$H$5:$H$304,MATCH(INT((ROW()-5)/3)+1,对接源_01入库吨位!$S$5:$S$304,0))),IF($D335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5" s="122" t="str">
        <f t="shared" si="42"/>
        <v/>
      </c>
      <c r="H335" s="43"/>
      <c r="I335" s="107"/>
      <c r="J335" s="123" t="str">
        <f t="shared" si="43"/>
        <v/>
      </c>
      <c r="K335" s="76" t="str">
        <f t="shared" si="44"/>
        <v/>
      </c>
      <c r="L335" s="43"/>
      <c r="M335" s="7"/>
      <c r="N335" s="106"/>
      <c r="R335" s="3" t="str">
        <f t="shared" si="45"/>
        <v/>
      </c>
      <c r="S335" s="3">
        <f t="shared" si="46"/>
        <v>0</v>
      </c>
      <c r="T335" s="3">
        <f t="shared" si="47"/>
        <v>13</v>
      </c>
    </row>
    <row r="336" spans="1:20">
      <c r="A336" s="74" t="str">
        <f t="shared" si="40"/>
        <v/>
      </c>
      <c r="B336" s="75" t="str">
        <f>IFERROR(INDEX(对接源_01入库吨位!$B$5:$B$304,MATCH(INT((ROW()-5)/3)+1,对接源_01入库吨位!$S$5:$S$304,0)),"")</f>
        <v/>
      </c>
      <c r="C336" s="75" t="str">
        <f>IFERROR(INDEX(对接源_01入库吨位!$C$5:$C$304,MATCH(INT((ROW()-5)/3)+1,对接源_01入库吨位!$S$5:$S$304,0)),"")</f>
        <v/>
      </c>
      <c r="D336" s="89" t="str">
        <f t="shared" si="41"/>
        <v/>
      </c>
      <c r="E336" s="42" t="str">
        <f>IF($B336="","",IFERROR(IF($D336="周转打冷",N(INDEX(对接源_01入库吨位!$D$5:$D$304,MATCH(INT((ROW()-5)/3)+1,对接源_01入库吨位!$S$5:$S$304,0))),IF($D336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6" s="76" t="str">
        <f>IF($B336="","",ROUND(IFERROR(IF($D336="周转打冷",N(INDEX(对接源_01入库吨位!$H$5:$H$304,MATCH(INT((ROW()-5)/3)+1,对接源_01入库吨位!$S$5:$S$304,0))),IF($D336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6" s="122" t="str">
        <f t="shared" si="42"/>
        <v/>
      </c>
      <c r="H336" s="43"/>
      <c r="I336" s="107"/>
      <c r="J336" s="123" t="str">
        <f t="shared" si="43"/>
        <v/>
      </c>
      <c r="K336" s="76" t="str">
        <f t="shared" si="44"/>
        <v/>
      </c>
      <c r="L336" s="43"/>
      <c r="M336" s="7"/>
      <c r="N336" s="106"/>
      <c r="R336" s="3" t="str">
        <f t="shared" si="45"/>
        <v/>
      </c>
      <c r="S336" s="3">
        <f t="shared" si="46"/>
        <v>0</v>
      </c>
      <c r="T336" s="3">
        <f t="shared" si="47"/>
        <v>13</v>
      </c>
    </row>
    <row r="337" spans="1:20">
      <c r="A337" s="74" t="str">
        <f t="shared" si="40"/>
        <v/>
      </c>
      <c r="B337" s="75" t="str">
        <f>IFERROR(INDEX(对接源_01入库吨位!$B$5:$B$304,MATCH(INT((ROW()-5)/3)+1,对接源_01入库吨位!$S$5:$S$304,0)),"")</f>
        <v/>
      </c>
      <c r="C337" s="75" t="str">
        <f>IFERROR(INDEX(对接源_01入库吨位!$C$5:$C$304,MATCH(INT((ROW()-5)/3)+1,对接源_01入库吨位!$S$5:$S$304,0)),"")</f>
        <v/>
      </c>
      <c r="D337" s="89" t="str">
        <f t="shared" si="41"/>
        <v/>
      </c>
      <c r="E337" s="42" t="str">
        <f>IF($B337="","",IFERROR(IF($D337="周转打冷",N(INDEX(对接源_01入库吨位!$D$5:$D$304,MATCH(INT((ROW()-5)/3)+1,对接源_01入库吨位!$S$5:$S$304,0))),IF($D337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7" s="76" t="str">
        <f>IF($B337="","",ROUND(IFERROR(IF($D337="周转打冷",N(INDEX(对接源_01入库吨位!$H$5:$H$304,MATCH(INT((ROW()-5)/3)+1,对接源_01入库吨位!$S$5:$S$304,0))),IF($D337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7" s="122" t="str">
        <f t="shared" si="42"/>
        <v/>
      </c>
      <c r="H337" s="43"/>
      <c r="I337" s="107"/>
      <c r="J337" s="123" t="str">
        <f t="shared" si="43"/>
        <v/>
      </c>
      <c r="K337" s="76" t="str">
        <f t="shared" si="44"/>
        <v/>
      </c>
      <c r="L337" s="43"/>
      <c r="M337" s="7"/>
      <c r="N337" s="106"/>
      <c r="R337" s="3" t="str">
        <f t="shared" si="45"/>
        <v/>
      </c>
      <c r="S337" s="3">
        <f t="shared" si="46"/>
        <v>0</v>
      </c>
      <c r="T337" s="3">
        <f t="shared" si="47"/>
        <v>13</v>
      </c>
    </row>
    <row r="338" spans="1:20">
      <c r="A338" s="74" t="str">
        <f t="shared" si="40"/>
        <v/>
      </c>
      <c r="B338" s="75" t="str">
        <f>IFERROR(INDEX(对接源_01入库吨位!$B$5:$B$304,MATCH(INT((ROW()-5)/3)+1,对接源_01入库吨位!$S$5:$S$304,0)),"")</f>
        <v/>
      </c>
      <c r="C338" s="75" t="str">
        <f>IFERROR(INDEX(对接源_01入库吨位!$C$5:$C$304,MATCH(INT((ROW()-5)/3)+1,对接源_01入库吨位!$S$5:$S$304,0)),"")</f>
        <v/>
      </c>
      <c r="D338" s="89" t="str">
        <f t="shared" si="41"/>
        <v/>
      </c>
      <c r="E338" s="42" t="str">
        <f>IF($B338="","",IFERROR(IF($D338="周转打冷",N(INDEX(对接源_01入库吨位!$D$5:$D$304,MATCH(INT((ROW()-5)/3)+1,对接源_01入库吨位!$S$5:$S$304,0))),IF($D338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8" s="76" t="str">
        <f>IF($B338="","",ROUND(IFERROR(IF($D338="周转打冷",N(INDEX(对接源_01入库吨位!$H$5:$H$304,MATCH(INT((ROW()-5)/3)+1,对接源_01入库吨位!$S$5:$S$304,0))),IF($D338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8" s="122" t="str">
        <f t="shared" si="42"/>
        <v/>
      </c>
      <c r="H338" s="43"/>
      <c r="I338" s="107"/>
      <c r="J338" s="123" t="str">
        <f t="shared" si="43"/>
        <v/>
      </c>
      <c r="K338" s="76" t="str">
        <f t="shared" si="44"/>
        <v/>
      </c>
      <c r="L338" s="43"/>
      <c r="M338" s="7"/>
      <c r="N338" s="106"/>
      <c r="R338" s="3" t="str">
        <f t="shared" si="45"/>
        <v/>
      </c>
      <c r="S338" s="3">
        <f t="shared" si="46"/>
        <v>0</v>
      </c>
      <c r="T338" s="3">
        <f t="shared" si="47"/>
        <v>13</v>
      </c>
    </row>
    <row r="339" spans="1:20">
      <c r="A339" s="74" t="str">
        <f t="shared" si="40"/>
        <v/>
      </c>
      <c r="B339" s="75" t="str">
        <f>IFERROR(INDEX(对接源_01入库吨位!$B$5:$B$304,MATCH(INT((ROW()-5)/3)+1,对接源_01入库吨位!$S$5:$S$304,0)),"")</f>
        <v/>
      </c>
      <c r="C339" s="75" t="str">
        <f>IFERROR(INDEX(对接源_01入库吨位!$C$5:$C$304,MATCH(INT((ROW()-5)/3)+1,对接源_01入库吨位!$S$5:$S$304,0)),"")</f>
        <v/>
      </c>
      <c r="D339" s="89" t="str">
        <f t="shared" si="41"/>
        <v/>
      </c>
      <c r="E339" s="42" t="str">
        <f>IF($B339="","",IFERROR(IF($D339="周转打冷",N(INDEX(对接源_01入库吨位!$D$5:$D$304,MATCH(INT((ROW()-5)/3)+1,对接源_01入库吨位!$S$5:$S$304,0))),IF($D339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9" s="76" t="str">
        <f>IF($B339="","",ROUND(IFERROR(IF($D339="周转打冷",N(INDEX(对接源_01入库吨位!$H$5:$H$304,MATCH(INT((ROW()-5)/3)+1,对接源_01入库吨位!$S$5:$S$304,0))),IF($D339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9" s="122" t="str">
        <f t="shared" si="42"/>
        <v/>
      </c>
      <c r="H339" s="43"/>
      <c r="I339" s="107"/>
      <c r="J339" s="123" t="str">
        <f t="shared" si="43"/>
        <v/>
      </c>
      <c r="K339" s="76" t="str">
        <f t="shared" si="44"/>
        <v/>
      </c>
      <c r="L339" s="43"/>
      <c r="M339" s="7"/>
      <c r="N339" s="106"/>
      <c r="R339" s="3" t="str">
        <f t="shared" si="45"/>
        <v/>
      </c>
      <c r="S339" s="3">
        <f t="shared" si="46"/>
        <v>0</v>
      </c>
      <c r="T339" s="3">
        <f t="shared" si="47"/>
        <v>13</v>
      </c>
    </row>
    <row r="340" spans="1:20">
      <c r="A340" s="74" t="str">
        <f t="shared" si="40"/>
        <v/>
      </c>
      <c r="B340" s="75" t="str">
        <f>IFERROR(INDEX(对接源_01入库吨位!$B$5:$B$304,MATCH(INT((ROW()-5)/3)+1,对接源_01入库吨位!$S$5:$S$304,0)),"")</f>
        <v/>
      </c>
      <c r="C340" s="75" t="str">
        <f>IFERROR(INDEX(对接源_01入库吨位!$C$5:$C$304,MATCH(INT((ROW()-5)/3)+1,对接源_01入库吨位!$S$5:$S$304,0)),"")</f>
        <v/>
      </c>
      <c r="D340" s="89" t="str">
        <f t="shared" si="41"/>
        <v/>
      </c>
      <c r="E340" s="42" t="str">
        <f>IF($B340="","",IFERROR(IF($D340="周转打冷",N(INDEX(对接源_01入库吨位!$D$5:$D$304,MATCH(INT((ROW()-5)/3)+1,对接源_01入库吨位!$S$5:$S$304,0))),IF($D340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0" s="76" t="str">
        <f>IF($B340="","",ROUND(IFERROR(IF($D340="周转打冷",N(INDEX(对接源_01入库吨位!$H$5:$H$304,MATCH(INT((ROW()-5)/3)+1,对接源_01入库吨位!$S$5:$S$304,0))),IF($D340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0" s="122" t="str">
        <f t="shared" si="42"/>
        <v/>
      </c>
      <c r="H340" s="43"/>
      <c r="I340" s="107"/>
      <c r="J340" s="123" t="str">
        <f t="shared" si="43"/>
        <v/>
      </c>
      <c r="K340" s="76" t="str">
        <f t="shared" si="44"/>
        <v/>
      </c>
      <c r="L340" s="43"/>
      <c r="M340" s="7"/>
      <c r="N340" s="106"/>
      <c r="R340" s="3" t="str">
        <f t="shared" si="45"/>
        <v/>
      </c>
      <c r="S340" s="3">
        <f t="shared" si="46"/>
        <v>0</v>
      </c>
      <c r="T340" s="3">
        <f t="shared" si="47"/>
        <v>13</v>
      </c>
    </row>
    <row r="341" spans="1:20">
      <c r="A341" s="74" t="str">
        <f t="shared" si="40"/>
        <v/>
      </c>
      <c r="B341" s="75" t="str">
        <f>IFERROR(INDEX(对接源_01入库吨位!$B$5:$B$304,MATCH(INT((ROW()-5)/3)+1,对接源_01入库吨位!$S$5:$S$304,0)),"")</f>
        <v/>
      </c>
      <c r="C341" s="75" t="str">
        <f>IFERROR(INDEX(对接源_01入库吨位!$C$5:$C$304,MATCH(INT((ROW()-5)/3)+1,对接源_01入库吨位!$S$5:$S$304,0)),"")</f>
        <v/>
      </c>
      <c r="D341" s="89" t="str">
        <f t="shared" si="41"/>
        <v/>
      </c>
      <c r="E341" s="42" t="str">
        <f>IF($B341="","",IFERROR(IF($D341="周转打冷",N(INDEX(对接源_01入库吨位!$D$5:$D$304,MATCH(INT((ROW()-5)/3)+1,对接源_01入库吨位!$S$5:$S$304,0))),IF($D341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1" s="76" t="str">
        <f>IF($B341="","",ROUND(IFERROR(IF($D341="周转打冷",N(INDEX(对接源_01入库吨位!$H$5:$H$304,MATCH(INT((ROW()-5)/3)+1,对接源_01入库吨位!$S$5:$S$304,0))),IF($D341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1" s="122" t="str">
        <f t="shared" si="42"/>
        <v/>
      </c>
      <c r="H341" s="43"/>
      <c r="I341" s="107"/>
      <c r="J341" s="123" t="str">
        <f t="shared" si="43"/>
        <v/>
      </c>
      <c r="K341" s="76" t="str">
        <f t="shared" si="44"/>
        <v/>
      </c>
      <c r="L341" s="43"/>
      <c r="M341" s="7"/>
      <c r="N341" s="106"/>
      <c r="R341" s="3" t="str">
        <f t="shared" si="45"/>
        <v/>
      </c>
      <c r="S341" s="3">
        <f t="shared" si="46"/>
        <v>0</v>
      </c>
      <c r="T341" s="3">
        <f t="shared" si="47"/>
        <v>13</v>
      </c>
    </row>
    <row r="342" spans="1:20">
      <c r="A342" s="74" t="str">
        <f t="shared" si="40"/>
        <v/>
      </c>
      <c r="B342" s="75" t="str">
        <f>IFERROR(INDEX(对接源_01入库吨位!$B$5:$B$304,MATCH(INT((ROW()-5)/3)+1,对接源_01入库吨位!$S$5:$S$304,0)),"")</f>
        <v/>
      </c>
      <c r="C342" s="75" t="str">
        <f>IFERROR(INDEX(对接源_01入库吨位!$C$5:$C$304,MATCH(INT((ROW()-5)/3)+1,对接源_01入库吨位!$S$5:$S$304,0)),"")</f>
        <v/>
      </c>
      <c r="D342" s="89" t="str">
        <f t="shared" si="41"/>
        <v/>
      </c>
      <c r="E342" s="42" t="str">
        <f>IF($B342="","",IFERROR(IF($D342="周转打冷",N(INDEX(对接源_01入库吨位!$D$5:$D$304,MATCH(INT((ROW()-5)/3)+1,对接源_01入库吨位!$S$5:$S$304,0))),IF($D342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2" s="76" t="str">
        <f>IF($B342="","",ROUND(IFERROR(IF($D342="周转打冷",N(INDEX(对接源_01入库吨位!$H$5:$H$304,MATCH(INT((ROW()-5)/3)+1,对接源_01入库吨位!$S$5:$S$304,0))),IF($D342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2" s="122" t="str">
        <f t="shared" si="42"/>
        <v/>
      </c>
      <c r="H342" s="43"/>
      <c r="I342" s="107"/>
      <c r="J342" s="123" t="str">
        <f t="shared" si="43"/>
        <v/>
      </c>
      <c r="K342" s="76" t="str">
        <f t="shared" si="44"/>
        <v/>
      </c>
      <c r="L342" s="43"/>
      <c r="M342" s="7"/>
      <c r="N342" s="106"/>
      <c r="R342" s="3" t="str">
        <f t="shared" si="45"/>
        <v/>
      </c>
      <c r="S342" s="3">
        <f t="shared" si="46"/>
        <v>0</v>
      </c>
      <c r="T342" s="3">
        <f t="shared" si="47"/>
        <v>13</v>
      </c>
    </row>
    <row r="343" spans="1:20">
      <c r="A343" s="74" t="str">
        <f t="shared" si="40"/>
        <v/>
      </c>
      <c r="B343" s="75" t="str">
        <f>IFERROR(INDEX(对接源_01入库吨位!$B$5:$B$304,MATCH(INT((ROW()-5)/3)+1,对接源_01入库吨位!$S$5:$S$304,0)),"")</f>
        <v/>
      </c>
      <c r="C343" s="75" t="str">
        <f>IFERROR(INDEX(对接源_01入库吨位!$C$5:$C$304,MATCH(INT((ROW()-5)/3)+1,对接源_01入库吨位!$S$5:$S$304,0)),"")</f>
        <v/>
      </c>
      <c r="D343" s="89" t="str">
        <f t="shared" si="41"/>
        <v/>
      </c>
      <c r="E343" s="42" t="str">
        <f>IF($B343="","",IFERROR(IF($D343="周转打冷",N(INDEX(对接源_01入库吨位!$D$5:$D$304,MATCH(INT((ROW()-5)/3)+1,对接源_01入库吨位!$S$5:$S$304,0))),IF($D343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3" s="76" t="str">
        <f>IF($B343="","",ROUND(IFERROR(IF($D343="周转打冷",N(INDEX(对接源_01入库吨位!$H$5:$H$304,MATCH(INT((ROW()-5)/3)+1,对接源_01入库吨位!$S$5:$S$304,0))),IF($D343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3" s="122" t="str">
        <f t="shared" si="42"/>
        <v/>
      </c>
      <c r="H343" s="43"/>
      <c r="I343" s="107"/>
      <c r="J343" s="123" t="str">
        <f t="shared" si="43"/>
        <v/>
      </c>
      <c r="K343" s="76" t="str">
        <f t="shared" si="44"/>
        <v/>
      </c>
      <c r="L343" s="43"/>
      <c r="M343" s="7"/>
      <c r="N343" s="106"/>
      <c r="R343" s="3" t="str">
        <f t="shared" si="45"/>
        <v/>
      </c>
      <c r="S343" s="3">
        <f t="shared" si="46"/>
        <v>0</v>
      </c>
      <c r="T343" s="3">
        <f t="shared" si="47"/>
        <v>13</v>
      </c>
    </row>
    <row r="344" spans="1:20">
      <c r="A344" s="74" t="str">
        <f t="shared" si="40"/>
        <v/>
      </c>
      <c r="B344" s="75" t="str">
        <f>IFERROR(INDEX(对接源_01入库吨位!$B$5:$B$304,MATCH(INT((ROW()-5)/3)+1,对接源_01入库吨位!$S$5:$S$304,0)),"")</f>
        <v/>
      </c>
      <c r="C344" s="75" t="str">
        <f>IFERROR(INDEX(对接源_01入库吨位!$C$5:$C$304,MATCH(INT((ROW()-5)/3)+1,对接源_01入库吨位!$S$5:$S$304,0)),"")</f>
        <v/>
      </c>
      <c r="D344" s="89" t="str">
        <f t="shared" si="41"/>
        <v/>
      </c>
      <c r="E344" s="42" t="str">
        <f>IF($B344="","",IFERROR(IF($D344="周转打冷",N(INDEX(对接源_01入库吨位!$D$5:$D$304,MATCH(INT((ROW()-5)/3)+1,对接源_01入库吨位!$S$5:$S$304,0))),IF($D344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4" s="76" t="str">
        <f>IF($B344="","",ROUND(IFERROR(IF($D344="周转打冷",N(INDEX(对接源_01入库吨位!$H$5:$H$304,MATCH(INT((ROW()-5)/3)+1,对接源_01入库吨位!$S$5:$S$304,0))),IF($D344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4" s="122" t="str">
        <f t="shared" si="42"/>
        <v/>
      </c>
      <c r="H344" s="43"/>
      <c r="I344" s="107"/>
      <c r="J344" s="123" t="str">
        <f t="shared" si="43"/>
        <v/>
      </c>
      <c r="K344" s="76" t="str">
        <f t="shared" si="44"/>
        <v/>
      </c>
      <c r="L344" s="43"/>
      <c r="M344" s="7"/>
      <c r="N344" s="106"/>
      <c r="R344" s="3" t="str">
        <f t="shared" si="45"/>
        <v/>
      </c>
      <c r="S344" s="3">
        <f t="shared" si="46"/>
        <v>0</v>
      </c>
      <c r="T344" s="3">
        <f t="shared" si="47"/>
        <v>13</v>
      </c>
    </row>
    <row r="345" spans="1:20">
      <c r="A345" s="74" t="str">
        <f t="shared" si="40"/>
        <v/>
      </c>
      <c r="B345" s="75" t="str">
        <f>IFERROR(INDEX(对接源_01入库吨位!$B$5:$B$304,MATCH(INT((ROW()-5)/3)+1,对接源_01入库吨位!$S$5:$S$304,0)),"")</f>
        <v/>
      </c>
      <c r="C345" s="75" t="str">
        <f>IFERROR(INDEX(对接源_01入库吨位!$C$5:$C$304,MATCH(INT((ROW()-5)/3)+1,对接源_01入库吨位!$S$5:$S$304,0)),"")</f>
        <v/>
      </c>
      <c r="D345" s="89" t="str">
        <f t="shared" si="41"/>
        <v/>
      </c>
      <c r="E345" s="42" t="str">
        <f>IF($B345="","",IFERROR(IF($D345="周转打冷",N(INDEX(对接源_01入库吨位!$D$5:$D$304,MATCH(INT((ROW()-5)/3)+1,对接源_01入库吨位!$S$5:$S$304,0))),IF($D345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5" s="76" t="str">
        <f>IF($B345="","",ROUND(IFERROR(IF($D345="周转打冷",N(INDEX(对接源_01入库吨位!$H$5:$H$304,MATCH(INT((ROW()-5)/3)+1,对接源_01入库吨位!$S$5:$S$304,0))),IF($D345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5" s="122" t="str">
        <f t="shared" si="42"/>
        <v/>
      </c>
      <c r="H345" s="43"/>
      <c r="I345" s="107"/>
      <c r="J345" s="123" t="str">
        <f t="shared" si="43"/>
        <v/>
      </c>
      <c r="K345" s="76" t="str">
        <f t="shared" si="44"/>
        <v/>
      </c>
      <c r="L345" s="43"/>
      <c r="M345" s="7"/>
      <c r="N345" s="106"/>
      <c r="R345" s="3" t="str">
        <f t="shared" si="45"/>
        <v/>
      </c>
      <c r="S345" s="3">
        <f t="shared" si="46"/>
        <v>0</v>
      </c>
      <c r="T345" s="3">
        <f t="shared" si="47"/>
        <v>13</v>
      </c>
    </row>
    <row r="346" spans="1:20">
      <c r="A346" s="74" t="str">
        <f t="shared" si="40"/>
        <v/>
      </c>
      <c r="B346" s="75" t="str">
        <f>IFERROR(INDEX(对接源_01入库吨位!$B$5:$B$304,MATCH(INT((ROW()-5)/3)+1,对接源_01入库吨位!$S$5:$S$304,0)),"")</f>
        <v/>
      </c>
      <c r="C346" s="75" t="str">
        <f>IFERROR(INDEX(对接源_01入库吨位!$C$5:$C$304,MATCH(INT((ROW()-5)/3)+1,对接源_01入库吨位!$S$5:$S$304,0)),"")</f>
        <v/>
      </c>
      <c r="D346" s="89" t="str">
        <f t="shared" si="41"/>
        <v/>
      </c>
      <c r="E346" s="42" t="str">
        <f>IF($B346="","",IFERROR(IF($D346="周转打冷",N(INDEX(对接源_01入库吨位!$D$5:$D$304,MATCH(INT((ROW()-5)/3)+1,对接源_01入库吨位!$S$5:$S$304,0))),IF($D346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6" s="76" t="str">
        <f>IF($B346="","",ROUND(IFERROR(IF($D346="周转打冷",N(INDEX(对接源_01入库吨位!$H$5:$H$304,MATCH(INT((ROW()-5)/3)+1,对接源_01入库吨位!$S$5:$S$304,0))),IF($D346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6" s="122" t="str">
        <f t="shared" si="42"/>
        <v/>
      </c>
      <c r="H346" s="43"/>
      <c r="I346" s="107"/>
      <c r="J346" s="123" t="str">
        <f t="shared" si="43"/>
        <v/>
      </c>
      <c r="K346" s="76" t="str">
        <f t="shared" si="44"/>
        <v/>
      </c>
      <c r="L346" s="43"/>
      <c r="M346" s="7"/>
      <c r="N346" s="106"/>
      <c r="R346" s="3" t="str">
        <f t="shared" si="45"/>
        <v/>
      </c>
      <c r="S346" s="3">
        <f t="shared" si="46"/>
        <v>0</v>
      </c>
      <c r="T346" s="3">
        <f t="shared" si="47"/>
        <v>13</v>
      </c>
    </row>
    <row r="347" spans="1:20">
      <c r="A347" s="74" t="str">
        <f t="shared" si="40"/>
        <v/>
      </c>
      <c r="B347" s="75" t="str">
        <f>IFERROR(INDEX(对接源_01入库吨位!$B$5:$B$304,MATCH(INT((ROW()-5)/3)+1,对接源_01入库吨位!$S$5:$S$304,0)),"")</f>
        <v/>
      </c>
      <c r="C347" s="75" t="str">
        <f>IFERROR(INDEX(对接源_01入库吨位!$C$5:$C$304,MATCH(INT((ROW()-5)/3)+1,对接源_01入库吨位!$S$5:$S$304,0)),"")</f>
        <v/>
      </c>
      <c r="D347" s="89" t="str">
        <f t="shared" si="41"/>
        <v/>
      </c>
      <c r="E347" s="42" t="str">
        <f>IF($B347="","",IFERROR(IF($D347="周转打冷",N(INDEX(对接源_01入库吨位!$D$5:$D$304,MATCH(INT((ROW()-5)/3)+1,对接源_01入库吨位!$S$5:$S$304,0))),IF($D347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7" s="76" t="str">
        <f>IF($B347="","",ROUND(IFERROR(IF($D347="周转打冷",N(INDEX(对接源_01入库吨位!$H$5:$H$304,MATCH(INT((ROW()-5)/3)+1,对接源_01入库吨位!$S$5:$S$304,0))),IF($D347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7" s="122" t="str">
        <f t="shared" si="42"/>
        <v/>
      </c>
      <c r="H347" s="43"/>
      <c r="I347" s="107"/>
      <c r="J347" s="123" t="str">
        <f t="shared" si="43"/>
        <v/>
      </c>
      <c r="K347" s="76" t="str">
        <f t="shared" si="44"/>
        <v/>
      </c>
      <c r="L347" s="43"/>
      <c r="M347" s="7"/>
      <c r="N347" s="106"/>
      <c r="R347" s="3" t="str">
        <f t="shared" si="45"/>
        <v/>
      </c>
      <c r="S347" s="3">
        <f t="shared" si="46"/>
        <v>0</v>
      </c>
      <c r="T347" s="3">
        <f t="shared" si="47"/>
        <v>13</v>
      </c>
    </row>
    <row r="348" spans="1:20">
      <c r="A348" s="74" t="str">
        <f t="shared" si="40"/>
        <v/>
      </c>
      <c r="B348" s="75" t="str">
        <f>IFERROR(INDEX(对接源_01入库吨位!$B$5:$B$304,MATCH(INT((ROW()-5)/3)+1,对接源_01入库吨位!$S$5:$S$304,0)),"")</f>
        <v/>
      </c>
      <c r="C348" s="75" t="str">
        <f>IFERROR(INDEX(对接源_01入库吨位!$C$5:$C$304,MATCH(INT((ROW()-5)/3)+1,对接源_01入库吨位!$S$5:$S$304,0)),"")</f>
        <v/>
      </c>
      <c r="D348" s="89" t="str">
        <f t="shared" si="41"/>
        <v/>
      </c>
      <c r="E348" s="42" t="str">
        <f>IF($B348="","",IFERROR(IF($D348="周转打冷",N(INDEX(对接源_01入库吨位!$D$5:$D$304,MATCH(INT((ROW()-5)/3)+1,对接源_01入库吨位!$S$5:$S$304,0))),IF($D348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8" s="76" t="str">
        <f>IF($B348="","",ROUND(IFERROR(IF($D348="周转打冷",N(INDEX(对接源_01入库吨位!$H$5:$H$304,MATCH(INT((ROW()-5)/3)+1,对接源_01入库吨位!$S$5:$S$304,0))),IF($D348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8" s="122" t="str">
        <f t="shared" si="42"/>
        <v/>
      </c>
      <c r="H348" s="43"/>
      <c r="I348" s="107"/>
      <c r="J348" s="123" t="str">
        <f t="shared" si="43"/>
        <v/>
      </c>
      <c r="K348" s="76" t="str">
        <f t="shared" si="44"/>
        <v/>
      </c>
      <c r="L348" s="43"/>
      <c r="M348" s="7"/>
      <c r="N348" s="106"/>
      <c r="R348" s="3" t="str">
        <f t="shared" si="45"/>
        <v/>
      </c>
      <c r="S348" s="3">
        <f t="shared" si="46"/>
        <v>0</v>
      </c>
      <c r="T348" s="3">
        <f t="shared" si="47"/>
        <v>13</v>
      </c>
    </row>
    <row r="349" spans="1:20">
      <c r="A349" s="74" t="str">
        <f t="shared" si="40"/>
        <v/>
      </c>
      <c r="B349" s="75" t="str">
        <f>IFERROR(INDEX(对接源_01入库吨位!$B$5:$B$304,MATCH(INT((ROW()-5)/3)+1,对接源_01入库吨位!$S$5:$S$304,0)),"")</f>
        <v/>
      </c>
      <c r="C349" s="75" t="str">
        <f>IFERROR(INDEX(对接源_01入库吨位!$C$5:$C$304,MATCH(INT((ROW()-5)/3)+1,对接源_01入库吨位!$S$5:$S$304,0)),"")</f>
        <v/>
      </c>
      <c r="D349" s="89" t="str">
        <f t="shared" si="41"/>
        <v/>
      </c>
      <c r="E349" s="42" t="str">
        <f>IF($B349="","",IFERROR(IF($D349="周转打冷",N(INDEX(对接源_01入库吨位!$D$5:$D$304,MATCH(INT((ROW()-5)/3)+1,对接源_01入库吨位!$S$5:$S$304,0))),IF($D349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9" s="76" t="str">
        <f>IF($B349="","",ROUND(IFERROR(IF($D349="周转打冷",N(INDEX(对接源_01入库吨位!$H$5:$H$304,MATCH(INT((ROW()-5)/3)+1,对接源_01入库吨位!$S$5:$S$304,0))),IF($D349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9" s="122" t="str">
        <f t="shared" si="42"/>
        <v/>
      </c>
      <c r="H349" s="43"/>
      <c r="I349" s="107"/>
      <c r="J349" s="123" t="str">
        <f t="shared" si="43"/>
        <v/>
      </c>
      <c r="K349" s="76" t="str">
        <f t="shared" si="44"/>
        <v/>
      </c>
      <c r="L349" s="43"/>
      <c r="M349" s="7"/>
      <c r="N349" s="106"/>
      <c r="R349" s="3" t="str">
        <f t="shared" si="45"/>
        <v/>
      </c>
      <c r="S349" s="3">
        <f t="shared" si="46"/>
        <v>0</v>
      </c>
      <c r="T349" s="3">
        <f t="shared" si="47"/>
        <v>13</v>
      </c>
    </row>
    <row r="350" spans="1:20">
      <c r="A350" s="74" t="str">
        <f t="shared" si="40"/>
        <v/>
      </c>
      <c r="B350" s="75" t="str">
        <f>IFERROR(INDEX(对接源_01入库吨位!$B$5:$B$304,MATCH(INT((ROW()-5)/3)+1,对接源_01入库吨位!$S$5:$S$304,0)),"")</f>
        <v/>
      </c>
      <c r="C350" s="75" t="str">
        <f>IFERROR(INDEX(对接源_01入库吨位!$C$5:$C$304,MATCH(INT((ROW()-5)/3)+1,对接源_01入库吨位!$S$5:$S$304,0)),"")</f>
        <v/>
      </c>
      <c r="D350" s="89" t="str">
        <f t="shared" si="41"/>
        <v/>
      </c>
      <c r="E350" s="42" t="str">
        <f>IF($B350="","",IFERROR(IF($D350="周转打冷",N(INDEX(对接源_01入库吨位!$D$5:$D$304,MATCH(INT((ROW()-5)/3)+1,对接源_01入库吨位!$S$5:$S$304,0))),IF($D350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0" s="76" t="str">
        <f>IF($B350="","",ROUND(IFERROR(IF($D350="周转打冷",N(INDEX(对接源_01入库吨位!$H$5:$H$304,MATCH(INT((ROW()-5)/3)+1,对接源_01入库吨位!$S$5:$S$304,0))),IF($D350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0" s="122" t="str">
        <f t="shared" si="42"/>
        <v/>
      </c>
      <c r="H350" s="43"/>
      <c r="I350" s="107"/>
      <c r="J350" s="123" t="str">
        <f t="shared" si="43"/>
        <v/>
      </c>
      <c r="K350" s="76" t="str">
        <f t="shared" si="44"/>
        <v/>
      </c>
      <c r="L350" s="43"/>
      <c r="M350" s="7"/>
      <c r="N350" s="106"/>
      <c r="R350" s="3" t="str">
        <f t="shared" si="45"/>
        <v/>
      </c>
      <c r="S350" s="3">
        <f t="shared" si="46"/>
        <v>0</v>
      </c>
      <c r="T350" s="3">
        <f t="shared" si="47"/>
        <v>13</v>
      </c>
    </row>
    <row r="351" spans="1:20">
      <c r="A351" s="74" t="str">
        <f t="shared" si="40"/>
        <v/>
      </c>
      <c r="B351" s="75" t="str">
        <f>IFERROR(INDEX(对接源_01入库吨位!$B$5:$B$304,MATCH(INT((ROW()-5)/3)+1,对接源_01入库吨位!$S$5:$S$304,0)),"")</f>
        <v/>
      </c>
      <c r="C351" s="75" t="str">
        <f>IFERROR(INDEX(对接源_01入库吨位!$C$5:$C$304,MATCH(INT((ROW()-5)/3)+1,对接源_01入库吨位!$S$5:$S$304,0)),"")</f>
        <v/>
      </c>
      <c r="D351" s="89" t="str">
        <f t="shared" si="41"/>
        <v/>
      </c>
      <c r="E351" s="42" t="str">
        <f>IF($B351="","",IFERROR(IF($D351="周转打冷",N(INDEX(对接源_01入库吨位!$D$5:$D$304,MATCH(INT((ROW()-5)/3)+1,对接源_01入库吨位!$S$5:$S$304,0))),IF($D351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1" s="76" t="str">
        <f>IF($B351="","",ROUND(IFERROR(IF($D351="周转打冷",N(INDEX(对接源_01入库吨位!$H$5:$H$304,MATCH(INT((ROW()-5)/3)+1,对接源_01入库吨位!$S$5:$S$304,0))),IF($D351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1" s="122" t="str">
        <f t="shared" si="42"/>
        <v/>
      </c>
      <c r="H351" s="43"/>
      <c r="I351" s="107"/>
      <c r="J351" s="123" t="str">
        <f t="shared" si="43"/>
        <v/>
      </c>
      <c r="K351" s="76" t="str">
        <f t="shared" si="44"/>
        <v/>
      </c>
      <c r="L351" s="43"/>
      <c r="M351" s="7"/>
      <c r="N351" s="106"/>
      <c r="R351" s="3" t="str">
        <f t="shared" si="45"/>
        <v/>
      </c>
      <c r="S351" s="3">
        <f t="shared" si="46"/>
        <v>0</v>
      </c>
      <c r="T351" s="3">
        <f t="shared" si="47"/>
        <v>13</v>
      </c>
    </row>
    <row r="352" spans="1:20">
      <c r="A352" s="74" t="str">
        <f t="shared" si="40"/>
        <v/>
      </c>
      <c r="B352" s="75" t="str">
        <f>IFERROR(INDEX(对接源_01入库吨位!$B$5:$B$304,MATCH(INT((ROW()-5)/3)+1,对接源_01入库吨位!$S$5:$S$304,0)),"")</f>
        <v/>
      </c>
      <c r="C352" s="75" t="str">
        <f>IFERROR(INDEX(对接源_01入库吨位!$C$5:$C$304,MATCH(INT((ROW()-5)/3)+1,对接源_01入库吨位!$S$5:$S$304,0)),"")</f>
        <v/>
      </c>
      <c r="D352" s="89" t="str">
        <f t="shared" si="41"/>
        <v/>
      </c>
      <c r="E352" s="42" t="str">
        <f>IF($B352="","",IFERROR(IF($D352="周转打冷",N(INDEX(对接源_01入库吨位!$D$5:$D$304,MATCH(INT((ROW()-5)/3)+1,对接源_01入库吨位!$S$5:$S$304,0))),IF($D352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2" s="76" t="str">
        <f>IF($B352="","",ROUND(IFERROR(IF($D352="周转打冷",N(INDEX(对接源_01入库吨位!$H$5:$H$304,MATCH(INT((ROW()-5)/3)+1,对接源_01入库吨位!$S$5:$S$304,0))),IF($D352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2" s="122" t="str">
        <f t="shared" si="42"/>
        <v/>
      </c>
      <c r="H352" s="43"/>
      <c r="I352" s="107"/>
      <c r="J352" s="123" t="str">
        <f t="shared" si="43"/>
        <v/>
      </c>
      <c r="K352" s="76" t="str">
        <f t="shared" si="44"/>
        <v/>
      </c>
      <c r="L352" s="43"/>
      <c r="M352" s="7"/>
      <c r="N352" s="106"/>
      <c r="R352" s="3" t="str">
        <f t="shared" si="45"/>
        <v/>
      </c>
      <c r="S352" s="3">
        <f t="shared" si="46"/>
        <v>0</v>
      </c>
      <c r="T352" s="3">
        <f t="shared" si="47"/>
        <v>13</v>
      </c>
    </row>
    <row r="353" spans="1:20">
      <c r="A353" s="74" t="str">
        <f t="shared" si="40"/>
        <v/>
      </c>
      <c r="B353" s="75" t="str">
        <f>IFERROR(INDEX(对接源_01入库吨位!$B$5:$B$304,MATCH(INT((ROW()-5)/3)+1,对接源_01入库吨位!$S$5:$S$304,0)),"")</f>
        <v/>
      </c>
      <c r="C353" s="75" t="str">
        <f>IFERROR(INDEX(对接源_01入库吨位!$C$5:$C$304,MATCH(INT((ROW()-5)/3)+1,对接源_01入库吨位!$S$5:$S$304,0)),"")</f>
        <v/>
      </c>
      <c r="D353" s="89" t="str">
        <f t="shared" si="41"/>
        <v/>
      </c>
      <c r="E353" s="42" t="str">
        <f>IF($B353="","",IFERROR(IF($D353="周转打冷",N(INDEX(对接源_01入库吨位!$D$5:$D$304,MATCH(INT((ROW()-5)/3)+1,对接源_01入库吨位!$S$5:$S$304,0))),IF($D353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3" s="76" t="str">
        <f>IF($B353="","",ROUND(IFERROR(IF($D353="周转打冷",N(INDEX(对接源_01入库吨位!$H$5:$H$304,MATCH(INT((ROW()-5)/3)+1,对接源_01入库吨位!$S$5:$S$304,0))),IF($D353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3" s="122" t="str">
        <f t="shared" si="42"/>
        <v/>
      </c>
      <c r="H353" s="43"/>
      <c r="I353" s="107"/>
      <c r="J353" s="123" t="str">
        <f t="shared" si="43"/>
        <v/>
      </c>
      <c r="K353" s="76" t="str">
        <f t="shared" si="44"/>
        <v/>
      </c>
      <c r="L353" s="43"/>
      <c r="M353" s="7"/>
      <c r="N353" s="106"/>
      <c r="R353" s="3" t="str">
        <f t="shared" si="45"/>
        <v/>
      </c>
      <c r="S353" s="3">
        <f t="shared" si="46"/>
        <v>0</v>
      </c>
      <c r="T353" s="3">
        <f t="shared" si="47"/>
        <v>13</v>
      </c>
    </row>
    <row r="354" spans="1:20">
      <c r="A354" s="74" t="str">
        <f t="shared" si="40"/>
        <v/>
      </c>
      <c r="B354" s="75" t="str">
        <f>IFERROR(INDEX(对接源_01入库吨位!$B$5:$B$304,MATCH(INT((ROW()-5)/3)+1,对接源_01入库吨位!$S$5:$S$304,0)),"")</f>
        <v/>
      </c>
      <c r="C354" s="75" t="str">
        <f>IFERROR(INDEX(对接源_01入库吨位!$C$5:$C$304,MATCH(INT((ROW()-5)/3)+1,对接源_01入库吨位!$S$5:$S$304,0)),"")</f>
        <v/>
      </c>
      <c r="D354" s="89" t="str">
        <f t="shared" si="41"/>
        <v/>
      </c>
      <c r="E354" s="42" t="str">
        <f>IF($B354="","",IFERROR(IF($D354="周转打冷",N(INDEX(对接源_01入库吨位!$D$5:$D$304,MATCH(INT((ROW()-5)/3)+1,对接源_01入库吨位!$S$5:$S$304,0))),IF($D354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4" s="76" t="str">
        <f>IF($B354="","",ROUND(IFERROR(IF($D354="周转打冷",N(INDEX(对接源_01入库吨位!$H$5:$H$304,MATCH(INT((ROW()-5)/3)+1,对接源_01入库吨位!$S$5:$S$304,0))),IF($D354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4" s="122" t="str">
        <f t="shared" si="42"/>
        <v/>
      </c>
      <c r="H354" s="43"/>
      <c r="I354" s="107"/>
      <c r="J354" s="123" t="str">
        <f t="shared" si="43"/>
        <v/>
      </c>
      <c r="K354" s="76" t="str">
        <f t="shared" si="44"/>
        <v/>
      </c>
      <c r="L354" s="43"/>
      <c r="M354" s="7"/>
      <c r="N354" s="106"/>
      <c r="R354" s="3" t="str">
        <f t="shared" si="45"/>
        <v/>
      </c>
      <c r="S354" s="3">
        <f t="shared" si="46"/>
        <v>0</v>
      </c>
      <c r="T354" s="3">
        <f t="shared" si="47"/>
        <v>13</v>
      </c>
    </row>
    <row r="355" spans="1:20">
      <c r="A355" s="74" t="str">
        <f t="shared" si="40"/>
        <v/>
      </c>
      <c r="B355" s="75" t="str">
        <f>IFERROR(INDEX(对接源_01入库吨位!$B$5:$B$304,MATCH(INT((ROW()-5)/3)+1,对接源_01入库吨位!$S$5:$S$304,0)),"")</f>
        <v/>
      </c>
      <c r="C355" s="75" t="str">
        <f>IFERROR(INDEX(对接源_01入库吨位!$C$5:$C$304,MATCH(INT((ROW()-5)/3)+1,对接源_01入库吨位!$S$5:$S$304,0)),"")</f>
        <v/>
      </c>
      <c r="D355" s="89" t="str">
        <f t="shared" si="41"/>
        <v/>
      </c>
      <c r="E355" s="42" t="str">
        <f>IF($B355="","",IFERROR(IF($D355="周转打冷",N(INDEX(对接源_01入库吨位!$D$5:$D$304,MATCH(INT((ROW()-5)/3)+1,对接源_01入库吨位!$S$5:$S$304,0))),IF($D355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5" s="76" t="str">
        <f>IF($B355="","",ROUND(IFERROR(IF($D355="周转打冷",N(INDEX(对接源_01入库吨位!$H$5:$H$304,MATCH(INT((ROW()-5)/3)+1,对接源_01入库吨位!$S$5:$S$304,0))),IF($D355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5" s="122" t="str">
        <f t="shared" si="42"/>
        <v/>
      </c>
      <c r="H355" s="43"/>
      <c r="I355" s="107"/>
      <c r="J355" s="123" t="str">
        <f t="shared" si="43"/>
        <v/>
      </c>
      <c r="K355" s="76" t="str">
        <f t="shared" si="44"/>
        <v/>
      </c>
      <c r="L355" s="43"/>
      <c r="M355" s="7"/>
      <c r="N355" s="106"/>
      <c r="R355" s="3" t="str">
        <f t="shared" si="45"/>
        <v/>
      </c>
      <c r="S355" s="3">
        <f t="shared" si="46"/>
        <v>0</v>
      </c>
      <c r="T355" s="3">
        <f t="shared" si="47"/>
        <v>13</v>
      </c>
    </row>
    <row r="356" spans="1:20">
      <c r="A356" s="74" t="str">
        <f t="shared" si="40"/>
        <v/>
      </c>
      <c r="B356" s="75" t="str">
        <f>IFERROR(INDEX(对接源_01入库吨位!$B$5:$B$304,MATCH(INT((ROW()-5)/3)+1,对接源_01入库吨位!$S$5:$S$304,0)),"")</f>
        <v/>
      </c>
      <c r="C356" s="75" t="str">
        <f>IFERROR(INDEX(对接源_01入库吨位!$C$5:$C$304,MATCH(INT((ROW()-5)/3)+1,对接源_01入库吨位!$S$5:$S$304,0)),"")</f>
        <v/>
      </c>
      <c r="D356" s="89" t="str">
        <f t="shared" si="41"/>
        <v/>
      </c>
      <c r="E356" s="42" t="str">
        <f>IF($B356="","",IFERROR(IF($D356="周转打冷",N(INDEX(对接源_01入库吨位!$D$5:$D$304,MATCH(INT((ROW()-5)/3)+1,对接源_01入库吨位!$S$5:$S$304,0))),IF($D356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6" s="76" t="str">
        <f>IF($B356="","",ROUND(IFERROR(IF($D356="周转打冷",N(INDEX(对接源_01入库吨位!$H$5:$H$304,MATCH(INT((ROW()-5)/3)+1,对接源_01入库吨位!$S$5:$S$304,0))),IF($D356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6" s="122" t="str">
        <f t="shared" si="42"/>
        <v/>
      </c>
      <c r="H356" s="43"/>
      <c r="I356" s="107"/>
      <c r="J356" s="123" t="str">
        <f t="shared" si="43"/>
        <v/>
      </c>
      <c r="K356" s="76" t="str">
        <f t="shared" si="44"/>
        <v/>
      </c>
      <c r="L356" s="43"/>
      <c r="M356" s="7"/>
      <c r="N356" s="106"/>
      <c r="R356" s="3" t="str">
        <f t="shared" si="45"/>
        <v/>
      </c>
      <c r="S356" s="3">
        <f t="shared" si="46"/>
        <v>0</v>
      </c>
      <c r="T356" s="3">
        <f t="shared" si="47"/>
        <v>13</v>
      </c>
    </row>
    <row r="357" spans="1:20">
      <c r="A357" s="74" t="str">
        <f t="shared" si="40"/>
        <v/>
      </c>
      <c r="B357" s="75" t="str">
        <f>IFERROR(INDEX(对接源_01入库吨位!$B$5:$B$304,MATCH(INT((ROW()-5)/3)+1,对接源_01入库吨位!$S$5:$S$304,0)),"")</f>
        <v/>
      </c>
      <c r="C357" s="75" t="str">
        <f>IFERROR(INDEX(对接源_01入库吨位!$C$5:$C$304,MATCH(INT((ROW()-5)/3)+1,对接源_01入库吨位!$S$5:$S$304,0)),"")</f>
        <v/>
      </c>
      <c r="D357" s="89" t="str">
        <f t="shared" si="41"/>
        <v/>
      </c>
      <c r="E357" s="42" t="str">
        <f>IF($B357="","",IFERROR(IF($D357="周转打冷",N(INDEX(对接源_01入库吨位!$D$5:$D$304,MATCH(INT((ROW()-5)/3)+1,对接源_01入库吨位!$S$5:$S$304,0))),IF($D357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7" s="76" t="str">
        <f>IF($B357="","",ROUND(IFERROR(IF($D357="周转打冷",N(INDEX(对接源_01入库吨位!$H$5:$H$304,MATCH(INT((ROW()-5)/3)+1,对接源_01入库吨位!$S$5:$S$304,0))),IF($D357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7" s="122" t="str">
        <f t="shared" si="42"/>
        <v/>
      </c>
      <c r="H357" s="43"/>
      <c r="I357" s="107"/>
      <c r="J357" s="123" t="str">
        <f t="shared" si="43"/>
        <v/>
      </c>
      <c r="K357" s="76" t="str">
        <f t="shared" si="44"/>
        <v/>
      </c>
      <c r="L357" s="43"/>
      <c r="M357" s="7"/>
      <c r="N357" s="106"/>
      <c r="R357" s="3" t="str">
        <f t="shared" si="45"/>
        <v/>
      </c>
      <c r="S357" s="3">
        <f t="shared" si="46"/>
        <v>0</v>
      </c>
      <c r="T357" s="3">
        <f t="shared" si="47"/>
        <v>13</v>
      </c>
    </row>
    <row r="358" spans="1:20">
      <c r="A358" s="74" t="str">
        <f t="shared" si="40"/>
        <v/>
      </c>
      <c r="B358" s="75" t="str">
        <f>IFERROR(INDEX(对接源_01入库吨位!$B$5:$B$304,MATCH(INT((ROW()-5)/3)+1,对接源_01入库吨位!$S$5:$S$304,0)),"")</f>
        <v/>
      </c>
      <c r="C358" s="75" t="str">
        <f>IFERROR(INDEX(对接源_01入库吨位!$C$5:$C$304,MATCH(INT((ROW()-5)/3)+1,对接源_01入库吨位!$S$5:$S$304,0)),"")</f>
        <v/>
      </c>
      <c r="D358" s="89" t="str">
        <f t="shared" si="41"/>
        <v/>
      </c>
      <c r="E358" s="42" t="str">
        <f>IF($B358="","",IFERROR(IF($D358="周转打冷",N(INDEX(对接源_01入库吨位!$D$5:$D$304,MATCH(INT((ROW()-5)/3)+1,对接源_01入库吨位!$S$5:$S$304,0))),IF($D358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8" s="76" t="str">
        <f>IF($B358="","",ROUND(IFERROR(IF($D358="周转打冷",N(INDEX(对接源_01入库吨位!$H$5:$H$304,MATCH(INT((ROW()-5)/3)+1,对接源_01入库吨位!$S$5:$S$304,0))),IF($D358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8" s="122" t="str">
        <f t="shared" si="42"/>
        <v/>
      </c>
      <c r="H358" s="43"/>
      <c r="I358" s="107"/>
      <c r="J358" s="123" t="str">
        <f t="shared" si="43"/>
        <v/>
      </c>
      <c r="K358" s="76" t="str">
        <f t="shared" si="44"/>
        <v/>
      </c>
      <c r="L358" s="43"/>
      <c r="M358" s="7"/>
      <c r="N358" s="106"/>
      <c r="R358" s="3" t="str">
        <f t="shared" si="45"/>
        <v/>
      </c>
      <c r="S358" s="3">
        <f t="shared" si="46"/>
        <v>0</v>
      </c>
      <c r="T358" s="3">
        <f t="shared" si="47"/>
        <v>13</v>
      </c>
    </row>
    <row r="359" spans="1:20">
      <c r="A359" s="74" t="str">
        <f t="shared" si="40"/>
        <v/>
      </c>
      <c r="B359" s="75" t="str">
        <f>IFERROR(INDEX(对接源_01入库吨位!$B$5:$B$304,MATCH(INT((ROW()-5)/3)+1,对接源_01入库吨位!$S$5:$S$304,0)),"")</f>
        <v/>
      </c>
      <c r="C359" s="75" t="str">
        <f>IFERROR(INDEX(对接源_01入库吨位!$C$5:$C$304,MATCH(INT((ROW()-5)/3)+1,对接源_01入库吨位!$S$5:$S$304,0)),"")</f>
        <v/>
      </c>
      <c r="D359" s="89" t="str">
        <f t="shared" si="41"/>
        <v/>
      </c>
      <c r="E359" s="42" t="str">
        <f>IF($B359="","",IFERROR(IF($D359="周转打冷",N(INDEX(对接源_01入库吨位!$D$5:$D$304,MATCH(INT((ROW()-5)/3)+1,对接源_01入库吨位!$S$5:$S$304,0))),IF($D359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9" s="76" t="str">
        <f>IF($B359="","",ROUND(IFERROR(IF($D359="周转打冷",N(INDEX(对接源_01入库吨位!$H$5:$H$304,MATCH(INT((ROW()-5)/3)+1,对接源_01入库吨位!$S$5:$S$304,0))),IF($D359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9" s="122" t="str">
        <f t="shared" si="42"/>
        <v/>
      </c>
      <c r="H359" s="43"/>
      <c r="I359" s="107"/>
      <c r="J359" s="123" t="str">
        <f t="shared" si="43"/>
        <v/>
      </c>
      <c r="K359" s="76" t="str">
        <f t="shared" si="44"/>
        <v/>
      </c>
      <c r="L359" s="43"/>
      <c r="M359" s="7"/>
      <c r="N359" s="106"/>
      <c r="R359" s="3" t="str">
        <f t="shared" si="45"/>
        <v/>
      </c>
      <c r="S359" s="3">
        <f t="shared" si="46"/>
        <v>0</v>
      </c>
      <c r="T359" s="3">
        <f t="shared" si="47"/>
        <v>13</v>
      </c>
    </row>
    <row r="360" spans="1:20">
      <c r="A360" s="74" t="str">
        <f t="shared" si="40"/>
        <v/>
      </c>
      <c r="B360" s="75" t="str">
        <f>IFERROR(INDEX(对接源_01入库吨位!$B$5:$B$304,MATCH(INT((ROW()-5)/3)+1,对接源_01入库吨位!$S$5:$S$304,0)),"")</f>
        <v/>
      </c>
      <c r="C360" s="75" t="str">
        <f>IFERROR(INDEX(对接源_01入库吨位!$C$5:$C$304,MATCH(INT((ROW()-5)/3)+1,对接源_01入库吨位!$S$5:$S$304,0)),"")</f>
        <v/>
      </c>
      <c r="D360" s="89" t="str">
        <f t="shared" si="41"/>
        <v/>
      </c>
      <c r="E360" s="42" t="str">
        <f>IF($B360="","",IFERROR(IF($D360="周转打冷",N(INDEX(对接源_01入库吨位!$D$5:$D$304,MATCH(INT((ROW()-5)/3)+1,对接源_01入库吨位!$S$5:$S$304,0))),IF($D360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0" s="76" t="str">
        <f>IF($B360="","",ROUND(IFERROR(IF($D360="周转打冷",N(INDEX(对接源_01入库吨位!$H$5:$H$304,MATCH(INT((ROW()-5)/3)+1,对接源_01入库吨位!$S$5:$S$304,0))),IF($D360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0" s="122" t="str">
        <f t="shared" si="42"/>
        <v/>
      </c>
      <c r="H360" s="43"/>
      <c r="I360" s="107"/>
      <c r="J360" s="123" t="str">
        <f t="shared" si="43"/>
        <v/>
      </c>
      <c r="K360" s="76" t="str">
        <f t="shared" si="44"/>
        <v/>
      </c>
      <c r="L360" s="43"/>
      <c r="M360" s="7"/>
      <c r="N360" s="106"/>
      <c r="R360" s="3" t="str">
        <f t="shared" si="45"/>
        <v/>
      </c>
      <c r="S360" s="3">
        <f t="shared" si="46"/>
        <v>0</v>
      </c>
      <c r="T360" s="3">
        <f t="shared" si="47"/>
        <v>13</v>
      </c>
    </row>
    <row r="361" spans="1:20">
      <c r="A361" s="74" t="str">
        <f t="shared" si="40"/>
        <v/>
      </c>
      <c r="B361" s="75" t="str">
        <f>IFERROR(INDEX(对接源_01入库吨位!$B$5:$B$304,MATCH(INT((ROW()-5)/3)+1,对接源_01入库吨位!$S$5:$S$304,0)),"")</f>
        <v/>
      </c>
      <c r="C361" s="75" t="str">
        <f>IFERROR(INDEX(对接源_01入库吨位!$C$5:$C$304,MATCH(INT((ROW()-5)/3)+1,对接源_01入库吨位!$S$5:$S$304,0)),"")</f>
        <v/>
      </c>
      <c r="D361" s="89" t="str">
        <f t="shared" si="41"/>
        <v/>
      </c>
      <c r="E361" s="42" t="str">
        <f>IF($B361="","",IFERROR(IF($D361="周转打冷",N(INDEX(对接源_01入库吨位!$D$5:$D$304,MATCH(INT((ROW()-5)/3)+1,对接源_01入库吨位!$S$5:$S$304,0))),IF($D361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1" s="76" t="str">
        <f>IF($B361="","",ROUND(IFERROR(IF($D361="周转打冷",N(INDEX(对接源_01入库吨位!$H$5:$H$304,MATCH(INT((ROW()-5)/3)+1,对接源_01入库吨位!$S$5:$S$304,0))),IF($D361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1" s="122" t="str">
        <f t="shared" si="42"/>
        <v/>
      </c>
      <c r="H361" s="43"/>
      <c r="I361" s="107"/>
      <c r="J361" s="123" t="str">
        <f t="shared" si="43"/>
        <v/>
      </c>
      <c r="K361" s="76" t="str">
        <f t="shared" si="44"/>
        <v/>
      </c>
      <c r="L361" s="43"/>
      <c r="M361" s="7"/>
      <c r="N361" s="106"/>
      <c r="R361" s="3" t="str">
        <f t="shared" si="45"/>
        <v/>
      </c>
      <c r="S361" s="3">
        <f t="shared" si="46"/>
        <v>0</v>
      </c>
      <c r="T361" s="3">
        <f t="shared" si="47"/>
        <v>13</v>
      </c>
    </row>
    <row r="362" spans="1:20">
      <c r="A362" s="74" t="str">
        <f t="shared" si="40"/>
        <v/>
      </c>
      <c r="B362" s="75" t="str">
        <f>IFERROR(INDEX(对接源_01入库吨位!$B$5:$B$304,MATCH(INT((ROW()-5)/3)+1,对接源_01入库吨位!$S$5:$S$304,0)),"")</f>
        <v/>
      </c>
      <c r="C362" s="75" t="str">
        <f>IFERROR(INDEX(对接源_01入库吨位!$C$5:$C$304,MATCH(INT((ROW()-5)/3)+1,对接源_01入库吨位!$S$5:$S$304,0)),"")</f>
        <v/>
      </c>
      <c r="D362" s="89" t="str">
        <f t="shared" si="41"/>
        <v/>
      </c>
      <c r="E362" s="42" t="str">
        <f>IF($B362="","",IFERROR(IF($D362="周转打冷",N(INDEX(对接源_01入库吨位!$D$5:$D$304,MATCH(INT((ROW()-5)/3)+1,对接源_01入库吨位!$S$5:$S$304,0))),IF($D362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2" s="76" t="str">
        <f>IF($B362="","",ROUND(IFERROR(IF($D362="周转打冷",N(INDEX(对接源_01入库吨位!$H$5:$H$304,MATCH(INT((ROW()-5)/3)+1,对接源_01入库吨位!$S$5:$S$304,0))),IF($D362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2" s="122" t="str">
        <f t="shared" si="42"/>
        <v/>
      </c>
      <c r="H362" s="43"/>
      <c r="I362" s="107"/>
      <c r="J362" s="123" t="str">
        <f t="shared" si="43"/>
        <v/>
      </c>
      <c r="K362" s="76" t="str">
        <f t="shared" si="44"/>
        <v/>
      </c>
      <c r="L362" s="43"/>
      <c r="M362" s="7"/>
      <c r="N362" s="106"/>
      <c r="R362" s="3" t="str">
        <f t="shared" si="45"/>
        <v/>
      </c>
      <c r="S362" s="3">
        <f t="shared" si="46"/>
        <v>0</v>
      </c>
      <c r="T362" s="3">
        <f t="shared" si="47"/>
        <v>13</v>
      </c>
    </row>
    <row r="363" spans="1:20">
      <c r="A363" s="74" t="str">
        <f t="shared" si="40"/>
        <v/>
      </c>
      <c r="B363" s="75" t="str">
        <f>IFERROR(INDEX(对接源_01入库吨位!$B$5:$B$304,MATCH(INT((ROW()-5)/3)+1,对接源_01入库吨位!$S$5:$S$304,0)),"")</f>
        <v/>
      </c>
      <c r="C363" s="75" t="str">
        <f>IFERROR(INDEX(对接源_01入库吨位!$C$5:$C$304,MATCH(INT((ROW()-5)/3)+1,对接源_01入库吨位!$S$5:$S$304,0)),"")</f>
        <v/>
      </c>
      <c r="D363" s="89" t="str">
        <f t="shared" si="41"/>
        <v/>
      </c>
      <c r="E363" s="42" t="str">
        <f>IF($B363="","",IFERROR(IF($D363="周转打冷",N(INDEX(对接源_01入库吨位!$D$5:$D$304,MATCH(INT((ROW()-5)/3)+1,对接源_01入库吨位!$S$5:$S$304,0))),IF($D363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3" s="76" t="str">
        <f>IF($B363="","",ROUND(IFERROR(IF($D363="周转打冷",N(INDEX(对接源_01入库吨位!$H$5:$H$304,MATCH(INT((ROW()-5)/3)+1,对接源_01入库吨位!$S$5:$S$304,0))),IF($D363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3" s="122" t="str">
        <f t="shared" si="42"/>
        <v/>
      </c>
      <c r="H363" s="43"/>
      <c r="I363" s="107"/>
      <c r="J363" s="123" t="str">
        <f t="shared" si="43"/>
        <v/>
      </c>
      <c r="K363" s="76" t="str">
        <f t="shared" si="44"/>
        <v/>
      </c>
      <c r="L363" s="43"/>
      <c r="M363" s="7"/>
      <c r="N363" s="106"/>
      <c r="R363" s="3" t="str">
        <f t="shared" si="45"/>
        <v/>
      </c>
      <c r="S363" s="3">
        <f t="shared" si="46"/>
        <v>0</v>
      </c>
      <c r="T363" s="3">
        <f t="shared" si="47"/>
        <v>13</v>
      </c>
    </row>
    <row r="364" spans="1:20">
      <c r="A364" s="74" t="str">
        <f t="shared" si="40"/>
        <v/>
      </c>
      <c r="B364" s="75" t="str">
        <f>IFERROR(INDEX(对接源_01入库吨位!$B$5:$B$304,MATCH(INT((ROW()-5)/3)+1,对接源_01入库吨位!$S$5:$S$304,0)),"")</f>
        <v/>
      </c>
      <c r="C364" s="75" t="str">
        <f>IFERROR(INDEX(对接源_01入库吨位!$C$5:$C$304,MATCH(INT((ROW()-5)/3)+1,对接源_01入库吨位!$S$5:$S$304,0)),"")</f>
        <v/>
      </c>
      <c r="D364" s="89" t="str">
        <f t="shared" si="41"/>
        <v/>
      </c>
      <c r="E364" s="42" t="str">
        <f>IF($B364="","",IFERROR(IF($D364="周转打冷",N(INDEX(对接源_01入库吨位!$D$5:$D$304,MATCH(INT((ROW()-5)/3)+1,对接源_01入库吨位!$S$5:$S$304,0))),IF($D364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4" s="76" t="str">
        <f>IF($B364="","",ROUND(IFERROR(IF($D364="周转打冷",N(INDEX(对接源_01入库吨位!$H$5:$H$304,MATCH(INT((ROW()-5)/3)+1,对接源_01入库吨位!$S$5:$S$304,0))),IF($D364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4" s="122" t="str">
        <f t="shared" si="42"/>
        <v/>
      </c>
      <c r="H364" s="43"/>
      <c r="I364" s="107"/>
      <c r="J364" s="123" t="str">
        <f t="shared" si="43"/>
        <v/>
      </c>
      <c r="K364" s="76" t="str">
        <f t="shared" si="44"/>
        <v/>
      </c>
      <c r="L364" s="43"/>
      <c r="M364" s="7"/>
      <c r="N364" s="106"/>
      <c r="R364" s="3" t="str">
        <f t="shared" si="45"/>
        <v/>
      </c>
      <c r="S364" s="3">
        <f t="shared" si="46"/>
        <v>0</v>
      </c>
      <c r="T364" s="3">
        <f t="shared" si="47"/>
        <v>13</v>
      </c>
    </row>
    <row r="365" spans="1:20">
      <c r="A365" s="74" t="str">
        <f t="shared" si="40"/>
        <v/>
      </c>
      <c r="B365" s="75" t="str">
        <f>IFERROR(INDEX(对接源_01入库吨位!$B$5:$B$304,MATCH(INT((ROW()-5)/3)+1,对接源_01入库吨位!$S$5:$S$304,0)),"")</f>
        <v/>
      </c>
      <c r="C365" s="75" t="str">
        <f>IFERROR(INDEX(对接源_01入库吨位!$C$5:$C$304,MATCH(INT((ROW()-5)/3)+1,对接源_01入库吨位!$S$5:$S$304,0)),"")</f>
        <v/>
      </c>
      <c r="D365" s="89" t="str">
        <f t="shared" si="41"/>
        <v/>
      </c>
      <c r="E365" s="42" t="str">
        <f>IF($B365="","",IFERROR(IF($D365="周转打冷",N(INDEX(对接源_01入库吨位!$D$5:$D$304,MATCH(INT((ROW()-5)/3)+1,对接源_01入库吨位!$S$5:$S$304,0))),IF($D365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5" s="76" t="str">
        <f>IF($B365="","",ROUND(IFERROR(IF($D365="周转打冷",N(INDEX(对接源_01入库吨位!$H$5:$H$304,MATCH(INT((ROW()-5)/3)+1,对接源_01入库吨位!$S$5:$S$304,0))),IF($D365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5" s="122" t="str">
        <f t="shared" si="42"/>
        <v/>
      </c>
      <c r="H365" s="43"/>
      <c r="I365" s="107"/>
      <c r="J365" s="123" t="str">
        <f t="shared" si="43"/>
        <v/>
      </c>
      <c r="K365" s="76" t="str">
        <f t="shared" si="44"/>
        <v/>
      </c>
      <c r="L365" s="43"/>
      <c r="M365" s="7"/>
      <c r="N365" s="106"/>
      <c r="R365" s="3" t="str">
        <f t="shared" si="45"/>
        <v/>
      </c>
      <c r="S365" s="3">
        <f t="shared" si="46"/>
        <v>0</v>
      </c>
      <c r="T365" s="3">
        <f t="shared" si="47"/>
        <v>13</v>
      </c>
    </row>
    <row r="366" spans="1:20">
      <c r="A366" s="74" t="str">
        <f t="shared" si="40"/>
        <v/>
      </c>
      <c r="B366" s="75" t="str">
        <f>IFERROR(INDEX(对接源_01入库吨位!$B$5:$B$304,MATCH(INT((ROW()-5)/3)+1,对接源_01入库吨位!$S$5:$S$304,0)),"")</f>
        <v/>
      </c>
      <c r="C366" s="75" t="str">
        <f>IFERROR(INDEX(对接源_01入库吨位!$C$5:$C$304,MATCH(INT((ROW()-5)/3)+1,对接源_01入库吨位!$S$5:$S$304,0)),"")</f>
        <v/>
      </c>
      <c r="D366" s="89" t="str">
        <f t="shared" si="41"/>
        <v/>
      </c>
      <c r="E366" s="42" t="str">
        <f>IF($B366="","",IFERROR(IF($D366="周转打冷",N(INDEX(对接源_01入库吨位!$D$5:$D$304,MATCH(INT((ROW()-5)/3)+1,对接源_01入库吨位!$S$5:$S$304,0))),IF($D366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6" s="76" t="str">
        <f>IF($B366="","",ROUND(IFERROR(IF($D366="周转打冷",N(INDEX(对接源_01入库吨位!$H$5:$H$304,MATCH(INT((ROW()-5)/3)+1,对接源_01入库吨位!$S$5:$S$304,0))),IF($D366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6" s="122" t="str">
        <f t="shared" si="42"/>
        <v/>
      </c>
      <c r="H366" s="43"/>
      <c r="I366" s="107"/>
      <c r="J366" s="123" t="str">
        <f t="shared" si="43"/>
        <v/>
      </c>
      <c r="K366" s="76" t="str">
        <f t="shared" si="44"/>
        <v/>
      </c>
      <c r="L366" s="43"/>
      <c r="M366" s="7"/>
      <c r="N366" s="106"/>
      <c r="R366" s="3" t="str">
        <f t="shared" si="45"/>
        <v/>
      </c>
      <c r="S366" s="3">
        <f t="shared" si="46"/>
        <v>0</v>
      </c>
      <c r="T366" s="3">
        <f t="shared" si="47"/>
        <v>13</v>
      </c>
    </row>
    <row r="367" spans="1:20">
      <c r="A367" s="74" t="str">
        <f t="shared" si="40"/>
        <v/>
      </c>
      <c r="B367" s="75" t="str">
        <f>IFERROR(INDEX(对接源_01入库吨位!$B$5:$B$304,MATCH(INT((ROW()-5)/3)+1,对接源_01入库吨位!$S$5:$S$304,0)),"")</f>
        <v/>
      </c>
      <c r="C367" s="75" t="str">
        <f>IFERROR(INDEX(对接源_01入库吨位!$C$5:$C$304,MATCH(INT((ROW()-5)/3)+1,对接源_01入库吨位!$S$5:$S$304,0)),"")</f>
        <v/>
      </c>
      <c r="D367" s="89" t="str">
        <f t="shared" si="41"/>
        <v/>
      </c>
      <c r="E367" s="42" t="str">
        <f>IF($B367="","",IFERROR(IF($D367="周转打冷",N(INDEX(对接源_01入库吨位!$D$5:$D$304,MATCH(INT((ROW()-5)/3)+1,对接源_01入库吨位!$S$5:$S$304,0))),IF($D367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7" s="76" t="str">
        <f>IF($B367="","",ROUND(IFERROR(IF($D367="周转打冷",N(INDEX(对接源_01入库吨位!$H$5:$H$304,MATCH(INT((ROW()-5)/3)+1,对接源_01入库吨位!$S$5:$S$304,0))),IF($D367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7" s="122" t="str">
        <f t="shared" si="42"/>
        <v/>
      </c>
      <c r="H367" s="43"/>
      <c r="I367" s="107"/>
      <c r="J367" s="123" t="str">
        <f t="shared" si="43"/>
        <v/>
      </c>
      <c r="K367" s="76" t="str">
        <f t="shared" si="44"/>
        <v/>
      </c>
      <c r="L367" s="43"/>
      <c r="M367" s="7"/>
      <c r="N367" s="106"/>
      <c r="R367" s="3" t="str">
        <f t="shared" si="45"/>
        <v/>
      </c>
      <c r="S367" s="3">
        <f t="shared" si="46"/>
        <v>0</v>
      </c>
      <c r="T367" s="3">
        <f t="shared" si="47"/>
        <v>13</v>
      </c>
    </row>
    <row r="368" spans="1:20">
      <c r="A368" s="74" t="str">
        <f t="shared" si="40"/>
        <v/>
      </c>
      <c r="B368" s="75" t="str">
        <f>IFERROR(INDEX(对接源_01入库吨位!$B$5:$B$304,MATCH(INT((ROW()-5)/3)+1,对接源_01入库吨位!$S$5:$S$304,0)),"")</f>
        <v/>
      </c>
      <c r="C368" s="75" t="str">
        <f>IFERROR(INDEX(对接源_01入库吨位!$C$5:$C$304,MATCH(INT((ROW()-5)/3)+1,对接源_01入库吨位!$S$5:$S$304,0)),"")</f>
        <v/>
      </c>
      <c r="D368" s="89" t="str">
        <f t="shared" si="41"/>
        <v/>
      </c>
      <c r="E368" s="42" t="str">
        <f>IF($B368="","",IFERROR(IF($D368="周转打冷",N(INDEX(对接源_01入库吨位!$D$5:$D$304,MATCH(INT((ROW()-5)/3)+1,对接源_01入库吨位!$S$5:$S$304,0))),IF($D368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8" s="76" t="str">
        <f>IF($B368="","",ROUND(IFERROR(IF($D368="周转打冷",N(INDEX(对接源_01入库吨位!$H$5:$H$304,MATCH(INT((ROW()-5)/3)+1,对接源_01入库吨位!$S$5:$S$304,0))),IF($D368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8" s="122" t="str">
        <f t="shared" si="42"/>
        <v/>
      </c>
      <c r="H368" s="43"/>
      <c r="I368" s="107"/>
      <c r="J368" s="123" t="str">
        <f t="shared" si="43"/>
        <v/>
      </c>
      <c r="K368" s="76" t="str">
        <f t="shared" si="44"/>
        <v/>
      </c>
      <c r="L368" s="43"/>
      <c r="M368" s="7"/>
      <c r="N368" s="106"/>
      <c r="R368" s="3" t="str">
        <f t="shared" si="45"/>
        <v/>
      </c>
      <c r="S368" s="3">
        <f t="shared" si="46"/>
        <v>0</v>
      </c>
      <c r="T368" s="3">
        <f t="shared" si="47"/>
        <v>13</v>
      </c>
    </row>
    <row r="369" spans="1:20">
      <c r="A369" s="74" t="str">
        <f t="shared" si="40"/>
        <v/>
      </c>
      <c r="B369" s="75" t="str">
        <f>IFERROR(INDEX(对接源_01入库吨位!$B$5:$B$304,MATCH(INT((ROW()-5)/3)+1,对接源_01入库吨位!$S$5:$S$304,0)),"")</f>
        <v/>
      </c>
      <c r="C369" s="75" t="str">
        <f>IFERROR(INDEX(对接源_01入库吨位!$C$5:$C$304,MATCH(INT((ROW()-5)/3)+1,对接源_01入库吨位!$S$5:$S$304,0)),"")</f>
        <v/>
      </c>
      <c r="D369" s="89" t="str">
        <f t="shared" si="41"/>
        <v/>
      </c>
      <c r="E369" s="42" t="str">
        <f>IF($B369="","",IFERROR(IF($D369="周转打冷",N(INDEX(对接源_01入库吨位!$D$5:$D$304,MATCH(INT((ROW()-5)/3)+1,对接源_01入库吨位!$S$5:$S$304,0))),IF($D369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9" s="76" t="str">
        <f>IF($B369="","",ROUND(IFERROR(IF($D369="周转打冷",N(INDEX(对接源_01入库吨位!$H$5:$H$304,MATCH(INT((ROW()-5)/3)+1,对接源_01入库吨位!$S$5:$S$304,0))),IF($D369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9" s="122" t="str">
        <f t="shared" si="42"/>
        <v/>
      </c>
      <c r="H369" s="43"/>
      <c r="I369" s="107"/>
      <c r="J369" s="123" t="str">
        <f t="shared" si="43"/>
        <v/>
      </c>
      <c r="K369" s="76" t="str">
        <f t="shared" si="44"/>
        <v/>
      </c>
      <c r="L369" s="43"/>
      <c r="M369" s="7"/>
      <c r="N369" s="106"/>
      <c r="R369" s="3" t="str">
        <f t="shared" si="45"/>
        <v/>
      </c>
      <c r="S369" s="3">
        <f t="shared" si="46"/>
        <v>0</v>
      </c>
      <c r="T369" s="3">
        <f t="shared" si="47"/>
        <v>13</v>
      </c>
    </row>
    <row r="370" spans="1:20">
      <c r="A370" s="74" t="str">
        <f t="shared" si="40"/>
        <v/>
      </c>
      <c r="B370" s="75" t="str">
        <f>IFERROR(INDEX(对接源_01入库吨位!$B$5:$B$304,MATCH(INT((ROW()-5)/3)+1,对接源_01入库吨位!$S$5:$S$304,0)),"")</f>
        <v/>
      </c>
      <c r="C370" s="75" t="str">
        <f>IFERROR(INDEX(对接源_01入库吨位!$C$5:$C$304,MATCH(INT((ROW()-5)/3)+1,对接源_01入库吨位!$S$5:$S$304,0)),"")</f>
        <v/>
      </c>
      <c r="D370" s="89" t="str">
        <f t="shared" si="41"/>
        <v/>
      </c>
      <c r="E370" s="42" t="str">
        <f>IF($B370="","",IFERROR(IF($D370="周转打冷",N(INDEX(对接源_01入库吨位!$D$5:$D$304,MATCH(INT((ROW()-5)/3)+1,对接源_01入库吨位!$S$5:$S$304,0))),IF($D370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0" s="76" t="str">
        <f>IF($B370="","",ROUND(IFERROR(IF($D370="周转打冷",N(INDEX(对接源_01入库吨位!$H$5:$H$304,MATCH(INT((ROW()-5)/3)+1,对接源_01入库吨位!$S$5:$S$304,0))),IF($D370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0" s="122" t="str">
        <f t="shared" si="42"/>
        <v/>
      </c>
      <c r="H370" s="43"/>
      <c r="I370" s="107"/>
      <c r="J370" s="123" t="str">
        <f t="shared" si="43"/>
        <v/>
      </c>
      <c r="K370" s="76" t="str">
        <f t="shared" si="44"/>
        <v/>
      </c>
      <c r="L370" s="43"/>
      <c r="M370" s="7"/>
      <c r="N370" s="106"/>
      <c r="R370" s="3" t="str">
        <f t="shared" si="45"/>
        <v/>
      </c>
      <c r="S370" s="3">
        <f t="shared" si="46"/>
        <v>0</v>
      </c>
      <c r="T370" s="3">
        <f t="shared" si="47"/>
        <v>13</v>
      </c>
    </row>
    <row r="371" spans="1:20">
      <c r="A371" s="74" t="str">
        <f t="shared" si="40"/>
        <v/>
      </c>
      <c r="B371" s="75" t="str">
        <f>IFERROR(INDEX(对接源_01入库吨位!$B$5:$B$304,MATCH(INT((ROW()-5)/3)+1,对接源_01入库吨位!$S$5:$S$304,0)),"")</f>
        <v/>
      </c>
      <c r="C371" s="75" t="str">
        <f>IFERROR(INDEX(对接源_01入库吨位!$C$5:$C$304,MATCH(INT((ROW()-5)/3)+1,对接源_01入库吨位!$S$5:$S$304,0)),"")</f>
        <v/>
      </c>
      <c r="D371" s="89" t="str">
        <f t="shared" si="41"/>
        <v/>
      </c>
      <c r="E371" s="42" t="str">
        <f>IF($B371="","",IFERROR(IF($D371="周转打冷",N(INDEX(对接源_01入库吨位!$D$5:$D$304,MATCH(INT((ROW()-5)/3)+1,对接源_01入库吨位!$S$5:$S$304,0))),IF($D371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1" s="76" t="str">
        <f>IF($B371="","",ROUND(IFERROR(IF($D371="周转打冷",N(INDEX(对接源_01入库吨位!$H$5:$H$304,MATCH(INT((ROW()-5)/3)+1,对接源_01入库吨位!$S$5:$S$304,0))),IF($D371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1" s="122" t="str">
        <f t="shared" si="42"/>
        <v/>
      </c>
      <c r="H371" s="43"/>
      <c r="I371" s="107"/>
      <c r="J371" s="123" t="str">
        <f t="shared" si="43"/>
        <v/>
      </c>
      <c r="K371" s="76" t="str">
        <f t="shared" si="44"/>
        <v/>
      </c>
      <c r="L371" s="43"/>
      <c r="M371" s="7"/>
      <c r="N371" s="106"/>
      <c r="R371" s="3" t="str">
        <f t="shared" si="45"/>
        <v/>
      </c>
      <c r="S371" s="3">
        <f t="shared" si="46"/>
        <v>0</v>
      </c>
      <c r="T371" s="3">
        <f t="shared" si="47"/>
        <v>13</v>
      </c>
    </row>
    <row r="372" spans="1:20">
      <c r="A372" s="74" t="str">
        <f t="shared" si="40"/>
        <v/>
      </c>
      <c r="B372" s="75" t="str">
        <f>IFERROR(INDEX(对接源_01入库吨位!$B$5:$B$304,MATCH(INT((ROW()-5)/3)+1,对接源_01入库吨位!$S$5:$S$304,0)),"")</f>
        <v/>
      </c>
      <c r="C372" s="75" t="str">
        <f>IFERROR(INDEX(对接源_01入库吨位!$C$5:$C$304,MATCH(INT((ROW()-5)/3)+1,对接源_01入库吨位!$S$5:$S$304,0)),"")</f>
        <v/>
      </c>
      <c r="D372" s="89" t="str">
        <f t="shared" si="41"/>
        <v/>
      </c>
      <c r="E372" s="42" t="str">
        <f>IF($B372="","",IFERROR(IF($D372="周转打冷",N(INDEX(对接源_01入库吨位!$D$5:$D$304,MATCH(INT((ROW()-5)/3)+1,对接源_01入库吨位!$S$5:$S$304,0))),IF($D372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2" s="76" t="str">
        <f>IF($B372="","",ROUND(IFERROR(IF($D372="周转打冷",N(INDEX(对接源_01入库吨位!$H$5:$H$304,MATCH(INT((ROW()-5)/3)+1,对接源_01入库吨位!$S$5:$S$304,0))),IF($D372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2" s="122" t="str">
        <f t="shared" si="42"/>
        <v/>
      </c>
      <c r="H372" s="43"/>
      <c r="I372" s="107"/>
      <c r="J372" s="123" t="str">
        <f t="shared" si="43"/>
        <v/>
      </c>
      <c r="K372" s="76" t="str">
        <f t="shared" si="44"/>
        <v/>
      </c>
      <c r="L372" s="43"/>
      <c r="M372" s="7"/>
      <c r="N372" s="106"/>
      <c r="R372" s="3" t="str">
        <f t="shared" si="45"/>
        <v/>
      </c>
      <c r="S372" s="3">
        <f t="shared" si="46"/>
        <v>0</v>
      </c>
      <c r="T372" s="3">
        <f t="shared" si="47"/>
        <v>13</v>
      </c>
    </row>
    <row r="373" spans="1:20">
      <c r="A373" s="74" t="str">
        <f t="shared" si="40"/>
        <v/>
      </c>
      <c r="B373" s="75" t="str">
        <f>IFERROR(INDEX(对接源_01入库吨位!$B$5:$B$304,MATCH(INT((ROW()-5)/3)+1,对接源_01入库吨位!$S$5:$S$304,0)),"")</f>
        <v/>
      </c>
      <c r="C373" s="75" t="str">
        <f>IFERROR(INDEX(对接源_01入库吨位!$C$5:$C$304,MATCH(INT((ROW()-5)/3)+1,对接源_01入库吨位!$S$5:$S$304,0)),"")</f>
        <v/>
      </c>
      <c r="D373" s="89" t="str">
        <f t="shared" si="41"/>
        <v/>
      </c>
      <c r="E373" s="42" t="str">
        <f>IF($B373="","",IFERROR(IF($D373="周转打冷",N(INDEX(对接源_01入库吨位!$D$5:$D$304,MATCH(INT((ROW()-5)/3)+1,对接源_01入库吨位!$S$5:$S$304,0))),IF($D373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3" s="76" t="str">
        <f>IF($B373="","",ROUND(IFERROR(IF($D373="周转打冷",N(INDEX(对接源_01入库吨位!$H$5:$H$304,MATCH(INT((ROW()-5)/3)+1,对接源_01入库吨位!$S$5:$S$304,0))),IF($D373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3" s="122" t="str">
        <f t="shared" si="42"/>
        <v/>
      </c>
      <c r="H373" s="43"/>
      <c r="I373" s="107"/>
      <c r="J373" s="123" t="str">
        <f t="shared" si="43"/>
        <v/>
      </c>
      <c r="K373" s="76" t="str">
        <f t="shared" si="44"/>
        <v/>
      </c>
      <c r="L373" s="43"/>
      <c r="M373" s="7"/>
      <c r="N373" s="106"/>
      <c r="R373" s="3" t="str">
        <f t="shared" si="45"/>
        <v/>
      </c>
      <c r="S373" s="3">
        <f t="shared" si="46"/>
        <v>0</v>
      </c>
      <c r="T373" s="3">
        <f t="shared" si="47"/>
        <v>13</v>
      </c>
    </row>
    <row r="374" spans="1:20">
      <c r="A374" s="74" t="str">
        <f t="shared" si="40"/>
        <v/>
      </c>
      <c r="B374" s="75" t="str">
        <f>IFERROR(INDEX(对接源_01入库吨位!$B$5:$B$304,MATCH(INT((ROW()-5)/3)+1,对接源_01入库吨位!$S$5:$S$304,0)),"")</f>
        <v/>
      </c>
      <c r="C374" s="75" t="str">
        <f>IFERROR(INDEX(对接源_01入库吨位!$C$5:$C$304,MATCH(INT((ROW()-5)/3)+1,对接源_01入库吨位!$S$5:$S$304,0)),"")</f>
        <v/>
      </c>
      <c r="D374" s="89" t="str">
        <f t="shared" si="41"/>
        <v/>
      </c>
      <c r="E374" s="42" t="str">
        <f>IF($B374="","",IFERROR(IF($D374="周转打冷",N(INDEX(对接源_01入库吨位!$D$5:$D$304,MATCH(INT((ROW()-5)/3)+1,对接源_01入库吨位!$S$5:$S$304,0))),IF($D374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4" s="76" t="str">
        <f>IF($B374="","",ROUND(IFERROR(IF($D374="周转打冷",N(INDEX(对接源_01入库吨位!$H$5:$H$304,MATCH(INT((ROW()-5)/3)+1,对接源_01入库吨位!$S$5:$S$304,0))),IF($D374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4" s="122" t="str">
        <f t="shared" si="42"/>
        <v/>
      </c>
      <c r="H374" s="43"/>
      <c r="I374" s="107"/>
      <c r="J374" s="123" t="str">
        <f t="shared" si="43"/>
        <v/>
      </c>
      <c r="K374" s="76" t="str">
        <f t="shared" si="44"/>
        <v/>
      </c>
      <c r="L374" s="43"/>
      <c r="M374" s="7"/>
      <c r="N374" s="106"/>
      <c r="R374" s="3" t="str">
        <f t="shared" si="45"/>
        <v/>
      </c>
      <c r="S374" s="3">
        <f t="shared" si="46"/>
        <v>0</v>
      </c>
      <c r="T374" s="3">
        <f t="shared" si="47"/>
        <v>13</v>
      </c>
    </row>
    <row r="375" spans="1:20">
      <c r="A375" s="74" t="str">
        <f t="shared" si="40"/>
        <v/>
      </c>
      <c r="B375" s="75" t="str">
        <f>IFERROR(INDEX(对接源_01入库吨位!$B$5:$B$304,MATCH(INT((ROW()-5)/3)+1,对接源_01入库吨位!$S$5:$S$304,0)),"")</f>
        <v/>
      </c>
      <c r="C375" s="75" t="str">
        <f>IFERROR(INDEX(对接源_01入库吨位!$C$5:$C$304,MATCH(INT((ROW()-5)/3)+1,对接源_01入库吨位!$S$5:$S$304,0)),"")</f>
        <v/>
      </c>
      <c r="D375" s="89" t="str">
        <f t="shared" si="41"/>
        <v/>
      </c>
      <c r="E375" s="42" t="str">
        <f>IF($B375="","",IFERROR(IF($D375="周转打冷",N(INDEX(对接源_01入库吨位!$D$5:$D$304,MATCH(INT((ROW()-5)/3)+1,对接源_01入库吨位!$S$5:$S$304,0))),IF($D375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5" s="76" t="str">
        <f>IF($B375="","",ROUND(IFERROR(IF($D375="周转打冷",N(INDEX(对接源_01入库吨位!$H$5:$H$304,MATCH(INT((ROW()-5)/3)+1,对接源_01入库吨位!$S$5:$S$304,0))),IF($D375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5" s="122" t="str">
        <f t="shared" si="42"/>
        <v/>
      </c>
      <c r="H375" s="43"/>
      <c r="I375" s="107"/>
      <c r="J375" s="123" t="str">
        <f t="shared" si="43"/>
        <v/>
      </c>
      <c r="K375" s="76" t="str">
        <f t="shared" si="44"/>
        <v/>
      </c>
      <c r="L375" s="43"/>
      <c r="M375" s="7"/>
      <c r="N375" s="106"/>
      <c r="R375" s="3" t="str">
        <f t="shared" si="45"/>
        <v/>
      </c>
      <c r="S375" s="3">
        <f t="shared" si="46"/>
        <v>0</v>
      </c>
      <c r="T375" s="3">
        <f t="shared" si="47"/>
        <v>13</v>
      </c>
    </row>
    <row r="376" spans="1:20">
      <c r="A376" s="74" t="str">
        <f t="shared" si="40"/>
        <v/>
      </c>
      <c r="B376" s="75" t="str">
        <f>IFERROR(INDEX(对接源_01入库吨位!$B$5:$B$304,MATCH(INT((ROW()-5)/3)+1,对接源_01入库吨位!$S$5:$S$304,0)),"")</f>
        <v/>
      </c>
      <c r="C376" s="75" t="str">
        <f>IFERROR(INDEX(对接源_01入库吨位!$C$5:$C$304,MATCH(INT((ROW()-5)/3)+1,对接源_01入库吨位!$S$5:$S$304,0)),"")</f>
        <v/>
      </c>
      <c r="D376" s="89" t="str">
        <f t="shared" si="41"/>
        <v/>
      </c>
      <c r="E376" s="42" t="str">
        <f>IF($B376="","",IFERROR(IF($D376="周转打冷",N(INDEX(对接源_01入库吨位!$D$5:$D$304,MATCH(INT((ROW()-5)/3)+1,对接源_01入库吨位!$S$5:$S$304,0))),IF($D376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6" s="76" t="str">
        <f>IF($B376="","",ROUND(IFERROR(IF($D376="周转打冷",N(INDEX(对接源_01入库吨位!$H$5:$H$304,MATCH(INT((ROW()-5)/3)+1,对接源_01入库吨位!$S$5:$S$304,0))),IF($D376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6" s="122" t="str">
        <f t="shared" si="42"/>
        <v/>
      </c>
      <c r="H376" s="43"/>
      <c r="I376" s="107"/>
      <c r="J376" s="123" t="str">
        <f t="shared" si="43"/>
        <v/>
      </c>
      <c r="K376" s="76" t="str">
        <f t="shared" si="44"/>
        <v/>
      </c>
      <c r="L376" s="43"/>
      <c r="M376" s="7"/>
      <c r="N376" s="106"/>
      <c r="R376" s="3" t="str">
        <f t="shared" si="45"/>
        <v/>
      </c>
      <c r="S376" s="3">
        <f t="shared" si="46"/>
        <v>0</v>
      </c>
      <c r="T376" s="3">
        <f t="shared" si="47"/>
        <v>13</v>
      </c>
    </row>
    <row r="377" spans="1:20">
      <c r="A377" s="74" t="str">
        <f t="shared" si="40"/>
        <v/>
      </c>
      <c r="B377" s="75" t="str">
        <f>IFERROR(INDEX(对接源_01入库吨位!$B$5:$B$304,MATCH(INT((ROW()-5)/3)+1,对接源_01入库吨位!$S$5:$S$304,0)),"")</f>
        <v/>
      </c>
      <c r="C377" s="75" t="str">
        <f>IFERROR(INDEX(对接源_01入库吨位!$C$5:$C$304,MATCH(INT((ROW()-5)/3)+1,对接源_01入库吨位!$S$5:$S$304,0)),"")</f>
        <v/>
      </c>
      <c r="D377" s="89" t="str">
        <f t="shared" si="41"/>
        <v/>
      </c>
      <c r="E377" s="42" t="str">
        <f>IF($B377="","",IFERROR(IF($D377="周转打冷",N(INDEX(对接源_01入库吨位!$D$5:$D$304,MATCH(INT((ROW()-5)/3)+1,对接源_01入库吨位!$S$5:$S$304,0))),IF($D377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7" s="76" t="str">
        <f>IF($B377="","",ROUND(IFERROR(IF($D377="周转打冷",N(INDEX(对接源_01入库吨位!$H$5:$H$304,MATCH(INT((ROW()-5)/3)+1,对接源_01入库吨位!$S$5:$S$304,0))),IF($D377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7" s="122" t="str">
        <f t="shared" si="42"/>
        <v/>
      </c>
      <c r="H377" s="43"/>
      <c r="I377" s="107"/>
      <c r="J377" s="123" t="str">
        <f t="shared" si="43"/>
        <v/>
      </c>
      <c r="K377" s="76" t="str">
        <f t="shared" si="44"/>
        <v/>
      </c>
      <c r="L377" s="43"/>
      <c r="M377" s="7"/>
      <c r="N377" s="106"/>
      <c r="R377" s="3" t="str">
        <f t="shared" si="45"/>
        <v/>
      </c>
      <c r="S377" s="3">
        <f t="shared" si="46"/>
        <v>0</v>
      </c>
      <c r="T377" s="3">
        <f t="shared" si="47"/>
        <v>13</v>
      </c>
    </row>
    <row r="378" spans="1:20">
      <c r="A378" s="74" t="str">
        <f t="shared" si="40"/>
        <v/>
      </c>
      <c r="B378" s="75" t="str">
        <f>IFERROR(INDEX(对接源_01入库吨位!$B$5:$B$304,MATCH(INT((ROW()-5)/3)+1,对接源_01入库吨位!$S$5:$S$304,0)),"")</f>
        <v/>
      </c>
      <c r="C378" s="75" t="str">
        <f>IFERROR(INDEX(对接源_01入库吨位!$C$5:$C$304,MATCH(INT((ROW()-5)/3)+1,对接源_01入库吨位!$S$5:$S$304,0)),"")</f>
        <v/>
      </c>
      <c r="D378" s="89" t="str">
        <f t="shared" si="41"/>
        <v/>
      </c>
      <c r="E378" s="42" t="str">
        <f>IF($B378="","",IFERROR(IF($D378="周转打冷",N(INDEX(对接源_01入库吨位!$D$5:$D$304,MATCH(INT((ROW()-5)/3)+1,对接源_01入库吨位!$S$5:$S$304,0))),IF($D378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8" s="76" t="str">
        <f>IF($B378="","",ROUND(IFERROR(IF($D378="周转打冷",N(INDEX(对接源_01入库吨位!$H$5:$H$304,MATCH(INT((ROW()-5)/3)+1,对接源_01入库吨位!$S$5:$S$304,0))),IF($D378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8" s="122" t="str">
        <f t="shared" si="42"/>
        <v/>
      </c>
      <c r="H378" s="43"/>
      <c r="I378" s="107"/>
      <c r="J378" s="123" t="str">
        <f t="shared" si="43"/>
        <v/>
      </c>
      <c r="K378" s="76" t="str">
        <f t="shared" si="44"/>
        <v/>
      </c>
      <c r="L378" s="43"/>
      <c r="M378" s="7"/>
      <c r="N378" s="106"/>
      <c r="R378" s="3" t="str">
        <f t="shared" si="45"/>
        <v/>
      </c>
      <c r="S378" s="3">
        <f t="shared" si="46"/>
        <v>0</v>
      </c>
      <c r="T378" s="3">
        <f t="shared" si="47"/>
        <v>13</v>
      </c>
    </row>
    <row r="379" spans="1:20">
      <c r="A379" s="74" t="str">
        <f t="shared" si="40"/>
        <v/>
      </c>
      <c r="B379" s="75" t="str">
        <f>IFERROR(INDEX(对接源_01入库吨位!$B$5:$B$304,MATCH(INT((ROW()-5)/3)+1,对接源_01入库吨位!$S$5:$S$304,0)),"")</f>
        <v/>
      </c>
      <c r="C379" s="75" t="str">
        <f>IFERROR(INDEX(对接源_01入库吨位!$C$5:$C$304,MATCH(INT((ROW()-5)/3)+1,对接源_01入库吨位!$S$5:$S$304,0)),"")</f>
        <v/>
      </c>
      <c r="D379" s="89" t="str">
        <f t="shared" si="41"/>
        <v/>
      </c>
      <c r="E379" s="42" t="str">
        <f>IF($B379="","",IFERROR(IF($D379="周转打冷",N(INDEX(对接源_01入库吨位!$D$5:$D$304,MATCH(INT((ROW()-5)/3)+1,对接源_01入库吨位!$S$5:$S$304,0))),IF($D379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9" s="76" t="str">
        <f>IF($B379="","",ROUND(IFERROR(IF($D379="周转打冷",N(INDEX(对接源_01入库吨位!$H$5:$H$304,MATCH(INT((ROW()-5)/3)+1,对接源_01入库吨位!$S$5:$S$304,0))),IF($D379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9" s="122" t="str">
        <f t="shared" si="42"/>
        <v/>
      </c>
      <c r="H379" s="43"/>
      <c r="I379" s="107"/>
      <c r="J379" s="123" t="str">
        <f t="shared" si="43"/>
        <v/>
      </c>
      <c r="K379" s="76" t="str">
        <f t="shared" si="44"/>
        <v/>
      </c>
      <c r="L379" s="43"/>
      <c r="M379" s="7"/>
      <c r="N379" s="106"/>
      <c r="R379" s="3" t="str">
        <f t="shared" si="45"/>
        <v/>
      </c>
      <c r="S379" s="3">
        <f t="shared" si="46"/>
        <v>0</v>
      </c>
      <c r="T379" s="3">
        <f t="shared" si="47"/>
        <v>13</v>
      </c>
    </row>
    <row r="380" spans="1:20">
      <c r="A380" s="74" t="str">
        <f t="shared" si="40"/>
        <v/>
      </c>
      <c r="B380" s="75" t="str">
        <f>IFERROR(INDEX(对接源_01入库吨位!$B$5:$B$304,MATCH(INT((ROW()-5)/3)+1,对接源_01入库吨位!$S$5:$S$304,0)),"")</f>
        <v/>
      </c>
      <c r="C380" s="75" t="str">
        <f>IFERROR(INDEX(对接源_01入库吨位!$C$5:$C$304,MATCH(INT((ROW()-5)/3)+1,对接源_01入库吨位!$S$5:$S$304,0)),"")</f>
        <v/>
      </c>
      <c r="D380" s="89" t="str">
        <f t="shared" si="41"/>
        <v/>
      </c>
      <c r="E380" s="42" t="str">
        <f>IF($B380="","",IFERROR(IF($D380="周转打冷",N(INDEX(对接源_01入库吨位!$D$5:$D$304,MATCH(INT((ROW()-5)/3)+1,对接源_01入库吨位!$S$5:$S$304,0))),IF($D380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0" s="76" t="str">
        <f>IF($B380="","",ROUND(IFERROR(IF($D380="周转打冷",N(INDEX(对接源_01入库吨位!$H$5:$H$304,MATCH(INT((ROW()-5)/3)+1,对接源_01入库吨位!$S$5:$S$304,0))),IF($D380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0" s="122" t="str">
        <f t="shared" si="42"/>
        <v/>
      </c>
      <c r="H380" s="43"/>
      <c r="I380" s="107"/>
      <c r="J380" s="123" t="str">
        <f t="shared" si="43"/>
        <v/>
      </c>
      <c r="K380" s="76" t="str">
        <f t="shared" si="44"/>
        <v/>
      </c>
      <c r="L380" s="43"/>
      <c r="M380" s="7"/>
      <c r="N380" s="106"/>
      <c r="R380" s="3" t="str">
        <f t="shared" si="45"/>
        <v/>
      </c>
      <c r="S380" s="3">
        <f t="shared" si="46"/>
        <v>0</v>
      </c>
      <c r="T380" s="3">
        <f t="shared" si="47"/>
        <v>13</v>
      </c>
    </row>
    <row r="381" spans="1:20">
      <c r="A381" s="74" t="str">
        <f t="shared" si="40"/>
        <v/>
      </c>
      <c r="B381" s="75" t="str">
        <f>IFERROR(INDEX(对接源_01入库吨位!$B$5:$B$304,MATCH(INT((ROW()-5)/3)+1,对接源_01入库吨位!$S$5:$S$304,0)),"")</f>
        <v/>
      </c>
      <c r="C381" s="75" t="str">
        <f>IFERROR(INDEX(对接源_01入库吨位!$C$5:$C$304,MATCH(INT((ROW()-5)/3)+1,对接源_01入库吨位!$S$5:$S$304,0)),"")</f>
        <v/>
      </c>
      <c r="D381" s="89" t="str">
        <f t="shared" si="41"/>
        <v/>
      </c>
      <c r="E381" s="42" t="str">
        <f>IF($B381="","",IFERROR(IF($D381="周转打冷",N(INDEX(对接源_01入库吨位!$D$5:$D$304,MATCH(INT((ROW()-5)/3)+1,对接源_01入库吨位!$S$5:$S$304,0))),IF($D381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1" s="76" t="str">
        <f>IF($B381="","",ROUND(IFERROR(IF($D381="周转打冷",N(INDEX(对接源_01入库吨位!$H$5:$H$304,MATCH(INT((ROW()-5)/3)+1,对接源_01入库吨位!$S$5:$S$304,0))),IF($D381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1" s="122" t="str">
        <f t="shared" si="42"/>
        <v/>
      </c>
      <c r="H381" s="43"/>
      <c r="I381" s="107"/>
      <c r="J381" s="123" t="str">
        <f t="shared" si="43"/>
        <v/>
      </c>
      <c r="K381" s="76" t="str">
        <f t="shared" si="44"/>
        <v/>
      </c>
      <c r="L381" s="43"/>
      <c r="M381" s="7"/>
      <c r="N381" s="106"/>
      <c r="R381" s="3" t="str">
        <f t="shared" si="45"/>
        <v/>
      </c>
      <c r="S381" s="3">
        <f t="shared" si="46"/>
        <v>0</v>
      </c>
      <c r="T381" s="3">
        <f t="shared" si="47"/>
        <v>13</v>
      </c>
    </row>
    <row r="382" spans="1:20">
      <c r="A382" s="74" t="str">
        <f t="shared" si="40"/>
        <v/>
      </c>
      <c r="B382" s="75" t="str">
        <f>IFERROR(INDEX(对接源_01入库吨位!$B$5:$B$304,MATCH(INT((ROW()-5)/3)+1,对接源_01入库吨位!$S$5:$S$304,0)),"")</f>
        <v/>
      </c>
      <c r="C382" s="75" t="str">
        <f>IFERROR(INDEX(对接源_01入库吨位!$C$5:$C$304,MATCH(INT((ROW()-5)/3)+1,对接源_01入库吨位!$S$5:$S$304,0)),"")</f>
        <v/>
      </c>
      <c r="D382" s="89" t="str">
        <f t="shared" si="41"/>
        <v/>
      </c>
      <c r="E382" s="42" t="str">
        <f>IF($B382="","",IFERROR(IF($D382="周转打冷",N(INDEX(对接源_01入库吨位!$D$5:$D$304,MATCH(INT((ROW()-5)/3)+1,对接源_01入库吨位!$S$5:$S$304,0))),IF($D382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2" s="76" t="str">
        <f>IF($B382="","",ROUND(IFERROR(IF($D382="周转打冷",N(INDEX(对接源_01入库吨位!$H$5:$H$304,MATCH(INT((ROW()-5)/3)+1,对接源_01入库吨位!$S$5:$S$304,0))),IF($D382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2" s="122" t="str">
        <f t="shared" si="42"/>
        <v/>
      </c>
      <c r="H382" s="43"/>
      <c r="I382" s="107"/>
      <c r="J382" s="123" t="str">
        <f t="shared" si="43"/>
        <v/>
      </c>
      <c r="K382" s="76" t="str">
        <f t="shared" si="44"/>
        <v/>
      </c>
      <c r="L382" s="43"/>
      <c r="M382" s="7"/>
      <c r="N382" s="106"/>
      <c r="R382" s="3" t="str">
        <f t="shared" si="45"/>
        <v/>
      </c>
      <c r="S382" s="3">
        <f t="shared" si="46"/>
        <v>0</v>
      </c>
      <c r="T382" s="3">
        <f t="shared" si="47"/>
        <v>13</v>
      </c>
    </row>
    <row r="383" spans="1:20">
      <c r="A383" s="74" t="str">
        <f t="shared" si="40"/>
        <v/>
      </c>
      <c r="B383" s="75" t="str">
        <f>IFERROR(INDEX(对接源_01入库吨位!$B$5:$B$304,MATCH(INT((ROW()-5)/3)+1,对接源_01入库吨位!$S$5:$S$304,0)),"")</f>
        <v/>
      </c>
      <c r="C383" s="75" t="str">
        <f>IFERROR(INDEX(对接源_01入库吨位!$C$5:$C$304,MATCH(INT((ROW()-5)/3)+1,对接源_01入库吨位!$S$5:$S$304,0)),"")</f>
        <v/>
      </c>
      <c r="D383" s="89" t="str">
        <f t="shared" si="41"/>
        <v/>
      </c>
      <c r="E383" s="42" t="str">
        <f>IF($B383="","",IFERROR(IF($D383="周转打冷",N(INDEX(对接源_01入库吨位!$D$5:$D$304,MATCH(INT((ROW()-5)/3)+1,对接源_01入库吨位!$S$5:$S$304,0))),IF($D383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3" s="76" t="str">
        <f>IF($B383="","",ROUND(IFERROR(IF($D383="周转打冷",N(INDEX(对接源_01入库吨位!$H$5:$H$304,MATCH(INT((ROW()-5)/3)+1,对接源_01入库吨位!$S$5:$S$304,0))),IF($D383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3" s="122" t="str">
        <f t="shared" si="42"/>
        <v/>
      </c>
      <c r="H383" s="43"/>
      <c r="I383" s="107"/>
      <c r="J383" s="123" t="str">
        <f t="shared" si="43"/>
        <v/>
      </c>
      <c r="K383" s="76" t="str">
        <f t="shared" si="44"/>
        <v/>
      </c>
      <c r="L383" s="43"/>
      <c r="M383" s="7"/>
      <c r="N383" s="106"/>
      <c r="R383" s="3" t="str">
        <f t="shared" si="45"/>
        <v/>
      </c>
      <c r="S383" s="3">
        <f t="shared" si="46"/>
        <v>0</v>
      </c>
      <c r="T383" s="3">
        <f t="shared" si="47"/>
        <v>13</v>
      </c>
    </row>
    <row r="384" spans="1:20">
      <c r="A384" s="74" t="str">
        <f t="shared" si="40"/>
        <v/>
      </c>
      <c r="B384" s="75" t="str">
        <f>IFERROR(INDEX(对接源_01入库吨位!$B$5:$B$304,MATCH(INT((ROW()-5)/3)+1,对接源_01入库吨位!$S$5:$S$304,0)),"")</f>
        <v/>
      </c>
      <c r="C384" s="75" t="str">
        <f>IFERROR(INDEX(对接源_01入库吨位!$C$5:$C$304,MATCH(INT((ROW()-5)/3)+1,对接源_01入库吨位!$S$5:$S$304,0)),"")</f>
        <v/>
      </c>
      <c r="D384" s="89" t="str">
        <f t="shared" si="41"/>
        <v/>
      </c>
      <c r="E384" s="42" t="str">
        <f>IF($B384="","",IFERROR(IF($D384="周转打冷",N(INDEX(对接源_01入库吨位!$D$5:$D$304,MATCH(INT((ROW()-5)/3)+1,对接源_01入库吨位!$S$5:$S$304,0))),IF($D384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4" s="76" t="str">
        <f>IF($B384="","",ROUND(IFERROR(IF($D384="周转打冷",N(INDEX(对接源_01入库吨位!$H$5:$H$304,MATCH(INT((ROW()-5)/3)+1,对接源_01入库吨位!$S$5:$S$304,0))),IF($D384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4" s="122" t="str">
        <f t="shared" si="42"/>
        <v/>
      </c>
      <c r="H384" s="43"/>
      <c r="I384" s="107"/>
      <c r="J384" s="123" t="str">
        <f t="shared" si="43"/>
        <v/>
      </c>
      <c r="K384" s="76" t="str">
        <f t="shared" si="44"/>
        <v/>
      </c>
      <c r="L384" s="43"/>
      <c r="M384" s="7"/>
      <c r="N384" s="106"/>
      <c r="R384" s="3" t="str">
        <f t="shared" si="45"/>
        <v/>
      </c>
      <c r="S384" s="3">
        <f t="shared" si="46"/>
        <v>0</v>
      </c>
      <c r="T384" s="3">
        <f t="shared" si="47"/>
        <v>13</v>
      </c>
    </row>
    <row r="385" spans="1:20">
      <c r="A385" s="74" t="str">
        <f t="shared" si="40"/>
        <v/>
      </c>
      <c r="B385" s="75" t="str">
        <f>IFERROR(INDEX(对接源_01入库吨位!$B$5:$B$304,MATCH(INT((ROW()-5)/3)+1,对接源_01入库吨位!$S$5:$S$304,0)),"")</f>
        <v/>
      </c>
      <c r="C385" s="75" t="str">
        <f>IFERROR(INDEX(对接源_01入库吨位!$C$5:$C$304,MATCH(INT((ROW()-5)/3)+1,对接源_01入库吨位!$S$5:$S$304,0)),"")</f>
        <v/>
      </c>
      <c r="D385" s="89" t="str">
        <f t="shared" si="41"/>
        <v/>
      </c>
      <c r="E385" s="42" t="str">
        <f>IF($B385="","",IFERROR(IF($D385="周转打冷",N(INDEX(对接源_01入库吨位!$D$5:$D$304,MATCH(INT((ROW()-5)/3)+1,对接源_01入库吨位!$S$5:$S$304,0))),IF($D385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5" s="76" t="str">
        <f>IF($B385="","",ROUND(IFERROR(IF($D385="周转打冷",N(INDEX(对接源_01入库吨位!$H$5:$H$304,MATCH(INT((ROW()-5)/3)+1,对接源_01入库吨位!$S$5:$S$304,0))),IF($D385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5" s="122" t="str">
        <f t="shared" si="42"/>
        <v/>
      </c>
      <c r="H385" s="43"/>
      <c r="I385" s="107"/>
      <c r="J385" s="123" t="str">
        <f t="shared" si="43"/>
        <v/>
      </c>
      <c r="K385" s="76" t="str">
        <f t="shared" si="44"/>
        <v/>
      </c>
      <c r="L385" s="43"/>
      <c r="M385" s="7"/>
      <c r="N385" s="106"/>
      <c r="R385" s="3" t="str">
        <f t="shared" si="45"/>
        <v/>
      </c>
      <c r="S385" s="3">
        <f t="shared" si="46"/>
        <v>0</v>
      </c>
      <c r="T385" s="3">
        <f t="shared" si="47"/>
        <v>13</v>
      </c>
    </row>
    <row r="386" spans="1:20">
      <c r="A386" s="74" t="str">
        <f t="shared" si="40"/>
        <v/>
      </c>
      <c r="B386" s="75" t="str">
        <f>IFERROR(INDEX(对接源_01入库吨位!$B$5:$B$304,MATCH(INT((ROW()-5)/3)+1,对接源_01入库吨位!$S$5:$S$304,0)),"")</f>
        <v/>
      </c>
      <c r="C386" s="75" t="str">
        <f>IFERROR(INDEX(对接源_01入库吨位!$C$5:$C$304,MATCH(INT((ROW()-5)/3)+1,对接源_01入库吨位!$S$5:$S$304,0)),"")</f>
        <v/>
      </c>
      <c r="D386" s="89" t="str">
        <f t="shared" si="41"/>
        <v/>
      </c>
      <c r="E386" s="42" t="str">
        <f>IF($B386="","",IFERROR(IF($D386="周转打冷",N(INDEX(对接源_01入库吨位!$D$5:$D$304,MATCH(INT((ROW()-5)/3)+1,对接源_01入库吨位!$S$5:$S$304,0))),IF($D386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6" s="76" t="str">
        <f>IF($B386="","",ROUND(IFERROR(IF($D386="周转打冷",N(INDEX(对接源_01入库吨位!$H$5:$H$304,MATCH(INT((ROW()-5)/3)+1,对接源_01入库吨位!$S$5:$S$304,0))),IF($D386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6" s="122" t="str">
        <f t="shared" si="42"/>
        <v/>
      </c>
      <c r="H386" s="43"/>
      <c r="I386" s="107"/>
      <c r="J386" s="123" t="str">
        <f t="shared" si="43"/>
        <v/>
      </c>
      <c r="K386" s="76" t="str">
        <f t="shared" si="44"/>
        <v/>
      </c>
      <c r="L386" s="43"/>
      <c r="M386" s="7"/>
      <c r="N386" s="106"/>
      <c r="R386" s="3" t="str">
        <f t="shared" si="45"/>
        <v/>
      </c>
      <c r="S386" s="3">
        <f t="shared" si="46"/>
        <v>0</v>
      </c>
      <c r="T386" s="3">
        <f t="shared" si="47"/>
        <v>13</v>
      </c>
    </row>
    <row r="387" spans="1:20">
      <c r="A387" s="74" t="str">
        <f t="shared" si="40"/>
        <v/>
      </c>
      <c r="B387" s="75" t="str">
        <f>IFERROR(INDEX(对接源_01入库吨位!$B$5:$B$304,MATCH(INT((ROW()-5)/3)+1,对接源_01入库吨位!$S$5:$S$304,0)),"")</f>
        <v/>
      </c>
      <c r="C387" s="75" t="str">
        <f>IFERROR(INDEX(对接源_01入库吨位!$C$5:$C$304,MATCH(INT((ROW()-5)/3)+1,对接源_01入库吨位!$S$5:$S$304,0)),"")</f>
        <v/>
      </c>
      <c r="D387" s="89" t="str">
        <f t="shared" si="41"/>
        <v/>
      </c>
      <c r="E387" s="42" t="str">
        <f>IF($B387="","",IFERROR(IF($D387="周转打冷",N(INDEX(对接源_01入库吨位!$D$5:$D$304,MATCH(INT((ROW()-5)/3)+1,对接源_01入库吨位!$S$5:$S$304,0))),IF($D387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7" s="76" t="str">
        <f>IF($B387="","",ROUND(IFERROR(IF($D387="周转打冷",N(INDEX(对接源_01入库吨位!$H$5:$H$304,MATCH(INT((ROW()-5)/3)+1,对接源_01入库吨位!$S$5:$S$304,0))),IF($D387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7" s="122" t="str">
        <f t="shared" si="42"/>
        <v/>
      </c>
      <c r="H387" s="43"/>
      <c r="I387" s="107"/>
      <c r="J387" s="123" t="str">
        <f t="shared" si="43"/>
        <v/>
      </c>
      <c r="K387" s="76" t="str">
        <f t="shared" si="44"/>
        <v/>
      </c>
      <c r="L387" s="43"/>
      <c r="M387" s="7"/>
      <c r="N387" s="106"/>
      <c r="R387" s="3" t="str">
        <f t="shared" si="45"/>
        <v/>
      </c>
      <c r="S387" s="3">
        <f t="shared" si="46"/>
        <v>0</v>
      </c>
      <c r="T387" s="3">
        <f t="shared" si="47"/>
        <v>13</v>
      </c>
    </row>
    <row r="388" spans="1:20">
      <c r="A388" s="74" t="str">
        <f t="shared" si="40"/>
        <v/>
      </c>
      <c r="B388" s="75" t="str">
        <f>IFERROR(INDEX(对接源_01入库吨位!$B$5:$B$304,MATCH(INT((ROW()-5)/3)+1,对接源_01入库吨位!$S$5:$S$304,0)),"")</f>
        <v/>
      </c>
      <c r="C388" s="75" t="str">
        <f>IFERROR(INDEX(对接源_01入库吨位!$C$5:$C$304,MATCH(INT((ROW()-5)/3)+1,对接源_01入库吨位!$S$5:$S$304,0)),"")</f>
        <v/>
      </c>
      <c r="D388" s="89" t="str">
        <f t="shared" si="41"/>
        <v/>
      </c>
      <c r="E388" s="42" t="str">
        <f>IF($B388="","",IFERROR(IF($D388="周转打冷",N(INDEX(对接源_01入库吨位!$D$5:$D$304,MATCH(INT((ROW()-5)/3)+1,对接源_01入库吨位!$S$5:$S$304,0))),IF($D388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8" s="76" t="str">
        <f>IF($B388="","",ROUND(IFERROR(IF($D388="周转打冷",N(INDEX(对接源_01入库吨位!$H$5:$H$304,MATCH(INT((ROW()-5)/3)+1,对接源_01入库吨位!$S$5:$S$304,0))),IF($D388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8" s="122" t="str">
        <f t="shared" si="42"/>
        <v/>
      </c>
      <c r="H388" s="43"/>
      <c r="I388" s="107"/>
      <c r="J388" s="123" t="str">
        <f t="shared" si="43"/>
        <v/>
      </c>
      <c r="K388" s="76" t="str">
        <f t="shared" si="44"/>
        <v/>
      </c>
      <c r="L388" s="43"/>
      <c r="M388" s="7"/>
      <c r="N388" s="106"/>
      <c r="R388" s="3" t="str">
        <f t="shared" si="45"/>
        <v/>
      </c>
      <c r="S388" s="3">
        <f t="shared" si="46"/>
        <v>0</v>
      </c>
      <c r="T388" s="3">
        <f t="shared" si="47"/>
        <v>13</v>
      </c>
    </row>
    <row r="389" spans="1:20">
      <c r="A389" s="74" t="str">
        <f t="shared" ref="A389:A452" si="48">IF($B389="","",ROW()-4)</f>
        <v/>
      </c>
      <c r="B389" s="75" t="str">
        <f>IFERROR(INDEX(对接源_01入库吨位!$B$5:$B$304,MATCH(INT((ROW()-5)/3)+1,对接源_01入库吨位!$S$5:$S$304,0)),"")</f>
        <v/>
      </c>
      <c r="C389" s="75" t="str">
        <f>IFERROR(INDEX(对接源_01入库吨位!$C$5:$C$304,MATCH(INT((ROW()-5)/3)+1,对接源_01入库吨位!$S$5:$S$304,0)),"")</f>
        <v/>
      </c>
      <c r="D389" s="89" t="str">
        <f t="shared" ref="D389:D452" si="49">IF($B389="","",IF(MOD(ROW()-5,3)=0,"周转打冷",IF(MOD(ROW()-5,3)=1,"仓储加工","装卸费")))</f>
        <v/>
      </c>
      <c r="E389" s="42" t="str">
        <f>IF($B389="","",IFERROR(IF($D389="周转打冷",N(INDEX(对接源_01入库吨位!$D$5:$D$304,MATCH(INT((ROW()-5)/3)+1,对接源_01入库吨位!$S$5:$S$304,0))),IF($D389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9" s="76" t="str">
        <f>IF($B389="","",ROUND(IFERROR(IF($D389="周转打冷",N(INDEX(对接源_01入库吨位!$H$5:$H$304,MATCH(INT((ROW()-5)/3)+1,对接源_01入库吨位!$S$5:$S$304,0))),IF($D389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9" s="122" t="str">
        <f t="shared" ref="G389:G452" si="50">IF($B389="","",ROUND(N($F389)/1000,3))</f>
        <v/>
      </c>
      <c r="H389" s="43"/>
      <c r="I389" s="107"/>
      <c r="J389" s="123" t="str">
        <f t="shared" ref="J389:J452" si="51">IF($B389="","",IF($H389="按筐数×单价",N($E389),IF($H389="按总重KG×单价",N($F389),IF($H389="按吨位×单价",N($G389),0))))</f>
        <v/>
      </c>
      <c r="K389" s="76" t="str">
        <f t="shared" ref="K389:K452" si="52">IF($B389="","",ROUND(N($J389)*N($I389),2))</f>
        <v/>
      </c>
      <c r="L389" s="43"/>
      <c r="M389" s="7"/>
      <c r="N389" s="106"/>
      <c r="R389" s="3" t="str">
        <f t="shared" ref="R389:R452" si="53">IF($B389="","",$B389)</f>
        <v/>
      </c>
      <c r="S389" s="3">
        <f t="shared" ref="S389:S452" si="54">IF($R389="",0,IF(MATCH($R389,$R$5:$R$904,0)=ROW()-4,1,0))</f>
        <v>0</v>
      </c>
      <c r="T389" s="3">
        <f t="shared" ref="T389:T452" si="55">N(T388)+$S389</f>
        <v>13</v>
      </c>
    </row>
    <row r="390" spans="1:20">
      <c r="A390" s="74" t="str">
        <f t="shared" si="48"/>
        <v/>
      </c>
      <c r="B390" s="75" t="str">
        <f>IFERROR(INDEX(对接源_01入库吨位!$B$5:$B$304,MATCH(INT((ROW()-5)/3)+1,对接源_01入库吨位!$S$5:$S$304,0)),"")</f>
        <v/>
      </c>
      <c r="C390" s="75" t="str">
        <f>IFERROR(INDEX(对接源_01入库吨位!$C$5:$C$304,MATCH(INT((ROW()-5)/3)+1,对接源_01入库吨位!$S$5:$S$304,0)),"")</f>
        <v/>
      </c>
      <c r="D390" s="89" t="str">
        <f t="shared" si="49"/>
        <v/>
      </c>
      <c r="E390" s="42" t="str">
        <f>IF($B390="","",IFERROR(IF($D390="周转打冷",N(INDEX(对接源_01入库吨位!$D$5:$D$304,MATCH(INT((ROW()-5)/3)+1,对接源_01入库吨位!$S$5:$S$304,0))),IF($D390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0" s="76" t="str">
        <f>IF($B390="","",ROUND(IFERROR(IF($D390="周转打冷",N(INDEX(对接源_01入库吨位!$H$5:$H$304,MATCH(INT((ROW()-5)/3)+1,对接源_01入库吨位!$S$5:$S$304,0))),IF($D390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0" s="122" t="str">
        <f t="shared" si="50"/>
        <v/>
      </c>
      <c r="H390" s="43"/>
      <c r="I390" s="107"/>
      <c r="J390" s="123" t="str">
        <f t="shared" si="51"/>
        <v/>
      </c>
      <c r="K390" s="76" t="str">
        <f t="shared" si="52"/>
        <v/>
      </c>
      <c r="L390" s="43"/>
      <c r="M390" s="7"/>
      <c r="N390" s="106"/>
      <c r="R390" s="3" t="str">
        <f t="shared" si="53"/>
        <v/>
      </c>
      <c r="S390" s="3">
        <f t="shared" si="54"/>
        <v>0</v>
      </c>
      <c r="T390" s="3">
        <f t="shared" si="55"/>
        <v>13</v>
      </c>
    </row>
    <row r="391" spans="1:20">
      <c r="A391" s="74" t="str">
        <f t="shared" si="48"/>
        <v/>
      </c>
      <c r="B391" s="75" t="str">
        <f>IFERROR(INDEX(对接源_01入库吨位!$B$5:$B$304,MATCH(INT((ROW()-5)/3)+1,对接源_01入库吨位!$S$5:$S$304,0)),"")</f>
        <v/>
      </c>
      <c r="C391" s="75" t="str">
        <f>IFERROR(INDEX(对接源_01入库吨位!$C$5:$C$304,MATCH(INT((ROW()-5)/3)+1,对接源_01入库吨位!$S$5:$S$304,0)),"")</f>
        <v/>
      </c>
      <c r="D391" s="89" t="str">
        <f t="shared" si="49"/>
        <v/>
      </c>
      <c r="E391" s="42" t="str">
        <f>IF($B391="","",IFERROR(IF($D391="周转打冷",N(INDEX(对接源_01入库吨位!$D$5:$D$304,MATCH(INT((ROW()-5)/3)+1,对接源_01入库吨位!$S$5:$S$304,0))),IF($D391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1" s="76" t="str">
        <f>IF($B391="","",ROUND(IFERROR(IF($D391="周转打冷",N(INDEX(对接源_01入库吨位!$H$5:$H$304,MATCH(INT((ROW()-5)/3)+1,对接源_01入库吨位!$S$5:$S$304,0))),IF($D391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1" s="122" t="str">
        <f t="shared" si="50"/>
        <v/>
      </c>
      <c r="H391" s="43"/>
      <c r="I391" s="107"/>
      <c r="J391" s="123" t="str">
        <f t="shared" si="51"/>
        <v/>
      </c>
      <c r="K391" s="76" t="str">
        <f t="shared" si="52"/>
        <v/>
      </c>
      <c r="L391" s="43"/>
      <c r="M391" s="7"/>
      <c r="N391" s="106"/>
      <c r="R391" s="3" t="str">
        <f t="shared" si="53"/>
        <v/>
      </c>
      <c r="S391" s="3">
        <f t="shared" si="54"/>
        <v>0</v>
      </c>
      <c r="T391" s="3">
        <f t="shared" si="55"/>
        <v>13</v>
      </c>
    </row>
    <row r="392" spans="1:20">
      <c r="A392" s="74" t="str">
        <f t="shared" si="48"/>
        <v/>
      </c>
      <c r="B392" s="75" t="str">
        <f>IFERROR(INDEX(对接源_01入库吨位!$B$5:$B$304,MATCH(INT((ROW()-5)/3)+1,对接源_01入库吨位!$S$5:$S$304,0)),"")</f>
        <v/>
      </c>
      <c r="C392" s="75" t="str">
        <f>IFERROR(INDEX(对接源_01入库吨位!$C$5:$C$304,MATCH(INT((ROW()-5)/3)+1,对接源_01入库吨位!$S$5:$S$304,0)),"")</f>
        <v/>
      </c>
      <c r="D392" s="89" t="str">
        <f t="shared" si="49"/>
        <v/>
      </c>
      <c r="E392" s="42" t="str">
        <f>IF($B392="","",IFERROR(IF($D392="周转打冷",N(INDEX(对接源_01入库吨位!$D$5:$D$304,MATCH(INT((ROW()-5)/3)+1,对接源_01入库吨位!$S$5:$S$304,0))),IF($D392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2" s="76" t="str">
        <f>IF($B392="","",ROUND(IFERROR(IF($D392="周转打冷",N(INDEX(对接源_01入库吨位!$H$5:$H$304,MATCH(INT((ROW()-5)/3)+1,对接源_01入库吨位!$S$5:$S$304,0))),IF($D392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2" s="122" t="str">
        <f t="shared" si="50"/>
        <v/>
      </c>
      <c r="H392" s="43"/>
      <c r="I392" s="107"/>
      <c r="J392" s="123" t="str">
        <f t="shared" si="51"/>
        <v/>
      </c>
      <c r="K392" s="76" t="str">
        <f t="shared" si="52"/>
        <v/>
      </c>
      <c r="L392" s="43"/>
      <c r="M392" s="7"/>
      <c r="N392" s="106"/>
      <c r="R392" s="3" t="str">
        <f t="shared" si="53"/>
        <v/>
      </c>
      <c r="S392" s="3">
        <f t="shared" si="54"/>
        <v>0</v>
      </c>
      <c r="T392" s="3">
        <f t="shared" si="55"/>
        <v>13</v>
      </c>
    </row>
    <row r="393" spans="1:20">
      <c r="A393" s="74" t="str">
        <f t="shared" si="48"/>
        <v/>
      </c>
      <c r="B393" s="75" t="str">
        <f>IFERROR(INDEX(对接源_01入库吨位!$B$5:$B$304,MATCH(INT((ROW()-5)/3)+1,对接源_01入库吨位!$S$5:$S$304,0)),"")</f>
        <v/>
      </c>
      <c r="C393" s="75" t="str">
        <f>IFERROR(INDEX(对接源_01入库吨位!$C$5:$C$304,MATCH(INT((ROW()-5)/3)+1,对接源_01入库吨位!$S$5:$S$304,0)),"")</f>
        <v/>
      </c>
      <c r="D393" s="89" t="str">
        <f t="shared" si="49"/>
        <v/>
      </c>
      <c r="E393" s="42" t="str">
        <f>IF($B393="","",IFERROR(IF($D393="周转打冷",N(INDEX(对接源_01入库吨位!$D$5:$D$304,MATCH(INT((ROW()-5)/3)+1,对接源_01入库吨位!$S$5:$S$304,0))),IF($D393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3" s="76" t="str">
        <f>IF($B393="","",ROUND(IFERROR(IF($D393="周转打冷",N(INDEX(对接源_01入库吨位!$H$5:$H$304,MATCH(INT((ROW()-5)/3)+1,对接源_01入库吨位!$S$5:$S$304,0))),IF($D393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3" s="122" t="str">
        <f t="shared" si="50"/>
        <v/>
      </c>
      <c r="H393" s="43"/>
      <c r="I393" s="107"/>
      <c r="J393" s="123" t="str">
        <f t="shared" si="51"/>
        <v/>
      </c>
      <c r="K393" s="76" t="str">
        <f t="shared" si="52"/>
        <v/>
      </c>
      <c r="L393" s="43"/>
      <c r="M393" s="7"/>
      <c r="N393" s="106"/>
      <c r="R393" s="3" t="str">
        <f t="shared" si="53"/>
        <v/>
      </c>
      <c r="S393" s="3">
        <f t="shared" si="54"/>
        <v>0</v>
      </c>
      <c r="T393" s="3">
        <f t="shared" si="55"/>
        <v>13</v>
      </c>
    </row>
    <row r="394" spans="1:20">
      <c r="A394" s="74" t="str">
        <f t="shared" si="48"/>
        <v/>
      </c>
      <c r="B394" s="75" t="str">
        <f>IFERROR(INDEX(对接源_01入库吨位!$B$5:$B$304,MATCH(INT((ROW()-5)/3)+1,对接源_01入库吨位!$S$5:$S$304,0)),"")</f>
        <v/>
      </c>
      <c r="C394" s="75" t="str">
        <f>IFERROR(INDEX(对接源_01入库吨位!$C$5:$C$304,MATCH(INT((ROW()-5)/3)+1,对接源_01入库吨位!$S$5:$S$304,0)),"")</f>
        <v/>
      </c>
      <c r="D394" s="89" t="str">
        <f t="shared" si="49"/>
        <v/>
      </c>
      <c r="E394" s="42" t="str">
        <f>IF($B394="","",IFERROR(IF($D394="周转打冷",N(INDEX(对接源_01入库吨位!$D$5:$D$304,MATCH(INT((ROW()-5)/3)+1,对接源_01入库吨位!$S$5:$S$304,0))),IF($D394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4" s="76" t="str">
        <f>IF($B394="","",ROUND(IFERROR(IF($D394="周转打冷",N(INDEX(对接源_01入库吨位!$H$5:$H$304,MATCH(INT((ROW()-5)/3)+1,对接源_01入库吨位!$S$5:$S$304,0))),IF($D394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4" s="122" t="str">
        <f t="shared" si="50"/>
        <v/>
      </c>
      <c r="H394" s="43"/>
      <c r="I394" s="107"/>
      <c r="J394" s="123" t="str">
        <f t="shared" si="51"/>
        <v/>
      </c>
      <c r="K394" s="76" t="str">
        <f t="shared" si="52"/>
        <v/>
      </c>
      <c r="L394" s="43"/>
      <c r="M394" s="7"/>
      <c r="N394" s="106"/>
      <c r="R394" s="3" t="str">
        <f t="shared" si="53"/>
        <v/>
      </c>
      <c r="S394" s="3">
        <f t="shared" si="54"/>
        <v>0</v>
      </c>
      <c r="T394" s="3">
        <f t="shared" si="55"/>
        <v>13</v>
      </c>
    </row>
    <row r="395" spans="1:20">
      <c r="A395" s="74" t="str">
        <f t="shared" si="48"/>
        <v/>
      </c>
      <c r="B395" s="75" t="str">
        <f>IFERROR(INDEX(对接源_01入库吨位!$B$5:$B$304,MATCH(INT((ROW()-5)/3)+1,对接源_01入库吨位!$S$5:$S$304,0)),"")</f>
        <v/>
      </c>
      <c r="C395" s="75" t="str">
        <f>IFERROR(INDEX(对接源_01入库吨位!$C$5:$C$304,MATCH(INT((ROW()-5)/3)+1,对接源_01入库吨位!$S$5:$S$304,0)),"")</f>
        <v/>
      </c>
      <c r="D395" s="89" t="str">
        <f t="shared" si="49"/>
        <v/>
      </c>
      <c r="E395" s="42" t="str">
        <f>IF($B395="","",IFERROR(IF($D395="周转打冷",N(INDEX(对接源_01入库吨位!$D$5:$D$304,MATCH(INT((ROW()-5)/3)+1,对接源_01入库吨位!$S$5:$S$304,0))),IF($D395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5" s="76" t="str">
        <f>IF($B395="","",ROUND(IFERROR(IF($D395="周转打冷",N(INDEX(对接源_01入库吨位!$H$5:$H$304,MATCH(INT((ROW()-5)/3)+1,对接源_01入库吨位!$S$5:$S$304,0))),IF($D395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5" s="122" t="str">
        <f t="shared" si="50"/>
        <v/>
      </c>
      <c r="H395" s="43"/>
      <c r="I395" s="107"/>
      <c r="J395" s="123" t="str">
        <f t="shared" si="51"/>
        <v/>
      </c>
      <c r="K395" s="76" t="str">
        <f t="shared" si="52"/>
        <v/>
      </c>
      <c r="L395" s="43"/>
      <c r="M395" s="7"/>
      <c r="N395" s="106"/>
      <c r="R395" s="3" t="str">
        <f t="shared" si="53"/>
        <v/>
      </c>
      <c r="S395" s="3">
        <f t="shared" si="54"/>
        <v>0</v>
      </c>
      <c r="T395" s="3">
        <f t="shared" si="55"/>
        <v>13</v>
      </c>
    </row>
    <row r="396" spans="1:20">
      <c r="A396" s="74" t="str">
        <f t="shared" si="48"/>
        <v/>
      </c>
      <c r="B396" s="75" t="str">
        <f>IFERROR(INDEX(对接源_01入库吨位!$B$5:$B$304,MATCH(INT((ROW()-5)/3)+1,对接源_01入库吨位!$S$5:$S$304,0)),"")</f>
        <v/>
      </c>
      <c r="C396" s="75" t="str">
        <f>IFERROR(INDEX(对接源_01入库吨位!$C$5:$C$304,MATCH(INT((ROW()-5)/3)+1,对接源_01入库吨位!$S$5:$S$304,0)),"")</f>
        <v/>
      </c>
      <c r="D396" s="89" t="str">
        <f t="shared" si="49"/>
        <v/>
      </c>
      <c r="E396" s="42" t="str">
        <f>IF($B396="","",IFERROR(IF($D396="周转打冷",N(INDEX(对接源_01入库吨位!$D$5:$D$304,MATCH(INT((ROW()-5)/3)+1,对接源_01入库吨位!$S$5:$S$304,0))),IF($D396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6" s="76" t="str">
        <f>IF($B396="","",ROUND(IFERROR(IF($D396="周转打冷",N(INDEX(对接源_01入库吨位!$H$5:$H$304,MATCH(INT((ROW()-5)/3)+1,对接源_01入库吨位!$S$5:$S$304,0))),IF($D396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6" s="122" t="str">
        <f t="shared" si="50"/>
        <v/>
      </c>
      <c r="H396" s="43"/>
      <c r="I396" s="107"/>
      <c r="J396" s="123" t="str">
        <f t="shared" si="51"/>
        <v/>
      </c>
      <c r="K396" s="76" t="str">
        <f t="shared" si="52"/>
        <v/>
      </c>
      <c r="L396" s="43"/>
      <c r="M396" s="7"/>
      <c r="N396" s="106"/>
      <c r="R396" s="3" t="str">
        <f t="shared" si="53"/>
        <v/>
      </c>
      <c r="S396" s="3">
        <f t="shared" si="54"/>
        <v>0</v>
      </c>
      <c r="T396" s="3">
        <f t="shared" si="55"/>
        <v>13</v>
      </c>
    </row>
    <row r="397" spans="1:20">
      <c r="A397" s="74" t="str">
        <f t="shared" si="48"/>
        <v/>
      </c>
      <c r="B397" s="75" t="str">
        <f>IFERROR(INDEX(对接源_01入库吨位!$B$5:$B$304,MATCH(INT((ROW()-5)/3)+1,对接源_01入库吨位!$S$5:$S$304,0)),"")</f>
        <v/>
      </c>
      <c r="C397" s="75" t="str">
        <f>IFERROR(INDEX(对接源_01入库吨位!$C$5:$C$304,MATCH(INT((ROW()-5)/3)+1,对接源_01入库吨位!$S$5:$S$304,0)),"")</f>
        <v/>
      </c>
      <c r="D397" s="89" t="str">
        <f t="shared" si="49"/>
        <v/>
      </c>
      <c r="E397" s="42" t="str">
        <f>IF($B397="","",IFERROR(IF($D397="周转打冷",N(INDEX(对接源_01入库吨位!$D$5:$D$304,MATCH(INT((ROW()-5)/3)+1,对接源_01入库吨位!$S$5:$S$304,0))),IF($D397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7" s="76" t="str">
        <f>IF($B397="","",ROUND(IFERROR(IF($D397="周转打冷",N(INDEX(对接源_01入库吨位!$H$5:$H$304,MATCH(INT((ROW()-5)/3)+1,对接源_01入库吨位!$S$5:$S$304,0))),IF($D397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7" s="122" t="str">
        <f t="shared" si="50"/>
        <v/>
      </c>
      <c r="H397" s="43"/>
      <c r="I397" s="107"/>
      <c r="J397" s="123" t="str">
        <f t="shared" si="51"/>
        <v/>
      </c>
      <c r="K397" s="76" t="str">
        <f t="shared" si="52"/>
        <v/>
      </c>
      <c r="L397" s="43"/>
      <c r="M397" s="7"/>
      <c r="N397" s="106"/>
      <c r="R397" s="3" t="str">
        <f t="shared" si="53"/>
        <v/>
      </c>
      <c r="S397" s="3">
        <f t="shared" si="54"/>
        <v>0</v>
      </c>
      <c r="T397" s="3">
        <f t="shared" si="55"/>
        <v>13</v>
      </c>
    </row>
    <row r="398" spans="1:20">
      <c r="A398" s="74" t="str">
        <f t="shared" si="48"/>
        <v/>
      </c>
      <c r="B398" s="75" t="str">
        <f>IFERROR(INDEX(对接源_01入库吨位!$B$5:$B$304,MATCH(INT((ROW()-5)/3)+1,对接源_01入库吨位!$S$5:$S$304,0)),"")</f>
        <v/>
      </c>
      <c r="C398" s="75" t="str">
        <f>IFERROR(INDEX(对接源_01入库吨位!$C$5:$C$304,MATCH(INT((ROW()-5)/3)+1,对接源_01入库吨位!$S$5:$S$304,0)),"")</f>
        <v/>
      </c>
      <c r="D398" s="89" t="str">
        <f t="shared" si="49"/>
        <v/>
      </c>
      <c r="E398" s="42" t="str">
        <f>IF($B398="","",IFERROR(IF($D398="周转打冷",N(INDEX(对接源_01入库吨位!$D$5:$D$304,MATCH(INT((ROW()-5)/3)+1,对接源_01入库吨位!$S$5:$S$304,0))),IF($D398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8" s="76" t="str">
        <f>IF($B398="","",ROUND(IFERROR(IF($D398="周转打冷",N(INDEX(对接源_01入库吨位!$H$5:$H$304,MATCH(INT((ROW()-5)/3)+1,对接源_01入库吨位!$S$5:$S$304,0))),IF($D398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8" s="122" t="str">
        <f t="shared" si="50"/>
        <v/>
      </c>
      <c r="H398" s="43"/>
      <c r="I398" s="107"/>
      <c r="J398" s="123" t="str">
        <f t="shared" si="51"/>
        <v/>
      </c>
      <c r="K398" s="76" t="str">
        <f t="shared" si="52"/>
        <v/>
      </c>
      <c r="L398" s="43"/>
      <c r="M398" s="7"/>
      <c r="N398" s="106"/>
      <c r="R398" s="3" t="str">
        <f t="shared" si="53"/>
        <v/>
      </c>
      <c r="S398" s="3">
        <f t="shared" si="54"/>
        <v>0</v>
      </c>
      <c r="T398" s="3">
        <f t="shared" si="55"/>
        <v>13</v>
      </c>
    </row>
    <row r="399" spans="1:20">
      <c r="A399" s="74" t="str">
        <f t="shared" si="48"/>
        <v/>
      </c>
      <c r="B399" s="75" t="str">
        <f>IFERROR(INDEX(对接源_01入库吨位!$B$5:$B$304,MATCH(INT((ROW()-5)/3)+1,对接源_01入库吨位!$S$5:$S$304,0)),"")</f>
        <v/>
      </c>
      <c r="C399" s="75" t="str">
        <f>IFERROR(INDEX(对接源_01入库吨位!$C$5:$C$304,MATCH(INT((ROW()-5)/3)+1,对接源_01入库吨位!$S$5:$S$304,0)),"")</f>
        <v/>
      </c>
      <c r="D399" s="89" t="str">
        <f t="shared" si="49"/>
        <v/>
      </c>
      <c r="E399" s="42" t="str">
        <f>IF($B399="","",IFERROR(IF($D399="周转打冷",N(INDEX(对接源_01入库吨位!$D$5:$D$304,MATCH(INT((ROW()-5)/3)+1,对接源_01入库吨位!$S$5:$S$304,0))),IF($D399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9" s="76" t="str">
        <f>IF($B399="","",ROUND(IFERROR(IF($D399="周转打冷",N(INDEX(对接源_01入库吨位!$H$5:$H$304,MATCH(INT((ROW()-5)/3)+1,对接源_01入库吨位!$S$5:$S$304,0))),IF($D399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9" s="122" t="str">
        <f t="shared" si="50"/>
        <v/>
      </c>
      <c r="H399" s="43"/>
      <c r="I399" s="107"/>
      <c r="J399" s="123" t="str">
        <f t="shared" si="51"/>
        <v/>
      </c>
      <c r="K399" s="76" t="str">
        <f t="shared" si="52"/>
        <v/>
      </c>
      <c r="L399" s="43"/>
      <c r="M399" s="7"/>
      <c r="N399" s="106"/>
      <c r="R399" s="3" t="str">
        <f t="shared" si="53"/>
        <v/>
      </c>
      <c r="S399" s="3">
        <f t="shared" si="54"/>
        <v>0</v>
      </c>
      <c r="T399" s="3">
        <f t="shared" si="55"/>
        <v>13</v>
      </c>
    </row>
    <row r="400" spans="1:20">
      <c r="A400" s="74" t="str">
        <f t="shared" si="48"/>
        <v/>
      </c>
      <c r="B400" s="75" t="str">
        <f>IFERROR(INDEX(对接源_01入库吨位!$B$5:$B$304,MATCH(INT((ROW()-5)/3)+1,对接源_01入库吨位!$S$5:$S$304,0)),"")</f>
        <v/>
      </c>
      <c r="C400" s="75" t="str">
        <f>IFERROR(INDEX(对接源_01入库吨位!$C$5:$C$304,MATCH(INT((ROW()-5)/3)+1,对接源_01入库吨位!$S$5:$S$304,0)),"")</f>
        <v/>
      </c>
      <c r="D400" s="89" t="str">
        <f t="shared" si="49"/>
        <v/>
      </c>
      <c r="E400" s="42" t="str">
        <f>IF($B400="","",IFERROR(IF($D400="周转打冷",N(INDEX(对接源_01入库吨位!$D$5:$D$304,MATCH(INT((ROW()-5)/3)+1,对接源_01入库吨位!$S$5:$S$304,0))),IF($D400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0" s="76" t="str">
        <f>IF($B400="","",ROUND(IFERROR(IF($D400="周转打冷",N(INDEX(对接源_01入库吨位!$H$5:$H$304,MATCH(INT((ROW()-5)/3)+1,对接源_01入库吨位!$S$5:$S$304,0))),IF($D400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0" s="122" t="str">
        <f t="shared" si="50"/>
        <v/>
      </c>
      <c r="H400" s="43"/>
      <c r="I400" s="107"/>
      <c r="J400" s="123" t="str">
        <f t="shared" si="51"/>
        <v/>
      </c>
      <c r="K400" s="76" t="str">
        <f t="shared" si="52"/>
        <v/>
      </c>
      <c r="L400" s="43"/>
      <c r="M400" s="7"/>
      <c r="N400" s="106"/>
      <c r="R400" s="3" t="str">
        <f t="shared" si="53"/>
        <v/>
      </c>
      <c r="S400" s="3">
        <f t="shared" si="54"/>
        <v>0</v>
      </c>
      <c r="T400" s="3">
        <f t="shared" si="55"/>
        <v>13</v>
      </c>
    </row>
    <row r="401" spans="1:20">
      <c r="A401" s="74" t="str">
        <f t="shared" si="48"/>
        <v/>
      </c>
      <c r="B401" s="75" t="str">
        <f>IFERROR(INDEX(对接源_01入库吨位!$B$5:$B$304,MATCH(INT((ROW()-5)/3)+1,对接源_01入库吨位!$S$5:$S$304,0)),"")</f>
        <v/>
      </c>
      <c r="C401" s="75" t="str">
        <f>IFERROR(INDEX(对接源_01入库吨位!$C$5:$C$304,MATCH(INT((ROW()-5)/3)+1,对接源_01入库吨位!$S$5:$S$304,0)),"")</f>
        <v/>
      </c>
      <c r="D401" s="89" t="str">
        <f t="shared" si="49"/>
        <v/>
      </c>
      <c r="E401" s="42" t="str">
        <f>IF($B401="","",IFERROR(IF($D401="周转打冷",N(INDEX(对接源_01入库吨位!$D$5:$D$304,MATCH(INT((ROW()-5)/3)+1,对接源_01入库吨位!$S$5:$S$304,0))),IF($D401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1" s="76" t="str">
        <f>IF($B401="","",ROUND(IFERROR(IF($D401="周转打冷",N(INDEX(对接源_01入库吨位!$H$5:$H$304,MATCH(INT((ROW()-5)/3)+1,对接源_01入库吨位!$S$5:$S$304,0))),IF($D401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1" s="122" t="str">
        <f t="shared" si="50"/>
        <v/>
      </c>
      <c r="H401" s="43"/>
      <c r="I401" s="107"/>
      <c r="J401" s="123" t="str">
        <f t="shared" si="51"/>
        <v/>
      </c>
      <c r="K401" s="76" t="str">
        <f t="shared" si="52"/>
        <v/>
      </c>
      <c r="L401" s="43"/>
      <c r="M401" s="7"/>
      <c r="N401" s="106"/>
      <c r="R401" s="3" t="str">
        <f t="shared" si="53"/>
        <v/>
      </c>
      <c r="S401" s="3">
        <f t="shared" si="54"/>
        <v>0</v>
      </c>
      <c r="T401" s="3">
        <f t="shared" si="55"/>
        <v>13</v>
      </c>
    </row>
    <row r="402" spans="1:20">
      <c r="A402" s="74" t="str">
        <f t="shared" si="48"/>
        <v/>
      </c>
      <c r="B402" s="75" t="str">
        <f>IFERROR(INDEX(对接源_01入库吨位!$B$5:$B$304,MATCH(INT((ROW()-5)/3)+1,对接源_01入库吨位!$S$5:$S$304,0)),"")</f>
        <v/>
      </c>
      <c r="C402" s="75" t="str">
        <f>IFERROR(INDEX(对接源_01入库吨位!$C$5:$C$304,MATCH(INT((ROW()-5)/3)+1,对接源_01入库吨位!$S$5:$S$304,0)),"")</f>
        <v/>
      </c>
      <c r="D402" s="89" t="str">
        <f t="shared" si="49"/>
        <v/>
      </c>
      <c r="E402" s="42" t="str">
        <f>IF($B402="","",IFERROR(IF($D402="周转打冷",N(INDEX(对接源_01入库吨位!$D$5:$D$304,MATCH(INT((ROW()-5)/3)+1,对接源_01入库吨位!$S$5:$S$304,0))),IF($D402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2" s="76" t="str">
        <f>IF($B402="","",ROUND(IFERROR(IF($D402="周转打冷",N(INDEX(对接源_01入库吨位!$H$5:$H$304,MATCH(INT((ROW()-5)/3)+1,对接源_01入库吨位!$S$5:$S$304,0))),IF($D402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2" s="122" t="str">
        <f t="shared" si="50"/>
        <v/>
      </c>
      <c r="H402" s="43"/>
      <c r="I402" s="107"/>
      <c r="J402" s="123" t="str">
        <f t="shared" si="51"/>
        <v/>
      </c>
      <c r="K402" s="76" t="str">
        <f t="shared" si="52"/>
        <v/>
      </c>
      <c r="L402" s="43"/>
      <c r="M402" s="7"/>
      <c r="N402" s="106"/>
      <c r="R402" s="3" t="str">
        <f t="shared" si="53"/>
        <v/>
      </c>
      <c r="S402" s="3">
        <f t="shared" si="54"/>
        <v>0</v>
      </c>
      <c r="T402" s="3">
        <f t="shared" si="55"/>
        <v>13</v>
      </c>
    </row>
    <row r="403" spans="1:20">
      <c r="A403" s="74" t="str">
        <f t="shared" si="48"/>
        <v/>
      </c>
      <c r="B403" s="75" t="str">
        <f>IFERROR(INDEX(对接源_01入库吨位!$B$5:$B$304,MATCH(INT((ROW()-5)/3)+1,对接源_01入库吨位!$S$5:$S$304,0)),"")</f>
        <v/>
      </c>
      <c r="C403" s="75" t="str">
        <f>IFERROR(INDEX(对接源_01入库吨位!$C$5:$C$304,MATCH(INT((ROW()-5)/3)+1,对接源_01入库吨位!$S$5:$S$304,0)),"")</f>
        <v/>
      </c>
      <c r="D403" s="89" t="str">
        <f t="shared" si="49"/>
        <v/>
      </c>
      <c r="E403" s="42" t="str">
        <f>IF($B403="","",IFERROR(IF($D403="周转打冷",N(INDEX(对接源_01入库吨位!$D$5:$D$304,MATCH(INT((ROW()-5)/3)+1,对接源_01入库吨位!$S$5:$S$304,0))),IF($D403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3" s="76" t="str">
        <f>IF($B403="","",ROUND(IFERROR(IF($D403="周转打冷",N(INDEX(对接源_01入库吨位!$H$5:$H$304,MATCH(INT((ROW()-5)/3)+1,对接源_01入库吨位!$S$5:$S$304,0))),IF($D403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3" s="122" t="str">
        <f t="shared" si="50"/>
        <v/>
      </c>
      <c r="H403" s="43"/>
      <c r="I403" s="107"/>
      <c r="J403" s="123" t="str">
        <f t="shared" si="51"/>
        <v/>
      </c>
      <c r="K403" s="76" t="str">
        <f t="shared" si="52"/>
        <v/>
      </c>
      <c r="L403" s="43"/>
      <c r="M403" s="7"/>
      <c r="N403" s="106"/>
      <c r="R403" s="3" t="str">
        <f t="shared" si="53"/>
        <v/>
      </c>
      <c r="S403" s="3">
        <f t="shared" si="54"/>
        <v>0</v>
      </c>
      <c r="T403" s="3">
        <f t="shared" si="55"/>
        <v>13</v>
      </c>
    </row>
    <row r="404" spans="1:20">
      <c r="A404" s="74" t="str">
        <f t="shared" si="48"/>
        <v/>
      </c>
      <c r="B404" s="75" t="str">
        <f>IFERROR(INDEX(对接源_01入库吨位!$B$5:$B$304,MATCH(INT((ROW()-5)/3)+1,对接源_01入库吨位!$S$5:$S$304,0)),"")</f>
        <v/>
      </c>
      <c r="C404" s="75" t="str">
        <f>IFERROR(INDEX(对接源_01入库吨位!$C$5:$C$304,MATCH(INT((ROW()-5)/3)+1,对接源_01入库吨位!$S$5:$S$304,0)),"")</f>
        <v/>
      </c>
      <c r="D404" s="89" t="str">
        <f t="shared" si="49"/>
        <v/>
      </c>
      <c r="E404" s="42" t="str">
        <f>IF($B404="","",IFERROR(IF($D404="周转打冷",N(INDEX(对接源_01入库吨位!$D$5:$D$304,MATCH(INT((ROW()-5)/3)+1,对接源_01入库吨位!$S$5:$S$304,0))),IF($D404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4" s="76" t="str">
        <f>IF($B404="","",ROUND(IFERROR(IF($D404="周转打冷",N(INDEX(对接源_01入库吨位!$H$5:$H$304,MATCH(INT((ROW()-5)/3)+1,对接源_01入库吨位!$S$5:$S$304,0))),IF($D404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4" s="122" t="str">
        <f t="shared" si="50"/>
        <v/>
      </c>
      <c r="H404" s="43"/>
      <c r="I404" s="107"/>
      <c r="J404" s="123" t="str">
        <f t="shared" si="51"/>
        <v/>
      </c>
      <c r="K404" s="76" t="str">
        <f t="shared" si="52"/>
        <v/>
      </c>
      <c r="L404" s="43"/>
      <c r="M404" s="7"/>
      <c r="N404" s="106"/>
      <c r="R404" s="3" t="str">
        <f t="shared" si="53"/>
        <v/>
      </c>
      <c r="S404" s="3">
        <f t="shared" si="54"/>
        <v>0</v>
      </c>
      <c r="T404" s="3">
        <f t="shared" si="55"/>
        <v>13</v>
      </c>
    </row>
    <row r="405" spans="1:20">
      <c r="A405" s="74" t="str">
        <f t="shared" si="48"/>
        <v/>
      </c>
      <c r="B405" s="75" t="str">
        <f>IFERROR(INDEX(对接源_01入库吨位!$B$5:$B$304,MATCH(INT((ROW()-5)/3)+1,对接源_01入库吨位!$S$5:$S$304,0)),"")</f>
        <v/>
      </c>
      <c r="C405" s="75" t="str">
        <f>IFERROR(INDEX(对接源_01入库吨位!$C$5:$C$304,MATCH(INT((ROW()-5)/3)+1,对接源_01入库吨位!$S$5:$S$304,0)),"")</f>
        <v/>
      </c>
      <c r="D405" s="89" t="str">
        <f t="shared" si="49"/>
        <v/>
      </c>
      <c r="E405" s="42" t="str">
        <f>IF($B405="","",IFERROR(IF($D405="周转打冷",N(INDEX(对接源_01入库吨位!$D$5:$D$304,MATCH(INT((ROW()-5)/3)+1,对接源_01入库吨位!$S$5:$S$304,0))),IF($D405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5" s="76" t="str">
        <f>IF($B405="","",ROUND(IFERROR(IF($D405="周转打冷",N(INDEX(对接源_01入库吨位!$H$5:$H$304,MATCH(INT((ROW()-5)/3)+1,对接源_01入库吨位!$S$5:$S$304,0))),IF($D405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5" s="122" t="str">
        <f t="shared" si="50"/>
        <v/>
      </c>
      <c r="H405" s="43"/>
      <c r="I405" s="107"/>
      <c r="J405" s="123" t="str">
        <f t="shared" si="51"/>
        <v/>
      </c>
      <c r="K405" s="76" t="str">
        <f t="shared" si="52"/>
        <v/>
      </c>
      <c r="L405" s="43"/>
      <c r="M405" s="7"/>
      <c r="N405" s="106"/>
      <c r="R405" s="3" t="str">
        <f t="shared" si="53"/>
        <v/>
      </c>
      <c r="S405" s="3">
        <f t="shared" si="54"/>
        <v>0</v>
      </c>
      <c r="T405" s="3">
        <f t="shared" si="55"/>
        <v>13</v>
      </c>
    </row>
    <row r="406" spans="1:20">
      <c r="A406" s="74" t="str">
        <f t="shared" si="48"/>
        <v/>
      </c>
      <c r="B406" s="75" t="str">
        <f>IFERROR(INDEX(对接源_01入库吨位!$B$5:$B$304,MATCH(INT((ROW()-5)/3)+1,对接源_01入库吨位!$S$5:$S$304,0)),"")</f>
        <v/>
      </c>
      <c r="C406" s="75" t="str">
        <f>IFERROR(INDEX(对接源_01入库吨位!$C$5:$C$304,MATCH(INT((ROW()-5)/3)+1,对接源_01入库吨位!$S$5:$S$304,0)),"")</f>
        <v/>
      </c>
      <c r="D406" s="89" t="str">
        <f t="shared" si="49"/>
        <v/>
      </c>
      <c r="E406" s="42" t="str">
        <f>IF($B406="","",IFERROR(IF($D406="周转打冷",N(INDEX(对接源_01入库吨位!$D$5:$D$304,MATCH(INT((ROW()-5)/3)+1,对接源_01入库吨位!$S$5:$S$304,0))),IF($D406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6" s="76" t="str">
        <f>IF($B406="","",ROUND(IFERROR(IF($D406="周转打冷",N(INDEX(对接源_01入库吨位!$H$5:$H$304,MATCH(INT((ROW()-5)/3)+1,对接源_01入库吨位!$S$5:$S$304,0))),IF($D406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6" s="122" t="str">
        <f t="shared" si="50"/>
        <v/>
      </c>
      <c r="H406" s="43"/>
      <c r="I406" s="107"/>
      <c r="J406" s="123" t="str">
        <f t="shared" si="51"/>
        <v/>
      </c>
      <c r="K406" s="76" t="str">
        <f t="shared" si="52"/>
        <v/>
      </c>
      <c r="L406" s="43"/>
      <c r="M406" s="7"/>
      <c r="N406" s="106"/>
      <c r="R406" s="3" t="str">
        <f t="shared" si="53"/>
        <v/>
      </c>
      <c r="S406" s="3">
        <f t="shared" si="54"/>
        <v>0</v>
      </c>
      <c r="T406" s="3">
        <f t="shared" si="55"/>
        <v>13</v>
      </c>
    </row>
    <row r="407" spans="1:20">
      <c r="A407" s="74" t="str">
        <f t="shared" si="48"/>
        <v/>
      </c>
      <c r="B407" s="75" t="str">
        <f>IFERROR(INDEX(对接源_01入库吨位!$B$5:$B$304,MATCH(INT((ROW()-5)/3)+1,对接源_01入库吨位!$S$5:$S$304,0)),"")</f>
        <v/>
      </c>
      <c r="C407" s="75" t="str">
        <f>IFERROR(INDEX(对接源_01入库吨位!$C$5:$C$304,MATCH(INT((ROW()-5)/3)+1,对接源_01入库吨位!$S$5:$S$304,0)),"")</f>
        <v/>
      </c>
      <c r="D407" s="89" t="str">
        <f t="shared" si="49"/>
        <v/>
      </c>
      <c r="E407" s="42" t="str">
        <f>IF($B407="","",IFERROR(IF($D407="周转打冷",N(INDEX(对接源_01入库吨位!$D$5:$D$304,MATCH(INT((ROW()-5)/3)+1,对接源_01入库吨位!$S$5:$S$304,0))),IF($D407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7" s="76" t="str">
        <f>IF($B407="","",ROUND(IFERROR(IF($D407="周转打冷",N(INDEX(对接源_01入库吨位!$H$5:$H$304,MATCH(INT((ROW()-5)/3)+1,对接源_01入库吨位!$S$5:$S$304,0))),IF($D407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7" s="122" t="str">
        <f t="shared" si="50"/>
        <v/>
      </c>
      <c r="H407" s="43"/>
      <c r="I407" s="107"/>
      <c r="J407" s="123" t="str">
        <f t="shared" si="51"/>
        <v/>
      </c>
      <c r="K407" s="76" t="str">
        <f t="shared" si="52"/>
        <v/>
      </c>
      <c r="L407" s="43"/>
      <c r="M407" s="7"/>
      <c r="N407" s="106"/>
      <c r="R407" s="3" t="str">
        <f t="shared" si="53"/>
        <v/>
      </c>
      <c r="S407" s="3">
        <f t="shared" si="54"/>
        <v>0</v>
      </c>
      <c r="T407" s="3">
        <f t="shared" si="55"/>
        <v>13</v>
      </c>
    </row>
    <row r="408" spans="1:20">
      <c r="A408" s="74" t="str">
        <f t="shared" si="48"/>
        <v/>
      </c>
      <c r="B408" s="75" t="str">
        <f>IFERROR(INDEX(对接源_01入库吨位!$B$5:$B$304,MATCH(INT((ROW()-5)/3)+1,对接源_01入库吨位!$S$5:$S$304,0)),"")</f>
        <v/>
      </c>
      <c r="C408" s="75" t="str">
        <f>IFERROR(INDEX(对接源_01入库吨位!$C$5:$C$304,MATCH(INT((ROW()-5)/3)+1,对接源_01入库吨位!$S$5:$S$304,0)),"")</f>
        <v/>
      </c>
      <c r="D408" s="89" t="str">
        <f t="shared" si="49"/>
        <v/>
      </c>
      <c r="E408" s="42" t="str">
        <f>IF($B408="","",IFERROR(IF($D408="周转打冷",N(INDEX(对接源_01入库吨位!$D$5:$D$304,MATCH(INT((ROW()-5)/3)+1,对接源_01入库吨位!$S$5:$S$304,0))),IF($D408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8" s="76" t="str">
        <f>IF($B408="","",ROUND(IFERROR(IF($D408="周转打冷",N(INDEX(对接源_01入库吨位!$H$5:$H$304,MATCH(INT((ROW()-5)/3)+1,对接源_01入库吨位!$S$5:$S$304,0))),IF($D408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8" s="122" t="str">
        <f t="shared" si="50"/>
        <v/>
      </c>
      <c r="H408" s="43"/>
      <c r="I408" s="107"/>
      <c r="J408" s="123" t="str">
        <f t="shared" si="51"/>
        <v/>
      </c>
      <c r="K408" s="76" t="str">
        <f t="shared" si="52"/>
        <v/>
      </c>
      <c r="L408" s="43"/>
      <c r="M408" s="7"/>
      <c r="N408" s="106"/>
      <c r="R408" s="3" t="str">
        <f t="shared" si="53"/>
        <v/>
      </c>
      <c r="S408" s="3">
        <f t="shared" si="54"/>
        <v>0</v>
      </c>
      <c r="T408" s="3">
        <f t="shared" si="55"/>
        <v>13</v>
      </c>
    </row>
    <row r="409" spans="1:20">
      <c r="A409" s="74" t="str">
        <f t="shared" si="48"/>
        <v/>
      </c>
      <c r="B409" s="75" t="str">
        <f>IFERROR(INDEX(对接源_01入库吨位!$B$5:$B$304,MATCH(INT((ROW()-5)/3)+1,对接源_01入库吨位!$S$5:$S$304,0)),"")</f>
        <v/>
      </c>
      <c r="C409" s="75" t="str">
        <f>IFERROR(INDEX(对接源_01入库吨位!$C$5:$C$304,MATCH(INT((ROW()-5)/3)+1,对接源_01入库吨位!$S$5:$S$304,0)),"")</f>
        <v/>
      </c>
      <c r="D409" s="89" t="str">
        <f t="shared" si="49"/>
        <v/>
      </c>
      <c r="E409" s="42" t="str">
        <f>IF($B409="","",IFERROR(IF($D409="周转打冷",N(INDEX(对接源_01入库吨位!$D$5:$D$304,MATCH(INT((ROW()-5)/3)+1,对接源_01入库吨位!$S$5:$S$304,0))),IF($D409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9" s="76" t="str">
        <f>IF($B409="","",ROUND(IFERROR(IF($D409="周转打冷",N(INDEX(对接源_01入库吨位!$H$5:$H$304,MATCH(INT((ROW()-5)/3)+1,对接源_01入库吨位!$S$5:$S$304,0))),IF($D409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9" s="122" t="str">
        <f t="shared" si="50"/>
        <v/>
      </c>
      <c r="H409" s="43"/>
      <c r="I409" s="107"/>
      <c r="J409" s="123" t="str">
        <f t="shared" si="51"/>
        <v/>
      </c>
      <c r="K409" s="76" t="str">
        <f t="shared" si="52"/>
        <v/>
      </c>
      <c r="L409" s="43"/>
      <c r="M409" s="7"/>
      <c r="N409" s="106"/>
      <c r="R409" s="3" t="str">
        <f t="shared" si="53"/>
        <v/>
      </c>
      <c r="S409" s="3">
        <f t="shared" si="54"/>
        <v>0</v>
      </c>
      <c r="T409" s="3">
        <f t="shared" si="55"/>
        <v>13</v>
      </c>
    </row>
    <row r="410" spans="1:20">
      <c r="A410" s="74" t="str">
        <f t="shared" si="48"/>
        <v/>
      </c>
      <c r="B410" s="75" t="str">
        <f>IFERROR(INDEX(对接源_01入库吨位!$B$5:$B$304,MATCH(INT((ROW()-5)/3)+1,对接源_01入库吨位!$S$5:$S$304,0)),"")</f>
        <v/>
      </c>
      <c r="C410" s="75" t="str">
        <f>IFERROR(INDEX(对接源_01入库吨位!$C$5:$C$304,MATCH(INT((ROW()-5)/3)+1,对接源_01入库吨位!$S$5:$S$304,0)),"")</f>
        <v/>
      </c>
      <c r="D410" s="89" t="str">
        <f t="shared" si="49"/>
        <v/>
      </c>
      <c r="E410" s="42" t="str">
        <f>IF($B410="","",IFERROR(IF($D410="周转打冷",N(INDEX(对接源_01入库吨位!$D$5:$D$304,MATCH(INT((ROW()-5)/3)+1,对接源_01入库吨位!$S$5:$S$304,0))),IF($D410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0" s="76" t="str">
        <f>IF($B410="","",ROUND(IFERROR(IF($D410="周转打冷",N(INDEX(对接源_01入库吨位!$H$5:$H$304,MATCH(INT((ROW()-5)/3)+1,对接源_01入库吨位!$S$5:$S$304,0))),IF($D410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0" s="122" t="str">
        <f t="shared" si="50"/>
        <v/>
      </c>
      <c r="H410" s="43"/>
      <c r="I410" s="107"/>
      <c r="J410" s="123" t="str">
        <f t="shared" si="51"/>
        <v/>
      </c>
      <c r="K410" s="76" t="str">
        <f t="shared" si="52"/>
        <v/>
      </c>
      <c r="L410" s="43"/>
      <c r="M410" s="7"/>
      <c r="N410" s="106"/>
      <c r="R410" s="3" t="str">
        <f t="shared" si="53"/>
        <v/>
      </c>
      <c r="S410" s="3">
        <f t="shared" si="54"/>
        <v>0</v>
      </c>
      <c r="T410" s="3">
        <f t="shared" si="55"/>
        <v>13</v>
      </c>
    </row>
    <row r="411" spans="1:20">
      <c r="A411" s="74" t="str">
        <f t="shared" si="48"/>
        <v/>
      </c>
      <c r="B411" s="75" t="str">
        <f>IFERROR(INDEX(对接源_01入库吨位!$B$5:$B$304,MATCH(INT((ROW()-5)/3)+1,对接源_01入库吨位!$S$5:$S$304,0)),"")</f>
        <v/>
      </c>
      <c r="C411" s="75" t="str">
        <f>IFERROR(INDEX(对接源_01入库吨位!$C$5:$C$304,MATCH(INT((ROW()-5)/3)+1,对接源_01入库吨位!$S$5:$S$304,0)),"")</f>
        <v/>
      </c>
      <c r="D411" s="89" t="str">
        <f t="shared" si="49"/>
        <v/>
      </c>
      <c r="E411" s="42" t="str">
        <f>IF($B411="","",IFERROR(IF($D411="周转打冷",N(INDEX(对接源_01入库吨位!$D$5:$D$304,MATCH(INT((ROW()-5)/3)+1,对接源_01入库吨位!$S$5:$S$304,0))),IF($D411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1" s="76" t="str">
        <f>IF($B411="","",ROUND(IFERROR(IF($D411="周转打冷",N(INDEX(对接源_01入库吨位!$H$5:$H$304,MATCH(INT((ROW()-5)/3)+1,对接源_01入库吨位!$S$5:$S$304,0))),IF($D411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1" s="122" t="str">
        <f t="shared" si="50"/>
        <v/>
      </c>
      <c r="H411" s="43"/>
      <c r="I411" s="107"/>
      <c r="J411" s="123" t="str">
        <f t="shared" si="51"/>
        <v/>
      </c>
      <c r="K411" s="76" t="str">
        <f t="shared" si="52"/>
        <v/>
      </c>
      <c r="L411" s="43"/>
      <c r="M411" s="7"/>
      <c r="N411" s="106"/>
      <c r="R411" s="3" t="str">
        <f t="shared" si="53"/>
        <v/>
      </c>
      <c r="S411" s="3">
        <f t="shared" si="54"/>
        <v>0</v>
      </c>
      <c r="T411" s="3">
        <f t="shared" si="55"/>
        <v>13</v>
      </c>
    </row>
    <row r="412" spans="1:20">
      <c r="A412" s="74" t="str">
        <f t="shared" si="48"/>
        <v/>
      </c>
      <c r="B412" s="75" t="str">
        <f>IFERROR(INDEX(对接源_01入库吨位!$B$5:$B$304,MATCH(INT((ROW()-5)/3)+1,对接源_01入库吨位!$S$5:$S$304,0)),"")</f>
        <v/>
      </c>
      <c r="C412" s="75" t="str">
        <f>IFERROR(INDEX(对接源_01入库吨位!$C$5:$C$304,MATCH(INT((ROW()-5)/3)+1,对接源_01入库吨位!$S$5:$S$304,0)),"")</f>
        <v/>
      </c>
      <c r="D412" s="89" t="str">
        <f t="shared" si="49"/>
        <v/>
      </c>
      <c r="E412" s="42" t="str">
        <f>IF($B412="","",IFERROR(IF($D412="周转打冷",N(INDEX(对接源_01入库吨位!$D$5:$D$304,MATCH(INT((ROW()-5)/3)+1,对接源_01入库吨位!$S$5:$S$304,0))),IF($D412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2" s="76" t="str">
        <f>IF($B412="","",ROUND(IFERROR(IF($D412="周转打冷",N(INDEX(对接源_01入库吨位!$H$5:$H$304,MATCH(INT((ROW()-5)/3)+1,对接源_01入库吨位!$S$5:$S$304,0))),IF($D412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2" s="122" t="str">
        <f t="shared" si="50"/>
        <v/>
      </c>
      <c r="H412" s="43"/>
      <c r="I412" s="107"/>
      <c r="J412" s="123" t="str">
        <f t="shared" si="51"/>
        <v/>
      </c>
      <c r="K412" s="76" t="str">
        <f t="shared" si="52"/>
        <v/>
      </c>
      <c r="L412" s="43"/>
      <c r="M412" s="7"/>
      <c r="N412" s="106"/>
      <c r="R412" s="3" t="str">
        <f t="shared" si="53"/>
        <v/>
      </c>
      <c r="S412" s="3">
        <f t="shared" si="54"/>
        <v>0</v>
      </c>
      <c r="T412" s="3">
        <f t="shared" si="55"/>
        <v>13</v>
      </c>
    </row>
    <row r="413" spans="1:20">
      <c r="A413" s="74" t="str">
        <f t="shared" si="48"/>
        <v/>
      </c>
      <c r="B413" s="75" t="str">
        <f>IFERROR(INDEX(对接源_01入库吨位!$B$5:$B$304,MATCH(INT((ROW()-5)/3)+1,对接源_01入库吨位!$S$5:$S$304,0)),"")</f>
        <v/>
      </c>
      <c r="C413" s="75" t="str">
        <f>IFERROR(INDEX(对接源_01入库吨位!$C$5:$C$304,MATCH(INT((ROW()-5)/3)+1,对接源_01入库吨位!$S$5:$S$304,0)),"")</f>
        <v/>
      </c>
      <c r="D413" s="89" t="str">
        <f t="shared" si="49"/>
        <v/>
      </c>
      <c r="E413" s="42" t="str">
        <f>IF($B413="","",IFERROR(IF($D413="周转打冷",N(INDEX(对接源_01入库吨位!$D$5:$D$304,MATCH(INT((ROW()-5)/3)+1,对接源_01入库吨位!$S$5:$S$304,0))),IF($D413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3" s="76" t="str">
        <f>IF($B413="","",ROUND(IFERROR(IF($D413="周转打冷",N(INDEX(对接源_01入库吨位!$H$5:$H$304,MATCH(INT((ROW()-5)/3)+1,对接源_01入库吨位!$S$5:$S$304,0))),IF($D413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3" s="122" t="str">
        <f t="shared" si="50"/>
        <v/>
      </c>
      <c r="H413" s="43"/>
      <c r="I413" s="107"/>
      <c r="J413" s="123" t="str">
        <f t="shared" si="51"/>
        <v/>
      </c>
      <c r="K413" s="76" t="str">
        <f t="shared" si="52"/>
        <v/>
      </c>
      <c r="L413" s="43"/>
      <c r="M413" s="7"/>
      <c r="N413" s="106"/>
      <c r="R413" s="3" t="str">
        <f t="shared" si="53"/>
        <v/>
      </c>
      <c r="S413" s="3">
        <f t="shared" si="54"/>
        <v>0</v>
      </c>
      <c r="T413" s="3">
        <f t="shared" si="55"/>
        <v>13</v>
      </c>
    </row>
    <row r="414" spans="1:20">
      <c r="A414" s="74" t="str">
        <f t="shared" si="48"/>
        <v/>
      </c>
      <c r="B414" s="75" t="str">
        <f>IFERROR(INDEX(对接源_01入库吨位!$B$5:$B$304,MATCH(INT((ROW()-5)/3)+1,对接源_01入库吨位!$S$5:$S$304,0)),"")</f>
        <v/>
      </c>
      <c r="C414" s="75" t="str">
        <f>IFERROR(INDEX(对接源_01入库吨位!$C$5:$C$304,MATCH(INT((ROW()-5)/3)+1,对接源_01入库吨位!$S$5:$S$304,0)),"")</f>
        <v/>
      </c>
      <c r="D414" s="89" t="str">
        <f t="shared" si="49"/>
        <v/>
      </c>
      <c r="E414" s="42" t="str">
        <f>IF($B414="","",IFERROR(IF($D414="周转打冷",N(INDEX(对接源_01入库吨位!$D$5:$D$304,MATCH(INT((ROW()-5)/3)+1,对接源_01入库吨位!$S$5:$S$304,0))),IF($D414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4" s="76" t="str">
        <f>IF($B414="","",ROUND(IFERROR(IF($D414="周转打冷",N(INDEX(对接源_01入库吨位!$H$5:$H$304,MATCH(INT((ROW()-5)/3)+1,对接源_01入库吨位!$S$5:$S$304,0))),IF($D414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4" s="122" t="str">
        <f t="shared" si="50"/>
        <v/>
      </c>
      <c r="H414" s="43"/>
      <c r="I414" s="107"/>
      <c r="J414" s="123" t="str">
        <f t="shared" si="51"/>
        <v/>
      </c>
      <c r="K414" s="76" t="str">
        <f t="shared" si="52"/>
        <v/>
      </c>
      <c r="L414" s="43"/>
      <c r="M414" s="7"/>
      <c r="N414" s="106"/>
      <c r="R414" s="3" t="str">
        <f t="shared" si="53"/>
        <v/>
      </c>
      <c r="S414" s="3">
        <f t="shared" si="54"/>
        <v>0</v>
      </c>
      <c r="T414" s="3">
        <f t="shared" si="55"/>
        <v>13</v>
      </c>
    </row>
    <row r="415" spans="1:20">
      <c r="A415" s="74" t="str">
        <f t="shared" si="48"/>
        <v/>
      </c>
      <c r="B415" s="75" t="str">
        <f>IFERROR(INDEX(对接源_01入库吨位!$B$5:$B$304,MATCH(INT((ROW()-5)/3)+1,对接源_01入库吨位!$S$5:$S$304,0)),"")</f>
        <v/>
      </c>
      <c r="C415" s="75" t="str">
        <f>IFERROR(INDEX(对接源_01入库吨位!$C$5:$C$304,MATCH(INT((ROW()-5)/3)+1,对接源_01入库吨位!$S$5:$S$304,0)),"")</f>
        <v/>
      </c>
      <c r="D415" s="89" t="str">
        <f t="shared" si="49"/>
        <v/>
      </c>
      <c r="E415" s="42" t="str">
        <f>IF($B415="","",IFERROR(IF($D415="周转打冷",N(INDEX(对接源_01入库吨位!$D$5:$D$304,MATCH(INT((ROW()-5)/3)+1,对接源_01入库吨位!$S$5:$S$304,0))),IF($D415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5" s="76" t="str">
        <f>IF($B415="","",ROUND(IFERROR(IF($D415="周转打冷",N(INDEX(对接源_01入库吨位!$H$5:$H$304,MATCH(INT((ROW()-5)/3)+1,对接源_01入库吨位!$S$5:$S$304,0))),IF($D415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5" s="122" t="str">
        <f t="shared" si="50"/>
        <v/>
      </c>
      <c r="H415" s="43"/>
      <c r="I415" s="107"/>
      <c r="J415" s="123" t="str">
        <f t="shared" si="51"/>
        <v/>
      </c>
      <c r="K415" s="76" t="str">
        <f t="shared" si="52"/>
        <v/>
      </c>
      <c r="L415" s="43"/>
      <c r="M415" s="7"/>
      <c r="N415" s="106"/>
      <c r="R415" s="3" t="str">
        <f t="shared" si="53"/>
        <v/>
      </c>
      <c r="S415" s="3">
        <f t="shared" si="54"/>
        <v>0</v>
      </c>
      <c r="T415" s="3">
        <f t="shared" si="55"/>
        <v>13</v>
      </c>
    </row>
    <row r="416" spans="1:20">
      <c r="A416" s="74" t="str">
        <f t="shared" si="48"/>
        <v/>
      </c>
      <c r="B416" s="75" t="str">
        <f>IFERROR(INDEX(对接源_01入库吨位!$B$5:$B$304,MATCH(INT((ROW()-5)/3)+1,对接源_01入库吨位!$S$5:$S$304,0)),"")</f>
        <v/>
      </c>
      <c r="C416" s="75" t="str">
        <f>IFERROR(INDEX(对接源_01入库吨位!$C$5:$C$304,MATCH(INT((ROW()-5)/3)+1,对接源_01入库吨位!$S$5:$S$304,0)),"")</f>
        <v/>
      </c>
      <c r="D416" s="89" t="str">
        <f t="shared" si="49"/>
        <v/>
      </c>
      <c r="E416" s="42" t="str">
        <f>IF($B416="","",IFERROR(IF($D416="周转打冷",N(INDEX(对接源_01入库吨位!$D$5:$D$304,MATCH(INT((ROW()-5)/3)+1,对接源_01入库吨位!$S$5:$S$304,0))),IF($D416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6" s="76" t="str">
        <f>IF($B416="","",ROUND(IFERROR(IF($D416="周转打冷",N(INDEX(对接源_01入库吨位!$H$5:$H$304,MATCH(INT((ROW()-5)/3)+1,对接源_01入库吨位!$S$5:$S$304,0))),IF($D416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6" s="122" t="str">
        <f t="shared" si="50"/>
        <v/>
      </c>
      <c r="H416" s="43"/>
      <c r="I416" s="107"/>
      <c r="J416" s="123" t="str">
        <f t="shared" si="51"/>
        <v/>
      </c>
      <c r="K416" s="76" t="str">
        <f t="shared" si="52"/>
        <v/>
      </c>
      <c r="L416" s="43"/>
      <c r="M416" s="7"/>
      <c r="N416" s="106"/>
      <c r="R416" s="3" t="str">
        <f t="shared" si="53"/>
        <v/>
      </c>
      <c r="S416" s="3">
        <f t="shared" si="54"/>
        <v>0</v>
      </c>
      <c r="T416" s="3">
        <f t="shared" si="55"/>
        <v>13</v>
      </c>
    </row>
    <row r="417" spans="1:20">
      <c r="A417" s="74" t="str">
        <f t="shared" si="48"/>
        <v/>
      </c>
      <c r="B417" s="75" t="str">
        <f>IFERROR(INDEX(对接源_01入库吨位!$B$5:$B$304,MATCH(INT((ROW()-5)/3)+1,对接源_01入库吨位!$S$5:$S$304,0)),"")</f>
        <v/>
      </c>
      <c r="C417" s="75" t="str">
        <f>IFERROR(INDEX(对接源_01入库吨位!$C$5:$C$304,MATCH(INT((ROW()-5)/3)+1,对接源_01入库吨位!$S$5:$S$304,0)),"")</f>
        <v/>
      </c>
      <c r="D417" s="89" t="str">
        <f t="shared" si="49"/>
        <v/>
      </c>
      <c r="E417" s="42" t="str">
        <f>IF($B417="","",IFERROR(IF($D417="周转打冷",N(INDEX(对接源_01入库吨位!$D$5:$D$304,MATCH(INT((ROW()-5)/3)+1,对接源_01入库吨位!$S$5:$S$304,0))),IF($D417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7" s="76" t="str">
        <f>IF($B417="","",ROUND(IFERROR(IF($D417="周转打冷",N(INDEX(对接源_01入库吨位!$H$5:$H$304,MATCH(INT((ROW()-5)/3)+1,对接源_01入库吨位!$S$5:$S$304,0))),IF($D417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7" s="122" t="str">
        <f t="shared" si="50"/>
        <v/>
      </c>
      <c r="H417" s="43"/>
      <c r="I417" s="107"/>
      <c r="J417" s="123" t="str">
        <f t="shared" si="51"/>
        <v/>
      </c>
      <c r="K417" s="76" t="str">
        <f t="shared" si="52"/>
        <v/>
      </c>
      <c r="L417" s="43"/>
      <c r="M417" s="7"/>
      <c r="N417" s="106"/>
      <c r="R417" s="3" t="str">
        <f t="shared" si="53"/>
        <v/>
      </c>
      <c r="S417" s="3">
        <f t="shared" si="54"/>
        <v>0</v>
      </c>
      <c r="T417" s="3">
        <f t="shared" si="55"/>
        <v>13</v>
      </c>
    </row>
    <row r="418" spans="1:20">
      <c r="A418" s="74" t="str">
        <f t="shared" si="48"/>
        <v/>
      </c>
      <c r="B418" s="75" t="str">
        <f>IFERROR(INDEX(对接源_01入库吨位!$B$5:$B$304,MATCH(INT((ROW()-5)/3)+1,对接源_01入库吨位!$S$5:$S$304,0)),"")</f>
        <v/>
      </c>
      <c r="C418" s="75" t="str">
        <f>IFERROR(INDEX(对接源_01入库吨位!$C$5:$C$304,MATCH(INT((ROW()-5)/3)+1,对接源_01入库吨位!$S$5:$S$304,0)),"")</f>
        <v/>
      </c>
      <c r="D418" s="89" t="str">
        <f t="shared" si="49"/>
        <v/>
      </c>
      <c r="E418" s="42" t="str">
        <f>IF($B418="","",IFERROR(IF($D418="周转打冷",N(INDEX(对接源_01入库吨位!$D$5:$D$304,MATCH(INT((ROW()-5)/3)+1,对接源_01入库吨位!$S$5:$S$304,0))),IF($D418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8" s="76" t="str">
        <f>IF($B418="","",ROUND(IFERROR(IF($D418="周转打冷",N(INDEX(对接源_01入库吨位!$H$5:$H$304,MATCH(INT((ROW()-5)/3)+1,对接源_01入库吨位!$S$5:$S$304,0))),IF($D418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8" s="122" t="str">
        <f t="shared" si="50"/>
        <v/>
      </c>
      <c r="H418" s="43"/>
      <c r="I418" s="107"/>
      <c r="J418" s="123" t="str">
        <f t="shared" si="51"/>
        <v/>
      </c>
      <c r="K418" s="76" t="str">
        <f t="shared" si="52"/>
        <v/>
      </c>
      <c r="L418" s="43"/>
      <c r="M418" s="7"/>
      <c r="N418" s="106"/>
      <c r="R418" s="3" t="str">
        <f t="shared" si="53"/>
        <v/>
      </c>
      <c r="S418" s="3">
        <f t="shared" si="54"/>
        <v>0</v>
      </c>
      <c r="T418" s="3">
        <f t="shared" si="55"/>
        <v>13</v>
      </c>
    </row>
    <row r="419" spans="1:20">
      <c r="A419" s="74" t="str">
        <f t="shared" si="48"/>
        <v/>
      </c>
      <c r="B419" s="75" t="str">
        <f>IFERROR(INDEX(对接源_01入库吨位!$B$5:$B$304,MATCH(INT((ROW()-5)/3)+1,对接源_01入库吨位!$S$5:$S$304,0)),"")</f>
        <v/>
      </c>
      <c r="C419" s="75" t="str">
        <f>IFERROR(INDEX(对接源_01入库吨位!$C$5:$C$304,MATCH(INT((ROW()-5)/3)+1,对接源_01入库吨位!$S$5:$S$304,0)),"")</f>
        <v/>
      </c>
      <c r="D419" s="89" t="str">
        <f t="shared" si="49"/>
        <v/>
      </c>
      <c r="E419" s="42" t="str">
        <f>IF($B419="","",IFERROR(IF($D419="周转打冷",N(INDEX(对接源_01入库吨位!$D$5:$D$304,MATCH(INT((ROW()-5)/3)+1,对接源_01入库吨位!$S$5:$S$304,0))),IF($D419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9" s="76" t="str">
        <f>IF($B419="","",ROUND(IFERROR(IF($D419="周转打冷",N(INDEX(对接源_01入库吨位!$H$5:$H$304,MATCH(INT((ROW()-5)/3)+1,对接源_01入库吨位!$S$5:$S$304,0))),IF($D419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9" s="122" t="str">
        <f t="shared" si="50"/>
        <v/>
      </c>
      <c r="H419" s="43"/>
      <c r="I419" s="107"/>
      <c r="J419" s="123" t="str">
        <f t="shared" si="51"/>
        <v/>
      </c>
      <c r="K419" s="76" t="str">
        <f t="shared" si="52"/>
        <v/>
      </c>
      <c r="L419" s="43"/>
      <c r="M419" s="7"/>
      <c r="N419" s="106"/>
      <c r="R419" s="3" t="str">
        <f t="shared" si="53"/>
        <v/>
      </c>
      <c r="S419" s="3">
        <f t="shared" si="54"/>
        <v>0</v>
      </c>
      <c r="T419" s="3">
        <f t="shared" si="55"/>
        <v>13</v>
      </c>
    </row>
    <row r="420" spans="1:20">
      <c r="A420" s="74" t="str">
        <f t="shared" si="48"/>
        <v/>
      </c>
      <c r="B420" s="75" t="str">
        <f>IFERROR(INDEX(对接源_01入库吨位!$B$5:$B$304,MATCH(INT((ROW()-5)/3)+1,对接源_01入库吨位!$S$5:$S$304,0)),"")</f>
        <v/>
      </c>
      <c r="C420" s="75" t="str">
        <f>IFERROR(INDEX(对接源_01入库吨位!$C$5:$C$304,MATCH(INT((ROW()-5)/3)+1,对接源_01入库吨位!$S$5:$S$304,0)),"")</f>
        <v/>
      </c>
      <c r="D420" s="89" t="str">
        <f t="shared" si="49"/>
        <v/>
      </c>
      <c r="E420" s="42" t="str">
        <f>IF($B420="","",IFERROR(IF($D420="周转打冷",N(INDEX(对接源_01入库吨位!$D$5:$D$304,MATCH(INT((ROW()-5)/3)+1,对接源_01入库吨位!$S$5:$S$304,0))),IF($D420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0" s="76" t="str">
        <f>IF($B420="","",ROUND(IFERROR(IF($D420="周转打冷",N(INDEX(对接源_01入库吨位!$H$5:$H$304,MATCH(INT((ROW()-5)/3)+1,对接源_01入库吨位!$S$5:$S$304,0))),IF($D420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0" s="122" t="str">
        <f t="shared" si="50"/>
        <v/>
      </c>
      <c r="H420" s="43"/>
      <c r="I420" s="107"/>
      <c r="J420" s="123" t="str">
        <f t="shared" si="51"/>
        <v/>
      </c>
      <c r="K420" s="76" t="str">
        <f t="shared" si="52"/>
        <v/>
      </c>
      <c r="L420" s="43"/>
      <c r="M420" s="7"/>
      <c r="N420" s="106"/>
      <c r="R420" s="3" t="str">
        <f t="shared" si="53"/>
        <v/>
      </c>
      <c r="S420" s="3">
        <f t="shared" si="54"/>
        <v>0</v>
      </c>
      <c r="T420" s="3">
        <f t="shared" si="55"/>
        <v>13</v>
      </c>
    </row>
    <row r="421" spans="1:20">
      <c r="A421" s="74" t="str">
        <f t="shared" si="48"/>
        <v/>
      </c>
      <c r="B421" s="75" t="str">
        <f>IFERROR(INDEX(对接源_01入库吨位!$B$5:$B$304,MATCH(INT((ROW()-5)/3)+1,对接源_01入库吨位!$S$5:$S$304,0)),"")</f>
        <v/>
      </c>
      <c r="C421" s="75" t="str">
        <f>IFERROR(INDEX(对接源_01入库吨位!$C$5:$C$304,MATCH(INT((ROW()-5)/3)+1,对接源_01入库吨位!$S$5:$S$304,0)),"")</f>
        <v/>
      </c>
      <c r="D421" s="89" t="str">
        <f t="shared" si="49"/>
        <v/>
      </c>
      <c r="E421" s="42" t="str">
        <f>IF($B421="","",IFERROR(IF($D421="周转打冷",N(INDEX(对接源_01入库吨位!$D$5:$D$304,MATCH(INT((ROW()-5)/3)+1,对接源_01入库吨位!$S$5:$S$304,0))),IF($D421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1" s="76" t="str">
        <f>IF($B421="","",ROUND(IFERROR(IF($D421="周转打冷",N(INDEX(对接源_01入库吨位!$H$5:$H$304,MATCH(INT((ROW()-5)/3)+1,对接源_01入库吨位!$S$5:$S$304,0))),IF($D421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1" s="122" t="str">
        <f t="shared" si="50"/>
        <v/>
      </c>
      <c r="H421" s="43"/>
      <c r="I421" s="107"/>
      <c r="J421" s="123" t="str">
        <f t="shared" si="51"/>
        <v/>
      </c>
      <c r="K421" s="76" t="str">
        <f t="shared" si="52"/>
        <v/>
      </c>
      <c r="L421" s="43"/>
      <c r="M421" s="7"/>
      <c r="N421" s="106"/>
      <c r="R421" s="3" t="str">
        <f t="shared" si="53"/>
        <v/>
      </c>
      <c r="S421" s="3">
        <f t="shared" si="54"/>
        <v>0</v>
      </c>
      <c r="T421" s="3">
        <f t="shared" si="55"/>
        <v>13</v>
      </c>
    </row>
    <row r="422" spans="1:20">
      <c r="A422" s="74" t="str">
        <f t="shared" si="48"/>
        <v/>
      </c>
      <c r="B422" s="75" t="str">
        <f>IFERROR(INDEX(对接源_01入库吨位!$B$5:$B$304,MATCH(INT((ROW()-5)/3)+1,对接源_01入库吨位!$S$5:$S$304,0)),"")</f>
        <v/>
      </c>
      <c r="C422" s="75" t="str">
        <f>IFERROR(INDEX(对接源_01入库吨位!$C$5:$C$304,MATCH(INT((ROW()-5)/3)+1,对接源_01入库吨位!$S$5:$S$304,0)),"")</f>
        <v/>
      </c>
      <c r="D422" s="89" t="str">
        <f t="shared" si="49"/>
        <v/>
      </c>
      <c r="E422" s="42" t="str">
        <f>IF($B422="","",IFERROR(IF($D422="周转打冷",N(INDEX(对接源_01入库吨位!$D$5:$D$304,MATCH(INT((ROW()-5)/3)+1,对接源_01入库吨位!$S$5:$S$304,0))),IF($D422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2" s="76" t="str">
        <f>IF($B422="","",ROUND(IFERROR(IF($D422="周转打冷",N(INDEX(对接源_01入库吨位!$H$5:$H$304,MATCH(INT((ROW()-5)/3)+1,对接源_01入库吨位!$S$5:$S$304,0))),IF($D422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2" s="122" t="str">
        <f t="shared" si="50"/>
        <v/>
      </c>
      <c r="H422" s="43"/>
      <c r="I422" s="107"/>
      <c r="J422" s="123" t="str">
        <f t="shared" si="51"/>
        <v/>
      </c>
      <c r="K422" s="76" t="str">
        <f t="shared" si="52"/>
        <v/>
      </c>
      <c r="L422" s="43"/>
      <c r="M422" s="7"/>
      <c r="N422" s="106"/>
      <c r="R422" s="3" t="str">
        <f t="shared" si="53"/>
        <v/>
      </c>
      <c r="S422" s="3">
        <f t="shared" si="54"/>
        <v>0</v>
      </c>
      <c r="T422" s="3">
        <f t="shared" si="55"/>
        <v>13</v>
      </c>
    </row>
    <row r="423" spans="1:20">
      <c r="A423" s="74" t="str">
        <f t="shared" si="48"/>
        <v/>
      </c>
      <c r="B423" s="75" t="str">
        <f>IFERROR(INDEX(对接源_01入库吨位!$B$5:$B$304,MATCH(INT((ROW()-5)/3)+1,对接源_01入库吨位!$S$5:$S$304,0)),"")</f>
        <v/>
      </c>
      <c r="C423" s="75" t="str">
        <f>IFERROR(INDEX(对接源_01入库吨位!$C$5:$C$304,MATCH(INT((ROW()-5)/3)+1,对接源_01入库吨位!$S$5:$S$304,0)),"")</f>
        <v/>
      </c>
      <c r="D423" s="89" t="str">
        <f t="shared" si="49"/>
        <v/>
      </c>
      <c r="E423" s="42" t="str">
        <f>IF($B423="","",IFERROR(IF($D423="周转打冷",N(INDEX(对接源_01入库吨位!$D$5:$D$304,MATCH(INT((ROW()-5)/3)+1,对接源_01入库吨位!$S$5:$S$304,0))),IF($D423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3" s="76" t="str">
        <f>IF($B423="","",ROUND(IFERROR(IF($D423="周转打冷",N(INDEX(对接源_01入库吨位!$H$5:$H$304,MATCH(INT((ROW()-5)/3)+1,对接源_01入库吨位!$S$5:$S$304,0))),IF($D423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3" s="122" t="str">
        <f t="shared" si="50"/>
        <v/>
      </c>
      <c r="H423" s="43"/>
      <c r="I423" s="107"/>
      <c r="J423" s="123" t="str">
        <f t="shared" si="51"/>
        <v/>
      </c>
      <c r="K423" s="76" t="str">
        <f t="shared" si="52"/>
        <v/>
      </c>
      <c r="L423" s="43"/>
      <c r="M423" s="7"/>
      <c r="N423" s="106"/>
      <c r="R423" s="3" t="str">
        <f t="shared" si="53"/>
        <v/>
      </c>
      <c r="S423" s="3">
        <f t="shared" si="54"/>
        <v>0</v>
      </c>
      <c r="T423" s="3">
        <f t="shared" si="55"/>
        <v>13</v>
      </c>
    </row>
    <row r="424" spans="1:20">
      <c r="A424" s="74" t="str">
        <f t="shared" si="48"/>
        <v/>
      </c>
      <c r="B424" s="75" t="str">
        <f>IFERROR(INDEX(对接源_01入库吨位!$B$5:$B$304,MATCH(INT((ROW()-5)/3)+1,对接源_01入库吨位!$S$5:$S$304,0)),"")</f>
        <v/>
      </c>
      <c r="C424" s="75" t="str">
        <f>IFERROR(INDEX(对接源_01入库吨位!$C$5:$C$304,MATCH(INT((ROW()-5)/3)+1,对接源_01入库吨位!$S$5:$S$304,0)),"")</f>
        <v/>
      </c>
      <c r="D424" s="89" t="str">
        <f t="shared" si="49"/>
        <v/>
      </c>
      <c r="E424" s="42" t="str">
        <f>IF($B424="","",IFERROR(IF($D424="周转打冷",N(INDEX(对接源_01入库吨位!$D$5:$D$304,MATCH(INT((ROW()-5)/3)+1,对接源_01入库吨位!$S$5:$S$304,0))),IF($D424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4" s="76" t="str">
        <f>IF($B424="","",ROUND(IFERROR(IF($D424="周转打冷",N(INDEX(对接源_01入库吨位!$H$5:$H$304,MATCH(INT((ROW()-5)/3)+1,对接源_01入库吨位!$S$5:$S$304,0))),IF($D424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4" s="122" t="str">
        <f t="shared" si="50"/>
        <v/>
      </c>
      <c r="H424" s="43"/>
      <c r="I424" s="107"/>
      <c r="J424" s="123" t="str">
        <f t="shared" si="51"/>
        <v/>
      </c>
      <c r="K424" s="76" t="str">
        <f t="shared" si="52"/>
        <v/>
      </c>
      <c r="L424" s="43"/>
      <c r="M424" s="7"/>
      <c r="N424" s="106"/>
      <c r="R424" s="3" t="str">
        <f t="shared" si="53"/>
        <v/>
      </c>
      <c r="S424" s="3">
        <f t="shared" si="54"/>
        <v>0</v>
      </c>
      <c r="T424" s="3">
        <f t="shared" si="55"/>
        <v>13</v>
      </c>
    </row>
    <row r="425" spans="1:20">
      <c r="A425" s="74" t="str">
        <f t="shared" si="48"/>
        <v/>
      </c>
      <c r="B425" s="75" t="str">
        <f>IFERROR(INDEX(对接源_01入库吨位!$B$5:$B$304,MATCH(INT((ROW()-5)/3)+1,对接源_01入库吨位!$S$5:$S$304,0)),"")</f>
        <v/>
      </c>
      <c r="C425" s="75" t="str">
        <f>IFERROR(INDEX(对接源_01入库吨位!$C$5:$C$304,MATCH(INT((ROW()-5)/3)+1,对接源_01入库吨位!$S$5:$S$304,0)),"")</f>
        <v/>
      </c>
      <c r="D425" s="89" t="str">
        <f t="shared" si="49"/>
        <v/>
      </c>
      <c r="E425" s="42" t="str">
        <f>IF($B425="","",IFERROR(IF($D425="周转打冷",N(INDEX(对接源_01入库吨位!$D$5:$D$304,MATCH(INT((ROW()-5)/3)+1,对接源_01入库吨位!$S$5:$S$304,0))),IF($D425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5" s="76" t="str">
        <f>IF($B425="","",ROUND(IFERROR(IF($D425="周转打冷",N(INDEX(对接源_01入库吨位!$H$5:$H$304,MATCH(INT((ROW()-5)/3)+1,对接源_01入库吨位!$S$5:$S$304,0))),IF($D425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5" s="122" t="str">
        <f t="shared" si="50"/>
        <v/>
      </c>
      <c r="H425" s="43"/>
      <c r="I425" s="107"/>
      <c r="J425" s="123" t="str">
        <f t="shared" si="51"/>
        <v/>
      </c>
      <c r="K425" s="76" t="str">
        <f t="shared" si="52"/>
        <v/>
      </c>
      <c r="L425" s="43"/>
      <c r="M425" s="7"/>
      <c r="N425" s="106"/>
      <c r="R425" s="3" t="str">
        <f t="shared" si="53"/>
        <v/>
      </c>
      <c r="S425" s="3">
        <f t="shared" si="54"/>
        <v>0</v>
      </c>
      <c r="T425" s="3">
        <f t="shared" si="55"/>
        <v>13</v>
      </c>
    </row>
    <row r="426" spans="1:20">
      <c r="A426" s="74" t="str">
        <f t="shared" si="48"/>
        <v/>
      </c>
      <c r="B426" s="75" t="str">
        <f>IFERROR(INDEX(对接源_01入库吨位!$B$5:$B$304,MATCH(INT((ROW()-5)/3)+1,对接源_01入库吨位!$S$5:$S$304,0)),"")</f>
        <v/>
      </c>
      <c r="C426" s="75" t="str">
        <f>IFERROR(INDEX(对接源_01入库吨位!$C$5:$C$304,MATCH(INT((ROW()-5)/3)+1,对接源_01入库吨位!$S$5:$S$304,0)),"")</f>
        <v/>
      </c>
      <c r="D426" s="89" t="str">
        <f t="shared" si="49"/>
        <v/>
      </c>
      <c r="E426" s="42" t="str">
        <f>IF($B426="","",IFERROR(IF($D426="周转打冷",N(INDEX(对接源_01入库吨位!$D$5:$D$304,MATCH(INT((ROW()-5)/3)+1,对接源_01入库吨位!$S$5:$S$304,0))),IF($D426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6" s="76" t="str">
        <f>IF($B426="","",ROUND(IFERROR(IF($D426="周转打冷",N(INDEX(对接源_01入库吨位!$H$5:$H$304,MATCH(INT((ROW()-5)/3)+1,对接源_01入库吨位!$S$5:$S$304,0))),IF($D426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6" s="122" t="str">
        <f t="shared" si="50"/>
        <v/>
      </c>
      <c r="H426" s="43"/>
      <c r="I426" s="107"/>
      <c r="J426" s="123" t="str">
        <f t="shared" si="51"/>
        <v/>
      </c>
      <c r="K426" s="76" t="str">
        <f t="shared" si="52"/>
        <v/>
      </c>
      <c r="L426" s="43"/>
      <c r="M426" s="7"/>
      <c r="N426" s="106"/>
      <c r="R426" s="3" t="str">
        <f t="shared" si="53"/>
        <v/>
      </c>
      <c r="S426" s="3">
        <f t="shared" si="54"/>
        <v>0</v>
      </c>
      <c r="T426" s="3">
        <f t="shared" si="55"/>
        <v>13</v>
      </c>
    </row>
    <row r="427" spans="1:20">
      <c r="A427" s="74" t="str">
        <f t="shared" si="48"/>
        <v/>
      </c>
      <c r="B427" s="75" t="str">
        <f>IFERROR(INDEX(对接源_01入库吨位!$B$5:$B$304,MATCH(INT((ROW()-5)/3)+1,对接源_01入库吨位!$S$5:$S$304,0)),"")</f>
        <v/>
      </c>
      <c r="C427" s="75" t="str">
        <f>IFERROR(INDEX(对接源_01入库吨位!$C$5:$C$304,MATCH(INT((ROW()-5)/3)+1,对接源_01入库吨位!$S$5:$S$304,0)),"")</f>
        <v/>
      </c>
      <c r="D427" s="89" t="str">
        <f t="shared" si="49"/>
        <v/>
      </c>
      <c r="E427" s="42" t="str">
        <f>IF($B427="","",IFERROR(IF($D427="周转打冷",N(INDEX(对接源_01入库吨位!$D$5:$D$304,MATCH(INT((ROW()-5)/3)+1,对接源_01入库吨位!$S$5:$S$304,0))),IF($D427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7" s="76" t="str">
        <f>IF($B427="","",ROUND(IFERROR(IF($D427="周转打冷",N(INDEX(对接源_01入库吨位!$H$5:$H$304,MATCH(INT((ROW()-5)/3)+1,对接源_01入库吨位!$S$5:$S$304,0))),IF($D427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7" s="122" t="str">
        <f t="shared" si="50"/>
        <v/>
      </c>
      <c r="H427" s="43"/>
      <c r="I427" s="107"/>
      <c r="J427" s="123" t="str">
        <f t="shared" si="51"/>
        <v/>
      </c>
      <c r="K427" s="76" t="str">
        <f t="shared" si="52"/>
        <v/>
      </c>
      <c r="L427" s="43"/>
      <c r="M427" s="7"/>
      <c r="N427" s="106"/>
      <c r="R427" s="3" t="str">
        <f t="shared" si="53"/>
        <v/>
      </c>
      <c r="S427" s="3">
        <f t="shared" si="54"/>
        <v>0</v>
      </c>
      <c r="T427" s="3">
        <f t="shared" si="55"/>
        <v>13</v>
      </c>
    </row>
    <row r="428" spans="1:20">
      <c r="A428" s="74" t="str">
        <f t="shared" si="48"/>
        <v/>
      </c>
      <c r="B428" s="75" t="str">
        <f>IFERROR(INDEX(对接源_01入库吨位!$B$5:$B$304,MATCH(INT((ROW()-5)/3)+1,对接源_01入库吨位!$S$5:$S$304,0)),"")</f>
        <v/>
      </c>
      <c r="C428" s="75" t="str">
        <f>IFERROR(INDEX(对接源_01入库吨位!$C$5:$C$304,MATCH(INT((ROW()-5)/3)+1,对接源_01入库吨位!$S$5:$S$304,0)),"")</f>
        <v/>
      </c>
      <c r="D428" s="89" t="str">
        <f t="shared" si="49"/>
        <v/>
      </c>
      <c r="E428" s="42" t="str">
        <f>IF($B428="","",IFERROR(IF($D428="周转打冷",N(INDEX(对接源_01入库吨位!$D$5:$D$304,MATCH(INT((ROW()-5)/3)+1,对接源_01入库吨位!$S$5:$S$304,0))),IF($D428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8" s="76" t="str">
        <f>IF($B428="","",ROUND(IFERROR(IF($D428="周转打冷",N(INDEX(对接源_01入库吨位!$H$5:$H$304,MATCH(INT((ROW()-5)/3)+1,对接源_01入库吨位!$S$5:$S$304,0))),IF($D428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8" s="122" t="str">
        <f t="shared" si="50"/>
        <v/>
      </c>
      <c r="H428" s="43"/>
      <c r="I428" s="107"/>
      <c r="J428" s="123" t="str">
        <f t="shared" si="51"/>
        <v/>
      </c>
      <c r="K428" s="76" t="str">
        <f t="shared" si="52"/>
        <v/>
      </c>
      <c r="L428" s="43"/>
      <c r="M428" s="7"/>
      <c r="N428" s="106"/>
      <c r="R428" s="3" t="str">
        <f t="shared" si="53"/>
        <v/>
      </c>
      <c r="S428" s="3">
        <f t="shared" si="54"/>
        <v>0</v>
      </c>
      <c r="T428" s="3">
        <f t="shared" si="55"/>
        <v>13</v>
      </c>
    </row>
    <row r="429" spans="1:20">
      <c r="A429" s="74" t="str">
        <f t="shared" si="48"/>
        <v/>
      </c>
      <c r="B429" s="75" t="str">
        <f>IFERROR(INDEX(对接源_01入库吨位!$B$5:$B$304,MATCH(INT((ROW()-5)/3)+1,对接源_01入库吨位!$S$5:$S$304,0)),"")</f>
        <v/>
      </c>
      <c r="C429" s="75" t="str">
        <f>IFERROR(INDEX(对接源_01入库吨位!$C$5:$C$304,MATCH(INT((ROW()-5)/3)+1,对接源_01入库吨位!$S$5:$S$304,0)),"")</f>
        <v/>
      </c>
      <c r="D429" s="89" t="str">
        <f t="shared" si="49"/>
        <v/>
      </c>
      <c r="E429" s="42" t="str">
        <f>IF($B429="","",IFERROR(IF($D429="周转打冷",N(INDEX(对接源_01入库吨位!$D$5:$D$304,MATCH(INT((ROW()-5)/3)+1,对接源_01入库吨位!$S$5:$S$304,0))),IF($D429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9" s="76" t="str">
        <f>IF($B429="","",ROUND(IFERROR(IF($D429="周转打冷",N(INDEX(对接源_01入库吨位!$H$5:$H$304,MATCH(INT((ROW()-5)/3)+1,对接源_01入库吨位!$S$5:$S$304,0))),IF($D429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9" s="122" t="str">
        <f t="shared" si="50"/>
        <v/>
      </c>
      <c r="H429" s="43"/>
      <c r="I429" s="107"/>
      <c r="J429" s="123" t="str">
        <f t="shared" si="51"/>
        <v/>
      </c>
      <c r="K429" s="76" t="str">
        <f t="shared" si="52"/>
        <v/>
      </c>
      <c r="L429" s="43"/>
      <c r="M429" s="7"/>
      <c r="N429" s="106"/>
      <c r="R429" s="3" t="str">
        <f t="shared" si="53"/>
        <v/>
      </c>
      <c r="S429" s="3">
        <f t="shared" si="54"/>
        <v>0</v>
      </c>
      <c r="T429" s="3">
        <f t="shared" si="55"/>
        <v>13</v>
      </c>
    </row>
    <row r="430" spans="1:20">
      <c r="A430" s="74" t="str">
        <f t="shared" si="48"/>
        <v/>
      </c>
      <c r="B430" s="75" t="str">
        <f>IFERROR(INDEX(对接源_01入库吨位!$B$5:$B$304,MATCH(INT((ROW()-5)/3)+1,对接源_01入库吨位!$S$5:$S$304,0)),"")</f>
        <v/>
      </c>
      <c r="C430" s="75" t="str">
        <f>IFERROR(INDEX(对接源_01入库吨位!$C$5:$C$304,MATCH(INT((ROW()-5)/3)+1,对接源_01入库吨位!$S$5:$S$304,0)),"")</f>
        <v/>
      </c>
      <c r="D430" s="89" t="str">
        <f t="shared" si="49"/>
        <v/>
      </c>
      <c r="E430" s="42" t="str">
        <f>IF($B430="","",IFERROR(IF($D430="周转打冷",N(INDEX(对接源_01入库吨位!$D$5:$D$304,MATCH(INT((ROW()-5)/3)+1,对接源_01入库吨位!$S$5:$S$304,0))),IF($D430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0" s="76" t="str">
        <f>IF($B430="","",ROUND(IFERROR(IF($D430="周转打冷",N(INDEX(对接源_01入库吨位!$H$5:$H$304,MATCH(INT((ROW()-5)/3)+1,对接源_01入库吨位!$S$5:$S$304,0))),IF($D430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0" s="122" t="str">
        <f t="shared" si="50"/>
        <v/>
      </c>
      <c r="H430" s="43"/>
      <c r="I430" s="107"/>
      <c r="J430" s="123" t="str">
        <f t="shared" si="51"/>
        <v/>
      </c>
      <c r="K430" s="76" t="str">
        <f t="shared" si="52"/>
        <v/>
      </c>
      <c r="L430" s="43"/>
      <c r="M430" s="7"/>
      <c r="N430" s="106"/>
      <c r="R430" s="3" t="str">
        <f t="shared" si="53"/>
        <v/>
      </c>
      <c r="S430" s="3">
        <f t="shared" si="54"/>
        <v>0</v>
      </c>
      <c r="T430" s="3">
        <f t="shared" si="55"/>
        <v>13</v>
      </c>
    </row>
    <row r="431" spans="1:20">
      <c r="A431" s="74" t="str">
        <f t="shared" si="48"/>
        <v/>
      </c>
      <c r="B431" s="75" t="str">
        <f>IFERROR(INDEX(对接源_01入库吨位!$B$5:$B$304,MATCH(INT((ROW()-5)/3)+1,对接源_01入库吨位!$S$5:$S$304,0)),"")</f>
        <v/>
      </c>
      <c r="C431" s="75" t="str">
        <f>IFERROR(INDEX(对接源_01入库吨位!$C$5:$C$304,MATCH(INT((ROW()-5)/3)+1,对接源_01入库吨位!$S$5:$S$304,0)),"")</f>
        <v/>
      </c>
      <c r="D431" s="89" t="str">
        <f t="shared" si="49"/>
        <v/>
      </c>
      <c r="E431" s="42" t="str">
        <f>IF($B431="","",IFERROR(IF($D431="周转打冷",N(INDEX(对接源_01入库吨位!$D$5:$D$304,MATCH(INT((ROW()-5)/3)+1,对接源_01入库吨位!$S$5:$S$304,0))),IF($D431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1" s="76" t="str">
        <f>IF($B431="","",ROUND(IFERROR(IF($D431="周转打冷",N(INDEX(对接源_01入库吨位!$H$5:$H$304,MATCH(INT((ROW()-5)/3)+1,对接源_01入库吨位!$S$5:$S$304,0))),IF($D431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1" s="122" t="str">
        <f t="shared" si="50"/>
        <v/>
      </c>
      <c r="H431" s="43"/>
      <c r="I431" s="107"/>
      <c r="J431" s="123" t="str">
        <f t="shared" si="51"/>
        <v/>
      </c>
      <c r="K431" s="76" t="str">
        <f t="shared" si="52"/>
        <v/>
      </c>
      <c r="L431" s="43"/>
      <c r="M431" s="7"/>
      <c r="N431" s="106"/>
      <c r="R431" s="3" t="str">
        <f t="shared" si="53"/>
        <v/>
      </c>
      <c r="S431" s="3">
        <f t="shared" si="54"/>
        <v>0</v>
      </c>
      <c r="T431" s="3">
        <f t="shared" si="55"/>
        <v>13</v>
      </c>
    </row>
    <row r="432" spans="1:20">
      <c r="A432" s="74" t="str">
        <f t="shared" si="48"/>
        <v/>
      </c>
      <c r="B432" s="75" t="str">
        <f>IFERROR(INDEX(对接源_01入库吨位!$B$5:$B$304,MATCH(INT((ROW()-5)/3)+1,对接源_01入库吨位!$S$5:$S$304,0)),"")</f>
        <v/>
      </c>
      <c r="C432" s="75" t="str">
        <f>IFERROR(INDEX(对接源_01入库吨位!$C$5:$C$304,MATCH(INT((ROW()-5)/3)+1,对接源_01入库吨位!$S$5:$S$304,0)),"")</f>
        <v/>
      </c>
      <c r="D432" s="89" t="str">
        <f t="shared" si="49"/>
        <v/>
      </c>
      <c r="E432" s="42" t="str">
        <f>IF($B432="","",IFERROR(IF($D432="周转打冷",N(INDEX(对接源_01入库吨位!$D$5:$D$304,MATCH(INT((ROW()-5)/3)+1,对接源_01入库吨位!$S$5:$S$304,0))),IF($D432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2" s="76" t="str">
        <f>IF($B432="","",ROUND(IFERROR(IF($D432="周转打冷",N(INDEX(对接源_01入库吨位!$H$5:$H$304,MATCH(INT((ROW()-5)/3)+1,对接源_01入库吨位!$S$5:$S$304,0))),IF($D432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2" s="122" t="str">
        <f t="shared" si="50"/>
        <v/>
      </c>
      <c r="H432" s="43"/>
      <c r="I432" s="107"/>
      <c r="J432" s="123" t="str">
        <f t="shared" si="51"/>
        <v/>
      </c>
      <c r="K432" s="76" t="str">
        <f t="shared" si="52"/>
        <v/>
      </c>
      <c r="L432" s="43"/>
      <c r="M432" s="7"/>
      <c r="N432" s="106"/>
      <c r="R432" s="3" t="str">
        <f t="shared" si="53"/>
        <v/>
      </c>
      <c r="S432" s="3">
        <f t="shared" si="54"/>
        <v>0</v>
      </c>
      <c r="T432" s="3">
        <f t="shared" si="55"/>
        <v>13</v>
      </c>
    </row>
    <row r="433" spans="1:20">
      <c r="A433" s="74" t="str">
        <f t="shared" si="48"/>
        <v/>
      </c>
      <c r="B433" s="75" t="str">
        <f>IFERROR(INDEX(对接源_01入库吨位!$B$5:$B$304,MATCH(INT((ROW()-5)/3)+1,对接源_01入库吨位!$S$5:$S$304,0)),"")</f>
        <v/>
      </c>
      <c r="C433" s="75" t="str">
        <f>IFERROR(INDEX(对接源_01入库吨位!$C$5:$C$304,MATCH(INT((ROW()-5)/3)+1,对接源_01入库吨位!$S$5:$S$304,0)),"")</f>
        <v/>
      </c>
      <c r="D433" s="89" t="str">
        <f t="shared" si="49"/>
        <v/>
      </c>
      <c r="E433" s="42" t="str">
        <f>IF($B433="","",IFERROR(IF($D433="周转打冷",N(INDEX(对接源_01入库吨位!$D$5:$D$304,MATCH(INT((ROW()-5)/3)+1,对接源_01入库吨位!$S$5:$S$304,0))),IF($D433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3" s="76" t="str">
        <f>IF($B433="","",ROUND(IFERROR(IF($D433="周转打冷",N(INDEX(对接源_01入库吨位!$H$5:$H$304,MATCH(INT((ROW()-5)/3)+1,对接源_01入库吨位!$S$5:$S$304,0))),IF($D433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3" s="122" t="str">
        <f t="shared" si="50"/>
        <v/>
      </c>
      <c r="H433" s="43"/>
      <c r="I433" s="107"/>
      <c r="J433" s="123" t="str">
        <f t="shared" si="51"/>
        <v/>
      </c>
      <c r="K433" s="76" t="str">
        <f t="shared" si="52"/>
        <v/>
      </c>
      <c r="L433" s="43"/>
      <c r="M433" s="7"/>
      <c r="N433" s="106"/>
      <c r="R433" s="3" t="str">
        <f t="shared" si="53"/>
        <v/>
      </c>
      <c r="S433" s="3">
        <f t="shared" si="54"/>
        <v>0</v>
      </c>
      <c r="T433" s="3">
        <f t="shared" si="55"/>
        <v>13</v>
      </c>
    </row>
    <row r="434" spans="1:20">
      <c r="A434" s="74" t="str">
        <f t="shared" si="48"/>
        <v/>
      </c>
      <c r="B434" s="75" t="str">
        <f>IFERROR(INDEX(对接源_01入库吨位!$B$5:$B$304,MATCH(INT((ROW()-5)/3)+1,对接源_01入库吨位!$S$5:$S$304,0)),"")</f>
        <v/>
      </c>
      <c r="C434" s="75" t="str">
        <f>IFERROR(INDEX(对接源_01入库吨位!$C$5:$C$304,MATCH(INT((ROW()-5)/3)+1,对接源_01入库吨位!$S$5:$S$304,0)),"")</f>
        <v/>
      </c>
      <c r="D434" s="89" t="str">
        <f t="shared" si="49"/>
        <v/>
      </c>
      <c r="E434" s="42" t="str">
        <f>IF($B434="","",IFERROR(IF($D434="周转打冷",N(INDEX(对接源_01入库吨位!$D$5:$D$304,MATCH(INT((ROW()-5)/3)+1,对接源_01入库吨位!$S$5:$S$304,0))),IF($D434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4" s="76" t="str">
        <f>IF($B434="","",ROUND(IFERROR(IF($D434="周转打冷",N(INDEX(对接源_01入库吨位!$H$5:$H$304,MATCH(INT((ROW()-5)/3)+1,对接源_01入库吨位!$S$5:$S$304,0))),IF($D434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4" s="122" t="str">
        <f t="shared" si="50"/>
        <v/>
      </c>
      <c r="H434" s="43"/>
      <c r="I434" s="107"/>
      <c r="J434" s="123" t="str">
        <f t="shared" si="51"/>
        <v/>
      </c>
      <c r="K434" s="76" t="str">
        <f t="shared" si="52"/>
        <v/>
      </c>
      <c r="L434" s="43"/>
      <c r="M434" s="7"/>
      <c r="N434" s="106"/>
      <c r="R434" s="3" t="str">
        <f t="shared" si="53"/>
        <v/>
      </c>
      <c r="S434" s="3">
        <f t="shared" si="54"/>
        <v>0</v>
      </c>
      <c r="T434" s="3">
        <f t="shared" si="55"/>
        <v>13</v>
      </c>
    </row>
    <row r="435" spans="1:20">
      <c r="A435" s="74" t="str">
        <f t="shared" si="48"/>
        <v/>
      </c>
      <c r="B435" s="75" t="str">
        <f>IFERROR(INDEX(对接源_01入库吨位!$B$5:$B$304,MATCH(INT((ROW()-5)/3)+1,对接源_01入库吨位!$S$5:$S$304,0)),"")</f>
        <v/>
      </c>
      <c r="C435" s="75" t="str">
        <f>IFERROR(INDEX(对接源_01入库吨位!$C$5:$C$304,MATCH(INT((ROW()-5)/3)+1,对接源_01入库吨位!$S$5:$S$304,0)),"")</f>
        <v/>
      </c>
      <c r="D435" s="89" t="str">
        <f t="shared" si="49"/>
        <v/>
      </c>
      <c r="E435" s="42" t="str">
        <f>IF($B435="","",IFERROR(IF($D435="周转打冷",N(INDEX(对接源_01入库吨位!$D$5:$D$304,MATCH(INT((ROW()-5)/3)+1,对接源_01入库吨位!$S$5:$S$304,0))),IF($D435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5" s="76" t="str">
        <f>IF($B435="","",ROUND(IFERROR(IF($D435="周转打冷",N(INDEX(对接源_01入库吨位!$H$5:$H$304,MATCH(INT((ROW()-5)/3)+1,对接源_01入库吨位!$S$5:$S$304,0))),IF($D435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5" s="122" t="str">
        <f t="shared" si="50"/>
        <v/>
      </c>
      <c r="H435" s="43"/>
      <c r="I435" s="107"/>
      <c r="J435" s="123" t="str">
        <f t="shared" si="51"/>
        <v/>
      </c>
      <c r="K435" s="76" t="str">
        <f t="shared" si="52"/>
        <v/>
      </c>
      <c r="L435" s="43"/>
      <c r="M435" s="7"/>
      <c r="N435" s="106"/>
      <c r="R435" s="3" t="str">
        <f t="shared" si="53"/>
        <v/>
      </c>
      <c r="S435" s="3">
        <f t="shared" si="54"/>
        <v>0</v>
      </c>
      <c r="T435" s="3">
        <f t="shared" si="55"/>
        <v>13</v>
      </c>
    </row>
    <row r="436" spans="1:20">
      <c r="A436" s="74" t="str">
        <f t="shared" si="48"/>
        <v/>
      </c>
      <c r="B436" s="75" t="str">
        <f>IFERROR(INDEX(对接源_01入库吨位!$B$5:$B$304,MATCH(INT((ROW()-5)/3)+1,对接源_01入库吨位!$S$5:$S$304,0)),"")</f>
        <v/>
      </c>
      <c r="C436" s="75" t="str">
        <f>IFERROR(INDEX(对接源_01入库吨位!$C$5:$C$304,MATCH(INT((ROW()-5)/3)+1,对接源_01入库吨位!$S$5:$S$304,0)),"")</f>
        <v/>
      </c>
      <c r="D436" s="89" t="str">
        <f t="shared" si="49"/>
        <v/>
      </c>
      <c r="E436" s="42" t="str">
        <f>IF($B436="","",IFERROR(IF($D436="周转打冷",N(INDEX(对接源_01入库吨位!$D$5:$D$304,MATCH(INT((ROW()-5)/3)+1,对接源_01入库吨位!$S$5:$S$304,0))),IF($D436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6" s="76" t="str">
        <f>IF($B436="","",ROUND(IFERROR(IF($D436="周转打冷",N(INDEX(对接源_01入库吨位!$H$5:$H$304,MATCH(INT((ROW()-5)/3)+1,对接源_01入库吨位!$S$5:$S$304,0))),IF($D436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6" s="122" t="str">
        <f t="shared" si="50"/>
        <v/>
      </c>
      <c r="H436" s="43"/>
      <c r="I436" s="107"/>
      <c r="J436" s="123" t="str">
        <f t="shared" si="51"/>
        <v/>
      </c>
      <c r="K436" s="76" t="str">
        <f t="shared" si="52"/>
        <v/>
      </c>
      <c r="L436" s="43"/>
      <c r="M436" s="7"/>
      <c r="N436" s="106"/>
      <c r="R436" s="3" t="str">
        <f t="shared" si="53"/>
        <v/>
      </c>
      <c r="S436" s="3">
        <f t="shared" si="54"/>
        <v>0</v>
      </c>
      <c r="T436" s="3">
        <f t="shared" si="55"/>
        <v>13</v>
      </c>
    </row>
    <row r="437" spans="1:20">
      <c r="A437" s="74" t="str">
        <f t="shared" si="48"/>
        <v/>
      </c>
      <c r="B437" s="75" t="str">
        <f>IFERROR(INDEX(对接源_01入库吨位!$B$5:$B$304,MATCH(INT((ROW()-5)/3)+1,对接源_01入库吨位!$S$5:$S$304,0)),"")</f>
        <v/>
      </c>
      <c r="C437" s="75" t="str">
        <f>IFERROR(INDEX(对接源_01入库吨位!$C$5:$C$304,MATCH(INT((ROW()-5)/3)+1,对接源_01入库吨位!$S$5:$S$304,0)),"")</f>
        <v/>
      </c>
      <c r="D437" s="89" t="str">
        <f t="shared" si="49"/>
        <v/>
      </c>
      <c r="E437" s="42" t="str">
        <f>IF($B437="","",IFERROR(IF($D437="周转打冷",N(INDEX(对接源_01入库吨位!$D$5:$D$304,MATCH(INT((ROW()-5)/3)+1,对接源_01入库吨位!$S$5:$S$304,0))),IF($D437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7" s="76" t="str">
        <f>IF($B437="","",ROUND(IFERROR(IF($D437="周转打冷",N(INDEX(对接源_01入库吨位!$H$5:$H$304,MATCH(INT((ROW()-5)/3)+1,对接源_01入库吨位!$S$5:$S$304,0))),IF($D437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7" s="122" t="str">
        <f t="shared" si="50"/>
        <v/>
      </c>
      <c r="H437" s="43"/>
      <c r="I437" s="107"/>
      <c r="J437" s="123" t="str">
        <f t="shared" si="51"/>
        <v/>
      </c>
      <c r="K437" s="76" t="str">
        <f t="shared" si="52"/>
        <v/>
      </c>
      <c r="L437" s="43"/>
      <c r="M437" s="7"/>
      <c r="N437" s="106"/>
      <c r="R437" s="3" t="str">
        <f t="shared" si="53"/>
        <v/>
      </c>
      <c r="S437" s="3">
        <f t="shared" si="54"/>
        <v>0</v>
      </c>
      <c r="T437" s="3">
        <f t="shared" si="55"/>
        <v>13</v>
      </c>
    </row>
    <row r="438" spans="1:20">
      <c r="A438" s="74" t="str">
        <f t="shared" si="48"/>
        <v/>
      </c>
      <c r="B438" s="75" t="str">
        <f>IFERROR(INDEX(对接源_01入库吨位!$B$5:$B$304,MATCH(INT((ROW()-5)/3)+1,对接源_01入库吨位!$S$5:$S$304,0)),"")</f>
        <v/>
      </c>
      <c r="C438" s="75" t="str">
        <f>IFERROR(INDEX(对接源_01入库吨位!$C$5:$C$304,MATCH(INT((ROW()-5)/3)+1,对接源_01入库吨位!$S$5:$S$304,0)),"")</f>
        <v/>
      </c>
      <c r="D438" s="89" t="str">
        <f t="shared" si="49"/>
        <v/>
      </c>
      <c r="E438" s="42" t="str">
        <f>IF($B438="","",IFERROR(IF($D438="周转打冷",N(INDEX(对接源_01入库吨位!$D$5:$D$304,MATCH(INT((ROW()-5)/3)+1,对接源_01入库吨位!$S$5:$S$304,0))),IF($D438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8" s="76" t="str">
        <f>IF($B438="","",ROUND(IFERROR(IF($D438="周转打冷",N(INDEX(对接源_01入库吨位!$H$5:$H$304,MATCH(INT((ROW()-5)/3)+1,对接源_01入库吨位!$S$5:$S$304,0))),IF($D438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8" s="122" t="str">
        <f t="shared" si="50"/>
        <v/>
      </c>
      <c r="H438" s="43"/>
      <c r="I438" s="107"/>
      <c r="J438" s="123" t="str">
        <f t="shared" si="51"/>
        <v/>
      </c>
      <c r="K438" s="76" t="str">
        <f t="shared" si="52"/>
        <v/>
      </c>
      <c r="L438" s="43"/>
      <c r="M438" s="7"/>
      <c r="N438" s="106"/>
      <c r="R438" s="3" t="str">
        <f t="shared" si="53"/>
        <v/>
      </c>
      <c r="S438" s="3">
        <f t="shared" si="54"/>
        <v>0</v>
      </c>
      <c r="T438" s="3">
        <f t="shared" si="55"/>
        <v>13</v>
      </c>
    </row>
    <row r="439" spans="1:20">
      <c r="A439" s="74" t="str">
        <f t="shared" si="48"/>
        <v/>
      </c>
      <c r="B439" s="75" t="str">
        <f>IFERROR(INDEX(对接源_01入库吨位!$B$5:$B$304,MATCH(INT((ROW()-5)/3)+1,对接源_01入库吨位!$S$5:$S$304,0)),"")</f>
        <v/>
      </c>
      <c r="C439" s="75" t="str">
        <f>IFERROR(INDEX(对接源_01入库吨位!$C$5:$C$304,MATCH(INT((ROW()-5)/3)+1,对接源_01入库吨位!$S$5:$S$304,0)),"")</f>
        <v/>
      </c>
      <c r="D439" s="89" t="str">
        <f t="shared" si="49"/>
        <v/>
      </c>
      <c r="E439" s="42" t="str">
        <f>IF($B439="","",IFERROR(IF($D439="周转打冷",N(INDEX(对接源_01入库吨位!$D$5:$D$304,MATCH(INT((ROW()-5)/3)+1,对接源_01入库吨位!$S$5:$S$304,0))),IF($D439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9" s="76" t="str">
        <f>IF($B439="","",ROUND(IFERROR(IF($D439="周转打冷",N(INDEX(对接源_01入库吨位!$H$5:$H$304,MATCH(INT((ROW()-5)/3)+1,对接源_01入库吨位!$S$5:$S$304,0))),IF($D439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9" s="122" t="str">
        <f t="shared" si="50"/>
        <v/>
      </c>
      <c r="H439" s="43"/>
      <c r="I439" s="107"/>
      <c r="J439" s="123" t="str">
        <f t="shared" si="51"/>
        <v/>
      </c>
      <c r="K439" s="76" t="str">
        <f t="shared" si="52"/>
        <v/>
      </c>
      <c r="L439" s="43"/>
      <c r="M439" s="7"/>
      <c r="N439" s="106"/>
      <c r="R439" s="3" t="str">
        <f t="shared" si="53"/>
        <v/>
      </c>
      <c r="S439" s="3">
        <f t="shared" si="54"/>
        <v>0</v>
      </c>
      <c r="T439" s="3">
        <f t="shared" si="55"/>
        <v>13</v>
      </c>
    </row>
    <row r="440" spans="1:20">
      <c r="A440" s="74" t="str">
        <f t="shared" si="48"/>
        <v/>
      </c>
      <c r="B440" s="75" t="str">
        <f>IFERROR(INDEX(对接源_01入库吨位!$B$5:$B$304,MATCH(INT((ROW()-5)/3)+1,对接源_01入库吨位!$S$5:$S$304,0)),"")</f>
        <v/>
      </c>
      <c r="C440" s="75" t="str">
        <f>IFERROR(INDEX(对接源_01入库吨位!$C$5:$C$304,MATCH(INT((ROW()-5)/3)+1,对接源_01入库吨位!$S$5:$S$304,0)),"")</f>
        <v/>
      </c>
      <c r="D440" s="89" t="str">
        <f t="shared" si="49"/>
        <v/>
      </c>
      <c r="E440" s="42" t="str">
        <f>IF($B440="","",IFERROR(IF($D440="周转打冷",N(INDEX(对接源_01入库吨位!$D$5:$D$304,MATCH(INT((ROW()-5)/3)+1,对接源_01入库吨位!$S$5:$S$304,0))),IF($D440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0" s="76" t="str">
        <f>IF($B440="","",ROUND(IFERROR(IF($D440="周转打冷",N(INDEX(对接源_01入库吨位!$H$5:$H$304,MATCH(INT((ROW()-5)/3)+1,对接源_01入库吨位!$S$5:$S$304,0))),IF($D440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0" s="122" t="str">
        <f t="shared" si="50"/>
        <v/>
      </c>
      <c r="H440" s="43"/>
      <c r="I440" s="107"/>
      <c r="J440" s="123" t="str">
        <f t="shared" si="51"/>
        <v/>
      </c>
      <c r="K440" s="76" t="str">
        <f t="shared" si="52"/>
        <v/>
      </c>
      <c r="L440" s="43"/>
      <c r="M440" s="7"/>
      <c r="N440" s="106"/>
      <c r="R440" s="3" t="str">
        <f t="shared" si="53"/>
        <v/>
      </c>
      <c r="S440" s="3">
        <f t="shared" si="54"/>
        <v>0</v>
      </c>
      <c r="T440" s="3">
        <f t="shared" si="55"/>
        <v>13</v>
      </c>
    </row>
    <row r="441" spans="1:20">
      <c r="A441" s="74" t="str">
        <f t="shared" si="48"/>
        <v/>
      </c>
      <c r="B441" s="75" t="str">
        <f>IFERROR(INDEX(对接源_01入库吨位!$B$5:$B$304,MATCH(INT((ROW()-5)/3)+1,对接源_01入库吨位!$S$5:$S$304,0)),"")</f>
        <v/>
      </c>
      <c r="C441" s="75" t="str">
        <f>IFERROR(INDEX(对接源_01入库吨位!$C$5:$C$304,MATCH(INT((ROW()-5)/3)+1,对接源_01入库吨位!$S$5:$S$304,0)),"")</f>
        <v/>
      </c>
      <c r="D441" s="89" t="str">
        <f t="shared" si="49"/>
        <v/>
      </c>
      <c r="E441" s="42" t="str">
        <f>IF($B441="","",IFERROR(IF($D441="周转打冷",N(INDEX(对接源_01入库吨位!$D$5:$D$304,MATCH(INT((ROW()-5)/3)+1,对接源_01入库吨位!$S$5:$S$304,0))),IF($D441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1" s="76" t="str">
        <f>IF($B441="","",ROUND(IFERROR(IF($D441="周转打冷",N(INDEX(对接源_01入库吨位!$H$5:$H$304,MATCH(INT((ROW()-5)/3)+1,对接源_01入库吨位!$S$5:$S$304,0))),IF($D441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1" s="122" t="str">
        <f t="shared" si="50"/>
        <v/>
      </c>
      <c r="H441" s="43"/>
      <c r="I441" s="107"/>
      <c r="J441" s="123" t="str">
        <f t="shared" si="51"/>
        <v/>
      </c>
      <c r="K441" s="76" t="str">
        <f t="shared" si="52"/>
        <v/>
      </c>
      <c r="L441" s="43"/>
      <c r="M441" s="7"/>
      <c r="N441" s="106"/>
      <c r="R441" s="3" t="str">
        <f t="shared" si="53"/>
        <v/>
      </c>
      <c r="S441" s="3">
        <f t="shared" si="54"/>
        <v>0</v>
      </c>
      <c r="T441" s="3">
        <f t="shared" si="55"/>
        <v>13</v>
      </c>
    </row>
    <row r="442" spans="1:20">
      <c r="A442" s="74" t="str">
        <f t="shared" si="48"/>
        <v/>
      </c>
      <c r="B442" s="75" t="str">
        <f>IFERROR(INDEX(对接源_01入库吨位!$B$5:$B$304,MATCH(INT((ROW()-5)/3)+1,对接源_01入库吨位!$S$5:$S$304,0)),"")</f>
        <v/>
      </c>
      <c r="C442" s="75" t="str">
        <f>IFERROR(INDEX(对接源_01入库吨位!$C$5:$C$304,MATCH(INT((ROW()-5)/3)+1,对接源_01入库吨位!$S$5:$S$304,0)),"")</f>
        <v/>
      </c>
      <c r="D442" s="89" t="str">
        <f t="shared" si="49"/>
        <v/>
      </c>
      <c r="E442" s="42" t="str">
        <f>IF($B442="","",IFERROR(IF($D442="周转打冷",N(INDEX(对接源_01入库吨位!$D$5:$D$304,MATCH(INT((ROW()-5)/3)+1,对接源_01入库吨位!$S$5:$S$304,0))),IF($D442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2" s="76" t="str">
        <f>IF($B442="","",ROUND(IFERROR(IF($D442="周转打冷",N(INDEX(对接源_01入库吨位!$H$5:$H$304,MATCH(INT((ROW()-5)/3)+1,对接源_01入库吨位!$S$5:$S$304,0))),IF($D442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2" s="122" t="str">
        <f t="shared" si="50"/>
        <v/>
      </c>
      <c r="H442" s="43"/>
      <c r="I442" s="107"/>
      <c r="J442" s="123" t="str">
        <f t="shared" si="51"/>
        <v/>
      </c>
      <c r="K442" s="76" t="str">
        <f t="shared" si="52"/>
        <v/>
      </c>
      <c r="L442" s="43"/>
      <c r="M442" s="7"/>
      <c r="N442" s="106"/>
      <c r="R442" s="3" t="str">
        <f t="shared" si="53"/>
        <v/>
      </c>
      <c r="S442" s="3">
        <f t="shared" si="54"/>
        <v>0</v>
      </c>
      <c r="T442" s="3">
        <f t="shared" si="55"/>
        <v>13</v>
      </c>
    </row>
    <row r="443" spans="1:20">
      <c r="A443" s="74" t="str">
        <f t="shared" si="48"/>
        <v/>
      </c>
      <c r="B443" s="75" t="str">
        <f>IFERROR(INDEX(对接源_01入库吨位!$B$5:$B$304,MATCH(INT((ROW()-5)/3)+1,对接源_01入库吨位!$S$5:$S$304,0)),"")</f>
        <v/>
      </c>
      <c r="C443" s="75" t="str">
        <f>IFERROR(INDEX(对接源_01入库吨位!$C$5:$C$304,MATCH(INT((ROW()-5)/3)+1,对接源_01入库吨位!$S$5:$S$304,0)),"")</f>
        <v/>
      </c>
      <c r="D443" s="89" t="str">
        <f t="shared" si="49"/>
        <v/>
      </c>
      <c r="E443" s="42" t="str">
        <f>IF($B443="","",IFERROR(IF($D443="周转打冷",N(INDEX(对接源_01入库吨位!$D$5:$D$304,MATCH(INT((ROW()-5)/3)+1,对接源_01入库吨位!$S$5:$S$304,0))),IF($D443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3" s="76" t="str">
        <f>IF($B443="","",ROUND(IFERROR(IF($D443="周转打冷",N(INDEX(对接源_01入库吨位!$H$5:$H$304,MATCH(INT((ROW()-5)/3)+1,对接源_01入库吨位!$S$5:$S$304,0))),IF($D443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3" s="122" t="str">
        <f t="shared" si="50"/>
        <v/>
      </c>
      <c r="H443" s="43"/>
      <c r="I443" s="107"/>
      <c r="J443" s="123" t="str">
        <f t="shared" si="51"/>
        <v/>
      </c>
      <c r="K443" s="76" t="str">
        <f t="shared" si="52"/>
        <v/>
      </c>
      <c r="L443" s="43"/>
      <c r="M443" s="7"/>
      <c r="N443" s="106"/>
      <c r="R443" s="3" t="str">
        <f t="shared" si="53"/>
        <v/>
      </c>
      <c r="S443" s="3">
        <f t="shared" si="54"/>
        <v>0</v>
      </c>
      <c r="T443" s="3">
        <f t="shared" si="55"/>
        <v>13</v>
      </c>
    </row>
    <row r="444" spans="1:20">
      <c r="A444" s="74" t="str">
        <f t="shared" si="48"/>
        <v/>
      </c>
      <c r="B444" s="75" t="str">
        <f>IFERROR(INDEX(对接源_01入库吨位!$B$5:$B$304,MATCH(INT((ROW()-5)/3)+1,对接源_01入库吨位!$S$5:$S$304,0)),"")</f>
        <v/>
      </c>
      <c r="C444" s="75" t="str">
        <f>IFERROR(INDEX(对接源_01入库吨位!$C$5:$C$304,MATCH(INT((ROW()-5)/3)+1,对接源_01入库吨位!$S$5:$S$304,0)),"")</f>
        <v/>
      </c>
      <c r="D444" s="89" t="str">
        <f t="shared" si="49"/>
        <v/>
      </c>
      <c r="E444" s="42" t="str">
        <f>IF($B444="","",IFERROR(IF($D444="周转打冷",N(INDEX(对接源_01入库吨位!$D$5:$D$304,MATCH(INT((ROW()-5)/3)+1,对接源_01入库吨位!$S$5:$S$304,0))),IF($D444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4" s="76" t="str">
        <f>IF($B444="","",ROUND(IFERROR(IF($D444="周转打冷",N(INDEX(对接源_01入库吨位!$H$5:$H$304,MATCH(INT((ROW()-5)/3)+1,对接源_01入库吨位!$S$5:$S$304,0))),IF($D444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4" s="122" t="str">
        <f t="shared" si="50"/>
        <v/>
      </c>
      <c r="H444" s="43"/>
      <c r="I444" s="107"/>
      <c r="J444" s="123" t="str">
        <f t="shared" si="51"/>
        <v/>
      </c>
      <c r="K444" s="76" t="str">
        <f t="shared" si="52"/>
        <v/>
      </c>
      <c r="L444" s="43"/>
      <c r="M444" s="7"/>
      <c r="N444" s="106"/>
      <c r="R444" s="3" t="str">
        <f t="shared" si="53"/>
        <v/>
      </c>
      <c r="S444" s="3">
        <f t="shared" si="54"/>
        <v>0</v>
      </c>
      <c r="T444" s="3">
        <f t="shared" si="55"/>
        <v>13</v>
      </c>
    </row>
    <row r="445" spans="1:20">
      <c r="A445" s="74" t="str">
        <f t="shared" si="48"/>
        <v/>
      </c>
      <c r="B445" s="75" t="str">
        <f>IFERROR(INDEX(对接源_01入库吨位!$B$5:$B$304,MATCH(INT((ROW()-5)/3)+1,对接源_01入库吨位!$S$5:$S$304,0)),"")</f>
        <v/>
      </c>
      <c r="C445" s="75" t="str">
        <f>IFERROR(INDEX(对接源_01入库吨位!$C$5:$C$304,MATCH(INT((ROW()-5)/3)+1,对接源_01入库吨位!$S$5:$S$304,0)),"")</f>
        <v/>
      </c>
      <c r="D445" s="89" t="str">
        <f t="shared" si="49"/>
        <v/>
      </c>
      <c r="E445" s="42" t="str">
        <f>IF($B445="","",IFERROR(IF($D445="周转打冷",N(INDEX(对接源_01入库吨位!$D$5:$D$304,MATCH(INT((ROW()-5)/3)+1,对接源_01入库吨位!$S$5:$S$304,0))),IF($D445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5" s="76" t="str">
        <f>IF($B445="","",ROUND(IFERROR(IF($D445="周转打冷",N(INDEX(对接源_01入库吨位!$H$5:$H$304,MATCH(INT((ROW()-5)/3)+1,对接源_01入库吨位!$S$5:$S$304,0))),IF($D445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5" s="122" t="str">
        <f t="shared" si="50"/>
        <v/>
      </c>
      <c r="H445" s="43"/>
      <c r="I445" s="107"/>
      <c r="J445" s="123" t="str">
        <f t="shared" si="51"/>
        <v/>
      </c>
      <c r="K445" s="76" t="str">
        <f t="shared" si="52"/>
        <v/>
      </c>
      <c r="L445" s="43"/>
      <c r="M445" s="7"/>
      <c r="N445" s="106"/>
      <c r="R445" s="3" t="str">
        <f t="shared" si="53"/>
        <v/>
      </c>
      <c r="S445" s="3">
        <f t="shared" si="54"/>
        <v>0</v>
      </c>
      <c r="T445" s="3">
        <f t="shared" si="55"/>
        <v>13</v>
      </c>
    </row>
    <row r="446" spans="1:20">
      <c r="A446" s="74" t="str">
        <f t="shared" si="48"/>
        <v/>
      </c>
      <c r="B446" s="75" t="str">
        <f>IFERROR(INDEX(对接源_01入库吨位!$B$5:$B$304,MATCH(INT((ROW()-5)/3)+1,对接源_01入库吨位!$S$5:$S$304,0)),"")</f>
        <v/>
      </c>
      <c r="C446" s="75" t="str">
        <f>IFERROR(INDEX(对接源_01入库吨位!$C$5:$C$304,MATCH(INT((ROW()-5)/3)+1,对接源_01入库吨位!$S$5:$S$304,0)),"")</f>
        <v/>
      </c>
      <c r="D446" s="89" t="str">
        <f t="shared" si="49"/>
        <v/>
      </c>
      <c r="E446" s="42" t="str">
        <f>IF($B446="","",IFERROR(IF($D446="周转打冷",N(INDEX(对接源_01入库吨位!$D$5:$D$304,MATCH(INT((ROW()-5)/3)+1,对接源_01入库吨位!$S$5:$S$304,0))),IF($D446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6" s="76" t="str">
        <f>IF($B446="","",ROUND(IFERROR(IF($D446="周转打冷",N(INDEX(对接源_01入库吨位!$H$5:$H$304,MATCH(INT((ROW()-5)/3)+1,对接源_01入库吨位!$S$5:$S$304,0))),IF($D446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6" s="122" t="str">
        <f t="shared" si="50"/>
        <v/>
      </c>
      <c r="H446" s="43"/>
      <c r="I446" s="107"/>
      <c r="J446" s="123" t="str">
        <f t="shared" si="51"/>
        <v/>
      </c>
      <c r="K446" s="76" t="str">
        <f t="shared" si="52"/>
        <v/>
      </c>
      <c r="L446" s="43"/>
      <c r="M446" s="7"/>
      <c r="N446" s="106"/>
      <c r="R446" s="3" t="str">
        <f t="shared" si="53"/>
        <v/>
      </c>
      <c r="S446" s="3">
        <f t="shared" si="54"/>
        <v>0</v>
      </c>
      <c r="T446" s="3">
        <f t="shared" si="55"/>
        <v>13</v>
      </c>
    </row>
    <row r="447" spans="1:20">
      <c r="A447" s="74" t="str">
        <f t="shared" si="48"/>
        <v/>
      </c>
      <c r="B447" s="75" t="str">
        <f>IFERROR(INDEX(对接源_01入库吨位!$B$5:$B$304,MATCH(INT((ROW()-5)/3)+1,对接源_01入库吨位!$S$5:$S$304,0)),"")</f>
        <v/>
      </c>
      <c r="C447" s="75" t="str">
        <f>IFERROR(INDEX(对接源_01入库吨位!$C$5:$C$304,MATCH(INT((ROW()-5)/3)+1,对接源_01入库吨位!$S$5:$S$304,0)),"")</f>
        <v/>
      </c>
      <c r="D447" s="89" t="str">
        <f t="shared" si="49"/>
        <v/>
      </c>
      <c r="E447" s="42" t="str">
        <f>IF($B447="","",IFERROR(IF($D447="周转打冷",N(INDEX(对接源_01入库吨位!$D$5:$D$304,MATCH(INT((ROW()-5)/3)+1,对接源_01入库吨位!$S$5:$S$304,0))),IF($D447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7" s="76" t="str">
        <f>IF($B447="","",ROUND(IFERROR(IF($D447="周转打冷",N(INDEX(对接源_01入库吨位!$H$5:$H$304,MATCH(INT((ROW()-5)/3)+1,对接源_01入库吨位!$S$5:$S$304,0))),IF($D447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7" s="122" t="str">
        <f t="shared" si="50"/>
        <v/>
      </c>
      <c r="H447" s="43"/>
      <c r="I447" s="107"/>
      <c r="J447" s="123" t="str">
        <f t="shared" si="51"/>
        <v/>
      </c>
      <c r="K447" s="76" t="str">
        <f t="shared" si="52"/>
        <v/>
      </c>
      <c r="L447" s="43"/>
      <c r="M447" s="7"/>
      <c r="N447" s="106"/>
      <c r="R447" s="3" t="str">
        <f t="shared" si="53"/>
        <v/>
      </c>
      <c r="S447" s="3">
        <f t="shared" si="54"/>
        <v>0</v>
      </c>
      <c r="T447" s="3">
        <f t="shared" si="55"/>
        <v>13</v>
      </c>
    </row>
    <row r="448" spans="1:20">
      <c r="A448" s="74" t="str">
        <f t="shared" si="48"/>
        <v/>
      </c>
      <c r="B448" s="75" t="str">
        <f>IFERROR(INDEX(对接源_01入库吨位!$B$5:$B$304,MATCH(INT((ROW()-5)/3)+1,对接源_01入库吨位!$S$5:$S$304,0)),"")</f>
        <v/>
      </c>
      <c r="C448" s="75" t="str">
        <f>IFERROR(INDEX(对接源_01入库吨位!$C$5:$C$304,MATCH(INT((ROW()-5)/3)+1,对接源_01入库吨位!$S$5:$S$304,0)),"")</f>
        <v/>
      </c>
      <c r="D448" s="89" t="str">
        <f t="shared" si="49"/>
        <v/>
      </c>
      <c r="E448" s="42" t="str">
        <f>IF($B448="","",IFERROR(IF($D448="周转打冷",N(INDEX(对接源_01入库吨位!$D$5:$D$304,MATCH(INT((ROW()-5)/3)+1,对接源_01入库吨位!$S$5:$S$304,0))),IF($D448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8" s="76" t="str">
        <f>IF($B448="","",ROUND(IFERROR(IF($D448="周转打冷",N(INDEX(对接源_01入库吨位!$H$5:$H$304,MATCH(INT((ROW()-5)/3)+1,对接源_01入库吨位!$S$5:$S$304,0))),IF($D448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8" s="122" t="str">
        <f t="shared" si="50"/>
        <v/>
      </c>
      <c r="H448" s="43"/>
      <c r="I448" s="107"/>
      <c r="J448" s="123" t="str">
        <f t="shared" si="51"/>
        <v/>
      </c>
      <c r="K448" s="76" t="str">
        <f t="shared" si="52"/>
        <v/>
      </c>
      <c r="L448" s="43"/>
      <c r="M448" s="7"/>
      <c r="N448" s="106"/>
      <c r="R448" s="3" t="str">
        <f t="shared" si="53"/>
        <v/>
      </c>
      <c r="S448" s="3">
        <f t="shared" si="54"/>
        <v>0</v>
      </c>
      <c r="T448" s="3">
        <f t="shared" si="55"/>
        <v>13</v>
      </c>
    </row>
    <row r="449" spans="1:20">
      <c r="A449" s="74" t="str">
        <f t="shared" si="48"/>
        <v/>
      </c>
      <c r="B449" s="75" t="str">
        <f>IFERROR(INDEX(对接源_01入库吨位!$B$5:$B$304,MATCH(INT((ROW()-5)/3)+1,对接源_01入库吨位!$S$5:$S$304,0)),"")</f>
        <v/>
      </c>
      <c r="C449" s="75" t="str">
        <f>IFERROR(INDEX(对接源_01入库吨位!$C$5:$C$304,MATCH(INT((ROW()-5)/3)+1,对接源_01入库吨位!$S$5:$S$304,0)),"")</f>
        <v/>
      </c>
      <c r="D449" s="89" t="str">
        <f t="shared" si="49"/>
        <v/>
      </c>
      <c r="E449" s="42" t="str">
        <f>IF($B449="","",IFERROR(IF($D449="周转打冷",N(INDEX(对接源_01入库吨位!$D$5:$D$304,MATCH(INT((ROW()-5)/3)+1,对接源_01入库吨位!$S$5:$S$304,0))),IF($D449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9" s="76" t="str">
        <f>IF($B449="","",ROUND(IFERROR(IF($D449="周转打冷",N(INDEX(对接源_01入库吨位!$H$5:$H$304,MATCH(INT((ROW()-5)/3)+1,对接源_01入库吨位!$S$5:$S$304,0))),IF($D449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9" s="122" t="str">
        <f t="shared" si="50"/>
        <v/>
      </c>
      <c r="H449" s="43"/>
      <c r="I449" s="107"/>
      <c r="J449" s="123" t="str">
        <f t="shared" si="51"/>
        <v/>
      </c>
      <c r="K449" s="76" t="str">
        <f t="shared" si="52"/>
        <v/>
      </c>
      <c r="L449" s="43"/>
      <c r="M449" s="7"/>
      <c r="N449" s="106"/>
      <c r="R449" s="3" t="str">
        <f t="shared" si="53"/>
        <v/>
      </c>
      <c r="S449" s="3">
        <f t="shared" si="54"/>
        <v>0</v>
      </c>
      <c r="T449" s="3">
        <f t="shared" si="55"/>
        <v>13</v>
      </c>
    </row>
    <row r="450" spans="1:20">
      <c r="A450" s="74" t="str">
        <f t="shared" si="48"/>
        <v/>
      </c>
      <c r="B450" s="75" t="str">
        <f>IFERROR(INDEX(对接源_01入库吨位!$B$5:$B$304,MATCH(INT((ROW()-5)/3)+1,对接源_01入库吨位!$S$5:$S$304,0)),"")</f>
        <v/>
      </c>
      <c r="C450" s="75" t="str">
        <f>IFERROR(INDEX(对接源_01入库吨位!$C$5:$C$304,MATCH(INT((ROW()-5)/3)+1,对接源_01入库吨位!$S$5:$S$304,0)),"")</f>
        <v/>
      </c>
      <c r="D450" s="89" t="str">
        <f t="shared" si="49"/>
        <v/>
      </c>
      <c r="E450" s="42" t="str">
        <f>IF($B450="","",IFERROR(IF($D450="周转打冷",N(INDEX(对接源_01入库吨位!$D$5:$D$304,MATCH(INT((ROW()-5)/3)+1,对接源_01入库吨位!$S$5:$S$304,0))),IF($D450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0" s="76" t="str">
        <f>IF($B450="","",ROUND(IFERROR(IF($D450="周转打冷",N(INDEX(对接源_01入库吨位!$H$5:$H$304,MATCH(INT((ROW()-5)/3)+1,对接源_01入库吨位!$S$5:$S$304,0))),IF($D450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0" s="122" t="str">
        <f t="shared" si="50"/>
        <v/>
      </c>
      <c r="H450" s="43"/>
      <c r="I450" s="107"/>
      <c r="J450" s="123" t="str">
        <f t="shared" si="51"/>
        <v/>
      </c>
      <c r="K450" s="76" t="str">
        <f t="shared" si="52"/>
        <v/>
      </c>
      <c r="L450" s="43"/>
      <c r="M450" s="7"/>
      <c r="N450" s="106"/>
      <c r="R450" s="3" t="str">
        <f t="shared" si="53"/>
        <v/>
      </c>
      <c r="S450" s="3">
        <f t="shared" si="54"/>
        <v>0</v>
      </c>
      <c r="T450" s="3">
        <f t="shared" si="55"/>
        <v>13</v>
      </c>
    </row>
    <row r="451" spans="1:20">
      <c r="A451" s="74" t="str">
        <f t="shared" si="48"/>
        <v/>
      </c>
      <c r="B451" s="75" t="str">
        <f>IFERROR(INDEX(对接源_01入库吨位!$B$5:$B$304,MATCH(INT((ROW()-5)/3)+1,对接源_01入库吨位!$S$5:$S$304,0)),"")</f>
        <v/>
      </c>
      <c r="C451" s="75" t="str">
        <f>IFERROR(INDEX(对接源_01入库吨位!$C$5:$C$304,MATCH(INT((ROW()-5)/3)+1,对接源_01入库吨位!$S$5:$S$304,0)),"")</f>
        <v/>
      </c>
      <c r="D451" s="89" t="str">
        <f t="shared" si="49"/>
        <v/>
      </c>
      <c r="E451" s="42" t="str">
        <f>IF($B451="","",IFERROR(IF($D451="周转打冷",N(INDEX(对接源_01入库吨位!$D$5:$D$304,MATCH(INT((ROW()-5)/3)+1,对接源_01入库吨位!$S$5:$S$304,0))),IF($D451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1" s="76" t="str">
        <f>IF($B451="","",ROUND(IFERROR(IF($D451="周转打冷",N(INDEX(对接源_01入库吨位!$H$5:$H$304,MATCH(INT((ROW()-5)/3)+1,对接源_01入库吨位!$S$5:$S$304,0))),IF($D451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1" s="122" t="str">
        <f t="shared" si="50"/>
        <v/>
      </c>
      <c r="H451" s="43"/>
      <c r="I451" s="107"/>
      <c r="J451" s="123" t="str">
        <f t="shared" si="51"/>
        <v/>
      </c>
      <c r="K451" s="76" t="str">
        <f t="shared" si="52"/>
        <v/>
      </c>
      <c r="L451" s="43"/>
      <c r="M451" s="7"/>
      <c r="N451" s="106"/>
      <c r="R451" s="3" t="str">
        <f t="shared" si="53"/>
        <v/>
      </c>
      <c r="S451" s="3">
        <f t="shared" si="54"/>
        <v>0</v>
      </c>
      <c r="T451" s="3">
        <f t="shared" si="55"/>
        <v>13</v>
      </c>
    </row>
    <row r="452" spans="1:20">
      <c r="A452" s="74" t="str">
        <f t="shared" si="48"/>
        <v/>
      </c>
      <c r="B452" s="75" t="str">
        <f>IFERROR(INDEX(对接源_01入库吨位!$B$5:$B$304,MATCH(INT((ROW()-5)/3)+1,对接源_01入库吨位!$S$5:$S$304,0)),"")</f>
        <v/>
      </c>
      <c r="C452" s="75" t="str">
        <f>IFERROR(INDEX(对接源_01入库吨位!$C$5:$C$304,MATCH(INT((ROW()-5)/3)+1,对接源_01入库吨位!$S$5:$S$304,0)),"")</f>
        <v/>
      </c>
      <c r="D452" s="89" t="str">
        <f t="shared" si="49"/>
        <v/>
      </c>
      <c r="E452" s="42" t="str">
        <f>IF($B452="","",IFERROR(IF($D452="周转打冷",N(INDEX(对接源_01入库吨位!$D$5:$D$304,MATCH(INT((ROW()-5)/3)+1,对接源_01入库吨位!$S$5:$S$304,0))),IF($D452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2" s="76" t="str">
        <f>IF($B452="","",ROUND(IFERROR(IF($D452="周转打冷",N(INDEX(对接源_01入库吨位!$H$5:$H$304,MATCH(INT((ROW()-5)/3)+1,对接源_01入库吨位!$S$5:$S$304,0))),IF($D452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2" s="122" t="str">
        <f t="shared" si="50"/>
        <v/>
      </c>
      <c r="H452" s="43"/>
      <c r="I452" s="107"/>
      <c r="J452" s="123" t="str">
        <f t="shared" si="51"/>
        <v/>
      </c>
      <c r="K452" s="76" t="str">
        <f t="shared" si="52"/>
        <v/>
      </c>
      <c r="L452" s="43"/>
      <c r="M452" s="7"/>
      <c r="N452" s="106"/>
      <c r="R452" s="3" t="str">
        <f t="shared" si="53"/>
        <v/>
      </c>
      <c r="S452" s="3">
        <f t="shared" si="54"/>
        <v>0</v>
      </c>
      <c r="T452" s="3">
        <f t="shared" si="55"/>
        <v>13</v>
      </c>
    </row>
    <row r="453" spans="1:20">
      <c r="A453" s="74" t="str">
        <f t="shared" ref="A453:A516" si="56">IF($B453="","",ROW()-4)</f>
        <v/>
      </c>
      <c r="B453" s="75" t="str">
        <f>IFERROR(INDEX(对接源_01入库吨位!$B$5:$B$304,MATCH(INT((ROW()-5)/3)+1,对接源_01入库吨位!$S$5:$S$304,0)),"")</f>
        <v/>
      </c>
      <c r="C453" s="75" t="str">
        <f>IFERROR(INDEX(对接源_01入库吨位!$C$5:$C$304,MATCH(INT((ROW()-5)/3)+1,对接源_01入库吨位!$S$5:$S$304,0)),"")</f>
        <v/>
      </c>
      <c r="D453" s="89" t="str">
        <f t="shared" ref="D453:D516" si="57">IF($B453="","",IF(MOD(ROW()-5,3)=0,"周转打冷",IF(MOD(ROW()-5,3)=1,"仓储加工","装卸费")))</f>
        <v/>
      </c>
      <c r="E453" s="42" t="str">
        <f>IF($B453="","",IFERROR(IF($D453="周转打冷",N(INDEX(对接源_01入库吨位!$D$5:$D$304,MATCH(INT((ROW()-5)/3)+1,对接源_01入库吨位!$S$5:$S$304,0))),IF($D453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3" s="76" t="str">
        <f>IF($B453="","",ROUND(IFERROR(IF($D453="周转打冷",N(INDEX(对接源_01入库吨位!$H$5:$H$304,MATCH(INT((ROW()-5)/3)+1,对接源_01入库吨位!$S$5:$S$304,0))),IF($D453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3" s="122" t="str">
        <f t="shared" ref="G453:G516" si="58">IF($B453="","",ROUND(N($F453)/1000,3))</f>
        <v/>
      </c>
      <c r="H453" s="43"/>
      <c r="I453" s="107"/>
      <c r="J453" s="123" t="str">
        <f t="shared" ref="J453:J516" si="59">IF($B453="","",IF($H453="按筐数×单价",N($E453),IF($H453="按总重KG×单价",N($F453),IF($H453="按吨位×单价",N($G453),0))))</f>
        <v/>
      </c>
      <c r="K453" s="76" t="str">
        <f t="shared" ref="K453:K516" si="60">IF($B453="","",ROUND(N($J453)*N($I453),2))</f>
        <v/>
      </c>
      <c r="L453" s="43"/>
      <c r="M453" s="7"/>
      <c r="N453" s="106"/>
      <c r="R453" s="3" t="str">
        <f t="shared" ref="R453:R516" si="61">IF($B453="","",$B453)</f>
        <v/>
      </c>
      <c r="S453" s="3">
        <f t="shared" ref="S453:S516" si="62">IF($R453="",0,IF(MATCH($R453,$R$5:$R$904,0)=ROW()-4,1,0))</f>
        <v>0</v>
      </c>
      <c r="T453" s="3">
        <f t="shared" ref="T453:T516" si="63">N(T452)+$S453</f>
        <v>13</v>
      </c>
    </row>
    <row r="454" spans="1:20">
      <c r="A454" s="74" t="str">
        <f t="shared" si="56"/>
        <v/>
      </c>
      <c r="B454" s="75" t="str">
        <f>IFERROR(INDEX(对接源_01入库吨位!$B$5:$B$304,MATCH(INT((ROW()-5)/3)+1,对接源_01入库吨位!$S$5:$S$304,0)),"")</f>
        <v/>
      </c>
      <c r="C454" s="75" t="str">
        <f>IFERROR(INDEX(对接源_01入库吨位!$C$5:$C$304,MATCH(INT((ROW()-5)/3)+1,对接源_01入库吨位!$S$5:$S$304,0)),"")</f>
        <v/>
      </c>
      <c r="D454" s="89" t="str">
        <f t="shared" si="57"/>
        <v/>
      </c>
      <c r="E454" s="42" t="str">
        <f>IF($B454="","",IFERROR(IF($D454="周转打冷",N(INDEX(对接源_01入库吨位!$D$5:$D$304,MATCH(INT((ROW()-5)/3)+1,对接源_01入库吨位!$S$5:$S$304,0))),IF($D454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4" s="76" t="str">
        <f>IF($B454="","",ROUND(IFERROR(IF($D454="周转打冷",N(INDEX(对接源_01入库吨位!$H$5:$H$304,MATCH(INT((ROW()-5)/3)+1,对接源_01入库吨位!$S$5:$S$304,0))),IF($D454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4" s="122" t="str">
        <f t="shared" si="58"/>
        <v/>
      </c>
      <c r="H454" s="43"/>
      <c r="I454" s="107"/>
      <c r="J454" s="123" t="str">
        <f t="shared" si="59"/>
        <v/>
      </c>
      <c r="K454" s="76" t="str">
        <f t="shared" si="60"/>
        <v/>
      </c>
      <c r="L454" s="43"/>
      <c r="M454" s="7"/>
      <c r="N454" s="106"/>
      <c r="R454" s="3" t="str">
        <f t="shared" si="61"/>
        <v/>
      </c>
      <c r="S454" s="3">
        <f t="shared" si="62"/>
        <v>0</v>
      </c>
      <c r="T454" s="3">
        <f t="shared" si="63"/>
        <v>13</v>
      </c>
    </row>
    <row r="455" spans="1:20">
      <c r="A455" s="74" t="str">
        <f t="shared" si="56"/>
        <v/>
      </c>
      <c r="B455" s="75" t="str">
        <f>IFERROR(INDEX(对接源_01入库吨位!$B$5:$B$304,MATCH(INT((ROW()-5)/3)+1,对接源_01入库吨位!$S$5:$S$304,0)),"")</f>
        <v/>
      </c>
      <c r="C455" s="75" t="str">
        <f>IFERROR(INDEX(对接源_01入库吨位!$C$5:$C$304,MATCH(INT((ROW()-5)/3)+1,对接源_01入库吨位!$S$5:$S$304,0)),"")</f>
        <v/>
      </c>
      <c r="D455" s="89" t="str">
        <f t="shared" si="57"/>
        <v/>
      </c>
      <c r="E455" s="42" t="str">
        <f>IF($B455="","",IFERROR(IF($D455="周转打冷",N(INDEX(对接源_01入库吨位!$D$5:$D$304,MATCH(INT((ROW()-5)/3)+1,对接源_01入库吨位!$S$5:$S$304,0))),IF($D455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5" s="76" t="str">
        <f>IF($B455="","",ROUND(IFERROR(IF($D455="周转打冷",N(INDEX(对接源_01入库吨位!$H$5:$H$304,MATCH(INT((ROW()-5)/3)+1,对接源_01入库吨位!$S$5:$S$304,0))),IF($D455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5" s="122" t="str">
        <f t="shared" si="58"/>
        <v/>
      </c>
      <c r="H455" s="43"/>
      <c r="I455" s="107"/>
      <c r="J455" s="123" t="str">
        <f t="shared" si="59"/>
        <v/>
      </c>
      <c r="K455" s="76" t="str">
        <f t="shared" si="60"/>
        <v/>
      </c>
      <c r="L455" s="43"/>
      <c r="M455" s="7"/>
      <c r="N455" s="106"/>
      <c r="R455" s="3" t="str">
        <f t="shared" si="61"/>
        <v/>
      </c>
      <c r="S455" s="3">
        <f t="shared" si="62"/>
        <v>0</v>
      </c>
      <c r="T455" s="3">
        <f t="shared" si="63"/>
        <v>13</v>
      </c>
    </row>
    <row r="456" spans="1:20">
      <c r="A456" s="74" t="str">
        <f t="shared" si="56"/>
        <v/>
      </c>
      <c r="B456" s="75" t="str">
        <f>IFERROR(INDEX(对接源_01入库吨位!$B$5:$B$304,MATCH(INT((ROW()-5)/3)+1,对接源_01入库吨位!$S$5:$S$304,0)),"")</f>
        <v/>
      </c>
      <c r="C456" s="75" t="str">
        <f>IFERROR(INDEX(对接源_01入库吨位!$C$5:$C$304,MATCH(INT((ROW()-5)/3)+1,对接源_01入库吨位!$S$5:$S$304,0)),"")</f>
        <v/>
      </c>
      <c r="D456" s="89" t="str">
        <f t="shared" si="57"/>
        <v/>
      </c>
      <c r="E456" s="42" t="str">
        <f>IF($B456="","",IFERROR(IF($D456="周转打冷",N(INDEX(对接源_01入库吨位!$D$5:$D$304,MATCH(INT((ROW()-5)/3)+1,对接源_01入库吨位!$S$5:$S$304,0))),IF($D456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6" s="76" t="str">
        <f>IF($B456="","",ROUND(IFERROR(IF($D456="周转打冷",N(INDEX(对接源_01入库吨位!$H$5:$H$304,MATCH(INT((ROW()-5)/3)+1,对接源_01入库吨位!$S$5:$S$304,0))),IF($D456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6" s="122" t="str">
        <f t="shared" si="58"/>
        <v/>
      </c>
      <c r="H456" s="43"/>
      <c r="I456" s="107"/>
      <c r="J456" s="123" t="str">
        <f t="shared" si="59"/>
        <v/>
      </c>
      <c r="K456" s="76" t="str">
        <f t="shared" si="60"/>
        <v/>
      </c>
      <c r="L456" s="43"/>
      <c r="M456" s="7"/>
      <c r="N456" s="106"/>
      <c r="R456" s="3" t="str">
        <f t="shared" si="61"/>
        <v/>
      </c>
      <c r="S456" s="3">
        <f t="shared" si="62"/>
        <v>0</v>
      </c>
      <c r="T456" s="3">
        <f t="shared" si="63"/>
        <v>13</v>
      </c>
    </row>
    <row r="457" spans="1:20">
      <c r="A457" s="74" t="str">
        <f t="shared" si="56"/>
        <v/>
      </c>
      <c r="B457" s="75" t="str">
        <f>IFERROR(INDEX(对接源_01入库吨位!$B$5:$B$304,MATCH(INT((ROW()-5)/3)+1,对接源_01入库吨位!$S$5:$S$304,0)),"")</f>
        <v/>
      </c>
      <c r="C457" s="75" t="str">
        <f>IFERROR(INDEX(对接源_01入库吨位!$C$5:$C$304,MATCH(INT((ROW()-5)/3)+1,对接源_01入库吨位!$S$5:$S$304,0)),"")</f>
        <v/>
      </c>
      <c r="D457" s="89" t="str">
        <f t="shared" si="57"/>
        <v/>
      </c>
      <c r="E457" s="42" t="str">
        <f>IF($B457="","",IFERROR(IF($D457="周转打冷",N(INDEX(对接源_01入库吨位!$D$5:$D$304,MATCH(INT((ROW()-5)/3)+1,对接源_01入库吨位!$S$5:$S$304,0))),IF($D457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7" s="76" t="str">
        <f>IF($B457="","",ROUND(IFERROR(IF($D457="周转打冷",N(INDEX(对接源_01入库吨位!$H$5:$H$304,MATCH(INT((ROW()-5)/3)+1,对接源_01入库吨位!$S$5:$S$304,0))),IF($D457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7" s="122" t="str">
        <f t="shared" si="58"/>
        <v/>
      </c>
      <c r="H457" s="43"/>
      <c r="I457" s="107"/>
      <c r="J457" s="123" t="str">
        <f t="shared" si="59"/>
        <v/>
      </c>
      <c r="K457" s="76" t="str">
        <f t="shared" si="60"/>
        <v/>
      </c>
      <c r="L457" s="43"/>
      <c r="M457" s="7"/>
      <c r="N457" s="106"/>
      <c r="R457" s="3" t="str">
        <f t="shared" si="61"/>
        <v/>
      </c>
      <c r="S457" s="3">
        <f t="shared" si="62"/>
        <v>0</v>
      </c>
      <c r="T457" s="3">
        <f t="shared" si="63"/>
        <v>13</v>
      </c>
    </row>
    <row r="458" spans="1:20">
      <c r="A458" s="74" t="str">
        <f t="shared" si="56"/>
        <v/>
      </c>
      <c r="B458" s="75" t="str">
        <f>IFERROR(INDEX(对接源_01入库吨位!$B$5:$B$304,MATCH(INT((ROW()-5)/3)+1,对接源_01入库吨位!$S$5:$S$304,0)),"")</f>
        <v/>
      </c>
      <c r="C458" s="75" t="str">
        <f>IFERROR(INDEX(对接源_01入库吨位!$C$5:$C$304,MATCH(INT((ROW()-5)/3)+1,对接源_01入库吨位!$S$5:$S$304,0)),"")</f>
        <v/>
      </c>
      <c r="D458" s="89" t="str">
        <f t="shared" si="57"/>
        <v/>
      </c>
      <c r="E458" s="42" t="str">
        <f>IF($B458="","",IFERROR(IF($D458="周转打冷",N(INDEX(对接源_01入库吨位!$D$5:$D$304,MATCH(INT((ROW()-5)/3)+1,对接源_01入库吨位!$S$5:$S$304,0))),IF($D458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8" s="76" t="str">
        <f>IF($B458="","",ROUND(IFERROR(IF($D458="周转打冷",N(INDEX(对接源_01入库吨位!$H$5:$H$304,MATCH(INT((ROW()-5)/3)+1,对接源_01入库吨位!$S$5:$S$304,0))),IF($D458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8" s="122" t="str">
        <f t="shared" si="58"/>
        <v/>
      </c>
      <c r="H458" s="43"/>
      <c r="I458" s="107"/>
      <c r="J458" s="123" t="str">
        <f t="shared" si="59"/>
        <v/>
      </c>
      <c r="K458" s="76" t="str">
        <f t="shared" si="60"/>
        <v/>
      </c>
      <c r="L458" s="43"/>
      <c r="M458" s="7"/>
      <c r="N458" s="106"/>
      <c r="R458" s="3" t="str">
        <f t="shared" si="61"/>
        <v/>
      </c>
      <c r="S458" s="3">
        <f t="shared" si="62"/>
        <v>0</v>
      </c>
      <c r="T458" s="3">
        <f t="shared" si="63"/>
        <v>13</v>
      </c>
    </row>
    <row r="459" spans="1:20">
      <c r="A459" s="74" t="str">
        <f t="shared" si="56"/>
        <v/>
      </c>
      <c r="B459" s="75" t="str">
        <f>IFERROR(INDEX(对接源_01入库吨位!$B$5:$B$304,MATCH(INT((ROW()-5)/3)+1,对接源_01入库吨位!$S$5:$S$304,0)),"")</f>
        <v/>
      </c>
      <c r="C459" s="75" t="str">
        <f>IFERROR(INDEX(对接源_01入库吨位!$C$5:$C$304,MATCH(INT((ROW()-5)/3)+1,对接源_01入库吨位!$S$5:$S$304,0)),"")</f>
        <v/>
      </c>
      <c r="D459" s="89" t="str">
        <f t="shared" si="57"/>
        <v/>
      </c>
      <c r="E459" s="42" t="str">
        <f>IF($B459="","",IFERROR(IF($D459="周转打冷",N(INDEX(对接源_01入库吨位!$D$5:$D$304,MATCH(INT((ROW()-5)/3)+1,对接源_01入库吨位!$S$5:$S$304,0))),IF($D459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9" s="76" t="str">
        <f>IF($B459="","",ROUND(IFERROR(IF($D459="周转打冷",N(INDEX(对接源_01入库吨位!$H$5:$H$304,MATCH(INT((ROW()-5)/3)+1,对接源_01入库吨位!$S$5:$S$304,0))),IF($D459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9" s="122" t="str">
        <f t="shared" si="58"/>
        <v/>
      </c>
      <c r="H459" s="43"/>
      <c r="I459" s="107"/>
      <c r="J459" s="123" t="str">
        <f t="shared" si="59"/>
        <v/>
      </c>
      <c r="K459" s="76" t="str">
        <f t="shared" si="60"/>
        <v/>
      </c>
      <c r="L459" s="43"/>
      <c r="M459" s="7"/>
      <c r="N459" s="106"/>
      <c r="R459" s="3" t="str">
        <f t="shared" si="61"/>
        <v/>
      </c>
      <c r="S459" s="3">
        <f t="shared" si="62"/>
        <v>0</v>
      </c>
      <c r="T459" s="3">
        <f t="shared" si="63"/>
        <v>13</v>
      </c>
    </row>
    <row r="460" spans="1:20">
      <c r="A460" s="74" t="str">
        <f t="shared" si="56"/>
        <v/>
      </c>
      <c r="B460" s="75" t="str">
        <f>IFERROR(INDEX(对接源_01入库吨位!$B$5:$B$304,MATCH(INT((ROW()-5)/3)+1,对接源_01入库吨位!$S$5:$S$304,0)),"")</f>
        <v/>
      </c>
      <c r="C460" s="75" t="str">
        <f>IFERROR(INDEX(对接源_01入库吨位!$C$5:$C$304,MATCH(INT((ROW()-5)/3)+1,对接源_01入库吨位!$S$5:$S$304,0)),"")</f>
        <v/>
      </c>
      <c r="D460" s="89" t="str">
        <f t="shared" si="57"/>
        <v/>
      </c>
      <c r="E460" s="42" t="str">
        <f>IF($B460="","",IFERROR(IF($D460="周转打冷",N(INDEX(对接源_01入库吨位!$D$5:$D$304,MATCH(INT((ROW()-5)/3)+1,对接源_01入库吨位!$S$5:$S$304,0))),IF($D460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0" s="76" t="str">
        <f>IF($B460="","",ROUND(IFERROR(IF($D460="周转打冷",N(INDEX(对接源_01入库吨位!$H$5:$H$304,MATCH(INT((ROW()-5)/3)+1,对接源_01入库吨位!$S$5:$S$304,0))),IF($D460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0" s="122" t="str">
        <f t="shared" si="58"/>
        <v/>
      </c>
      <c r="H460" s="43"/>
      <c r="I460" s="107"/>
      <c r="J460" s="123" t="str">
        <f t="shared" si="59"/>
        <v/>
      </c>
      <c r="K460" s="76" t="str">
        <f t="shared" si="60"/>
        <v/>
      </c>
      <c r="L460" s="43"/>
      <c r="M460" s="7"/>
      <c r="N460" s="106"/>
      <c r="R460" s="3" t="str">
        <f t="shared" si="61"/>
        <v/>
      </c>
      <c r="S460" s="3">
        <f t="shared" si="62"/>
        <v>0</v>
      </c>
      <c r="T460" s="3">
        <f t="shared" si="63"/>
        <v>13</v>
      </c>
    </row>
    <row r="461" spans="1:20">
      <c r="A461" s="74" t="str">
        <f t="shared" si="56"/>
        <v/>
      </c>
      <c r="B461" s="75" t="str">
        <f>IFERROR(INDEX(对接源_01入库吨位!$B$5:$B$304,MATCH(INT((ROW()-5)/3)+1,对接源_01入库吨位!$S$5:$S$304,0)),"")</f>
        <v/>
      </c>
      <c r="C461" s="75" t="str">
        <f>IFERROR(INDEX(对接源_01入库吨位!$C$5:$C$304,MATCH(INT((ROW()-5)/3)+1,对接源_01入库吨位!$S$5:$S$304,0)),"")</f>
        <v/>
      </c>
      <c r="D461" s="89" t="str">
        <f t="shared" si="57"/>
        <v/>
      </c>
      <c r="E461" s="42" t="str">
        <f>IF($B461="","",IFERROR(IF($D461="周转打冷",N(INDEX(对接源_01入库吨位!$D$5:$D$304,MATCH(INT((ROW()-5)/3)+1,对接源_01入库吨位!$S$5:$S$304,0))),IF($D461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1" s="76" t="str">
        <f>IF($B461="","",ROUND(IFERROR(IF($D461="周转打冷",N(INDEX(对接源_01入库吨位!$H$5:$H$304,MATCH(INT((ROW()-5)/3)+1,对接源_01入库吨位!$S$5:$S$304,0))),IF($D461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1" s="122" t="str">
        <f t="shared" si="58"/>
        <v/>
      </c>
      <c r="H461" s="43"/>
      <c r="I461" s="107"/>
      <c r="J461" s="123" t="str">
        <f t="shared" si="59"/>
        <v/>
      </c>
      <c r="K461" s="76" t="str">
        <f t="shared" si="60"/>
        <v/>
      </c>
      <c r="L461" s="43"/>
      <c r="M461" s="7"/>
      <c r="N461" s="106"/>
      <c r="R461" s="3" t="str">
        <f t="shared" si="61"/>
        <v/>
      </c>
      <c r="S461" s="3">
        <f t="shared" si="62"/>
        <v>0</v>
      </c>
      <c r="T461" s="3">
        <f t="shared" si="63"/>
        <v>13</v>
      </c>
    </row>
    <row r="462" spans="1:20">
      <c r="A462" s="74" t="str">
        <f t="shared" si="56"/>
        <v/>
      </c>
      <c r="B462" s="75" t="str">
        <f>IFERROR(INDEX(对接源_01入库吨位!$B$5:$B$304,MATCH(INT((ROW()-5)/3)+1,对接源_01入库吨位!$S$5:$S$304,0)),"")</f>
        <v/>
      </c>
      <c r="C462" s="75" t="str">
        <f>IFERROR(INDEX(对接源_01入库吨位!$C$5:$C$304,MATCH(INT((ROW()-5)/3)+1,对接源_01入库吨位!$S$5:$S$304,0)),"")</f>
        <v/>
      </c>
      <c r="D462" s="89" t="str">
        <f t="shared" si="57"/>
        <v/>
      </c>
      <c r="E462" s="42" t="str">
        <f>IF($B462="","",IFERROR(IF($D462="周转打冷",N(INDEX(对接源_01入库吨位!$D$5:$D$304,MATCH(INT((ROW()-5)/3)+1,对接源_01入库吨位!$S$5:$S$304,0))),IF($D462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2" s="76" t="str">
        <f>IF($B462="","",ROUND(IFERROR(IF($D462="周转打冷",N(INDEX(对接源_01入库吨位!$H$5:$H$304,MATCH(INT((ROW()-5)/3)+1,对接源_01入库吨位!$S$5:$S$304,0))),IF($D462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2" s="122" t="str">
        <f t="shared" si="58"/>
        <v/>
      </c>
      <c r="H462" s="43"/>
      <c r="I462" s="107"/>
      <c r="J462" s="123" t="str">
        <f t="shared" si="59"/>
        <v/>
      </c>
      <c r="K462" s="76" t="str">
        <f t="shared" si="60"/>
        <v/>
      </c>
      <c r="L462" s="43"/>
      <c r="M462" s="7"/>
      <c r="N462" s="106"/>
      <c r="R462" s="3" t="str">
        <f t="shared" si="61"/>
        <v/>
      </c>
      <c r="S462" s="3">
        <f t="shared" si="62"/>
        <v>0</v>
      </c>
      <c r="T462" s="3">
        <f t="shared" si="63"/>
        <v>13</v>
      </c>
    </row>
    <row r="463" spans="1:20">
      <c r="A463" s="74" t="str">
        <f t="shared" si="56"/>
        <v/>
      </c>
      <c r="B463" s="75" t="str">
        <f>IFERROR(INDEX(对接源_01入库吨位!$B$5:$B$304,MATCH(INT((ROW()-5)/3)+1,对接源_01入库吨位!$S$5:$S$304,0)),"")</f>
        <v/>
      </c>
      <c r="C463" s="75" t="str">
        <f>IFERROR(INDEX(对接源_01入库吨位!$C$5:$C$304,MATCH(INT((ROW()-5)/3)+1,对接源_01入库吨位!$S$5:$S$304,0)),"")</f>
        <v/>
      </c>
      <c r="D463" s="89" t="str">
        <f t="shared" si="57"/>
        <v/>
      </c>
      <c r="E463" s="42" t="str">
        <f>IF($B463="","",IFERROR(IF($D463="周转打冷",N(INDEX(对接源_01入库吨位!$D$5:$D$304,MATCH(INT((ROW()-5)/3)+1,对接源_01入库吨位!$S$5:$S$304,0))),IF($D463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3" s="76" t="str">
        <f>IF($B463="","",ROUND(IFERROR(IF($D463="周转打冷",N(INDEX(对接源_01入库吨位!$H$5:$H$304,MATCH(INT((ROW()-5)/3)+1,对接源_01入库吨位!$S$5:$S$304,0))),IF($D463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3" s="122" t="str">
        <f t="shared" si="58"/>
        <v/>
      </c>
      <c r="H463" s="43"/>
      <c r="I463" s="107"/>
      <c r="J463" s="123" t="str">
        <f t="shared" si="59"/>
        <v/>
      </c>
      <c r="K463" s="76" t="str">
        <f t="shared" si="60"/>
        <v/>
      </c>
      <c r="L463" s="43"/>
      <c r="M463" s="7"/>
      <c r="N463" s="106"/>
      <c r="R463" s="3" t="str">
        <f t="shared" si="61"/>
        <v/>
      </c>
      <c r="S463" s="3">
        <f t="shared" si="62"/>
        <v>0</v>
      </c>
      <c r="T463" s="3">
        <f t="shared" si="63"/>
        <v>13</v>
      </c>
    </row>
    <row r="464" spans="1:20">
      <c r="A464" s="74" t="str">
        <f t="shared" si="56"/>
        <v/>
      </c>
      <c r="B464" s="75" t="str">
        <f>IFERROR(INDEX(对接源_01入库吨位!$B$5:$B$304,MATCH(INT((ROW()-5)/3)+1,对接源_01入库吨位!$S$5:$S$304,0)),"")</f>
        <v/>
      </c>
      <c r="C464" s="75" t="str">
        <f>IFERROR(INDEX(对接源_01入库吨位!$C$5:$C$304,MATCH(INT((ROW()-5)/3)+1,对接源_01入库吨位!$S$5:$S$304,0)),"")</f>
        <v/>
      </c>
      <c r="D464" s="89" t="str">
        <f t="shared" si="57"/>
        <v/>
      </c>
      <c r="E464" s="42" t="str">
        <f>IF($B464="","",IFERROR(IF($D464="周转打冷",N(INDEX(对接源_01入库吨位!$D$5:$D$304,MATCH(INT((ROW()-5)/3)+1,对接源_01入库吨位!$S$5:$S$304,0))),IF($D464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4" s="76" t="str">
        <f>IF($B464="","",ROUND(IFERROR(IF($D464="周转打冷",N(INDEX(对接源_01入库吨位!$H$5:$H$304,MATCH(INT((ROW()-5)/3)+1,对接源_01入库吨位!$S$5:$S$304,0))),IF($D464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4" s="122" t="str">
        <f t="shared" si="58"/>
        <v/>
      </c>
      <c r="H464" s="43"/>
      <c r="I464" s="107"/>
      <c r="J464" s="123" t="str">
        <f t="shared" si="59"/>
        <v/>
      </c>
      <c r="K464" s="76" t="str">
        <f t="shared" si="60"/>
        <v/>
      </c>
      <c r="L464" s="43"/>
      <c r="M464" s="7"/>
      <c r="N464" s="106"/>
      <c r="R464" s="3" t="str">
        <f t="shared" si="61"/>
        <v/>
      </c>
      <c r="S464" s="3">
        <f t="shared" si="62"/>
        <v>0</v>
      </c>
      <c r="T464" s="3">
        <f t="shared" si="63"/>
        <v>13</v>
      </c>
    </row>
    <row r="465" spans="1:20">
      <c r="A465" s="74" t="str">
        <f t="shared" si="56"/>
        <v/>
      </c>
      <c r="B465" s="75" t="str">
        <f>IFERROR(INDEX(对接源_01入库吨位!$B$5:$B$304,MATCH(INT((ROW()-5)/3)+1,对接源_01入库吨位!$S$5:$S$304,0)),"")</f>
        <v/>
      </c>
      <c r="C465" s="75" t="str">
        <f>IFERROR(INDEX(对接源_01入库吨位!$C$5:$C$304,MATCH(INT((ROW()-5)/3)+1,对接源_01入库吨位!$S$5:$S$304,0)),"")</f>
        <v/>
      </c>
      <c r="D465" s="89" t="str">
        <f t="shared" si="57"/>
        <v/>
      </c>
      <c r="E465" s="42" t="str">
        <f>IF($B465="","",IFERROR(IF($D465="周转打冷",N(INDEX(对接源_01入库吨位!$D$5:$D$304,MATCH(INT((ROW()-5)/3)+1,对接源_01入库吨位!$S$5:$S$304,0))),IF($D465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5" s="76" t="str">
        <f>IF($B465="","",ROUND(IFERROR(IF($D465="周转打冷",N(INDEX(对接源_01入库吨位!$H$5:$H$304,MATCH(INT((ROW()-5)/3)+1,对接源_01入库吨位!$S$5:$S$304,0))),IF($D465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5" s="122" t="str">
        <f t="shared" si="58"/>
        <v/>
      </c>
      <c r="H465" s="43"/>
      <c r="I465" s="107"/>
      <c r="J465" s="123" t="str">
        <f t="shared" si="59"/>
        <v/>
      </c>
      <c r="K465" s="76" t="str">
        <f t="shared" si="60"/>
        <v/>
      </c>
      <c r="L465" s="43"/>
      <c r="M465" s="7"/>
      <c r="N465" s="106"/>
      <c r="R465" s="3" t="str">
        <f t="shared" si="61"/>
        <v/>
      </c>
      <c r="S465" s="3">
        <f t="shared" si="62"/>
        <v>0</v>
      </c>
      <c r="T465" s="3">
        <f t="shared" si="63"/>
        <v>13</v>
      </c>
    </row>
    <row r="466" spans="1:20">
      <c r="A466" s="74" t="str">
        <f t="shared" si="56"/>
        <v/>
      </c>
      <c r="B466" s="75" t="str">
        <f>IFERROR(INDEX(对接源_01入库吨位!$B$5:$B$304,MATCH(INT((ROW()-5)/3)+1,对接源_01入库吨位!$S$5:$S$304,0)),"")</f>
        <v/>
      </c>
      <c r="C466" s="75" t="str">
        <f>IFERROR(INDEX(对接源_01入库吨位!$C$5:$C$304,MATCH(INT((ROW()-5)/3)+1,对接源_01入库吨位!$S$5:$S$304,0)),"")</f>
        <v/>
      </c>
      <c r="D466" s="89" t="str">
        <f t="shared" si="57"/>
        <v/>
      </c>
      <c r="E466" s="42" t="str">
        <f>IF($B466="","",IFERROR(IF($D466="周转打冷",N(INDEX(对接源_01入库吨位!$D$5:$D$304,MATCH(INT((ROW()-5)/3)+1,对接源_01入库吨位!$S$5:$S$304,0))),IF($D466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6" s="76" t="str">
        <f>IF($B466="","",ROUND(IFERROR(IF($D466="周转打冷",N(INDEX(对接源_01入库吨位!$H$5:$H$304,MATCH(INT((ROW()-5)/3)+1,对接源_01入库吨位!$S$5:$S$304,0))),IF($D466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6" s="122" t="str">
        <f t="shared" si="58"/>
        <v/>
      </c>
      <c r="H466" s="43"/>
      <c r="I466" s="107"/>
      <c r="J466" s="123" t="str">
        <f t="shared" si="59"/>
        <v/>
      </c>
      <c r="K466" s="76" t="str">
        <f t="shared" si="60"/>
        <v/>
      </c>
      <c r="L466" s="43"/>
      <c r="M466" s="7"/>
      <c r="N466" s="106"/>
      <c r="R466" s="3" t="str">
        <f t="shared" si="61"/>
        <v/>
      </c>
      <c r="S466" s="3">
        <f t="shared" si="62"/>
        <v>0</v>
      </c>
      <c r="T466" s="3">
        <f t="shared" si="63"/>
        <v>13</v>
      </c>
    </row>
    <row r="467" spans="1:20">
      <c r="A467" s="74" t="str">
        <f t="shared" si="56"/>
        <v/>
      </c>
      <c r="B467" s="75" t="str">
        <f>IFERROR(INDEX(对接源_01入库吨位!$B$5:$B$304,MATCH(INT((ROW()-5)/3)+1,对接源_01入库吨位!$S$5:$S$304,0)),"")</f>
        <v/>
      </c>
      <c r="C467" s="75" t="str">
        <f>IFERROR(INDEX(对接源_01入库吨位!$C$5:$C$304,MATCH(INT((ROW()-5)/3)+1,对接源_01入库吨位!$S$5:$S$304,0)),"")</f>
        <v/>
      </c>
      <c r="D467" s="89" t="str">
        <f t="shared" si="57"/>
        <v/>
      </c>
      <c r="E467" s="42" t="str">
        <f>IF($B467="","",IFERROR(IF($D467="周转打冷",N(INDEX(对接源_01入库吨位!$D$5:$D$304,MATCH(INT((ROW()-5)/3)+1,对接源_01入库吨位!$S$5:$S$304,0))),IF($D467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7" s="76" t="str">
        <f>IF($B467="","",ROUND(IFERROR(IF($D467="周转打冷",N(INDEX(对接源_01入库吨位!$H$5:$H$304,MATCH(INT((ROW()-5)/3)+1,对接源_01入库吨位!$S$5:$S$304,0))),IF($D467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7" s="122" t="str">
        <f t="shared" si="58"/>
        <v/>
      </c>
      <c r="H467" s="43"/>
      <c r="I467" s="107"/>
      <c r="J467" s="123" t="str">
        <f t="shared" si="59"/>
        <v/>
      </c>
      <c r="K467" s="76" t="str">
        <f t="shared" si="60"/>
        <v/>
      </c>
      <c r="L467" s="43"/>
      <c r="M467" s="7"/>
      <c r="N467" s="106"/>
      <c r="R467" s="3" t="str">
        <f t="shared" si="61"/>
        <v/>
      </c>
      <c r="S467" s="3">
        <f t="shared" si="62"/>
        <v>0</v>
      </c>
      <c r="T467" s="3">
        <f t="shared" si="63"/>
        <v>13</v>
      </c>
    </row>
    <row r="468" spans="1:20">
      <c r="A468" s="74" t="str">
        <f t="shared" si="56"/>
        <v/>
      </c>
      <c r="B468" s="75" t="str">
        <f>IFERROR(INDEX(对接源_01入库吨位!$B$5:$B$304,MATCH(INT((ROW()-5)/3)+1,对接源_01入库吨位!$S$5:$S$304,0)),"")</f>
        <v/>
      </c>
      <c r="C468" s="75" t="str">
        <f>IFERROR(INDEX(对接源_01入库吨位!$C$5:$C$304,MATCH(INT((ROW()-5)/3)+1,对接源_01入库吨位!$S$5:$S$304,0)),"")</f>
        <v/>
      </c>
      <c r="D468" s="89" t="str">
        <f t="shared" si="57"/>
        <v/>
      </c>
      <c r="E468" s="42" t="str">
        <f>IF($B468="","",IFERROR(IF($D468="周转打冷",N(INDEX(对接源_01入库吨位!$D$5:$D$304,MATCH(INT((ROW()-5)/3)+1,对接源_01入库吨位!$S$5:$S$304,0))),IF($D468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8" s="76" t="str">
        <f>IF($B468="","",ROUND(IFERROR(IF($D468="周转打冷",N(INDEX(对接源_01入库吨位!$H$5:$H$304,MATCH(INT((ROW()-5)/3)+1,对接源_01入库吨位!$S$5:$S$304,0))),IF($D468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8" s="122" t="str">
        <f t="shared" si="58"/>
        <v/>
      </c>
      <c r="H468" s="43"/>
      <c r="I468" s="107"/>
      <c r="J468" s="123" t="str">
        <f t="shared" si="59"/>
        <v/>
      </c>
      <c r="K468" s="76" t="str">
        <f t="shared" si="60"/>
        <v/>
      </c>
      <c r="L468" s="43"/>
      <c r="M468" s="7"/>
      <c r="N468" s="106"/>
      <c r="R468" s="3" t="str">
        <f t="shared" si="61"/>
        <v/>
      </c>
      <c r="S468" s="3">
        <f t="shared" si="62"/>
        <v>0</v>
      </c>
      <c r="T468" s="3">
        <f t="shared" si="63"/>
        <v>13</v>
      </c>
    </row>
    <row r="469" spans="1:20">
      <c r="A469" s="74" t="str">
        <f t="shared" si="56"/>
        <v/>
      </c>
      <c r="B469" s="75" t="str">
        <f>IFERROR(INDEX(对接源_01入库吨位!$B$5:$B$304,MATCH(INT((ROW()-5)/3)+1,对接源_01入库吨位!$S$5:$S$304,0)),"")</f>
        <v/>
      </c>
      <c r="C469" s="75" t="str">
        <f>IFERROR(INDEX(对接源_01入库吨位!$C$5:$C$304,MATCH(INT((ROW()-5)/3)+1,对接源_01入库吨位!$S$5:$S$304,0)),"")</f>
        <v/>
      </c>
      <c r="D469" s="89" t="str">
        <f t="shared" si="57"/>
        <v/>
      </c>
      <c r="E469" s="42" t="str">
        <f>IF($B469="","",IFERROR(IF($D469="周转打冷",N(INDEX(对接源_01入库吨位!$D$5:$D$304,MATCH(INT((ROW()-5)/3)+1,对接源_01入库吨位!$S$5:$S$304,0))),IF($D469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9" s="76" t="str">
        <f>IF($B469="","",ROUND(IFERROR(IF($D469="周转打冷",N(INDEX(对接源_01入库吨位!$H$5:$H$304,MATCH(INT((ROW()-5)/3)+1,对接源_01入库吨位!$S$5:$S$304,0))),IF($D469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9" s="122" t="str">
        <f t="shared" si="58"/>
        <v/>
      </c>
      <c r="H469" s="43"/>
      <c r="I469" s="107"/>
      <c r="J469" s="123" t="str">
        <f t="shared" si="59"/>
        <v/>
      </c>
      <c r="K469" s="76" t="str">
        <f t="shared" si="60"/>
        <v/>
      </c>
      <c r="L469" s="43"/>
      <c r="M469" s="7"/>
      <c r="N469" s="106"/>
      <c r="R469" s="3" t="str">
        <f t="shared" si="61"/>
        <v/>
      </c>
      <c r="S469" s="3">
        <f t="shared" si="62"/>
        <v>0</v>
      </c>
      <c r="T469" s="3">
        <f t="shared" si="63"/>
        <v>13</v>
      </c>
    </row>
    <row r="470" spans="1:20">
      <c r="A470" s="74" t="str">
        <f t="shared" si="56"/>
        <v/>
      </c>
      <c r="B470" s="75" t="str">
        <f>IFERROR(INDEX(对接源_01入库吨位!$B$5:$B$304,MATCH(INT((ROW()-5)/3)+1,对接源_01入库吨位!$S$5:$S$304,0)),"")</f>
        <v/>
      </c>
      <c r="C470" s="75" t="str">
        <f>IFERROR(INDEX(对接源_01入库吨位!$C$5:$C$304,MATCH(INT((ROW()-5)/3)+1,对接源_01入库吨位!$S$5:$S$304,0)),"")</f>
        <v/>
      </c>
      <c r="D470" s="89" t="str">
        <f t="shared" si="57"/>
        <v/>
      </c>
      <c r="E470" s="42" t="str">
        <f>IF($B470="","",IFERROR(IF($D470="周转打冷",N(INDEX(对接源_01入库吨位!$D$5:$D$304,MATCH(INT((ROW()-5)/3)+1,对接源_01入库吨位!$S$5:$S$304,0))),IF($D470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0" s="76" t="str">
        <f>IF($B470="","",ROUND(IFERROR(IF($D470="周转打冷",N(INDEX(对接源_01入库吨位!$H$5:$H$304,MATCH(INT((ROW()-5)/3)+1,对接源_01入库吨位!$S$5:$S$304,0))),IF($D470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0" s="122" t="str">
        <f t="shared" si="58"/>
        <v/>
      </c>
      <c r="H470" s="43"/>
      <c r="I470" s="107"/>
      <c r="J470" s="123" t="str">
        <f t="shared" si="59"/>
        <v/>
      </c>
      <c r="K470" s="76" t="str">
        <f t="shared" si="60"/>
        <v/>
      </c>
      <c r="L470" s="43"/>
      <c r="M470" s="7"/>
      <c r="N470" s="106"/>
      <c r="R470" s="3" t="str">
        <f t="shared" si="61"/>
        <v/>
      </c>
      <c r="S470" s="3">
        <f t="shared" si="62"/>
        <v>0</v>
      </c>
      <c r="T470" s="3">
        <f t="shared" si="63"/>
        <v>13</v>
      </c>
    </row>
    <row r="471" spans="1:20">
      <c r="A471" s="74" t="str">
        <f t="shared" si="56"/>
        <v/>
      </c>
      <c r="B471" s="75" t="str">
        <f>IFERROR(INDEX(对接源_01入库吨位!$B$5:$B$304,MATCH(INT((ROW()-5)/3)+1,对接源_01入库吨位!$S$5:$S$304,0)),"")</f>
        <v/>
      </c>
      <c r="C471" s="75" t="str">
        <f>IFERROR(INDEX(对接源_01入库吨位!$C$5:$C$304,MATCH(INT((ROW()-5)/3)+1,对接源_01入库吨位!$S$5:$S$304,0)),"")</f>
        <v/>
      </c>
      <c r="D471" s="89" t="str">
        <f t="shared" si="57"/>
        <v/>
      </c>
      <c r="E471" s="42" t="str">
        <f>IF($B471="","",IFERROR(IF($D471="周转打冷",N(INDEX(对接源_01入库吨位!$D$5:$D$304,MATCH(INT((ROW()-5)/3)+1,对接源_01入库吨位!$S$5:$S$304,0))),IF($D471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1" s="76" t="str">
        <f>IF($B471="","",ROUND(IFERROR(IF($D471="周转打冷",N(INDEX(对接源_01入库吨位!$H$5:$H$304,MATCH(INT((ROW()-5)/3)+1,对接源_01入库吨位!$S$5:$S$304,0))),IF($D471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1" s="122" t="str">
        <f t="shared" si="58"/>
        <v/>
      </c>
      <c r="H471" s="43"/>
      <c r="I471" s="107"/>
      <c r="J471" s="123" t="str">
        <f t="shared" si="59"/>
        <v/>
      </c>
      <c r="K471" s="76" t="str">
        <f t="shared" si="60"/>
        <v/>
      </c>
      <c r="L471" s="43"/>
      <c r="M471" s="7"/>
      <c r="N471" s="106"/>
      <c r="R471" s="3" t="str">
        <f t="shared" si="61"/>
        <v/>
      </c>
      <c r="S471" s="3">
        <f t="shared" si="62"/>
        <v>0</v>
      </c>
      <c r="T471" s="3">
        <f t="shared" si="63"/>
        <v>13</v>
      </c>
    </row>
    <row r="472" spans="1:20">
      <c r="A472" s="74" t="str">
        <f t="shared" si="56"/>
        <v/>
      </c>
      <c r="B472" s="75" t="str">
        <f>IFERROR(INDEX(对接源_01入库吨位!$B$5:$B$304,MATCH(INT((ROW()-5)/3)+1,对接源_01入库吨位!$S$5:$S$304,0)),"")</f>
        <v/>
      </c>
      <c r="C472" s="75" t="str">
        <f>IFERROR(INDEX(对接源_01入库吨位!$C$5:$C$304,MATCH(INT((ROW()-5)/3)+1,对接源_01入库吨位!$S$5:$S$304,0)),"")</f>
        <v/>
      </c>
      <c r="D472" s="89" t="str">
        <f t="shared" si="57"/>
        <v/>
      </c>
      <c r="E472" s="42" t="str">
        <f>IF($B472="","",IFERROR(IF($D472="周转打冷",N(INDEX(对接源_01入库吨位!$D$5:$D$304,MATCH(INT((ROW()-5)/3)+1,对接源_01入库吨位!$S$5:$S$304,0))),IF($D472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2" s="76" t="str">
        <f>IF($B472="","",ROUND(IFERROR(IF($D472="周转打冷",N(INDEX(对接源_01入库吨位!$H$5:$H$304,MATCH(INT((ROW()-5)/3)+1,对接源_01入库吨位!$S$5:$S$304,0))),IF($D472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2" s="122" t="str">
        <f t="shared" si="58"/>
        <v/>
      </c>
      <c r="H472" s="43"/>
      <c r="I472" s="107"/>
      <c r="J472" s="123" t="str">
        <f t="shared" si="59"/>
        <v/>
      </c>
      <c r="K472" s="76" t="str">
        <f t="shared" si="60"/>
        <v/>
      </c>
      <c r="L472" s="43"/>
      <c r="M472" s="7"/>
      <c r="N472" s="106"/>
      <c r="R472" s="3" t="str">
        <f t="shared" si="61"/>
        <v/>
      </c>
      <c r="S472" s="3">
        <f t="shared" si="62"/>
        <v>0</v>
      </c>
      <c r="T472" s="3">
        <f t="shared" si="63"/>
        <v>13</v>
      </c>
    </row>
    <row r="473" spans="1:20">
      <c r="A473" s="74" t="str">
        <f t="shared" si="56"/>
        <v/>
      </c>
      <c r="B473" s="75" t="str">
        <f>IFERROR(INDEX(对接源_01入库吨位!$B$5:$B$304,MATCH(INT((ROW()-5)/3)+1,对接源_01入库吨位!$S$5:$S$304,0)),"")</f>
        <v/>
      </c>
      <c r="C473" s="75" t="str">
        <f>IFERROR(INDEX(对接源_01入库吨位!$C$5:$C$304,MATCH(INT((ROW()-5)/3)+1,对接源_01入库吨位!$S$5:$S$304,0)),"")</f>
        <v/>
      </c>
      <c r="D473" s="89" t="str">
        <f t="shared" si="57"/>
        <v/>
      </c>
      <c r="E473" s="42" t="str">
        <f>IF($B473="","",IFERROR(IF($D473="周转打冷",N(INDEX(对接源_01入库吨位!$D$5:$D$304,MATCH(INT((ROW()-5)/3)+1,对接源_01入库吨位!$S$5:$S$304,0))),IF($D473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3" s="76" t="str">
        <f>IF($B473="","",ROUND(IFERROR(IF($D473="周转打冷",N(INDEX(对接源_01入库吨位!$H$5:$H$304,MATCH(INT((ROW()-5)/3)+1,对接源_01入库吨位!$S$5:$S$304,0))),IF($D473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3" s="122" t="str">
        <f t="shared" si="58"/>
        <v/>
      </c>
      <c r="H473" s="43"/>
      <c r="I473" s="107"/>
      <c r="J473" s="123" t="str">
        <f t="shared" si="59"/>
        <v/>
      </c>
      <c r="K473" s="76" t="str">
        <f t="shared" si="60"/>
        <v/>
      </c>
      <c r="L473" s="43"/>
      <c r="M473" s="7"/>
      <c r="N473" s="106"/>
      <c r="R473" s="3" t="str">
        <f t="shared" si="61"/>
        <v/>
      </c>
      <c r="S473" s="3">
        <f t="shared" si="62"/>
        <v>0</v>
      </c>
      <c r="T473" s="3">
        <f t="shared" si="63"/>
        <v>13</v>
      </c>
    </row>
    <row r="474" spans="1:20">
      <c r="A474" s="74" t="str">
        <f t="shared" si="56"/>
        <v/>
      </c>
      <c r="B474" s="75" t="str">
        <f>IFERROR(INDEX(对接源_01入库吨位!$B$5:$B$304,MATCH(INT((ROW()-5)/3)+1,对接源_01入库吨位!$S$5:$S$304,0)),"")</f>
        <v/>
      </c>
      <c r="C474" s="75" t="str">
        <f>IFERROR(INDEX(对接源_01入库吨位!$C$5:$C$304,MATCH(INT((ROW()-5)/3)+1,对接源_01入库吨位!$S$5:$S$304,0)),"")</f>
        <v/>
      </c>
      <c r="D474" s="89" t="str">
        <f t="shared" si="57"/>
        <v/>
      </c>
      <c r="E474" s="42" t="str">
        <f>IF($B474="","",IFERROR(IF($D474="周转打冷",N(INDEX(对接源_01入库吨位!$D$5:$D$304,MATCH(INT((ROW()-5)/3)+1,对接源_01入库吨位!$S$5:$S$304,0))),IF($D474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4" s="76" t="str">
        <f>IF($B474="","",ROUND(IFERROR(IF($D474="周转打冷",N(INDEX(对接源_01入库吨位!$H$5:$H$304,MATCH(INT((ROW()-5)/3)+1,对接源_01入库吨位!$S$5:$S$304,0))),IF($D474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4" s="122" t="str">
        <f t="shared" si="58"/>
        <v/>
      </c>
      <c r="H474" s="43"/>
      <c r="I474" s="107"/>
      <c r="J474" s="123" t="str">
        <f t="shared" si="59"/>
        <v/>
      </c>
      <c r="K474" s="76" t="str">
        <f t="shared" si="60"/>
        <v/>
      </c>
      <c r="L474" s="43"/>
      <c r="M474" s="7"/>
      <c r="N474" s="106"/>
      <c r="R474" s="3" t="str">
        <f t="shared" si="61"/>
        <v/>
      </c>
      <c r="S474" s="3">
        <f t="shared" si="62"/>
        <v>0</v>
      </c>
      <c r="T474" s="3">
        <f t="shared" si="63"/>
        <v>13</v>
      </c>
    </row>
    <row r="475" spans="1:20">
      <c r="A475" s="74" t="str">
        <f t="shared" si="56"/>
        <v/>
      </c>
      <c r="B475" s="75" t="str">
        <f>IFERROR(INDEX(对接源_01入库吨位!$B$5:$B$304,MATCH(INT((ROW()-5)/3)+1,对接源_01入库吨位!$S$5:$S$304,0)),"")</f>
        <v/>
      </c>
      <c r="C475" s="75" t="str">
        <f>IFERROR(INDEX(对接源_01入库吨位!$C$5:$C$304,MATCH(INT((ROW()-5)/3)+1,对接源_01入库吨位!$S$5:$S$304,0)),"")</f>
        <v/>
      </c>
      <c r="D475" s="89" t="str">
        <f t="shared" si="57"/>
        <v/>
      </c>
      <c r="E475" s="42" t="str">
        <f>IF($B475="","",IFERROR(IF($D475="周转打冷",N(INDEX(对接源_01入库吨位!$D$5:$D$304,MATCH(INT((ROW()-5)/3)+1,对接源_01入库吨位!$S$5:$S$304,0))),IF($D475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5" s="76" t="str">
        <f>IF($B475="","",ROUND(IFERROR(IF($D475="周转打冷",N(INDEX(对接源_01入库吨位!$H$5:$H$304,MATCH(INT((ROW()-5)/3)+1,对接源_01入库吨位!$S$5:$S$304,0))),IF($D475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5" s="122" t="str">
        <f t="shared" si="58"/>
        <v/>
      </c>
      <c r="H475" s="43"/>
      <c r="I475" s="107"/>
      <c r="J475" s="123" t="str">
        <f t="shared" si="59"/>
        <v/>
      </c>
      <c r="K475" s="76" t="str">
        <f t="shared" si="60"/>
        <v/>
      </c>
      <c r="L475" s="43"/>
      <c r="M475" s="7"/>
      <c r="N475" s="106"/>
      <c r="R475" s="3" t="str">
        <f t="shared" si="61"/>
        <v/>
      </c>
      <c r="S475" s="3">
        <f t="shared" si="62"/>
        <v>0</v>
      </c>
      <c r="T475" s="3">
        <f t="shared" si="63"/>
        <v>13</v>
      </c>
    </row>
    <row r="476" spans="1:20">
      <c r="A476" s="74" t="str">
        <f t="shared" si="56"/>
        <v/>
      </c>
      <c r="B476" s="75" t="str">
        <f>IFERROR(INDEX(对接源_01入库吨位!$B$5:$B$304,MATCH(INT((ROW()-5)/3)+1,对接源_01入库吨位!$S$5:$S$304,0)),"")</f>
        <v/>
      </c>
      <c r="C476" s="75" t="str">
        <f>IFERROR(INDEX(对接源_01入库吨位!$C$5:$C$304,MATCH(INT((ROW()-5)/3)+1,对接源_01入库吨位!$S$5:$S$304,0)),"")</f>
        <v/>
      </c>
      <c r="D476" s="89" t="str">
        <f t="shared" si="57"/>
        <v/>
      </c>
      <c r="E476" s="42" t="str">
        <f>IF($B476="","",IFERROR(IF($D476="周转打冷",N(INDEX(对接源_01入库吨位!$D$5:$D$304,MATCH(INT((ROW()-5)/3)+1,对接源_01入库吨位!$S$5:$S$304,0))),IF($D476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6" s="76" t="str">
        <f>IF($B476="","",ROUND(IFERROR(IF($D476="周转打冷",N(INDEX(对接源_01入库吨位!$H$5:$H$304,MATCH(INT((ROW()-5)/3)+1,对接源_01入库吨位!$S$5:$S$304,0))),IF($D476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6" s="122" t="str">
        <f t="shared" si="58"/>
        <v/>
      </c>
      <c r="H476" s="43"/>
      <c r="I476" s="107"/>
      <c r="J476" s="123" t="str">
        <f t="shared" si="59"/>
        <v/>
      </c>
      <c r="K476" s="76" t="str">
        <f t="shared" si="60"/>
        <v/>
      </c>
      <c r="L476" s="43"/>
      <c r="M476" s="7"/>
      <c r="N476" s="106"/>
      <c r="R476" s="3" t="str">
        <f t="shared" si="61"/>
        <v/>
      </c>
      <c r="S476" s="3">
        <f t="shared" si="62"/>
        <v>0</v>
      </c>
      <c r="T476" s="3">
        <f t="shared" si="63"/>
        <v>13</v>
      </c>
    </row>
    <row r="477" spans="1:20">
      <c r="A477" s="74" t="str">
        <f t="shared" si="56"/>
        <v/>
      </c>
      <c r="B477" s="75" t="str">
        <f>IFERROR(INDEX(对接源_01入库吨位!$B$5:$B$304,MATCH(INT((ROW()-5)/3)+1,对接源_01入库吨位!$S$5:$S$304,0)),"")</f>
        <v/>
      </c>
      <c r="C477" s="75" t="str">
        <f>IFERROR(INDEX(对接源_01入库吨位!$C$5:$C$304,MATCH(INT((ROW()-5)/3)+1,对接源_01入库吨位!$S$5:$S$304,0)),"")</f>
        <v/>
      </c>
      <c r="D477" s="89" t="str">
        <f t="shared" si="57"/>
        <v/>
      </c>
      <c r="E477" s="42" t="str">
        <f>IF($B477="","",IFERROR(IF($D477="周转打冷",N(INDEX(对接源_01入库吨位!$D$5:$D$304,MATCH(INT((ROW()-5)/3)+1,对接源_01入库吨位!$S$5:$S$304,0))),IF($D477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7" s="76" t="str">
        <f>IF($B477="","",ROUND(IFERROR(IF($D477="周转打冷",N(INDEX(对接源_01入库吨位!$H$5:$H$304,MATCH(INT((ROW()-5)/3)+1,对接源_01入库吨位!$S$5:$S$304,0))),IF($D477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7" s="122" t="str">
        <f t="shared" si="58"/>
        <v/>
      </c>
      <c r="H477" s="43"/>
      <c r="I477" s="107"/>
      <c r="J477" s="123" t="str">
        <f t="shared" si="59"/>
        <v/>
      </c>
      <c r="K477" s="76" t="str">
        <f t="shared" si="60"/>
        <v/>
      </c>
      <c r="L477" s="43"/>
      <c r="M477" s="7"/>
      <c r="N477" s="106"/>
      <c r="R477" s="3" t="str">
        <f t="shared" si="61"/>
        <v/>
      </c>
      <c r="S477" s="3">
        <f t="shared" si="62"/>
        <v>0</v>
      </c>
      <c r="T477" s="3">
        <f t="shared" si="63"/>
        <v>13</v>
      </c>
    </row>
    <row r="478" spans="1:20">
      <c r="A478" s="74" t="str">
        <f t="shared" si="56"/>
        <v/>
      </c>
      <c r="B478" s="75" t="str">
        <f>IFERROR(INDEX(对接源_01入库吨位!$B$5:$B$304,MATCH(INT((ROW()-5)/3)+1,对接源_01入库吨位!$S$5:$S$304,0)),"")</f>
        <v/>
      </c>
      <c r="C478" s="75" t="str">
        <f>IFERROR(INDEX(对接源_01入库吨位!$C$5:$C$304,MATCH(INT((ROW()-5)/3)+1,对接源_01入库吨位!$S$5:$S$304,0)),"")</f>
        <v/>
      </c>
      <c r="D478" s="89" t="str">
        <f t="shared" si="57"/>
        <v/>
      </c>
      <c r="E478" s="42" t="str">
        <f>IF($B478="","",IFERROR(IF($D478="周转打冷",N(INDEX(对接源_01入库吨位!$D$5:$D$304,MATCH(INT((ROW()-5)/3)+1,对接源_01入库吨位!$S$5:$S$304,0))),IF($D478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8" s="76" t="str">
        <f>IF($B478="","",ROUND(IFERROR(IF($D478="周转打冷",N(INDEX(对接源_01入库吨位!$H$5:$H$304,MATCH(INT((ROW()-5)/3)+1,对接源_01入库吨位!$S$5:$S$304,0))),IF($D478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8" s="122" t="str">
        <f t="shared" si="58"/>
        <v/>
      </c>
      <c r="H478" s="43"/>
      <c r="I478" s="107"/>
      <c r="J478" s="123" t="str">
        <f t="shared" si="59"/>
        <v/>
      </c>
      <c r="K478" s="76" t="str">
        <f t="shared" si="60"/>
        <v/>
      </c>
      <c r="L478" s="43"/>
      <c r="M478" s="7"/>
      <c r="N478" s="106"/>
      <c r="R478" s="3" t="str">
        <f t="shared" si="61"/>
        <v/>
      </c>
      <c r="S478" s="3">
        <f t="shared" si="62"/>
        <v>0</v>
      </c>
      <c r="T478" s="3">
        <f t="shared" si="63"/>
        <v>13</v>
      </c>
    </row>
    <row r="479" spans="1:20">
      <c r="A479" s="74" t="str">
        <f t="shared" si="56"/>
        <v/>
      </c>
      <c r="B479" s="75" t="str">
        <f>IFERROR(INDEX(对接源_01入库吨位!$B$5:$B$304,MATCH(INT((ROW()-5)/3)+1,对接源_01入库吨位!$S$5:$S$304,0)),"")</f>
        <v/>
      </c>
      <c r="C479" s="75" t="str">
        <f>IFERROR(INDEX(对接源_01入库吨位!$C$5:$C$304,MATCH(INT((ROW()-5)/3)+1,对接源_01入库吨位!$S$5:$S$304,0)),"")</f>
        <v/>
      </c>
      <c r="D479" s="89" t="str">
        <f t="shared" si="57"/>
        <v/>
      </c>
      <c r="E479" s="42" t="str">
        <f>IF($B479="","",IFERROR(IF($D479="周转打冷",N(INDEX(对接源_01入库吨位!$D$5:$D$304,MATCH(INT((ROW()-5)/3)+1,对接源_01入库吨位!$S$5:$S$304,0))),IF($D479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9" s="76" t="str">
        <f>IF($B479="","",ROUND(IFERROR(IF($D479="周转打冷",N(INDEX(对接源_01入库吨位!$H$5:$H$304,MATCH(INT((ROW()-5)/3)+1,对接源_01入库吨位!$S$5:$S$304,0))),IF($D479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9" s="122" t="str">
        <f t="shared" si="58"/>
        <v/>
      </c>
      <c r="H479" s="43"/>
      <c r="I479" s="107"/>
      <c r="J479" s="123" t="str">
        <f t="shared" si="59"/>
        <v/>
      </c>
      <c r="K479" s="76" t="str">
        <f t="shared" si="60"/>
        <v/>
      </c>
      <c r="L479" s="43"/>
      <c r="M479" s="7"/>
      <c r="N479" s="106"/>
      <c r="R479" s="3" t="str">
        <f t="shared" si="61"/>
        <v/>
      </c>
      <c r="S479" s="3">
        <f t="shared" si="62"/>
        <v>0</v>
      </c>
      <c r="T479" s="3">
        <f t="shared" si="63"/>
        <v>13</v>
      </c>
    </row>
    <row r="480" spans="1:20">
      <c r="A480" s="74" t="str">
        <f t="shared" si="56"/>
        <v/>
      </c>
      <c r="B480" s="75" t="str">
        <f>IFERROR(INDEX(对接源_01入库吨位!$B$5:$B$304,MATCH(INT((ROW()-5)/3)+1,对接源_01入库吨位!$S$5:$S$304,0)),"")</f>
        <v/>
      </c>
      <c r="C480" s="75" t="str">
        <f>IFERROR(INDEX(对接源_01入库吨位!$C$5:$C$304,MATCH(INT((ROW()-5)/3)+1,对接源_01入库吨位!$S$5:$S$304,0)),"")</f>
        <v/>
      </c>
      <c r="D480" s="89" t="str">
        <f t="shared" si="57"/>
        <v/>
      </c>
      <c r="E480" s="42" t="str">
        <f>IF($B480="","",IFERROR(IF($D480="周转打冷",N(INDEX(对接源_01入库吨位!$D$5:$D$304,MATCH(INT((ROW()-5)/3)+1,对接源_01入库吨位!$S$5:$S$304,0))),IF($D480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0" s="76" t="str">
        <f>IF($B480="","",ROUND(IFERROR(IF($D480="周转打冷",N(INDEX(对接源_01入库吨位!$H$5:$H$304,MATCH(INT((ROW()-5)/3)+1,对接源_01入库吨位!$S$5:$S$304,0))),IF($D480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0" s="122" t="str">
        <f t="shared" si="58"/>
        <v/>
      </c>
      <c r="H480" s="43"/>
      <c r="I480" s="107"/>
      <c r="J480" s="123" t="str">
        <f t="shared" si="59"/>
        <v/>
      </c>
      <c r="K480" s="76" t="str">
        <f t="shared" si="60"/>
        <v/>
      </c>
      <c r="L480" s="43"/>
      <c r="M480" s="7"/>
      <c r="N480" s="106"/>
      <c r="R480" s="3" t="str">
        <f t="shared" si="61"/>
        <v/>
      </c>
      <c r="S480" s="3">
        <f t="shared" si="62"/>
        <v>0</v>
      </c>
      <c r="T480" s="3">
        <f t="shared" si="63"/>
        <v>13</v>
      </c>
    </row>
    <row r="481" spans="1:20">
      <c r="A481" s="74" t="str">
        <f t="shared" si="56"/>
        <v/>
      </c>
      <c r="B481" s="75" t="str">
        <f>IFERROR(INDEX(对接源_01入库吨位!$B$5:$B$304,MATCH(INT((ROW()-5)/3)+1,对接源_01入库吨位!$S$5:$S$304,0)),"")</f>
        <v/>
      </c>
      <c r="C481" s="75" t="str">
        <f>IFERROR(INDEX(对接源_01入库吨位!$C$5:$C$304,MATCH(INT((ROW()-5)/3)+1,对接源_01入库吨位!$S$5:$S$304,0)),"")</f>
        <v/>
      </c>
      <c r="D481" s="89" t="str">
        <f t="shared" si="57"/>
        <v/>
      </c>
      <c r="E481" s="42" t="str">
        <f>IF($B481="","",IFERROR(IF($D481="周转打冷",N(INDEX(对接源_01入库吨位!$D$5:$D$304,MATCH(INT((ROW()-5)/3)+1,对接源_01入库吨位!$S$5:$S$304,0))),IF($D481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1" s="76" t="str">
        <f>IF($B481="","",ROUND(IFERROR(IF($D481="周转打冷",N(INDEX(对接源_01入库吨位!$H$5:$H$304,MATCH(INT((ROW()-5)/3)+1,对接源_01入库吨位!$S$5:$S$304,0))),IF($D481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1" s="122" t="str">
        <f t="shared" si="58"/>
        <v/>
      </c>
      <c r="H481" s="43"/>
      <c r="I481" s="107"/>
      <c r="J481" s="123" t="str">
        <f t="shared" si="59"/>
        <v/>
      </c>
      <c r="K481" s="76" t="str">
        <f t="shared" si="60"/>
        <v/>
      </c>
      <c r="L481" s="43"/>
      <c r="M481" s="7"/>
      <c r="N481" s="106"/>
      <c r="R481" s="3" t="str">
        <f t="shared" si="61"/>
        <v/>
      </c>
      <c r="S481" s="3">
        <f t="shared" si="62"/>
        <v>0</v>
      </c>
      <c r="T481" s="3">
        <f t="shared" si="63"/>
        <v>13</v>
      </c>
    </row>
    <row r="482" spans="1:20">
      <c r="A482" s="74" t="str">
        <f t="shared" si="56"/>
        <v/>
      </c>
      <c r="B482" s="75" t="str">
        <f>IFERROR(INDEX(对接源_01入库吨位!$B$5:$B$304,MATCH(INT((ROW()-5)/3)+1,对接源_01入库吨位!$S$5:$S$304,0)),"")</f>
        <v/>
      </c>
      <c r="C482" s="75" t="str">
        <f>IFERROR(INDEX(对接源_01入库吨位!$C$5:$C$304,MATCH(INT((ROW()-5)/3)+1,对接源_01入库吨位!$S$5:$S$304,0)),"")</f>
        <v/>
      </c>
      <c r="D482" s="89" t="str">
        <f t="shared" si="57"/>
        <v/>
      </c>
      <c r="E482" s="42" t="str">
        <f>IF($B482="","",IFERROR(IF($D482="周转打冷",N(INDEX(对接源_01入库吨位!$D$5:$D$304,MATCH(INT((ROW()-5)/3)+1,对接源_01入库吨位!$S$5:$S$304,0))),IF($D482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2" s="76" t="str">
        <f>IF($B482="","",ROUND(IFERROR(IF($D482="周转打冷",N(INDEX(对接源_01入库吨位!$H$5:$H$304,MATCH(INT((ROW()-5)/3)+1,对接源_01入库吨位!$S$5:$S$304,0))),IF($D482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2" s="122" t="str">
        <f t="shared" si="58"/>
        <v/>
      </c>
      <c r="H482" s="43"/>
      <c r="I482" s="107"/>
      <c r="J482" s="123" t="str">
        <f t="shared" si="59"/>
        <v/>
      </c>
      <c r="K482" s="76" t="str">
        <f t="shared" si="60"/>
        <v/>
      </c>
      <c r="L482" s="43"/>
      <c r="M482" s="7"/>
      <c r="N482" s="106"/>
      <c r="R482" s="3" t="str">
        <f t="shared" si="61"/>
        <v/>
      </c>
      <c r="S482" s="3">
        <f t="shared" si="62"/>
        <v>0</v>
      </c>
      <c r="T482" s="3">
        <f t="shared" si="63"/>
        <v>13</v>
      </c>
    </row>
    <row r="483" spans="1:20">
      <c r="A483" s="74" t="str">
        <f t="shared" si="56"/>
        <v/>
      </c>
      <c r="B483" s="75" t="str">
        <f>IFERROR(INDEX(对接源_01入库吨位!$B$5:$B$304,MATCH(INT((ROW()-5)/3)+1,对接源_01入库吨位!$S$5:$S$304,0)),"")</f>
        <v/>
      </c>
      <c r="C483" s="75" t="str">
        <f>IFERROR(INDEX(对接源_01入库吨位!$C$5:$C$304,MATCH(INT((ROW()-5)/3)+1,对接源_01入库吨位!$S$5:$S$304,0)),"")</f>
        <v/>
      </c>
      <c r="D483" s="89" t="str">
        <f t="shared" si="57"/>
        <v/>
      </c>
      <c r="E483" s="42" t="str">
        <f>IF($B483="","",IFERROR(IF($D483="周转打冷",N(INDEX(对接源_01入库吨位!$D$5:$D$304,MATCH(INT((ROW()-5)/3)+1,对接源_01入库吨位!$S$5:$S$304,0))),IF($D483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3" s="76" t="str">
        <f>IF($B483="","",ROUND(IFERROR(IF($D483="周转打冷",N(INDEX(对接源_01入库吨位!$H$5:$H$304,MATCH(INT((ROW()-5)/3)+1,对接源_01入库吨位!$S$5:$S$304,0))),IF($D483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3" s="122" t="str">
        <f t="shared" si="58"/>
        <v/>
      </c>
      <c r="H483" s="43"/>
      <c r="I483" s="107"/>
      <c r="J483" s="123" t="str">
        <f t="shared" si="59"/>
        <v/>
      </c>
      <c r="K483" s="76" t="str">
        <f t="shared" si="60"/>
        <v/>
      </c>
      <c r="L483" s="43"/>
      <c r="M483" s="7"/>
      <c r="N483" s="106"/>
      <c r="R483" s="3" t="str">
        <f t="shared" si="61"/>
        <v/>
      </c>
      <c r="S483" s="3">
        <f t="shared" si="62"/>
        <v>0</v>
      </c>
      <c r="T483" s="3">
        <f t="shared" si="63"/>
        <v>13</v>
      </c>
    </row>
    <row r="484" spans="1:20">
      <c r="A484" s="74" t="str">
        <f t="shared" si="56"/>
        <v/>
      </c>
      <c r="B484" s="75" t="str">
        <f>IFERROR(INDEX(对接源_01入库吨位!$B$5:$B$304,MATCH(INT((ROW()-5)/3)+1,对接源_01入库吨位!$S$5:$S$304,0)),"")</f>
        <v/>
      </c>
      <c r="C484" s="75" t="str">
        <f>IFERROR(INDEX(对接源_01入库吨位!$C$5:$C$304,MATCH(INT((ROW()-5)/3)+1,对接源_01入库吨位!$S$5:$S$304,0)),"")</f>
        <v/>
      </c>
      <c r="D484" s="89" t="str">
        <f t="shared" si="57"/>
        <v/>
      </c>
      <c r="E484" s="42" t="str">
        <f>IF($B484="","",IFERROR(IF($D484="周转打冷",N(INDEX(对接源_01入库吨位!$D$5:$D$304,MATCH(INT((ROW()-5)/3)+1,对接源_01入库吨位!$S$5:$S$304,0))),IF($D484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4" s="76" t="str">
        <f>IF($B484="","",ROUND(IFERROR(IF($D484="周转打冷",N(INDEX(对接源_01入库吨位!$H$5:$H$304,MATCH(INT((ROW()-5)/3)+1,对接源_01入库吨位!$S$5:$S$304,0))),IF($D484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4" s="122" t="str">
        <f t="shared" si="58"/>
        <v/>
      </c>
      <c r="H484" s="43"/>
      <c r="I484" s="107"/>
      <c r="J484" s="123" t="str">
        <f t="shared" si="59"/>
        <v/>
      </c>
      <c r="K484" s="76" t="str">
        <f t="shared" si="60"/>
        <v/>
      </c>
      <c r="L484" s="43"/>
      <c r="M484" s="7"/>
      <c r="N484" s="106"/>
      <c r="R484" s="3" t="str">
        <f t="shared" si="61"/>
        <v/>
      </c>
      <c r="S484" s="3">
        <f t="shared" si="62"/>
        <v>0</v>
      </c>
      <c r="T484" s="3">
        <f t="shared" si="63"/>
        <v>13</v>
      </c>
    </row>
    <row r="485" spans="1:20">
      <c r="A485" s="74" t="str">
        <f t="shared" si="56"/>
        <v/>
      </c>
      <c r="B485" s="75" t="str">
        <f>IFERROR(INDEX(对接源_01入库吨位!$B$5:$B$304,MATCH(INT((ROW()-5)/3)+1,对接源_01入库吨位!$S$5:$S$304,0)),"")</f>
        <v/>
      </c>
      <c r="C485" s="75" t="str">
        <f>IFERROR(INDEX(对接源_01入库吨位!$C$5:$C$304,MATCH(INT((ROW()-5)/3)+1,对接源_01入库吨位!$S$5:$S$304,0)),"")</f>
        <v/>
      </c>
      <c r="D485" s="89" t="str">
        <f t="shared" si="57"/>
        <v/>
      </c>
      <c r="E485" s="42" t="str">
        <f>IF($B485="","",IFERROR(IF($D485="周转打冷",N(INDEX(对接源_01入库吨位!$D$5:$D$304,MATCH(INT((ROW()-5)/3)+1,对接源_01入库吨位!$S$5:$S$304,0))),IF($D485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5" s="76" t="str">
        <f>IF($B485="","",ROUND(IFERROR(IF($D485="周转打冷",N(INDEX(对接源_01入库吨位!$H$5:$H$304,MATCH(INT((ROW()-5)/3)+1,对接源_01入库吨位!$S$5:$S$304,0))),IF($D485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5" s="122" t="str">
        <f t="shared" si="58"/>
        <v/>
      </c>
      <c r="H485" s="43"/>
      <c r="I485" s="107"/>
      <c r="J485" s="123" t="str">
        <f t="shared" si="59"/>
        <v/>
      </c>
      <c r="K485" s="76" t="str">
        <f t="shared" si="60"/>
        <v/>
      </c>
      <c r="L485" s="43"/>
      <c r="M485" s="7"/>
      <c r="N485" s="106"/>
      <c r="R485" s="3" t="str">
        <f t="shared" si="61"/>
        <v/>
      </c>
      <c r="S485" s="3">
        <f t="shared" si="62"/>
        <v>0</v>
      </c>
      <c r="T485" s="3">
        <f t="shared" si="63"/>
        <v>13</v>
      </c>
    </row>
    <row r="486" spans="1:20">
      <c r="A486" s="74" t="str">
        <f t="shared" si="56"/>
        <v/>
      </c>
      <c r="B486" s="75" t="str">
        <f>IFERROR(INDEX(对接源_01入库吨位!$B$5:$B$304,MATCH(INT((ROW()-5)/3)+1,对接源_01入库吨位!$S$5:$S$304,0)),"")</f>
        <v/>
      </c>
      <c r="C486" s="75" t="str">
        <f>IFERROR(INDEX(对接源_01入库吨位!$C$5:$C$304,MATCH(INT((ROW()-5)/3)+1,对接源_01入库吨位!$S$5:$S$304,0)),"")</f>
        <v/>
      </c>
      <c r="D486" s="89" t="str">
        <f t="shared" si="57"/>
        <v/>
      </c>
      <c r="E486" s="42" t="str">
        <f>IF($B486="","",IFERROR(IF($D486="周转打冷",N(INDEX(对接源_01入库吨位!$D$5:$D$304,MATCH(INT((ROW()-5)/3)+1,对接源_01入库吨位!$S$5:$S$304,0))),IF($D486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6" s="76" t="str">
        <f>IF($B486="","",ROUND(IFERROR(IF($D486="周转打冷",N(INDEX(对接源_01入库吨位!$H$5:$H$304,MATCH(INT((ROW()-5)/3)+1,对接源_01入库吨位!$S$5:$S$304,0))),IF($D486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6" s="122" t="str">
        <f t="shared" si="58"/>
        <v/>
      </c>
      <c r="H486" s="43"/>
      <c r="I486" s="107"/>
      <c r="J486" s="123" t="str">
        <f t="shared" si="59"/>
        <v/>
      </c>
      <c r="K486" s="76" t="str">
        <f t="shared" si="60"/>
        <v/>
      </c>
      <c r="L486" s="43"/>
      <c r="M486" s="7"/>
      <c r="N486" s="106"/>
      <c r="R486" s="3" t="str">
        <f t="shared" si="61"/>
        <v/>
      </c>
      <c r="S486" s="3">
        <f t="shared" si="62"/>
        <v>0</v>
      </c>
      <c r="T486" s="3">
        <f t="shared" si="63"/>
        <v>13</v>
      </c>
    </row>
    <row r="487" spans="1:20">
      <c r="A487" s="74" t="str">
        <f t="shared" si="56"/>
        <v/>
      </c>
      <c r="B487" s="75" t="str">
        <f>IFERROR(INDEX(对接源_01入库吨位!$B$5:$B$304,MATCH(INT((ROW()-5)/3)+1,对接源_01入库吨位!$S$5:$S$304,0)),"")</f>
        <v/>
      </c>
      <c r="C487" s="75" t="str">
        <f>IFERROR(INDEX(对接源_01入库吨位!$C$5:$C$304,MATCH(INT((ROW()-5)/3)+1,对接源_01入库吨位!$S$5:$S$304,0)),"")</f>
        <v/>
      </c>
      <c r="D487" s="89" t="str">
        <f t="shared" si="57"/>
        <v/>
      </c>
      <c r="E487" s="42" t="str">
        <f>IF($B487="","",IFERROR(IF($D487="周转打冷",N(INDEX(对接源_01入库吨位!$D$5:$D$304,MATCH(INT((ROW()-5)/3)+1,对接源_01入库吨位!$S$5:$S$304,0))),IF($D487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7" s="76" t="str">
        <f>IF($B487="","",ROUND(IFERROR(IF($D487="周转打冷",N(INDEX(对接源_01入库吨位!$H$5:$H$304,MATCH(INT((ROW()-5)/3)+1,对接源_01入库吨位!$S$5:$S$304,0))),IF($D487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7" s="122" t="str">
        <f t="shared" si="58"/>
        <v/>
      </c>
      <c r="H487" s="43"/>
      <c r="I487" s="107"/>
      <c r="J487" s="123" t="str">
        <f t="shared" si="59"/>
        <v/>
      </c>
      <c r="K487" s="76" t="str">
        <f t="shared" si="60"/>
        <v/>
      </c>
      <c r="L487" s="43"/>
      <c r="M487" s="7"/>
      <c r="N487" s="106"/>
      <c r="R487" s="3" t="str">
        <f t="shared" si="61"/>
        <v/>
      </c>
      <c r="S487" s="3">
        <f t="shared" si="62"/>
        <v>0</v>
      </c>
      <c r="T487" s="3">
        <f t="shared" si="63"/>
        <v>13</v>
      </c>
    </row>
    <row r="488" spans="1:20">
      <c r="A488" s="74" t="str">
        <f t="shared" si="56"/>
        <v/>
      </c>
      <c r="B488" s="75" t="str">
        <f>IFERROR(INDEX(对接源_01入库吨位!$B$5:$B$304,MATCH(INT((ROW()-5)/3)+1,对接源_01入库吨位!$S$5:$S$304,0)),"")</f>
        <v/>
      </c>
      <c r="C488" s="75" t="str">
        <f>IFERROR(INDEX(对接源_01入库吨位!$C$5:$C$304,MATCH(INT((ROW()-5)/3)+1,对接源_01入库吨位!$S$5:$S$304,0)),"")</f>
        <v/>
      </c>
      <c r="D488" s="89" t="str">
        <f t="shared" si="57"/>
        <v/>
      </c>
      <c r="E488" s="42" t="str">
        <f>IF($B488="","",IFERROR(IF($D488="周转打冷",N(INDEX(对接源_01入库吨位!$D$5:$D$304,MATCH(INT((ROW()-5)/3)+1,对接源_01入库吨位!$S$5:$S$304,0))),IF($D488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8" s="76" t="str">
        <f>IF($B488="","",ROUND(IFERROR(IF($D488="周转打冷",N(INDEX(对接源_01入库吨位!$H$5:$H$304,MATCH(INT((ROW()-5)/3)+1,对接源_01入库吨位!$S$5:$S$304,0))),IF($D488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8" s="122" t="str">
        <f t="shared" si="58"/>
        <v/>
      </c>
      <c r="H488" s="43"/>
      <c r="I488" s="107"/>
      <c r="J488" s="123" t="str">
        <f t="shared" si="59"/>
        <v/>
      </c>
      <c r="K488" s="76" t="str">
        <f t="shared" si="60"/>
        <v/>
      </c>
      <c r="L488" s="43"/>
      <c r="M488" s="7"/>
      <c r="N488" s="106"/>
      <c r="R488" s="3" t="str">
        <f t="shared" si="61"/>
        <v/>
      </c>
      <c r="S488" s="3">
        <f t="shared" si="62"/>
        <v>0</v>
      </c>
      <c r="T488" s="3">
        <f t="shared" si="63"/>
        <v>13</v>
      </c>
    </row>
    <row r="489" spans="1:20">
      <c r="A489" s="74" t="str">
        <f t="shared" si="56"/>
        <v/>
      </c>
      <c r="B489" s="75" t="str">
        <f>IFERROR(INDEX(对接源_01入库吨位!$B$5:$B$304,MATCH(INT((ROW()-5)/3)+1,对接源_01入库吨位!$S$5:$S$304,0)),"")</f>
        <v/>
      </c>
      <c r="C489" s="75" t="str">
        <f>IFERROR(INDEX(对接源_01入库吨位!$C$5:$C$304,MATCH(INT((ROW()-5)/3)+1,对接源_01入库吨位!$S$5:$S$304,0)),"")</f>
        <v/>
      </c>
      <c r="D489" s="89" t="str">
        <f t="shared" si="57"/>
        <v/>
      </c>
      <c r="E489" s="42" t="str">
        <f>IF($B489="","",IFERROR(IF($D489="周转打冷",N(INDEX(对接源_01入库吨位!$D$5:$D$304,MATCH(INT((ROW()-5)/3)+1,对接源_01入库吨位!$S$5:$S$304,0))),IF($D489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9" s="76" t="str">
        <f>IF($B489="","",ROUND(IFERROR(IF($D489="周转打冷",N(INDEX(对接源_01入库吨位!$H$5:$H$304,MATCH(INT((ROW()-5)/3)+1,对接源_01入库吨位!$S$5:$S$304,0))),IF($D489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9" s="122" t="str">
        <f t="shared" si="58"/>
        <v/>
      </c>
      <c r="H489" s="43"/>
      <c r="I489" s="107"/>
      <c r="J489" s="123" t="str">
        <f t="shared" si="59"/>
        <v/>
      </c>
      <c r="K489" s="76" t="str">
        <f t="shared" si="60"/>
        <v/>
      </c>
      <c r="L489" s="43"/>
      <c r="M489" s="7"/>
      <c r="N489" s="106"/>
      <c r="R489" s="3" t="str">
        <f t="shared" si="61"/>
        <v/>
      </c>
      <c r="S489" s="3">
        <f t="shared" si="62"/>
        <v>0</v>
      </c>
      <c r="T489" s="3">
        <f t="shared" si="63"/>
        <v>13</v>
      </c>
    </row>
    <row r="490" spans="1:20">
      <c r="A490" s="74" t="str">
        <f t="shared" si="56"/>
        <v/>
      </c>
      <c r="B490" s="75" t="str">
        <f>IFERROR(INDEX(对接源_01入库吨位!$B$5:$B$304,MATCH(INT((ROW()-5)/3)+1,对接源_01入库吨位!$S$5:$S$304,0)),"")</f>
        <v/>
      </c>
      <c r="C490" s="75" t="str">
        <f>IFERROR(INDEX(对接源_01入库吨位!$C$5:$C$304,MATCH(INT((ROW()-5)/3)+1,对接源_01入库吨位!$S$5:$S$304,0)),"")</f>
        <v/>
      </c>
      <c r="D490" s="89" t="str">
        <f t="shared" si="57"/>
        <v/>
      </c>
      <c r="E490" s="42" t="str">
        <f>IF($B490="","",IFERROR(IF($D490="周转打冷",N(INDEX(对接源_01入库吨位!$D$5:$D$304,MATCH(INT((ROW()-5)/3)+1,对接源_01入库吨位!$S$5:$S$304,0))),IF($D490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0" s="76" t="str">
        <f>IF($B490="","",ROUND(IFERROR(IF($D490="周转打冷",N(INDEX(对接源_01入库吨位!$H$5:$H$304,MATCH(INT((ROW()-5)/3)+1,对接源_01入库吨位!$S$5:$S$304,0))),IF($D490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0" s="122" t="str">
        <f t="shared" si="58"/>
        <v/>
      </c>
      <c r="H490" s="43"/>
      <c r="I490" s="107"/>
      <c r="J490" s="123" t="str">
        <f t="shared" si="59"/>
        <v/>
      </c>
      <c r="K490" s="76" t="str">
        <f t="shared" si="60"/>
        <v/>
      </c>
      <c r="L490" s="43"/>
      <c r="M490" s="7"/>
      <c r="N490" s="106"/>
      <c r="R490" s="3" t="str">
        <f t="shared" si="61"/>
        <v/>
      </c>
      <c r="S490" s="3">
        <f t="shared" si="62"/>
        <v>0</v>
      </c>
      <c r="T490" s="3">
        <f t="shared" si="63"/>
        <v>13</v>
      </c>
    </row>
    <row r="491" spans="1:20">
      <c r="A491" s="74" t="str">
        <f t="shared" si="56"/>
        <v/>
      </c>
      <c r="B491" s="75" t="str">
        <f>IFERROR(INDEX(对接源_01入库吨位!$B$5:$B$304,MATCH(INT((ROW()-5)/3)+1,对接源_01入库吨位!$S$5:$S$304,0)),"")</f>
        <v/>
      </c>
      <c r="C491" s="75" t="str">
        <f>IFERROR(INDEX(对接源_01入库吨位!$C$5:$C$304,MATCH(INT((ROW()-5)/3)+1,对接源_01入库吨位!$S$5:$S$304,0)),"")</f>
        <v/>
      </c>
      <c r="D491" s="89" t="str">
        <f t="shared" si="57"/>
        <v/>
      </c>
      <c r="E491" s="42" t="str">
        <f>IF($B491="","",IFERROR(IF($D491="周转打冷",N(INDEX(对接源_01入库吨位!$D$5:$D$304,MATCH(INT((ROW()-5)/3)+1,对接源_01入库吨位!$S$5:$S$304,0))),IF($D491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1" s="76" t="str">
        <f>IF($B491="","",ROUND(IFERROR(IF($D491="周转打冷",N(INDEX(对接源_01入库吨位!$H$5:$H$304,MATCH(INT((ROW()-5)/3)+1,对接源_01入库吨位!$S$5:$S$304,0))),IF($D491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1" s="122" t="str">
        <f t="shared" si="58"/>
        <v/>
      </c>
      <c r="H491" s="43"/>
      <c r="I491" s="107"/>
      <c r="J491" s="123" t="str">
        <f t="shared" si="59"/>
        <v/>
      </c>
      <c r="K491" s="76" t="str">
        <f t="shared" si="60"/>
        <v/>
      </c>
      <c r="L491" s="43"/>
      <c r="M491" s="7"/>
      <c r="N491" s="106"/>
      <c r="R491" s="3" t="str">
        <f t="shared" si="61"/>
        <v/>
      </c>
      <c r="S491" s="3">
        <f t="shared" si="62"/>
        <v>0</v>
      </c>
      <c r="T491" s="3">
        <f t="shared" si="63"/>
        <v>13</v>
      </c>
    </row>
    <row r="492" spans="1:20">
      <c r="A492" s="74" t="str">
        <f t="shared" si="56"/>
        <v/>
      </c>
      <c r="B492" s="75" t="str">
        <f>IFERROR(INDEX(对接源_01入库吨位!$B$5:$B$304,MATCH(INT((ROW()-5)/3)+1,对接源_01入库吨位!$S$5:$S$304,0)),"")</f>
        <v/>
      </c>
      <c r="C492" s="75" t="str">
        <f>IFERROR(INDEX(对接源_01入库吨位!$C$5:$C$304,MATCH(INT((ROW()-5)/3)+1,对接源_01入库吨位!$S$5:$S$304,0)),"")</f>
        <v/>
      </c>
      <c r="D492" s="89" t="str">
        <f t="shared" si="57"/>
        <v/>
      </c>
      <c r="E492" s="42" t="str">
        <f>IF($B492="","",IFERROR(IF($D492="周转打冷",N(INDEX(对接源_01入库吨位!$D$5:$D$304,MATCH(INT((ROW()-5)/3)+1,对接源_01入库吨位!$S$5:$S$304,0))),IF($D492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2" s="76" t="str">
        <f>IF($B492="","",ROUND(IFERROR(IF($D492="周转打冷",N(INDEX(对接源_01入库吨位!$H$5:$H$304,MATCH(INT((ROW()-5)/3)+1,对接源_01入库吨位!$S$5:$S$304,0))),IF($D492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2" s="122" t="str">
        <f t="shared" si="58"/>
        <v/>
      </c>
      <c r="H492" s="43"/>
      <c r="I492" s="107"/>
      <c r="J492" s="123" t="str">
        <f t="shared" si="59"/>
        <v/>
      </c>
      <c r="K492" s="76" t="str">
        <f t="shared" si="60"/>
        <v/>
      </c>
      <c r="L492" s="43"/>
      <c r="M492" s="7"/>
      <c r="N492" s="106"/>
      <c r="R492" s="3" t="str">
        <f t="shared" si="61"/>
        <v/>
      </c>
      <c r="S492" s="3">
        <f t="shared" si="62"/>
        <v>0</v>
      </c>
      <c r="T492" s="3">
        <f t="shared" si="63"/>
        <v>13</v>
      </c>
    </row>
    <row r="493" spans="1:20">
      <c r="A493" s="74" t="str">
        <f t="shared" si="56"/>
        <v/>
      </c>
      <c r="B493" s="75" t="str">
        <f>IFERROR(INDEX(对接源_01入库吨位!$B$5:$B$304,MATCH(INT((ROW()-5)/3)+1,对接源_01入库吨位!$S$5:$S$304,0)),"")</f>
        <v/>
      </c>
      <c r="C493" s="75" t="str">
        <f>IFERROR(INDEX(对接源_01入库吨位!$C$5:$C$304,MATCH(INT((ROW()-5)/3)+1,对接源_01入库吨位!$S$5:$S$304,0)),"")</f>
        <v/>
      </c>
      <c r="D493" s="89" t="str">
        <f t="shared" si="57"/>
        <v/>
      </c>
      <c r="E493" s="42" t="str">
        <f>IF($B493="","",IFERROR(IF($D493="周转打冷",N(INDEX(对接源_01入库吨位!$D$5:$D$304,MATCH(INT((ROW()-5)/3)+1,对接源_01入库吨位!$S$5:$S$304,0))),IF($D493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3" s="76" t="str">
        <f>IF($B493="","",ROUND(IFERROR(IF($D493="周转打冷",N(INDEX(对接源_01入库吨位!$H$5:$H$304,MATCH(INT((ROW()-5)/3)+1,对接源_01入库吨位!$S$5:$S$304,0))),IF($D493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3" s="122" t="str">
        <f t="shared" si="58"/>
        <v/>
      </c>
      <c r="H493" s="43"/>
      <c r="I493" s="107"/>
      <c r="J493" s="123" t="str">
        <f t="shared" si="59"/>
        <v/>
      </c>
      <c r="K493" s="76" t="str">
        <f t="shared" si="60"/>
        <v/>
      </c>
      <c r="L493" s="43"/>
      <c r="M493" s="7"/>
      <c r="N493" s="106"/>
      <c r="R493" s="3" t="str">
        <f t="shared" si="61"/>
        <v/>
      </c>
      <c r="S493" s="3">
        <f t="shared" si="62"/>
        <v>0</v>
      </c>
      <c r="T493" s="3">
        <f t="shared" si="63"/>
        <v>13</v>
      </c>
    </row>
    <row r="494" spans="1:20">
      <c r="A494" s="74" t="str">
        <f t="shared" si="56"/>
        <v/>
      </c>
      <c r="B494" s="75" t="str">
        <f>IFERROR(INDEX(对接源_01入库吨位!$B$5:$B$304,MATCH(INT((ROW()-5)/3)+1,对接源_01入库吨位!$S$5:$S$304,0)),"")</f>
        <v/>
      </c>
      <c r="C494" s="75" t="str">
        <f>IFERROR(INDEX(对接源_01入库吨位!$C$5:$C$304,MATCH(INT((ROW()-5)/3)+1,对接源_01入库吨位!$S$5:$S$304,0)),"")</f>
        <v/>
      </c>
      <c r="D494" s="89" t="str">
        <f t="shared" si="57"/>
        <v/>
      </c>
      <c r="E494" s="42" t="str">
        <f>IF($B494="","",IFERROR(IF($D494="周转打冷",N(INDEX(对接源_01入库吨位!$D$5:$D$304,MATCH(INT((ROW()-5)/3)+1,对接源_01入库吨位!$S$5:$S$304,0))),IF($D494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4" s="76" t="str">
        <f>IF($B494="","",ROUND(IFERROR(IF($D494="周转打冷",N(INDEX(对接源_01入库吨位!$H$5:$H$304,MATCH(INT((ROW()-5)/3)+1,对接源_01入库吨位!$S$5:$S$304,0))),IF($D494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4" s="122" t="str">
        <f t="shared" si="58"/>
        <v/>
      </c>
      <c r="H494" s="43"/>
      <c r="I494" s="107"/>
      <c r="J494" s="123" t="str">
        <f t="shared" si="59"/>
        <v/>
      </c>
      <c r="K494" s="76" t="str">
        <f t="shared" si="60"/>
        <v/>
      </c>
      <c r="L494" s="43"/>
      <c r="M494" s="7"/>
      <c r="N494" s="106"/>
      <c r="R494" s="3" t="str">
        <f t="shared" si="61"/>
        <v/>
      </c>
      <c r="S494" s="3">
        <f t="shared" si="62"/>
        <v>0</v>
      </c>
      <c r="T494" s="3">
        <f t="shared" si="63"/>
        <v>13</v>
      </c>
    </row>
    <row r="495" spans="1:20">
      <c r="A495" s="74" t="str">
        <f t="shared" si="56"/>
        <v/>
      </c>
      <c r="B495" s="75" t="str">
        <f>IFERROR(INDEX(对接源_01入库吨位!$B$5:$B$304,MATCH(INT((ROW()-5)/3)+1,对接源_01入库吨位!$S$5:$S$304,0)),"")</f>
        <v/>
      </c>
      <c r="C495" s="75" t="str">
        <f>IFERROR(INDEX(对接源_01入库吨位!$C$5:$C$304,MATCH(INT((ROW()-5)/3)+1,对接源_01入库吨位!$S$5:$S$304,0)),"")</f>
        <v/>
      </c>
      <c r="D495" s="89" t="str">
        <f t="shared" si="57"/>
        <v/>
      </c>
      <c r="E495" s="42" t="str">
        <f>IF($B495="","",IFERROR(IF($D495="周转打冷",N(INDEX(对接源_01入库吨位!$D$5:$D$304,MATCH(INT((ROW()-5)/3)+1,对接源_01入库吨位!$S$5:$S$304,0))),IF($D495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5" s="76" t="str">
        <f>IF($B495="","",ROUND(IFERROR(IF($D495="周转打冷",N(INDEX(对接源_01入库吨位!$H$5:$H$304,MATCH(INT((ROW()-5)/3)+1,对接源_01入库吨位!$S$5:$S$304,0))),IF($D495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5" s="122" t="str">
        <f t="shared" si="58"/>
        <v/>
      </c>
      <c r="H495" s="43"/>
      <c r="I495" s="107"/>
      <c r="J495" s="123" t="str">
        <f t="shared" si="59"/>
        <v/>
      </c>
      <c r="K495" s="76" t="str">
        <f t="shared" si="60"/>
        <v/>
      </c>
      <c r="L495" s="43"/>
      <c r="M495" s="7"/>
      <c r="N495" s="106"/>
      <c r="R495" s="3" t="str">
        <f t="shared" si="61"/>
        <v/>
      </c>
      <c r="S495" s="3">
        <f t="shared" si="62"/>
        <v>0</v>
      </c>
      <c r="T495" s="3">
        <f t="shared" si="63"/>
        <v>13</v>
      </c>
    </row>
    <row r="496" spans="1:20">
      <c r="A496" s="74" t="str">
        <f t="shared" si="56"/>
        <v/>
      </c>
      <c r="B496" s="75" t="str">
        <f>IFERROR(INDEX(对接源_01入库吨位!$B$5:$B$304,MATCH(INT((ROW()-5)/3)+1,对接源_01入库吨位!$S$5:$S$304,0)),"")</f>
        <v/>
      </c>
      <c r="C496" s="75" t="str">
        <f>IFERROR(INDEX(对接源_01入库吨位!$C$5:$C$304,MATCH(INT((ROW()-5)/3)+1,对接源_01入库吨位!$S$5:$S$304,0)),"")</f>
        <v/>
      </c>
      <c r="D496" s="89" t="str">
        <f t="shared" si="57"/>
        <v/>
      </c>
      <c r="E496" s="42" t="str">
        <f>IF($B496="","",IFERROR(IF($D496="周转打冷",N(INDEX(对接源_01入库吨位!$D$5:$D$304,MATCH(INT((ROW()-5)/3)+1,对接源_01入库吨位!$S$5:$S$304,0))),IF($D496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6" s="76" t="str">
        <f>IF($B496="","",ROUND(IFERROR(IF($D496="周转打冷",N(INDEX(对接源_01入库吨位!$H$5:$H$304,MATCH(INT((ROW()-5)/3)+1,对接源_01入库吨位!$S$5:$S$304,0))),IF($D496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6" s="122" t="str">
        <f t="shared" si="58"/>
        <v/>
      </c>
      <c r="H496" s="43"/>
      <c r="I496" s="107"/>
      <c r="J496" s="123" t="str">
        <f t="shared" si="59"/>
        <v/>
      </c>
      <c r="K496" s="76" t="str">
        <f t="shared" si="60"/>
        <v/>
      </c>
      <c r="L496" s="43"/>
      <c r="M496" s="7"/>
      <c r="N496" s="106"/>
      <c r="R496" s="3" t="str">
        <f t="shared" si="61"/>
        <v/>
      </c>
      <c r="S496" s="3">
        <f t="shared" si="62"/>
        <v>0</v>
      </c>
      <c r="T496" s="3">
        <f t="shared" si="63"/>
        <v>13</v>
      </c>
    </row>
    <row r="497" spans="1:20">
      <c r="A497" s="74" t="str">
        <f t="shared" si="56"/>
        <v/>
      </c>
      <c r="B497" s="75" t="str">
        <f>IFERROR(INDEX(对接源_01入库吨位!$B$5:$B$304,MATCH(INT((ROW()-5)/3)+1,对接源_01入库吨位!$S$5:$S$304,0)),"")</f>
        <v/>
      </c>
      <c r="C497" s="75" t="str">
        <f>IFERROR(INDEX(对接源_01入库吨位!$C$5:$C$304,MATCH(INT((ROW()-5)/3)+1,对接源_01入库吨位!$S$5:$S$304,0)),"")</f>
        <v/>
      </c>
      <c r="D497" s="89" t="str">
        <f t="shared" si="57"/>
        <v/>
      </c>
      <c r="E497" s="42" t="str">
        <f>IF($B497="","",IFERROR(IF($D497="周转打冷",N(INDEX(对接源_01入库吨位!$D$5:$D$304,MATCH(INT((ROW()-5)/3)+1,对接源_01入库吨位!$S$5:$S$304,0))),IF($D497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7" s="76" t="str">
        <f>IF($B497="","",ROUND(IFERROR(IF($D497="周转打冷",N(INDEX(对接源_01入库吨位!$H$5:$H$304,MATCH(INT((ROW()-5)/3)+1,对接源_01入库吨位!$S$5:$S$304,0))),IF($D497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7" s="122" t="str">
        <f t="shared" si="58"/>
        <v/>
      </c>
      <c r="H497" s="43"/>
      <c r="I497" s="107"/>
      <c r="J497" s="123" t="str">
        <f t="shared" si="59"/>
        <v/>
      </c>
      <c r="K497" s="76" t="str">
        <f t="shared" si="60"/>
        <v/>
      </c>
      <c r="L497" s="43"/>
      <c r="M497" s="7"/>
      <c r="N497" s="106"/>
      <c r="R497" s="3" t="str">
        <f t="shared" si="61"/>
        <v/>
      </c>
      <c r="S497" s="3">
        <f t="shared" si="62"/>
        <v>0</v>
      </c>
      <c r="T497" s="3">
        <f t="shared" si="63"/>
        <v>13</v>
      </c>
    </row>
    <row r="498" spans="1:20">
      <c r="A498" s="74" t="str">
        <f t="shared" si="56"/>
        <v/>
      </c>
      <c r="B498" s="75" t="str">
        <f>IFERROR(INDEX(对接源_01入库吨位!$B$5:$B$304,MATCH(INT((ROW()-5)/3)+1,对接源_01入库吨位!$S$5:$S$304,0)),"")</f>
        <v/>
      </c>
      <c r="C498" s="75" t="str">
        <f>IFERROR(INDEX(对接源_01入库吨位!$C$5:$C$304,MATCH(INT((ROW()-5)/3)+1,对接源_01入库吨位!$S$5:$S$304,0)),"")</f>
        <v/>
      </c>
      <c r="D498" s="89" t="str">
        <f t="shared" si="57"/>
        <v/>
      </c>
      <c r="E498" s="42" t="str">
        <f>IF($B498="","",IFERROR(IF($D498="周转打冷",N(INDEX(对接源_01入库吨位!$D$5:$D$304,MATCH(INT((ROW()-5)/3)+1,对接源_01入库吨位!$S$5:$S$304,0))),IF($D498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8" s="76" t="str">
        <f>IF($B498="","",ROUND(IFERROR(IF($D498="周转打冷",N(INDEX(对接源_01入库吨位!$H$5:$H$304,MATCH(INT((ROW()-5)/3)+1,对接源_01入库吨位!$S$5:$S$304,0))),IF($D498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8" s="122" t="str">
        <f t="shared" si="58"/>
        <v/>
      </c>
      <c r="H498" s="43"/>
      <c r="I498" s="107"/>
      <c r="J498" s="123" t="str">
        <f t="shared" si="59"/>
        <v/>
      </c>
      <c r="K498" s="76" t="str">
        <f t="shared" si="60"/>
        <v/>
      </c>
      <c r="L498" s="43"/>
      <c r="M498" s="7"/>
      <c r="N498" s="106"/>
      <c r="R498" s="3" t="str">
        <f t="shared" si="61"/>
        <v/>
      </c>
      <c r="S498" s="3">
        <f t="shared" si="62"/>
        <v>0</v>
      </c>
      <c r="T498" s="3">
        <f t="shared" si="63"/>
        <v>13</v>
      </c>
    </row>
    <row r="499" spans="1:20">
      <c r="A499" s="74" t="str">
        <f t="shared" si="56"/>
        <v/>
      </c>
      <c r="B499" s="75" t="str">
        <f>IFERROR(INDEX(对接源_01入库吨位!$B$5:$B$304,MATCH(INT((ROW()-5)/3)+1,对接源_01入库吨位!$S$5:$S$304,0)),"")</f>
        <v/>
      </c>
      <c r="C499" s="75" t="str">
        <f>IFERROR(INDEX(对接源_01入库吨位!$C$5:$C$304,MATCH(INT((ROW()-5)/3)+1,对接源_01入库吨位!$S$5:$S$304,0)),"")</f>
        <v/>
      </c>
      <c r="D499" s="89" t="str">
        <f t="shared" si="57"/>
        <v/>
      </c>
      <c r="E499" s="42" t="str">
        <f>IF($B499="","",IFERROR(IF($D499="周转打冷",N(INDEX(对接源_01入库吨位!$D$5:$D$304,MATCH(INT((ROW()-5)/3)+1,对接源_01入库吨位!$S$5:$S$304,0))),IF($D499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9" s="76" t="str">
        <f>IF($B499="","",ROUND(IFERROR(IF($D499="周转打冷",N(INDEX(对接源_01入库吨位!$H$5:$H$304,MATCH(INT((ROW()-5)/3)+1,对接源_01入库吨位!$S$5:$S$304,0))),IF($D499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9" s="122" t="str">
        <f t="shared" si="58"/>
        <v/>
      </c>
      <c r="H499" s="43"/>
      <c r="I499" s="107"/>
      <c r="J499" s="123" t="str">
        <f t="shared" si="59"/>
        <v/>
      </c>
      <c r="K499" s="76" t="str">
        <f t="shared" si="60"/>
        <v/>
      </c>
      <c r="L499" s="43"/>
      <c r="M499" s="7"/>
      <c r="N499" s="106"/>
      <c r="R499" s="3" t="str">
        <f t="shared" si="61"/>
        <v/>
      </c>
      <c r="S499" s="3">
        <f t="shared" si="62"/>
        <v>0</v>
      </c>
      <c r="T499" s="3">
        <f t="shared" si="63"/>
        <v>13</v>
      </c>
    </row>
    <row r="500" spans="1:20">
      <c r="A500" s="74" t="str">
        <f t="shared" si="56"/>
        <v/>
      </c>
      <c r="B500" s="75" t="str">
        <f>IFERROR(INDEX(对接源_01入库吨位!$B$5:$B$304,MATCH(INT((ROW()-5)/3)+1,对接源_01入库吨位!$S$5:$S$304,0)),"")</f>
        <v/>
      </c>
      <c r="C500" s="75" t="str">
        <f>IFERROR(INDEX(对接源_01入库吨位!$C$5:$C$304,MATCH(INT((ROW()-5)/3)+1,对接源_01入库吨位!$S$5:$S$304,0)),"")</f>
        <v/>
      </c>
      <c r="D500" s="89" t="str">
        <f t="shared" si="57"/>
        <v/>
      </c>
      <c r="E500" s="42" t="str">
        <f>IF($B500="","",IFERROR(IF($D500="周转打冷",N(INDEX(对接源_01入库吨位!$D$5:$D$304,MATCH(INT((ROW()-5)/3)+1,对接源_01入库吨位!$S$5:$S$304,0))),IF($D500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0" s="76" t="str">
        <f>IF($B500="","",ROUND(IFERROR(IF($D500="周转打冷",N(INDEX(对接源_01入库吨位!$H$5:$H$304,MATCH(INT((ROW()-5)/3)+1,对接源_01入库吨位!$S$5:$S$304,0))),IF($D500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0" s="122" t="str">
        <f t="shared" si="58"/>
        <v/>
      </c>
      <c r="H500" s="43"/>
      <c r="I500" s="107"/>
      <c r="J500" s="123" t="str">
        <f t="shared" si="59"/>
        <v/>
      </c>
      <c r="K500" s="76" t="str">
        <f t="shared" si="60"/>
        <v/>
      </c>
      <c r="L500" s="43"/>
      <c r="M500" s="7"/>
      <c r="N500" s="106"/>
      <c r="R500" s="3" t="str">
        <f t="shared" si="61"/>
        <v/>
      </c>
      <c r="S500" s="3">
        <f t="shared" si="62"/>
        <v>0</v>
      </c>
      <c r="T500" s="3">
        <f t="shared" si="63"/>
        <v>13</v>
      </c>
    </row>
    <row r="501" spans="1:20">
      <c r="A501" s="74" t="str">
        <f t="shared" si="56"/>
        <v/>
      </c>
      <c r="B501" s="75" t="str">
        <f>IFERROR(INDEX(对接源_01入库吨位!$B$5:$B$304,MATCH(INT((ROW()-5)/3)+1,对接源_01入库吨位!$S$5:$S$304,0)),"")</f>
        <v/>
      </c>
      <c r="C501" s="75" t="str">
        <f>IFERROR(INDEX(对接源_01入库吨位!$C$5:$C$304,MATCH(INT((ROW()-5)/3)+1,对接源_01入库吨位!$S$5:$S$304,0)),"")</f>
        <v/>
      </c>
      <c r="D501" s="89" t="str">
        <f t="shared" si="57"/>
        <v/>
      </c>
      <c r="E501" s="42" t="str">
        <f>IF($B501="","",IFERROR(IF($D501="周转打冷",N(INDEX(对接源_01入库吨位!$D$5:$D$304,MATCH(INT((ROW()-5)/3)+1,对接源_01入库吨位!$S$5:$S$304,0))),IF($D501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1" s="76" t="str">
        <f>IF($B501="","",ROUND(IFERROR(IF($D501="周转打冷",N(INDEX(对接源_01入库吨位!$H$5:$H$304,MATCH(INT((ROW()-5)/3)+1,对接源_01入库吨位!$S$5:$S$304,0))),IF($D501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1" s="122" t="str">
        <f t="shared" si="58"/>
        <v/>
      </c>
      <c r="H501" s="43"/>
      <c r="I501" s="107"/>
      <c r="J501" s="123" t="str">
        <f t="shared" si="59"/>
        <v/>
      </c>
      <c r="K501" s="76" t="str">
        <f t="shared" si="60"/>
        <v/>
      </c>
      <c r="L501" s="43"/>
      <c r="M501" s="7"/>
      <c r="N501" s="106"/>
      <c r="R501" s="3" t="str">
        <f t="shared" si="61"/>
        <v/>
      </c>
      <c r="S501" s="3">
        <f t="shared" si="62"/>
        <v>0</v>
      </c>
      <c r="T501" s="3">
        <f t="shared" si="63"/>
        <v>13</v>
      </c>
    </row>
    <row r="502" spans="1:20">
      <c r="A502" s="74" t="str">
        <f t="shared" si="56"/>
        <v/>
      </c>
      <c r="B502" s="75" t="str">
        <f>IFERROR(INDEX(对接源_01入库吨位!$B$5:$B$304,MATCH(INT((ROW()-5)/3)+1,对接源_01入库吨位!$S$5:$S$304,0)),"")</f>
        <v/>
      </c>
      <c r="C502" s="75" t="str">
        <f>IFERROR(INDEX(对接源_01入库吨位!$C$5:$C$304,MATCH(INT((ROW()-5)/3)+1,对接源_01入库吨位!$S$5:$S$304,0)),"")</f>
        <v/>
      </c>
      <c r="D502" s="89" t="str">
        <f t="shared" si="57"/>
        <v/>
      </c>
      <c r="E502" s="42" t="str">
        <f>IF($B502="","",IFERROR(IF($D502="周转打冷",N(INDEX(对接源_01入库吨位!$D$5:$D$304,MATCH(INT((ROW()-5)/3)+1,对接源_01入库吨位!$S$5:$S$304,0))),IF($D502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2" s="76" t="str">
        <f>IF($B502="","",ROUND(IFERROR(IF($D502="周转打冷",N(INDEX(对接源_01入库吨位!$H$5:$H$304,MATCH(INT((ROW()-5)/3)+1,对接源_01入库吨位!$S$5:$S$304,0))),IF($D502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2" s="122" t="str">
        <f t="shared" si="58"/>
        <v/>
      </c>
      <c r="H502" s="43"/>
      <c r="I502" s="107"/>
      <c r="J502" s="123" t="str">
        <f t="shared" si="59"/>
        <v/>
      </c>
      <c r="K502" s="76" t="str">
        <f t="shared" si="60"/>
        <v/>
      </c>
      <c r="L502" s="43"/>
      <c r="M502" s="7"/>
      <c r="N502" s="106"/>
      <c r="R502" s="3" t="str">
        <f t="shared" si="61"/>
        <v/>
      </c>
      <c r="S502" s="3">
        <f t="shared" si="62"/>
        <v>0</v>
      </c>
      <c r="T502" s="3">
        <f t="shared" si="63"/>
        <v>13</v>
      </c>
    </row>
    <row r="503" spans="1:20">
      <c r="A503" s="74" t="str">
        <f t="shared" si="56"/>
        <v/>
      </c>
      <c r="B503" s="75" t="str">
        <f>IFERROR(INDEX(对接源_01入库吨位!$B$5:$B$304,MATCH(INT((ROW()-5)/3)+1,对接源_01入库吨位!$S$5:$S$304,0)),"")</f>
        <v/>
      </c>
      <c r="C503" s="75" t="str">
        <f>IFERROR(INDEX(对接源_01入库吨位!$C$5:$C$304,MATCH(INT((ROW()-5)/3)+1,对接源_01入库吨位!$S$5:$S$304,0)),"")</f>
        <v/>
      </c>
      <c r="D503" s="89" t="str">
        <f t="shared" si="57"/>
        <v/>
      </c>
      <c r="E503" s="42" t="str">
        <f>IF($B503="","",IFERROR(IF($D503="周转打冷",N(INDEX(对接源_01入库吨位!$D$5:$D$304,MATCH(INT((ROW()-5)/3)+1,对接源_01入库吨位!$S$5:$S$304,0))),IF($D503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3" s="76" t="str">
        <f>IF($B503="","",ROUND(IFERROR(IF($D503="周转打冷",N(INDEX(对接源_01入库吨位!$H$5:$H$304,MATCH(INT((ROW()-5)/3)+1,对接源_01入库吨位!$S$5:$S$304,0))),IF($D503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3" s="122" t="str">
        <f t="shared" si="58"/>
        <v/>
      </c>
      <c r="H503" s="43"/>
      <c r="I503" s="107"/>
      <c r="J503" s="123" t="str">
        <f t="shared" si="59"/>
        <v/>
      </c>
      <c r="K503" s="76" t="str">
        <f t="shared" si="60"/>
        <v/>
      </c>
      <c r="L503" s="43"/>
      <c r="M503" s="7"/>
      <c r="N503" s="106"/>
      <c r="R503" s="3" t="str">
        <f t="shared" si="61"/>
        <v/>
      </c>
      <c r="S503" s="3">
        <f t="shared" si="62"/>
        <v>0</v>
      </c>
      <c r="T503" s="3">
        <f t="shared" si="63"/>
        <v>13</v>
      </c>
    </row>
    <row r="504" spans="1:20">
      <c r="A504" s="74" t="str">
        <f t="shared" si="56"/>
        <v/>
      </c>
      <c r="B504" s="75" t="str">
        <f>IFERROR(INDEX(对接源_01入库吨位!$B$5:$B$304,MATCH(INT((ROW()-5)/3)+1,对接源_01入库吨位!$S$5:$S$304,0)),"")</f>
        <v/>
      </c>
      <c r="C504" s="75" t="str">
        <f>IFERROR(INDEX(对接源_01入库吨位!$C$5:$C$304,MATCH(INT((ROW()-5)/3)+1,对接源_01入库吨位!$S$5:$S$304,0)),"")</f>
        <v/>
      </c>
      <c r="D504" s="89" t="str">
        <f t="shared" si="57"/>
        <v/>
      </c>
      <c r="E504" s="42" t="str">
        <f>IF($B504="","",IFERROR(IF($D504="周转打冷",N(INDEX(对接源_01入库吨位!$D$5:$D$304,MATCH(INT((ROW()-5)/3)+1,对接源_01入库吨位!$S$5:$S$304,0))),IF($D504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4" s="76" t="str">
        <f>IF($B504="","",ROUND(IFERROR(IF($D504="周转打冷",N(INDEX(对接源_01入库吨位!$H$5:$H$304,MATCH(INT((ROW()-5)/3)+1,对接源_01入库吨位!$S$5:$S$304,0))),IF($D504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4" s="122" t="str">
        <f t="shared" si="58"/>
        <v/>
      </c>
      <c r="H504" s="43"/>
      <c r="I504" s="107"/>
      <c r="J504" s="123" t="str">
        <f t="shared" si="59"/>
        <v/>
      </c>
      <c r="K504" s="76" t="str">
        <f t="shared" si="60"/>
        <v/>
      </c>
      <c r="L504" s="43"/>
      <c r="M504" s="7"/>
      <c r="N504" s="106"/>
      <c r="R504" s="3" t="str">
        <f t="shared" si="61"/>
        <v/>
      </c>
      <c r="S504" s="3">
        <f t="shared" si="62"/>
        <v>0</v>
      </c>
      <c r="T504" s="3">
        <f t="shared" si="63"/>
        <v>13</v>
      </c>
    </row>
    <row r="505" spans="1:20">
      <c r="A505" s="74" t="str">
        <f t="shared" si="56"/>
        <v/>
      </c>
      <c r="B505" s="75" t="str">
        <f>IFERROR(INDEX(对接源_01入库吨位!$B$5:$B$304,MATCH(INT((ROW()-5)/3)+1,对接源_01入库吨位!$S$5:$S$304,0)),"")</f>
        <v/>
      </c>
      <c r="C505" s="75" t="str">
        <f>IFERROR(INDEX(对接源_01入库吨位!$C$5:$C$304,MATCH(INT((ROW()-5)/3)+1,对接源_01入库吨位!$S$5:$S$304,0)),"")</f>
        <v/>
      </c>
      <c r="D505" s="89" t="str">
        <f t="shared" si="57"/>
        <v/>
      </c>
      <c r="E505" s="42" t="str">
        <f>IF($B505="","",IFERROR(IF($D505="周转打冷",N(INDEX(对接源_01入库吨位!$D$5:$D$304,MATCH(INT((ROW()-5)/3)+1,对接源_01入库吨位!$S$5:$S$304,0))),IF($D505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5" s="76" t="str">
        <f>IF($B505="","",ROUND(IFERROR(IF($D505="周转打冷",N(INDEX(对接源_01入库吨位!$H$5:$H$304,MATCH(INT((ROW()-5)/3)+1,对接源_01入库吨位!$S$5:$S$304,0))),IF($D505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5" s="122" t="str">
        <f t="shared" si="58"/>
        <v/>
      </c>
      <c r="H505" s="43"/>
      <c r="I505" s="107"/>
      <c r="J505" s="123" t="str">
        <f t="shared" si="59"/>
        <v/>
      </c>
      <c r="K505" s="76" t="str">
        <f t="shared" si="60"/>
        <v/>
      </c>
      <c r="L505" s="43"/>
      <c r="M505" s="7"/>
      <c r="N505" s="106"/>
      <c r="R505" s="3" t="str">
        <f t="shared" si="61"/>
        <v/>
      </c>
      <c r="S505" s="3">
        <f t="shared" si="62"/>
        <v>0</v>
      </c>
      <c r="T505" s="3">
        <f t="shared" si="63"/>
        <v>13</v>
      </c>
    </row>
    <row r="506" spans="1:20">
      <c r="A506" s="74" t="str">
        <f t="shared" si="56"/>
        <v/>
      </c>
      <c r="B506" s="75" t="str">
        <f>IFERROR(INDEX(对接源_01入库吨位!$B$5:$B$304,MATCH(INT((ROW()-5)/3)+1,对接源_01入库吨位!$S$5:$S$304,0)),"")</f>
        <v/>
      </c>
      <c r="C506" s="75" t="str">
        <f>IFERROR(INDEX(对接源_01入库吨位!$C$5:$C$304,MATCH(INT((ROW()-5)/3)+1,对接源_01入库吨位!$S$5:$S$304,0)),"")</f>
        <v/>
      </c>
      <c r="D506" s="89" t="str">
        <f t="shared" si="57"/>
        <v/>
      </c>
      <c r="E506" s="42" t="str">
        <f>IF($B506="","",IFERROR(IF($D506="周转打冷",N(INDEX(对接源_01入库吨位!$D$5:$D$304,MATCH(INT((ROW()-5)/3)+1,对接源_01入库吨位!$S$5:$S$304,0))),IF($D506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6" s="76" t="str">
        <f>IF($B506="","",ROUND(IFERROR(IF($D506="周转打冷",N(INDEX(对接源_01入库吨位!$H$5:$H$304,MATCH(INT((ROW()-5)/3)+1,对接源_01入库吨位!$S$5:$S$304,0))),IF($D506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6" s="122" t="str">
        <f t="shared" si="58"/>
        <v/>
      </c>
      <c r="H506" s="43"/>
      <c r="I506" s="107"/>
      <c r="J506" s="123" t="str">
        <f t="shared" si="59"/>
        <v/>
      </c>
      <c r="K506" s="76" t="str">
        <f t="shared" si="60"/>
        <v/>
      </c>
      <c r="L506" s="43"/>
      <c r="M506" s="7"/>
      <c r="N506" s="106"/>
      <c r="R506" s="3" t="str">
        <f t="shared" si="61"/>
        <v/>
      </c>
      <c r="S506" s="3">
        <f t="shared" si="62"/>
        <v>0</v>
      </c>
      <c r="T506" s="3">
        <f t="shared" si="63"/>
        <v>13</v>
      </c>
    </row>
    <row r="507" spans="1:20">
      <c r="A507" s="74" t="str">
        <f t="shared" si="56"/>
        <v/>
      </c>
      <c r="B507" s="75" t="str">
        <f>IFERROR(INDEX(对接源_01入库吨位!$B$5:$B$304,MATCH(INT((ROW()-5)/3)+1,对接源_01入库吨位!$S$5:$S$304,0)),"")</f>
        <v/>
      </c>
      <c r="C507" s="75" t="str">
        <f>IFERROR(INDEX(对接源_01入库吨位!$C$5:$C$304,MATCH(INT((ROW()-5)/3)+1,对接源_01入库吨位!$S$5:$S$304,0)),"")</f>
        <v/>
      </c>
      <c r="D507" s="89" t="str">
        <f t="shared" si="57"/>
        <v/>
      </c>
      <c r="E507" s="42" t="str">
        <f>IF($B507="","",IFERROR(IF($D507="周转打冷",N(INDEX(对接源_01入库吨位!$D$5:$D$304,MATCH(INT((ROW()-5)/3)+1,对接源_01入库吨位!$S$5:$S$304,0))),IF($D507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7" s="76" t="str">
        <f>IF($B507="","",ROUND(IFERROR(IF($D507="周转打冷",N(INDEX(对接源_01入库吨位!$H$5:$H$304,MATCH(INT((ROW()-5)/3)+1,对接源_01入库吨位!$S$5:$S$304,0))),IF($D507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7" s="122" t="str">
        <f t="shared" si="58"/>
        <v/>
      </c>
      <c r="H507" s="43"/>
      <c r="I507" s="107"/>
      <c r="J507" s="123" t="str">
        <f t="shared" si="59"/>
        <v/>
      </c>
      <c r="K507" s="76" t="str">
        <f t="shared" si="60"/>
        <v/>
      </c>
      <c r="L507" s="43"/>
      <c r="M507" s="7"/>
      <c r="N507" s="106"/>
      <c r="R507" s="3" t="str">
        <f t="shared" si="61"/>
        <v/>
      </c>
      <c r="S507" s="3">
        <f t="shared" si="62"/>
        <v>0</v>
      </c>
      <c r="T507" s="3">
        <f t="shared" si="63"/>
        <v>13</v>
      </c>
    </row>
    <row r="508" spans="1:20">
      <c r="A508" s="74" t="str">
        <f t="shared" si="56"/>
        <v/>
      </c>
      <c r="B508" s="75" t="str">
        <f>IFERROR(INDEX(对接源_01入库吨位!$B$5:$B$304,MATCH(INT((ROW()-5)/3)+1,对接源_01入库吨位!$S$5:$S$304,0)),"")</f>
        <v/>
      </c>
      <c r="C508" s="75" t="str">
        <f>IFERROR(INDEX(对接源_01入库吨位!$C$5:$C$304,MATCH(INT((ROW()-5)/3)+1,对接源_01入库吨位!$S$5:$S$304,0)),"")</f>
        <v/>
      </c>
      <c r="D508" s="89" t="str">
        <f t="shared" si="57"/>
        <v/>
      </c>
      <c r="E508" s="42" t="str">
        <f>IF($B508="","",IFERROR(IF($D508="周转打冷",N(INDEX(对接源_01入库吨位!$D$5:$D$304,MATCH(INT((ROW()-5)/3)+1,对接源_01入库吨位!$S$5:$S$304,0))),IF($D508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8" s="76" t="str">
        <f>IF($B508="","",ROUND(IFERROR(IF($D508="周转打冷",N(INDEX(对接源_01入库吨位!$H$5:$H$304,MATCH(INT((ROW()-5)/3)+1,对接源_01入库吨位!$S$5:$S$304,0))),IF($D508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8" s="122" t="str">
        <f t="shared" si="58"/>
        <v/>
      </c>
      <c r="H508" s="43"/>
      <c r="I508" s="107"/>
      <c r="J508" s="123" t="str">
        <f t="shared" si="59"/>
        <v/>
      </c>
      <c r="K508" s="76" t="str">
        <f t="shared" si="60"/>
        <v/>
      </c>
      <c r="L508" s="43"/>
      <c r="M508" s="7"/>
      <c r="N508" s="106"/>
      <c r="R508" s="3" t="str">
        <f t="shared" si="61"/>
        <v/>
      </c>
      <c r="S508" s="3">
        <f t="shared" si="62"/>
        <v>0</v>
      </c>
      <c r="T508" s="3">
        <f t="shared" si="63"/>
        <v>13</v>
      </c>
    </row>
    <row r="509" spans="1:20">
      <c r="A509" s="74" t="str">
        <f t="shared" si="56"/>
        <v/>
      </c>
      <c r="B509" s="75" t="str">
        <f>IFERROR(INDEX(对接源_01入库吨位!$B$5:$B$304,MATCH(INT((ROW()-5)/3)+1,对接源_01入库吨位!$S$5:$S$304,0)),"")</f>
        <v/>
      </c>
      <c r="C509" s="75" t="str">
        <f>IFERROR(INDEX(对接源_01入库吨位!$C$5:$C$304,MATCH(INT((ROW()-5)/3)+1,对接源_01入库吨位!$S$5:$S$304,0)),"")</f>
        <v/>
      </c>
      <c r="D509" s="89" t="str">
        <f t="shared" si="57"/>
        <v/>
      </c>
      <c r="E509" s="42" t="str">
        <f>IF($B509="","",IFERROR(IF($D509="周转打冷",N(INDEX(对接源_01入库吨位!$D$5:$D$304,MATCH(INT((ROW()-5)/3)+1,对接源_01入库吨位!$S$5:$S$304,0))),IF($D509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9" s="76" t="str">
        <f>IF($B509="","",ROUND(IFERROR(IF($D509="周转打冷",N(INDEX(对接源_01入库吨位!$H$5:$H$304,MATCH(INT((ROW()-5)/3)+1,对接源_01入库吨位!$S$5:$S$304,0))),IF($D509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9" s="122" t="str">
        <f t="shared" si="58"/>
        <v/>
      </c>
      <c r="H509" s="43"/>
      <c r="I509" s="107"/>
      <c r="J509" s="123" t="str">
        <f t="shared" si="59"/>
        <v/>
      </c>
      <c r="K509" s="76" t="str">
        <f t="shared" si="60"/>
        <v/>
      </c>
      <c r="L509" s="43"/>
      <c r="M509" s="7"/>
      <c r="N509" s="106"/>
      <c r="R509" s="3" t="str">
        <f t="shared" si="61"/>
        <v/>
      </c>
      <c r="S509" s="3">
        <f t="shared" si="62"/>
        <v>0</v>
      </c>
      <c r="T509" s="3">
        <f t="shared" si="63"/>
        <v>13</v>
      </c>
    </row>
    <row r="510" spans="1:20">
      <c r="A510" s="74" t="str">
        <f t="shared" si="56"/>
        <v/>
      </c>
      <c r="B510" s="75" t="str">
        <f>IFERROR(INDEX(对接源_01入库吨位!$B$5:$B$304,MATCH(INT((ROW()-5)/3)+1,对接源_01入库吨位!$S$5:$S$304,0)),"")</f>
        <v/>
      </c>
      <c r="C510" s="75" t="str">
        <f>IFERROR(INDEX(对接源_01入库吨位!$C$5:$C$304,MATCH(INT((ROW()-5)/3)+1,对接源_01入库吨位!$S$5:$S$304,0)),"")</f>
        <v/>
      </c>
      <c r="D510" s="89" t="str">
        <f t="shared" si="57"/>
        <v/>
      </c>
      <c r="E510" s="42" t="str">
        <f>IF($B510="","",IFERROR(IF($D510="周转打冷",N(INDEX(对接源_01入库吨位!$D$5:$D$304,MATCH(INT((ROW()-5)/3)+1,对接源_01入库吨位!$S$5:$S$304,0))),IF($D510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0" s="76" t="str">
        <f>IF($B510="","",ROUND(IFERROR(IF($D510="周转打冷",N(INDEX(对接源_01入库吨位!$H$5:$H$304,MATCH(INT((ROW()-5)/3)+1,对接源_01入库吨位!$S$5:$S$304,0))),IF($D510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0" s="122" t="str">
        <f t="shared" si="58"/>
        <v/>
      </c>
      <c r="H510" s="43"/>
      <c r="I510" s="107"/>
      <c r="J510" s="123" t="str">
        <f t="shared" si="59"/>
        <v/>
      </c>
      <c r="K510" s="76" t="str">
        <f t="shared" si="60"/>
        <v/>
      </c>
      <c r="L510" s="43"/>
      <c r="M510" s="7"/>
      <c r="N510" s="106"/>
      <c r="R510" s="3" t="str">
        <f t="shared" si="61"/>
        <v/>
      </c>
      <c r="S510" s="3">
        <f t="shared" si="62"/>
        <v>0</v>
      </c>
      <c r="T510" s="3">
        <f t="shared" si="63"/>
        <v>13</v>
      </c>
    </row>
    <row r="511" spans="1:20">
      <c r="A511" s="74" t="str">
        <f t="shared" si="56"/>
        <v/>
      </c>
      <c r="B511" s="75" t="str">
        <f>IFERROR(INDEX(对接源_01入库吨位!$B$5:$B$304,MATCH(INT((ROW()-5)/3)+1,对接源_01入库吨位!$S$5:$S$304,0)),"")</f>
        <v/>
      </c>
      <c r="C511" s="75" t="str">
        <f>IFERROR(INDEX(对接源_01入库吨位!$C$5:$C$304,MATCH(INT((ROW()-5)/3)+1,对接源_01入库吨位!$S$5:$S$304,0)),"")</f>
        <v/>
      </c>
      <c r="D511" s="89" t="str">
        <f t="shared" si="57"/>
        <v/>
      </c>
      <c r="E511" s="42" t="str">
        <f>IF($B511="","",IFERROR(IF($D511="周转打冷",N(INDEX(对接源_01入库吨位!$D$5:$D$304,MATCH(INT((ROW()-5)/3)+1,对接源_01入库吨位!$S$5:$S$304,0))),IF($D511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1" s="76" t="str">
        <f>IF($B511="","",ROUND(IFERROR(IF($D511="周转打冷",N(INDEX(对接源_01入库吨位!$H$5:$H$304,MATCH(INT((ROW()-5)/3)+1,对接源_01入库吨位!$S$5:$S$304,0))),IF($D511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1" s="122" t="str">
        <f t="shared" si="58"/>
        <v/>
      </c>
      <c r="H511" s="43"/>
      <c r="I511" s="107"/>
      <c r="J511" s="123" t="str">
        <f t="shared" si="59"/>
        <v/>
      </c>
      <c r="K511" s="76" t="str">
        <f t="shared" si="60"/>
        <v/>
      </c>
      <c r="L511" s="43"/>
      <c r="M511" s="7"/>
      <c r="N511" s="106"/>
      <c r="R511" s="3" t="str">
        <f t="shared" si="61"/>
        <v/>
      </c>
      <c r="S511" s="3">
        <f t="shared" si="62"/>
        <v>0</v>
      </c>
      <c r="T511" s="3">
        <f t="shared" si="63"/>
        <v>13</v>
      </c>
    </row>
    <row r="512" spans="1:20">
      <c r="A512" s="74" t="str">
        <f t="shared" si="56"/>
        <v/>
      </c>
      <c r="B512" s="75" t="str">
        <f>IFERROR(INDEX(对接源_01入库吨位!$B$5:$B$304,MATCH(INT((ROW()-5)/3)+1,对接源_01入库吨位!$S$5:$S$304,0)),"")</f>
        <v/>
      </c>
      <c r="C512" s="75" t="str">
        <f>IFERROR(INDEX(对接源_01入库吨位!$C$5:$C$304,MATCH(INT((ROW()-5)/3)+1,对接源_01入库吨位!$S$5:$S$304,0)),"")</f>
        <v/>
      </c>
      <c r="D512" s="89" t="str">
        <f t="shared" si="57"/>
        <v/>
      </c>
      <c r="E512" s="42" t="str">
        <f>IF($B512="","",IFERROR(IF($D512="周转打冷",N(INDEX(对接源_01入库吨位!$D$5:$D$304,MATCH(INT((ROW()-5)/3)+1,对接源_01入库吨位!$S$5:$S$304,0))),IF($D512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2" s="76" t="str">
        <f>IF($B512="","",ROUND(IFERROR(IF($D512="周转打冷",N(INDEX(对接源_01入库吨位!$H$5:$H$304,MATCH(INT((ROW()-5)/3)+1,对接源_01入库吨位!$S$5:$S$304,0))),IF($D512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2" s="122" t="str">
        <f t="shared" si="58"/>
        <v/>
      </c>
      <c r="H512" s="43"/>
      <c r="I512" s="107"/>
      <c r="J512" s="123" t="str">
        <f t="shared" si="59"/>
        <v/>
      </c>
      <c r="K512" s="76" t="str">
        <f t="shared" si="60"/>
        <v/>
      </c>
      <c r="L512" s="43"/>
      <c r="M512" s="7"/>
      <c r="N512" s="106"/>
      <c r="R512" s="3" t="str">
        <f t="shared" si="61"/>
        <v/>
      </c>
      <c r="S512" s="3">
        <f t="shared" si="62"/>
        <v>0</v>
      </c>
      <c r="T512" s="3">
        <f t="shared" si="63"/>
        <v>13</v>
      </c>
    </row>
    <row r="513" spans="1:20">
      <c r="A513" s="74" t="str">
        <f t="shared" si="56"/>
        <v/>
      </c>
      <c r="B513" s="75" t="str">
        <f>IFERROR(INDEX(对接源_01入库吨位!$B$5:$B$304,MATCH(INT((ROW()-5)/3)+1,对接源_01入库吨位!$S$5:$S$304,0)),"")</f>
        <v/>
      </c>
      <c r="C513" s="75" t="str">
        <f>IFERROR(INDEX(对接源_01入库吨位!$C$5:$C$304,MATCH(INT((ROW()-5)/3)+1,对接源_01入库吨位!$S$5:$S$304,0)),"")</f>
        <v/>
      </c>
      <c r="D513" s="89" t="str">
        <f t="shared" si="57"/>
        <v/>
      </c>
      <c r="E513" s="42" t="str">
        <f>IF($B513="","",IFERROR(IF($D513="周转打冷",N(INDEX(对接源_01入库吨位!$D$5:$D$304,MATCH(INT((ROW()-5)/3)+1,对接源_01入库吨位!$S$5:$S$304,0))),IF($D513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3" s="76" t="str">
        <f>IF($B513="","",ROUND(IFERROR(IF($D513="周转打冷",N(INDEX(对接源_01入库吨位!$H$5:$H$304,MATCH(INT((ROW()-5)/3)+1,对接源_01入库吨位!$S$5:$S$304,0))),IF($D513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3" s="122" t="str">
        <f t="shared" si="58"/>
        <v/>
      </c>
      <c r="H513" s="43"/>
      <c r="I513" s="107"/>
      <c r="J513" s="123" t="str">
        <f t="shared" si="59"/>
        <v/>
      </c>
      <c r="K513" s="76" t="str">
        <f t="shared" si="60"/>
        <v/>
      </c>
      <c r="L513" s="43"/>
      <c r="M513" s="7"/>
      <c r="N513" s="106"/>
      <c r="R513" s="3" t="str">
        <f t="shared" si="61"/>
        <v/>
      </c>
      <c r="S513" s="3">
        <f t="shared" si="62"/>
        <v>0</v>
      </c>
      <c r="T513" s="3">
        <f t="shared" si="63"/>
        <v>13</v>
      </c>
    </row>
    <row r="514" spans="1:20">
      <c r="A514" s="74" t="str">
        <f t="shared" si="56"/>
        <v/>
      </c>
      <c r="B514" s="75" t="str">
        <f>IFERROR(INDEX(对接源_01入库吨位!$B$5:$B$304,MATCH(INT((ROW()-5)/3)+1,对接源_01入库吨位!$S$5:$S$304,0)),"")</f>
        <v/>
      </c>
      <c r="C514" s="75" t="str">
        <f>IFERROR(INDEX(对接源_01入库吨位!$C$5:$C$304,MATCH(INT((ROW()-5)/3)+1,对接源_01入库吨位!$S$5:$S$304,0)),"")</f>
        <v/>
      </c>
      <c r="D514" s="89" t="str">
        <f t="shared" si="57"/>
        <v/>
      </c>
      <c r="E514" s="42" t="str">
        <f>IF($B514="","",IFERROR(IF($D514="周转打冷",N(INDEX(对接源_01入库吨位!$D$5:$D$304,MATCH(INT((ROW()-5)/3)+1,对接源_01入库吨位!$S$5:$S$304,0))),IF($D514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4" s="76" t="str">
        <f>IF($B514="","",ROUND(IFERROR(IF($D514="周转打冷",N(INDEX(对接源_01入库吨位!$H$5:$H$304,MATCH(INT((ROW()-5)/3)+1,对接源_01入库吨位!$S$5:$S$304,0))),IF($D514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4" s="122" t="str">
        <f t="shared" si="58"/>
        <v/>
      </c>
      <c r="H514" s="43"/>
      <c r="I514" s="107"/>
      <c r="J514" s="123" t="str">
        <f t="shared" si="59"/>
        <v/>
      </c>
      <c r="K514" s="76" t="str">
        <f t="shared" si="60"/>
        <v/>
      </c>
      <c r="L514" s="43"/>
      <c r="M514" s="7"/>
      <c r="N514" s="106"/>
      <c r="R514" s="3" t="str">
        <f t="shared" si="61"/>
        <v/>
      </c>
      <c r="S514" s="3">
        <f t="shared" si="62"/>
        <v>0</v>
      </c>
      <c r="T514" s="3">
        <f t="shared" si="63"/>
        <v>13</v>
      </c>
    </row>
    <row r="515" spans="1:20">
      <c r="A515" s="74" t="str">
        <f t="shared" si="56"/>
        <v/>
      </c>
      <c r="B515" s="75" t="str">
        <f>IFERROR(INDEX(对接源_01入库吨位!$B$5:$B$304,MATCH(INT((ROW()-5)/3)+1,对接源_01入库吨位!$S$5:$S$304,0)),"")</f>
        <v/>
      </c>
      <c r="C515" s="75" t="str">
        <f>IFERROR(INDEX(对接源_01入库吨位!$C$5:$C$304,MATCH(INT((ROW()-5)/3)+1,对接源_01入库吨位!$S$5:$S$304,0)),"")</f>
        <v/>
      </c>
      <c r="D515" s="89" t="str">
        <f t="shared" si="57"/>
        <v/>
      </c>
      <c r="E515" s="42" t="str">
        <f>IF($B515="","",IFERROR(IF($D515="周转打冷",N(INDEX(对接源_01入库吨位!$D$5:$D$304,MATCH(INT((ROW()-5)/3)+1,对接源_01入库吨位!$S$5:$S$304,0))),IF($D515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5" s="76" t="str">
        <f>IF($B515="","",ROUND(IFERROR(IF($D515="周转打冷",N(INDEX(对接源_01入库吨位!$H$5:$H$304,MATCH(INT((ROW()-5)/3)+1,对接源_01入库吨位!$S$5:$S$304,0))),IF($D515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5" s="122" t="str">
        <f t="shared" si="58"/>
        <v/>
      </c>
      <c r="H515" s="43"/>
      <c r="I515" s="107"/>
      <c r="J515" s="123" t="str">
        <f t="shared" si="59"/>
        <v/>
      </c>
      <c r="K515" s="76" t="str">
        <f t="shared" si="60"/>
        <v/>
      </c>
      <c r="L515" s="43"/>
      <c r="M515" s="7"/>
      <c r="N515" s="106"/>
      <c r="R515" s="3" t="str">
        <f t="shared" si="61"/>
        <v/>
      </c>
      <c r="S515" s="3">
        <f t="shared" si="62"/>
        <v>0</v>
      </c>
      <c r="T515" s="3">
        <f t="shared" si="63"/>
        <v>13</v>
      </c>
    </row>
    <row r="516" spans="1:20">
      <c r="A516" s="74" t="str">
        <f t="shared" si="56"/>
        <v/>
      </c>
      <c r="B516" s="75" t="str">
        <f>IFERROR(INDEX(对接源_01入库吨位!$B$5:$B$304,MATCH(INT((ROW()-5)/3)+1,对接源_01入库吨位!$S$5:$S$304,0)),"")</f>
        <v/>
      </c>
      <c r="C516" s="75" t="str">
        <f>IFERROR(INDEX(对接源_01入库吨位!$C$5:$C$304,MATCH(INT((ROW()-5)/3)+1,对接源_01入库吨位!$S$5:$S$304,0)),"")</f>
        <v/>
      </c>
      <c r="D516" s="89" t="str">
        <f t="shared" si="57"/>
        <v/>
      </c>
      <c r="E516" s="42" t="str">
        <f>IF($B516="","",IFERROR(IF($D516="周转打冷",N(INDEX(对接源_01入库吨位!$D$5:$D$304,MATCH(INT((ROW()-5)/3)+1,对接源_01入库吨位!$S$5:$S$304,0))),IF($D516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6" s="76" t="str">
        <f>IF($B516="","",ROUND(IFERROR(IF($D516="周转打冷",N(INDEX(对接源_01入库吨位!$H$5:$H$304,MATCH(INT((ROW()-5)/3)+1,对接源_01入库吨位!$S$5:$S$304,0))),IF($D516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6" s="122" t="str">
        <f t="shared" si="58"/>
        <v/>
      </c>
      <c r="H516" s="43"/>
      <c r="I516" s="107"/>
      <c r="J516" s="123" t="str">
        <f t="shared" si="59"/>
        <v/>
      </c>
      <c r="K516" s="76" t="str">
        <f t="shared" si="60"/>
        <v/>
      </c>
      <c r="L516" s="43"/>
      <c r="M516" s="7"/>
      <c r="N516" s="106"/>
      <c r="R516" s="3" t="str">
        <f t="shared" si="61"/>
        <v/>
      </c>
      <c r="S516" s="3">
        <f t="shared" si="62"/>
        <v>0</v>
      </c>
      <c r="T516" s="3">
        <f t="shared" si="63"/>
        <v>13</v>
      </c>
    </row>
    <row r="517" spans="1:20">
      <c r="A517" s="74" t="str">
        <f t="shared" ref="A517:A580" si="64">IF($B517="","",ROW()-4)</f>
        <v/>
      </c>
      <c r="B517" s="75" t="str">
        <f>IFERROR(INDEX(对接源_01入库吨位!$B$5:$B$304,MATCH(INT((ROW()-5)/3)+1,对接源_01入库吨位!$S$5:$S$304,0)),"")</f>
        <v/>
      </c>
      <c r="C517" s="75" t="str">
        <f>IFERROR(INDEX(对接源_01入库吨位!$C$5:$C$304,MATCH(INT((ROW()-5)/3)+1,对接源_01入库吨位!$S$5:$S$304,0)),"")</f>
        <v/>
      </c>
      <c r="D517" s="89" t="str">
        <f t="shared" ref="D517:D580" si="65">IF($B517="","",IF(MOD(ROW()-5,3)=0,"周转打冷",IF(MOD(ROW()-5,3)=1,"仓储加工","装卸费")))</f>
        <v/>
      </c>
      <c r="E517" s="42" t="str">
        <f>IF($B517="","",IFERROR(IF($D517="周转打冷",N(INDEX(对接源_01入库吨位!$D$5:$D$304,MATCH(INT((ROW()-5)/3)+1,对接源_01入库吨位!$S$5:$S$304,0))),IF($D517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7" s="76" t="str">
        <f>IF($B517="","",ROUND(IFERROR(IF($D517="周转打冷",N(INDEX(对接源_01入库吨位!$H$5:$H$304,MATCH(INT((ROW()-5)/3)+1,对接源_01入库吨位!$S$5:$S$304,0))),IF($D517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7" s="122" t="str">
        <f t="shared" ref="G517:G580" si="66">IF($B517="","",ROUND(N($F517)/1000,3))</f>
        <v/>
      </c>
      <c r="H517" s="43"/>
      <c r="I517" s="107"/>
      <c r="J517" s="123" t="str">
        <f t="shared" ref="J517:J580" si="67">IF($B517="","",IF($H517="按筐数×单价",N($E517),IF($H517="按总重KG×单价",N($F517),IF($H517="按吨位×单价",N($G517),0))))</f>
        <v/>
      </c>
      <c r="K517" s="76" t="str">
        <f t="shared" ref="K517:K580" si="68">IF($B517="","",ROUND(N($J517)*N($I517),2))</f>
        <v/>
      </c>
      <c r="L517" s="43"/>
      <c r="M517" s="7"/>
      <c r="N517" s="106"/>
      <c r="R517" s="3" t="str">
        <f t="shared" ref="R517:R580" si="69">IF($B517="","",$B517)</f>
        <v/>
      </c>
      <c r="S517" s="3">
        <f t="shared" ref="S517:S580" si="70">IF($R517="",0,IF(MATCH($R517,$R$5:$R$904,0)=ROW()-4,1,0))</f>
        <v>0</v>
      </c>
      <c r="T517" s="3">
        <f t="shared" ref="T517:T580" si="71">N(T516)+$S517</f>
        <v>13</v>
      </c>
    </row>
    <row r="518" spans="1:20">
      <c r="A518" s="74" t="str">
        <f t="shared" si="64"/>
        <v/>
      </c>
      <c r="B518" s="75" t="str">
        <f>IFERROR(INDEX(对接源_01入库吨位!$B$5:$B$304,MATCH(INT((ROW()-5)/3)+1,对接源_01入库吨位!$S$5:$S$304,0)),"")</f>
        <v/>
      </c>
      <c r="C518" s="75" t="str">
        <f>IFERROR(INDEX(对接源_01入库吨位!$C$5:$C$304,MATCH(INT((ROW()-5)/3)+1,对接源_01入库吨位!$S$5:$S$304,0)),"")</f>
        <v/>
      </c>
      <c r="D518" s="89" t="str">
        <f t="shared" si="65"/>
        <v/>
      </c>
      <c r="E518" s="42" t="str">
        <f>IF($B518="","",IFERROR(IF($D518="周转打冷",N(INDEX(对接源_01入库吨位!$D$5:$D$304,MATCH(INT((ROW()-5)/3)+1,对接源_01入库吨位!$S$5:$S$304,0))),IF($D518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8" s="76" t="str">
        <f>IF($B518="","",ROUND(IFERROR(IF($D518="周转打冷",N(INDEX(对接源_01入库吨位!$H$5:$H$304,MATCH(INT((ROW()-5)/3)+1,对接源_01入库吨位!$S$5:$S$304,0))),IF($D518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8" s="122" t="str">
        <f t="shared" si="66"/>
        <v/>
      </c>
      <c r="H518" s="43"/>
      <c r="I518" s="107"/>
      <c r="J518" s="123" t="str">
        <f t="shared" si="67"/>
        <v/>
      </c>
      <c r="K518" s="76" t="str">
        <f t="shared" si="68"/>
        <v/>
      </c>
      <c r="L518" s="43"/>
      <c r="M518" s="7"/>
      <c r="N518" s="106"/>
      <c r="R518" s="3" t="str">
        <f t="shared" si="69"/>
        <v/>
      </c>
      <c r="S518" s="3">
        <f t="shared" si="70"/>
        <v>0</v>
      </c>
      <c r="T518" s="3">
        <f t="shared" si="71"/>
        <v>13</v>
      </c>
    </row>
    <row r="519" spans="1:20">
      <c r="A519" s="74" t="str">
        <f t="shared" si="64"/>
        <v/>
      </c>
      <c r="B519" s="75" t="str">
        <f>IFERROR(INDEX(对接源_01入库吨位!$B$5:$B$304,MATCH(INT((ROW()-5)/3)+1,对接源_01入库吨位!$S$5:$S$304,0)),"")</f>
        <v/>
      </c>
      <c r="C519" s="75" t="str">
        <f>IFERROR(INDEX(对接源_01入库吨位!$C$5:$C$304,MATCH(INT((ROW()-5)/3)+1,对接源_01入库吨位!$S$5:$S$304,0)),"")</f>
        <v/>
      </c>
      <c r="D519" s="89" t="str">
        <f t="shared" si="65"/>
        <v/>
      </c>
      <c r="E519" s="42" t="str">
        <f>IF($B519="","",IFERROR(IF($D519="周转打冷",N(INDEX(对接源_01入库吨位!$D$5:$D$304,MATCH(INT((ROW()-5)/3)+1,对接源_01入库吨位!$S$5:$S$304,0))),IF($D519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9" s="76" t="str">
        <f>IF($B519="","",ROUND(IFERROR(IF($D519="周转打冷",N(INDEX(对接源_01入库吨位!$H$5:$H$304,MATCH(INT((ROW()-5)/3)+1,对接源_01入库吨位!$S$5:$S$304,0))),IF($D519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9" s="122" t="str">
        <f t="shared" si="66"/>
        <v/>
      </c>
      <c r="H519" s="43"/>
      <c r="I519" s="107"/>
      <c r="J519" s="123" t="str">
        <f t="shared" si="67"/>
        <v/>
      </c>
      <c r="K519" s="76" t="str">
        <f t="shared" si="68"/>
        <v/>
      </c>
      <c r="L519" s="43"/>
      <c r="M519" s="7"/>
      <c r="N519" s="106"/>
      <c r="R519" s="3" t="str">
        <f t="shared" si="69"/>
        <v/>
      </c>
      <c r="S519" s="3">
        <f t="shared" si="70"/>
        <v>0</v>
      </c>
      <c r="T519" s="3">
        <f t="shared" si="71"/>
        <v>13</v>
      </c>
    </row>
    <row r="520" spans="1:20">
      <c r="A520" s="74" t="str">
        <f t="shared" si="64"/>
        <v/>
      </c>
      <c r="B520" s="75" t="str">
        <f>IFERROR(INDEX(对接源_01入库吨位!$B$5:$B$304,MATCH(INT((ROW()-5)/3)+1,对接源_01入库吨位!$S$5:$S$304,0)),"")</f>
        <v/>
      </c>
      <c r="C520" s="75" t="str">
        <f>IFERROR(INDEX(对接源_01入库吨位!$C$5:$C$304,MATCH(INT((ROW()-5)/3)+1,对接源_01入库吨位!$S$5:$S$304,0)),"")</f>
        <v/>
      </c>
      <c r="D520" s="89" t="str">
        <f t="shared" si="65"/>
        <v/>
      </c>
      <c r="E520" s="42" t="str">
        <f>IF($B520="","",IFERROR(IF($D520="周转打冷",N(INDEX(对接源_01入库吨位!$D$5:$D$304,MATCH(INT((ROW()-5)/3)+1,对接源_01入库吨位!$S$5:$S$304,0))),IF($D520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0" s="76" t="str">
        <f>IF($B520="","",ROUND(IFERROR(IF($D520="周转打冷",N(INDEX(对接源_01入库吨位!$H$5:$H$304,MATCH(INT((ROW()-5)/3)+1,对接源_01入库吨位!$S$5:$S$304,0))),IF($D520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0" s="122" t="str">
        <f t="shared" si="66"/>
        <v/>
      </c>
      <c r="H520" s="43"/>
      <c r="I520" s="107"/>
      <c r="J520" s="123" t="str">
        <f t="shared" si="67"/>
        <v/>
      </c>
      <c r="K520" s="76" t="str">
        <f t="shared" si="68"/>
        <v/>
      </c>
      <c r="L520" s="43"/>
      <c r="M520" s="7"/>
      <c r="N520" s="106"/>
      <c r="R520" s="3" t="str">
        <f t="shared" si="69"/>
        <v/>
      </c>
      <c r="S520" s="3">
        <f t="shared" si="70"/>
        <v>0</v>
      </c>
      <c r="T520" s="3">
        <f t="shared" si="71"/>
        <v>13</v>
      </c>
    </row>
    <row r="521" spans="1:20">
      <c r="A521" s="74" t="str">
        <f t="shared" si="64"/>
        <v/>
      </c>
      <c r="B521" s="75" t="str">
        <f>IFERROR(INDEX(对接源_01入库吨位!$B$5:$B$304,MATCH(INT((ROW()-5)/3)+1,对接源_01入库吨位!$S$5:$S$304,0)),"")</f>
        <v/>
      </c>
      <c r="C521" s="75" t="str">
        <f>IFERROR(INDEX(对接源_01入库吨位!$C$5:$C$304,MATCH(INT((ROW()-5)/3)+1,对接源_01入库吨位!$S$5:$S$304,0)),"")</f>
        <v/>
      </c>
      <c r="D521" s="89" t="str">
        <f t="shared" si="65"/>
        <v/>
      </c>
      <c r="E521" s="42" t="str">
        <f>IF($B521="","",IFERROR(IF($D521="周转打冷",N(INDEX(对接源_01入库吨位!$D$5:$D$304,MATCH(INT((ROW()-5)/3)+1,对接源_01入库吨位!$S$5:$S$304,0))),IF($D521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1" s="76" t="str">
        <f>IF($B521="","",ROUND(IFERROR(IF($D521="周转打冷",N(INDEX(对接源_01入库吨位!$H$5:$H$304,MATCH(INT((ROW()-5)/3)+1,对接源_01入库吨位!$S$5:$S$304,0))),IF($D521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1" s="122" t="str">
        <f t="shared" si="66"/>
        <v/>
      </c>
      <c r="H521" s="43"/>
      <c r="I521" s="107"/>
      <c r="J521" s="123" t="str">
        <f t="shared" si="67"/>
        <v/>
      </c>
      <c r="K521" s="76" t="str">
        <f t="shared" si="68"/>
        <v/>
      </c>
      <c r="L521" s="43"/>
      <c r="M521" s="7"/>
      <c r="N521" s="106"/>
      <c r="R521" s="3" t="str">
        <f t="shared" si="69"/>
        <v/>
      </c>
      <c r="S521" s="3">
        <f t="shared" si="70"/>
        <v>0</v>
      </c>
      <c r="T521" s="3">
        <f t="shared" si="71"/>
        <v>13</v>
      </c>
    </row>
    <row r="522" spans="1:20">
      <c r="A522" s="74" t="str">
        <f t="shared" si="64"/>
        <v/>
      </c>
      <c r="B522" s="75" t="str">
        <f>IFERROR(INDEX(对接源_01入库吨位!$B$5:$B$304,MATCH(INT((ROW()-5)/3)+1,对接源_01入库吨位!$S$5:$S$304,0)),"")</f>
        <v/>
      </c>
      <c r="C522" s="75" t="str">
        <f>IFERROR(INDEX(对接源_01入库吨位!$C$5:$C$304,MATCH(INT((ROW()-5)/3)+1,对接源_01入库吨位!$S$5:$S$304,0)),"")</f>
        <v/>
      </c>
      <c r="D522" s="89" t="str">
        <f t="shared" si="65"/>
        <v/>
      </c>
      <c r="E522" s="42" t="str">
        <f>IF($B522="","",IFERROR(IF($D522="周转打冷",N(INDEX(对接源_01入库吨位!$D$5:$D$304,MATCH(INT((ROW()-5)/3)+1,对接源_01入库吨位!$S$5:$S$304,0))),IF($D522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2" s="76" t="str">
        <f>IF($B522="","",ROUND(IFERROR(IF($D522="周转打冷",N(INDEX(对接源_01入库吨位!$H$5:$H$304,MATCH(INT((ROW()-5)/3)+1,对接源_01入库吨位!$S$5:$S$304,0))),IF($D522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2" s="122" t="str">
        <f t="shared" si="66"/>
        <v/>
      </c>
      <c r="H522" s="43"/>
      <c r="I522" s="107"/>
      <c r="J522" s="123" t="str">
        <f t="shared" si="67"/>
        <v/>
      </c>
      <c r="K522" s="76" t="str">
        <f t="shared" si="68"/>
        <v/>
      </c>
      <c r="L522" s="43"/>
      <c r="M522" s="7"/>
      <c r="N522" s="106"/>
      <c r="R522" s="3" t="str">
        <f t="shared" si="69"/>
        <v/>
      </c>
      <c r="S522" s="3">
        <f t="shared" si="70"/>
        <v>0</v>
      </c>
      <c r="T522" s="3">
        <f t="shared" si="71"/>
        <v>13</v>
      </c>
    </row>
    <row r="523" spans="1:20">
      <c r="A523" s="74" t="str">
        <f t="shared" si="64"/>
        <v/>
      </c>
      <c r="B523" s="75" t="str">
        <f>IFERROR(INDEX(对接源_01入库吨位!$B$5:$B$304,MATCH(INT((ROW()-5)/3)+1,对接源_01入库吨位!$S$5:$S$304,0)),"")</f>
        <v/>
      </c>
      <c r="C523" s="75" t="str">
        <f>IFERROR(INDEX(对接源_01入库吨位!$C$5:$C$304,MATCH(INT((ROW()-5)/3)+1,对接源_01入库吨位!$S$5:$S$304,0)),"")</f>
        <v/>
      </c>
      <c r="D523" s="89" t="str">
        <f t="shared" si="65"/>
        <v/>
      </c>
      <c r="E523" s="42" t="str">
        <f>IF($B523="","",IFERROR(IF($D523="周转打冷",N(INDEX(对接源_01入库吨位!$D$5:$D$304,MATCH(INT((ROW()-5)/3)+1,对接源_01入库吨位!$S$5:$S$304,0))),IF($D523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3" s="76" t="str">
        <f>IF($B523="","",ROUND(IFERROR(IF($D523="周转打冷",N(INDEX(对接源_01入库吨位!$H$5:$H$304,MATCH(INT((ROW()-5)/3)+1,对接源_01入库吨位!$S$5:$S$304,0))),IF($D523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3" s="122" t="str">
        <f t="shared" si="66"/>
        <v/>
      </c>
      <c r="H523" s="43"/>
      <c r="I523" s="107"/>
      <c r="J523" s="123" t="str">
        <f t="shared" si="67"/>
        <v/>
      </c>
      <c r="K523" s="76" t="str">
        <f t="shared" si="68"/>
        <v/>
      </c>
      <c r="L523" s="43"/>
      <c r="M523" s="7"/>
      <c r="N523" s="106"/>
      <c r="R523" s="3" t="str">
        <f t="shared" si="69"/>
        <v/>
      </c>
      <c r="S523" s="3">
        <f t="shared" si="70"/>
        <v>0</v>
      </c>
      <c r="T523" s="3">
        <f t="shared" si="71"/>
        <v>13</v>
      </c>
    </row>
    <row r="524" spans="1:20">
      <c r="A524" s="74" t="str">
        <f t="shared" si="64"/>
        <v/>
      </c>
      <c r="B524" s="75" t="str">
        <f>IFERROR(INDEX(对接源_01入库吨位!$B$5:$B$304,MATCH(INT((ROW()-5)/3)+1,对接源_01入库吨位!$S$5:$S$304,0)),"")</f>
        <v/>
      </c>
      <c r="C524" s="75" t="str">
        <f>IFERROR(INDEX(对接源_01入库吨位!$C$5:$C$304,MATCH(INT((ROW()-5)/3)+1,对接源_01入库吨位!$S$5:$S$304,0)),"")</f>
        <v/>
      </c>
      <c r="D524" s="89" t="str">
        <f t="shared" si="65"/>
        <v/>
      </c>
      <c r="E524" s="42" t="str">
        <f>IF($B524="","",IFERROR(IF($D524="周转打冷",N(INDEX(对接源_01入库吨位!$D$5:$D$304,MATCH(INT((ROW()-5)/3)+1,对接源_01入库吨位!$S$5:$S$304,0))),IF($D524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4" s="76" t="str">
        <f>IF($B524="","",ROUND(IFERROR(IF($D524="周转打冷",N(INDEX(对接源_01入库吨位!$H$5:$H$304,MATCH(INT((ROW()-5)/3)+1,对接源_01入库吨位!$S$5:$S$304,0))),IF($D524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4" s="122" t="str">
        <f t="shared" si="66"/>
        <v/>
      </c>
      <c r="H524" s="43"/>
      <c r="I524" s="107"/>
      <c r="J524" s="123" t="str">
        <f t="shared" si="67"/>
        <v/>
      </c>
      <c r="K524" s="76" t="str">
        <f t="shared" si="68"/>
        <v/>
      </c>
      <c r="L524" s="43"/>
      <c r="M524" s="7"/>
      <c r="N524" s="106"/>
      <c r="R524" s="3" t="str">
        <f t="shared" si="69"/>
        <v/>
      </c>
      <c r="S524" s="3">
        <f t="shared" si="70"/>
        <v>0</v>
      </c>
      <c r="T524" s="3">
        <f t="shared" si="71"/>
        <v>13</v>
      </c>
    </row>
    <row r="525" spans="1:20">
      <c r="A525" s="74" t="str">
        <f t="shared" si="64"/>
        <v/>
      </c>
      <c r="B525" s="75" t="str">
        <f>IFERROR(INDEX(对接源_01入库吨位!$B$5:$B$304,MATCH(INT((ROW()-5)/3)+1,对接源_01入库吨位!$S$5:$S$304,0)),"")</f>
        <v/>
      </c>
      <c r="C525" s="75" t="str">
        <f>IFERROR(INDEX(对接源_01入库吨位!$C$5:$C$304,MATCH(INT((ROW()-5)/3)+1,对接源_01入库吨位!$S$5:$S$304,0)),"")</f>
        <v/>
      </c>
      <c r="D525" s="89" t="str">
        <f t="shared" si="65"/>
        <v/>
      </c>
      <c r="E525" s="42" t="str">
        <f>IF($B525="","",IFERROR(IF($D525="周转打冷",N(INDEX(对接源_01入库吨位!$D$5:$D$304,MATCH(INT((ROW()-5)/3)+1,对接源_01入库吨位!$S$5:$S$304,0))),IF($D525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5" s="76" t="str">
        <f>IF($B525="","",ROUND(IFERROR(IF($D525="周转打冷",N(INDEX(对接源_01入库吨位!$H$5:$H$304,MATCH(INT((ROW()-5)/3)+1,对接源_01入库吨位!$S$5:$S$304,0))),IF($D525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5" s="122" t="str">
        <f t="shared" si="66"/>
        <v/>
      </c>
      <c r="H525" s="43"/>
      <c r="I525" s="107"/>
      <c r="J525" s="123" t="str">
        <f t="shared" si="67"/>
        <v/>
      </c>
      <c r="K525" s="76" t="str">
        <f t="shared" si="68"/>
        <v/>
      </c>
      <c r="L525" s="43"/>
      <c r="M525" s="7"/>
      <c r="N525" s="106"/>
      <c r="R525" s="3" t="str">
        <f t="shared" si="69"/>
        <v/>
      </c>
      <c r="S525" s="3">
        <f t="shared" si="70"/>
        <v>0</v>
      </c>
      <c r="T525" s="3">
        <f t="shared" si="71"/>
        <v>13</v>
      </c>
    </row>
    <row r="526" spans="1:20">
      <c r="A526" s="74" t="str">
        <f t="shared" si="64"/>
        <v/>
      </c>
      <c r="B526" s="75" t="str">
        <f>IFERROR(INDEX(对接源_01入库吨位!$B$5:$B$304,MATCH(INT((ROW()-5)/3)+1,对接源_01入库吨位!$S$5:$S$304,0)),"")</f>
        <v/>
      </c>
      <c r="C526" s="75" t="str">
        <f>IFERROR(INDEX(对接源_01入库吨位!$C$5:$C$304,MATCH(INT((ROW()-5)/3)+1,对接源_01入库吨位!$S$5:$S$304,0)),"")</f>
        <v/>
      </c>
      <c r="D526" s="89" t="str">
        <f t="shared" si="65"/>
        <v/>
      </c>
      <c r="E526" s="42" t="str">
        <f>IF($B526="","",IFERROR(IF($D526="周转打冷",N(INDEX(对接源_01入库吨位!$D$5:$D$304,MATCH(INT((ROW()-5)/3)+1,对接源_01入库吨位!$S$5:$S$304,0))),IF($D526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6" s="76" t="str">
        <f>IF($B526="","",ROUND(IFERROR(IF($D526="周转打冷",N(INDEX(对接源_01入库吨位!$H$5:$H$304,MATCH(INT((ROW()-5)/3)+1,对接源_01入库吨位!$S$5:$S$304,0))),IF($D526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6" s="122" t="str">
        <f t="shared" si="66"/>
        <v/>
      </c>
      <c r="H526" s="43"/>
      <c r="I526" s="107"/>
      <c r="J526" s="123" t="str">
        <f t="shared" si="67"/>
        <v/>
      </c>
      <c r="K526" s="76" t="str">
        <f t="shared" si="68"/>
        <v/>
      </c>
      <c r="L526" s="43"/>
      <c r="M526" s="7"/>
      <c r="N526" s="106"/>
      <c r="R526" s="3" t="str">
        <f t="shared" si="69"/>
        <v/>
      </c>
      <c r="S526" s="3">
        <f t="shared" si="70"/>
        <v>0</v>
      </c>
      <c r="T526" s="3">
        <f t="shared" si="71"/>
        <v>13</v>
      </c>
    </row>
    <row r="527" spans="1:20">
      <c r="A527" s="74" t="str">
        <f t="shared" si="64"/>
        <v/>
      </c>
      <c r="B527" s="75" t="str">
        <f>IFERROR(INDEX(对接源_01入库吨位!$B$5:$B$304,MATCH(INT((ROW()-5)/3)+1,对接源_01入库吨位!$S$5:$S$304,0)),"")</f>
        <v/>
      </c>
      <c r="C527" s="75" t="str">
        <f>IFERROR(INDEX(对接源_01入库吨位!$C$5:$C$304,MATCH(INT((ROW()-5)/3)+1,对接源_01入库吨位!$S$5:$S$304,0)),"")</f>
        <v/>
      </c>
      <c r="D527" s="89" t="str">
        <f t="shared" si="65"/>
        <v/>
      </c>
      <c r="E527" s="42" t="str">
        <f>IF($B527="","",IFERROR(IF($D527="周转打冷",N(INDEX(对接源_01入库吨位!$D$5:$D$304,MATCH(INT((ROW()-5)/3)+1,对接源_01入库吨位!$S$5:$S$304,0))),IF($D527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7" s="76" t="str">
        <f>IF($B527="","",ROUND(IFERROR(IF($D527="周转打冷",N(INDEX(对接源_01入库吨位!$H$5:$H$304,MATCH(INT((ROW()-5)/3)+1,对接源_01入库吨位!$S$5:$S$304,0))),IF($D527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7" s="122" t="str">
        <f t="shared" si="66"/>
        <v/>
      </c>
      <c r="H527" s="43"/>
      <c r="I527" s="107"/>
      <c r="J527" s="123" t="str">
        <f t="shared" si="67"/>
        <v/>
      </c>
      <c r="K527" s="76" t="str">
        <f t="shared" si="68"/>
        <v/>
      </c>
      <c r="L527" s="43"/>
      <c r="M527" s="7"/>
      <c r="N527" s="106"/>
      <c r="R527" s="3" t="str">
        <f t="shared" si="69"/>
        <v/>
      </c>
      <c r="S527" s="3">
        <f t="shared" si="70"/>
        <v>0</v>
      </c>
      <c r="T527" s="3">
        <f t="shared" si="71"/>
        <v>13</v>
      </c>
    </row>
    <row r="528" spans="1:20">
      <c r="A528" s="74" t="str">
        <f t="shared" si="64"/>
        <v/>
      </c>
      <c r="B528" s="75" t="str">
        <f>IFERROR(INDEX(对接源_01入库吨位!$B$5:$B$304,MATCH(INT((ROW()-5)/3)+1,对接源_01入库吨位!$S$5:$S$304,0)),"")</f>
        <v/>
      </c>
      <c r="C528" s="75" t="str">
        <f>IFERROR(INDEX(对接源_01入库吨位!$C$5:$C$304,MATCH(INT((ROW()-5)/3)+1,对接源_01入库吨位!$S$5:$S$304,0)),"")</f>
        <v/>
      </c>
      <c r="D528" s="89" t="str">
        <f t="shared" si="65"/>
        <v/>
      </c>
      <c r="E528" s="42" t="str">
        <f>IF($B528="","",IFERROR(IF($D528="周转打冷",N(INDEX(对接源_01入库吨位!$D$5:$D$304,MATCH(INT((ROW()-5)/3)+1,对接源_01入库吨位!$S$5:$S$304,0))),IF($D528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8" s="76" t="str">
        <f>IF($B528="","",ROUND(IFERROR(IF($D528="周转打冷",N(INDEX(对接源_01入库吨位!$H$5:$H$304,MATCH(INT((ROW()-5)/3)+1,对接源_01入库吨位!$S$5:$S$304,0))),IF($D528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8" s="122" t="str">
        <f t="shared" si="66"/>
        <v/>
      </c>
      <c r="H528" s="43"/>
      <c r="I528" s="107"/>
      <c r="J528" s="123" t="str">
        <f t="shared" si="67"/>
        <v/>
      </c>
      <c r="K528" s="76" t="str">
        <f t="shared" si="68"/>
        <v/>
      </c>
      <c r="L528" s="43"/>
      <c r="M528" s="7"/>
      <c r="N528" s="106"/>
      <c r="R528" s="3" t="str">
        <f t="shared" si="69"/>
        <v/>
      </c>
      <c r="S528" s="3">
        <f t="shared" si="70"/>
        <v>0</v>
      </c>
      <c r="T528" s="3">
        <f t="shared" si="71"/>
        <v>13</v>
      </c>
    </row>
    <row r="529" spans="1:20">
      <c r="A529" s="74" t="str">
        <f t="shared" si="64"/>
        <v/>
      </c>
      <c r="B529" s="75" t="str">
        <f>IFERROR(INDEX(对接源_01入库吨位!$B$5:$B$304,MATCH(INT((ROW()-5)/3)+1,对接源_01入库吨位!$S$5:$S$304,0)),"")</f>
        <v/>
      </c>
      <c r="C529" s="75" t="str">
        <f>IFERROR(INDEX(对接源_01入库吨位!$C$5:$C$304,MATCH(INT((ROW()-5)/3)+1,对接源_01入库吨位!$S$5:$S$304,0)),"")</f>
        <v/>
      </c>
      <c r="D529" s="89" t="str">
        <f t="shared" si="65"/>
        <v/>
      </c>
      <c r="E529" s="42" t="str">
        <f>IF($B529="","",IFERROR(IF($D529="周转打冷",N(INDEX(对接源_01入库吨位!$D$5:$D$304,MATCH(INT((ROW()-5)/3)+1,对接源_01入库吨位!$S$5:$S$304,0))),IF($D529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9" s="76" t="str">
        <f>IF($B529="","",ROUND(IFERROR(IF($D529="周转打冷",N(INDEX(对接源_01入库吨位!$H$5:$H$304,MATCH(INT((ROW()-5)/3)+1,对接源_01入库吨位!$S$5:$S$304,0))),IF($D529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9" s="122" t="str">
        <f t="shared" si="66"/>
        <v/>
      </c>
      <c r="H529" s="43"/>
      <c r="I529" s="107"/>
      <c r="J529" s="123" t="str">
        <f t="shared" si="67"/>
        <v/>
      </c>
      <c r="K529" s="76" t="str">
        <f t="shared" si="68"/>
        <v/>
      </c>
      <c r="L529" s="43"/>
      <c r="M529" s="7"/>
      <c r="N529" s="106"/>
      <c r="R529" s="3" t="str">
        <f t="shared" si="69"/>
        <v/>
      </c>
      <c r="S529" s="3">
        <f t="shared" si="70"/>
        <v>0</v>
      </c>
      <c r="T529" s="3">
        <f t="shared" si="71"/>
        <v>13</v>
      </c>
    </row>
    <row r="530" spans="1:20">
      <c r="A530" s="74" t="str">
        <f t="shared" si="64"/>
        <v/>
      </c>
      <c r="B530" s="75" t="str">
        <f>IFERROR(INDEX(对接源_01入库吨位!$B$5:$B$304,MATCH(INT((ROW()-5)/3)+1,对接源_01入库吨位!$S$5:$S$304,0)),"")</f>
        <v/>
      </c>
      <c r="C530" s="75" t="str">
        <f>IFERROR(INDEX(对接源_01入库吨位!$C$5:$C$304,MATCH(INT((ROW()-5)/3)+1,对接源_01入库吨位!$S$5:$S$304,0)),"")</f>
        <v/>
      </c>
      <c r="D530" s="89" t="str">
        <f t="shared" si="65"/>
        <v/>
      </c>
      <c r="E530" s="42" t="str">
        <f>IF($B530="","",IFERROR(IF($D530="周转打冷",N(INDEX(对接源_01入库吨位!$D$5:$D$304,MATCH(INT((ROW()-5)/3)+1,对接源_01入库吨位!$S$5:$S$304,0))),IF($D530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0" s="76" t="str">
        <f>IF($B530="","",ROUND(IFERROR(IF($D530="周转打冷",N(INDEX(对接源_01入库吨位!$H$5:$H$304,MATCH(INT((ROW()-5)/3)+1,对接源_01入库吨位!$S$5:$S$304,0))),IF($D530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0" s="122" t="str">
        <f t="shared" si="66"/>
        <v/>
      </c>
      <c r="H530" s="43"/>
      <c r="I530" s="107"/>
      <c r="J530" s="123" t="str">
        <f t="shared" si="67"/>
        <v/>
      </c>
      <c r="K530" s="76" t="str">
        <f t="shared" si="68"/>
        <v/>
      </c>
      <c r="L530" s="43"/>
      <c r="M530" s="7"/>
      <c r="N530" s="106"/>
      <c r="R530" s="3" t="str">
        <f t="shared" si="69"/>
        <v/>
      </c>
      <c r="S530" s="3">
        <f t="shared" si="70"/>
        <v>0</v>
      </c>
      <c r="T530" s="3">
        <f t="shared" si="71"/>
        <v>13</v>
      </c>
    </row>
    <row r="531" spans="1:20">
      <c r="A531" s="74" t="str">
        <f t="shared" si="64"/>
        <v/>
      </c>
      <c r="B531" s="75" t="str">
        <f>IFERROR(INDEX(对接源_01入库吨位!$B$5:$B$304,MATCH(INT((ROW()-5)/3)+1,对接源_01入库吨位!$S$5:$S$304,0)),"")</f>
        <v/>
      </c>
      <c r="C531" s="75" t="str">
        <f>IFERROR(INDEX(对接源_01入库吨位!$C$5:$C$304,MATCH(INT((ROW()-5)/3)+1,对接源_01入库吨位!$S$5:$S$304,0)),"")</f>
        <v/>
      </c>
      <c r="D531" s="89" t="str">
        <f t="shared" si="65"/>
        <v/>
      </c>
      <c r="E531" s="42" t="str">
        <f>IF($B531="","",IFERROR(IF($D531="周转打冷",N(INDEX(对接源_01入库吨位!$D$5:$D$304,MATCH(INT((ROW()-5)/3)+1,对接源_01入库吨位!$S$5:$S$304,0))),IF($D531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1" s="76" t="str">
        <f>IF($B531="","",ROUND(IFERROR(IF($D531="周转打冷",N(INDEX(对接源_01入库吨位!$H$5:$H$304,MATCH(INT((ROW()-5)/3)+1,对接源_01入库吨位!$S$5:$S$304,0))),IF($D531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1" s="122" t="str">
        <f t="shared" si="66"/>
        <v/>
      </c>
      <c r="H531" s="43"/>
      <c r="I531" s="107"/>
      <c r="J531" s="123" t="str">
        <f t="shared" si="67"/>
        <v/>
      </c>
      <c r="K531" s="76" t="str">
        <f t="shared" si="68"/>
        <v/>
      </c>
      <c r="L531" s="43"/>
      <c r="M531" s="7"/>
      <c r="N531" s="106"/>
      <c r="R531" s="3" t="str">
        <f t="shared" si="69"/>
        <v/>
      </c>
      <c r="S531" s="3">
        <f t="shared" si="70"/>
        <v>0</v>
      </c>
      <c r="T531" s="3">
        <f t="shared" si="71"/>
        <v>13</v>
      </c>
    </row>
    <row r="532" spans="1:20">
      <c r="A532" s="74" t="str">
        <f t="shared" si="64"/>
        <v/>
      </c>
      <c r="B532" s="75" t="str">
        <f>IFERROR(INDEX(对接源_01入库吨位!$B$5:$B$304,MATCH(INT((ROW()-5)/3)+1,对接源_01入库吨位!$S$5:$S$304,0)),"")</f>
        <v/>
      </c>
      <c r="C532" s="75" t="str">
        <f>IFERROR(INDEX(对接源_01入库吨位!$C$5:$C$304,MATCH(INT((ROW()-5)/3)+1,对接源_01入库吨位!$S$5:$S$304,0)),"")</f>
        <v/>
      </c>
      <c r="D532" s="89" t="str">
        <f t="shared" si="65"/>
        <v/>
      </c>
      <c r="E532" s="42" t="str">
        <f>IF($B532="","",IFERROR(IF($D532="周转打冷",N(INDEX(对接源_01入库吨位!$D$5:$D$304,MATCH(INT((ROW()-5)/3)+1,对接源_01入库吨位!$S$5:$S$304,0))),IF($D532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2" s="76" t="str">
        <f>IF($B532="","",ROUND(IFERROR(IF($D532="周转打冷",N(INDEX(对接源_01入库吨位!$H$5:$H$304,MATCH(INT((ROW()-5)/3)+1,对接源_01入库吨位!$S$5:$S$304,0))),IF($D532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2" s="122" t="str">
        <f t="shared" si="66"/>
        <v/>
      </c>
      <c r="H532" s="43"/>
      <c r="I532" s="107"/>
      <c r="J532" s="123" t="str">
        <f t="shared" si="67"/>
        <v/>
      </c>
      <c r="K532" s="76" t="str">
        <f t="shared" si="68"/>
        <v/>
      </c>
      <c r="L532" s="43"/>
      <c r="M532" s="7"/>
      <c r="N532" s="106"/>
      <c r="R532" s="3" t="str">
        <f t="shared" si="69"/>
        <v/>
      </c>
      <c r="S532" s="3">
        <f t="shared" si="70"/>
        <v>0</v>
      </c>
      <c r="T532" s="3">
        <f t="shared" si="71"/>
        <v>13</v>
      </c>
    </row>
    <row r="533" spans="1:20">
      <c r="A533" s="74" t="str">
        <f t="shared" si="64"/>
        <v/>
      </c>
      <c r="B533" s="75" t="str">
        <f>IFERROR(INDEX(对接源_01入库吨位!$B$5:$B$304,MATCH(INT((ROW()-5)/3)+1,对接源_01入库吨位!$S$5:$S$304,0)),"")</f>
        <v/>
      </c>
      <c r="C533" s="75" t="str">
        <f>IFERROR(INDEX(对接源_01入库吨位!$C$5:$C$304,MATCH(INT((ROW()-5)/3)+1,对接源_01入库吨位!$S$5:$S$304,0)),"")</f>
        <v/>
      </c>
      <c r="D533" s="89" t="str">
        <f t="shared" si="65"/>
        <v/>
      </c>
      <c r="E533" s="42" t="str">
        <f>IF($B533="","",IFERROR(IF($D533="周转打冷",N(INDEX(对接源_01入库吨位!$D$5:$D$304,MATCH(INT((ROW()-5)/3)+1,对接源_01入库吨位!$S$5:$S$304,0))),IF($D533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3" s="76" t="str">
        <f>IF($B533="","",ROUND(IFERROR(IF($D533="周转打冷",N(INDEX(对接源_01入库吨位!$H$5:$H$304,MATCH(INT((ROW()-5)/3)+1,对接源_01入库吨位!$S$5:$S$304,0))),IF($D533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3" s="122" t="str">
        <f t="shared" si="66"/>
        <v/>
      </c>
      <c r="H533" s="43"/>
      <c r="I533" s="107"/>
      <c r="J533" s="123" t="str">
        <f t="shared" si="67"/>
        <v/>
      </c>
      <c r="K533" s="76" t="str">
        <f t="shared" si="68"/>
        <v/>
      </c>
      <c r="L533" s="43"/>
      <c r="M533" s="7"/>
      <c r="N533" s="106"/>
      <c r="R533" s="3" t="str">
        <f t="shared" si="69"/>
        <v/>
      </c>
      <c r="S533" s="3">
        <f t="shared" si="70"/>
        <v>0</v>
      </c>
      <c r="T533" s="3">
        <f t="shared" si="71"/>
        <v>13</v>
      </c>
    </row>
    <row r="534" spans="1:20">
      <c r="A534" s="74" t="str">
        <f t="shared" si="64"/>
        <v/>
      </c>
      <c r="B534" s="75" t="str">
        <f>IFERROR(INDEX(对接源_01入库吨位!$B$5:$B$304,MATCH(INT((ROW()-5)/3)+1,对接源_01入库吨位!$S$5:$S$304,0)),"")</f>
        <v/>
      </c>
      <c r="C534" s="75" t="str">
        <f>IFERROR(INDEX(对接源_01入库吨位!$C$5:$C$304,MATCH(INT((ROW()-5)/3)+1,对接源_01入库吨位!$S$5:$S$304,0)),"")</f>
        <v/>
      </c>
      <c r="D534" s="89" t="str">
        <f t="shared" si="65"/>
        <v/>
      </c>
      <c r="E534" s="42" t="str">
        <f>IF($B534="","",IFERROR(IF($D534="周转打冷",N(INDEX(对接源_01入库吨位!$D$5:$D$304,MATCH(INT((ROW()-5)/3)+1,对接源_01入库吨位!$S$5:$S$304,0))),IF($D534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4" s="76" t="str">
        <f>IF($B534="","",ROUND(IFERROR(IF($D534="周转打冷",N(INDEX(对接源_01入库吨位!$H$5:$H$304,MATCH(INT((ROW()-5)/3)+1,对接源_01入库吨位!$S$5:$S$304,0))),IF($D534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4" s="122" t="str">
        <f t="shared" si="66"/>
        <v/>
      </c>
      <c r="H534" s="43"/>
      <c r="I534" s="107"/>
      <c r="J534" s="123" t="str">
        <f t="shared" si="67"/>
        <v/>
      </c>
      <c r="K534" s="76" t="str">
        <f t="shared" si="68"/>
        <v/>
      </c>
      <c r="L534" s="43"/>
      <c r="M534" s="7"/>
      <c r="N534" s="106"/>
      <c r="R534" s="3" t="str">
        <f t="shared" si="69"/>
        <v/>
      </c>
      <c r="S534" s="3">
        <f t="shared" si="70"/>
        <v>0</v>
      </c>
      <c r="T534" s="3">
        <f t="shared" si="71"/>
        <v>13</v>
      </c>
    </row>
    <row r="535" spans="1:20">
      <c r="A535" s="74" t="str">
        <f t="shared" si="64"/>
        <v/>
      </c>
      <c r="B535" s="75" t="str">
        <f>IFERROR(INDEX(对接源_01入库吨位!$B$5:$B$304,MATCH(INT((ROW()-5)/3)+1,对接源_01入库吨位!$S$5:$S$304,0)),"")</f>
        <v/>
      </c>
      <c r="C535" s="75" t="str">
        <f>IFERROR(INDEX(对接源_01入库吨位!$C$5:$C$304,MATCH(INT((ROW()-5)/3)+1,对接源_01入库吨位!$S$5:$S$304,0)),"")</f>
        <v/>
      </c>
      <c r="D535" s="89" t="str">
        <f t="shared" si="65"/>
        <v/>
      </c>
      <c r="E535" s="42" t="str">
        <f>IF($B535="","",IFERROR(IF($D535="周转打冷",N(INDEX(对接源_01入库吨位!$D$5:$D$304,MATCH(INT((ROW()-5)/3)+1,对接源_01入库吨位!$S$5:$S$304,0))),IF($D535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5" s="76" t="str">
        <f>IF($B535="","",ROUND(IFERROR(IF($D535="周转打冷",N(INDEX(对接源_01入库吨位!$H$5:$H$304,MATCH(INT((ROW()-5)/3)+1,对接源_01入库吨位!$S$5:$S$304,0))),IF($D535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5" s="122" t="str">
        <f t="shared" si="66"/>
        <v/>
      </c>
      <c r="H535" s="43"/>
      <c r="I535" s="107"/>
      <c r="J535" s="123" t="str">
        <f t="shared" si="67"/>
        <v/>
      </c>
      <c r="K535" s="76" t="str">
        <f t="shared" si="68"/>
        <v/>
      </c>
      <c r="L535" s="43"/>
      <c r="M535" s="7"/>
      <c r="N535" s="106"/>
      <c r="R535" s="3" t="str">
        <f t="shared" si="69"/>
        <v/>
      </c>
      <c r="S535" s="3">
        <f t="shared" si="70"/>
        <v>0</v>
      </c>
      <c r="T535" s="3">
        <f t="shared" si="71"/>
        <v>13</v>
      </c>
    </row>
    <row r="536" spans="1:20">
      <c r="A536" s="74" t="str">
        <f t="shared" si="64"/>
        <v/>
      </c>
      <c r="B536" s="75" t="str">
        <f>IFERROR(INDEX(对接源_01入库吨位!$B$5:$B$304,MATCH(INT((ROW()-5)/3)+1,对接源_01入库吨位!$S$5:$S$304,0)),"")</f>
        <v/>
      </c>
      <c r="C536" s="75" t="str">
        <f>IFERROR(INDEX(对接源_01入库吨位!$C$5:$C$304,MATCH(INT((ROW()-5)/3)+1,对接源_01入库吨位!$S$5:$S$304,0)),"")</f>
        <v/>
      </c>
      <c r="D536" s="89" t="str">
        <f t="shared" si="65"/>
        <v/>
      </c>
      <c r="E536" s="42" t="str">
        <f>IF($B536="","",IFERROR(IF($D536="周转打冷",N(INDEX(对接源_01入库吨位!$D$5:$D$304,MATCH(INT((ROW()-5)/3)+1,对接源_01入库吨位!$S$5:$S$304,0))),IF($D536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6" s="76" t="str">
        <f>IF($B536="","",ROUND(IFERROR(IF($D536="周转打冷",N(INDEX(对接源_01入库吨位!$H$5:$H$304,MATCH(INT((ROW()-5)/3)+1,对接源_01入库吨位!$S$5:$S$304,0))),IF($D536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6" s="122" t="str">
        <f t="shared" si="66"/>
        <v/>
      </c>
      <c r="H536" s="43"/>
      <c r="I536" s="107"/>
      <c r="J536" s="123" t="str">
        <f t="shared" si="67"/>
        <v/>
      </c>
      <c r="K536" s="76" t="str">
        <f t="shared" si="68"/>
        <v/>
      </c>
      <c r="L536" s="43"/>
      <c r="M536" s="7"/>
      <c r="N536" s="106"/>
      <c r="R536" s="3" t="str">
        <f t="shared" si="69"/>
        <v/>
      </c>
      <c r="S536" s="3">
        <f t="shared" si="70"/>
        <v>0</v>
      </c>
      <c r="T536" s="3">
        <f t="shared" si="71"/>
        <v>13</v>
      </c>
    </row>
    <row r="537" spans="1:20">
      <c r="A537" s="74" t="str">
        <f t="shared" si="64"/>
        <v/>
      </c>
      <c r="B537" s="75" t="str">
        <f>IFERROR(INDEX(对接源_01入库吨位!$B$5:$B$304,MATCH(INT((ROW()-5)/3)+1,对接源_01入库吨位!$S$5:$S$304,0)),"")</f>
        <v/>
      </c>
      <c r="C537" s="75" t="str">
        <f>IFERROR(INDEX(对接源_01入库吨位!$C$5:$C$304,MATCH(INT((ROW()-5)/3)+1,对接源_01入库吨位!$S$5:$S$304,0)),"")</f>
        <v/>
      </c>
      <c r="D537" s="89" t="str">
        <f t="shared" si="65"/>
        <v/>
      </c>
      <c r="E537" s="42" t="str">
        <f>IF($B537="","",IFERROR(IF($D537="周转打冷",N(INDEX(对接源_01入库吨位!$D$5:$D$304,MATCH(INT((ROW()-5)/3)+1,对接源_01入库吨位!$S$5:$S$304,0))),IF($D537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7" s="76" t="str">
        <f>IF($B537="","",ROUND(IFERROR(IF($D537="周转打冷",N(INDEX(对接源_01入库吨位!$H$5:$H$304,MATCH(INT((ROW()-5)/3)+1,对接源_01入库吨位!$S$5:$S$304,0))),IF($D537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7" s="122" t="str">
        <f t="shared" si="66"/>
        <v/>
      </c>
      <c r="H537" s="43"/>
      <c r="I537" s="107"/>
      <c r="J537" s="123" t="str">
        <f t="shared" si="67"/>
        <v/>
      </c>
      <c r="K537" s="76" t="str">
        <f t="shared" si="68"/>
        <v/>
      </c>
      <c r="L537" s="43"/>
      <c r="M537" s="7"/>
      <c r="N537" s="106"/>
      <c r="R537" s="3" t="str">
        <f t="shared" si="69"/>
        <v/>
      </c>
      <c r="S537" s="3">
        <f t="shared" si="70"/>
        <v>0</v>
      </c>
      <c r="T537" s="3">
        <f t="shared" si="71"/>
        <v>13</v>
      </c>
    </row>
    <row r="538" spans="1:20">
      <c r="A538" s="74" t="str">
        <f t="shared" si="64"/>
        <v/>
      </c>
      <c r="B538" s="75" t="str">
        <f>IFERROR(INDEX(对接源_01入库吨位!$B$5:$B$304,MATCH(INT((ROW()-5)/3)+1,对接源_01入库吨位!$S$5:$S$304,0)),"")</f>
        <v/>
      </c>
      <c r="C538" s="75" t="str">
        <f>IFERROR(INDEX(对接源_01入库吨位!$C$5:$C$304,MATCH(INT((ROW()-5)/3)+1,对接源_01入库吨位!$S$5:$S$304,0)),"")</f>
        <v/>
      </c>
      <c r="D538" s="89" t="str">
        <f t="shared" si="65"/>
        <v/>
      </c>
      <c r="E538" s="42" t="str">
        <f>IF($B538="","",IFERROR(IF($D538="周转打冷",N(INDEX(对接源_01入库吨位!$D$5:$D$304,MATCH(INT((ROW()-5)/3)+1,对接源_01入库吨位!$S$5:$S$304,0))),IF($D538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8" s="76" t="str">
        <f>IF($B538="","",ROUND(IFERROR(IF($D538="周转打冷",N(INDEX(对接源_01入库吨位!$H$5:$H$304,MATCH(INT((ROW()-5)/3)+1,对接源_01入库吨位!$S$5:$S$304,0))),IF($D538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8" s="122" t="str">
        <f t="shared" si="66"/>
        <v/>
      </c>
      <c r="H538" s="43"/>
      <c r="I538" s="107"/>
      <c r="J538" s="123" t="str">
        <f t="shared" si="67"/>
        <v/>
      </c>
      <c r="K538" s="76" t="str">
        <f t="shared" si="68"/>
        <v/>
      </c>
      <c r="L538" s="43"/>
      <c r="M538" s="7"/>
      <c r="N538" s="106"/>
      <c r="R538" s="3" t="str">
        <f t="shared" si="69"/>
        <v/>
      </c>
      <c r="S538" s="3">
        <f t="shared" si="70"/>
        <v>0</v>
      </c>
      <c r="T538" s="3">
        <f t="shared" si="71"/>
        <v>13</v>
      </c>
    </row>
    <row r="539" spans="1:20">
      <c r="A539" s="74" t="str">
        <f t="shared" si="64"/>
        <v/>
      </c>
      <c r="B539" s="75" t="str">
        <f>IFERROR(INDEX(对接源_01入库吨位!$B$5:$B$304,MATCH(INT((ROW()-5)/3)+1,对接源_01入库吨位!$S$5:$S$304,0)),"")</f>
        <v/>
      </c>
      <c r="C539" s="75" t="str">
        <f>IFERROR(INDEX(对接源_01入库吨位!$C$5:$C$304,MATCH(INT((ROW()-5)/3)+1,对接源_01入库吨位!$S$5:$S$304,0)),"")</f>
        <v/>
      </c>
      <c r="D539" s="89" t="str">
        <f t="shared" si="65"/>
        <v/>
      </c>
      <c r="E539" s="42" t="str">
        <f>IF($B539="","",IFERROR(IF($D539="周转打冷",N(INDEX(对接源_01入库吨位!$D$5:$D$304,MATCH(INT((ROW()-5)/3)+1,对接源_01入库吨位!$S$5:$S$304,0))),IF($D539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9" s="76" t="str">
        <f>IF($B539="","",ROUND(IFERROR(IF($D539="周转打冷",N(INDEX(对接源_01入库吨位!$H$5:$H$304,MATCH(INT((ROW()-5)/3)+1,对接源_01入库吨位!$S$5:$S$304,0))),IF($D539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9" s="122" t="str">
        <f t="shared" si="66"/>
        <v/>
      </c>
      <c r="H539" s="43"/>
      <c r="I539" s="107"/>
      <c r="J539" s="123" t="str">
        <f t="shared" si="67"/>
        <v/>
      </c>
      <c r="K539" s="76" t="str">
        <f t="shared" si="68"/>
        <v/>
      </c>
      <c r="L539" s="43"/>
      <c r="M539" s="7"/>
      <c r="N539" s="106"/>
      <c r="R539" s="3" t="str">
        <f t="shared" si="69"/>
        <v/>
      </c>
      <c r="S539" s="3">
        <f t="shared" si="70"/>
        <v>0</v>
      </c>
      <c r="T539" s="3">
        <f t="shared" si="71"/>
        <v>13</v>
      </c>
    </row>
    <row r="540" spans="1:20">
      <c r="A540" s="74" t="str">
        <f t="shared" si="64"/>
        <v/>
      </c>
      <c r="B540" s="75" t="str">
        <f>IFERROR(INDEX(对接源_01入库吨位!$B$5:$B$304,MATCH(INT((ROW()-5)/3)+1,对接源_01入库吨位!$S$5:$S$304,0)),"")</f>
        <v/>
      </c>
      <c r="C540" s="75" t="str">
        <f>IFERROR(INDEX(对接源_01入库吨位!$C$5:$C$304,MATCH(INT((ROW()-5)/3)+1,对接源_01入库吨位!$S$5:$S$304,0)),"")</f>
        <v/>
      </c>
      <c r="D540" s="89" t="str">
        <f t="shared" si="65"/>
        <v/>
      </c>
      <c r="E540" s="42" t="str">
        <f>IF($B540="","",IFERROR(IF($D540="周转打冷",N(INDEX(对接源_01入库吨位!$D$5:$D$304,MATCH(INT((ROW()-5)/3)+1,对接源_01入库吨位!$S$5:$S$304,0))),IF($D540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0" s="76" t="str">
        <f>IF($B540="","",ROUND(IFERROR(IF($D540="周转打冷",N(INDEX(对接源_01入库吨位!$H$5:$H$304,MATCH(INT((ROW()-5)/3)+1,对接源_01入库吨位!$S$5:$S$304,0))),IF($D540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0" s="122" t="str">
        <f t="shared" si="66"/>
        <v/>
      </c>
      <c r="H540" s="43"/>
      <c r="I540" s="107"/>
      <c r="J540" s="123" t="str">
        <f t="shared" si="67"/>
        <v/>
      </c>
      <c r="K540" s="76" t="str">
        <f t="shared" si="68"/>
        <v/>
      </c>
      <c r="L540" s="43"/>
      <c r="M540" s="7"/>
      <c r="N540" s="106"/>
      <c r="R540" s="3" t="str">
        <f t="shared" si="69"/>
        <v/>
      </c>
      <c r="S540" s="3">
        <f t="shared" si="70"/>
        <v>0</v>
      </c>
      <c r="T540" s="3">
        <f t="shared" si="71"/>
        <v>13</v>
      </c>
    </row>
    <row r="541" spans="1:20">
      <c r="A541" s="74" t="str">
        <f t="shared" si="64"/>
        <v/>
      </c>
      <c r="B541" s="75" t="str">
        <f>IFERROR(INDEX(对接源_01入库吨位!$B$5:$B$304,MATCH(INT((ROW()-5)/3)+1,对接源_01入库吨位!$S$5:$S$304,0)),"")</f>
        <v/>
      </c>
      <c r="C541" s="75" t="str">
        <f>IFERROR(INDEX(对接源_01入库吨位!$C$5:$C$304,MATCH(INT((ROW()-5)/3)+1,对接源_01入库吨位!$S$5:$S$304,0)),"")</f>
        <v/>
      </c>
      <c r="D541" s="89" t="str">
        <f t="shared" si="65"/>
        <v/>
      </c>
      <c r="E541" s="42" t="str">
        <f>IF($B541="","",IFERROR(IF($D541="周转打冷",N(INDEX(对接源_01入库吨位!$D$5:$D$304,MATCH(INT((ROW()-5)/3)+1,对接源_01入库吨位!$S$5:$S$304,0))),IF($D541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1" s="76" t="str">
        <f>IF($B541="","",ROUND(IFERROR(IF($D541="周转打冷",N(INDEX(对接源_01入库吨位!$H$5:$H$304,MATCH(INT((ROW()-5)/3)+1,对接源_01入库吨位!$S$5:$S$304,0))),IF($D541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1" s="122" t="str">
        <f t="shared" si="66"/>
        <v/>
      </c>
      <c r="H541" s="43"/>
      <c r="I541" s="107"/>
      <c r="J541" s="123" t="str">
        <f t="shared" si="67"/>
        <v/>
      </c>
      <c r="K541" s="76" t="str">
        <f t="shared" si="68"/>
        <v/>
      </c>
      <c r="L541" s="43"/>
      <c r="M541" s="7"/>
      <c r="N541" s="106"/>
      <c r="R541" s="3" t="str">
        <f t="shared" si="69"/>
        <v/>
      </c>
      <c r="S541" s="3">
        <f t="shared" si="70"/>
        <v>0</v>
      </c>
      <c r="T541" s="3">
        <f t="shared" si="71"/>
        <v>13</v>
      </c>
    </row>
    <row r="542" spans="1:20">
      <c r="A542" s="74" t="str">
        <f t="shared" si="64"/>
        <v/>
      </c>
      <c r="B542" s="75" t="str">
        <f>IFERROR(INDEX(对接源_01入库吨位!$B$5:$B$304,MATCH(INT((ROW()-5)/3)+1,对接源_01入库吨位!$S$5:$S$304,0)),"")</f>
        <v/>
      </c>
      <c r="C542" s="75" t="str">
        <f>IFERROR(INDEX(对接源_01入库吨位!$C$5:$C$304,MATCH(INT((ROW()-5)/3)+1,对接源_01入库吨位!$S$5:$S$304,0)),"")</f>
        <v/>
      </c>
      <c r="D542" s="89" t="str">
        <f t="shared" si="65"/>
        <v/>
      </c>
      <c r="E542" s="42" t="str">
        <f>IF($B542="","",IFERROR(IF($D542="周转打冷",N(INDEX(对接源_01入库吨位!$D$5:$D$304,MATCH(INT((ROW()-5)/3)+1,对接源_01入库吨位!$S$5:$S$304,0))),IF($D542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2" s="76" t="str">
        <f>IF($B542="","",ROUND(IFERROR(IF($D542="周转打冷",N(INDEX(对接源_01入库吨位!$H$5:$H$304,MATCH(INT((ROW()-5)/3)+1,对接源_01入库吨位!$S$5:$S$304,0))),IF($D542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2" s="122" t="str">
        <f t="shared" si="66"/>
        <v/>
      </c>
      <c r="H542" s="43"/>
      <c r="I542" s="107"/>
      <c r="J542" s="123" t="str">
        <f t="shared" si="67"/>
        <v/>
      </c>
      <c r="K542" s="76" t="str">
        <f t="shared" si="68"/>
        <v/>
      </c>
      <c r="L542" s="43"/>
      <c r="M542" s="7"/>
      <c r="N542" s="106"/>
      <c r="R542" s="3" t="str">
        <f t="shared" si="69"/>
        <v/>
      </c>
      <c r="S542" s="3">
        <f t="shared" si="70"/>
        <v>0</v>
      </c>
      <c r="T542" s="3">
        <f t="shared" si="71"/>
        <v>13</v>
      </c>
    </row>
    <row r="543" spans="1:20">
      <c r="A543" s="74" t="str">
        <f t="shared" si="64"/>
        <v/>
      </c>
      <c r="B543" s="75" t="str">
        <f>IFERROR(INDEX(对接源_01入库吨位!$B$5:$B$304,MATCH(INT((ROW()-5)/3)+1,对接源_01入库吨位!$S$5:$S$304,0)),"")</f>
        <v/>
      </c>
      <c r="C543" s="75" t="str">
        <f>IFERROR(INDEX(对接源_01入库吨位!$C$5:$C$304,MATCH(INT((ROW()-5)/3)+1,对接源_01入库吨位!$S$5:$S$304,0)),"")</f>
        <v/>
      </c>
      <c r="D543" s="89" t="str">
        <f t="shared" si="65"/>
        <v/>
      </c>
      <c r="E543" s="42" t="str">
        <f>IF($B543="","",IFERROR(IF($D543="周转打冷",N(INDEX(对接源_01入库吨位!$D$5:$D$304,MATCH(INT((ROW()-5)/3)+1,对接源_01入库吨位!$S$5:$S$304,0))),IF($D543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3" s="76" t="str">
        <f>IF($B543="","",ROUND(IFERROR(IF($D543="周转打冷",N(INDEX(对接源_01入库吨位!$H$5:$H$304,MATCH(INT((ROW()-5)/3)+1,对接源_01入库吨位!$S$5:$S$304,0))),IF($D543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3" s="122" t="str">
        <f t="shared" si="66"/>
        <v/>
      </c>
      <c r="H543" s="43"/>
      <c r="I543" s="107"/>
      <c r="J543" s="123" t="str">
        <f t="shared" si="67"/>
        <v/>
      </c>
      <c r="K543" s="76" t="str">
        <f t="shared" si="68"/>
        <v/>
      </c>
      <c r="L543" s="43"/>
      <c r="M543" s="7"/>
      <c r="N543" s="106"/>
      <c r="R543" s="3" t="str">
        <f t="shared" si="69"/>
        <v/>
      </c>
      <c r="S543" s="3">
        <f t="shared" si="70"/>
        <v>0</v>
      </c>
      <c r="T543" s="3">
        <f t="shared" si="71"/>
        <v>13</v>
      </c>
    </row>
    <row r="544" spans="1:20">
      <c r="A544" s="74" t="str">
        <f t="shared" si="64"/>
        <v/>
      </c>
      <c r="B544" s="75" t="str">
        <f>IFERROR(INDEX(对接源_01入库吨位!$B$5:$B$304,MATCH(INT((ROW()-5)/3)+1,对接源_01入库吨位!$S$5:$S$304,0)),"")</f>
        <v/>
      </c>
      <c r="C544" s="75" t="str">
        <f>IFERROR(INDEX(对接源_01入库吨位!$C$5:$C$304,MATCH(INT((ROW()-5)/3)+1,对接源_01入库吨位!$S$5:$S$304,0)),"")</f>
        <v/>
      </c>
      <c r="D544" s="89" t="str">
        <f t="shared" si="65"/>
        <v/>
      </c>
      <c r="E544" s="42" t="str">
        <f>IF($B544="","",IFERROR(IF($D544="周转打冷",N(INDEX(对接源_01入库吨位!$D$5:$D$304,MATCH(INT((ROW()-5)/3)+1,对接源_01入库吨位!$S$5:$S$304,0))),IF($D544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4" s="76" t="str">
        <f>IF($B544="","",ROUND(IFERROR(IF($D544="周转打冷",N(INDEX(对接源_01入库吨位!$H$5:$H$304,MATCH(INT((ROW()-5)/3)+1,对接源_01入库吨位!$S$5:$S$304,0))),IF($D544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4" s="122" t="str">
        <f t="shared" si="66"/>
        <v/>
      </c>
      <c r="H544" s="43"/>
      <c r="I544" s="107"/>
      <c r="J544" s="123" t="str">
        <f t="shared" si="67"/>
        <v/>
      </c>
      <c r="K544" s="76" t="str">
        <f t="shared" si="68"/>
        <v/>
      </c>
      <c r="L544" s="43"/>
      <c r="M544" s="7"/>
      <c r="N544" s="106"/>
      <c r="R544" s="3" t="str">
        <f t="shared" si="69"/>
        <v/>
      </c>
      <c r="S544" s="3">
        <f t="shared" si="70"/>
        <v>0</v>
      </c>
      <c r="T544" s="3">
        <f t="shared" si="71"/>
        <v>13</v>
      </c>
    </row>
    <row r="545" spans="1:20">
      <c r="A545" s="74" t="str">
        <f t="shared" si="64"/>
        <v/>
      </c>
      <c r="B545" s="75" t="str">
        <f>IFERROR(INDEX(对接源_01入库吨位!$B$5:$B$304,MATCH(INT((ROW()-5)/3)+1,对接源_01入库吨位!$S$5:$S$304,0)),"")</f>
        <v/>
      </c>
      <c r="C545" s="75" t="str">
        <f>IFERROR(INDEX(对接源_01入库吨位!$C$5:$C$304,MATCH(INT((ROW()-5)/3)+1,对接源_01入库吨位!$S$5:$S$304,0)),"")</f>
        <v/>
      </c>
      <c r="D545" s="89" t="str">
        <f t="shared" si="65"/>
        <v/>
      </c>
      <c r="E545" s="42" t="str">
        <f>IF($B545="","",IFERROR(IF($D545="周转打冷",N(INDEX(对接源_01入库吨位!$D$5:$D$304,MATCH(INT((ROW()-5)/3)+1,对接源_01入库吨位!$S$5:$S$304,0))),IF($D545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5" s="76" t="str">
        <f>IF($B545="","",ROUND(IFERROR(IF($D545="周转打冷",N(INDEX(对接源_01入库吨位!$H$5:$H$304,MATCH(INT((ROW()-5)/3)+1,对接源_01入库吨位!$S$5:$S$304,0))),IF($D545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5" s="122" t="str">
        <f t="shared" si="66"/>
        <v/>
      </c>
      <c r="H545" s="43"/>
      <c r="I545" s="107"/>
      <c r="J545" s="123" t="str">
        <f t="shared" si="67"/>
        <v/>
      </c>
      <c r="K545" s="76" t="str">
        <f t="shared" si="68"/>
        <v/>
      </c>
      <c r="L545" s="43"/>
      <c r="M545" s="7"/>
      <c r="N545" s="106"/>
      <c r="R545" s="3" t="str">
        <f t="shared" si="69"/>
        <v/>
      </c>
      <c r="S545" s="3">
        <f t="shared" si="70"/>
        <v>0</v>
      </c>
      <c r="T545" s="3">
        <f t="shared" si="71"/>
        <v>13</v>
      </c>
    </row>
    <row r="546" spans="1:20">
      <c r="A546" s="74" t="str">
        <f t="shared" si="64"/>
        <v/>
      </c>
      <c r="B546" s="75" t="str">
        <f>IFERROR(INDEX(对接源_01入库吨位!$B$5:$B$304,MATCH(INT((ROW()-5)/3)+1,对接源_01入库吨位!$S$5:$S$304,0)),"")</f>
        <v/>
      </c>
      <c r="C546" s="75" t="str">
        <f>IFERROR(INDEX(对接源_01入库吨位!$C$5:$C$304,MATCH(INT((ROW()-5)/3)+1,对接源_01入库吨位!$S$5:$S$304,0)),"")</f>
        <v/>
      </c>
      <c r="D546" s="89" t="str">
        <f t="shared" si="65"/>
        <v/>
      </c>
      <c r="E546" s="42" t="str">
        <f>IF($B546="","",IFERROR(IF($D546="周转打冷",N(INDEX(对接源_01入库吨位!$D$5:$D$304,MATCH(INT((ROW()-5)/3)+1,对接源_01入库吨位!$S$5:$S$304,0))),IF($D546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6" s="76" t="str">
        <f>IF($B546="","",ROUND(IFERROR(IF($D546="周转打冷",N(INDEX(对接源_01入库吨位!$H$5:$H$304,MATCH(INT((ROW()-5)/3)+1,对接源_01入库吨位!$S$5:$S$304,0))),IF($D546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6" s="122" t="str">
        <f t="shared" si="66"/>
        <v/>
      </c>
      <c r="H546" s="43"/>
      <c r="I546" s="107"/>
      <c r="J546" s="123" t="str">
        <f t="shared" si="67"/>
        <v/>
      </c>
      <c r="K546" s="76" t="str">
        <f t="shared" si="68"/>
        <v/>
      </c>
      <c r="L546" s="43"/>
      <c r="M546" s="7"/>
      <c r="N546" s="106"/>
      <c r="R546" s="3" t="str">
        <f t="shared" si="69"/>
        <v/>
      </c>
      <c r="S546" s="3">
        <f t="shared" si="70"/>
        <v>0</v>
      </c>
      <c r="T546" s="3">
        <f t="shared" si="71"/>
        <v>13</v>
      </c>
    </row>
    <row r="547" spans="1:20">
      <c r="A547" s="74" t="str">
        <f t="shared" si="64"/>
        <v/>
      </c>
      <c r="B547" s="75" t="str">
        <f>IFERROR(INDEX(对接源_01入库吨位!$B$5:$B$304,MATCH(INT((ROW()-5)/3)+1,对接源_01入库吨位!$S$5:$S$304,0)),"")</f>
        <v/>
      </c>
      <c r="C547" s="75" t="str">
        <f>IFERROR(INDEX(对接源_01入库吨位!$C$5:$C$304,MATCH(INT((ROW()-5)/3)+1,对接源_01入库吨位!$S$5:$S$304,0)),"")</f>
        <v/>
      </c>
      <c r="D547" s="89" t="str">
        <f t="shared" si="65"/>
        <v/>
      </c>
      <c r="E547" s="42" t="str">
        <f>IF($B547="","",IFERROR(IF($D547="周转打冷",N(INDEX(对接源_01入库吨位!$D$5:$D$304,MATCH(INT((ROW()-5)/3)+1,对接源_01入库吨位!$S$5:$S$304,0))),IF($D547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7" s="76" t="str">
        <f>IF($B547="","",ROUND(IFERROR(IF($D547="周转打冷",N(INDEX(对接源_01入库吨位!$H$5:$H$304,MATCH(INT((ROW()-5)/3)+1,对接源_01入库吨位!$S$5:$S$304,0))),IF($D547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7" s="122" t="str">
        <f t="shared" si="66"/>
        <v/>
      </c>
      <c r="H547" s="43"/>
      <c r="I547" s="107"/>
      <c r="J547" s="123" t="str">
        <f t="shared" si="67"/>
        <v/>
      </c>
      <c r="K547" s="76" t="str">
        <f t="shared" si="68"/>
        <v/>
      </c>
      <c r="L547" s="43"/>
      <c r="M547" s="7"/>
      <c r="N547" s="106"/>
      <c r="R547" s="3" t="str">
        <f t="shared" si="69"/>
        <v/>
      </c>
      <c r="S547" s="3">
        <f t="shared" si="70"/>
        <v>0</v>
      </c>
      <c r="T547" s="3">
        <f t="shared" si="71"/>
        <v>13</v>
      </c>
    </row>
    <row r="548" spans="1:20">
      <c r="A548" s="74" t="str">
        <f t="shared" si="64"/>
        <v/>
      </c>
      <c r="B548" s="75" t="str">
        <f>IFERROR(INDEX(对接源_01入库吨位!$B$5:$B$304,MATCH(INT((ROW()-5)/3)+1,对接源_01入库吨位!$S$5:$S$304,0)),"")</f>
        <v/>
      </c>
      <c r="C548" s="75" t="str">
        <f>IFERROR(INDEX(对接源_01入库吨位!$C$5:$C$304,MATCH(INT((ROW()-5)/3)+1,对接源_01入库吨位!$S$5:$S$304,0)),"")</f>
        <v/>
      </c>
      <c r="D548" s="89" t="str">
        <f t="shared" si="65"/>
        <v/>
      </c>
      <c r="E548" s="42" t="str">
        <f>IF($B548="","",IFERROR(IF($D548="周转打冷",N(INDEX(对接源_01入库吨位!$D$5:$D$304,MATCH(INT((ROW()-5)/3)+1,对接源_01入库吨位!$S$5:$S$304,0))),IF($D548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8" s="76" t="str">
        <f>IF($B548="","",ROUND(IFERROR(IF($D548="周转打冷",N(INDEX(对接源_01入库吨位!$H$5:$H$304,MATCH(INT((ROW()-5)/3)+1,对接源_01入库吨位!$S$5:$S$304,0))),IF($D548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8" s="122" t="str">
        <f t="shared" si="66"/>
        <v/>
      </c>
      <c r="H548" s="43"/>
      <c r="I548" s="107"/>
      <c r="J548" s="123" t="str">
        <f t="shared" si="67"/>
        <v/>
      </c>
      <c r="K548" s="76" t="str">
        <f t="shared" si="68"/>
        <v/>
      </c>
      <c r="L548" s="43"/>
      <c r="M548" s="7"/>
      <c r="N548" s="106"/>
      <c r="R548" s="3" t="str">
        <f t="shared" si="69"/>
        <v/>
      </c>
      <c r="S548" s="3">
        <f t="shared" si="70"/>
        <v>0</v>
      </c>
      <c r="T548" s="3">
        <f t="shared" si="71"/>
        <v>13</v>
      </c>
    </row>
    <row r="549" spans="1:20">
      <c r="A549" s="74" t="str">
        <f t="shared" si="64"/>
        <v/>
      </c>
      <c r="B549" s="75" t="str">
        <f>IFERROR(INDEX(对接源_01入库吨位!$B$5:$B$304,MATCH(INT((ROW()-5)/3)+1,对接源_01入库吨位!$S$5:$S$304,0)),"")</f>
        <v/>
      </c>
      <c r="C549" s="75" t="str">
        <f>IFERROR(INDEX(对接源_01入库吨位!$C$5:$C$304,MATCH(INT((ROW()-5)/3)+1,对接源_01入库吨位!$S$5:$S$304,0)),"")</f>
        <v/>
      </c>
      <c r="D549" s="89" t="str">
        <f t="shared" si="65"/>
        <v/>
      </c>
      <c r="E549" s="42" t="str">
        <f>IF($B549="","",IFERROR(IF($D549="周转打冷",N(INDEX(对接源_01入库吨位!$D$5:$D$304,MATCH(INT((ROW()-5)/3)+1,对接源_01入库吨位!$S$5:$S$304,0))),IF($D549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9" s="76" t="str">
        <f>IF($B549="","",ROUND(IFERROR(IF($D549="周转打冷",N(INDEX(对接源_01入库吨位!$H$5:$H$304,MATCH(INT((ROW()-5)/3)+1,对接源_01入库吨位!$S$5:$S$304,0))),IF($D549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9" s="122" t="str">
        <f t="shared" si="66"/>
        <v/>
      </c>
      <c r="H549" s="43"/>
      <c r="I549" s="107"/>
      <c r="J549" s="123" t="str">
        <f t="shared" si="67"/>
        <v/>
      </c>
      <c r="K549" s="76" t="str">
        <f t="shared" si="68"/>
        <v/>
      </c>
      <c r="L549" s="43"/>
      <c r="M549" s="7"/>
      <c r="N549" s="106"/>
      <c r="R549" s="3" t="str">
        <f t="shared" si="69"/>
        <v/>
      </c>
      <c r="S549" s="3">
        <f t="shared" si="70"/>
        <v>0</v>
      </c>
      <c r="T549" s="3">
        <f t="shared" si="71"/>
        <v>13</v>
      </c>
    </row>
    <row r="550" spans="1:20">
      <c r="A550" s="74" t="str">
        <f t="shared" si="64"/>
        <v/>
      </c>
      <c r="B550" s="75" t="str">
        <f>IFERROR(INDEX(对接源_01入库吨位!$B$5:$B$304,MATCH(INT((ROW()-5)/3)+1,对接源_01入库吨位!$S$5:$S$304,0)),"")</f>
        <v/>
      </c>
      <c r="C550" s="75" t="str">
        <f>IFERROR(INDEX(对接源_01入库吨位!$C$5:$C$304,MATCH(INT((ROW()-5)/3)+1,对接源_01入库吨位!$S$5:$S$304,0)),"")</f>
        <v/>
      </c>
      <c r="D550" s="89" t="str">
        <f t="shared" si="65"/>
        <v/>
      </c>
      <c r="E550" s="42" t="str">
        <f>IF($B550="","",IFERROR(IF($D550="周转打冷",N(INDEX(对接源_01入库吨位!$D$5:$D$304,MATCH(INT((ROW()-5)/3)+1,对接源_01入库吨位!$S$5:$S$304,0))),IF($D550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0" s="76" t="str">
        <f>IF($B550="","",ROUND(IFERROR(IF($D550="周转打冷",N(INDEX(对接源_01入库吨位!$H$5:$H$304,MATCH(INT((ROW()-5)/3)+1,对接源_01入库吨位!$S$5:$S$304,0))),IF($D550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0" s="122" t="str">
        <f t="shared" si="66"/>
        <v/>
      </c>
      <c r="H550" s="43"/>
      <c r="I550" s="107"/>
      <c r="J550" s="123" t="str">
        <f t="shared" si="67"/>
        <v/>
      </c>
      <c r="K550" s="76" t="str">
        <f t="shared" si="68"/>
        <v/>
      </c>
      <c r="L550" s="43"/>
      <c r="M550" s="7"/>
      <c r="N550" s="106"/>
      <c r="R550" s="3" t="str">
        <f t="shared" si="69"/>
        <v/>
      </c>
      <c r="S550" s="3">
        <f t="shared" si="70"/>
        <v>0</v>
      </c>
      <c r="T550" s="3">
        <f t="shared" si="71"/>
        <v>13</v>
      </c>
    </row>
    <row r="551" spans="1:20">
      <c r="A551" s="74" t="str">
        <f t="shared" si="64"/>
        <v/>
      </c>
      <c r="B551" s="75" t="str">
        <f>IFERROR(INDEX(对接源_01入库吨位!$B$5:$B$304,MATCH(INT((ROW()-5)/3)+1,对接源_01入库吨位!$S$5:$S$304,0)),"")</f>
        <v/>
      </c>
      <c r="C551" s="75" t="str">
        <f>IFERROR(INDEX(对接源_01入库吨位!$C$5:$C$304,MATCH(INT((ROW()-5)/3)+1,对接源_01入库吨位!$S$5:$S$304,0)),"")</f>
        <v/>
      </c>
      <c r="D551" s="89" t="str">
        <f t="shared" si="65"/>
        <v/>
      </c>
      <c r="E551" s="42" t="str">
        <f>IF($B551="","",IFERROR(IF($D551="周转打冷",N(INDEX(对接源_01入库吨位!$D$5:$D$304,MATCH(INT((ROW()-5)/3)+1,对接源_01入库吨位!$S$5:$S$304,0))),IF($D551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1" s="76" t="str">
        <f>IF($B551="","",ROUND(IFERROR(IF($D551="周转打冷",N(INDEX(对接源_01入库吨位!$H$5:$H$304,MATCH(INT((ROW()-5)/3)+1,对接源_01入库吨位!$S$5:$S$304,0))),IF($D551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1" s="122" t="str">
        <f t="shared" si="66"/>
        <v/>
      </c>
      <c r="H551" s="43"/>
      <c r="I551" s="107"/>
      <c r="J551" s="123" t="str">
        <f t="shared" si="67"/>
        <v/>
      </c>
      <c r="K551" s="76" t="str">
        <f t="shared" si="68"/>
        <v/>
      </c>
      <c r="L551" s="43"/>
      <c r="M551" s="7"/>
      <c r="N551" s="106"/>
      <c r="R551" s="3" t="str">
        <f t="shared" si="69"/>
        <v/>
      </c>
      <c r="S551" s="3">
        <f t="shared" si="70"/>
        <v>0</v>
      </c>
      <c r="T551" s="3">
        <f t="shared" si="71"/>
        <v>13</v>
      </c>
    </row>
    <row r="552" spans="1:20">
      <c r="A552" s="74" t="str">
        <f t="shared" si="64"/>
        <v/>
      </c>
      <c r="B552" s="75" t="str">
        <f>IFERROR(INDEX(对接源_01入库吨位!$B$5:$B$304,MATCH(INT((ROW()-5)/3)+1,对接源_01入库吨位!$S$5:$S$304,0)),"")</f>
        <v/>
      </c>
      <c r="C552" s="75" t="str">
        <f>IFERROR(INDEX(对接源_01入库吨位!$C$5:$C$304,MATCH(INT((ROW()-5)/3)+1,对接源_01入库吨位!$S$5:$S$304,0)),"")</f>
        <v/>
      </c>
      <c r="D552" s="89" t="str">
        <f t="shared" si="65"/>
        <v/>
      </c>
      <c r="E552" s="42" t="str">
        <f>IF($B552="","",IFERROR(IF($D552="周转打冷",N(INDEX(对接源_01入库吨位!$D$5:$D$304,MATCH(INT((ROW()-5)/3)+1,对接源_01入库吨位!$S$5:$S$304,0))),IF($D552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2" s="76" t="str">
        <f>IF($B552="","",ROUND(IFERROR(IF($D552="周转打冷",N(INDEX(对接源_01入库吨位!$H$5:$H$304,MATCH(INT((ROW()-5)/3)+1,对接源_01入库吨位!$S$5:$S$304,0))),IF($D552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2" s="122" t="str">
        <f t="shared" si="66"/>
        <v/>
      </c>
      <c r="H552" s="43"/>
      <c r="I552" s="107"/>
      <c r="J552" s="123" t="str">
        <f t="shared" si="67"/>
        <v/>
      </c>
      <c r="K552" s="76" t="str">
        <f t="shared" si="68"/>
        <v/>
      </c>
      <c r="L552" s="43"/>
      <c r="M552" s="7"/>
      <c r="N552" s="106"/>
      <c r="R552" s="3" t="str">
        <f t="shared" si="69"/>
        <v/>
      </c>
      <c r="S552" s="3">
        <f t="shared" si="70"/>
        <v>0</v>
      </c>
      <c r="T552" s="3">
        <f t="shared" si="71"/>
        <v>13</v>
      </c>
    </row>
    <row r="553" spans="1:20">
      <c r="A553" s="74" t="str">
        <f t="shared" si="64"/>
        <v/>
      </c>
      <c r="B553" s="75" t="str">
        <f>IFERROR(INDEX(对接源_01入库吨位!$B$5:$B$304,MATCH(INT((ROW()-5)/3)+1,对接源_01入库吨位!$S$5:$S$304,0)),"")</f>
        <v/>
      </c>
      <c r="C553" s="75" t="str">
        <f>IFERROR(INDEX(对接源_01入库吨位!$C$5:$C$304,MATCH(INT((ROW()-5)/3)+1,对接源_01入库吨位!$S$5:$S$304,0)),"")</f>
        <v/>
      </c>
      <c r="D553" s="89" t="str">
        <f t="shared" si="65"/>
        <v/>
      </c>
      <c r="E553" s="42" t="str">
        <f>IF($B553="","",IFERROR(IF($D553="周转打冷",N(INDEX(对接源_01入库吨位!$D$5:$D$304,MATCH(INT((ROW()-5)/3)+1,对接源_01入库吨位!$S$5:$S$304,0))),IF($D553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3" s="76" t="str">
        <f>IF($B553="","",ROUND(IFERROR(IF($D553="周转打冷",N(INDEX(对接源_01入库吨位!$H$5:$H$304,MATCH(INT((ROW()-5)/3)+1,对接源_01入库吨位!$S$5:$S$304,0))),IF($D553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3" s="122" t="str">
        <f t="shared" si="66"/>
        <v/>
      </c>
      <c r="H553" s="43"/>
      <c r="I553" s="107"/>
      <c r="J553" s="123" t="str">
        <f t="shared" si="67"/>
        <v/>
      </c>
      <c r="K553" s="76" t="str">
        <f t="shared" si="68"/>
        <v/>
      </c>
      <c r="L553" s="43"/>
      <c r="M553" s="7"/>
      <c r="N553" s="106"/>
      <c r="R553" s="3" t="str">
        <f t="shared" si="69"/>
        <v/>
      </c>
      <c r="S553" s="3">
        <f t="shared" si="70"/>
        <v>0</v>
      </c>
      <c r="T553" s="3">
        <f t="shared" si="71"/>
        <v>13</v>
      </c>
    </row>
    <row r="554" spans="1:20">
      <c r="A554" s="74" t="str">
        <f t="shared" si="64"/>
        <v/>
      </c>
      <c r="B554" s="75" t="str">
        <f>IFERROR(INDEX(对接源_01入库吨位!$B$5:$B$304,MATCH(INT((ROW()-5)/3)+1,对接源_01入库吨位!$S$5:$S$304,0)),"")</f>
        <v/>
      </c>
      <c r="C554" s="75" t="str">
        <f>IFERROR(INDEX(对接源_01入库吨位!$C$5:$C$304,MATCH(INT((ROW()-5)/3)+1,对接源_01入库吨位!$S$5:$S$304,0)),"")</f>
        <v/>
      </c>
      <c r="D554" s="89" t="str">
        <f t="shared" si="65"/>
        <v/>
      </c>
      <c r="E554" s="42" t="str">
        <f>IF($B554="","",IFERROR(IF($D554="周转打冷",N(INDEX(对接源_01入库吨位!$D$5:$D$304,MATCH(INT((ROW()-5)/3)+1,对接源_01入库吨位!$S$5:$S$304,0))),IF($D554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4" s="76" t="str">
        <f>IF($B554="","",ROUND(IFERROR(IF($D554="周转打冷",N(INDEX(对接源_01入库吨位!$H$5:$H$304,MATCH(INT((ROW()-5)/3)+1,对接源_01入库吨位!$S$5:$S$304,0))),IF($D554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4" s="122" t="str">
        <f t="shared" si="66"/>
        <v/>
      </c>
      <c r="H554" s="43"/>
      <c r="I554" s="107"/>
      <c r="J554" s="123" t="str">
        <f t="shared" si="67"/>
        <v/>
      </c>
      <c r="K554" s="76" t="str">
        <f t="shared" si="68"/>
        <v/>
      </c>
      <c r="L554" s="43"/>
      <c r="M554" s="7"/>
      <c r="N554" s="106"/>
      <c r="R554" s="3" t="str">
        <f t="shared" si="69"/>
        <v/>
      </c>
      <c r="S554" s="3">
        <f t="shared" si="70"/>
        <v>0</v>
      </c>
      <c r="T554" s="3">
        <f t="shared" si="71"/>
        <v>13</v>
      </c>
    </row>
    <row r="555" spans="1:20">
      <c r="A555" s="74" t="str">
        <f t="shared" si="64"/>
        <v/>
      </c>
      <c r="B555" s="75" t="str">
        <f>IFERROR(INDEX(对接源_01入库吨位!$B$5:$B$304,MATCH(INT((ROW()-5)/3)+1,对接源_01入库吨位!$S$5:$S$304,0)),"")</f>
        <v/>
      </c>
      <c r="C555" s="75" t="str">
        <f>IFERROR(INDEX(对接源_01入库吨位!$C$5:$C$304,MATCH(INT((ROW()-5)/3)+1,对接源_01入库吨位!$S$5:$S$304,0)),"")</f>
        <v/>
      </c>
      <c r="D555" s="89" t="str">
        <f t="shared" si="65"/>
        <v/>
      </c>
      <c r="E555" s="42" t="str">
        <f>IF($B555="","",IFERROR(IF($D555="周转打冷",N(INDEX(对接源_01入库吨位!$D$5:$D$304,MATCH(INT((ROW()-5)/3)+1,对接源_01入库吨位!$S$5:$S$304,0))),IF($D555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5" s="76" t="str">
        <f>IF($B555="","",ROUND(IFERROR(IF($D555="周转打冷",N(INDEX(对接源_01入库吨位!$H$5:$H$304,MATCH(INT((ROW()-5)/3)+1,对接源_01入库吨位!$S$5:$S$304,0))),IF($D555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5" s="122" t="str">
        <f t="shared" si="66"/>
        <v/>
      </c>
      <c r="H555" s="43"/>
      <c r="I555" s="107"/>
      <c r="J555" s="123" t="str">
        <f t="shared" si="67"/>
        <v/>
      </c>
      <c r="K555" s="76" t="str">
        <f t="shared" si="68"/>
        <v/>
      </c>
      <c r="L555" s="43"/>
      <c r="M555" s="7"/>
      <c r="N555" s="106"/>
      <c r="R555" s="3" t="str">
        <f t="shared" si="69"/>
        <v/>
      </c>
      <c r="S555" s="3">
        <f t="shared" si="70"/>
        <v>0</v>
      </c>
      <c r="T555" s="3">
        <f t="shared" si="71"/>
        <v>13</v>
      </c>
    </row>
    <row r="556" spans="1:20">
      <c r="A556" s="74" t="str">
        <f t="shared" si="64"/>
        <v/>
      </c>
      <c r="B556" s="75" t="str">
        <f>IFERROR(INDEX(对接源_01入库吨位!$B$5:$B$304,MATCH(INT((ROW()-5)/3)+1,对接源_01入库吨位!$S$5:$S$304,0)),"")</f>
        <v/>
      </c>
      <c r="C556" s="75" t="str">
        <f>IFERROR(INDEX(对接源_01入库吨位!$C$5:$C$304,MATCH(INT((ROW()-5)/3)+1,对接源_01入库吨位!$S$5:$S$304,0)),"")</f>
        <v/>
      </c>
      <c r="D556" s="89" t="str">
        <f t="shared" si="65"/>
        <v/>
      </c>
      <c r="E556" s="42" t="str">
        <f>IF($B556="","",IFERROR(IF($D556="周转打冷",N(INDEX(对接源_01入库吨位!$D$5:$D$304,MATCH(INT((ROW()-5)/3)+1,对接源_01入库吨位!$S$5:$S$304,0))),IF($D556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6" s="76" t="str">
        <f>IF($B556="","",ROUND(IFERROR(IF($D556="周转打冷",N(INDEX(对接源_01入库吨位!$H$5:$H$304,MATCH(INT((ROW()-5)/3)+1,对接源_01入库吨位!$S$5:$S$304,0))),IF($D556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6" s="122" t="str">
        <f t="shared" si="66"/>
        <v/>
      </c>
      <c r="H556" s="43"/>
      <c r="I556" s="107"/>
      <c r="J556" s="123" t="str">
        <f t="shared" si="67"/>
        <v/>
      </c>
      <c r="K556" s="76" t="str">
        <f t="shared" si="68"/>
        <v/>
      </c>
      <c r="L556" s="43"/>
      <c r="M556" s="7"/>
      <c r="N556" s="106"/>
      <c r="R556" s="3" t="str">
        <f t="shared" si="69"/>
        <v/>
      </c>
      <c r="S556" s="3">
        <f t="shared" si="70"/>
        <v>0</v>
      </c>
      <c r="T556" s="3">
        <f t="shared" si="71"/>
        <v>13</v>
      </c>
    </row>
    <row r="557" spans="1:20">
      <c r="A557" s="74" t="str">
        <f t="shared" si="64"/>
        <v/>
      </c>
      <c r="B557" s="75" t="str">
        <f>IFERROR(INDEX(对接源_01入库吨位!$B$5:$B$304,MATCH(INT((ROW()-5)/3)+1,对接源_01入库吨位!$S$5:$S$304,0)),"")</f>
        <v/>
      </c>
      <c r="C557" s="75" t="str">
        <f>IFERROR(INDEX(对接源_01入库吨位!$C$5:$C$304,MATCH(INT((ROW()-5)/3)+1,对接源_01入库吨位!$S$5:$S$304,0)),"")</f>
        <v/>
      </c>
      <c r="D557" s="89" t="str">
        <f t="shared" si="65"/>
        <v/>
      </c>
      <c r="E557" s="42" t="str">
        <f>IF($B557="","",IFERROR(IF($D557="周转打冷",N(INDEX(对接源_01入库吨位!$D$5:$D$304,MATCH(INT((ROW()-5)/3)+1,对接源_01入库吨位!$S$5:$S$304,0))),IF($D557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7" s="76" t="str">
        <f>IF($B557="","",ROUND(IFERROR(IF($D557="周转打冷",N(INDEX(对接源_01入库吨位!$H$5:$H$304,MATCH(INT((ROW()-5)/3)+1,对接源_01入库吨位!$S$5:$S$304,0))),IF($D557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7" s="122" t="str">
        <f t="shared" si="66"/>
        <v/>
      </c>
      <c r="H557" s="43"/>
      <c r="I557" s="107"/>
      <c r="J557" s="123" t="str">
        <f t="shared" si="67"/>
        <v/>
      </c>
      <c r="K557" s="76" t="str">
        <f t="shared" si="68"/>
        <v/>
      </c>
      <c r="L557" s="43"/>
      <c r="M557" s="7"/>
      <c r="N557" s="106"/>
      <c r="R557" s="3" t="str">
        <f t="shared" si="69"/>
        <v/>
      </c>
      <c r="S557" s="3">
        <f t="shared" si="70"/>
        <v>0</v>
      </c>
      <c r="T557" s="3">
        <f t="shared" si="71"/>
        <v>13</v>
      </c>
    </row>
    <row r="558" spans="1:20">
      <c r="A558" s="74" t="str">
        <f t="shared" si="64"/>
        <v/>
      </c>
      <c r="B558" s="75" t="str">
        <f>IFERROR(INDEX(对接源_01入库吨位!$B$5:$B$304,MATCH(INT((ROW()-5)/3)+1,对接源_01入库吨位!$S$5:$S$304,0)),"")</f>
        <v/>
      </c>
      <c r="C558" s="75" t="str">
        <f>IFERROR(INDEX(对接源_01入库吨位!$C$5:$C$304,MATCH(INT((ROW()-5)/3)+1,对接源_01入库吨位!$S$5:$S$304,0)),"")</f>
        <v/>
      </c>
      <c r="D558" s="89" t="str">
        <f t="shared" si="65"/>
        <v/>
      </c>
      <c r="E558" s="42" t="str">
        <f>IF($B558="","",IFERROR(IF($D558="周转打冷",N(INDEX(对接源_01入库吨位!$D$5:$D$304,MATCH(INT((ROW()-5)/3)+1,对接源_01入库吨位!$S$5:$S$304,0))),IF($D558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8" s="76" t="str">
        <f>IF($B558="","",ROUND(IFERROR(IF($D558="周转打冷",N(INDEX(对接源_01入库吨位!$H$5:$H$304,MATCH(INT((ROW()-5)/3)+1,对接源_01入库吨位!$S$5:$S$304,0))),IF($D558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8" s="122" t="str">
        <f t="shared" si="66"/>
        <v/>
      </c>
      <c r="H558" s="43"/>
      <c r="I558" s="107"/>
      <c r="J558" s="123" t="str">
        <f t="shared" si="67"/>
        <v/>
      </c>
      <c r="K558" s="76" t="str">
        <f t="shared" si="68"/>
        <v/>
      </c>
      <c r="L558" s="43"/>
      <c r="M558" s="7"/>
      <c r="N558" s="106"/>
      <c r="R558" s="3" t="str">
        <f t="shared" si="69"/>
        <v/>
      </c>
      <c r="S558" s="3">
        <f t="shared" si="70"/>
        <v>0</v>
      </c>
      <c r="T558" s="3">
        <f t="shared" si="71"/>
        <v>13</v>
      </c>
    </row>
    <row r="559" spans="1:20">
      <c r="A559" s="74" t="str">
        <f t="shared" si="64"/>
        <v/>
      </c>
      <c r="B559" s="75" t="str">
        <f>IFERROR(INDEX(对接源_01入库吨位!$B$5:$B$304,MATCH(INT((ROW()-5)/3)+1,对接源_01入库吨位!$S$5:$S$304,0)),"")</f>
        <v/>
      </c>
      <c r="C559" s="75" t="str">
        <f>IFERROR(INDEX(对接源_01入库吨位!$C$5:$C$304,MATCH(INT((ROW()-5)/3)+1,对接源_01入库吨位!$S$5:$S$304,0)),"")</f>
        <v/>
      </c>
      <c r="D559" s="89" t="str">
        <f t="shared" si="65"/>
        <v/>
      </c>
      <c r="E559" s="42" t="str">
        <f>IF($B559="","",IFERROR(IF($D559="周转打冷",N(INDEX(对接源_01入库吨位!$D$5:$D$304,MATCH(INT((ROW()-5)/3)+1,对接源_01入库吨位!$S$5:$S$304,0))),IF($D559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9" s="76" t="str">
        <f>IF($B559="","",ROUND(IFERROR(IF($D559="周转打冷",N(INDEX(对接源_01入库吨位!$H$5:$H$304,MATCH(INT((ROW()-5)/3)+1,对接源_01入库吨位!$S$5:$S$304,0))),IF($D559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9" s="122" t="str">
        <f t="shared" si="66"/>
        <v/>
      </c>
      <c r="H559" s="43"/>
      <c r="I559" s="107"/>
      <c r="J559" s="123" t="str">
        <f t="shared" si="67"/>
        <v/>
      </c>
      <c r="K559" s="76" t="str">
        <f t="shared" si="68"/>
        <v/>
      </c>
      <c r="L559" s="43"/>
      <c r="M559" s="7"/>
      <c r="N559" s="106"/>
      <c r="R559" s="3" t="str">
        <f t="shared" si="69"/>
        <v/>
      </c>
      <c r="S559" s="3">
        <f t="shared" si="70"/>
        <v>0</v>
      </c>
      <c r="T559" s="3">
        <f t="shared" si="71"/>
        <v>13</v>
      </c>
    </row>
    <row r="560" spans="1:20">
      <c r="A560" s="74" t="str">
        <f t="shared" si="64"/>
        <v/>
      </c>
      <c r="B560" s="75" t="str">
        <f>IFERROR(INDEX(对接源_01入库吨位!$B$5:$B$304,MATCH(INT((ROW()-5)/3)+1,对接源_01入库吨位!$S$5:$S$304,0)),"")</f>
        <v/>
      </c>
      <c r="C560" s="75" t="str">
        <f>IFERROR(INDEX(对接源_01入库吨位!$C$5:$C$304,MATCH(INT((ROW()-5)/3)+1,对接源_01入库吨位!$S$5:$S$304,0)),"")</f>
        <v/>
      </c>
      <c r="D560" s="89" t="str">
        <f t="shared" si="65"/>
        <v/>
      </c>
      <c r="E560" s="42" t="str">
        <f>IF($B560="","",IFERROR(IF($D560="周转打冷",N(INDEX(对接源_01入库吨位!$D$5:$D$304,MATCH(INT((ROW()-5)/3)+1,对接源_01入库吨位!$S$5:$S$304,0))),IF($D560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0" s="76" t="str">
        <f>IF($B560="","",ROUND(IFERROR(IF($D560="周转打冷",N(INDEX(对接源_01入库吨位!$H$5:$H$304,MATCH(INT((ROW()-5)/3)+1,对接源_01入库吨位!$S$5:$S$304,0))),IF($D560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0" s="122" t="str">
        <f t="shared" si="66"/>
        <v/>
      </c>
      <c r="H560" s="43"/>
      <c r="I560" s="107"/>
      <c r="J560" s="123" t="str">
        <f t="shared" si="67"/>
        <v/>
      </c>
      <c r="K560" s="76" t="str">
        <f t="shared" si="68"/>
        <v/>
      </c>
      <c r="L560" s="43"/>
      <c r="M560" s="7"/>
      <c r="N560" s="106"/>
      <c r="R560" s="3" t="str">
        <f t="shared" si="69"/>
        <v/>
      </c>
      <c r="S560" s="3">
        <f t="shared" si="70"/>
        <v>0</v>
      </c>
      <c r="T560" s="3">
        <f t="shared" si="71"/>
        <v>13</v>
      </c>
    </row>
    <row r="561" spans="1:20">
      <c r="A561" s="74" t="str">
        <f t="shared" si="64"/>
        <v/>
      </c>
      <c r="B561" s="75" t="str">
        <f>IFERROR(INDEX(对接源_01入库吨位!$B$5:$B$304,MATCH(INT((ROW()-5)/3)+1,对接源_01入库吨位!$S$5:$S$304,0)),"")</f>
        <v/>
      </c>
      <c r="C561" s="75" t="str">
        <f>IFERROR(INDEX(对接源_01入库吨位!$C$5:$C$304,MATCH(INT((ROW()-5)/3)+1,对接源_01入库吨位!$S$5:$S$304,0)),"")</f>
        <v/>
      </c>
      <c r="D561" s="89" t="str">
        <f t="shared" si="65"/>
        <v/>
      </c>
      <c r="E561" s="42" t="str">
        <f>IF($B561="","",IFERROR(IF($D561="周转打冷",N(INDEX(对接源_01入库吨位!$D$5:$D$304,MATCH(INT((ROW()-5)/3)+1,对接源_01入库吨位!$S$5:$S$304,0))),IF($D561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1" s="76" t="str">
        <f>IF($B561="","",ROUND(IFERROR(IF($D561="周转打冷",N(INDEX(对接源_01入库吨位!$H$5:$H$304,MATCH(INT((ROW()-5)/3)+1,对接源_01入库吨位!$S$5:$S$304,0))),IF($D561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1" s="122" t="str">
        <f t="shared" si="66"/>
        <v/>
      </c>
      <c r="H561" s="43"/>
      <c r="I561" s="107"/>
      <c r="J561" s="123" t="str">
        <f t="shared" si="67"/>
        <v/>
      </c>
      <c r="K561" s="76" t="str">
        <f t="shared" si="68"/>
        <v/>
      </c>
      <c r="L561" s="43"/>
      <c r="M561" s="7"/>
      <c r="N561" s="106"/>
      <c r="R561" s="3" t="str">
        <f t="shared" si="69"/>
        <v/>
      </c>
      <c r="S561" s="3">
        <f t="shared" si="70"/>
        <v>0</v>
      </c>
      <c r="T561" s="3">
        <f t="shared" si="71"/>
        <v>13</v>
      </c>
    </row>
    <row r="562" spans="1:20">
      <c r="A562" s="74" t="str">
        <f t="shared" si="64"/>
        <v/>
      </c>
      <c r="B562" s="75" t="str">
        <f>IFERROR(INDEX(对接源_01入库吨位!$B$5:$B$304,MATCH(INT((ROW()-5)/3)+1,对接源_01入库吨位!$S$5:$S$304,0)),"")</f>
        <v/>
      </c>
      <c r="C562" s="75" t="str">
        <f>IFERROR(INDEX(对接源_01入库吨位!$C$5:$C$304,MATCH(INT((ROW()-5)/3)+1,对接源_01入库吨位!$S$5:$S$304,0)),"")</f>
        <v/>
      </c>
      <c r="D562" s="89" t="str">
        <f t="shared" si="65"/>
        <v/>
      </c>
      <c r="E562" s="42" t="str">
        <f>IF($B562="","",IFERROR(IF($D562="周转打冷",N(INDEX(对接源_01入库吨位!$D$5:$D$304,MATCH(INT((ROW()-5)/3)+1,对接源_01入库吨位!$S$5:$S$304,0))),IF($D562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2" s="76" t="str">
        <f>IF($B562="","",ROUND(IFERROR(IF($D562="周转打冷",N(INDEX(对接源_01入库吨位!$H$5:$H$304,MATCH(INT((ROW()-5)/3)+1,对接源_01入库吨位!$S$5:$S$304,0))),IF($D562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2" s="122" t="str">
        <f t="shared" si="66"/>
        <v/>
      </c>
      <c r="H562" s="43"/>
      <c r="I562" s="107"/>
      <c r="J562" s="123" t="str">
        <f t="shared" si="67"/>
        <v/>
      </c>
      <c r="K562" s="76" t="str">
        <f t="shared" si="68"/>
        <v/>
      </c>
      <c r="L562" s="43"/>
      <c r="M562" s="7"/>
      <c r="N562" s="106"/>
      <c r="R562" s="3" t="str">
        <f t="shared" si="69"/>
        <v/>
      </c>
      <c r="S562" s="3">
        <f t="shared" si="70"/>
        <v>0</v>
      </c>
      <c r="T562" s="3">
        <f t="shared" si="71"/>
        <v>13</v>
      </c>
    </row>
    <row r="563" spans="1:20">
      <c r="A563" s="74" t="str">
        <f t="shared" si="64"/>
        <v/>
      </c>
      <c r="B563" s="75" t="str">
        <f>IFERROR(INDEX(对接源_01入库吨位!$B$5:$B$304,MATCH(INT((ROW()-5)/3)+1,对接源_01入库吨位!$S$5:$S$304,0)),"")</f>
        <v/>
      </c>
      <c r="C563" s="75" t="str">
        <f>IFERROR(INDEX(对接源_01入库吨位!$C$5:$C$304,MATCH(INT((ROW()-5)/3)+1,对接源_01入库吨位!$S$5:$S$304,0)),"")</f>
        <v/>
      </c>
      <c r="D563" s="89" t="str">
        <f t="shared" si="65"/>
        <v/>
      </c>
      <c r="E563" s="42" t="str">
        <f>IF($B563="","",IFERROR(IF($D563="周转打冷",N(INDEX(对接源_01入库吨位!$D$5:$D$304,MATCH(INT((ROW()-5)/3)+1,对接源_01入库吨位!$S$5:$S$304,0))),IF($D563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3" s="76" t="str">
        <f>IF($B563="","",ROUND(IFERROR(IF($D563="周转打冷",N(INDEX(对接源_01入库吨位!$H$5:$H$304,MATCH(INT((ROW()-5)/3)+1,对接源_01入库吨位!$S$5:$S$304,0))),IF($D563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3" s="122" t="str">
        <f t="shared" si="66"/>
        <v/>
      </c>
      <c r="H563" s="43"/>
      <c r="I563" s="107"/>
      <c r="J563" s="123" t="str">
        <f t="shared" si="67"/>
        <v/>
      </c>
      <c r="K563" s="76" t="str">
        <f t="shared" si="68"/>
        <v/>
      </c>
      <c r="L563" s="43"/>
      <c r="M563" s="7"/>
      <c r="N563" s="106"/>
      <c r="R563" s="3" t="str">
        <f t="shared" si="69"/>
        <v/>
      </c>
      <c r="S563" s="3">
        <f t="shared" si="70"/>
        <v>0</v>
      </c>
      <c r="T563" s="3">
        <f t="shared" si="71"/>
        <v>13</v>
      </c>
    </row>
    <row r="564" spans="1:20">
      <c r="A564" s="74" t="str">
        <f t="shared" si="64"/>
        <v/>
      </c>
      <c r="B564" s="75" t="str">
        <f>IFERROR(INDEX(对接源_01入库吨位!$B$5:$B$304,MATCH(INT((ROW()-5)/3)+1,对接源_01入库吨位!$S$5:$S$304,0)),"")</f>
        <v/>
      </c>
      <c r="C564" s="75" t="str">
        <f>IFERROR(INDEX(对接源_01入库吨位!$C$5:$C$304,MATCH(INT((ROW()-5)/3)+1,对接源_01入库吨位!$S$5:$S$304,0)),"")</f>
        <v/>
      </c>
      <c r="D564" s="89" t="str">
        <f t="shared" si="65"/>
        <v/>
      </c>
      <c r="E564" s="42" t="str">
        <f>IF($B564="","",IFERROR(IF($D564="周转打冷",N(INDEX(对接源_01入库吨位!$D$5:$D$304,MATCH(INT((ROW()-5)/3)+1,对接源_01入库吨位!$S$5:$S$304,0))),IF($D564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4" s="76" t="str">
        <f>IF($B564="","",ROUND(IFERROR(IF($D564="周转打冷",N(INDEX(对接源_01入库吨位!$H$5:$H$304,MATCH(INT((ROW()-5)/3)+1,对接源_01入库吨位!$S$5:$S$304,0))),IF($D564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4" s="122" t="str">
        <f t="shared" si="66"/>
        <v/>
      </c>
      <c r="H564" s="43"/>
      <c r="I564" s="107"/>
      <c r="J564" s="123" t="str">
        <f t="shared" si="67"/>
        <v/>
      </c>
      <c r="K564" s="76" t="str">
        <f t="shared" si="68"/>
        <v/>
      </c>
      <c r="L564" s="43"/>
      <c r="M564" s="7"/>
      <c r="N564" s="106"/>
      <c r="R564" s="3" t="str">
        <f t="shared" si="69"/>
        <v/>
      </c>
      <c r="S564" s="3">
        <f t="shared" si="70"/>
        <v>0</v>
      </c>
      <c r="T564" s="3">
        <f t="shared" si="71"/>
        <v>13</v>
      </c>
    </row>
    <row r="565" spans="1:20">
      <c r="A565" s="74" t="str">
        <f t="shared" si="64"/>
        <v/>
      </c>
      <c r="B565" s="75" t="str">
        <f>IFERROR(INDEX(对接源_01入库吨位!$B$5:$B$304,MATCH(INT((ROW()-5)/3)+1,对接源_01入库吨位!$S$5:$S$304,0)),"")</f>
        <v/>
      </c>
      <c r="C565" s="75" t="str">
        <f>IFERROR(INDEX(对接源_01入库吨位!$C$5:$C$304,MATCH(INT((ROW()-5)/3)+1,对接源_01入库吨位!$S$5:$S$304,0)),"")</f>
        <v/>
      </c>
      <c r="D565" s="89" t="str">
        <f t="shared" si="65"/>
        <v/>
      </c>
      <c r="E565" s="42" t="str">
        <f>IF($B565="","",IFERROR(IF($D565="周转打冷",N(INDEX(对接源_01入库吨位!$D$5:$D$304,MATCH(INT((ROW()-5)/3)+1,对接源_01入库吨位!$S$5:$S$304,0))),IF($D565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5" s="76" t="str">
        <f>IF($B565="","",ROUND(IFERROR(IF($D565="周转打冷",N(INDEX(对接源_01入库吨位!$H$5:$H$304,MATCH(INT((ROW()-5)/3)+1,对接源_01入库吨位!$S$5:$S$304,0))),IF($D565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5" s="122" t="str">
        <f t="shared" si="66"/>
        <v/>
      </c>
      <c r="H565" s="43"/>
      <c r="I565" s="107"/>
      <c r="J565" s="123" t="str">
        <f t="shared" si="67"/>
        <v/>
      </c>
      <c r="K565" s="76" t="str">
        <f t="shared" si="68"/>
        <v/>
      </c>
      <c r="L565" s="43"/>
      <c r="M565" s="7"/>
      <c r="N565" s="106"/>
      <c r="R565" s="3" t="str">
        <f t="shared" si="69"/>
        <v/>
      </c>
      <c r="S565" s="3">
        <f t="shared" si="70"/>
        <v>0</v>
      </c>
      <c r="T565" s="3">
        <f t="shared" si="71"/>
        <v>13</v>
      </c>
    </row>
    <row r="566" spans="1:20">
      <c r="A566" s="74" t="str">
        <f t="shared" si="64"/>
        <v/>
      </c>
      <c r="B566" s="75" t="str">
        <f>IFERROR(INDEX(对接源_01入库吨位!$B$5:$B$304,MATCH(INT((ROW()-5)/3)+1,对接源_01入库吨位!$S$5:$S$304,0)),"")</f>
        <v/>
      </c>
      <c r="C566" s="75" t="str">
        <f>IFERROR(INDEX(对接源_01入库吨位!$C$5:$C$304,MATCH(INT((ROW()-5)/3)+1,对接源_01入库吨位!$S$5:$S$304,0)),"")</f>
        <v/>
      </c>
      <c r="D566" s="89" t="str">
        <f t="shared" si="65"/>
        <v/>
      </c>
      <c r="E566" s="42" t="str">
        <f>IF($B566="","",IFERROR(IF($D566="周转打冷",N(INDEX(对接源_01入库吨位!$D$5:$D$304,MATCH(INT((ROW()-5)/3)+1,对接源_01入库吨位!$S$5:$S$304,0))),IF($D566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6" s="76" t="str">
        <f>IF($B566="","",ROUND(IFERROR(IF($D566="周转打冷",N(INDEX(对接源_01入库吨位!$H$5:$H$304,MATCH(INT((ROW()-5)/3)+1,对接源_01入库吨位!$S$5:$S$304,0))),IF($D566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6" s="122" t="str">
        <f t="shared" si="66"/>
        <v/>
      </c>
      <c r="H566" s="43"/>
      <c r="I566" s="107"/>
      <c r="J566" s="123" t="str">
        <f t="shared" si="67"/>
        <v/>
      </c>
      <c r="K566" s="76" t="str">
        <f t="shared" si="68"/>
        <v/>
      </c>
      <c r="L566" s="43"/>
      <c r="M566" s="7"/>
      <c r="N566" s="106"/>
      <c r="R566" s="3" t="str">
        <f t="shared" si="69"/>
        <v/>
      </c>
      <c r="S566" s="3">
        <f t="shared" si="70"/>
        <v>0</v>
      </c>
      <c r="T566" s="3">
        <f t="shared" si="71"/>
        <v>13</v>
      </c>
    </row>
    <row r="567" spans="1:20">
      <c r="A567" s="74" t="str">
        <f t="shared" si="64"/>
        <v/>
      </c>
      <c r="B567" s="75" t="str">
        <f>IFERROR(INDEX(对接源_01入库吨位!$B$5:$B$304,MATCH(INT((ROW()-5)/3)+1,对接源_01入库吨位!$S$5:$S$304,0)),"")</f>
        <v/>
      </c>
      <c r="C567" s="75" t="str">
        <f>IFERROR(INDEX(对接源_01入库吨位!$C$5:$C$304,MATCH(INT((ROW()-5)/3)+1,对接源_01入库吨位!$S$5:$S$304,0)),"")</f>
        <v/>
      </c>
      <c r="D567" s="89" t="str">
        <f t="shared" si="65"/>
        <v/>
      </c>
      <c r="E567" s="42" t="str">
        <f>IF($B567="","",IFERROR(IF($D567="周转打冷",N(INDEX(对接源_01入库吨位!$D$5:$D$304,MATCH(INT((ROW()-5)/3)+1,对接源_01入库吨位!$S$5:$S$304,0))),IF($D567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7" s="76" t="str">
        <f>IF($B567="","",ROUND(IFERROR(IF($D567="周转打冷",N(INDEX(对接源_01入库吨位!$H$5:$H$304,MATCH(INT((ROW()-5)/3)+1,对接源_01入库吨位!$S$5:$S$304,0))),IF($D567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7" s="122" t="str">
        <f t="shared" si="66"/>
        <v/>
      </c>
      <c r="H567" s="43"/>
      <c r="I567" s="107"/>
      <c r="J567" s="123" t="str">
        <f t="shared" si="67"/>
        <v/>
      </c>
      <c r="K567" s="76" t="str">
        <f t="shared" si="68"/>
        <v/>
      </c>
      <c r="L567" s="43"/>
      <c r="M567" s="7"/>
      <c r="N567" s="106"/>
      <c r="R567" s="3" t="str">
        <f t="shared" si="69"/>
        <v/>
      </c>
      <c r="S567" s="3">
        <f t="shared" si="70"/>
        <v>0</v>
      </c>
      <c r="T567" s="3">
        <f t="shared" si="71"/>
        <v>13</v>
      </c>
    </row>
    <row r="568" spans="1:20">
      <c r="A568" s="74" t="str">
        <f t="shared" si="64"/>
        <v/>
      </c>
      <c r="B568" s="75" t="str">
        <f>IFERROR(INDEX(对接源_01入库吨位!$B$5:$B$304,MATCH(INT((ROW()-5)/3)+1,对接源_01入库吨位!$S$5:$S$304,0)),"")</f>
        <v/>
      </c>
      <c r="C568" s="75" t="str">
        <f>IFERROR(INDEX(对接源_01入库吨位!$C$5:$C$304,MATCH(INT((ROW()-5)/3)+1,对接源_01入库吨位!$S$5:$S$304,0)),"")</f>
        <v/>
      </c>
      <c r="D568" s="89" t="str">
        <f t="shared" si="65"/>
        <v/>
      </c>
      <c r="E568" s="42" t="str">
        <f>IF($B568="","",IFERROR(IF($D568="周转打冷",N(INDEX(对接源_01入库吨位!$D$5:$D$304,MATCH(INT((ROW()-5)/3)+1,对接源_01入库吨位!$S$5:$S$304,0))),IF($D568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8" s="76" t="str">
        <f>IF($B568="","",ROUND(IFERROR(IF($D568="周转打冷",N(INDEX(对接源_01入库吨位!$H$5:$H$304,MATCH(INT((ROW()-5)/3)+1,对接源_01入库吨位!$S$5:$S$304,0))),IF($D568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8" s="122" t="str">
        <f t="shared" si="66"/>
        <v/>
      </c>
      <c r="H568" s="43"/>
      <c r="I568" s="107"/>
      <c r="J568" s="123" t="str">
        <f t="shared" si="67"/>
        <v/>
      </c>
      <c r="K568" s="76" t="str">
        <f t="shared" si="68"/>
        <v/>
      </c>
      <c r="L568" s="43"/>
      <c r="M568" s="7"/>
      <c r="N568" s="106"/>
      <c r="R568" s="3" t="str">
        <f t="shared" si="69"/>
        <v/>
      </c>
      <c r="S568" s="3">
        <f t="shared" si="70"/>
        <v>0</v>
      </c>
      <c r="T568" s="3">
        <f t="shared" si="71"/>
        <v>13</v>
      </c>
    </row>
    <row r="569" spans="1:20">
      <c r="A569" s="74" t="str">
        <f t="shared" si="64"/>
        <v/>
      </c>
      <c r="B569" s="75" t="str">
        <f>IFERROR(INDEX(对接源_01入库吨位!$B$5:$B$304,MATCH(INT((ROW()-5)/3)+1,对接源_01入库吨位!$S$5:$S$304,0)),"")</f>
        <v/>
      </c>
      <c r="C569" s="75" t="str">
        <f>IFERROR(INDEX(对接源_01入库吨位!$C$5:$C$304,MATCH(INT((ROW()-5)/3)+1,对接源_01入库吨位!$S$5:$S$304,0)),"")</f>
        <v/>
      </c>
      <c r="D569" s="89" t="str">
        <f t="shared" si="65"/>
        <v/>
      </c>
      <c r="E569" s="42" t="str">
        <f>IF($B569="","",IFERROR(IF($D569="周转打冷",N(INDEX(对接源_01入库吨位!$D$5:$D$304,MATCH(INT((ROW()-5)/3)+1,对接源_01入库吨位!$S$5:$S$304,0))),IF($D569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9" s="76" t="str">
        <f>IF($B569="","",ROUND(IFERROR(IF($D569="周转打冷",N(INDEX(对接源_01入库吨位!$H$5:$H$304,MATCH(INT((ROW()-5)/3)+1,对接源_01入库吨位!$S$5:$S$304,0))),IF($D569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9" s="122" t="str">
        <f t="shared" si="66"/>
        <v/>
      </c>
      <c r="H569" s="43"/>
      <c r="I569" s="107"/>
      <c r="J569" s="123" t="str">
        <f t="shared" si="67"/>
        <v/>
      </c>
      <c r="K569" s="76" t="str">
        <f t="shared" si="68"/>
        <v/>
      </c>
      <c r="L569" s="43"/>
      <c r="M569" s="7"/>
      <c r="N569" s="106"/>
      <c r="R569" s="3" t="str">
        <f t="shared" si="69"/>
        <v/>
      </c>
      <c r="S569" s="3">
        <f t="shared" si="70"/>
        <v>0</v>
      </c>
      <c r="T569" s="3">
        <f t="shared" si="71"/>
        <v>13</v>
      </c>
    </row>
    <row r="570" spans="1:20">
      <c r="A570" s="74" t="str">
        <f t="shared" si="64"/>
        <v/>
      </c>
      <c r="B570" s="75" t="str">
        <f>IFERROR(INDEX(对接源_01入库吨位!$B$5:$B$304,MATCH(INT((ROW()-5)/3)+1,对接源_01入库吨位!$S$5:$S$304,0)),"")</f>
        <v/>
      </c>
      <c r="C570" s="75" t="str">
        <f>IFERROR(INDEX(对接源_01入库吨位!$C$5:$C$304,MATCH(INT((ROW()-5)/3)+1,对接源_01入库吨位!$S$5:$S$304,0)),"")</f>
        <v/>
      </c>
      <c r="D570" s="89" t="str">
        <f t="shared" si="65"/>
        <v/>
      </c>
      <c r="E570" s="42" t="str">
        <f>IF($B570="","",IFERROR(IF($D570="周转打冷",N(INDEX(对接源_01入库吨位!$D$5:$D$304,MATCH(INT((ROW()-5)/3)+1,对接源_01入库吨位!$S$5:$S$304,0))),IF($D570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0" s="76" t="str">
        <f>IF($B570="","",ROUND(IFERROR(IF($D570="周转打冷",N(INDEX(对接源_01入库吨位!$H$5:$H$304,MATCH(INT((ROW()-5)/3)+1,对接源_01入库吨位!$S$5:$S$304,0))),IF($D570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0" s="122" t="str">
        <f t="shared" si="66"/>
        <v/>
      </c>
      <c r="H570" s="43"/>
      <c r="I570" s="107"/>
      <c r="J570" s="123" t="str">
        <f t="shared" si="67"/>
        <v/>
      </c>
      <c r="K570" s="76" t="str">
        <f t="shared" si="68"/>
        <v/>
      </c>
      <c r="L570" s="43"/>
      <c r="M570" s="7"/>
      <c r="N570" s="106"/>
      <c r="R570" s="3" t="str">
        <f t="shared" si="69"/>
        <v/>
      </c>
      <c r="S570" s="3">
        <f t="shared" si="70"/>
        <v>0</v>
      </c>
      <c r="T570" s="3">
        <f t="shared" si="71"/>
        <v>13</v>
      </c>
    </row>
    <row r="571" spans="1:20">
      <c r="A571" s="74" t="str">
        <f t="shared" si="64"/>
        <v/>
      </c>
      <c r="B571" s="75" t="str">
        <f>IFERROR(INDEX(对接源_01入库吨位!$B$5:$B$304,MATCH(INT((ROW()-5)/3)+1,对接源_01入库吨位!$S$5:$S$304,0)),"")</f>
        <v/>
      </c>
      <c r="C571" s="75" t="str">
        <f>IFERROR(INDEX(对接源_01入库吨位!$C$5:$C$304,MATCH(INT((ROW()-5)/3)+1,对接源_01入库吨位!$S$5:$S$304,0)),"")</f>
        <v/>
      </c>
      <c r="D571" s="89" t="str">
        <f t="shared" si="65"/>
        <v/>
      </c>
      <c r="E571" s="42" t="str">
        <f>IF($B571="","",IFERROR(IF($D571="周转打冷",N(INDEX(对接源_01入库吨位!$D$5:$D$304,MATCH(INT((ROW()-5)/3)+1,对接源_01入库吨位!$S$5:$S$304,0))),IF($D571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1" s="76" t="str">
        <f>IF($B571="","",ROUND(IFERROR(IF($D571="周转打冷",N(INDEX(对接源_01入库吨位!$H$5:$H$304,MATCH(INT((ROW()-5)/3)+1,对接源_01入库吨位!$S$5:$S$304,0))),IF($D571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1" s="122" t="str">
        <f t="shared" si="66"/>
        <v/>
      </c>
      <c r="H571" s="43"/>
      <c r="I571" s="107"/>
      <c r="J571" s="123" t="str">
        <f t="shared" si="67"/>
        <v/>
      </c>
      <c r="K571" s="76" t="str">
        <f t="shared" si="68"/>
        <v/>
      </c>
      <c r="L571" s="43"/>
      <c r="M571" s="7"/>
      <c r="N571" s="106"/>
      <c r="R571" s="3" t="str">
        <f t="shared" si="69"/>
        <v/>
      </c>
      <c r="S571" s="3">
        <f t="shared" si="70"/>
        <v>0</v>
      </c>
      <c r="T571" s="3">
        <f t="shared" si="71"/>
        <v>13</v>
      </c>
    </row>
    <row r="572" spans="1:20">
      <c r="A572" s="74" t="str">
        <f t="shared" si="64"/>
        <v/>
      </c>
      <c r="B572" s="75" t="str">
        <f>IFERROR(INDEX(对接源_01入库吨位!$B$5:$B$304,MATCH(INT((ROW()-5)/3)+1,对接源_01入库吨位!$S$5:$S$304,0)),"")</f>
        <v/>
      </c>
      <c r="C572" s="75" t="str">
        <f>IFERROR(INDEX(对接源_01入库吨位!$C$5:$C$304,MATCH(INT((ROW()-5)/3)+1,对接源_01入库吨位!$S$5:$S$304,0)),"")</f>
        <v/>
      </c>
      <c r="D572" s="89" t="str">
        <f t="shared" si="65"/>
        <v/>
      </c>
      <c r="E572" s="42" t="str">
        <f>IF($B572="","",IFERROR(IF($D572="周转打冷",N(INDEX(对接源_01入库吨位!$D$5:$D$304,MATCH(INT((ROW()-5)/3)+1,对接源_01入库吨位!$S$5:$S$304,0))),IF($D572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2" s="76" t="str">
        <f>IF($B572="","",ROUND(IFERROR(IF($D572="周转打冷",N(INDEX(对接源_01入库吨位!$H$5:$H$304,MATCH(INT((ROW()-5)/3)+1,对接源_01入库吨位!$S$5:$S$304,0))),IF($D572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2" s="122" t="str">
        <f t="shared" si="66"/>
        <v/>
      </c>
      <c r="H572" s="43"/>
      <c r="I572" s="107"/>
      <c r="J572" s="123" t="str">
        <f t="shared" si="67"/>
        <v/>
      </c>
      <c r="K572" s="76" t="str">
        <f t="shared" si="68"/>
        <v/>
      </c>
      <c r="L572" s="43"/>
      <c r="M572" s="7"/>
      <c r="N572" s="106"/>
      <c r="R572" s="3" t="str">
        <f t="shared" si="69"/>
        <v/>
      </c>
      <c r="S572" s="3">
        <f t="shared" si="70"/>
        <v>0</v>
      </c>
      <c r="T572" s="3">
        <f t="shared" si="71"/>
        <v>13</v>
      </c>
    </row>
    <row r="573" spans="1:20">
      <c r="A573" s="74" t="str">
        <f t="shared" si="64"/>
        <v/>
      </c>
      <c r="B573" s="75" t="str">
        <f>IFERROR(INDEX(对接源_01入库吨位!$B$5:$B$304,MATCH(INT((ROW()-5)/3)+1,对接源_01入库吨位!$S$5:$S$304,0)),"")</f>
        <v/>
      </c>
      <c r="C573" s="75" t="str">
        <f>IFERROR(INDEX(对接源_01入库吨位!$C$5:$C$304,MATCH(INT((ROW()-5)/3)+1,对接源_01入库吨位!$S$5:$S$304,0)),"")</f>
        <v/>
      </c>
      <c r="D573" s="89" t="str">
        <f t="shared" si="65"/>
        <v/>
      </c>
      <c r="E573" s="42" t="str">
        <f>IF($B573="","",IFERROR(IF($D573="周转打冷",N(INDEX(对接源_01入库吨位!$D$5:$D$304,MATCH(INT((ROW()-5)/3)+1,对接源_01入库吨位!$S$5:$S$304,0))),IF($D573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3" s="76" t="str">
        <f>IF($B573="","",ROUND(IFERROR(IF($D573="周转打冷",N(INDEX(对接源_01入库吨位!$H$5:$H$304,MATCH(INT((ROW()-5)/3)+1,对接源_01入库吨位!$S$5:$S$304,0))),IF($D573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3" s="122" t="str">
        <f t="shared" si="66"/>
        <v/>
      </c>
      <c r="H573" s="43"/>
      <c r="I573" s="107"/>
      <c r="J573" s="123" t="str">
        <f t="shared" si="67"/>
        <v/>
      </c>
      <c r="K573" s="76" t="str">
        <f t="shared" si="68"/>
        <v/>
      </c>
      <c r="L573" s="43"/>
      <c r="M573" s="7"/>
      <c r="N573" s="106"/>
      <c r="R573" s="3" t="str">
        <f t="shared" si="69"/>
        <v/>
      </c>
      <c r="S573" s="3">
        <f t="shared" si="70"/>
        <v>0</v>
      </c>
      <c r="T573" s="3">
        <f t="shared" si="71"/>
        <v>13</v>
      </c>
    </row>
    <row r="574" spans="1:20">
      <c r="A574" s="74" t="str">
        <f t="shared" si="64"/>
        <v/>
      </c>
      <c r="B574" s="75" t="str">
        <f>IFERROR(INDEX(对接源_01入库吨位!$B$5:$B$304,MATCH(INT((ROW()-5)/3)+1,对接源_01入库吨位!$S$5:$S$304,0)),"")</f>
        <v/>
      </c>
      <c r="C574" s="75" t="str">
        <f>IFERROR(INDEX(对接源_01入库吨位!$C$5:$C$304,MATCH(INT((ROW()-5)/3)+1,对接源_01入库吨位!$S$5:$S$304,0)),"")</f>
        <v/>
      </c>
      <c r="D574" s="89" t="str">
        <f t="shared" si="65"/>
        <v/>
      </c>
      <c r="E574" s="42" t="str">
        <f>IF($B574="","",IFERROR(IF($D574="周转打冷",N(INDEX(对接源_01入库吨位!$D$5:$D$304,MATCH(INT((ROW()-5)/3)+1,对接源_01入库吨位!$S$5:$S$304,0))),IF($D574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4" s="76" t="str">
        <f>IF($B574="","",ROUND(IFERROR(IF($D574="周转打冷",N(INDEX(对接源_01入库吨位!$H$5:$H$304,MATCH(INT((ROW()-5)/3)+1,对接源_01入库吨位!$S$5:$S$304,0))),IF($D574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4" s="122" t="str">
        <f t="shared" si="66"/>
        <v/>
      </c>
      <c r="H574" s="43"/>
      <c r="I574" s="107"/>
      <c r="J574" s="123" t="str">
        <f t="shared" si="67"/>
        <v/>
      </c>
      <c r="K574" s="76" t="str">
        <f t="shared" si="68"/>
        <v/>
      </c>
      <c r="L574" s="43"/>
      <c r="M574" s="7"/>
      <c r="N574" s="106"/>
      <c r="R574" s="3" t="str">
        <f t="shared" si="69"/>
        <v/>
      </c>
      <c r="S574" s="3">
        <f t="shared" si="70"/>
        <v>0</v>
      </c>
      <c r="T574" s="3">
        <f t="shared" si="71"/>
        <v>13</v>
      </c>
    </row>
    <row r="575" spans="1:20">
      <c r="A575" s="74" t="str">
        <f t="shared" si="64"/>
        <v/>
      </c>
      <c r="B575" s="75" t="str">
        <f>IFERROR(INDEX(对接源_01入库吨位!$B$5:$B$304,MATCH(INT((ROW()-5)/3)+1,对接源_01入库吨位!$S$5:$S$304,0)),"")</f>
        <v/>
      </c>
      <c r="C575" s="75" t="str">
        <f>IFERROR(INDEX(对接源_01入库吨位!$C$5:$C$304,MATCH(INT((ROW()-5)/3)+1,对接源_01入库吨位!$S$5:$S$304,0)),"")</f>
        <v/>
      </c>
      <c r="D575" s="89" t="str">
        <f t="shared" si="65"/>
        <v/>
      </c>
      <c r="E575" s="42" t="str">
        <f>IF($B575="","",IFERROR(IF($D575="周转打冷",N(INDEX(对接源_01入库吨位!$D$5:$D$304,MATCH(INT((ROW()-5)/3)+1,对接源_01入库吨位!$S$5:$S$304,0))),IF($D575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5" s="76" t="str">
        <f>IF($B575="","",ROUND(IFERROR(IF($D575="周转打冷",N(INDEX(对接源_01入库吨位!$H$5:$H$304,MATCH(INT((ROW()-5)/3)+1,对接源_01入库吨位!$S$5:$S$304,0))),IF($D575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5" s="122" t="str">
        <f t="shared" si="66"/>
        <v/>
      </c>
      <c r="H575" s="43"/>
      <c r="I575" s="107"/>
      <c r="J575" s="123" t="str">
        <f t="shared" si="67"/>
        <v/>
      </c>
      <c r="K575" s="76" t="str">
        <f t="shared" si="68"/>
        <v/>
      </c>
      <c r="L575" s="43"/>
      <c r="M575" s="7"/>
      <c r="N575" s="106"/>
      <c r="R575" s="3" t="str">
        <f t="shared" si="69"/>
        <v/>
      </c>
      <c r="S575" s="3">
        <f t="shared" si="70"/>
        <v>0</v>
      </c>
      <c r="T575" s="3">
        <f t="shared" si="71"/>
        <v>13</v>
      </c>
    </row>
    <row r="576" spans="1:20">
      <c r="A576" s="74" t="str">
        <f t="shared" si="64"/>
        <v/>
      </c>
      <c r="B576" s="75" t="str">
        <f>IFERROR(INDEX(对接源_01入库吨位!$B$5:$B$304,MATCH(INT((ROW()-5)/3)+1,对接源_01入库吨位!$S$5:$S$304,0)),"")</f>
        <v/>
      </c>
      <c r="C576" s="75" t="str">
        <f>IFERROR(INDEX(对接源_01入库吨位!$C$5:$C$304,MATCH(INT((ROW()-5)/3)+1,对接源_01入库吨位!$S$5:$S$304,0)),"")</f>
        <v/>
      </c>
      <c r="D576" s="89" t="str">
        <f t="shared" si="65"/>
        <v/>
      </c>
      <c r="E576" s="42" t="str">
        <f>IF($B576="","",IFERROR(IF($D576="周转打冷",N(INDEX(对接源_01入库吨位!$D$5:$D$304,MATCH(INT((ROW()-5)/3)+1,对接源_01入库吨位!$S$5:$S$304,0))),IF($D576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6" s="76" t="str">
        <f>IF($B576="","",ROUND(IFERROR(IF($D576="周转打冷",N(INDEX(对接源_01入库吨位!$H$5:$H$304,MATCH(INT((ROW()-5)/3)+1,对接源_01入库吨位!$S$5:$S$304,0))),IF($D576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6" s="122" t="str">
        <f t="shared" si="66"/>
        <v/>
      </c>
      <c r="H576" s="43"/>
      <c r="I576" s="107"/>
      <c r="J576" s="123" t="str">
        <f t="shared" si="67"/>
        <v/>
      </c>
      <c r="K576" s="76" t="str">
        <f t="shared" si="68"/>
        <v/>
      </c>
      <c r="L576" s="43"/>
      <c r="M576" s="7"/>
      <c r="N576" s="106"/>
      <c r="R576" s="3" t="str">
        <f t="shared" si="69"/>
        <v/>
      </c>
      <c r="S576" s="3">
        <f t="shared" si="70"/>
        <v>0</v>
      </c>
      <c r="T576" s="3">
        <f t="shared" si="71"/>
        <v>13</v>
      </c>
    </row>
    <row r="577" spans="1:20">
      <c r="A577" s="74" t="str">
        <f t="shared" si="64"/>
        <v/>
      </c>
      <c r="B577" s="75" t="str">
        <f>IFERROR(INDEX(对接源_01入库吨位!$B$5:$B$304,MATCH(INT((ROW()-5)/3)+1,对接源_01入库吨位!$S$5:$S$304,0)),"")</f>
        <v/>
      </c>
      <c r="C577" s="75" t="str">
        <f>IFERROR(INDEX(对接源_01入库吨位!$C$5:$C$304,MATCH(INT((ROW()-5)/3)+1,对接源_01入库吨位!$S$5:$S$304,0)),"")</f>
        <v/>
      </c>
      <c r="D577" s="89" t="str">
        <f t="shared" si="65"/>
        <v/>
      </c>
      <c r="E577" s="42" t="str">
        <f>IF($B577="","",IFERROR(IF($D577="周转打冷",N(INDEX(对接源_01入库吨位!$D$5:$D$304,MATCH(INT((ROW()-5)/3)+1,对接源_01入库吨位!$S$5:$S$304,0))),IF($D577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7" s="76" t="str">
        <f>IF($B577="","",ROUND(IFERROR(IF($D577="周转打冷",N(INDEX(对接源_01入库吨位!$H$5:$H$304,MATCH(INT((ROW()-5)/3)+1,对接源_01入库吨位!$S$5:$S$304,0))),IF($D577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7" s="122" t="str">
        <f t="shared" si="66"/>
        <v/>
      </c>
      <c r="H577" s="43"/>
      <c r="I577" s="107"/>
      <c r="J577" s="123" t="str">
        <f t="shared" si="67"/>
        <v/>
      </c>
      <c r="K577" s="76" t="str">
        <f t="shared" si="68"/>
        <v/>
      </c>
      <c r="L577" s="43"/>
      <c r="M577" s="7"/>
      <c r="N577" s="106"/>
      <c r="R577" s="3" t="str">
        <f t="shared" si="69"/>
        <v/>
      </c>
      <c r="S577" s="3">
        <f t="shared" si="70"/>
        <v>0</v>
      </c>
      <c r="T577" s="3">
        <f t="shared" si="71"/>
        <v>13</v>
      </c>
    </row>
    <row r="578" spans="1:20">
      <c r="A578" s="74" t="str">
        <f t="shared" si="64"/>
        <v/>
      </c>
      <c r="B578" s="75" t="str">
        <f>IFERROR(INDEX(对接源_01入库吨位!$B$5:$B$304,MATCH(INT((ROW()-5)/3)+1,对接源_01入库吨位!$S$5:$S$304,0)),"")</f>
        <v/>
      </c>
      <c r="C578" s="75" t="str">
        <f>IFERROR(INDEX(对接源_01入库吨位!$C$5:$C$304,MATCH(INT((ROW()-5)/3)+1,对接源_01入库吨位!$S$5:$S$304,0)),"")</f>
        <v/>
      </c>
      <c r="D578" s="89" t="str">
        <f t="shared" si="65"/>
        <v/>
      </c>
      <c r="E578" s="42" t="str">
        <f>IF($B578="","",IFERROR(IF($D578="周转打冷",N(INDEX(对接源_01入库吨位!$D$5:$D$304,MATCH(INT((ROW()-5)/3)+1,对接源_01入库吨位!$S$5:$S$304,0))),IF($D578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8" s="76" t="str">
        <f>IF($B578="","",ROUND(IFERROR(IF($D578="周转打冷",N(INDEX(对接源_01入库吨位!$H$5:$H$304,MATCH(INT((ROW()-5)/3)+1,对接源_01入库吨位!$S$5:$S$304,0))),IF($D578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8" s="122" t="str">
        <f t="shared" si="66"/>
        <v/>
      </c>
      <c r="H578" s="43"/>
      <c r="I578" s="107"/>
      <c r="J578" s="123" t="str">
        <f t="shared" si="67"/>
        <v/>
      </c>
      <c r="K578" s="76" t="str">
        <f t="shared" si="68"/>
        <v/>
      </c>
      <c r="L578" s="43"/>
      <c r="M578" s="7"/>
      <c r="N578" s="106"/>
      <c r="R578" s="3" t="str">
        <f t="shared" si="69"/>
        <v/>
      </c>
      <c r="S578" s="3">
        <f t="shared" si="70"/>
        <v>0</v>
      </c>
      <c r="T578" s="3">
        <f t="shared" si="71"/>
        <v>13</v>
      </c>
    </row>
    <row r="579" spans="1:20">
      <c r="A579" s="74" t="str">
        <f t="shared" si="64"/>
        <v/>
      </c>
      <c r="B579" s="75" t="str">
        <f>IFERROR(INDEX(对接源_01入库吨位!$B$5:$B$304,MATCH(INT((ROW()-5)/3)+1,对接源_01入库吨位!$S$5:$S$304,0)),"")</f>
        <v/>
      </c>
      <c r="C579" s="75" t="str">
        <f>IFERROR(INDEX(对接源_01入库吨位!$C$5:$C$304,MATCH(INT((ROW()-5)/3)+1,对接源_01入库吨位!$S$5:$S$304,0)),"")</f>
        <v/>
      </c>
      <c r="D579" s="89" t="str">
        <f t="shared" si="65"/>
        <v/>
      </c>
      <c r="E579" s="42" t="str">
        <f>IF($B579="","",IFERROR(IF($D579="周转打冷",N(INDEX(对接源_01入库吨位!$D$5:$D$304,MATCH(INT((ROW()-5)/3)+1,对接源_01入库吨位!$S$5:$S$304,0))),IF($D579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9" s="76" t="str">
        <f>IF($B579="","",ROUND(IFERROR(IF($D579="周转打冷",N(INDEX(对接源_01入库吨位!$H$5:$H$304,MATCH(INT((ROW()-5)/3)+1,对接源_01入库吨位!$S$5:$S$304,0))),IF($D579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9" s="122" t="str">
        <f t="shared" si="66"/>
        <v/>
      </c>
      <c r="H579" s="43"/>
      <c r="I579" s="107"/>
      <c r="J579" s="123" t="str">
        <f t="shared" si="67"/>
        <v/>
      </c>
      <c r="K579" s="76" t="str">
        <f t="shared" si="68"/>
        <v/>
      </c>
      <c r="L579" s="43"/>
      <c r="M579" s="7"/>
      <c r="N579" s="106"/>
      <c r="R579" s="3" t="str">
        <f t="shared" si="69"/>
        <v/>
      </c>
      <c r="S579" s="3">
        <f t="shared" si="70"/>
        <v>0</v>
      </c>
      <c r="T579" s="3">
        <f t="shared" si="71"/>
        <v>13</v>
      </c>
    </row>
    <row r="580" spans="1:20">
      <c r="A580" s="74" t="str">
        <f t="shared" si="64"/>
        <v/>
      </c>
      <c r="B580" s="75" t="str">
        <f>IFERROR(INDEX(对接源_01入库吨位!$B$5:$B$304,MATCH(INT((ROW()-5)/3)+1,对接源_01入库吨位!$S$5:$S$304,0)),"")</f>
        <v/>
      </c>
      <c r="C580" s="75" t="str">
        <f>IFERROR(INDEX(对接源_01入库吨位!$C$5:$C$304,MATCH(INT((ROW()-5)/3)+1,对接源_01入库吨位!$S$5:$S$304,0)),"")</f>
        <v/>
      </c>
      <c r="D580" s="89" t="str">
        <f t="shared" si="65"/>
        <v/>
      </c>
      <c r="E580" s="42" t="str">
        <f>IF($B580="","",IFERROR(IF($D580="周转打冷",N(INDEX(对接源_01入库吨位!$D$5:$D$304,MATCH(INT((ROW()-5)/3)+1,对接源_01入库吨位!$S$5:$S$304,0))),IF($D580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0" s="76" t="str">
        <f>IF($B580="","",ROUND(IFERROR(IF($D580="周转打冷",N(INDEX(对接源_01入库吨位!$H$5:$H$304,MATCH(INT((ROW()-5)/3)+1,对接源_01入库吨位!$S$5:$S$304,0))),IF($D580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0" s="122" t="str">
        <f t="shared" si="66"/>
        <v/>
      </c>
      <c r="H580" s="43"/>
      <c r="I580" s="107"/>
      <c r="J580" s="123" t="str">
        <f t="shared" si="67"/>
        <v/>
      </c>
      <c r="K580" s="76" t="str">
        <f t="shared" si="68"/>
        <v/>
      </c>
      <c r="L580" s="43"/>
      <c r="M580" s="7"/>
      <c r="N580" s="106"/>
      <c r="R580" s="3" t="str">
        <f t="shared" si="69"/>
        <v/>
      </c>
      <c r="S580" s="3">
        <f t="shared" si="70"/>
        <v>0</v>
      </c>
      <c r="T580" s="3">
        <f t="shared" si="71"/>
        <v>13</v>
      </c>
    </row>
    <row r="581" spans="1:20">
      <c r="A581" s="74" t="str">
        <f t="shared" ref="A581:A644" si="72">IF($B581="","",ROW()-4)</f>
        <v/>
      </c>
      <c r="B581" s="75" t="str">
        <f>IFERROR(INDEX(对接源_01入库吨位!$B$5:$B$304,MATCH(INT((ROW()-5)/3)+1,对接源_01入库吨位!$S$5:$S$304,0)),"")</f>
        <v/>
      </c>
      <c r="C581" s="75" t="str">
        <f>IFERROR(INDEX(对接源_01入库吨位!$C$5:$C$304,MATCH(INT((ROW()-5)/3)+1,对接源_01入库吨位!$S$5:$S$304,0)),"")</f>
        <v/>
      </c>
      <c r="D581" s="89" t="str">
        <f t="shared" ref="D581:D644" si="73">IF($B581="","",IF(MOD(ROW()-5,3)=0,"周转打冷",IF(MOD(ROW()-5,3)=1,"仓储加工","装卸费")))</f>
        <v/>
      </c>
      <c r="E581" s="42" t="str">
        <f>IF($B581="","",IFERROR(IF($D581="周转打冷",N(INDEX(对接源_01入库吨位!$D$5:$D$304,MATCH(INT((ROW()-5)/3)+1,对接源_01入库吨位!$S$5:$S$304,0))),IF($D581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1" s="76" t="str">
        <f>IF($B581="","",ROUND(IFERROR(IF($D581="周转打冷",N(INDEX(对接源_01入库吨位!$H$5:$H$304,MATCH(INT((ROW()-5)/3)+1,对接源_01入库吨位!$S$5:$S$304,0))),IF($D581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1" s="122" t="str">
        <f t="shared" ref="G581:G644" si="74">IF($B581="","",ROUND(N($F581)/1000,3))</f>
        <v/>
      </c>
      <c r="H581" s="43"/>
      <c r="I581" s="107"/>
      <c r="J581" s="123" t="str">
        <f t="shared" ref="J581:J644" si="75">IF($B581="","",IF($H581="按筐数×单价",N($E581),IF($H581="按总重KG×单价",N($F581),IF($H581="按吨位×单价",N($G581),0))))</f>
        <v/>
      </c>
      <c r="K581" s="76" t="str">
        <f t="shared" ref="K581:K644" si="76">IF($B581="","",ROUND(N($J581)*N($I581),2))</f>
        <v/>
      </c>
      <c r="L581" s="43"/>
      <c r="M581" s="7"/>
      <c r="N581" s="106"/>
      <c r="R581" s="3" t="str">
        <f t="shared" ref="R581:R644" si="77">IF($B581="","",$B581)</f>
        <v/>
      </c>
      <c r="S581" s="3">
        <f t="shared" ref="S581:S644" si="78">IF($R581="",0,IF(MATCH($R581,$R$5:$R$904,0)=ROW()-4,1,0))</f>
        <v>0</v>
      </c>
      <c r="T581" s="3">
        <f t="shared" ref="T581:T644" si="79">N(T580)+$S581</f>
        <v>13</v>
      </c>
    </row>
    <row r="582" spans="1:20">
      <c r="A582" s="74" t="str">
        <f t="shared" si="72"/>
        <v/>
      </c>
      <c r="B582" s="75" t="str">
        <f>IFERROR(INDEX(对接源_01入库吨位!$B$5:$B$304,MATCH(INT((ROW()-5)/3)+1,对接源_01入库吨位!$S$5:$S$304,0)),"")</f>
        <v/>
      </c>
      <c r="C582" s="75" t="str">
        <f>IFERROR(INDEX(对接源_01入库吨位!$C$5:$C$304,MATCH(INT((ROW()-5)/3)+1,对接源_01入库吨位!$S$5:$S$304,0)),"")</f>
        <v/>
      </c>
      <c r="D582" s="89" t="str">
        <f t="shared" si="73"/>
        <v/>
      </c>
      <c r="E582" s="42" t="str">
        <f>IF($B582="","",IFERROR(IF($D582="周转打冷",N(INDEX(对接源_01入库吨位!$D$5:$D$304,MATCH(INT((ROW()-5)/3)+1,对接源_01入库吨位!$S$5:$S$304,0))),IF($D582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2" s="76" t="str">
        <f>IF($B582="","",ROUND(IFERROR(IF($D582="周转打冷",N(INDEX(对接源_01入库吨位!$H$5:$H$304,MATCH(INT((ROW()-5)/3)+1,对接源_01入库吨位!$S$5:$S$304,0))),IF($D582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2" s="122" t="str">
        <f t="shared" si="74"/>
        <v/>
      </c>
      <c r="H582" s="43"/>
      <c r="I582" s="107"/>
      <c r="J582" s="123" t="str">
        <f t="shared" si="75"/>
        <v/>
      </c>
      <c r="K582" s="76" t="str">
        <f t="shared" si="76"/>
        <v/>
      </c>
      <c r="L582" s="43"/>
      <c r="M582" s="7"/>
      <c r="N582" s="106"/>
      <c r="R582" s="3" t="str">
        <f t="shared" si="77"/>
        <v/>
      </c>
      <c r="S582" s="3">
        <f t="shared" si="78"/>
        <v>0</v>
      </c>
      <c r="T582" s="3">
        <f t="shared" si="79"/>
        <v>13</v>
      </c>
    </row>
    <row r="583" spans="1:20">
      <c r="A583" s="74" t="str">
        <f t="shared" si="72"/>
        <v/>
      </c>
      <c r="B583" s="75" t="str">
        <f>IFERROR(INDEX(对接源_01入库吨位!$B$5:$B$304,MATCH(INT((ROW()-5)/3)+1,对接源_01入库吨位!$S$5:$S$304,0)),"")</f>
        <v/>
      </c>
      <c r="C583" s="75" t="str">
        <f>IFERROR(INDEX(对接源_01入库吨位!$C$5:$C$304,MATCH(INT((ROW()-5)/3)+1,对接源_01入库吨位!$S$5:$S$304,0)),"")</f>
        <v/>
      </c>
      <c r="D583" s="89" t="str">
        <f t="shared" si="73"/>
        <v/>
      </c>
      <c r="E583" s="42" t="str">
        <f>IF($B583="","",IFERROR(IF($D583="周转打冷",N(INDEX(对接源_01入库吨位!$D$5:$D$304,MATCH(INT((ROW()-5)/3)+1,对接源_01入库吨位!$S$5:$S$304,0))),IF($D583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3" s="76" t="str">
        <f>IF($B583="","",ROUND(IFERROR(IF($D583="周转打冷",N(INDEX(对接源_01入库吨位!$H$5:$H$304,MATCH(INT((ROW()-5)/3)+1,对接源_01入库吨位!$S$5:$S$304,0))),IF($D583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3" s="122" t="str">
        <f t="shared" si="74"/>
        <v/>
      </c>
      <c r="H583" s="43"/>
      <c r="I583" s="107"/>
      <c r="J583" s="123" t="str">
        <f t="shared" si="75"/>
        <v/>
      </c>
      <c r="K583" s="76" t="str">
        <f t="shared" si="76"/>
        <v/>
      </c>
      <c r="L583" s="43"/>
      <c r="M583" s="7"/>
      <c r="N583" s="106"/>
      <c r="R583" s="3" t="str">
        <f t="shared" si="77"/>
        <v/>
      </c>
      <c r="S583" s="3">
        <f t="shared" si="78"/>
        <v>0</v>
      </c>
      <c r="T583" s="3">
        <f t="shared" si="79"/>
        <v>13</v>
      </c>
    </row>
    <row r="584" spans="1:20">
      <c r="A584" s="74" t="str">
        <f t="shared" si="72"/>
        <v/>
      </c>
      <c r="B584" s="75" t="str">
        <f>IFERROR(INDEX(对接源_01入库吨位!$B$5:$B$304,MATCH(INT((ROW()-5)/3)+1,对接源_01入库吨位!$S$5:$S$304,0)),"")</f>
        <v/>
      </c>
      <c r="C584" s="75" t="str">
        <f>IFERROR(INDEX(对接源_01入库吨位!$C$5:$C$304,MATCH(INT((ROW()-5)/3)+1,对接源_01入库吨位!$S$5:$S$304,0)),"")</f>
        <v/>
      </c>
      <c r="D584" s="89" t="str">
        <f t="shared" si="73"/>
        <v/>
      </c>
      <c r="E584" s="42" t="str">
        <f>IF($B584="","",IFERROR(IF($D584="周转打冷",N(INDEX(对接源_01入库吨位!$D$5:$D$304,MATCH(INT((ROW()-5)/3)+1,对接源_01入库吨位!$S$5:$S$304,0))),IF($D584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4" s="76" t="str">
        <f>IF($B584="","",ROUND(IFERROR(IF($D584="周转打冷",N(INDEX(对接源_01入库吨位!$H$5:$H$304,MATCH(INT((ROW()-5)/3)+1,对接源_01入库吨位!$S$5:$S$304,0))),IF($D584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4" s="122" t="str">
        <f t="shared" si="74"/>
        <v/>
      </c>
      <c r="H584" s="43"/>
      <c r="I584" s="107"/>
      <c r="J584" s="123" t="str">
        <f t="shared" si="75"/>
        <v/>
      </c>
      <c r="K584" s="76" t="str">
        <f t="shared" si="76"/>
        <v/>
      </c>
      <c r="L584" s="43"/>
      <c r="M584" s="7"/>
      <c r="N584" s="106"/>
      <c r="R584" s="3" t="str">
        <f t="shared" si="77"/>
        <v/>
      </c>
      <c r="S584" s="3">
        <f t="shared" si="78"/>
        <v>0</v>
      </c>
      <c r="T584" s="3">
        <f t="shared" si="79"/>
        <v>13</v>
      </c>
    </row>
    <row r="585" spans="1:20">
      <c r="A585" s="74" t="str">
        <f t="shared" si="72"/>
        <v/>
      </c>
      <c r="B585" s="75" t="str">
        <f>IFERROR(INDEX(对接源_01入库吨位!$B$5:$B$304,MATCH(INT((ROW()-5)/3)+1,对接源_01入库吨位!$S$5:$S$304,0)),"")</f>
        <v/>
      </c>
      <c r="C585" s="75" t="str">
        <f>IFERROR(INDEX(对接源_01入库吨位!$C$5:$C$304,MATCH(INT((ROW()-5)/3)+1,对接源_01入库吨位!$S$5:$S$304,0)),"")</f>
        <v/>
      </c>
      <c r="D585" s="89" t="str">
        <f t="shared" si="73"/>
        <v/>
      </c>
      <c r="E585" s="42" t="str">
        <f>IF($B585="","",IFERROR(IF($D585="周转打冷",N(INDEX(对接源_01入库吨位!$D$5:$D$304,MATCH(INT((ROW()-5)/3)+1,对接源_01入库吨位!$S$5:$S$304,0))),IF($D585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5" s="76" t="str">
        <f>IF($B585="","",ROUND(IFERROR(IF($D585="周转打冷",N(INDEX(对接源_01入库吨位!$H$5:$H$304,MATCH(INT((ROW()-5)/3)+1,对接源_01入库吨位!$S$5:$S$304,0))),IF($D585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5" s="122" t="str">
        <f t="shared" si="74"/>
        <v/>
      </c>
      <c r="H585" s="43"/>
      <c r="I585" s="107"/>
      <c r="J585" s="123" t="str">
        <f t="shared" si="75"/>
        <v/>
      </c>
      <c r="K585" s="76" t="str">
        <f t="shared" si="76"/>
        <v/>
      </c>
      <c r="L585" s="43"/>
      <c r="M585" s="7"/>
      <c r="N585" s="106"/>
      <c r="R585" s="3" t="str">
        <f t="shared" si="77"/>
        <v/>
      </c>
      <c r="S585" s="3">
        <f t="shared" si="78"/>
        <v>0</v>
      </c>
      <c r="T585" s="3">
        <f t="shared" si="79"/>
        <v>13</v>
      </c>
    </row>
    <row r="586" spans="1:20">
      <c r="A586" s="74" t="str">
        <f t="shared" si="72"/>
        <v/>
      </c>
      <c r="B586" s="75" t="str">
        <f>IFERROR(INDEX(对接源_01入库吨位!$B$5:$B$304,MATCH(INT((ROW()-5)/3)+1,对接源_01入库吨位!$S$5:$S$304,0)),"")</f>
        <v/>
      </c>
      <c r="C586" s="75" t="str">
        <f>IFERROR(INDEX(对接源_01入库吨位!$C$5:$C$304,MATCH(INT((ROW()-5)/3)+1,对接源_01入库吨位!$S$5:$S$304,0)),"")</f>
        <v/>
      </c>
      <c r="D586" s="89" t="str">
        <f t="shared" si="73"/>
        <v/>
      </c>
      <c r="E586" s="42" t="str">
        <f>IF($B586="","",IFERROR(IF($D586="周转打冷",N(INDEX(对接源_01入库吨位!$D$5:$D$304,MATCH(INT((ROW()-5)/3)+1,对接源_01入库吨位!$S$5:$S$304,0))),IF($D586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6" s="76" t="str">
        <f>IF($B586="","",ROUND(IFERROR(IF($D586="周转打冷",N(INDEX(对接源_01入库吨位!$H$5:$H$304,MATCH(INT((ROW()-5)/3)+1,对接源_01入库吨位!$S$5:$S$304,0))),IF($D586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6" s="122" t="str">
        <f t="shared" si="74"/>
        <v/>
      </c>
      <c r="H586" s="43"/>
      <c r="I586" s="107"/>
      <c r="J586" s="123" t="str">
        <f t="shared" si="75"/>
        <v/>
      </c>
      <c r="K586" s="76" t="str">
        <f t="shared" si="76"/>
        <v/>
      </c>
      <c r="L586" s="43"/>
      <c r="M586" s="7"/>
      <c r="N586" s="106"/>
      <c r="R586" s="3" t="str">
        <f t="shared" si="77"/>
        <v/>
      </c>
      <c r="S586" s="3">
        <f t="shared" si="78"/>
        <v>0</v>
      </c>
      <c r="T586" s="3">
        <f t="shared" si="79"/>
        <v>13</v>
      </c>
    </row>
    <row r="587" spans="1:20">
      <c r="A587" s="74" t="str">
        <f t="shared" si="72"/>
        <v/>
      </c>
      <c r="B587" s="75" t="str">
        <f>IFERROR(INDEX(对接源_01入库吨位!$B$5:$B$304,MATCH(INT((ROW()-5)/3)+1,对接源_01入库吨位!$S$5:$S$304,0)),"")</f>
        <v/>
      </c>
      <c r="C587" s="75" t="str">
        <f>IFERROR(INDEX(对接源_01入库吨位!$C$5:$C$304,MATCH(INT((ROW()-5)/3)+1,对接源_01入库吨位!$S$5:$S$304,0)),"")</f>
        <v/>
      </c>
      <c r="D587" s="89" t="str">
        <f t="shared" si="73"/>
        <v/>
      </c>
      <c r="E587" s="42" t="str">
        <f>IF($B587="","",IFERROR(IF($D587="周转打冷",N(INDEX(对接源_01入库吨位!$D$5:$D$304,MATCH(INT((ROW()-5)/3)+1,对接源_01入库吨位!$S$5:$S$304,0))),IF($D587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7" s="76" t="str">
        <f>IF($B587="","",ROUND(IFERROR(IF($D587="周转打冷",N(INDEX(对接源_01入库吨位!$H$5:$H$304,MATCH(INT((ROW()-5)/3)+1,对接源_01入库吨位!$S$5:$S$304,0))),IF($D587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7" s="122" t="str">
        <f t="shared" si="74"/>
        <v/>
      </c>
      <c r="H587" s="43"/>
      <c r="I587" s="107"/>
      <c r="J587" s="123" t="str">
        <f t="shared" si="75"/>
        <v/>
      </c>
      <c r="K587" s="76" t="str">
        <f t="shared" si="76"/>
        <v/>
      </c>
      <c r="L587" s="43"/>
      <c r="M587" s="7"/>
      <c r="N587" s="106"/>
      <c r="R587" s="3" t="str">
        <f t="shared" si="77"/>
        <v/>
      </c>
      <c r="S587" s="3">
        <f t="shared" si="78"/>
        <v>0</v>
      </c>
      <c r="T587" s="3">
        <f t="shared" si="79"/>
        <v>13</v>
      </c>
    </row>
    <row r="588" spans="1:20">
      <c r="A588" s="74" t="str">
        <f t="shared" si="72"/>
        <v/>
      </c>
      <c r="B588" s="75" t="str">
        <f>IFERROR(INDEX(对接源_01入库吨位!$B$5:$B$304,MATCH(INT((ROW()-5)/3)+1,对接源_01入库吨位!$S$5:$S$304,0)),"")</f>
        <v/>
      </c>
      <c r="C588" s="75" t="str">
        <f>IFERROR(INDEX(对接源_01入库吨位!$C$5:$C$304,MATCH(INT((ROW()-5)/3)+1,对接源_01入库吨位!$S$5:$S$304,0)),"")</f>
        <v/>
      </c>
      <c r="D588" s="89" t="str">
        <f t="shared" si="73"/>
        <v/>
      </c>
      <c r="E588" s="42" t="str">
        <f>IF($B588="","",IFERROR(IF($D588="周转打冷",N(INDEX(对接源_01入库吨位!$D$5:$D$304,MATCH(INT((ROW()-5)/3)+1,对接源_01入库吨位!$S$5:$S$304,0))),IF($D588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8" s="76" t="str">
        <f>IF($B588="","",ROUND(IFERROR(IF($D588="周转打冷",N(INDEX(对接源_01入库吨位!$H$5:$H$304,MATCH(INT((ROW()-5)/3)+1,对接源_01入库吨位!$S$5:$S$304,0))),IF($D588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8" s="122" t="str">
        <f t="shared" si="74"/>
        <v/>
      </c>
      <c r="H588" s="43"/>
      <c r="I588" s="107"/>
      <c r="J588" s="123" t="str">
        <f t="shared" si="75"/>
        <v/>
      </c>
      <c r="K588" s="76" t="str">
        <f t="shared" si="76"/>
        <v/>
      </c>
      <c r="L588" s="43"/>
      <c r="M588" s="7"/>
      <c r="N588" s="106"/>
      <c r="R588" s="3" t="str">
        <f t="shared" si="77"/>
        <v/>
      </c>
      <c r="S588" s="3">
        <f t="shared" si="78"/>
        <v>0</v>
      </c>
      <c r="T588" s="3">
        <f t="shared" si="79"/>
        <v>13</v>
      </c>
    </row>
    <row r="589" spans="1:20">
      <c r="A589" s="74" t="str">
        <f t="shared" si="72"/>
        <v/>
      </c>
      <c r="B589" s="75" t="str">
        <f>IFERROR(INDEX(对接源_01入库吨位!$B$5:$B$304,MATCH(INT((ROW()-5)/3)+1,对接源_01入库吨位!$S$5:$S$304,0)),"")</f>
        <v/>
      </c>
      <c r="C589" s="75" t="str">
        <f>IFERROR(INDEX(对接源_01入库吨位!$C$5:$C$304,MATCH(INT((ROW()-5)/3)+1,对接源_01入库吨位!$S$5:$S$304,0)),"")</f>
        <v/>
      </c>
      <c r="D589" s="89" t="str">
        <f t="shared" si="73"/>
        <v/>
      </c>
      <c r="E589" s="42" t="str">
        <f>IF($B589="","",IFERROR(IF($D589="周转打冷",N(INDEX(对接源_01入库吨位!$D$5:$D$304,MATCH(INT((ROW()-5)/3)+1,对接源_01入库吨位!$S$5:$S$304,0))),IF($D589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9" s="76" t="str">
        <f>IF($B589="","",ROUND(IFERROR(IF($D589="周转打冷",N(INDEX(对接源_01入库吨位!$H$5:$H$304,MATCH(INT((ROW()-5)/3)+1,对接源_01入库吨位!$S$5:$S$304,0))),IF($D589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9" s="122" t="str">
        <f t="shared" si="74"/>
        <v/>
      </c>
      <c r="H589" s="43"/>
      <c r="I589" s="107"/>
      <c r="J589" s="123" t="str">
        <f t="shared" si="75"/>
        <v/>
      </c>
      <c r="K589" s="76" t="str">
        <f t="shared" si="76"/>
        <v/>
      </c>
      <c r="L589" s="43"/>
      <c r="M589" s="7"/>
      <c r="N589" s="106"/>
      <c r="R589" s="3" t="str">
        <f t="shared" si="77"/>
        <v/>
      </c>
      <c r="S589" s="3">
        <f t="shared" si="78"/>
        <v>0</v>
      </c>
      <c r="T589" s="3">
        <f t="shared" si="79"/>
        <v>13</v>
      </c>
    </row>
    <row r="590" spans="1:20">
      <c r="A590" s="74" t="str">
        <f t="shared" si="72"/>
        <v/>
      </c>
      <c r="B590" s="75" t="str">
        <f>IFERROR(INDEX(对接源_01入库吨位!$B$5:$B$304,MATCH(INT((ROW()-5)/3)+1,对接源_01入库吨位!$S$5:$S$304,0)),"")</f>
        <v/>
      </c>
      <c r="C590" s="75" t="str">
        <f>IFERROR(INDEX(对接源_01入库吨位!$C$5:$C$304,MATCH(INT((ROW()-5)/3)+1,对接源_01入库吨位!$S$5:$S$304,0)),"")</f>
        <v/>
      </c>
      <c r="D590" s="89" t="str">
        <f t="shared" si="73"/>
        <v/>
      </c>
      <c r="E590" s="42" t="str">
        <f>IF($B590="","",IFERROR(IF($D590="周转打冷",N(INDEX(对接源_01入库吨位!$D$5:$D$304,MATCH(INT((ROW()-5)/3)+1,对接源_01入库吨位!$S$5:$S$304,0))),IF($D590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0" s="76" t="str">
        <f>IF($B590="","",ROUND(IFERROR(IF($D590="周转打冷",N(INDEX(对接源_01入库吨位!$H$5:$H$304,MATCH(INT((ROW()-5)/3)+1,对接源_01入库吨位!$S$5:$S$304,0))),IF($D590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0" s="122" t="str">
        <f t="shared" si="74"/>
        <v/>
      </c>
      <c r="H590" s="43"/>
      <c r="I590" s="107"/>
      <c r="J590" s="123" t="str">
        <f t="shared" si="75"/>
        <v/>
      </c>
      <c r="K590" s="76" t="str">
        <f t="shared" si="76"/>
        <v/>
      </c>
      <c r="L590" s="43"/>
      <c r="M590" s="7"/>
      <c r="N590" s="106"/>
      <c r="R590" s="3" t="str">
        <f t="shared" si="77"/>
        <v/>
      </c>
      <c r="S590" s="3">
        <f t="shared" si="78"/>
        <v>0</v>
      </c>
      <c r="T590" s="3">
        <f t="shared" si="79"/>
        <v>13</v>
      </c>
    </row>
    <row r="591" spans="1:20">
      <c r="A591" s="74" t="str">
        <f t="shared" si="72"/>
        <v/>
      </c>
      <c r="B591" s="75" t="str">
        <f>IFERROR(INDEX(对接源_01入库吨位!$B$5:$B$304,MATCH(INT((ROW()-5)/3)+1,对接源_01入库吨位!$S$5:$S$304,0)),"")</f>
        <v/>
      </c>
      <c r="C591" s="75" t="str">
        <f>IFERROR(INDEX(对接源_01入库吨位!$C$5:$C$304,MATCH(INT((ROW()-5)/3)+1,对接源_01入库吨位!$S$5:$S$304,0)),"")</f>
        <v/>
      </c>
      <c r="D591" s="89" t="str">
        <f t="shared" si="73"/>
        <v/>
      </c>
      <c r="E591" s="42" t="str">
        <f>IF($B591="","",IFERROR(IF($D591="周转打冷",N(INDEX(对接源_01入库吨位!$D$5:$D$304,MATCH(INT((ROW()-5)/3)+1,对接源_01入库吨位!$S$5:$S$304,0))),IF($D591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1" s="76" t="str">
        <f>IF($B591="","",ROUND(IFERROR(IF($D591="周转打冷",N(INDEX(对接源_01入库吨位!$H$5:$H$304,MATCH(INT((ROW()-5)/3)+1,对接源_01入库吨位!$S$5:$S$304,0))),IF($D591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1" s="122" t="str">
        <f t="shared" si="74"/>
        <v/>
      </c>
      <c r="H591" s="43"/>
      <c r="I591" s="107"/>
      <c r="J591" s="123" t="str">
        <f t="shared" si="75"/>
        <v/>
      </c>
      <c r="K591" s="76" t="str">
        <f t="shared" si="76"/>
        <v/>
      </c>
      <c r="L591" s="43"/>
      <c r="M591" s="7"/>
      <c r="N591" s="106"/>
      <c r="R591" s="3" t="str">
        <f t="shared" si="77"/>
        <v/>
      </c>
      <c r="S591" s="3">
        <f t="shared" si="78"/>
        <v>0</v>
      </c>
      <c r="T591" s="3">
        <f t="shared" si="79"/>
        <v>13</v>
      </c>
    </row>
    <row r="592" spans="1:20">
      <c r="A592" s="74" t="str">
        <f t="shared" si="72"/>
        <v/>
      </c>
      <c r="B592" s="75" t="str">
        <f>IFERROR(INDEX(对接源_01入库吨位!$B$5:$B$304,MATCH(INT((ROW()-5)/3)+1,对接源_01入库吨位!$S$5:$S$304,0)),"")</f>
        <v/>
      </c>
      <c r="C592" s="75" t="str">
        <f>IFERROR(INDEX(对接源_01入库吨位!$C$5:$C$304,MATCH(INT((ROW()-5)/3)+1,对接源_01入库吨位!$S$5:$S$304,0)),"")</f>
        <v/>
      </c>
      <c r="D592" s="89" t="str">
        <f t="shared" si="73"/>
        <v/>
      </c>
      <c r="E592" s="42" t="str">
        <f>IF($B592="","",IFERROR(IF($D592="周转打冷",N(INDEX(对接源_01入库吨位!$D$5:$D$304,MATCH(INT((ROW()-5)/3)+1,对接源_01入库吨位!$S$5:$S$304,0))),IF($D592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2" s="76" t="str">
        <f>IF($B592="","",ROUND(IFERROR(IF($D592="周转打冷",N(INDEX(对接源_01入库吨位!$H$5:$H$304,MATCH(INT((ROW()-5)/3)+1,对接源_01入库吨位!$S$5:$S$304,0))),IF($D592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2" s="122" t="str">
        <f t="shared" si="74"/>
        <v/>
      </c>
      <c r="H592" s="43"/>
      <c r="I592" s="107"/>
      <c r="J592" s="123" t="str">
        <f t="shared" si="75"/>
        <v/>
      </c>
      <c r="K592" s="76" t="str">
        <f t="shared" si="76"/>
        <v/>
      </c>
      <c r="L592" s="43"/>
      <c r="M592" s="7"/>
      <c r="N592" s="106"/>
      <c r="R592" s="3" t="str">
        <f t="shared" si="77"/>
        <v/>
      </c>
      <c r="S592" s="3">
        <f t="shared" si="78"/>
        <v>0</v>
      </c>
      <c r="T592" s="3">
        <f t="shared" si="79"/>
        <v>13</v>
      </c>
    </row>
    <row r="593" spans="1:20">
      <c r="A593" s="74" t="str">
        <f t="shared" si="72"/>
        <v/>
      </c>
      <c r="B593" s="75" t="str">
        <f>IFERROR(INDEX(对接源_01入库吨位!$B$5:$B$304,MATCH(INT((ROW()-5)/3)+1,对接源_01入库吨位!$S$5:$S$304,0)),"")</f>
        <v/>
      </c>
      <c r="C593" s="75" t="str">
        <f>IFERROR(INDEX(对接源_01入库吨位!$C$5:$C$304,MATCH(INT((ROW()-5)/3)+1,对接源_01入库吨位!$S$5:$S$304,0)),"")</f>
        <v/>
      </c>
      <c r="D593" s="89" t="str">
        <f t="shared" si="73"/>
        <v/>
      </c>
      <c r="E593" s="42" t="str">
        <f>IF($B593="","",IFERROR(IF($D593="周转打冷",N(INDEX(对接源_01入库吨位!$D$5:$D$304,MATCH(INT((ROW()-5)/3)+1,对接源_01入库吨位!$S$5:$S$304,0))),IF($D593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3" s="76" t="str">
        <f>IF($B593="","",ROUND(IFERROR(IF($D593="周转打冷",N(INDEX(对接源_01入库吨位!$H$5:$H$304,MATCH(INT((ROW()-5)/3)+1,对接源_01入库吨位!$S$5:$S$304,0))),IF($D593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3" s="122" t="str">
        <f t="shared" si="74"/>
        <v/>
      </c>
      <c r="H593" s="43"/>
      <c r="I593" s="107"/>
      <c r="J593" s="123" t="str">
        <f t="shared" si="75"/>
        <v/>
      </c>
      <c r="K593" s="76" t="str">
        <f t="shared" si="76"/>
        <v/>
      </c>
      <c r="L593" s="43"/>
      <c r="M593" s="7"/>
      <c r="N593" s="106"/>
      <c r="R593" s="3" t="str">
        <f t="shared" si="77"/>
        <v/>
      </c>
      <c r="S593" s="3">
        <f t="shared" si="78"/>
        <v>0</v>
      </c>
      <c r="T593" s="3">
        <f t="shared" si="79"/>
        <v>13</v>
      </c>
    </row>
    <row r="594" spans="1:20">
      <c r="A594" s="74" t="str">
        <f t="shared" si="72"/>
        <v/>
      </c>
      <c r="B594" s="75" t="str">
        <f>IFERROR(INDEX(对接源_01入库吨位!$B$5:$B$304,MATCH(INT((ROW()-5)/3)+1,对接源_01入库吨位!$S$5:$S$304,0)),"")</f>
        <v/>
      </c>
      <c r="C594" s="75" t="str">
        <f>IFERROR(INDEX(对接源_01入库吨位!$C$5:$C$304,MATCH(INT((ROW()-5)/3)+1,对接源_01入库吨位!$S$5:$S$304,0)),"")</f>
        <v/>
      </c>
      <c r="D594" s="89" t="str">
        <f t="shared" si="73"/>
        <v/>
      </c>
      <c r="E594" s="42" t="str">
        <f>IF($B594="","",IFERROR(IF($D594="周转打冷",N(INDEX(对接源_01入库吨位!$D$5:$D$304,MATCH(INT((ROW()-5)/3)+1,对接源_01入库吨位!$S$5:$S$304,0))),IF($D594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4" s="76" t="str">
        <f>IF($B594="","",ROUND(IFERROR(IF($D594="周转打冷",N(INDEX(对接源_01入库吨位!$H$5:$H$304,MATCH(INT((ROW()-5)/3)+1,对接源_01入库吨位!$S$5:$S$304,0))),IF($D594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4" s="122" t="str">
        <f t="shared" si="74"/>
        <v/>
      </c>
      <c r="H594" s="43"/>
      <c r="I594" s="107"/>
      <c r="J594" s="123" t="str">
        <f t="shared" si="75"/>
        <v/>
      </c>
      <c r="K594" s="76" t="str">
        <f t="shared" si="76"/>
        <v/>
      </c>
      <c r="L594" s="43"/>
      <c r="M594" s="7"/>
      <c r="N594" s="106"/>
      <c r="R594" s="3" t="str">
        <f t="shared" si="77"/>
        <v/>
      </c>
      <c r="S594" s="3">
        <f t="shared" si="78"/>
        <v>0</v>
      </c>
      <c r="T594" s="3">
        <f t="shared" si="79"/>
        <v>13</v>
      </c>
    </row>
    <row r="595" spans="1:20">
      <c r="A595" s="74" t="str">
        <f t="shared" si="72"/>
        <v/>
      </c>
      <c r="B595" s="75" t="str">
        <f>IFERROR(INDEX(对接源_01入库吨位!$B$5:$B$304,MATCH(INT((ROW()-5)/3)+1,对接源_01入库吨位!$S$5:$S$304,0)),"")</f>
        <v/>
      </c>
      <c r="C595" s="75" t="str">
        <f>IFERROR(INDEX(对接源_01入库吨位!$C$5:$C$304,MATCH(INT((ROW()-5)/3)+1,对接源_01入库吨位!$S$5:$S$304,0)),"")</f>
        <v/>
      </c>
      <c r="D595" s="89" t="str">
        <f t="shared" si="73"/>
        <v/>
      </c>
      <c r="E595" s="42" t="str">
        <f>IF($B595="","",IFERROR(IF($D595="周转打冷",N(INDEX(对接源_01入库吨位!$D$5:$D$304,MATCH(INT((ROW()-5)/3)+1,对接源_01入库吨位!$S$5:$S$304,0))),IF($D595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5" s="76" t="str">
        <f>IF($B595="","",ROUND(IFERROR(IF($D595="周转打冷",N(INDEX(对接源_01入库吨位!$H$5:$H$304,MATCH(INT((ROW()-5)/3)+1,对接源_01入库吨位!$S$5:$S$304,0))),IF($D595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5" s="122" t="str">
        <f t="shared" si="74"/>
        <v/>
      </c>
      <c r="H595" s="43"/>
      <c r="I595" s="107"/>
      <c r="J595" s="123" t="str">
        <f t="shared" si="75"/>
        <v/>
      </c>
      <c r="K595" s="76" t="str">
        <f t="shared" si="76"/>
        <v/>
      </c>
      <c r="L595" s="43"/>
      <c r="M595" s="7"/>
      <c r="N595" s="106"/>
      <c r="R595" s="3" t="str">
        <f t="shared" si="77"/>
        <v/>
      </c>
      <c r="S595" s="3">
        <f t="shared" si="78"/>
        <v>0</v>
      </c>
      <c r="T595" s="3">
        <f t="shared" si="79"/>
        <v>13</v>
      </c>
    </row>
    <row r="596" spans="1:20">
      <c r="A596" s="74" t="str">
        <f t="shared" si="72"/>
        <v/>
      </c>
      <c r="B596" s="75" t="str">
        <f>IFERROR(INDEX(对接源_01入库吨位!$B$5:$B$304,MATCH(INT((ROW()-5)/3)+1,对接源_01入库吨位!$S$5:$S$304,0)),"")</f>
        <v/>
      </c>
      <c r="C596" s="75" t="str">
        <f>IFERROR(INDEX(对接源_01入库吨位!$C$5:$C$304,MATCH(INT((ROW()-5)/3)+1,对接源_01入库吨位!$S$5:$S$304,0)),"")</f>
        <v/>
      </c>
      <c r="D596" s="89" t="str">
        <f t="shared" si="73"/>
        <v/>
      </c>
      <c r="E596" s="42" t="str">
        <f>IF($B596="","",IFERROR(IF($D596="周转打冷",N(INDEX(对接源_01入库吨位!$D$5:$D$304,MATCH(INT((ROW()-5)/3)+1,对接源_01入库吨位!$S$5:$S$304,0))),IF($D596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6" s="76" t="str">
        <f>IF($B596="","",ROUND(IFERROR(IF($D596="周转打冷",N(INDEX(对接源_01入库吨位!$H$5:$H$304,MATCH(INT((ROW()-5)/3)+1,对接源_01入库吨位!$S$5:$S$304,0))),IF($D596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6" s="122" t="str">
        <f t="shared" si="74"/>
        <v/>
      </c>
      <c r="H596" s="43"/>
      <c r="I596" s="107"/>
      <c r="J596" s="123" t="str">
        <f t="shared" si="75"/>
        <v/>
      </c>
      <c r="K596" s="76" t="str">
        <f t="shared" si="76"/>
        <v/>
      </c>
      <c r="L596" s="43"/>
      <c r="M596" s="7"/>
      <c r="N596" s="106"/>
      <c r="R596" s="3" t="str">
        <f t="shared" si="77"/>
        <v/>
      </c>
      <c r="S596" s="3">
        <f t="shared" si="78"/>
        <v>0</v>
      </c>
      <c r="T596" s="3">
        <f t="shared" si="79"/>
        <v>13</v>
      </c>
    </row>
    <row r="597" spans="1:20">
      <c r="A597" s="74" t="str">
        <f t="shared" si="72"/>
        <v/>
      </c>
      <c r="B597" s="75" t="str">
        <f>IFERROR(INDEX(对接源_01入库吨位!$B$5:$B$304,MATCH(INT((ROW()-5)/3)+1,对接源_01入库吨位!$S$5:$S$304,0)),"")</f>
        <v/>
      </c>
      <c r="C597" s="75" t="str">
        <f>IFERROR(INDEX(对接源_01入库吨位!$C$5:$C$304,MATCH(INT((ROW()-5)/3)+1,对接源_01入库吨位!$S$5:$S$304,0)),"")</f>
        <v/>
      </c>
      <c r="D597" s="89" t="str">
        <f t="shared" si="73"/>
        <v/>
      </c>
      <c r="E597" s="42" t="str">
        <f>IF($B597="","",IFERROR(IF($D597="周转打冷",N(INDEX(对接源_01入库吨位!$D$5:$D$304,MATCH(INT((ROW()-5)/3)+1,对接源_01入库吨位!$S$5:$S$304,0))),IF($D597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7" s="76" t="str">
        <f>IF($B597="","",ROUND(IFERROR(IF($D597="周转打冷",N(INDEX(对接源_01入库吨位!$H$5:$H$304,MATCH(INT((ROW()-5)/3)+1,对接源_01入库吨位!$S$5:$S$304,0))),IF($D597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7" s="122" t="str">
        <f t="shared" si="74"/>
        <v/>
      </c>
      <c r="H597" s="43"/>
      <c r="I597" s="107"/>
      <c r="J597" s="123" t="str">
        <f t="shared" si="75"/>
        <v/>
      </c>
      <c r="K597" s="76" t="str">
        <f t="shared" si="76"/>
        <v/>
      </c>
      <c r="L597" s="43"/>
      <c r="M597" s="7"/>
      <c r="N597" s="106"/>
      <c r="R597" s="3" t="str">
        <f t="shared" si="77"/>
        <v/>
      </c>
      <c r="S597" s="3">
        <f t="shared" si="78"/>
        <v>0</v>
      </c>
      <c r="T597" s="3">
        <f t="shared" si="79"/>
        <v>13</v>
      </c>
    </row>
    <row r="598" spans="1:20">
      <c r="A598" s="74" t="str">
        <f t="shared" si="72"/>
        <v/>
      </c>
      <c r="B598" s="75" t="str">
        <f>IFERROR(INDEX(对接源_01入库吨位!$B$5:$B$304,MATCH(INT((ROW()-5)/3)+1,对接源_01入库吨位!$S$5:$S$304,0)),"")</f>
        <v/>
      </c>
      <c r="C598" s="75" t="str">
        <f>IFERROR(INDEX(对接源_01入库吨位!$C$5:$C$304,MATCH(INT((ROW()-5)/3)+1,对接源_01入库吨位!$S$5:$S$304,0)),"")</f>
        <v/>
      </c>
      <c r="D598" s="89" t="str">
        <f t="shared" si="73"/>
        <v/>
      </c>
      <c r="E598" s="42" t="str">
        <f>IF($B598="","",IFERROR(IF($D598="周转打冷",N(INDEX(对接源_01入库吨位!$D$5:$D$304,MATCH(INT((ROW()-5)/3)+1,对接源_01入库吨位!$S$5:$S$304,0))),IF($D598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8" s="76" t="str">
        <f>IF($B598="","",ROUND(IFERROR(IF($D598="周转打冷",N(INDEX(对接源_01入库吨位!$H$5:$H$304,MATCH(INT((ROW()-5)/3)+1,对接源_01入库吨位!$S$5:$S$304,0))),IF($D598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8" s="122" t="str">
        <f t="shared" si="74"/>
        <v/>
      </c>
      <c r="H598" s="43"/>
      <c r="I598" s="107"/>
      <c r="J598" s="123" t="str">
        <f t="shared" si="75"/>
        <v/>
      </c>
      <c r="K598" s="76" t="str">
        <f t="shared" si="76"/>
        <v/>
      </c>
      <c r="L598" s="43"/>
      <c r="M598" s="7"/>
      <c r="N598" s="106"/>
      <c r="R598" s="3" t="str">
        <f t="shared" si="77"/>
        <v/>
      </c>
      <c r="S598" s="3">
        <f t="shared" si="78"/>
        <v>0</v>
      </c>
      <c r="T598" s="3">
        <f t="shared" si="79"/>
        <v>13</v>
      </c>
    </row>
    <row r="599" spans="1:20">
      <c r="A599" s="74" t="str">
        <f t="shared" si="72"/>
        <v/>
      </c>
      <c r="B599" s="75" t="str">
        <f>IFERROR(INDEX(对接源_01入库吨位!$B$5:$B$304,MATCH(INT((ROW()-5)/3)+1,对接源_01入库吨位!$S$5:$S$304,0)),"")</f>
        <v/>
      </c>
      <c r="C599" s="75" t="str">
        <f>IFERROR(INDEX(对接源_01入库吨位!$C$5:$C$304,MATCH(INT((ROW()-5)/3)+1,对接源_01入库吨位!$S$5:$S$304,0)),"")</f>
        <v/>
      </c>
      <c r="D599" s="89" t="str">
        <f t="shared" si="73"/>
        <v/>
      </c>
      <c r="E599" s="42" t="str">
        <f>IF($B599="","",IFERROR(IF($D599="周转打冷",N(INDEX(对接源_01入库吨位!$D$5:$D$304,MATCH(INT((ROW()-5)/3)+1,对接源_01入库吨位!$S$5:$S$304,0))),IF($D599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9" s="76" t="str">
        <f>IF($B599="","",ROUND(IFERROR(IF($D599="周转打冷",N(INDEX(对接源_01入库吨位!$H$5:$H$304,MATCH(INT((ROW()-5)/3)+1,对接源_01入库吨位!$S$5:$S$304,0))),IF($D599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9" s="122" t="str">
        <f t="shared" si="74"/>
        <v/>
      </c>
      <c r="H599" s="43"/>
      <c r="I599" s="107"/>
      <c r="J599" s="123" t="str">
        <f t="shared" si="75"/>
        <v/>
      </c>
      <c r="K599" s="76" t="str">
        <f t="shared" si="76"/>
        <v/>
      </c>
      <c r="L599" s="43"/>
      <c r="M599" s="7"/>
      <c r="N599" s="106"/>
      <c r="R599" s="3" t="str">
        <f t="shared" si="77"/>
        <v/>
      </c>
      <c r="S599" s="3">
        <f t="shared" si="78"/>
        <v>0</v>
      </c>
      <c r="T599" s="3">
        <f t="shared" si="79"/>
        <v>13</v>
      </c>
    </row>
    <row r="600" spans="1:20">
      <c r="A600" s="74" t="str">
        <f t="shared" si="72"/>
        <v/>
      </c>
      <c r="B600" s="75" t="str">
        <f>IFERROR(INDEX(对接源_01入库吨位!$B$5:$B$304,MATCH(INT((ROW()-5)/3)+1,对接源_01入库吨位!$S$5:$S$304,0)),"")</f>
        <v/>
      </c>
      <c r="C600" s="75" t="str">
        <f>IFERROR(INDEX(对接源_01入库吨位!$C$5:$C$304,MATCH(INT((ROW()-5)/3)+1,对接源_01入库吨位!$S$5:$S$304,0)),"")</f>
        <v/>
      </c>
      <c r="D600" s="89" t="str">
        <f t="shared" si="73"/>
        <v/>
      </c>
      <c r="E600" s="42" t="str">
        <f>IF($B600="","",IFERROR(IF($D600="周转打冷",N(INDEX(对接源_01入库吨位!$D$5:$D$304,MATCH(INT((ROW()-5)/3)+1,对接源_01入库吨位!$S$5:$S$304,0))),IF($D600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0" s="76" t="str">
        <f>IF($B600="","",ROUND(IFERROR(IF($D600="周转打冷",N(INDEX(对接源_01入库吨位!$H$5:$H$304,MATCH(INT((ROW()-5)/3)+1,对接源_01入库吨位!$S$5:$S$304,0))),IF($D600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0" s="122" t="str">
        <f t="shared" si="74"/>
        <v/>
      </c>
      <c r="H600" s="43"/>
      <c r="I600" s="107"/>
      <c r="J600" s="123" t="str">
        <f t="shared" si="75"/>
        <v/>
      </c>
      <c r="K600" s="76" t="str">
        <f t="shared" si="76"/>
        <v/>
      </c>
      <c r="L600" s="43"/>
      <c r="M600" s="7"/>
      <c r="N600" s="106"/>
      <c r="R600" s="3" t="str">
        <f t="shared" si="77"/>
        <v/>
      </c>
      <c r="S600" s="3">
        <f t="shared" si="78"/>
        <v>0</v>
      </c>
      <c r="T600" s="3">
        <f t="shared" si="79"/>
        <v>13</v>
      </c>
    </row>
    <row r="601" spans="1:20">
      <c r="A601" s="74" t="str">
        <f t="shared" si="72"/>
        <v/>
      </c>
      <c r="B601" s="75" t="str">
        <f>IFERROR(INDEX(对接源_01入库吨位!$B$5:$B$304,MATCH(INT((ROW()-5)/3)+1,对接源_01入库吨位!$S$5:$S$304,0)),"")</f>
        <v/>
      </c>
      <c r="C601" s="75" t="str">
        <f>IFERROR(INDEX(对接源_01入库吨位!$C$5:$C$304,MATCH(INT((ROW()-5)/3)+1,对接源_01入库吨位!$S$5:$S$304,0)),"")</f>
        <v/>
      </c>
      <c r="D601" s="89" t="str">
        <f t="shared" si="73"/>
        <v/>
      </c>
      <c r="E601" s="42" t="str">
        <f>IF($B601="","",IFERROR(IF($D601="周转打冷",N(INDEX(对接源_01入库吨位!$D$5:$D$304,MATCH(INT((ROW()-5)/3)+1,对接源_01入库吨位!$S$5:$S$304,0))),IF($D601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1" s="76" t="str">
        <f>IF($B601="","",ROUND(IFERROR(IF($D601="周转打冷",N(INDEX(对接源_01入库吨位!$H$5:$H$304,MATCH(INT((ROW()-5)/3)+1,对接源_01入库吨位!$S$5:$S$304,0))),IF($D601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1" s="122" t="str">
        <f t="shared" si="74"/>
        <v/>
      </c>
      <c r="H601" s="43"/>
      <c r="I601" s="107"/>
      <c r="J601" s="123" t="str">
        <f t="shared" si="75"/>
        <v/>
      </c>
      <c r="K601" s="76" t="str">
        <f t="shared" si="76"/>
        <v/>
      </c>
      <c r="L601" s="43"/>
      <c r="M601" s="7"/>
      <c r="N601" s="106"/>
      <c r="R601" s="3" t="str">
        <f t="shared" si="77"/>
        <v/>
      </c>
      <c r="S601" s="3">
        <f t="shared" si="78"/>
        <v>0</v>
      </c>
      <c r="T601" s="3">
        <f t="shared" si="79"/>
        <v>13</v>
      </c>
    </row>
    <row r="602" spans="1:20">
      <c r="A602" s="74" t="str">
        <f t="shared" si="72"/>
        <v/>
      </c>
      <c r="B602" s="75" t="str">
        <f>IFERROR(INDEX(对接源_01入库吨位!$B$5:$B$304,MATCH(INT((ROW()-5)/3)+1,对接源_01入库吨位!$S$5:$S$304,0)),"")</f>
        <v/>
      </c>
      <c r="C602" s="75" t="str">
        <f>IFERROR(INDEX(对接源_01入库吨位!$C$5:$C$304,MATCH(INT((ROW()-5)/3)+1,对接源_01入库吨位!$S$5:$S$304,0)),"")</f>
        <v/>
      </c>
      <c r="D602" s="89" t="str">
        <f t="shared" si="73"/>
        <v/>
      </c>
      <c r="E602" s="42" t="str">
        <f>IF($B602="","",IFERROR(IF($D602="周转打冷",N(INDEX(对接源_01入库吨位!$D$5:$D$304,MATCH(INT((ROW()-5)/3)+1,对接源_01入库吨位!$S$5:$S$304,0))),IF($D602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2" s="76" t="str">
        <f>IF($B602="","",ROUND(IFERROR(IF($D602="周转打冷",N(INDEX(对接源_01入库吨位!$H$5:$H$304,MATCH(INT((ROW()-5)/3)+1,对接源_01入库吨位!$S$5:$S$304,0))),IF($D602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2" s="122" t="str">
        <f t="shared" si="74"/>
        <v/>
      </c>
      <c r="H602" s="43"/>
      <c r="I602" s="107"/>
      <c r="J602" s="123" t="str">
        <f t="shared" si="75"/>
        <v/>
      </c>
      <c r="K602" s="76" t="str">
        <f t="shared" si="76"/>
        <v/>
      </c>
      <c r="L602" s="43"/>
      <c r="M602" s="7"/>
      <c r="N602" s="106"/>
      <c r="R602" s="3" t="str">
        <f t="shared" si="77"/>
        <v/>
      </c>
      <c r="S602" s="3">
        <f t="shared" si="78"/>
        <v>0</v>
      </c>
      <c r="T602" s="3">
        <f t="shared" si="79"/>
        <v>13</v>
      </c>
    </row>
    <row r="603" spans="1:20">
      <c r="A603" s="74" t="str">
        <f t="shared" si="72"/>
        <v/>
      </c>
      <c r="B603" s="75" t="str">
        <f>IFERROR(INDEX(对接源_01入库吨位!$B$5:$B$304,MATCH(INT((ROW()-5)/3)+1,对接源_01入库吨位!$S$5:$S$304,0)),"")</f>
        <v/>
      </c>
      <c r="C603" s="75" t="str">
        <f>IFERROR(INDEX(对接源_01入库吨位!$C$5:$C$304,MATCH(INT((ROW()-5)/3)+1,对接源_01入库吨位!$S$5:$S$304,0)),"")</f>
        <v/>
      </c>
      <c r="D603" s="89" t="str">
        <f t="shared" si="73"/>
        <v/>
      </c>
      <c r="E603" s="42" t="str">
        <f>IF($B603="","",IFERROR(IF($D603="周转打冷",N(INDEX(对接源_01入库吨位!$D$5:$D$304,MATCH(INT((ROW()-5)/3)+1,对接源_01入库吨位!$S$5:$S$304,0))),IF($D603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3" s="76" t="str">
        <f>IF($B603="","",ROUND(IFERROR(IF($D603="周转打冷",N(INDEX(对接源_01入库吨位!$H$5:$H$304,MATCH(INT((ROW()-5)/3)+1,对接源_01入库吨位!$S$5:$S$304,0))),IF($D603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3" s="122" t="str">
        <f t="shared" si="74"/>
        <v/>
      </c>
      <c r="H603" s="43"/>
      <c r="I603" s="107"/>
      <c r="J603" s="123" t="str">
        <f t="shared" si="75"/>
        <v/>
      </c>
      <c r="K603" s="76" t="str">
        <f t="shared" si="76"/>
        <v/>
      </c>
      <c r="L603" s="43"/>
      <c r="M603" s="7"/>
      <c r="N603" s="106"/>
      <c r="R603" s="3" t="str">
        <f t="shared" si="77"/>
        <v/>
      </c>
      <c r="S603" s="3">
        <f t="shared" si="78"/>
        <v>0</v>
      </c>
      <c r="T603" s="3">
        <f t="shared" si="79"/>
        <v>13</v>
      </c>
    </row>
    <row r="604" spans="1:20">
      <c r="A604" s="74" t="str">
        <f t="shared" si="72"/>
        <v/>
      </c>
      <c r="B604" s="75" t="str">
        <f>IFERROR(INDEX(对接源_01入库吨位!$B$5:$B$304,MATCH(INT((ROW()-5)/3)+1,对接源_01入库吨位!$S$5:$S$304,0)),"")</f>
        <v/>
      </c>
      <c r="C604" s="75" t="str">
        <f>IFERROR(INDEX(对接源_01入库吨位!$C$5:$C$304,MATCH(INT((ROW()-5)/3)+1,对接源_01入库吨位!$S$5:$S$304,0)),"")</f>
        <v/>
      </c>
      <c r="D604" s="89" t="str">
        <f t="shared" si="73"/>
        <v/>
      </c>
      <c r="E604" s="42" t="str">
        <f>IF($B604="","",IFERROR(IF($D604="周转打冷",N(INDEX(对接源_01入库吨位!$D$5:$D$304,MATCH(INT((ROW()-5)/3)+1,对接源_01入库吨位!$S$5:$S$304,0))),IF($D604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4" s="76" t="str">
        <f>IF($B604="","",ROUND(IFERROR(IF($D604="周转打冷",N(INDEX(对接源_01入库吨位!$H$5:$H$304,MATCH(INT((ROW()-5)/3)+1,对接源_01入库吨位!$S$5:$S$304,0))),IF($D604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4" s="122" t="str">
        <f t="shared" si="74"/>
        <v/>
      </c>
      <c r="H604" s="43"/>
      <c r="I604" s="107"/>
      <c r="J604" s="123" t="str">
        <f t="shared" si="75"/>
        <v/>
      </c>
      <c r="K604" s="76" t="str">
        <f t="shared" si="76"/>
        <v/>
      </c>
      <c r="L604" s="43"/>
      <c r="M604" s="7"/>
      <c r="N604" s="106"/>
      <c r="R604" s="3" t="str">
        <f t="shared" si="77"/>
        <v/>
      </c>
      <c r="S604" s="3">
        <f t="shared" si="78"/>
        <v>0</v>
      </c>
      <c r="T604" s="3">
        <f t="shared" si="79"/>
        <v>13</v>
      </c>
    </row>
    <row r="605" spans="1:20">
      <c r="A605" s="74" t="str">
        <f t="shared" si="72"/>
        <v/>
      </c>
      <c r="B605" s="75" t="str">
        <f>IFERROR(INDEX(对接源_01入库吨位!$B$5:$B$304,MATCH(INT((ROW()-5)/3)+1,对接源_01入库吨位!$S$5:$S$304,0)),"")</f>
        <v/>
      </c>
      <c r="C605" s="75" t="str">
        <f>IFERROR(INDEX(对接源_01入库吨位!$C$5:$C$304,MATCH(INT((ROW()-5)/3)+1,对接源_01入库吨位!$S$5:$S$304,0)),"")</f>
        <v/>
      </c>
      <c r="D605" s="89" t="str">
        <f t="shared" si="73"/>
        <v/>
      </c>
      <c r="E605" s="42" t="str">
        <f>IF($B605="","",IFERROR(IF($D605="周转打冷",N(INDEX(对接源_01入库吨位!$D$5:$D$304,MATCH(INT((ROW()-5)/3)+1,对接源_01入库吨位!$S$5:$S$304,0))),IF($D605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5" s="76" t="str">
        <f>IF($B605="","",ROUND(IFERROR(IF($D605="周转打冷",N(INDEX(对接源_01入库吨位!$H$5:$H$304,MATCH(INT((ROW()-5)/3)+1,对接源_01入库吨位!$S$5:$S$304,0))),IF($D605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5" s="122" t="str">
        <f t="shared" si="74"/>
        <v/>
      </c>
      <c r="H605" s="43"/>
      <c r="I605" s="107"/>
      <c r="J605" s="123" t="str">
        <f t="shared" si="75"/>
        <v/>
      </c>
      <c r="K605" s="76" t="str">
        <f t="shared" si="76"/>
        <v/>
      </c>
      <c r="L605" s="43"/>
      <c r="M605" s="7"/>
      <c r="N605" s="106"/>
      <c r="R605" s="3" t="str">
        <f t="shared" si="77"/>
        <v/>
      </c>
      <c r="S605" s="3">
        <f t="shared" si="78"/>
        <v>0</v>
      </c>
      <c r="T605" s="3">
        <f t="shared" si="79"/>
        <v>13</v>
      </c>
    </row>
    <row r="606" spans="1:20">
      <c r="A606" s="74" t="str">
        <f t="shared" si="72"/>
        <v/>
      </c>
      <c r="B606" s="75" t="str">
        <f>IFERROR(INDEX(对接源_01入库吨位!$B$5:$B$304,MATCH(INT((ROW()-5)/3)+1,对接源_01入库吨位!$S$5:$S$304,0)),"")</f>
        <v/>
      </c>
      <c r="C606" s="75" t="str">
        <f>IFERROR(INDEX(对接源_01入库吨位!$C$5:$C$304,MATCH(INT((ROW()-5)/3)+1,对接源_01入库吨位!$S$5:$S$304,0)),"")</f>
        <v/>
      </c>
      <c r="D606" s="89" t="str">
        <f t="shared" si="73"/>
        <v/>
      </c>
      <c r="E606" s="42" t="str">
        <f>IF($B606="","",IFERROR(IF($D606="周转打冷",N(INDEX(对接源_01入库吨位!$D$5:$D$304,MATCH(INT((ROW()-5)/3)+1,对接源_01入库吨位!$S$5:$S$304,0))),IF($D606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6" s="76" t="str">
        <f>IF($B606="","",ROUND(IFERROR(IF($D606="周转打冷",N(INDEX(对接源_01入库吨位!$H$5:$H$304,MATCH(INT((ROW()-5)/3)+1,对接源_01入库吨位!$S$5:$S$304,0))),IF($D606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6" s="122" t="str">
        <f t="shared" si="74"/>
        <v/>
      </c>
      <c r="H606" s="43"/>
      <c r="I606" s="107"/>
      <c r="J606" s="123" t="str">
        <f t="shared" si="75"/>
        <v/>
      </c>
      <c r="K606" s="76" t="str">
        <f t="shared" si="76"/>
        <v/>
      </c>
      <c r="L606" s="43"/>
      <c r="M606" s="7"/>
      <c r="N606" s="106"/>
      <c r="R606" s="3" t="str">
        <f t="shared" si="77"/>
        <v/>
      </c>
      <c r="S606" s="3">
        <f t="shared" si="78"/>
        <v>0</v>
      </c>
      <c r="T606" s="3">
        <f t="shared" si="79"/>
        <v>13</v>
      </c>
    </row>
    <row r="607" spans="1:20">
      <c r="A607" s="74" t="str">
        <f t="shared" si="72"/>
        <v/>
      </c>
      <c r="B607" s="75" t="str">
        <f>IFERROR(INDEX(对接源_01入库吨位!$B$5:$B$304,MATCH(INT((ROW()-5)/3)+1,对接源_01入库吨位!$S$5:$S$304,0)),"")</f>
        <v/>
      </c>
      <c r="C607" s="75" t="str">
        <f>IFERROR(INDEX(对接源_01入库吨位!$C$5:$C$304,MATCH(INT((ROW()-5)/3)+1,对接源_01入库吨位!$S$5:$S$304,0)),"")</f>
        <v/>
      </c>
      <c r="D607" s="89" t="str">
        <f t="shared" si="73"/>
        <v/>
      </c>
      <c r="E607" s="42" t="str">
        <f>IF($B607="","",IFERROR(IF($D607="周转打冷",N(INDEX(对接源_01入库吨位!$D$5:$D$304,MATCH(INT((ROW()-5)/3)+1,对接源_01入库吨位!$S$5:$S$304,0))),IF($D607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7" s="76" t="str">
        <f>IF($B607="","",ROUND(IFERROR(IF($D607="周转打冷",N(INDEX(对接源_01入库吨位!$H$5:$H$304,MATCH(INT((ROW()-5)/3)+1,对接源_01入库吨位!$S$5:$S$304,0))),IF($D607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7" s="122" t="str">
        <f t="shared" si="74"/>
        <v/>
      </c>
      <c r="H607" s="43"/>
      <c r="I607" s="107"/>
      <c r="J607" s="123" t="str">
        <f t="shared" si="75"/>
        <v/>
      </c>
      <c r="K607" s="76" t="str">
        <f t="shared" si="76"/>
        <v/>
      </c>
      <c r="L607" s="43"/>
      <c r="M607" s="7"/>
      <c r="N607" s="106"/>
      <c r="R607" s="3" t="str">
        <f t="shared" si="77"/>
        <v/>
      </c>
      <c r="S607" s="3">
        <f t="shared" si="78"/>
        <v>0</v>
      </c>
      <c r="T607" s="3">
        <f t="shared" si="79"/>
        <v>13</v>
      </c>
    </row>
    <row r="608" spans="1:20">
      <c r="A608" s="74" t="str">
        <f t="shared" si="72"/>
        <v/>
      </c>
      <c r="B608" s="75" t="str">
        <f>IFERROR(INDEX(对接源_01入库吨位!$B$5:$B$304,MATCH(INT((ROW()-5)/3)+1,对接源_01入库吨位!$S$5:$S$304,0)),"")</f>
        <v/>
      </c>
      <c r="C608" s="75" t="str">
        <f>IFERROR(INDEX(对接源_01入库吨位!$C$5:$C$304,MATCH(INT((ROW()-5)/3)+1,对接源_01入库吨位!$S$5:$S$304,0)),"")</f>
        <v/>
      </c>
      <c r="D608" s="89" t="str">
        <f t="shared" si="73"/>
        <v/>
      </c>
      <c r="E608" s="42" t="str">
        <f>IF($B608="","",IFERROR(IF($D608="周转打冷",N(INDEX(对接源_01入库吨位!$D$5:$D$304,MATCH(INT((ROW()-5)/3)+1,对接源_01入库吨位!$S$5:$S$304,0))),IF($D608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8" s="76" t="str">
        <f>IF($B608="","",ROUND(IFERROR(IF($D608="周转打冷",N(INDEX(对接源_01入库吨位!$H$5:$H$304,MATCH(INT((ROW()-5)/3)+1,对接源_01入库吨位!$S$5:$S$304,0))),IF($D608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8" s="122" t="str">
        <f t="shared" si="74"/>
        <v/>
      </c>
      <c r="H608" s="43"/>
      <c r="I608" s="107"/>
      <c r="J608" s="123" t="str">
        <f t="shared" si="75"/>
        <v/>
      </c>
      <c r="K608" s="76" t="str">
        <f t="shared" si="76"/>
        <v/>
      </c>
      <c r="L608" s="43"/>
      <c r="M608" s="7"/>
      <c r="N608" s="106"/>
      <c r="R608" s="3" t="str">
        <f t="shared" si="77"/>
        <v/>
      </c>
      <c r="S608" s="3">
        <f t="shared" si="78"/>
        <v>0</v>
      </c>
      <c r="T608" s="3">
        <f t="shared" si="79"/>
        <v>13</v>
      </c>
    </row>
    <row r="609" spans="1:20">
      <c r="A609" s="74" t="str">
        <f t="shared" si="72"/>
        <v/>
      </c>
      <c r="B609" s="75" t="str">
        <f>IFERROR(INDEX(对接源_01入库吨位!$B$5:$B$304,MATCH(INT((ROW()-5)/3)+1,对接源_01入库吨位!$S$5:$S$304,0)),"")</f>
        <v/>
      </c>
      <c r="C609" s="75" t="str">
        <f>IFERROR(INDEX(对接源_01入库吨位!$C$5:$C$304,MATCH(INT((ROW()-5)/3)+1,对接源_01入库吨位!$S$5:$S$304,0)),"")</f>
        <v/>
      </c>
      <c r="D609" s="89" t="str">
        <f t="shared" si="73"/>
        <v/>
      </c>
      <c r="E609" s="42" t="str">
        <f>IF($B609="","",IFERROR(IF($D609="周转打冷",N(INDEX(对接源_01入库吨位!$D$5:$D$304,MATCH(INT((ROW()-5)/3)+1,对接源_01入库吨位!$S$5:$S$304,0))),IF($D609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9" s="76" t="str">
        <f>IF($B609="","",ROUND(IFERROR(IF($D609="周转打冷",N(INDEX(对接源_01入库吨位!$H$5:$H$304,MATCH(INT((ROW()-5)/3)+1,对接源_01入库吨位!$S$5:$S$304,0))),IF($D609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9" s="122" t="str">
        <f t="shared" si="74"/>
        <v/>
      </c>
      <c r="H609" s="43"/>
      <c r="I609" s="107"/>
      <c r="J609" s="123" t="str">
        <f t="shared" si="75"/>
        <v/>
      </c>
      <c r="K609" s="76" t="str">
        <f t="shared" si="76"/>
        <v/>
      </c>
      <c r="L609" s="43"/>
      <c r="M609" s="7"/>
      <c r="N609" s="106"/>
      <c r="R609" s="3" t="str">
        <f t="shared" si="77"/>
        <v/>
      </c>
      <c r="S609" s="3">
        <f t="shared" si="78"/>
        <v>0</v>
      </c>
      <c r="T609" s="3">
        <f t="shared" si="79"/>
        <v>13</v>
      </c>
    </row>
    <row r="610" spans="1:20">
      <c r="A610" s="74" t="str">
        <f t="shared" si="72"/>
        <v/>
      </c>
      <c r="B610" s="75" t="str">
        <f>IFERROR(INDEX(对接源_01入库吨位!$B$5:$B$304,MATCH(INT((ROW()-5)/3)+1,对接源_01入库吨位!$S$5:$S$304,0)),"")</f>
        <v/>
      </c>
      <c r="C610" s="75" t="str">
        <f>IFERROR(INDEX(对接源_01入库吨位!$C$5:$C$304,MATCH(INT((ROW()-5)/3)+1,对接源_01入库吨位!$S$5:$S$304,0)),"")</f>
        <v/>
      </c>
      <c r="D610" s="89" t="str">
        <f t="shared" si="73"/>
        <v/>
      </c>
      <c r="E610" s="42" t="str">
        <f>IF($B610="","",IFERROR(IF($D610="周转打冷",N(INDEX(对接源_01入库吨位!$D$5:$D$304,MATCH(INT((ROW()-5)/3)+1,对接源_01入库吨位!$S$5:$S$304,0))),IF($D610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0" s="76" t="str">
        <f>IF($B610="","",ROUND(IFERROR(IF($D610="周转打冷",N(INDEX(对接源_01入库吨位!$H$5:$H$304,MATCH(INT((ROW()-5)/3)+1,对接源_01入库吨位!$S$5:$S$304,0))),IF($D610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0" s="122" t="str">
        <f t="shared" si="74"/>
        <v/>
      </c>
      <c r="H610" s="43"/>
      <c r="I610" s="107"/>
      <c r="J610" s="123" t="str">
        <f t="shared" si="75"/>
        <v/>
      </c>
      <c r="K610" s="76" t="str">
        <f t="shared" si="76"/>
        <v/>
      </c>
      <c r="L610" s="43"/>
      <c r="M610" s="7"/>
      <c r="N610" s="106"/>
      <c r="R610" s="3" t="str">
        <f t="shared" si="77"/>
        <v/>
      </c>
      <c r="S610" s="3">
        <f t="shared" si="78"/>
        <v>0</v>
      </c>
      <c r="T610" s="3">
        <f t="shared" si="79"/>
        <v>13</v>
      </c>
    </row>
    <row r="611" spans="1:20">
      <c r="A611" s="74" t="str">
        <f t="shared" si="72"/>
        <v/>
      </c>
      <c r="B611" s="75" t="str">
        <f>IFERROR(INDEX(对接源_01入库吨位!$B$5:$B$304,MATCH(INT((ROW()-5)/3)+1,对接源_01入库吨位!$S$5:$S$304,0)),"")</f>
        <v/>
      </c>
      <c r="C611" s="75" t="str">
        <f>IFERROR(INDEX(对接源_01入库吨位!$C$5:$C$304,MATCH(INT((ROW()-5)/3)+1,对接源_01入库吨位!$S$5:$S$304,0)),"")</f>
        <v/>
      </c>
      <c r="D611" s="89" t="str">
        <f t="shared" si="73"/>
        <v/>
      </c>
      <c r="E611" s="42" t="str">
        <f>IF($B611="","",IFERROR(IF($D611="周转打冷",N(INDEX(对接源_01入库吨位!$D$5:$D$304,MATCH(INT((ROW()-5)/3)+1,对接源_01入库吨位!$S$5:$S$304,0))),IF($D611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1" s="76" t="str">
        <f>IF($B611="","",ROUND(IFERROR(IF($D611="周转打冷",N(INDEX(对接源_01入库吨位!$H$5:$H$304,MATCH(INT((ROW()-5)/3)+1,对接源_01入库吨位!$S$5:$S$304,0))),IF($D611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1" s="122" t="str">
        <f t="shared" si="74"/>
        <v/>
      </c>
      <c r="H611" s="43"/>
      <c r="I611" s="107"/>
      <c r="J611" s="123" t="str">
        <f t="shared" si="75"/>
        <v/>
      </c>
      <c r="K611" s="76" t="str">
        <f t="shared" si="76"/>
        <v/>
      </c>
      <c r="L611" s="43"/>
      <c r="M611" s="7"/>
      <c r="N611" s="106"/>
      <c r="R611" s="3" t="str">
        <f t="shared" si="77"/>
        <v/>
      </c>
      <c r="S611" s="3">
        <f t="shared" si="78"/>
        <v>0</v>
      </c>
      <c r="T611" s="3">
        <f t="shared" si="79"/>
        <v>13</v>
      </c>
    </row>
    <row r="612" spans="1:20">
      <c r="A612" s="74" t="str">
        <f t="shared" si="72"/>
        <v/>
      </c>
      <c r="B612" s="75" t="str">
        <f>IFERROR(INDEX(对接源_01入库吨位!$B$5:$B$304,MATCH(INT((ROW()-5)/3)+1,对接源_01入库吨位!$S$5:$S$304,0)),"")</f>
        <v/>
      </c>
      <c r="C612" s="75" t="str">
        <f>IFERROR(INDEX(对接源_01入库吨位!$C$5:$C$304,MATCH(INT((ROW()-5)/3)+1,对接源_01入库吨位!$S$5:$S$304,0)),"")</f>
        <v/>
      </c>
      <c r="D612" s="89" t="str">
        <f t="shared" si="73"/>
        <v/>
      </c>
      <c r="E612" s="42" t="str">
        <f>IF($B612="","",IFERROR(IF($D612="周转打冷",N(INDEX(对接源_01入库吨位!$D$5:$D$304,MATCH(INT((ROW()-5)/3)+1,对接源_01入库吨位!$S$5:$S$304,0))),IF($D612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2" s="76" t="str">
        <f>IF($B612="","",ROUND(IFERROR(IF($D612="周转打冷",N(INDEX(对接源_01入库吨位!$H$5:$H$304,MATCH(INT((ROW()-5)/3)+1,对接源_01入库吨位!$S$5:$S$304,0))),IF($D612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2" s="122" t="str">
        <f t="shared" si="74"/>
        <v/>
      </c>
      <c r="H612" s="43"/>
      <c r="I612" s="107"/>
      <c r="J612" s="123" t="str">
        <f t="shared" si="75"/>
        <v/>
      </c>
      <c r="K612" s="76" t="str">
        <f t="shared" si="76"/>
        <v/>
      </c>
      <c r="L612" s="43"/>
      <c r="M612" s="7"/>
      <c r="N612" s="106"/>
      <c r="R612" s="3" t="str">
        <f t="shared" si="77"/>
        <v/>
      </c>
      <c r="S612" s="3">
        <f t="shared" si="78"/>
        <v>0</v>
      </c>
      <c r="T612" s="3">
        <f t="shared" si="79"/>
        <v>13</v>
      </c>
    </row>
    <row r="613" spans="1:20">
      <c r="A613" s="74" t="str">
        <f t="shared" si="72"/>
        <v/>
      </c>
      <c r="B613" s="75" t="str">
        <f>IFERROR(INDEX(对接源_01入库吨位!$B$5:$B$304,MATCH(INT((ROW()-5)/3)+1,对接源_01入库吨位!$S$5:$S$304,0)),"")</f>
        <v/>
      </c>
      <c r="C613" s="75" t="str">
        <f>IFERROR(INDEX(对接源_01入库吨位!$C$5:$C$304,MATCH(INT((ROW()-5)/3)+1,对接源_01入库吨位!$S$5:$S$304,0)),"")</f>
        <v/>
      </c>
      <c r="D613" s="89" t="str">
        <f t="shared" si="73"/>
        <v/>
      </c>
      <c r="E613" s="42" t="str">
        <f>IF($B613="","",IFERROR(IF($D613="周转打冷",N(INDEX(对接源_01入库吨位!$D$5:$D$304,MATCH(INT((ROW()-5)/3)+1,对接源_01入库吨位!$S$5:$S$304,0))),IF($D613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3" s="76" t="str">
        <f>IF($B613="","",ROUND(IFERROR(IF($D613="周转打冷",N(INDEX(对接源_01入库吨位!$H$5:$H$304,MATCH(INT((ROW()-5)/3)+1,对接源_01入库吨位!$S$5:$S$304,0))),IF($D613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3" s="122" t="str">
        <f t="shared" si="74"/>
        <v/>
      </c>
      <c r="H613" s="43"/>
      <c r="I613" s="107"/>
      <c r="J613" s="123" t="str">
        <f t="shared" si="75"/>
        <v/>
      </c>
      <c r="K613" s="76" t="str">
        <f t="shared" si="76"/>
        <v/>
      </c>
      <c r="L613" s="43"/>
      <c r="M613" s="7"/>
      <c r="N613" s="106"/>
      <c r="R613" s="3" t="str">
        <f t="shared" si="77"/>
        <v/>
      </c>
      <c r="S613" s="3">
        <f t="shared" si="78"/>
        <v>0</v>
      </c>
      <c r="T613" s="3">
        <f t="shared" si="79"/>
        <v>13</v>
      </c>
    </row>
    <row r="614" spans="1:20">
      <c r="A614" s="74" t="str">
        <f t="shared" si="72"/>
        <v/>
      </c>
      <c r="B614" s="75" t="str">
        <f>IFERROR(INDEX(对接源_01入库吨位!$B$5:$B$304,MATCH(INT((ROW()-5)/3)+1,对接源_01入库吨位!$S$5:$S$304,0)),"")</f>
        <v/>
      </c>
      <c r="C614" s="75" t="str">
        <f>IFERROR(INDEX(对接源_01入库吨位!$C$5:$C$304,MATCH(INT((ROW()-5)/3)+1,对接源_01入库吨位!$S$5:$S$304,0)),"")</f>
        <v/>
      </c>
      <c r="D614" s="89" t="str">
        <f t="shared" si="73"/>
        <v/>
      </c>
      <c r="E614" s="42" t="str">
        <f>IF($B614="","",IFERROR(IF($D614="周转打冷",N(INDEX(对接源_01入库吨位!$D$5:$D$304,MATCH(INT((ROW()-5)/3)+1,对接源_01入库吨位!$S$5:$S$304,0))),IF($D614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4" s="76" t="str">
        <f>IF($B614="","",ROUND(IFERROR(IF($D614="周转打冷",N(INDEX(对接源_01入库吨位!$H$5:$H$304,MATCH(INT((ROW()-5)/3)+1,对接源_01入库吨位!$S$5:$S$304,0))),IF($D614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4" s="122" t="str">
        <f t="shared" si="74"/>
        <v/>
      </c>
      <c r="H614" s="43"/>
      <c r="I614" s="107"/>
      <c r="J614" s="123" t="str">
        <f t="shared" si="75"/>
        <v/>
      </c>
      <c r="K614" s="76" t="str">
        <f t="shared" si="76"/>
        <v/>
      </c>
      <c r="L614" s="43"/>
      <c r="M614" s="7"/>
      <c r="N614" s="106"/>
      <c r="R614" s="3" t="str">
        <f t="shared" si="77"/>
        <v/>
      </c>
      <c r="S614" s="3">
        <f t="shared" si="78"/>
        <v>0</v>
      </c>
      <c r="T614" s="3">
        <f t="shared" si="79"/>
        <v>13</v>
      </c>
    </row>
    <row r="615" spans="1:20">
      <c r="A615" s="74" t="str">
        <f t="shared" si="72"/>
        <v/>
      </c>
      <c r="B615" s="75" t="str">
        <f>IFERROR(INDEX(对接源_01入库吨位!$B$5:$B$304,MATCH(INT((ROW()-5)/3)+1,对接源_01入库吨位!$S$5:$S$304,0)),"")</f>
        <v/>
      </c>
      <c r="C615" s="75" t="str">
        <f>IFERROR(INDEX(对接源_01入库吨位!$C$5:$C$304,MATCH(INT((ROW()-5)/3)+1,对接源_01入库吨位!$S$5:$S$304,0)),"")</f>
        <v/>
      </c>
      <c r="D615" s="89" t="str">
        <f t="shared" si="73"/>
        <v/>
      </c>
      <c r="E615" s="42" t="str">
        <f>IF($B615="","",IFERROR(IF($D615="周转打冷",N(INDEX(对接源_01入库吨位!$D$5:$D$304,MATCH(INT((ROW()-5)/3)+1,对接源_01入库吨位!$S$5:$S$304,0))),IF($D615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5" s="76" t="str">
        <f>IF($B615="","",ROUND(IFERROR(IF($D615="周转打冷",N(INDEX(对接源_01入库吨位!$H$5:$H$304,MATCH(INT((ROW()-5)/3)+1,对接源_01入库吨位!$S$5:$S$304,0))),IF($D615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5" s="122" t="str">
        <f t="shared" si="74"/>
        <v/>
      </c>
      <c r="H615" s="43"/>
      <c r="I615" s="107"/>
      <c r="J615" s="123" t="str">
        <f t="shared" si="75"/>
        <v/>
      </c>
      <c r="K615" s="76" t="str">
        <f t="shared" si="76"/>
        <v/>
      </c>
      <c r="L615" s="43"/>
      <c r="M615" s="7"/>
      <c r="N615" s="106"/>
      <c r="R615" s="3" t="str">
        <f t="shared" si="77"/>
        <v/>
      </c>
      <c r="S615" s="3">
        <f t="shared" si="78"/>
        <v>0</v>
      </c>
      <c r="T615" s="3">
        <f t="shared" si="79"/>
        <v>13</v>
      </c>
    </row>
    <row r="616" spans="1:20">
      <c r="A616" s="74" t="str">
        <f t="shared" si="72"/>
        <v/>
      </c>
      <c r="B616" s="75" t="str">
        <f>IFERROR(INDEX(对接源_01入库吨位!$B$5:$B$304,MATCH(INT((ROW()-5)/3)+1,对接源_01入库吨位!$S$5:$S$304,0)),"")</f>
        <v/>
      </c>
      <c r="C616" s="75" t="str">
        <f>IFERROR(INDEX(对接源_01入库吨位!$C$5:$C$304,MATCH(INT((ROW()-5)/3)+1,对接源_01入库吨位!$S$5:$S$304,0)),"")</f>
        <v/>
      </c>
      <c r="D616" s="89" t="str">
        <f t="shared" si="73"/>
        <v/>
      </c>
      <c r="E616" s="42" t="str">
        <f>IF($B616="","",IFERROR(IF($D616="周转打冷",N(INDEX(对接源_01入库吨位!$D$5:$D$304,MATCH(INT((ROW()-5)/3)+1,对接源_01入库吨位!$S$5:$S$304,0))),IF($D616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6" s="76" t="str">
        <f>IF($B616="","",ROUND(IFERROR(IF($D616="周转打冷",N(INDEX(对接源_01入库吨位!$H$5:$H$304,MATCH(INT((ROW()-5)/3)+1,对接源_01入库吨位!$S$5:$S$304,0))),IF($D616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6" s="122" t="str">
        <f t="shared" si="74"/>
        <v/>
      </c>
      <c r="H616" s="43"/>
      <c r="I616" s="107"/>
      <c r="J616" s="123" t="str">
        <f t="shared" si="75"/>
        <v/>
      </c>
      <c r="K616" s="76" t="str">
        <f t="shared" si="76"/>
        <v/>
      </c>
      <c r="L616" s="43"/>
      <c r="M616" s="7"/>
      <c r="N616" s="106"/>
      <c r="R616" s="3" t="str">
        <f t="shared" si="77"/>
        <v/>
      </c>
      <c r="S616" s="3">
        <f t="shared" si="78"/>
        <v>0</v>
      </c>
      <c r="T616" s="3">
        <f t="shared" si="79"/>
        <v>13</v>
      </c>
    </row>
    <row r="617" spans="1:20">
      <c r="A617" s="74" t="str">
        <f t="shared" si="72"/>
        <v/>
      </c>
      <c r="B617" s="75" t="str">
        <f>IFERROR(INDEX(对接源_01入库吨位!$B$5:$B$304,MATCH(INT((ROW()-5)/3)+1,对接源_01入库吨位!$S$5:$S$304,0)),"")</f>
        <v/>
      </c>
      <c r="C617" s="75" t="str">
        <f>IFERROR(INDEX(对接源_01入库吨位!$C$5:$C$304,MATCH(INT((ROW()-5)/3)+1,对接源_01入库吨位!$S$5:$S$304,0)),"")</f>
        <v/>
      </c>
      <c r="D617" s="89" t="str">
        <f t="shared" si="73"/>
        <v/>
      </c>
      <c r="E617" s="42" t="str">
        <f>IF($B617="","",IFERROR(IF($D617="周转打冷",N(INDEX(对接源_01入库吨位!$D$5:$D$304,MATCH(INT((ROW()-5)/3)+1,对接源_01入库吨位!$S$5:$S$304,0))),IF($D617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7" s="76" t="str">
        <f>IF($B617="","",ROUND(IFERROR(IF($D617="周转打冷",N(INDEX(对接源_01入库吨位!$H$5:$H$304,MATCH(INT((ROW()-5)/3)+1,对接源_01入库吨位!$S$5:$S$304,0))),IF($D617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7" s="122" t="str">
        <f t="shared" si="74"/>
        <v/>
      </c>
      <c r="H617" s="43"/>
      <c r="I617" s="107"/>
      <c r="J617" s="123" t="str">
        <f t="shared" si="75"/>
        <v/>
      </c>
      <c r="K617" s="76" t="str">
        <f t="shared" si="76"/>
        <v/>
      </c>
      <c r="L617" s="43"/>
      <c r="M617" s="7"/>
      <c r="N617" s="106"/>
      <c r="R617" s="3" t="str">
        <f t="shared" si="77"/>
        <v/>
      </c>
      <c r="S617" s="3">
        <f t="shared" si="78"/>
        <v>0</v>
      </c>
      <c r="T617" s="3">
        <f t="shared" si="79"/>
        <v>13</v>
      </c>
    </row>
    <row r="618" spans="1:20">
      <c r="A618" s="74" t="str">
        <f t="shared" si="72"/>
        <v/>
      </c>
      <c r="B618" s="75" t="str">
        <f>IFERROR(INDEX(对接源_01入库吨位!$B$5:$B$304,MATCH(INT((ROW()-5)/3)+1,对接源_01入库吨位!$S$5:$S$304,0)),"")</f>
        <v/>
      </c>
      <c r="C618" s="75" t="str">
        <f>IFERROR(INDEX(对接源_01入库吨位!$C$5:$C$304,MATCH(INT((ROW()-5)/3)+1,对接源_01入库吨位!$S$5:$S$304,0)),"")</f>
        <v/>
      </c>
      <c r="D618" s="89" t="str">
        <f t="shared" si="73"/>
        <v/>
      </c>
      <c r="E618" s="42" t="str">
        <f>IF($B618="","",IFERROR(IF($D618="周转打冷",N(INDEX(对接源_01入库吨位!$D$5:$D$304,MATCH(INT((ROW()-5)/3)+1,对接源_01入库吨位!$S$5:$S$304,0))),IF($D618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8" s="76" t="str">
        <f>IF($B618="","",ROUND(IFERROR(IF($D618="周转打冷",N(INDEX(对接源_01入库吨位!$H$5:$H$304,MATCH(INT((ROW()-5)/3)+1,对接源_01入库吨位!$S$5:$S$304,0))),IF($D618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8" s="122" t="str">
        <f t="shared" si="74"/>
        <v/>
      </c>
      <c r="H618" s="43"/>
      <c r="I618" s="107"/>
      <c r="J618" s="123" t="str">
        <f t="shared" si="75"/>
        <v/>
      </c>
      <c r="K618" s="76" t="str">
        <f t="shared" si="76"/>
        <v/>
      </c>
      <c r="L618" s="43"/>
      <c r="M618" s="7"/>
      <c r="N618" s="106"/>
      <c r="R618" s="3" t="str">
        <f t="shared" si="77"/>
        <v/>
      </c>
      <c r="S618" s="3">
        <f t="shared" si="78"/>
        <v>0</v>
      </c>
      <c r="T618" s="3">
        <f t="shared" si="79"/>
        <v>13</v>
      </c>
    </row>
    <row r="619" spans="1:20">
      <c r="A619" s="74" t="str">
        <f t="shared" si="72"/>
        <v/>
      </c>
      <c r="B619" s="75" t="str">
        <f>IFERROR(INDEX(对接源_01入库吨位!$B$5:$B$304,MATCH(INT((ROW()-5)/3)+1,对接源_01入库吨位!$S$5:$S$304,0)),"")</f>
        <v/>
      </c>
      <c r="C619" s="75" t="str">
        <f>IFERROR(INDEX(对接源_01入库吨位!$C$5:$C$304,MATCH(INT((ROW()-5)/3)+1,对接源_01入库吨位!$S$5:$S$304,0)),"")</f>
        <v/>
      </c>
      <c r="D619" s="89" t="str">
        <f t="shared" si="73"/>
        <v/>
      </c>
      <c r="E619" s="42" t="str">
        <f>IF($B619="","",IFERROR(IF($D619="周转打冷",N(INDEX(对接源_01入库吨位!$D$5:$D$304,MATCH(INT((ROW()-5)/3)+1,对接源_01入库吨位!$S$5:$S$304,0))),IF($D619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9" s="76" t="str">
        <f>IF($B619="","",ROUND(IFERROR(IF($D619="周转打冷",N(INDEX(对接源_01入库吨位!$H$5:$H$304,MATCH(INT((ROW()-5)/3)+1,对接源_01入库吨位!$S$5:$S$304,0))),IF($D619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9" s="122" t="str">
        <f t="shared" si="74"/>
        <v/>
      </c>
      <c r="H619" s="43"/>
      <c r="I619" s="107"/>
      <c r="J619" s="123" t="str">
        <f t="shared" si="75"/>
        <v/>
      </c>
      <c r="K619" s="76" t="str">
        <f t="shared" si="76"/>
        <v/>
      </c>
      <c r="L619" s="43"/>
      <c r="M619" s="7"/>
      <c r="N619" s="106"/>
      <c r="R619" s="3" t="str">
        <f t="shared" si="77"/>
        <v/>
      </c>
      <c r="S619" s="3">
        <f t="shared" si="78"/>
        <v>0</v>
      </c>
      <c r="T619" s="3">
        <f t="shared" si="79"/>
        <v>13</v>
      </c>
    </row>
    <row r="620" spans="1:20">
      <c r="A620" s="74" t="str">
        <f t="shared" si="72"/>
        <v/>
      </c>
      <c r="B620" s="75" t="str">
        <f>IFERROR(INDEX(对接源_01入库吨位!$B$5:$B$304,MATCH(INT((ROW()-5)/3)+1,对接源_01入库吨位!$S$5:$S$304,0)),"")</f>
        <v/>
      </c>
      <c r="C620" s="75" t="str">
        <f>IFERROR(INDEX(对接源_01入库吨位!$C$5:$C$304,MATCH(INT((ROW()-5)/3)+1,对接源_01入库吨位!$S$5:$S$304,0)),"")</f>
        <v/>
      </c>
      <c r="D620" s="89" t="str">
        <f t="shared" si="73"/>
        <v/>
      </c>
      <c r="E620" s="42" t="str">
        <f>IF($B620="","",IFERROR(IF($D620="周转打冷",N(INDEX(对接源_01入库吨位!$D$5:$D$304,MATCH(INT((ROW()-5)/3)+1,对接源_01入库吨位!$S$5:$S$304,0))),IF($D620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0" s="76" t="str">
        <f>IF($B620="","",ROUND(IFERROR(IF($D620="周转打冷",N(INDEX(对接源_01入库吨位!$H$5:$H$304,MATCH(INT((ROW()-5)/3)+1,对接源_01入库吨位!$S$5:$S$304,0))),IF($D620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0" s="122" t="str">
        <f t="shared" si="74"/>
        <v/>
      </c>
      <c r="H620" s="43"/>
      <c r="I620" s="107"/>
      <c r="J620" s="123" t="str">
        <f t="shared" si="75"/>
        <v/>
      </c>
      <c r="K620" s="76" t="str">
        <f t="shared" si="76"/>
        <v/>
      </c>
      <c r="L620" s="43"/>
      <c r="M620" s="7"/>
      <c r="N620" s="106"/>
      <c r="R620" s="3" t="str">
        <f t="shared" si="77"/>
        <v/>
      </c>
      <c r="S620" s="3">
        <f t="shared" si="78"/>
        <v>0</v>
      </c>
      <c r="T620" s="3">
        <f t="shared" si="79"/>
        <v>13</v>
      </c>
    </row>
    <row r="621" spans="1:20">
      <c r="A621" s="74" t="str">
        <f t="shared" si="72"/>
        <v/>
      </c>
      <c r="B621" s="75" t="str">
        <f>IFERROR(INDEX(对接源_01入库吨位!$B$5:$B$304,MATCH(INT((ROW()-5)/3)+1,对接源_01入库吨位!$S$5:$S$304,0)),"")</f>
        <v/>
      </c>
      <c r="C621" s="75" t="str">
        <f>IFERROR(INDEX(对接源_01入库吨位!$C$5:$C$304,MATCH(INT((ROW()-5)/3)+1,对接源_01入库吨位!$S$5:$S$304,0)),"")</f>
        <v/>
      </c>
      <c r="D621" s="89" t="str">
        <f t="shared" si="73"/>
        <v/>
      </c>
      <c r="E621" s="42" t="str">
        <f>IF($B621="","",IFERROR(IF($D621="周转打冷",N(INDEX(对接源_01入库吨位!$D$5:$D$304,MATCH(INT((ROW()-5)/3)+1,对接源_01入库吨位!$S$5:$S$304,0))),IF($D621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1" s="76" t="str">
        <f>IF($B621="","",ROUND(IFERROR(IF($D621="周转打冷",N(INDEX(对接源_01入库吨位!$H$5:$H$304,MATCH(INT((ROW()-5)/3)+1,对接源_01入库吨位!$S$5:$S$304,0))),IF($D621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1" s="122" t="str">
        <f t="shared" si="74"/>
        <v/>
      </c>
      <c r="H621" s="43"/>
      <c r="I621" s="107"/>
      <c r="J621" s="123" t="str">
        <f t="shared" si="75"/>
        <v/>
      </c>
      <c r="K621" s="76" t="str">
        <f t="shared" si="76"/>
        <v/>
      </c>
      <c r="L621" s="43"/>
      <c r="M621" s="7"/>
      <c r="N621" s="106"/>
      <c r="R621" s="3" t="str">
        <f t="shared" si="77"/>
        <v/>
      </c>
      <c r="S621" s="3">
        <f t="shared" si="78"/>
        <v>0</v>
      </c>
      <c r="T621" s="3">
        <f t="shared" si="79"/>
        <v>13</v>
      </c>
    </row>
    <row r="622" spans="1:20">
      <c r="A622" s="74" t="str">
        <f t="shared" si="72"/>
        <v/>
      </c>
      <c r="B622" s="75" t="str">
        <f>IFERROR(INDEX(对接源_01入库吨位!$B$5:$B$304,MATCH(INT((ROW()-5)/3)+1,对接源_01入库吨位!$S$5:$S$304,0)),"")</f>
        <v/>
      </c>
      <c r="C622" s="75" t="str">
        <f>IFERROR(INDEX(对接源_01入库吨位!$C$5:$C$304,MATCH(INT((ROW()-5)/3)+1,对接源_01入库吨位!$S$5:$S$304,0)),"")</f>
        <v/>
      </c>
      <c r="D622" s="89" t="str">
        <f t="shared" si="73"/>
        <v/>
      </c>
      <c r="E622" s="42" t="str">
        <f>IF($B622="","",IFERROR(IF($D622="周转打冷",N(INDEX(对接源_01入库吨位!$D$5:$D$304,MATCH(INT((ROW()-5)/3)+1,对接源_01入库吨位!$S$5:$S$304,0))),IF($D622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2" s="76" t="str">
        <f>IF($B622="","",ROUND(IFERROR(IF($D622="周转打冷",N(INDEX(对接源_01入库吨位!$H$5:$H$304,MATCH(INT((ROW()-5)/3)+1,对接源_01入库吨位!$S$5:$S$304,0))),IF($D622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2" s="122" t="str">
        <f t="shared" si="74"/>
        <v/>
      </c>
      <c r="H622" s="43"/>
      <c r="I622" s="107"/>
      <c r="J622" s="123" t="str">
        <f t="shared" si="75"/>
        <v/>
      </c>
      <c r="K622" s="76" t="str">
        <f t="shared" si="76"/>
        <v/>
      </c>
      <c r="L622" s="43"/>
      <c r="M622" s="7"/>
      <c r="N622" s="106"/>
      <c r="R622" s="3" t="str">
        <f t="shared" si="77"/>
        <v/>
      </c>
      <c r="S622" s="3">
        <f t="shared" si="78"/>
        <v>0</v>
      </c>
      <c r="T622" s="3">
        <f t="shared" si="79"/>
        <v>13</v>
      </c>
    </row>
    <row r="623" spans="1:20">
      <c r="A623" s="74" t="str">
        <f t="shared" si="72"/>
        <v/>
      </c>
      <c r="B623" s="75" t="str">
        <f>IFERROR(INDEX(对接源_01入库吨位!$B$5:$B$304,MATCH(INT((ROW()-5)/3)+1,对接源_01入库吨位!$S$5:$S$304,0)),"")</f>
        <v/>
      </c>
      <c r="C623" s="75" t="str">
        <f>IFERROR(INDEX(对接源_01入库吨位!$C$5:$C$304,MATCH(INT((ROW()-5)/3)+1,对接源_01入库吨位!$S$5:$S$304,0)),"")</f>
        <v/>
      </c>
      <c r="D623" s="89" t="str">
        <f t="shared" si="73"/>
        <v/>
      </c>
      <c r="E623" s="42" t="str">
        <f>IF($B623="","",IFERROR(IF($D623="周转打冷",N(INDEX(对接源_01入库吨位!$D$5:$D$304,MATCH(INT((ROW()-5)/3)+1,对接源_01入库吨位!$S$5:$S$304,0))),IF($D623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3" s="76" t="str">
        <f>IF($B623="","",ROUND(IFERROR(IF($D623="周转打冷",N(INDEX(对接源_01入库吨位!$H$5:$H$304,MATCH(INT((ROW()-5)/3)+1,对接源_01入库吨位!$S$5:$S$304,0))),IF($D623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3" s="122" t="str">
        <f t="shared" si="74"/>
        <v/>
      </c>
      <c r="H623" s="43"/>
      <c r="I623" s="107"/>
      <c r="J623" s="123" t="str">
        <f t="shared" si="75"/>
        <v/>
      </c>
      <c r="K623" s="76" t="str">
        <f t="shared" si="76"/>
        <v/>
      </c>
      <c r="L623" s="43"/>
      <c r="M623" s="7"/>
      <c r="N623" s="106"/>
      <c r="R623" s="3" t="str">
        <f t="shared" si="77"/>
        <v/>
      </c>
      <c r="S623" s="3">
        <f t="shared" si="78"/>
        <v>0</v>
      </c>
      <c r="T623" s="3">
        <f t="shared" si="79"/>
        <v>13</v>
      </c>
    </row>
    <row r="624" spans="1:20">
      <c r="A624" s="74" t="str">
        <f t="shared" si="72"/>
        <v/>
      </c>
      <c r="B624" s="75" t="str">
        <f>IFERROR(INDEX(对接源_01入库吨位!$B$5:$B$304,MATCH(INT((ROW()-5)/3)+1,对接源_01入库吨位!$S$5:$S$304,0)),"")</f>
        <v/>
      </c>
      <c r="C624" s="75" t="str">
        <f>IFERROR(INDEX(对接源_01入库吨位!$C$5:$C$304,MATCH(INT((ROW()-5)/3)+1,对接源_01入库吨位!$S$5:$S$304,0)),"")</f>
        <v/>
      </c>
      <c r="D624" s="89" t="str">
        <f t="shared" si="73"/>
        <v/>
      </c>
      <c r="E624" s="42" t="str">
        <f>IF($B624="","",IFERROR(IF($D624="周转打冷",N(INDEX(对接源_01入库吨位!$D$5:$D$304,MATCH(INT((ROW()-5)/3)+1,对接源_01入库吨位!$S$5:$S$304,0))),IF($D624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4" s="76" t="str">
        <f>IF($B624="","",ROUND(IFERROR(IF($D624="周转打冷",N(INDEX(对接源_01入库吨位!$H$5:$H$304,MATCH(INT((ROW()-5)/3)+1,对接源_01入库吨位!$S$5:$S$304,0))),IF($D624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4" s="122" t="str">
        <f t="shared" si="74"/>
        <v/>
      </c>
      <c r="H624" s="43"/>
      <c r="I624" s="107"/>
      <c r="J624" s="123" t="str">
        <f t="shared" si="75"/>
        <v/>
      </c>
      <c r="K624" s="76" t="str">
        <f t="shared" si="76"/>
        <v/>
      </c>
      <c r="L624" s="43"/>
      <c r="M624" s="7"/>
      <c r="N624" s="106"/>
      <c r="R624" s="3" t="str">
        <f t="shared" si="77"/>
        <v/>
      </c>
      <c r="S624" s="3">
        <f t="shared" si="78"/>
        <v>0</v>
      </c>
      <c r="T624" s="3">
        <f t="shared" si="79"/>
        <v>13</v>
      </c>
    </row>
    <row r="625" spans="1:20">
      <c r="A625" s="74" t="str">
        <f t="shared" si="72"/>
        <v/>
      </c>
      <c r="B625" s="75" t="str">
        <f>IFERROR(INDEX(对接源_01入库吨位!$B$5:$B$304,MATCH(INT((ROW()-5)/3)+1,对接源_01入库吨位!$S$5:$S$304,0)),"")</f>
        <v/>
      </c>
      <c r="C625" s="75" t="str">
        <f>IFERROR(INDEX(对接源_01入库吨位!$C$5:$C$304,MATCH(INT((ROW()-5)/3)+1,对接源_01入库吨位!$S$5:$S$304,0)),"")</f>
        <v/>
      </c>
      <c r="D625" s="89" t="str">
        <f t="shared" si="73"/>
        <v/>
      </c>
      <c r="E625" s="42" t="str">
        <f>IF($B625="","",IFERROR(IF($D625="周转打冷",N(INDEX(对接源_01入库吨位!$D$5:$D$304,MATCH(INT((ROW()-5)/3)+1,对接源_01入库吨位!$S$5:$S$304,0))),IF($D625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5" s="76" t="str">
        <f>IF($B625="","",ROUND(IFERROR(IF($D625="周转打冷",N(INDEX(对接源_01入库吨位!$H$5:$H$304,MATCH(INT((ROW()-5)/3)+1,对接源_01入库吨位!$S$5:$S$304,0))),IF($D625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5" s="122" t="str">
        <f t="shared" si="74"/>
        <v/>
      </c>
      <c r="H625" s="43"/>
      <c r="I625" s="107"/>
      <c r="J625" s="123" t="str">
        <f t="shared" si="75"/>
        <v/>
      </c>
      <c r="K625" s="76" t="str">
        <f t="shared" si="76"/>
        <v/>
      </c>
      <c r="L625" s="43"/>
      <c r="M625" s="7"/>
      <c r="N625" s="106"/>
      <c r="R625" s="3" t="str">
        <f t="shared" si="77"/>
        <v/>
      </c>
      <c r="S625" s="3">
        <f t="shared" si="78"/>
        <v>0</v>
      </c>
      <c r="T625" s="3">
        <f t="shared" si="79"/>
        <v>13</v>
      </c>
    </row>
    <row r="626" spans="1:20">
      <c r="A626" s="74" t="str">
        <f t="shared" si="72"/>
        <v/>
      </c>
      <c r="B626" s="75" t="str">
        <f>IFERROR(INDEX(对接源_01入库吨位!$B$5:$B$304,MATCH(INT((ROW()-5)/3)+1,对接源_01入库吨位!$S$5:$S$304,0)),"")</f>
        <v/>
      </c>
      <c r="C626" s="75" t="str">
        <f>IFERROR(INDEX(对接源_01入库吨位!$C$5:$C$304,MATCH(INT((ROW()-5)/3)+1,对接源_01入库吨位!$S$5:$S$304,0)),"")</f>
        <v/>
      </c>
      <c r="D626" s="89" t="str">
        <f t="shared" si="73"/>
        <v/>
      </c>
      <c r="E626" s="42" t="str">
        <f>IF($B626="","",IFERROR(IF($D626="周转打冷",N(INDEX(对接源_01入库吨位!$D$5:$D$304,MATCH(INT((ROW()-5)/3)+1,对接源_01入库吨位!$S$5:$S$304,0))),IF($D626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6" s="76" t="str">
        <f>IF($B626="","",ROUND(IFERROR(IF($D626="周转打冷",N(INDEX(对接源_01入库吨位!$H$5:$H$304,MATCH(INT((ROW()-5)/3)+1,对接源_01入库吨位!$S$5:$S$304,0))),IF($D626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6" s="122" t="str">
        <f t="shared" si="74"/>
        <v/>
      </c>
      <c r="H626" s="43"/>
      <c r="I626" s="107"/>
      <c r="J626" s="123" t="str">
        <f t="shared" si="75"/>
        <v/>
      </c>
      <c r="K626" s="76" t="str">
        <f t="shared" si="76"/>
        <v/>
      </c>
      <c r="L626" s="43"/>
      <c r="M626" s="7"/>
      <c r="N626" s="106"/>
      <c r="R626" s="3" t="str">
        <f t="shared" si="77"/>
        <v/>
      </c>
      <c r="S626" s="3">
        <f t="shared" si="78"/>
        <v>0</v>
      </c>
      <c r="T626" s="3">
        <f t="shared" si="79"/>
        <v>13</v>
      </c>
    </row>
    <row r="627" spans="1:20">
      <c r="A627" s="74" t="str">
        <f t="shared" si="72"/>
        <v/>
      </c>
      <c r="B627" s="75" t="str">
        <f>IFERROR(INDEX(对接源_01入库吨位!$B$5:$B$304,MATCH(INT((ROW()-5)/3)+1,对接源_01入库吨位!$S$5:$S$304,0)),"")</f>
        <v/>
      </c>
      <c r="C627" s="75" t="str">
        <f>IFERROR(INDEX(对接源_01入库吨位!$C$5:$C$304,MATCH(INT((ROW()-5)/3)+1,对接源_01入库吨位!$S$5:$S$304,0)),"")</f>
        <v/>
      </c>
      <c r="D627" s="89" t="str">
        <f t="shared" si="73"/>
        <v/>
      </c>
      <c r="E627" s="42" t="str">
        <f>IF($B627="","",IFERROR(IF($D627="周转打冷",N(INDEX(对接源_01入库吨位!$D$5:$D$304,MATCH(INT((ROW()-5)/3)+1,对接源_01入库吨位!$S$5:$S$304,0))),IF($D627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7" s="76" t="str">
        <f>IF($B627="","",ROUND(IFERROR(IF($D627="周转打冷",N(INDEX(对接源_01入库吨位!$H$5:$H$304,MATCH(INT((ROW()-5)/3)+1,对接源_01入库吨位!$S$5:$S$304,0))),IF($D627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7" s="122" t="str">
        <f t="shared" si="74"/>
        <v/>
      </c>
      <c r="H627" s="43"/>
      <c r="I627" s="107"/>
      <c r="J627" s="123" t="str">
        <f t="shared" si="75"/>
        <v/>
      </c>
      <c r="K627" s="76" t="str">
        <f t="shared" si="76"/>
        <v/>
      </c>
      <c r="L627" s="43"/>
      <c r="M627" s="7"/>
      <c r="N627" s="106"/>
      <c r="R627" s="3" t="str">
        <f t="shared" si="77"/>
        <v/>
      </c>
      <c r="S627" s="3">
        <f t="shared" si="78"/>
        <v>0</v>
      </c>
      <c r="T627" s="3">
        <f t="shared" si="79"/>
        <v>13</v>
      </c>
    </row>
    <row r="628" spans="1:20">
      <c r="A628" s="74" t="str">
        <f t="shared" si="72"/>
        <v/>
      </c>
      <c r="B628" s="75" t="str">
        <f>IFERROR(INDEX(对接源_01入库吨位!$B$5:$B$304,MATCH(INT((ROW()-5)/3)+1,对接源_01入库吨位!$S$5:$S$304,0)),"")</f>
        <v/>
      </c>
      <c r="C628" s="75" t="str">
        <f>IFERROR(INDEX(对接源_01入库吨位!$C$5:$C$304,MATCH(INT((ROW()-5)/3)+1,对接源_01入库吨位!$S$5:$S$304,0)),"")</f>
        <v/>
      </c>
      <c r="D628" s="89" t="str">
        <f t="shared" si="73"/>
        <v/>
      </c>
      <c r="E628" s="42" t="str">
        <f>IF($B628="","",IFERROR(IF($D628="周转打冷",N(INDEX(对接源_01入库吨位!$D$5:$D$304,MATCH(INT((ROW()-5)/3)+1,对接源_01入库吨位!$S$5:$S$304,0))),IF($D628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8" s="76" t="str">
        <f>IF($B628="","",ROUND(IFERROR(IF($D628="周转打冷",N(INDEX(对接源_01入库吨位!$H$5:$H$304,MATCH(INT((ROW()-5)/3)+1,对接源_01入库吨位!$S$5:$S$304,0))),IF($D628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8" s="122" t="str">
        <f t="shared" si="74"/>
        <v/>
      </c>
      <c r="H628" s="43"/>
      <c r="I628" s="107"/>
      <c r="J628" s="123" t="str">
        <f t="shared" si="75"/>
        <v/>
      </c>
      <c r="K628" s="76" t="str">
        <f t="shared" si="76"/>
        <v/>
      </c>
      <c r="L628" s="43"/>
      <c r="M628" s="7"/>
      <c r="N628" s="106"/>
      <c r="R628" s="3" t="str">
        <f t="shared" si="77"/>
        <v/>
      </c>
      <c r="S628" s="3">
        <f t="shared" si="78"/>
        <v>0</v>
      </c>
      <c r="T628" s="3">
        <f t="shared" si="79"/>
        <v>13</v>
      </c>
    </row>
    <row r="629" spans="1:20">
      <c r="A629" s="74" t="str">
        <f t="shared" si="72"/>
        <v/>
      </c>
      <c r="B629" s="75" t="str">
        <f>IFERROR(INDEX(对接源_01入库吨位!$B$5:$B$304,MATCH(INT((ROW()-5)/3)+1,对接源_01入库吨位!$S$5:$S$304,0)),"")</f>
        <v/>
      </c>
      <c r="C629" s="75" t="str">
        <f>IFERROR(INDEX(对接源_01入库吨位!$C$5:$C$304,MATCH(INT((ROW()-5)/3)+1,对接源_01入库吨位!$S$5:$S$304,0)),"")</f>
        <v/>
      </c>
      <c r="D629" s="89" t="str">
        <f t="shared" si="73"/>
        <v/>
      </c>
      <c r="E629" s="42" t="str">
        <f>IF($B629="","",IFERROR(IF($D629="周转打冷",N(INDEX(对接源_01入库吨位!$D$5:$D$304,MATCH(INT((ROW()-5)/3)+1,对接源_01入库吨位!$S$5:$S$304,0))),IF($D629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9" s="76" t="str">
        <f>IF($B629="","",ROUND(IFERROR(IF($D629="周转打冷",N(INDEX(对接源_01入库吨位!$H$5:$H$304,MATCH(INT((ROW()-5)/3)+1,对接源_01入库吨位!$S$5:$S$304,0))),IF($D629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9" s="122" t="str">
        <f t="shared" si="74"/>
        <v/>
      </c>
      <c r="H629" s="43"/>
      <c r="I629" s="107"/>
      <c r="J629" s="123" t="str">
        <f t="shared" si="75"/>
        <v/>
      </c>
      <c r="K629" s="76" t="str">
        <f t="shared" si="76"/>
        <v/>
      </c>
      <c r="L629" s="43"/>
      <c r="M629" s="7"/>
      <c r="N629" s="106"/>
      <c r="R629" s="3" t="str">
        <f t="shared" si="77"/>
        <v/>
      </c>
      <c r="S629" s="3">
        <f t="shared" si="78"/>
        <v>0</v>
      </c>
      <c r="T629" s="3">
        <f t="shared" si="79"/>
        <v>13</v>
      </c>
    </row>
    <row r="630" spans="1:20">
      <c r="A630" s="74" t="str">
        <f t="shared" si="72"/>
        <v/>
      </c>
      <c r="B630" s="75" t="str">
        <f>IFERROR(INDEX(对接源_01入库吨位!$B$5:$B$304,MATCH(INT((ROW()-5)/3)+1,对接源_01入库吨位!$S$5:$S$304,0)),"")</f>
        <v/>
      </c>
      <c r="C630" s="75" t="str">
        <f>IFERROR(INDEX(对接源_01入库吨位!$C$5:$C$304,MATCH(INT((ROW()-5)/3)+1,对接源_01入库吨位!$S$5:$S$304,0)),"")</f>
        <v/>
      </c>
      <c r="D630" s="89" t="str">
        <f t="shared" si="73"/>
        <v/>
      </c>
      <c r="E630" s="42" t="str">
        <f>IF($B630="","",IFERROR(IF($D630="周转打冷",N(INDEX(对接源_01入库吨位!$D$5:$D$304,MATCH(INT((ROW()-5)/3)+1,对接源_01入库吨位!$S$5:$S$304,0))),IF($D630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0" s="76" t="str">
        <f>IF($B630="","",ROUND(IFERROR(IF($D630="周转打冷",N(INDEX(对接源_01入库吨位!$H$5:$H$304,MATCH(INT((ROW()-5)/3)+1,对接源_01入库吨位!$S$5:$S$304,0))),IF($D630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0" s="122" t="str">
        <f t="shared" si="74"/>
        <v/>
      </c>
      <c r="H630" s="43"/>
      <c r="I630" s="107"/>
      <c r="J630" s="123" t="str">
        <f t="shared" si="75"/>
        <v/>
      </c>
      <c r="K630" s="76" t="str">
        <f t="shared" si="76"/>
        <v/>
      </c>
      <c r="L630" s="43"/>
      <c r="M630" s="7"/>
      <c r="N630" s="106"/>
      <c r="R630" s="3" t="str">
        <f t="shared" si="77"/>
        <v/>
      </c>
      <c r="S630" s="3">
        <f t="shared" si="78"/>
        <v>0</v>
      </c>
      <c r="T630" s="3">
        <f t="shared" si="79"/>
        <v>13</v>
      </c>
    </row>
    <row r="631" spans="1:20">
      <c r="A631" s="74" t="str">
        <f t="shared" si="72"/>
        <v/>
      </c>
      <c r="B631" s="75" t="str">
        <f>IFERROR(INDEX(对接源_01入库吨位!$B$5:$B$304,MATCH(INT((ROW()-5)/3)+1,对接源_01入库吨位!$S$5:$S$304,0)),"")</f>
        <v/>
      </c>
      <c r="C631" s="75" t="str">
        <f>IFERROR(INDEX(对接源_01入库吨位!$C$5:$C$304,MATCH(INT((ROW()-5)/3)+1,对接源_01入库吨位!$S$5:$S$304,0)),"")</f>
        <v/>
      </c>
      <c r="D631" s="89" t="str">
        <f t="shared" si="73"/>
        <v/>
      </c>
      <c r="E631" s="42" t="str">
        <f>IF($B631="","",IFERROR(IF($D631="周转打冷",N(INDEX(对接源_01入库吨位!$D$5:$D$304,MATCH(INT((ROW()-5)/3)+1,对接源_01入库吨位!$S$5:$S$304,0))),IF($D631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1" s="76" t="str">
        <f>IF($B631="","",ROUND(IFERROR(IF($D631="周转打冷",N(INDEX(对接源_01入库吨位!$H$5:$H$304,MATCH(INT((ROW()-5)/3)+1,对接源_01入库吨位!$S$5:$S$304,0))),IF($D631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1" s="122" t="str">
        <f t="shared" si="74"/>
        <v/>
      </c>
      <c r="H631" s="43"/>
      <c r="I631" s="107"/>
      <c r="J631" s="123" t="str">
        <f t="shared" si="75"/>
        <v/>
      </c>
      <c r="K631" s="76" t="str">
        <f t="shared" si="76"/>
        <v/>
      </c>
      <c r="L631" s="43"/>
      <c r="M631" s="7"/>
      <c r="N631" s="106"/>
      <c r="R631" s="3" t="str">
        <f t="shared" si="77"/>
        <v/>
      </c>
      <c r="S631" s="3">
        <f t="shared" si="78"/>
        <v>0</v>
      </c>
      <c r="T631" s="3">
        <f t="shared" si="79"/>
        <v>13</v>
      </c>
    </row>
    <row r="632" spans="1:20">
      <c r="A632" s="74" t="str">
        <f t="shared" si="72"/>
        <v/>
      </c>
      <c r="B632" s="75" t="str">
        <f>IFERROR(INDEX(对接源_01入库吨位!$B$5:$B$304,MATCH(INT((ROW()-5)/3)+1,对接源_01入库吨位!$S$5:$S$304,0)),"")</f>
        <v/>
      </c>
      <c r="C632" s="75" t="str">
        <f>IFERROR(INDEX(对接源_01入库吨位!$C$5:$C$304,MATCH(INT((ROW()-5)/3)+1,对接源_01入库吨位!$S$5:$S$304,0)),"")</f>
        <v/>
      </c>
      <c r="D632" s="89" t="str">
        <f t="shared" si="73"/>
        <v/>
      </c>
      <c r="E632" s="42" t="str">
        <f>IF($B632="","",IFERROR(IF($D632="周转打冷",N(INDEX(对接源_01入库吨位!$D$5:$D$304,MATCH(INT((ROW()-5)/3)+1,对接源_01入库吨位!$S$5:$S$304,0))),IF($D632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2" s="76" t="str">
        <f>IF($B632="","",ROUND(IFERROR(IF($D632="周转打冷",N(INDEX(对接源_01入库吨位!$H$5:$H$304,MATCH(INT((ROW()-5)/3)+1,对接源_01入库吨位!$S$5:$S$304,0))),IF($D632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2" s="122" t="str">
        <f t="shared" si="74"/>
        <v/>
      </c>
      <c r="H632" s="43"/>
      <c r="I632" s="107"/>
      <c r="J632" s="123" t="str">
        <f t="shared" si="75"/>
        <v/>
      </c>
      <c r="K632" s="76" t="str">
        <f t="shared" si="76"/>
        <v/>
      </c>
      <c r="L632" s="43"/>
      <c r="M632" s="7"/>
      <c r="N632" s="106"/>
      <c r="R632" s="3" t="str">
        <f t="shared" si="77"/>
        <v/>
      </c>
      <c r="S632" s="3">
        <f t="shared" si="78"/>
        <v>0</v>
      </c>
      <c r="T632" s="3">
        <f t="shared" si="79"/>
        <v>13</v>
      </c>
    </row>
    <row r="633" spans="1:20">
      <c r="A633" s="74" t="str">
        <f t="shared" si="72"/>
        <v/>
      </c>
      <c r="B633" s="75" t="str">
        <f>IFERROR(INDEX(对接源_01入库吨位!$B$5:$B$304,MATCH(INT((ROW()-5)/3)+1,对接源_01入库吨位!$S$5:$S$304,0)),"")</f>
        <v/>
      </c>
      <c r="C633" s="75" t="str">
        <f>IFERROR(INDEX(对接源_01入库吨位!$C$5:$C$304,MATCH(INT((ROW()-5)/3)+1,对接源_01入库吨位!$S$5:$S$304,0)),"")</f>
        <v/>
      </c>
      <c r="D633" s="89" t="str">
        <f t="shared" si="73"/>
        <v/>
      </c>
      <c r="E633" s="42" t="str">
        <f>IF($B633="","",IFERROR(IF($D633="周转打冷",N(INDEX(对接源_01入库吨位!$D$5:$D$304,MATCH(INT((ROW()-5)/3)+1,对接源_01入库吨位!$S$5:$S$304,0))),IF($D633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3" s="76" t="str">
        <f>IF($B633="","",ROUND(IFERROR(IF($D633="周转打冷",N(INDEX(对接源_01入库吨位!$H$5:$H$304,MATCH(INT((ROW()-5)/3)+1,对接源_01入库吨位!$S$5:$S$304,0))),IF($D633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3" s="122" t="str">
        <f t="shared" si="74"/>
        <v/>
      </c>
      <c r="H633" s="43"/>
      <c r="I633" s="107"/>
      <c r="J633" s="123" t="str">
        <f t="shared" si="75"/>
        <v/>
      </c>
      <c r="K633" s="76" t="str">
        <f t="shared" si="76"/>
        <v/>
      </c>
      <c r="L633" s="43"/>
      <c r="M633" s="7"/>
      <c r="N633" s="106"/>
      <c r="R633" s="3" t="str">
        <f t="shared" si="77"/>
        <v/>
      </c>
      <c r="S633" s="3">
        <f t="shared" si="78"/>
        <v>0</v>
      </c>
      <c r="T633" s="3">
        <f t="shared" si="79"/>
        <v>13</v>
      </c>
    </row>
    <row r="634" spans="1:20">
      <c r="A634" s="74" t="str">
        <f t="shared" si="72"/>
        <v/>
      </c>
      <c r="B634" s="75" t="str">
        <f>IFERROR(INDEX(对接源_01入库吨位!$B$5:$B$304,MATCH(INT((ROW()-5)/3)+1,对接源_01入库吨位!$S$5:$S$304,0)),"")</f>
        <v/>
      </c>
      <c r="C634" s="75" t="str">
        <f>IFERROR(INDEX(对接源_01入库吨位!$C$5:$C$304,MATCH(INT((ROW()-5)/3)+1,对接源_01入库吨位!$S$5:$S$304,0)),"")</f>
        <v/>
      </c>
      <c r="D634" s="89" t="str">
        <f t="shared" si="73"/>
        <v/>
      </c>
      <c r="E634" s="42" t="str">
        <f>IF($B634="","",IFERROR(IF($D634="周转打冷",N(INDEX(对接源_01入库吨位!$D$5:$D$304,MATCH(INT((ROW()-5)/3)+1,对接源_01入库吨位!$S$5:$S$304,0))),IF($D634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4" s="76" t="str">
        <f>IF($B634="","",ROUND(IFERROR(IF($D634="周转打冷",N(INDEX(对接源_01入库吨位!$H$5:$H$304,MATCH(INT((ROW()-5)/3)+1,对接源_01入库吨位!$S$5:$S$304,0))),IF($D634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4" s="122" t="str">
        <f t="shared" si="74"/>
        <v/>
      </c>
      <c r="H634" s="43"/>
      <c r="I634" s="107"/>
      <c r="J634" s="123" t="str">
        <f t="shared" si="75"/>
        <v/>
      </c>
      <c r="K634" s="76" t="str">
        <f t="shared" si="76"/>
        <v/>
      </c>
      <c r="L634" s="43"/>
      <c r="M634" s="7"/>
      <c r="N634" s="106"/>
      <c r="R634" s="3" t="str">
        <f t="shared" si="77"/>
        <v/>
      </c>
      <c r="S634" s="3">
        <f t="shared" si="78"/>
        <v>0</v>
      </c>
      <c r="T634" s="3">
        <f t="shared" si="79"/>
        <v>13</v>
      </c>
    </row>
    <row r="635" spans="1:20">
      <c r="A635" s="74" t="str">
        <f t="shared" si="72"/>
        <v/>
      </c>
      <c r="B635" s="75" t="str">
        <f>IFERROR(INDEX(对接源_01入库吨位!$B$5:$B$304,MATCH(INT((ROW()-5)/3)+1,对接源_01入库吨位!$S$5:$S$304,0)),"")</f>
        <v/>
      </c>
      <c r="C635" s="75" t="str">
        <f>IFERROR(INDEX(对接源_01入库吨位!$C$5:$C$304,MATCH(INT((ROW()-5)/3)+1,对接源_01入库吨位!$S$5:$S$304,0)),"")</f>
        <v/>
      </c>
      <c r="D635" s="89" t="str">
        <f t="shared" si="73"/>
        <v/>
      </c>
      <c r="E635" s="42" t="str">
        <f>IF($B635="","",IFERROR(IF($D635="周转打冷",N(INDEX(对接源_01入库吨位!$D$5:$D$304,MATCH(INT((ROW()-5)/3)+1,对接源_01入库吨位!$S$5:$S$304,0))),IF($D635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5" s="76" t="str">
        <f>IF($B635="","",ROUND(IFERROR(IF($D635="周转打冷",N(INDEX(对接源_01入库吨位!$H$5:$H$304,MATCH(INT((ROW()-5)/3)+1,对接源_01入库吨位!$S$5:$S$304,0))),IF($D635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5" s="122" t="str">
        <f t="shared" si="74"/>
        <v/>
      </c>
      <c r="H635" s="43"/>
      <c r="I635" s="107"/>
      <c r="J635" s="123" t="str">
        <f t="shared" si="75"/>
        <v/>
      </c>
      <c r="K635" s="76" t="str">
        <f t="shared" si="76"/>
        <v/>
      </c>
      <c r="L635" s="43"/>
      <c r="M635" s="7"/>
      <c r="N635" s="106"/>
      <c r="R635" s="3" t="str">
        <f t="shared" si="77"/>
        <v/>
      </c>
      <c r="S635" s="3">
        <f t="shared" si="78"/>
        <v>0</v>
      </c>
      <c r="T635" s="3">
        <f t="shared" si="79"/>
        <v>13</v>
      </c>
    </row>
    <row r="636" spans="1:20">
      <c r="A636" s="74" t="str">
        <f t="shared" si="72"/>
        <v/>
      </c>
      <c r="B636" s="75" t="str">
        <f>IFERROR(INDEX(对接源_01入库吨位!$B$5:$B$304,MATCH(INT((ROW()-5)/3)+1,对接源_01入库吨位!$S$5:$S$304,0)),"")</f>
        <v/>
      </c>
      <c r="C636" s="75" t="str">
        <f>IFERROR(INDEX(对接源_01入库吨位!$C$5:$C$304,MATCH(INT((ROW()-5)/3)+1,对接源_01入库吨位!$S$5:$S$304,0)),"")</f>
        <v/>
      </c>
      <c r="D636" s="89" t="str">
        <f t="shared" si="73"/>
        <v/>
      </c>
      <c r="E636" s="42" t="str">
        <f>IF($B636="","",IFERROR(IF($D636="周转打冷",N(INDEX(对接源_01入库吨位!$D$5:$D$304,MATCH(INT((ROW()-5)/3)+1,对接源_01入库吨位!$S$5:$S$304,0))),IF($D636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6" s="76" t="str">
        <f>IF($B636="","",ROUND(IFERROR(IF($D636="周转打冷",N(INDEX(对接源_01入库吨位!$H$5:$H$304,MATCH(INT((ROW()-5)/3)+1,对接源_01入库吨位!$S$5:$S$304,0))),IF($D636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6" s="122" t="str">
        <f t="shared" si="74"/>
        <v/>
      </c>
      <c r="H636" s="43"/>
      <c r="I636" s="107"/>
      <c r="J636" s="123" t="str">
        <f t="shared" si="75"/>
        <v/>
      </c>
      <c r="K636" s="76" t="str">
        <f t="shared" si="76"/>
        <v/>
      </c>
      <c r="L636" s="43"/>
      <c r="M636" s="7"/>
      <c r="N636" s="106"/>
      <c r="R636" s="3" t="str">
        <f t="shared" si="77"/>
        <v/>
      </c>
      <c r="S636" s="3">
        <f t="shared" si="78"/>
        <v>0</v>
      </c>
      <c r="T636" s="3">
        <f t="shared" si="79"/>
        <v>13</v>
      </c>
    </row>
    <row r="637" spans="1:20">
      <c r="A637" s="74" t="str">
        <f t="shared" si="72"/>
        <v/>
      </c>
      <c r="B637" s="75" t="str">
        <f>IFERROR(INDEX(对接源_01入库吨位!$B$5:$B$304,MATCH(INT((ROW()-5)/3)+1,对接源_01入库吨位!$S$5:$S$304,0)),"")</f>
        <v/>
      </c>
      <c r="C637" s="75" t="str">
        <f>IFERROR(INDEX(对接源_01入库吨位!$C$5:$C$304,MATCH(INT((ROW()-5)/3)+1,对接源_01入库吨位!$S$5:$S$304,0)),"")</f>
        <v/>
      </c>
      <c r="D637" s="89" t="str">
        <f t="shared" si="73"/>
        <v/>
      </c>
      <c r="E637" s="42" t="str">
        <f>IF($B637="","",IFERROR(IF($D637="周转打冷",N(INDEX(对接源_01入库吨位!$D$5:$D$304,MATCH(INT((ROW()-5)/3)+1,对接源_01入库吨位!$S$5:$S$304,0))),IF($D637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7" s="76" t="str">
        <f>IF($B637="","",ROUND(IFERROR(IF($D637="周转打冷",N(INDEX(对接源_01入库吨位!$H$5:$H$304,MATCH(INT((ROW()-5)/3)+1,对接源_01入库吨位!$S$5:$S$304,0))),IF($D637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7" s="122" t="str">
        <f t="shared" si="74"/>
        <v/>
      </c>
      <c r="H637" s="43"/>
      <c r="I637" s="107"/>
      <c r="J637" s="123" t="str">
        <f t="shared" si="75"/>
        <v/>
      </c>
      <c r="K637" s="76" t="str">
        <f t="shared" si="76"/>
        <v/>
      </c>
      <c r="L637" s="43"/>
      <c r="M637" s="7"/>
      <c r="N637" s="106"/>
      <c r="R637" s="3" t="str">
        <f t="shared" si="77"/>
        <v/>
      </c>
      <c r="S637" s="3">
        <f t="shared" si="78"/>
        <v>0</v>
      </c>
      <c r="T637" s="3">
        <f t="shared" si="79"/>
        <v>13</v>
      </c>
    </row>
    <row r="638" spans="1:20">
      <c r="A638" s="74" t="str">
        <f t="shared" si="72"/>
        <v/>
      </c>
      <c r="B638" s="75" t="str">
        <f>IFERROR(INDEX(对接源_01入库吨位!$B$5:$B$304,MATCH(INT((ROW()-5)/3)+1,对接源_01入库吨位!$S$5:$S$304,0)),"")</f>
        <v/>
      </c>
      <c r="C638" s="75" t="str">
        <f>IFERROR(INDEX(对接源_01入库吨位!$C$5:$C$304,MATCH(INT((ROW()-5)/3)+1,对接源_01入库吨位!$S$5:$S$304,0)),"")</f>
        <v/>
      </c>
      <c r="D638" s="89" t="str">
        <f t="shared" si="73"/>
        <v/>
      </c>
      <c r="E638" s="42" t="str">
        <f>IF($B638="","",IFERROR(IF($D638="周转打冷",N(INDEX(对接源_01入库吨位!$D$5:$D$304,MATCH(INT((ROW()-5)/3)+1,对接源_01入库吨位!$S$5:$S$304,0))),IF($D638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8" s="76" t="str">
        <f>IF($B638="","",ROUND(IFERROR(IF($D638="周转打冷",N(INDEX(对接源_01入库吨位!$H$5:$H$304,MATCH(INT((ROW()-5)/3)+1,对接源_01入库吨位!$S$5:$S$304,0))),IF($D638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8" s="122" t="str">
        <f t="shared" si="74"/>
        <v/>
      </c>
      <c r="H638" s="43"/>
      <c r="I638" s="107"/>
      <c r="J638" s="123" t="str">
        <f t="shared" si="75"/>
        <v/>
      </c>
      <c r="K638" s="76" t="str">
        <f t="shared" si="76"/>
        <v/>
      </c>
      <c r="L638" s="43"/>
      <c r="M638" s="7"/>
      <c r="N638" s="106"/>
      <c r="R638" s="3" t="str">
        <f t="shared" si="77"/>
        <v/>
      </c>
      <c r="S638" s="3">
        <f t="shared" si="78"/>
        <v>0</v>
      </c>
      <c r="T638" s="3">
        <f t="shared" si="79"/>
        <v>13</v>
      </c>
    </row>
    <row r="639" spans="1:20">
      <c r="A639" s="74" t="str">
        <f t="shared" si="72"/>
        <v/>
      </c>
      <c r="B639" s="75" t="str">
        <f>IFERROR(INDEX(对接源_01入库吨位!$B$5:$B$304,MATCH(INT((ROW()-5)/3)+1,对接源_01入库吨位!$S$5:$S$304,0)),"")</f>
        <v/>
      </c>
      <c r="C639" s="75" t="str">
        <f>IFERROR(INDEX(对接源_01入库吨位!$C$5:$C$304,MATCH(INT((ROW()-5)/3)+1,对接源_01入库吨位!$S$5:$S$304,0)),"")</f>
        <v/>
      </c>
      <c r="D639" s="89" t="str">
        <f t="shared" si="73"/>
        <v/>
      </c>
      <c r="E639" s="42" t="str">
        <f>IF($B639="","",IFERROR(IF($D639="周转打冷",N(INDEX(对接源_01入库吨位!$D$5:$D$304,MATCH(INT((ROW()-5)/3)+1,对接源_01入库吨位!$S$5:$S$304,0))),IF($D639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9" s="76" t="str">
        <f>IF($B639="","",ROUND(IFERROR(IF($D639="周转打冷",N(INDEX(对接源_01入库吨位!$H$5:$H$304,MATCH(INT((ROW()-5)/3)+1,对接源_01入库吨位!$S$5:$S$304,0))),IF($D639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9" s="122" t="str">
        <f t="shared" si="74"/>
        <v/>
      </c>
      <c r="H639" s="43"/>
      <c r="I639" s="107"/>
      <c r="J639" s="123" t="str">
        <f t="shared" si="75"/>
        <v/>
      </c>
      <c r="K639" s="76" t="str">
        <f t="shared" si="76"/>
        <v/>
      </c>
      <c r="L639" s="43"/>
      <c r="M639" s="7"/>
      <c r="N639" s="106"/>
      <c r="R639" s="3" t="str">
        <f t="shared" si="77"/>
        <v/>
      </c>
      <c r="S639" s="3">
        <f t="shared" si="78"/>
        <v>0</v>
      </c>
      <c r="T639" s="3">
        <f t="shared" si="79"/>
        <v>13</v>
      </c>
    </row>
    <row r="640" spans="1:20">
      <c r="A640" s="74" t="str">
        <f t="shared" si="72"/>
        <v/>
      </c>
      <c r="B640" s="75" t="str">
        <f>IFERROR(INDEX(对接源_01入库吨位!$B$5:$B$304,MATCH(INT((ROW()-5)/3)+1,对接源_01入库吨位!$S$5:$S$304,0)),"")</f>
        <v/>
      </c>
      <c r="C640" s="75" t="str">
        <f>IFERROR(INDEX(对接源_01入库吨位!$C$5:$C$304,MATCH(INT((ROW()-5)/3)+1,对接源_01入库吨位!$S$5:$S$304,0)),"")</f>
        <v/>
      </c>
      <c r="D640" s="89" t="str">
        <f t="shared" si="73"/>
        <v/>
      </c>
      <c r="E640" s="42" t="str">
        <f>IF($B640="","",IFERROR(IF($D640="周转打冷",N(INDEX(对接源_01入库吨位!$D$5:$D$304,MATCH(INT((ROW()-5)/3)+1,对接源_01入库吨位!$S$5:$S$304,0))),IF($D640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0" s="76" t="str">
        <f>IF($B640="","",ROUND(IFERROR(IF($D640="周转打冷",N(INDEX(对接源_01入库吨位!$H$5:$H$304,MATCH(INT((ROW()-5)/3)+1,对接源_01入库吨位!$S$5:$S$304,0))),IF($D640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0" s="122" t="str">
        <f t="shared" si="74"/>
        <v/>
      </c>
      <c r="H640" s="43"/>
      <c r="I640" s="107"/>
      <c r="J640" s="123" t="str">
        <f t="shared" si="75"/>
        <v/>
      </c>
      <c r="K640" s="76" t="str">
        <f t="shared" si="76"/>
        <v/>
      </c>
      <c r="L640" s="43"/>
      <c r="M640" s="7"/>
      <c r="N640" s="106"/>
      <c r="R640" s="3" t="str">
        <f t="shared" si="77"/>
        <v/>
      </c>
      <c r="S640" s="3">
        <f t="shared" si="78"/>
        <v>0</v>
      </c>
      <c r="T640" s="3">
        <f t="shared" si="79"/>
        <v>13</v>
      </c>
    </row>
    <row r="641" spans="1:20">
      <c r="A641" s="74" t="str">
        <f t="shared" si="72"/>
        <v/>
      </c>
      <c r="B641" s="75" t="str">
        <f>IFERROR(INDEX(对接源_01入库吨位!$B$5:$B$304,MATCH(INT((ROW()-5)/3)+1,对接源_01入库吨位!$S$5:$S$304,0)),"")</f>
        <v/>
      </c>
      <c r="C641" s="75" t="str">
        <f>IFERROR(INDEX(对接源_01入库吨位!$C$5:$C$304,MATCH(INT((ROW()-5)/3)+1,对接源_01入库吨位!$S$5:$S$304,0)),"")</f>
        <v/>
      </c>
      <c r="D641" s="89" t="str">
        <f t="shared" si="73"/>
        <v/>
      </c>
      <c r="E641" s="42" t="str">
        <f>IF($B641="","",IFERROR(IF($D641="周转打冷",N(INDEX(对接源_01入库吨位!$D$5:$D$304,MATCH(INT((ROW()-5)/3)+1,对接源_01入库吨位!$S$5:$S$304,0))),IF($D641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1" s="76" t="str">
        <f>IF($B641="","",ROUND(IFERROR(IF($D641="周转打冷",N(INDEX(对接源_01入库吨位!$H$5:$H$304,MATCH(INT((ROW()-5)/3)+1,对接源_01入库吨位!$S$5:$S$304,0))),IF($D641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1" s="122" t="str">
        <f t="shared" si="74"/>
        <v/>
      </c>
      <c r="H641" s="43"/>
      <c r="I641" s="107"/>
      <c r="J641" s="123" t="str">
        <f t="shared" si="75"/>
        <v/>
      </c>
      <c r="K641" s="76" t="str">
        <f t="shared" si="76"/>
        <v/>
      </c>
      <c r="L641" s="43"/>
      <c r="M641" s="7"/>
      <c r="N641" s="106"/>
      <c r="R641" s="3" t="str">
        <f t="shared" si="77"/>
        <v/>
      </c>
      <c r="S641" s="3">
        <f t="shared" si="78"/>
        <v>0</v>
      </c>
      <c r="T641" s="3">
        <f t="shared" si="79"/>
        <v>13</v>
      </c>
    </row>
    <row r="642" spans="1:20">
      <c r="A642" s="74" t="str">
        <f t="shared" si="72"/>
        <v/>
      </c>
      <c r="B642" s="75" t="str">
        <f>IFERROR(INDEX(对接源_01入库吨位!$B$5:$B$304,MATCH(INT((ROW()-5)/3)+1,对接源_01入库吨位!$S$5:$S$304,0)),"")</f>
        <v/>
      </c>
      <c r="C642" s="75" t="str">
        <f>IFERROR(INDEX(对接源_01入库吨位!$C$5:$C$304,MATCH(INT((ROW()-5)/3)+1,对接源_01入库吨位!$S$5:$S$304,0)),"")</f>
        <v/>
      </c>
      <c r="D642" s="89" t="str">
        <f t="shared" si="73"/>
        <v/>
      </c>
      <c r="E642" s="42" t="str">
        <f>IF($B642="","",IFERROR(IF($D642="周转打冷",N(INDEX(对接源_01入库吨位!$D$5:$D$304,MATCH(INT((ROW()-5)/3)+1,对接源_01入库吨位!$S$5:$S$304,0))),IF($D642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2" s="76" t="str">
        <f>IF($B642="","",ROUND(IFERROR(IF($D642="周转打冷",N(INDEX(对接源_01入库吨位!$H$5:$H$304,MATCH(INT((ROW()-5)/3)+1,对接源_01入库吨位!$S$5:$S$304,0))),IF($D642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2" s="122" t="str">
        <f t="shared" si="74"/>
        <v/>
      </c>
      <c r="H642" s="43"/>
      <c r="I642" s="107"/>
      <c r="J642" s="123" t="str">
        <f t="shared" si="75"/>
        <v/>
      </c>
      <c r="K642" s="76" t="str">
        <f t="shared" si="76"/>
        <v/>
      </c>
      <c r="L642" s="43"/>
      <c r="M642" s="7"/>
      <c r="N642" s="106"/>
      <c r="R642" s="3" t="str">
        <f t="shared" si="77"/>
        <v/>
      </c>
      <c r="S642" s="3">
        <f t="shared" si="78"/>
        <v>0</v>
      </c>
      <c r="T642" s="3">
        <f t="shared" si="79"/>
        <v>13</v>
      </c>
    </row>
    <row r="643" spans="1:20">
      <c r="A643" s="74" t="str">
        <f t="shared" si="72"/>
        <v/>
      </c>
      <c r="B643" s="75" t="str">
        <f>IFERROR(INDEX(对接源_01入库吨位!$B$5:$B$304,MATCH(INT((ROW()-5)/3)+1,对接源_01入库吨位!$S$5:$S$304,0)),"")</f>
        <v/>
      </c>
      <c r="C643" s="75" t="str">
        <f>IFERROR(INDEX(对接源_01入库吨位!$C$5:$C$304,MATCH(INT((ROW()-5)/3)+1,对接源_01入库吨位!$S$5:$S$304,0)),"")</f>
        <v/>
      </c>
      <c r="D643" s="89" t="str">
        <f t="shared" si="73"/>
        <v/>
      </c>
      <c r="E643" s="42" t="str">
        <f>IF($B643="","",IFERROR(IF($D643="周转打冷",N(INDEX(对接源_01入库吨位!$D$5:$D$304,MATCH(INT((ROW()-5)/3)+1,对接源_01入库吨位!$S$5:$S$304,0))),IF($D643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3" s="76" t="str">
        <f>IF($B643="","",ROUND(IFERROR(IF($D643="周转打冷",N(INDEX(对接源_01入库吨位!$H$5:$H$304,MATCH(INT((ROW()-5)/3)+1,对接源_01入库吨位!$S$5:$S$304,0))),IF($D643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3" s="122" t="str">
        <f t="shared" si="74"/>
        <v/>
      </c>
      <c r="H643" s="43"/>
      <c r="I643" s="107"/>
      <c r="J643" s="123" t="str">
        <f t="shared" si="75"/>
        <v/>
      </c>
      <c r="K643" s="76" t="str">
        <f t="shared" si="76"/>
        <v/>
      </c>
      <c r="L643" s="43"/>
      <c r="M643" s="7"/>
      <c r="N643" s="106"/>
      <c r="R643" s="3" t="str">
        <f t="shared" si="77"/>
        <v/>
      </c>
      <c r="S643" s="3">
        <f t="shared" si="78"/>
        <v>0</v>
      </c>
      <c r="T643" s="3">
        <f t="shared" si="79"/>
        <v>13</v>
      </c>
    </row>
    <row r="644" spans="1:20">
      <c r="A644" s="74" t="str">
        <f t="shared" si="72"/>
        <v/>
      </c>
      <c r="B644" s="75" t="str">
        <f>IFERROR(INDEX(对接源_01入库吨位!$B$5:$B$304,MATCH(INT((ROW()-5)/3)+1,对接源_01入库吨位!$S$5:$S$304,0)),"")</f>
        <v/>
      </c>
      <c r="C644" s="75" t="str">
        <f>IFERROR(INDEX(对接源_01入库吨位!$C$5:$C$304,MATCH(INT((ROW()-5)/3)+1,对接源_01入库吨位!$S$5:$S$304,0)),"")</f>
        <v/>
      </c>
      <c r="D644" s="89" t="str">
        <f t="shared" si="73"/>
        <v/>
      </c>
      <c r="E644" s="42" t="str">
        <f>IF($B644="","",IFERROR(IF($D644="周转打冷",N(INDEX(对接源_01入库吨位!$D$5:$D$304,MATCH(INT((ROW()-5)/3)+1,对接源_01入库吨位!$S$5:$S$304,0))),IF($D644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4" s="76" t="str">
        <f>IF($B644="","",ROUND(IFERROR(IF($D644="周转打冷",N(INDEX(对接源_01入库吨位!$H$5:$H$304,MATCH(INT((ROW()-5)/3)+1,对接源_01入库吨位!$S$5:$S$304,0))),IF($D644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4" s="122" t="str">
        <f t="shared" si="74"/>
        <v/>
      </c>
      <c r="H644" s="43"/>
      <c r="I644" s="107"/>
      <c r="J644" s="123" t="str">
        <f t="shared" si="75"/>
        <v/>
      </c>
      <c r="K644" s="76" t="str">
        <f t="shared" si="76"/>
        <v/>
      </c>
      <c r="L644" s="43"/>
      <c r="M644" s="7"/>
      <c r="N644" s="106"/>
      <c r="R644" s="3" t="str">
        <f t="shared" si="77"/>
        <v/>
      </c>
      <c r="S644" s="3">
        <f t="shared" si="78"/>
        <v>0</v>
      </c>
      <c r="T644" s="3">
        <f t="shared" si="79"/>
        <v>13</v>
      </c>
    </row>
    <row r="645" spans="1:20">
      <c r="A645" s="74" t="str">
        <f t="shared" ref="A645:A708" si="80">IF($B645="","",ROW()-4)</f>
        <v/>
      </c>
      <c r="B645" s="75" t="str">
        <f>IFERROR(INDEX(对接源_01入库吨位!$B$5:$B$304,MATCH(INT((ROW()-5)/3)+1,对接源_01入库吨位!$S$5:$S$304,0)),"")</f>
        <v/>
      </c>
      <c r="C645" s="75" t="str">
        <f>IFERROR(INDEX(对接源_01入库吨位!$C$5:$C$304,MATCH(INT((ROW()-5)/3)+1,对接源_01入库吨位!$S$5:$S$304,0)),"")</f>
        <v/>
      </c>
      <c r="D645" s="89" t="str">
        <f t="shared" ref="D645:D708" si="81">IF($B645="","",IF(MOD(ROW()-5,3)=0,"周转打冷",IF(MOD(ROW()-5,3)=1,"仓储加工","装卸费")))</f>
        <v/>
      </c>
      <c r="E645" s="42" t="str">
        <f>IF($B645="","",IFERROR(IF($D645="周转打冷",N(INDEX(对接源_01入库吨位!$D$5:$D$304,MATCH(INT((ROW()-5)/3)+1,对接源_01入库吨位!$S$5:$S$304,0))),IF($D645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5" s="76" t="str">
        <f>IF($B645="","",ROUND(IFERROR(IF($D645="周转打冷",N(INDEX(对接源_01入库吨位!$H$5:$H$304,MATCH(INT((ROW()-5)/3)+1,对接源_01入库吨位!$S$5:$S$304,0))),IF($D645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5" s="122" t="str">
        <f t="shared" ref="G645:G708" si="82">IF($B645="","",ROUND(N($F645)/1000,3))</f>
        <v/>
      </c>
      <c r="H645" s="43"/>
      <c r="I645" s="107"/>
      <c r="J645" s="123" t="str">
        <f t="shared" ref="J645:J708" si="83">IF($B645="","",IF($H645="按筐数×单价",N($E645),IF($H645="按总重KG×单价",N($F645),IF($H645="按吨位×单价",N($G645),0))))</f>
        <v/>
      </c>
      <c r="K645" s="76" t="str">
        <f t="shared" ref="K645:K708" si="84">IF($B645="","",ROUND(N($J645)*N($I645),2))</f>
        <v/>
      </c>
      <c r="L645" s="43"/>
      <c r="M645" s="7"/>
      <c r="N645" s="106"/>
      <c r="R645" s="3" t="str">
        <f t="shared" ref="R645:R708" si="85">IF($B645="","",$B645)</f>
        <v/>
      </c>
      <c r="S645" s="3">
        <f t="shared" ref="S645:S708" si="86">IF($R645="",0,IF(MATCH($R645,$R$5:$R$904,0)=ROW()-4,1,0))</f>
        <v>0</v>
      </c>
      <c r="T645" s="3">
        <f t="shared" ref="T645:T708" si="87">N(T644)+$S645</f>
        <v>13</v>
      </c>
    </row>
    <row r="646" spans="1:20">
      <c r="A646" s="74" t="str">
        <f t="shared" si="80"/>
        <v/>
      </c>
      <c r="B646" s="75" t="str">
        <f>IFERROR(INDEX(对接源_01入库吨位!$B$5:$B$304,MATCH(INT((ROW()-5)/3)+1,对接源_01入库吨位!$S$5:$S$304,0)),"")</f>
        <v/>
      </c>
      <c r="C646" s="75" t="str">
        <f>IFERROR(INDEX(对接源_01入库吨位!$C$5:$C$304,MATCH(INT((ROW()-5)/3)+1,对接源_01入库吨位!$S$5:$S$304,0)),"")</f>
        <v/>
      </c>
      <c r="D646" s="89" t="str">
        <f t="shared" si="81"/>
        <v/>
      </c>
      <c r="E646" s="42" t="str">
        <f>IF($B646="","",IFERROR(IF($D646="周转打冷",N(INDEX(对接源_01入库吨位!$D$5:$D$304,MATCH(INT((ROW()-5)/3)+1,对接源_01入库吨位!$S$5:$S$304,0))),IF($D646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6" s="76" t="str">
        <f>IF($B646="","",ROUND(IFERROR(IF($D646="周转打冷",N(INDEX(对接源_01入库吨位!$H$5:$H$304,MATCH(INT((ROW()-5)/3)+1,对接源_01入库吨位!$S$5:$S$304,0))),IF($D646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6" s="122" t="str">
        <f t="shared" si="82"/>
        <v/>
      </c>
      <c r="H646" s="43"/>
      <c r="I646" s="107"/>
      <c r="J646" s="123" t="str">
        <f t="shared" si="83"/>
        <v/>
      </c>
      <c r="K646" s="76" t="str">
        <f t="shared" si="84"/>
        <v/>
      </c>
      <c r="L646" s="43"/>
      <c r="M646" s="7"/>
      <c r="N646" s="106"/>
      <c r="R646" s="3" t="str">
        <f t="shared" si="85"/>
        <v/>
      </c>
      <c r="S646" s="3">
        <f t="shared" si="86"/>
        <v>0</v>
      </c>
      <c r="T646" s="3">
        <f t="shared" si="87"/>
        <v>13</v>
      </c>
    </row>
    <row r="647" spans="1:20">
      <c r="A647" s="74" t="str">
        <f t="shared" si="80"/>
        <v/>
      </c>
      <c r="B647" s="75" t="str">
        <f>IFERROR(INDEX(对接源_01入库吨位!$B$5:$B$304,MATCH(INT((ROW()-5)/3)+1,对接源_01入库吨位!$S$5:$S$304,0)),"")</f>
        <v/>
      </c>
      <c r="C647" s="75" t="str">
        <f>IFERROR(INDEX(对接源_01入库吨位!$C$5:$C$304,MATCH(INT((ROW()-5)/3)+1,对接源_01入库吨位!$S$5:$S$304,0)),"")</f>
        <v/>
      </c>
      <c r="D647" s="89" t="str">
        <f t="shared" si="81"/>
        <v/>
      </c>
      <c r="E647" s="42" t="str">
        <f>IF($B647="","",IFERROR(IF($D647="周转打冷",N(INDEX(对接源_01入库吨位!$D$5:$D$304,MATCH(INT((ROW()-5)/3)+1,对接源_01入库吨位!$S$5:$S$304,0))),IF($D647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7" s="76" t="str">
        <f>IF($B647="","",ROUND(IFERROR(IF($D647="周转打冷",N(INDEX(对接源_01入库吨位!$H$5:$H$304,MATCH(INT((ROW()-5)/3)+1,对接源_01入库吨位!$S$5:$S$304,0))),IF($D647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7" s="122" t="str">
        <f t="shared" si="82"/>
        <v/>
      </c>
      <c r="H647" s="43"/>
      <c r="I647" s="107"/>
      <c r="J647" s="123" t="str">
        <f t="shared" si="83"/>
        <v/>
      </c>
      <c r="K647" s="76" t="str">
        <f t="shared" si="84"/>
        <v/>
      </c>
      <c r="L647" s="43"/>
      <c r="M647" s="7"/>
      <c r="N647" s="106"/>
      <c r="R647" s="3" t="str">
        <f t="shared" si="85"/>
        <v/>
      </c>
      <c r="S647" s="3">
        <f t="shared" si="86"/>
        <v>0</v>
      </c>
      <c r="T647" s="3">
        <f t="shared" si="87"/>
        <v>13</v>
      </c>
    </row>
    <row r="648" spans="1:20">
      <c r="A648" s="74" t="str">
        <f t="shared" si="80"/>
        <v/>
      </c>
      <c r="B648" s="75" t="str">
        <f>IFERROR(INDEX(对接源_01入库吨位!$B$5:$B$304,MATCH(INT((ROW()-5)/3)+1,对接源_01入库吨位!$S$5:$S$304,0)),"")</f>
        <v/>
      </c>
      <c r="C648" s="75" t="str">
        <f>IFERROR(INDEX(对接源_01入库吨位!$C$5:$C$304,MATCH(INT((ROW()-5)/3)+1,对接源_01入库吨位!$S$5:$S$304,0)),"")</f>
        <v/>
      </c>
      <c r="D648" s="89" t="str">
        <f t="shared" si="81"/>
        <v/>
      </c>
      <c r="E648" s="42" t="str">
        <f>IF($B648="","",IFERROR(IF($D648="周转打冷",N(INDEX(对接源_01入库吨位!$D$5:$D$304,MATCH(INT((ROW()-5)/3)+1,对接源_01入库吨位!$S$5:$S$304,0))),IF($D648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8" s="76" t="str">
        <f>IF($B648="","",ROUND(IFERROR(IF($D648="周转打冷",N(INDEX(对接源_01入库吨位!$H$5:$H$304,MATCH(INT((ROW()-5)/3)+1,对接源_01入库吨位!$S$5:$S$304,0))),IF($D648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8" s="122" t="str">
        <f t="shared" si="82"/>
        <v/>
      </c>
      <c r="H648" s="43"/>
      <c r="I648" s="107"/>
      <c r="J648" s="123" t="str">
        <f t="shared" si="83"/>
        <v/>
      </c>
      <c r="K648" s="76" t="str">
        <f t="shared" si="84"/>
        <v/>
      </c>
      <c r="L648" s="43"/>
      <c r="M648" s="7"/>
      <c r="N648" s="106"/>
      <c r="R648" s="3" t="str">
        <f t="shared" si="85"/>
        <v/>
      </c>
      <c r="S648" s="3">
        <f t="shared" si="86"/>
        <v>0</v>
      </c>
      <c r="T648" s="3">
        <f t="shared" si="87"/>
        <v>13</v>
      </c>
    </row>
    <row r="649" spans="1:20">
      <c r="A649" s="74" t="str">
        <f t="shared" si="80"/>
        <v/>
      </c>
      <c r="B649" s="75" t="str">
        <f>IFERROR(INDEX(对接源_01入库吨位!$B$5:$B$304,MATCH(INT((ROW()-5)/3)+1,对接源_01入库吨位!$S$5:$S$304,0)),"")</f>
        <v/>
      </c>
      <c r="C649" s="75" t="str">
        <f>IFERROR(INDEX(对接源_01入库吨位!$C$5:$C$304,MATCH(INT((ROW()-5)/3)+1,对接源_01入库吨位!$S$5:$S$304,0)),"")</f>
        <v/>
      </c>
      <c r="D649" s="89" t="str">
        <f t="shared" si="81"/>
        <v/>
      </c>
      <c r="E649" s="42" t="str">
        <f>IF($B649="","",IFERROR(IF($D649="周转打冷",N(INDEX(对接源_01入库吨位!$D$5:$D$304,MATCH(INT((ROW()-5)/3)+1,对接源_01入库吨位!$S$5:$S$304,0))),IF($D649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9" s="76" t="str">
        <f>IF($B649="","",ROUND(IFERROR(IF($D649="周转打冷",N(INDEX(对接源_01入库吨位!$H$5:$H$304,MATCH(INT((ROW()-5)/3)+1,对接源_01入库吨位!$S$5:$S$304,0))),IF($D649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9" s="122" t="str">
        <f t="shared" si="82"/>
        <v/>
      </c>
      <c r="H649" s="43"/>
      <c r="I649" s="107"/>
      <c r="J649" s="123" t="str">
        <f t="shared" si="83"/>
        <v/>
      </c>
      <c r="K649" s="76" t="str">
        <f t="shared" si="84"/>
        <v/>
      </c>
      <c r="L649" s="43"/>
      <c r="M649" s="7"/>
      <c r="N649" s="106"/>
      <c r="R649" s="3" t="str">
        <f t="shared" si="85"/>
        <v/>
      </c>
      <c r="S649" s="3">
        <f t="shared" si="86"/>
        <v>0</v>
      </c>
      <c r="T649" s="3">
        <f t="shared" si="87"/>
        <v>13</v>
      </c>
    </row>
    <row r="650" spans="1:20">
      <c r="A650" s="74" t="str">
        <f t="shared" si="80"/>
        <v/>
      </c>
      <c r="B650" s="75" t="str">
        <f>IFERROR(INDEX(对接源_01入库吨位!$B$5:$B$304,MATCH(INT((ROW()-5)/3)+1,对接源_01入库吨位!$S$5:$S$304,0)),"")</f>
        <v/>
      </c>
      <c r="C650" s="75" t="str">
        <f>IFERROR(INDEX(对接源_01入库吨位!$C$5:$C$304,MATCH(INT((ROW()-5)/3)+1,对接源_01入库吨位!$S$5:$S$304,0)),"")</f>
        <v/>
      </c>
      <c r="D650" s="89" t="str">
        <f t="shared" si="81"/>
        <v/>
      </c>
      <c r="E650" s="42" t="str">
        <f>IF($B650="","",IFERROR(IF($D650="周转打冷",N(INDEX(对接源_01入库吨位!$D$5:$D$304,MATCH(INT((ROW()-5)/3)+1,对接源_01入库吨位!$S$5:$S$304,0))),IF($D650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0" s="76" t="str">
        <f>IF($B650="","",ROUND(IFERROR(IF($D650="周转打冷",N(INDEX(对接源_01入库吨位!$H$5:$H$304,MATCH(INT((ROW()-5)/3)+1,对接源_01入库吨位!$S$5:$S$304,0))),IF($D650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0" s="122" t="str">
        <f t="shared" si="82"/>
        <v/>
      </c>
      <c r="H650" s="43"/>
      <c r="I650" s="107"/>
      <c r="J650" s="123" t="str">
        <f t="shared" si="83"/>
        <v/>
      </c>
      <c r="K650" s="76" t="str">
        <f t="shared" si="84"/>
        <v/>
      </c>
      <c r="L650" s="43"/>
      <c r="M650" s="7"/>
      <c r="N650" s="106"/>
      <c r="R650" s="3" t="str">
        <f t="shared" si="85"/>
        <v/>
      </c>
      <c r="S650" s="3">
        <f t="shared" si="86"/>
        <v>0</v>
      </c>
      <c r="T650" s="3">
        <f t="shared" si="87"/>
        <v>13</v>
      </c>
    </row>
    <row r="651" spans="1:20">
      <c r="A651" s="74" t="str">
        <f t="shared" si="80"/>
        <v/>
      </c>
      <c r="B651" s="75" t="str">
        <f>IFERROR(INDEX(对接源_01入库吨位!$B$5:$B$304,MATCH(INT((ROW()-5)/3)+1,对接源_01入库吨位!$S$5:$S$304,0)),"")</f>
        <v/>
      </c>
      <c r="C651" s="75" t="str">
        <f>IFERROR(INDEX(对接源_01入库吨位!$C$5:$C$304,MATCH(INT((ROW()-5)/3)+1,对接源_01入库吨位!$S$5:$S$304,0)),"")</f>
        <v/>
      </c>
      <c r="D651" s="89" t="str">
        <f t="shared" si="81"/>
        <v/>
      </c>
      <c r="E651" s="42" t="str">
        <f>IF($B651="","",IFERROR(IF($D651="周转打冷",N(INDEX(对接源_01入库吨位!$D$5:$D$304,MATCH(INT((ROW()-5)/3)+1,对接源_01入库吨位!$S$5:$S$304,0))),IF($D651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1" s="76" t="str">
        <f>IF($B651="","",ROUND(IFERROR(IF($D651="周转打冷",N(INDEX(对接源_01入库吨位!$H$5:$H$304,MATCH(INT((ROW()-5)/3)+1,对接源_01入库吨位!$S$5:$S$304,0))),IF($D651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1" s="122" t="str">
        <f t="shared" si="82"/>
        <v/>
      </c>
      <c r="H651" s="43"/>
      <c r="I651" s="107"/>
      <c r="J651" s="123" t="str">
        <f t="shared" si="83"/>
        <v/>
      </c>
      <c r="K651" s="76" t="str">
        <f t="shared" si="84"/>
        <v/>
      </c>
      <c r="L651" s="43"/>
      <c r="M651" s="7"/>
      <c r="N651" s="106"/>
      <c r="R651" s="3" t="str">
        <f t="shared" si="85"/>
        <v/>
      </c>
      <c r="S651" s="3">
        <f t="shared" si="86"/>
        <v>0</v>
      </c>
      <c r="T651" s="3">
        <f t="shared" si="87"/>
        <v>13</v>
      </c>
    </row>
    <row r="652" spans="1:20">
      <c r="A652" s="74" t="str">
        <f t="shared" si="80"/>
        <v/>
      </c>
      <c r="B652" s="75" t="str">
        <f>IFERROR(INDEX(对接源_01入库吨位!$B$5:$B$304,MATCH(INT((ROW()-5)/3)+1,对接源_01入库吨位!$S$5:$S$304,0)),"")</f>
        <v/>
      </c>
      <c r="C652" s="75" t="str">
        <f>IFERROR(INDEX(对接源_01入库吨位!$C$5:$C$304,MATCH(INT((ROW()-5)/3)+1,对接源_01入库吨位!$S$5:$S$304,0)),"")</f>
        <v/>
      </c>
      <c r="D652" s="89" t="str">
        <f t="shared" si="81"/>
        <v/>
      </c>
      <c r="E652" s="42" t="str">
        <f>IF($B652="","",IFERROR(IF($D652="周转打冷",N(INDEX(对接源_01入库吨位!$D$5:$D$304,MATCH(INT((ROW()-5)/3)+1,对接源_01入库吨位!$S$5:$S$304,0))),IF($D652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2" s="76" t="str">
        <f>IF($B652="","",ROUND(IFERROR(IF($D652="周转打冷",N(INDEX(对接源_01入库吨位!$H$5:$H$304,MATCH(INT((ROW()-5)/3)+1,对接源_01入库吨位!$S$5:$S$304,0))),IF($D652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2" s="122" t="str">
        <f t="shared" si="82"/>
        <v/>
      </c>
      <c r="H652" s="43"/>
      <c r="I652" s="107"/>
      <c r="J652" s="123" t="str">
        <f t="shared" si="83"/>
        <v/>
      </c>
      <c r="K652" s="76" t="str">
        <f t="shared" si="84"/>
        <v/>
      </c>
      <c r="L652" s="43"/>
      <c r="M652" s="7"/>
      <c r="N652" s="106"/>
      <c r="R652" s="3" t="str">
        <f t="shared" si="85"/>
        <v/>
      </c>
      <c r="S652" s="3">
        <f t="shared" si="86"/>
        <v>0</v>
      </c>
      <c r="T652" s="3">
        <f t="shared" si="87"/>
        <v>13</v>
      </c>
    </row>
    <row r="653" spans="1:20">
      <c r="A653" s="74" t="str">
        <f t="shared" si="80"/>
        <v/>
      </c>
      <c r="B653" s="75" t="str">
        <f>IFERROR(INDEX(对接源_01入库吨位!$B$5:$B$304,MATCH(INT((ROW()-5)/3)+1,对接源_01入库吨位!$S$5:$S$304,0)),"")</f>
        <v/>
      </c>
      <c r="C653" s="75" t="str">
        <f>IFERROR(INDEX(对接源_01入库吨位!$C$5:$C$304,MATCH(INT((ROW()-5)/3)+1,对接源_01入库吨位!$S$5:$S$304,0)),"")</f>
        <v/>
      </c>
      <c r="D653" s="89" t="str">
        <f t="shared" si="81"/>
        <v/>
      </c>
      <c r="E653" s="42" t="str">
        <f>IF($B653="","",IFERROR(IF($D653="周转打冷",N(INDEX(对接源_01入库吨位!$D$5:$D$304,MATCH(INT((ROW()-5)/3)+1,对接源_01入库吨位!$S$5:$S$304,0))),IF($D653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3" s="76" t="str">
        <f>IF($B653="","",ROUND(IFERROR(IF($D653="周转打冷",N(INDEX(对接源_01入库吨位!$H$5:$H$304,MATCH(INT((ROW()-5)/3)+1,对接源_01入库吨位!$S$5:$S$304,0))),IF($D653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3" s="122" t="str">
        <f t="shared" si="82"/>
        <v/>
      </c>
      <c r="H653" s="43"/>
      <c r="I653" s="107"/>
      <c r="J653" s="123" t="str">
        <f t="shared" si="83"/>
        <v/>
      </c>
      <c r="K653" s="76" t="str">
        <f t="shared" si="84"/>
        <v/>
      </c>
      <c r="L653" s="43"/>
      <c r="M653" s="7"/>
      <c r="N653" s="106"/>
      <c r="R653" s="3" t="str">
        <f t="shared" si="85"/>
        <v/>
      </c>
      <c r="S653" s="3">
        <f t="shared" si="86"/>
        <v>0</v>
      </c>
      <c r="T653" s="3">
        <f t="shared" si="87"/>
        <v>13</v>
      </c>
    </row>
    <row r="654" spans="1:20">
      <c r="A654" s="74" t="str">
        <f t="shared" si="80"/>
        <v/>
      </c>
      <c r="B654" s="75" t="str">
        <f>IFERROR(INDEX(对接源_01入库吨位!$B$5:$B$304,MATCH(INT((ROW()-5)/3)+1,对接源_01入库吨位!$S$5:$S$304,0)),"")</f>
        <v/>
      </c>
      <c r="C654" s="75" t="str">
        <f>IFERROR(INDEX(对接源_01入库吨位!$C$5:$C$304,MATCH(INT((ROW()-5)/3)+1,对接源_01入库吨位!$S$5:$S$304,0)),"")</f>
        <v/>
      </c>
      <c r="D654" s="89" t="str">
        <f t="shared" si="81"/>
        <v/>
      </c>
      <c r="E654" s="42" t="str">
        <f>IF($B654="","",IFERROR(IF($D654="周转打冷",N(INDEX(对接源_01入库吨位!$D$5:$D$304,MATCH(INT((ROW()-5)/3)+1,对接源_01入库吨位!$S$5:$S$304,0))),IF($D654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4" s="76" t="str">
        <f>IF($B654="","",ROUND(IFERROR(IF($D654="周转打冷",N(INDEX(对接源_01入库吨位!$H$5:$H$304,MATCH(INT((ROW()-5)/3)+1,对接源_01入库吨位!$S$5:$S$304,0))),IF($D654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4" s="122" t="str">
        <f t="shared" si="82"/>
        <v/>
      </c>
      <c r="H654" s="43"/>
      <c r="I654" s="107"/>
      <c r="J654" s="123" t="str">
        <f t="shared" si="83"/>
        <v/>
      </c>
      <c r="K654" s="76" t="str">
        <f t="shared" si="84"/>
        <v/>
      </c>
      <c r="L654" s="43"/>
      <c r="M654" s="7"/>
      <c r="N654" s="106"/>
      <c r="R654" s="3" t="str">
        <f t="shared" si="85"/>
        <v/>
      </c>
      <c r="S654" s="3">
        <f t="shared" si="86"/>
        <v>0</v>
      </c>
      <c r="T654" s="3">
        <f t="shared" si="87"/>
        <v>13</v>
      </c>
    </row>
    <row r="655" spans="1:20">
      <c r="A655" s="74" t="str">
        <f t="shared" si="80"/>
        <v/>
      </c>
      <c r="B655" s="75" t="str">
        <f>IFERROR(INDEX(对接源_01入库吨位!$B$5:$B$304,MATCH(INT((ROW()-5)/3)+1,对接源_01入库吨位!$S$5:$S$304,0)),"")</f>
        <v/>
      </c>
      <c r="C655" s="75" t="str">
        <f>IFERROR(INDEX(对接源_01入库吨位!$C$5:$C$304,MATCH(INT((ROW()-5)/3)+1,对接源_01入库吨位!$S$5:$S$304,0)),"")</f>
        <v/>
      </c>
      <c r="D655" s="89" t="str">
        <f t="shared" si="81"/>
        <v/>
      </c>
      <c r="E655" s="42" t="str">
        <f>IF($B655="","",IFERROR(IF($D655="周转打冷",N(INDEX(对接源_01入库吨位!$D$5:$D$304,MATCH(INT((ROW()-5)/3)+1,对接源_01入库吨位!$S$5:$S$304,0))),IF($D655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5" s="76" t="str">
        <f>IF($B655="","",ROUND(IFERROR(IF($D655="周转打冷",N(INDEX(对接源_01入库吨位!$H$5:$H$304,MATCH(INT((ROW()-5)/3)+1,对接源_01入库吨位!$S$5:$S$304,0))),IF($D655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5" s="122" t="str">
        <f t="shared" si="82"/>
        <v/>
      </c>
      <c r="H655" s="43"/>
      <c r="I655" s="107"/>
      <c r="J655" s="123" t="str">
        <f t="shared" si="83"/>
        <v/>
      </c>
      <c r="K655" s="76" t="str">
        <f t="shared" si="84"/>
        <v/>
      </c>
      <c r="L655" s="43"/>
      <c r="M655" s="7"/>
      <c r="N655" s="106"/>
      <c r="R655" s="3" t="str">
        <f t="shared" si="85"/>
        <v/>
      </c>
      <c r="S655" s="3">
        <f t="shared" si="86"/>
        <v>0</v>
      </c>
      <c r="T655" s="3">
        <f t="shared" si="87"/>
        <v>13</v>
      </c>
    </row>
    <row r="656" spans="1:20">
      <c r="A656" s="74" t="str">
        <f t="shared" si="80"/>
        <v/>
      </c>
      <c r="B656" s="75" t="str">
        <f>IFERROR(INDEX(对接源_01入库吨位!$B$5:$B$304,MATCH(INT((ROW()-5)/3)+1,对接源_01入库吨位!$S$5:$S$304,0)),"")</f>
        <v/>
      </c>
      <c r="C656" s="75" t="str">
        <f>IFERROR(INDEX(对接源_01入库吨位!$C$5:$C$304,MATCH(INT((ROW()-5)/3)+1,对接源_01入库吨位!$S$5:$S$304,0)),"")</f>
        <v/>
      </c>
      <c r="D656" s="89" t="str">
        <f t="shared" si="81"/>
        <v/>
      </c>
      <c r="E656" s="42" t="str">
        <f>IF($B656="","",IFERROR(IF($D656="周转打冷",N(INDEX(对接源_01入库吨位!$D$5:$D$304,MATCH(INT((ROW()-5)/3)+1,对接源_01入库吨位!$S$5:$S$304,0))),IF($D656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6" s="76" t="str">
        <f>IF($B656="","",ROUND(IFERROR(IF($D656="周转打冷",N(INDEX(对接源_01入库吨位!$H$5:$H$304,MATCH(INT((ROW()-5)/3)+1,对接源_01入库吨位!$S$5:$S$304,0))),IF($D656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6" s="122" t="str">
        <f t="shared" si="82"/>
        <v/>
      </c>
      <c r="H656" s="43"/>
      <c r="I656" s="107"/>
      <c r="J656" s="123" t="str">
        <f t="shared" si="83"/>
        <v/>
      </c>
      <c r="K656" s="76" t="str">
        <f t="shared" si="84"/>
        <v/>
      </c>
      <c r="L656" s="43"/>
      <c r="M656" s="7"/>
      <c r="N656" s="106"/>
      <c r="R656" s="3" t="str">
        <f t="shared" si="85"/>
        <v/>
      </c>
      <c r="S656" s="3">
        <f t="shared" si="86"/>
        <v>0</v>
      </c>
      <c r="T656" s="3">
        <f t="shared" si="87"/>
        <v>13</v>
      </c>
    </row>
    <row r="657" spans="1:20">
      <c r="A657" s="74" t="str">
        <f t="shared" si="80"/>
        <v/>
      </c>
      <c r="B657" s="75" t="str">
        <f>IFERROR(INDEX(对接源_01入库吨位!$B$5:$B$304,MATCH(INT((ROW()-5)/3)+1,对接源_01入库吨位!$S$5:$S$304,0)),"")</f>
        <v/>
      </c>
      <c r="C657" s="75" t="str">
        <f>IFERROR(INDEX(对接源_01入库吨位!$C$5:$C$304,MATCH(INT((ROW()-5)/3)+1,对接源_01入库吨位!$S$5:$S$304,0)),"")</f>
        <v/>
      </c>
      <c r="D657" s="89" t="str">
        <f t="shared" si="81"/>
        <v/>
      </c>
      <c r="E657" s="42" t="str">
        <f>IF($B657="","",IFERROR(IF($D657="周转打冷",N(INDEX(对接源_01入库吨位!$D$5:$D$304,MATCH(INT((ROW()-5)/3)+1,对接源_01入库吨位!$S$5:$S$304,0))),IF($D657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7" s="76" t="str">
        <f>IF($B657="","",ROUND(IFERROR(IF($D657="周转打冷",N(INDEX(对接源_01入库吨位!$H$5:$H$304,MATCH(INT((ROW()-5)/3)+1,对接源_01入库吨位!$S$5:$S$304,0))),IF($D657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7" s="122" t="str">
        <f t="shared" si="82"/>
        <v/>
      </c>
      <c r="H657" s="43"/>
      <c r="I657" s="107"/>
      <c r="J657" s="123" t="str">
        <f t="shared" si="83"/>
        <v/>
      </c>
      <c r="K657" s="76" t="str">
        <f t="shared" si="84"/>
        <v/>
      </c>
      <c r="L657" s="43"/>
      <c r="M657" s="7"/>
      <c r="N657" s="106"/>
      <c r="R657" s="3" t="str">
        <f t="shared" si="85"/>
        <v/>
      </c>
      <c r="S657" s="3">
        <f t="shared" si="86"/>
        <v>0</v>
      </c>
      <c r="T657" s="3">
        <f t="shared" si="87"/>
        <v>13</v>
      </c>
    </row>
    <row r="658" spans="1:20">
      <c r="A658" s="74" t="str">
        <f t="shared" si="80"/>
        <v/>
      </c>
      <c r="B658" s="75" t="str">
        <f>IFERROR(INDEX(对接源_01入库吨位!$B$5:$B$304,MATCH(INT((ROW()-5)/3)+1,对接源_01入库吨位!$S$5:$S$304,0)),"")</f>
        <v/>
      </c>
      <c r="C658" s="75" t="str">
        <f>IFERROR(INDEX(对接源_01入库吨位!$C$5:$C$304,MATCH(INT((ROW()-5)/3)+1,对接源_01入库吨位!$S$5:$S$304,0)),"")</f>
        <v/>
      </c>
      <c r="D658" s="89" t="str">
        <f t="shared" si="81"/>
        <v/>
      </c>
      <c r="E658" s="42" t="str">
        <f>IF($B658="","",IFERROR(IF($D658="周转打冷",N(INDEX(对接源_01入库吨位!$D$5:$D$304,MATCH(INT((ROW()-5)/3)+1,对接源_01入库吨位!$S$5:$S$304,0))),IF($D658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8" s="76" t="str">
        <f>IF($B658="","",ROUND(IFERROR(IF($D658="周转打冷",N(INDEX(对接源_01入库吨位!$H$5:$H$304,MATCH(INT((ROW()-5)/3)+1,对接源_01入库吨位!$S$5:$S$304,0))),IF($D658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8" s="122" t="str">
        <f t="shared" si="82"/>
        <v/>
      </c>
      <c r="H658" s="43"/>
      <c r="I658" s="107"/>
      <c r="J658" s="123" t="str">
        <f t="shared" si="83"/>
        <v/>
      </c>
      <c r="K658" s="76" t="str">
        <f t="shared" si="84"/>
        <v/>
      </c>
      <c r="L658" s="43"/>
      <c r="M658" s="7"/>
      <c r="N658" s="106"/>
      <c r="R658" s="3" t="str">
        <f t="shared" si="85"/>
        <v/>
      </c>
      <c r="S658" s="3">
        <f t="shared" si="86"/>
        <v>0</v>
      </c>
      <c r="T658" s="3">
        <f t="shared" si="87"/>
        <v>13</v>
      </c>
    </row>
    <row r="659" spans="1:20">
      <c r="A659" s="74" t="str">
        <f t="shared" si="80"/>
        <v/>
      </c>
      <c r="B659" s="75" t="str">
        <f>IFERROR(INDEX(对接源_01入库吨位!$B$5:$B$304,MATCH(INT((ROW()-5)/3)+1,对接源_01入库吨位!$S$5:$S$304,0)),"")</f>
        <v/>
      </c>
      <c r="C659" s="75" t="str">
        <f>IFERROR(INDEX(对接源_01入库吨位!$C$5:$C$304,MATCH(INT((ROW()-5)/3)+1,对接源_01入库吨位!$S$5:$S$304,0)),"")</f>
        <v/>
      </c>
      <c r="D659" s="89" t="str">
        <f t="shared" si="81"/>
        <v/>
      </c>
      <c r="E659" s="42" t="str">
        <f>IF($B659="","",IFERROR(IF($D659="周转打冷",N(INDEX(对接源_01入库吨位!$D$5:$D$304,MATCH(INT((ROW()-5)/3)+1,对接源_01入库吨位!$S$5:$S$304,0))),IF($D659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9" s="76" t="str">
        <f>IF($B659="","",ROUND(IFERROR(IF($D659="周转打冷",N(INDEX(对接源_01入库吨位!$H$5:$H$304,MATCH(INT((ROW()-5)/3)+1,对接源_01入库吨位!$S$5:$S$304,0))),IF($D659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9" s="122" t="str">
        <f t="shared" si="82"/>
        <v/>
      </c>
      <c r="H659" s="43"/>
      <c r="I659" s="107"/>
      <c r="J659" s="123" t="str">
        <f t="shared" si="83"/>
        <v/>
      </c>
      <c r="K659" s="76" t="str">
        <f t="shared" si="84"/>
        <v/>
      </c>
      <c r="L659" s="43"/>
      <c r="M659" s="7"/>
      <c r="N659" s="106"/>
      <c r="R659" s="3" t="str">
        <f t="shared" si="85"/>
        <v/>
      </c>
      <c r="S659" s="3">
        <f t="shared" si="86"/>
        <v>0</v>
      </c>
      <c r="T659" s="3">
        <f t="shared" si="87"/>
        <v>13</v>
      </c>
    </row>
    <row r="660" spans="1:20">
      <c r="A660" s="74" t="str">
        <f t="shared" si="80"/>
        <v/>
      </c>
      <c r="B660" s="75" t="str">
        <f>IFERROR(INDEX(对接源_01入库吨位!$B$5:$B$304,MATCH(INT((ROW()-5)/3)+1,对接源_01入库吨位!$S$5:$S$304,0)),"")</f>
        <v/>
      </c>
      <c r="C660" s="75" t="str">
        <f>IFERROR(INDEX(对接源_01入库吨位!$C$5:$C$304,MATCH(INT((ROW()-5)/3)+1,对接源_01入库吨位!$S$5:$S$304,0)),"")</f>
        <v/>
      </c>
      <c r="D660" s="89" t="str">
        <f t="shared" si="81"/>
        <v/>
      </c>
      <c r="E660" s="42" t="str">
        <f>IF($B660="","",IFERROR(IF($D660="周转打冷",N(INDEX(对接源_01入库吨位!$D$5:$D$304,MATCH(INT((ROW()-5)/3)+1,对接源_01入库吨位!$S$5:$S$304,0))),IF($D660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0" s="76" t="str">
        <f>IF($B660="","",ROUND(IFERROR(IF($D660="周转打冷",N(INDEX(对接源_01入库吨位!$H$5:$H$304,MATCH(INT((ROW()-5)/3)+1,对接源_01入库吨位!$S$5:$S$304,0))),IF($D660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0" s="122" t="str">
        <f t="shared" si="82"/>
        <v/>
      </c>
      <c r="H660" s="43"/>
      <c r="I660" s="107"/>
      <c r="J660" s="123" t="str">
        <f t="shared" si="83"/>
        <v/>
      </c>
      <c r="K660" s="76" t="str">
        <f t="shared" si="84"/>
        <v/>
      </c>
      <c r="L660" s="43"/>
      <c r="M660" s="7"/>
      <c r="N660" s="106"/>
      <c r="R660" s="3" t="str">
        <f t="shared" si="85"/>
        <v/>
      </c>
      <c r="S660" s="3">
        <f t="shared" si="86"/>
        <v>0</v>
      </c>
      <c r="T660" s="3">
        <f t="shared" si="87"/>
        <v>13</v>
      </c>
    </row>
    <row r="661" spans="1:20">
      <c r="A661" s="74" t="str">
        <f t="shared" si="80"/>
        <v/>
      </c>
      <c r="B661" s="75" t="str">
        <f>IFERROR(INDEX(对接源_01入库吨位!$B$5:$B$304,MATCH(INT((ROW()-5)/3)+1,对接源_01入库吨位!$S$5:$S$304,0)),"")</f>
        <v/>
      </c>
      <c r="C661" s="75" t="str">
        <f>IFERROR(INDEX(对接源_01入库吨位!$C$5:$C$304,MATCH(INT((ROW()-5)/3)+1,对接源_01入库吨位!$S$5:$S$304,0)),"")</f>
        <v/>
      </c>
      <c r="D661" s="89" t="str">
        <f t="shared" si="81"/>
        <v/>
      </c>
      <c r="E661" s="42" t="str">
        <f>IF($B661="","",IFERROR(IF($D661="周转打冷",N(INDEX(对接源_01入库吨位!$D$5:$D$304,MATCH(INT((ROW()-5)/3)+1,对接源_01入库吨位!$S$5:$S$304,0))),IF($D661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1" s="76" t="str">
        <f>IF($B661="","",ROUND(IFERROR(IF($D661="周转打冷",N(INDEX(对接源_01入库吨位!$H$5:$H$304,MATCH(INT((ROW()-5)/3)+1,对接源_01入库吨位!$S$5:$S$304,0))),IF($D661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1" s="122" t="str">
        <f t="shared" si="82"/>
        <v/>
      </c>
      <c r="H661" s="43"/>
      <c r="I661" s="107"/>
      <c r="J661" s="123" t="str">
        <f t="shared" si="83"/>
        <v/>
      </c>
      <c r="K661" s="76" t="str">
        <f t="shared" si="84"/>
        <v/>
      </c>
      <c r="L661" s="43"/>
      <c r="M661" s="7"/>
      <c r="N661" s="106"/>
      <c r="R661" s="3" t="str">
        <f t="shared" si="85"/>
        <v/>
      </c>
      <c r="S661" s="3">
        <f t="shared" si="86"/>
        <v>0</v>
      </c>
      <c r="T661" s="3">
        <f t="shared" si="87"/>
        <v>13</v>
      </c>
    </row>
    <row r="662" spans="1:20">
      <c r="A662" s="74" t="str">
        <f t="shared" si="80"/>
        <v/>
      </c>
      <c r="B662" s="75" t="str">
        <f>IFERROR(INDEX(对接源_01入库吨位!$B$5:$B$304,MATCH(INT((ROW()-5)/3)+1,对接源_01入库吨位!$S$5:$S$304,0)),"")</f>
        <v/>
      </c>
      <c r="C662" s="75" t="str">
        <f>IFERROR(INDEX(对接源_01入库吨位!$C$5:$C$304,MATCH(INT((ROW()-5)/3)+1,对接源_01入库吨位!$S$5:$S$304,0)),"")</f>
        <v/>
      </c>
      <c r="D662" s="89" t="str">
        <f t="shared" si="81"/>
        <v/>
      </c>
      <c r="E662" s="42" t="str">
        <f>IF($B662="","",IFERROR(IF($D662="周转打冷",N(INDEX(对接源_01入库吨位!$D$5:$D$304,MATCH(INT((ROW()-5)/3)+1,对接源_01入库吨位!$S$5:$S$304,0))),IF($D662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2" s="76" t="str">
        <f>IF($B662="","",ROUND(IFERROR(IF($D662="周转打冷",N(INDEX(对接源_01入库吨位!$H$5:$H$304,MATCH(INT((ROW()-5)/3)+1,对接源_01入库吨位!$S$5:$S$304,0))),IF($D662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2" s="122" t="str">
        <f t="shared" si="82"/>
        <v/>
      </c>
      <c r="H662" s="43"/>
      <c r="I662" s="107"/>
      <c r="J662" s="123" t="str">
        <f t="shared" si="83"/>
        <v/>
      </c>
      <c r="K662" s="76" t="str">
        <f t="shared" si="84"/>
        <v/>
      </c>
      <c r="L662" s="43"/>
      <c r="M662" s="7"/>
      <c r="N662" s="106"/>
      <c r="R662" s="3" t="str">
        <f t="shared" si="85"/>
        <v/>
      </c>
      <c r="S662" s="3">
        <f t="shared" si="86"/>
        <v>0</v>
      </c>
      <c r="T662" s="3">
        <f t="shared" si="87"/>
        <v>13</v>
      </c>
    </row>
    <row r="663" spans="1:20">
      <c r="A663" s="74" t="str">
        <f t="shared" si="80"/>
        <v/>
      </c>
      <c r="B663" s="75" t="str">
        <f>IFERROR(INDEX(对接源_01入库吨位!$B$5:$B$304,MATCH(INT((ROW()-5)/3)+1,对接源_01入库吨位!$S$5:$S$304,0)),"")</f>
        <v/>
      </c>
      <c r="C663" s="75" t="str">
        <f>IFERROR(INDEX(对接源_01入库吨位!$C$5:$C$304,MATCH(INT((ROW()-5)/3)+1,对接源_01入库吨位!$S$5:$S$304,0)),"")</f>
        <v/>
      </c>
      <c r="D663" s="89" t="str">
        <f t="shared" si="81"/>
        <v/>
      </c>
      <c r="E663" s="42" t="str">
        <f>IF($B663="","",IFERROR(IF($D663="周转打冷",N(INDEX(对接源_01入库吨位!$D$5:$D$304,MATCH(INT((ROW()-5)/3)+1,对接源_01入库吨位!$S$5:$S$304,0))),IF($D663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3" s="76" t="str">
        <f>IF($B663="","",ROUND(IFERROR(IF($D663="周转打冷",N(INDEX(对接源_01入库吨位!$H$5:$H$304,MATCH(INT((ROW()-5)/3)+1,对接源_01入库吨位!$S$5:$S$304,0))),IF($D663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3" s="122" t="str">
        <f t="shared" si="82"/>
        <v/>
      </c>
      <c r="H663" s="43"/>
      <c r="I663" s="107"/>
      <c r="J663" s="123" t="str">
        <f t="shared" si="83"/>
        <v/>
      </c>
      <c r="K663" s="76" t="str">
        <f t="shared" si="84"/>
        <v/>
      </c>
      <c r="L663" s="43"/>
      <c r="M663" s="7"/>
      <c r="N663" s="106"/>
      <c r="R663" s="3" t="str">
        <f t="shared" si="85"/>
        <v/>
      </c>
      <c r="S663" s="3">
        <f t="shared" si="86"/>
        <v>0</v>
      </c>
      <c r="T663" s="3">
        <f t="shared" si="87"/>
        <v>13</v>
      </c>
    </row>
    <row r="664" spans="1:20">
      <c r="A664" s="74" t="str">
        <f t="shared" si="80"/>
        <v/>
      </c>
      <c r="B664" s="75" t="str">
        <f>IFERROR(INDEX(对接源_01入库吨位!$B$5:$B$304,MATCH(INT((ROW()-5)/3)+1,对接源_01入库吨位!$S$5:$S$304,0)),"")</f>
        <v/>
      </c>
      <c r="C664" s="75" t="str">
        <f>IFERROR(INDEX(对接源_01入库吨位!$C$5:$C$304,MATCH(INT((ROW()-5)/3)+1,对接源_01入库吨位!$S$5:$S$304,0)),"")</f>
        <v/>
      </c>
      <c r="D664" s="89" t="str">
        <f t="shared" si="81"/>
        <v/>
      </c>
      <c r="E664" s="42" t="str">
        <f>IF($B664="","",IFERROR(IF($D664="周转打冷",N(INDEX(对接源_01入库吨位!$D$5:$D$304,MATCH(INT((ROW()-5)/3)+1,对接源_01入库吨位!$S$5:$S$304,0))),IF($D664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4" s="76" t="str">
        <f>IF($B664="","",ROUND(IFERROR(IF($D664="周转打冷",N(INDEX(对接源_01入库吨位!$H$5:$H$304,MATCH(INT((ROW()-5)/3)+1,对接源_01入库吨位!$S$5:$S$304,0))),IF($D664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4" s="122" t="str">
        <f t="shared" si="82"/>
        <v/>
      </c>
      <c r="H664" s="43"/>
      <c r="I664" s="107"/>
      <c r="J664" s="123" t="str">
        <f t="shared" si="83"/>
        <v/>
      </c>
      <c r="K664" s="76" t="str">
        <f t="shared" si="84"/>
        <v/>
      </c>
      <c r="L664" s="43"/>
      <c r="M664" s="7"/>
      <c r="N664" s="106"/>
      <c r="R664" s="3" t="str">
        <f t="shared" si="85"/>
        <v/>
      </c>
      <c r="S664" s="3">
        <f t="shared" si="86"/>
        <v>0</v>
      </c>
      <c r="T664" s="3">
        <f t="shared" si="87"/>
        <v>13</v>
      </c>
    </row>
    <row r="665" spans="1:20">
      <c r="A665" s="74" t="str">
        <f t="shared" si="80"/>
        <v/>
      </c>
      <c r="B665" s="75" t="str">
        <f>IFERROR(INDEX(对接源_01入库吨位!$B$5:$B$304,MATCH(INT((ROW()-5)/3)+1,对接源_01入库吨位!$S$5:$S$304,0)),"")</f>
        <v/>
      </c>
      <c r="C665" s="75" t="str">
        <f>IFERROR(INDEX(对接源_01入库吨位!$C$5:$C$304,MATCH(INT((ROW()-5)/3)+1,对接源_01入库吨位!$S$5:$S$304,0)),"")</f>
        <v/>
      </c>
      <c r="D665" s="89" t="str">
        <f t="shared" si="81"/>
        <v/>
      </c>
      <c r="E665" s="42" t="str">
        <f>IF($B665="","",IFERROR(IF($D665="周转打冷",N(INDEX(对接源_01入库吨位!$D$5:$D$304,MATCH(INT((ROW()-5)/3)+1,对接源_01入库吨位!$S$5:$S$304,0))),IF($D665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5" s="76" t="str">
        <f>IF($B665="","",ROUND(IFERROR(IF($D665="周转打冷",N(INDEX(对接源_01入库吨位!$H$5:$H$304,MATCH(INT((ROW()-5)/3)+1,对接源_01入库吨位!$S$5:$S$304,0))),IF($D665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5" s="122" t="str">
        <f t="shared" si="82"/>
        <v/>
      </c>
      <c r="H665" s="43"/>
      <c r="I665" s="107"/>
      <c r="J665" s="123" t="str">
        <f t="shared" si="83"/>
        <v/>
      </c>
      <c r="K665" s="76" t="str">
        <f t="shared" si="84"/>
        <v/>
      </c>
      <c r="L665" s="43"/>
      <c r="M665" s="7"/>
      <c r="N665" s="106"/>
      <c r="R665" s="3" t="str">
        <f t="shared" si="85"/>
        <v/>
      </c>
      <c r="S665" s="3">
        <f t="shared" si="86"/>
        <v>0</v>
      </c>
      <c r="T665" s="3">
        <f t="shared" si="87"/>
        <v>13</v>
      </c>
    </row>
    <row r="666" spans="1:20">
      <c r="A666" s="74" t="str">
        <f t="shared" si="80"/>
        <v/>
      </c>
      <c r="B666" s="75" t="str">
        <f>IFERROR(INDEX(对接源_01入库吨位!$B$5:$B$304,MATCH(INT((ROW()-5)/3)+1,对接源_01入库吨位!$S$5:$S$304,0)),"")</f>
        <v/>
      </c>
      <c r="C666" s="75" t="str">
        <f>IFERROR(INDEX(对接源_01入库吨位!$C$5:$C$304,MATCH(INT((ROW()-5)/3)+1,对接源_01入库吨位!$S$5:$S$304,0)),"")</f>
        <v/>
      </c>
      <c r="D666" s="89" t="str">
        <f t="shared" si="81"/>
        <v/>
      </c>
      <c r="E666" s="42" t="str">
        <f>IF($B666="","",IFERROR(IF($D666="周转打冷",N(INDEX(对接源_01入库吨位!$D$5:$D$304,MATCH(INT((ROW()-5)/3)+1,对接源_01入库吨位!$S$5:$S$304,0))),IF($D666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6" s="76" t="str">
        <f>IF($B666="","",ROUND(IFERROR(IF($D666="周转打冷",N(INDEX(对接源_01入库吨位!$H$5:$H$304,MATCH(INT((ROW()-5)/3)+1,对接源_01入库吨位!$S$5:$S$304,0))),IF($D666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6" s="122" t="str">
        <f t="shared" si="82"/>
        <v/>
      </c>
      <c r="H666" s="43"/>
      <c r="I666" s="107"/>
      <c r="J666" s="123" t="str">
        <f t="shared" si="83"/>
        <v/>
      </c>
      <c r="K666" s="76" t="str">
        <f t="shared" si="84"/>
        <v/>
      </c>
      <c r="L666" s="43"/>
      <c r="M666" s="7"/>
      <c r="N666" s="106"/>
      <c r="R666" s="3" t="str">
        <f t="shared" si="85"/>
        <v/>
      </c>
      <c r="S666" s="3">
        <f t="shared" si="86"/>
        <v>0</v>
      </c>
      <c r="T666" s="3">
        <f t="shared" si="87"/>
        <v>13</v>
      </c>
    </row>
    <row r="667" spans="1:20">
      <c r="A667" s="74" t="str">
        <f t="shared" si="80"/>
        <v/>
      </c>
      <c r="B667" s="75" t="str">
        <f>IFERROR(INDEX(对接源_01入库吨位!$B$5:$B$304,MATCH(INT((ROW()-5)/3)+1,对接源_01入库吨位!$S$5:$S$304,0)),"")</f>
        <v/>
      </c>
      <c r="C667" s="75" t="str">
        <f>IFERROR(INDEX(对接源_01入库吨位!$C$5:$C$304,MATCH(INT((ROW()-5)/3)+1,对接源_01入库吨位!$S$5:$S$304,0)),"")</f>
        <v/>
      </c>
      <c r="D667" s="89" t="str">
        <f t="shared" si="81"/>
        <v/>
      </c>
      <c r="E667" s="42" t="str">
        <f>IF($B667="","",IFERROR(IF($D667="周转打冷",N(INDEX(对接源_01入库吨位!$D$5:$D$304,MATCH(INT((ROW()-5)/3)+1,对接源_01入库吨位!$S$5:$S$304,0))),IF($D667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7" s="76" t="str">
        <f>IF($B667="","",ROUND(IFERROR(IF($D667="周转打冷",N(INDEX(对接源_01入库吨位!$H$5:$H$304,MATCH(INT((ROW()-5)/3)+1,对接源_01入库吨位!$S$5:$S$304,0))),IF($D667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7" s="122" t="str">
        <f t="shared" si="82"/>
        <v/>
      </c>
      <c r="H667" s="43"/>
      <c r="I667" s="107"/>
      <c r="J667" s="123" t="str">
        <f t="shared" si="83"/>
        <v/>
      </c>
      <c r="K667" s="76" t="str">
        <f t="shared" si="84"/>
        <v/>
      </c>
      <c r="L667" s="43"/>
      <c r="M667" s="7"/>
      <c r="N667" s="106"/>
      <c r="R667" s="3" t="str">
        <f t="shared" si="85"/>
        <v/>
      </c>
      <c r="S667" s="3">
        <f t="shared" si="86"/>
        <v>0</v>
      </c>
      <c r="T667" s="3">
        <f t="shared" si="87"/>
        <v>13</v>
      </c>
    </row>
    <row r="668" spans="1:20">
      <c r="A668" s="74" t="str">
        <f t="shared" si="80"/>
        <v/>
      </c>
      <c r="B668" s="75" t="str">
        <f>IFERROR(INDEX(对接源_01入库吨位!$B$5:$B$304,MATCH(INT((ROW()-5)/3)+1,对接源_01入库吨位!$S$5:$S$304,0)),"")</f>
        <v/>
      </c>
      <c r="C668" s="75" t="str">
        <f>IFERROR(INDEX(对接源_01入库吨位!$C$5:$C$304,MATCH(INT((ROW()-5)/3)+1,对接源_01入库吨位!$S$5:$S$304,0)),"")</f>
        <v/>
      </c>
      <c r="D668" s="89" t="str">
        <f t="shared" si="81"/>
        <v/>
      </c>
      <c r="E668" s="42" t="str">
        <f>IF($B668="","",IFERROR(IF($D668="周转打冷",N(INDEX(对接源_01入库吨位!$D$5:$D$304,MATCH(INT((ROW()-5)/3)+1,对接源_01入库吨位!$S$5:$S$304,0))),IF($D668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8" s="76" t="str">
        <f>IF($B668="","",ROUND(IFERROR(IF($D668="周转打冷",N(INDEX(对接源_01入库吨位!$H$5:$H$304,MATCH(INT((ROW()-5)/3)+1,对接源_01入库吨位!$S$5:$S$304,0))),IF($D668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8" s="122" t="str">
        <f t="shared" si="82"/>
        <v/>
      </c>
      <c r="H668" s="43"/>
      <c r="I668" s="107"/>
      <c r="J668" s="123" t="str">
        <f t="shared" si="83"/>
        <v/>
      </c>
      <c r="K668" s="76" t="str">
        <f t="shared" si="84"/>
        <v/>
      </c>
      <c r="L668" s="43"/>
      <c r="M668" s="7"/>
      <c r="N668" s="106"/>
      <c r="R668" s="3" t="str">
        <f t="shared" si="85"/>
        <v/>
      </c>
      <c r="S668" s="3">
        <f t="shared" si="86"/>
        <v>0</v>
      </c>
      <c r="T668" s="3">
        <f t="shared" si="87"/>
        <v>13</v>
      </c>
    </row>
    <row r="669" spans="1:20">
      <c r="A669" s="74" t="str">
        <f t="shared" si="80"/>
        <v/>
      </c>
      <c r="B669" s="75" t="str">
        <f>IFERROR(INDEX(对接源_01入库吨位!$B$5:$B$304,MATCH(INT((ROW()-5)/3)+1,对接源_01入库吨位!$S$5:$S$304,0)),"")</f>
        <v/>
      </c>
      <c r="C669" s="75" t="str">
        <f>IFERROR(INDEX(对接源_01入库吨位!$C$5:$C$304,MATCH(INT((ROW()-5)/3)+1,对接源_01入库吨位!$S$5:$S$304,0)),"")</f>
        <v/>
      </c>
      <c r="D669" s="89" t="str">
        <f t="shared" si="81"/>
        <v/>
      </c>
      <c r="E669" s="42" t="str">
        <f>IF($B669="","",IFERROR(IF($D669="周转打冷",N(INDEX(对接源_01入库吨位!$D$5:$D$304,MATCH(INT((ROW()-5)/3)+1,对接源_01入库吨位!$S$5:$S$304,0))),IF($D669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9" s="76" t="str">
        <f>IF($B669="","",ROUND(IFERROR(IF($D669="周转打冷",N(INDEX(对接源_01入库吨位!$H$5:$H$304,MATCH(INT((ROW()-5)/3)+1,对接源_01入库吨位!$S$5:$S$304,0))),IF($D669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9" s="122" t="str">
        <f t="shared" si="82"/>
        <v/>
      </c>
      <c r="H669" s="43"/>
      <c r="I669" s="107"/>
      <c r="J669" s="123" t="str">
        <f t="shared" si="83"/>
        <v/>
      </c>
      <c r="K669" s="76" t="str">
        <f t="shared" si="84"/>
        <v/>
      </c>
      <c r="L669" s="43"/>
      <c r="M669" s="7"/>
      <c r="N669" s="106"/>
      <c r="R669" s="3" t="str">
        <f t="shared" si="85"/>
        <v/>
      </c>
      <c r="S669" s="3">
        <f t="shared" si="86"/>
        <v>0</v>
      </c>
      <c r="T669" s="3">
        <f t="shared" si="87"/>
        <v>13</v>
      </c>
    </row>
    <row r="670" spans="1:20">
      <c r="A670" s="74" t="str">
        <f t="shared" si="80"/>
        <v/>
      </c>
      <c r="B670" s="75" t="str">
        <f>IFERROR(INDEX(对接源_01入库吨位!$B$5:$B$304,MATCH(INT((ROW()-5)/3)+1,对接源_01入库吨位!$S$5:$S$304,0)),"")</f>
        <v/>
      </c>
      <c r="C670" s="75" t="str">
        <f>IFERROR(INDEX(对接源_01入库吨位!$C$5:$C$304,MATCH(INT((ROW()-5)/3)+1,对接源_01入库吨位!$S$5:$S$304,0)),"")</f>
        <v/>
      </c>
      <c r="D670" s="89" t="str">
        <f t="shared" si="81"/>
        <v/>
      </c>
      <c r="E670" s="42" t="str">
        <f>IF($B670="","",IFERROR(IF($D670="周转打冷",N(INDEX(对接源_01入库吨位!$D$5:$D$304,MATCH(INT((ROW()-5)/3)+1,对接源_01入库吨位!$S$5:$S$304,0))),IF($D670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0" s="76" t="str">
        <f>IF($B670="","",ROUND(IFERROR(IF($D670="周转打冷",N(INDEX(对接源_01入库吨位!$H$5:$H$304,MATCH(INT((ROW()-5)/3)+1,对接源_01入库吨位!$S$5:$S$304,0))),IF($D670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0" s="122" t="str">
        <f t="shared" si="82"/>
        <v/>
      </c>
      <c r="H670" s="43"/>
      <c r="I670" s="107"/>
      <c r="J670" s="123" t="str">
        <f t="shared" si="83"/>
        <v/>
      </c>
      <c r="K670" s="76" t="str">
        <f t="shared" si="84"/>
        <v/>
      </c>
      <c r="L670" s="43"/>
      <c r="M670" s="7"/>
      <c r="N670" s="106"/>
      <c r="R670" s="3" t="str">
        <f t="shared" si="85"/>
        <v/>
      </c>
      <c r="S670" s="3">
        <f t="shared" si="86"/>
        <v>0</v>
      </c>
      <c r="T670" s="3">
        <f t="shared" si="87"/>
        <v>13</v>
      </c>
    </row>
    <row r="671" spans="1:20">
      <c r="A671" s="74" t="str">
        <f t="shared" si="80"/>
        <v/>
      </c>
      <c r="B671" s="75" t="str">
        <f>IFERROR(INDEX(对接源_01入库吨位!$B$5:$B$304,MATCH(INT((ROW()-5)/3)+1,对接源_01入库吨位!$S$5:$S$304,0)),"")</f>
        <v/>
      </c>
      <c r="C671" s="75" t="str">
        <f>IFERROR(INDEX(对接源_01入库吨位!$C$5:$C$304,MATCH(INT((ROW()-5)/3)+1,对接源_01入库吨位!$S$5:$S$304,0)),"")</f>
        <v/>
      </c>
      <c r="D671" s="89" t="str">
        <f t="shared" si="81"/>
        <v/>
      </c>
      <c r="E671" s="42" t="str">
        <f>IF($B671="","",IFERROR(IF($D671="周转打冷",N(INDEX(对接源_01入库吨位!$D$5:$D$304,MATCH(INT((ROW()-5)/3)+1,对接源_01入库吨位!$S$5:$S$304,0))),IF($D671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1" s="76" t="str">
        <f>IF($B671="","",ROUND(IFERROR(IF($D671="周转打冷",N(INDEX(对接源_01入库吨位!$H$5:$H$304,MATCH(INT((ROW()-5)/3)+1,对接源_01入库吨位!$S$5:$S$304,0))),IF($D671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1" s="122" t="str">
        <f t="shared" si="82"/>
        <v/>
      </c>
      <c r="H671" s="43"/>
      <c r="I671" s="107"/>
      <c r="J671" s="123" t="str">
        <f t="shared" si="83"/>
        <v/>
      </c>
      <c r="K671" s="76" t="str">
        <f t="shared" si="84"/>
        <v/>
      </c>
      <c r="L671" s="43"/>
      <c r="M671" s="7"/>
      <c r="N671" s="106"/>
      <c r="R671" s="3" t="str">
        <f t="shared" si="85"/>
        <v/>
      </c>
      <c r="S671" s="3">
        <f t="shared" si="86"/>
        <v>0</v>
      </c>
      <c r="T671" s="3">
        <f t="shared" si="87"/>
        <v>13</v>
      </c>
    </row>
    <row r="672" spans="1:20">
      <c r="A672" s="74" t="str">
        <f t="shared" si="80"/>
        <v/>
      </c>
      <c r="B672" s="75" t="str">
        <f>IFERROR(INDEX(对接源_01入库吨位!$B$5:$B$304,MATCH(INT((ROW()-5)/3)+1,对接源_01入库吨位!$S$5:$S$304,0)),"")</f>
        <v/>
      </c>
      <c r="C672" s="75" t="str">
        <f>IFERROR(INDEX(对接源_01入库吨位!$C$5:$C$304,MATCH(INT((ROW()-5)/3)+1,对接源_01入库吨位!$S$5:$S$304,0)),"")</f>
        <v/>
      </c>
      <c r="D672" s="89" t="str">
        <f t="shared" si="81"/>
        <v/>
      </c>
      <c r="E672" s="42" t="str">
        <f>IF($B672="","",IFERROR(IF($D672="周转打冷",N(INDEX(对接源_01入库吨位!$D$5:$D$304,MATCH(INT((ROW()-5)/3)+1,对接源_01入库吨位!$S$5:$S$304,0))),IF($D672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2" s="76" t="str">
        <f>IF($B672="","",ROUND(IFERROR(IF($D672="周转打冷",N(INDEX(对接源_01入库吨位!$H$5:$H$304,MATCH(INT((ROW()-5)/3)+1,对接源_01入库吨位!$S$5:$S$304,0))),IF($D672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2" s="122" t="str">
        <f t="shared" si="82"/>
        <v/>
      </c>
      <c r="H672" s="43"/>
      <c r="I672" s="107"/>
      <c r="J672" s="123" t="str">
        <f t="shared" si="83"/>
        <v/>
      </c>
      <c r="K672" s="76" t="str">
        <f t="shared" si="84"/>
        <v/>
      </c>
      <c r="L672" s="43"/>
      <c r="M672" s="7"/>
      <c r="N672" s="106"/>
      <c r="R672" s="3" t="str">
        <f t="shared" si="85"/>
        <v/>
      </c>
      <c r="S672" s="3">
        <f t="shared" si="86"/>
        <v>0</v>
      </c>
      <c r="T672" s="3">
        <f t="shared" si="87"/>
        <v>13</v>
      </c>
    </row>
    <row r="673" spans="1:20">
      <c r="A673" s="74" t="str">
        <f t="shared" si="80"/>
        <v/>
      </c>
      <c r="B673" s="75" t="str">
        <f>IFERROR(INDEX(对接源_01入库吨位!$B$5:$B$304,MATCH(INT((ROW()-5)/3)+1,对接源_01入库吨位!$S$5:$S$304,0)),"")</f>
        <v/>
      </c>
      <c r="C673" s="75" t="str">
        <f>IFERROR(INDEX(对接源_01入库吨位!$C$5:$C$304,MATCH(INT((ROW()-5)/3)+1,对接源_01入库吨位!$S$5:$S$304,0)),"")</f>
        <v/>
      </c>
      <c r="D673" s="89" t="str">
        <f t="shared" si="81"/>
        <v/>
      </c>
      <c r="E673" s="42" t="str">
        <f>IF($B673="","",IFERROR(IF($D673="周转打冷",N(INDEX(对接源_01入库吨位!$D$5:$D$304,MATCH(INT((ROW()-5)/3)+1,对接源_01入库吨位!$S$5:$S$304,0))),IF($D673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3" s="76" t="str">
        <f>IF($B673="","",ROUND(IFERROR(IF($D673="周转打冷",N(INDEX(对接源_01入库吨位!$H$5:$H$304,MATCH(INT((ROW()-5)/3)+1,对接源_01入库吨位!$S$5:$S$304,0))),IF($D673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3" s="122" t="str">
        <f t="shared" si="82"/>
        <v/>
      </c>
      <c r="H673" s="43"/>
      <c r="I673" s="107"/>
      <c r="J673" s="123" t="str">
        <f t="shared" si="83"/>
        <v/>
      </c>
      <c r="K673" s="76" t="str">
        <f t="shared" si="84"/>
        <v/>
      </c>
      <c r="L673" s="43"/>
      <c r="M673" s="7"/>
      <c r="N673" s="106"/>
      <c r="R673" s="3" t="str">
        <f t="shared" si="85"/>
        <v/>
      </c>
      <c r="S673" s="3">
        <f t="shared" si="86"/>
        <v>0</v>
      </c>
      <c r="T673" s="3">
        <f t="shared" si="87"/>
        <v>13</v>
      </c>
    </row>
    <row r="674" spans="1:20">
      <c r="A674" s="74" t="str">
        <f t="shared" si="80"/>
        <v/>
      </c>
      <c r="B674" s="75" t="str">
        <f>IFERROR(INDEX(对接源_01入库吨位!$B$5:$B$304,MATCH(INT((ROW()-5)/3)+1,对接源_01入库吨位!$S$5:$S$304,0)),"")</f>
        <v/>
      </c>
      <c r="C674" s="75" t="str">
        <f>IFERROR(INDEX(对接源_01入库吨位!$C$5:$C$304,MATCH(INT((ROW()-5)/3)+1,对接源_01入库吨位!$S$5:$S$304,0)),"")</f>
        <v/>
      </c>
      <c r="D674" s="89" t="str">
        <f t="shared" si="81"/>
        <v/>
      </c>
      <c r="E674" s="42" t="str">
        <f>IF($B674="","",IFERROR(IF($D674="周转打冷",N(INDEX(对接源_01入库吨位!$D$5:$D$304,MATCH(INT((ROW()-5)/3)+1,对接源_01入库吨位!$S$5:$S$304,0))),IF($D674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4" s="76" t="str">
        <f>IF($B674="","",ROUND(IFERROR(IF($D674="周转打冷",N(INDEX(对接源_01入库吨位!$H$5:$H$304,MATCH(INT((ROW()-5)/3)+1,对接源_01入库吨位!$S$5:$S$304,0))),IF($D674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4" s="122" t="str">
        <f t="shared" si="82"/>
        <v/>
      </c>
      <c r="H674" s="43"/>
      <c r="I674" s="107"/>
      <c r="J674" s="123" t="str">
        <f t="shared" si="83"/>
        <v/>
      </c>
      <c r="K674" s="76" t="str">
        <f t="shared" si="84"/>
        <v/>
      </c>
      <c r="L674" s="43"/>
      <c r="M674" s="7"/>
      <c r="N674" s="106"/>
      <c r="R674" s="3" t="str">
        <f t="shared" si="85"/>
        <v/>
      </c>
      <c r="S674" s="3">
        <f t="shared" si="86"/>
        <v>0</v>
      </c>
      <c r="T674" s="3">
        <f t="shared" si="87"/>
        <v>13</v>
      </c>
    </row>
    <row r="675" spans="1:20">
      <c r="A675" s="74" t="str">
        <f t="shared" si="80"/>
        <v/>
      </c>
      <c r="B675" s="75" t="str">
        <f>IFERROR(INDEX(对接源_01入库吨位!$B$5:$B$304,MATCH(INT((ROW()-5)/3)+1,对接源_01入库吨位!$S$5:$S$304,0)),"")</f>
        <v/>
      </c>
      <c r="C675" s="75" t="str">
        <f>IFERROR(INDEX(对接源_01入库吨位!$C$5:$C$304,MATCH(INT((ROW()-5)/3)+1,对接源_01入库吨位!$S$5:$S$304,0)),"")</f>
        <v/>
      </c>
      <c r="D675" s="89" t="str">
        <f t="shared" si="81"/>
        <v/>
      </c>
      <c r="E675" s="42" t="str">
        <f>IF($B675="","",IFERROR(IF($D675="周转打冷",N(INDEX(对接源_01入库吨位!$D$5:$D$304,MATCH(INT((ROW()-5)/3)+1,对接源_01入库吨位!$S$5:$S$304,0))),IF($D675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5" s="76" t="str">
        <f>IF($B675="","",ROUND(IFERROR(IF($D675="周转打冷",N(INDEX(对接源_01入库吨位!$H$5:$H$304,MATCH(INT((ROW()-5)/3)+1,对接源_01入库吨位!$S$5:$S$304,0))),IF($D675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5" s="122" t="str">
        <f t="shared" si="82"/>
        <v/>
      </c>
      <c r="H675" s="43"/>
      <c r="I675" s="107"/>
      <c r="J675" s="123" t="str">
        <f t="shared" si="83"/>
        <v/>
      </c>
      <c r="K675" s="76" t="str">
        <f t="shared" si="84"/>
        <v/>
      </c>
      <c r="L675" s="43"/>
      <c r="M675" s="7"/>
      <c r="N675" s="106"/>
      <c r="R675" s="3" t="str">
        <f t="shared" si="85"/>
        <v/>
      </c>
      <c r="S675" s="3">
        <f t="shared" si="86"/>
        <v>0</v>
      </c>
      <c r="T675" s="3">
        <f t="shared" si="87"/>
        <v>13</v>
      </c>
    </row>
    <row r="676" spans="1:20">
      <c r="A676" s="74" t="str">
        <f t="shared" si="80"/>
        <v/>
      </c>
      <c r="B676" s="75" t="str">
        <f>IFERROR(INDEX(对接源_01入库吨位!$B$5:$B$304,MATCH(INT((ROW()-5)/3)+1,对接源_01入库吨位!$S$5:$S$304,0)),"")</f>
        <v/>
      </c>
      <c r="C676" s="75" t="str">
        <f>IFERROR(INDEX(对接源_01入库吨位!$C$5:$C$304,MATCH(INT((ROW()-5)/3)+1,对接源_01入库吨位!$S$5:$S$304,0)),"")</f>
        <v/>
      </c>
      <c r="D676" s="89" t="str">
        <f t="shared" si="81"/>
        <v/>
      </c>
      <c r="E676" s="42" t="str">
        <f>IF($B676="","",IFERROR(IF($D676="周转打冷",N(INDEX(对接源_01入库吨位!$D$5:$D$304,MATCH(INT((ROW()-5)/3)+1,对接源_01入库吨位!$S$5:$S$304,0))),IF($D676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6" s="76" t="str">
        <f>IF($B676="","",ROUND(IFERROR(IF($D676="周转打冷",N(INDEX(对接源_01入库吨位!$H$5:$H$304,MATCH(INT((ROW()-5)/3)+1,对接源_01入库吨位!$S$5:$S$304,0))),IF($D676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6" s="122" t="str">
        <f t="shared" si="82"/>
        <v/>
      </c>
      <c r="H676" s="43"/>
      <c r="I676" s="107"/>
      <c r="J676" s="123" t="str">
        <f t="shared" si="83"/>
        <v/>
      </c>
      <c r="K676" s="76" t="str">
        <f t="shared" si="84"/>
        <v/>
      </c>
      <c r="L676" s="43"/>
      <c r="M676" s="7"/>
      <c r="N676" s="106"/>
      <c r="R676" s="3" t="str">
        <f t="shared" si="85"/>
        <v/>
      </c>
      <c r="S676" s="3">
        <f t="shared" si="86"/>
        <v>0</v>
      </c>
      <c r="T676" s="3">
        <f t="shared" si="87"/>
        <v>13</v>
      </c>
    </row>
    <row r="677" spans="1:20">
      <c r="A677" s="74" t="str">
        <f t="shared" si="80"/>
        <v/>
      </c>
      <c r="B677" s="75" t="str">
        <f>IFERROR(INDEX(对接源_01入库吨位!$B$5:$B$304,MATCH(INT((ROW()-5)/3)+1,对接源_01入库吨位!$S$5:$S$304,0)),"")</f>
        <v/>
      </c>
      <c r="C677" s="75" t="str">
        <f>IFERROR(INDEX(对接源_01入库吨位!$C$5:$C$304,MATCH(INT((ROW()-5)/3)+1,对接源_01入库吨位!$S$5:$S$304,0)),"")</f>
        <v/>
      </c>
      <c r="D677" s="89" t="str">
        <f t="shared" si="81"/>
        <v/>
      </c>
      <c r="E677" s="42" t="str">
        <f>IF($B677="","",IFERROR(IF($D677="周转打冷",N(INDEX(对接源_01入库吨位!$D$5:$D$304,MATCH(INT((ROW()-5)/3)+1,对接源_01入库吨位!$S$5:$S$304,0))),IF($D677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7" s="76" t="str">
        <f>IF($B677="","",ROUND(IFERROR(IF($D677="周转打冷",N(INDEX(对接源_01入库吨位!$H$5:$H$304,MATCH(INT((ROW()-5)/3)+1,对接源_01入库吨位!$S$5:$S$304,0))),IF($D677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7" s="122" t="str">
        <f t="shared" si="82"/>
        <v/>
      </c>
      <c r="H677" s="43"/>
      <c r="I677" s="107"/>
      <c r="J677" s="123" t="str">
        <f t="shared" si="83"/>
        <v/>
      </c>
      <c r="K677" s="76" t="str">
        <f t="shared" si="84"/>
        <v/>
      </c>
      <c r="L677" s="43"/>
      <c r="M677" s="7"/>
      <c r="N677" s="106"/>
      <c r="R677" s="3" t="str">
        <f t="shared" si="85"/>
        <v/>
      </c>
      <c r="S677" s="3">
        <f t="shared" si="86"/>
        <v>0</v>
      </c>
      <c r="T677" s="3">
        <f t="shared" si="87"/>
        <v>13</v>
      </c>
    </row>
    <row r="678" spans="1:20">
      <c r="A678" s="74" t="str">
        <f t="shared" si="80"/>
        <v/>
      </c>
      <c r="B678" s="75" t="str">
        <f>IFERROR(INDEX(对接源_01入库吨位!$B$5:$B$304,MATCH(INT((ROW()-5)/3)+1,对接源_01入库吨位!$S$5:$S$304,0)),"")</f>
        <v/>
      </c>
      <c r="C678" s="75" t="str">
        <f>IFERROR(INDEX(对接源_01入库吨位!$C$5:$C$304,MATCH(INT((ROW()-5)/3)+1,对接源_01入库吨位!$S$5:$S$304,0)),"")</f>
        <v/>
      </c>
      <c r="D678" s="89" t="str">
        <f t="shared" si="81"/>
        <v/>
      </c>
      <c r="E678" s="42" t="str">
        <f>IF($B678="","",IFERROR(IF($D678="周转打冷",N(INDEX(对接源_01入库吨位!$D$5:$D$304,MATCH(INT((ROW()-5)/3)+1,对接源_01入库吨位!$S$5:$S$304,0))),IF($D678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8" s="76" t="str">
        <f>IF($B678="","",ROUND(IFERROR(IF($D678="周转打冷",N(INDEX(对接源_01入库吨位!$H$5:$H$304,MATCH(INT((ROW()-5)/3)+1,对接源_01入库吨位!$S$5:$S$304,0))),IF($D678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8" s="122" t="str">
        <f t="shared" si="82"/>
        <v/>
      </c>
      <c r="H678" s="43"/>
      <c r="I678" s="107"/>
      <c r="J678" s="123" t="str">
        <f t="shared" si="83"/>
        <v/>
      </c>
      <c r="K678" s="76" t="str">
        <f t="shared" si="84"/>
        <v/>
      </c>
      <c r="L678" s="43"/>
      <c r="M678" s="7"/>
      <c r="N678" s="106"/>
      <c r="R678" s="3" t="str">
        <f t="shared" si="85"/>
        <v/>
      </c>
      <c r="S678" s="3">
        <f t="shared" si="86"/>
        <v>0</v>
      </c>
      <c r="T678" s="3">
        <f t="shared" si="87"/>
        <v>13</v>
      </c>
    </row>
    <row r="679" spans="1:20">
      <c r="A679" s="74" t="str">
        <f t="shared" si="80"/>
        <v/>
      </c>
      <c r="B679" s="75" t="str">
        <f>IFERROR(INDEX(对接源_01入库吨位!$B$5:$B$304,MATCH(INT((ROW()-5)/3)+1,对接源_01入库吨位!$S$5:$S$304,0)),"")</f>
        <v/>
      </c>
      <c r="C679" s="75" t="str">
        <f>IFERROR(INDEX(对接源_01入库吨位!$C$5:$C$304,MATCH(INT((ROW()-5)/3)+1,对接源_01入库吨位!$S$5:$S$304,0)),"")</f>
        <v/>
      </c>
      <c r="D679" s="89" t="str">
        <f t="shared" si="81"/>
        <v/>
      </c>
      <c r="E679" s="42" t="str">
        <f>IF($B679="","",IFERROR(IF($D679="周转打冷",N(INDEX(对接源_01入库吨位!$D$5:$D$304,MATCH(INT((ROW()-5)/3)+1,对接源_01入库吨位!$S$5:$S$304,0))),IF($D679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9" s="76" t="str">
        <f>IF($B679="","",ROUND(IFERROR(IF($D679="周转打冷",N(INDEX(对接源_01入库吨位!$H$5:$H$304,MATCH(INT((ROW()-5)/3)+1,对接源_01入库吨位!$S$5:$S$304,0))),IF($D679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9" s="122" t="str">
        <f t="shared" si="82"/>
        <v/>
      </c>
      <c r="H679" s="43"/>
      <c r="I679" s="107"/>
      <c r="J679" s="123" t="str">
        <f t="shared" si="83"/>
        <v/>
      </c>
      <c r="K679" s="76" t="str">
        <f t="shared" si="84"/>
        <v/>
      </c>
      <c r="L679" s="43"/>
      <c r="M679" s="7"/>
      <c r="N679" s="106"/>
      <c r="R679" s="3" t="str">
        <f t="shared" si="85"/>
        <v/>
      </c>
      <c r="S679" s="3">
        <f t="shared" si="86"/>
        <v>0</v>
      </c>
      <c r="T679" s="3">
        <f t="shared" si="87"/>
        <v>13</v>
      </c>
    </row>
    <row r="680" spans="1:20">
      <c r="A680" s="74" t="str">
        <f t="shared" si="80"/>
        <v/>
      </c>
      <c r="B680" s="75" t="str">
        <f>IFERROR(INDEX(对接源_01入库吨位!$B$5:$B$304,MATCH(INT((ROW()-5)/3)+1,对接源_01入库吨位!$S$5:$S$304,0)),"")</f>
        <v/>
      </c>
      <c r="C680" s="75" t="str">
        <f>IFERROR(INDEX(对接源_01入库吨位!$C$5:$C$304,MATCH(INT((ROW()-5)/3)+1,对接源_01入库吨位!$S$5:$S$304,0)),"")</f>
        <v/>
      </c>
      <c r="D680" s="89" t="str">
        <f t="shared" si="81"/>
        <v/>
      </c>
      <c r="E680" s="42" t="str">
        <f>IF($B680="","",IFERROR(IF($D680="周转打冷",N(INDEX(对接源_01入库吨位!$D$5:$D$304,MATCH(INT((ROW()-5)/3)+1,对接源_01入库吨位!$S$5:$S$304,0))),IF($D680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0" s="76" t="str">
        <f>IF($B680="","",ROUND(IFERROR(IF($D680="周转打冷",N(INDEX(对接源_01入库吨位!$H$5:$H$304,MATCH(INT((ROW()-5)/3)+1,对接源_01入库吨位!$S$5:$S$304,0))),IF($D680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0" s="122" t="str">
        <f t="shared" si="82"/>
        <v/>
      </c>
      <c r="H680" s="43"/>
      <c r="I680" s="107"/>
      <c r="J680" s="123" t="str">
        <f t="shared" si="83"/>
        <v/>
      </c>
      <c r="K680" s="76" t="str">
        <f t="shared" si="84"/>
        <v/>
      </c>
      <c r="L680" s="43"/>
      <c r="M680" s="7"/>
      <c r="N680" s="106"/>
      <c r="R680" s="3" t="str">
        <f t="shared" si="85"/>
        <v/>
      </c>
      <c r="S680" s="3">
        <f t="shared" si="86"/>
        <v>0</v>
      </c>
      <c r="T680" s="3">
        <f t="shared" si="87"/>
        <v>13</v>
      </c>
    </row>
    <row r="681" spans="1:20">
      <c r="A681" s="74" t="str">
        <f t="shared" si="80"/>
        <v/>
      </c>
      <c r="B681" s="75" t="str">
        <f>IFERROR(INDEX(对接源_01入库吨位!$B$5:$B$304,MATCH(INT((ROW()-5)/3)+1,对接源_01入库吨位!$S$5:$S$304,0)),"")</f>
        <v/>
      </c>
      <c r="C681" s="75" t="str">
        <f>IFERROR(INDEX(对接源_01入库吨位!$C$5:$C$304,MATCH(INT((ROW()-5)/3)+1,对接源_01入库吨位!$S$5:$S$304,0)),"")</f>
        <v/>
      </c>
      <c r="D681" s="89" t="str">
        <f t="shared" si="81"/>
        <v/>
      </c>
      <c r="E681" s="42" t="str">
        <f>IF($B681="","",IFERROR(IF($D681="周转打冷",N(INDEX(对接源_01入库吨位!$D$5:$D$304,MATCH(INT((ROW()-5)/3)+1,对接源_01入库吨位!$S$5:$S$304,0))),IF($D681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1" s="76" t="str">
        <f>IF($B681="","",ROUND(IFERROR(IF($D681="周转打冷",N(INDEX(对接源_01入库吨位!$H$5:$H$304,MATCH(INT((ROW()-5)/3)+1,对接源_01入库吨位!$S$5:$S$304,0))),IF($D681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1" s="122" t="str">
        <f t="shared" si="82"/>
        <v/>
      </c>
      <c r="H681" s="43"/>
      <c r="I681" s="107"/>
      <c r="J681" s="123" t="str">
        <f t="shared" si="83"/>
        <v/>
      </c>
      <c r="K681" s="76" t="str">
        <f t="shared" si="84"/>
        <v/>
      </c>
      <c r="L681" s="43"/>
      <c r="M681" s="7"/>
      <c r="N681" s="106"/>
      <c r="R681" s="3" t="str">
        <f t="shared" si="85"/>
        <v/>
      </c>
      <c r="S681" s="3">
        <f t="shared" si="86"/>
        <v>0</v>
      </c>
      <c r="T681" s="3">
        <f t="shared" si="87"/>
        <v>13</v>
      </c>
    </row>
    <row r="682" spans="1:20">
      <c r="A682" s="74" t="str">
        <f t="shared" si="80"/>
        <v/>
      </c>
      <c r="B682" s="75" t="str">
        <f>IFERROR(INDEX(对接源_01入库吨位!$B$5:$B$304,MATCH(INT((ROW()-5)/3)+1,对接源_01入库吨位!$S$5:$S$304,0)),"")</f>
        <v/>
      </c>
      <c r="C682" s="75" t="str">
        <f>IFERROR(INDEX(对接源_01入库吨位!$C$5:$C$304,MATCH(INT((ROW()-5)/3)+1,对接源_01入库吨位!$S$5:$S$304,0)),"")</f>
        <v/>
      </c>
      <c r="D682" s="89" t="str">
        <f t="shared" si="81"/>
        <v/>
      </c>
      <c r="E682" s="42" t="str">
        <f>IF($B682="","",IFERROR(IF($D682="周转打冷",N(INDEX(对接源_01入库吨位!$D$5:$D$304,MATCH(INT((ROW()-5)/3)+1,对接源_01入库吨位!$S$5:$S$304,0))),IF($D682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2" s="76" t="str">
        <f>IF($B682="","",ROUND(IFERROR(IF($D682="周转打冷",N(INDEX(对接源_01入库吨位!$H$5:$H$304,MATCH(INT((ROW()-5)/3)+1,对接源_01入库吨位!$S$5:$S$304,0))),IF($D682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2" s="122" t="str">
        <f t="shared" si="82"/>
        <v/>
      </c>
      <c r="H682" s="43"/>
      <c r="I682" s="107"/>
      <c r="J682" s="123" t="str">
        <f t="shared" si="83"/>
        <v/>
      </c>
      <c r="K682" s="76" t="str">
        <f t="shared" si="84"/>
        <v/>
      </c>
      <c r="L682" s="43"/>
      <c r="M682" s="7"/>
      <c r="N682" s="106"/>
      <c r="R682" s="3" t="str">
        <f t="shared" si="85"/>
        <v/>
      </c>
      <c r="S682" s="3">
        <f t="shared" si="86"/>
        <v>0</v>
      </c>
      <c r="T682" s="3">
        <f t="shared" si="87"/>
        <v>13</v>
      </c>
    </row>
    <row r="683" spans="1:20">
      <c r="A683" s="74" t="str">
        <f t="shared" si="80"/>
        <v/>
      </c>
      <c r="B683" s="75" t="str">
        <f>IFERROR(INDEX(对接源_01入库吨位!$B$5:$B$304,MATCH(INT((ROW()-5)/3)+1,对接源_01入库吨位!$S$5:$S$304,0)),"")</f>
        <v/>
      </c>
      <c r="C683" s="75" t="str">
        <f>IFERROR(INDEX(对接源_01入库吨位!$C$5:$C$304,MATCH(INT((ROW()-5)/3)+1,对接源_01入库吨位!$S$5:$S$304,0)),"")</f>
        <v/>
      </c>
      <c r="D683" s="89" t="str">
        <f t="shared" si="81"/>
        <v/>
      </c>
      <c r="E683" s="42" t="str">
        <f>IF($B683="","",IFERROR(IF($D683="周转打冷",N(INDEX(对接源_01入库吨位!$D$5:$D$304,MATCH(INT((ROW()-5)/3)+1,对接源_01入库吨位!$S$5:$S$304,0))),IF($D683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3" s="76" t="str">
        <f>IF($B683="","",ROUND(IFERROR(IF($D683="周转打冷",N(INDEX(对接源_01入库吨位!$H$5:$H$304,MATCH(INT((ROW()-5)/3)+1,对接源_01入库吨位!$S$5:$S$304,0))),IF($D683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3" s="122" t="str">
        <f t="shared" si="82"/>
        <v/>
      </c>
      <c r="H683" s="43"/>
      <c r="I683" s="107"/>
      <c r="J683" s="123" t="str">
        <f t="shared" si="83"/>
        <v/>
      </c>
      <c r="K683" s="76" t="str">
        <f t="shared" si="84"/>
        <v/>
      </c>
      <c r="L683" s="43"/>
      <c r="M683" s="7"/>
      <c r="N683" s="106"/>
      <c r="R683" s="3" t="str">
        <f t="shared" si="85"/>
        <v/>
      </c>
      <c r="S683" s="3">
        <f t="shared" si="86"/>
        <v>0</v>
      </c>
      <c r="T683" s="3">
        <f t="shared" si="87"/>
        <v>13</v>
      </c>
    </row>
    <row r="684" spans="1:20">
      <c r="A684" s="74" t="str">
        <f t="shared" si="80"/>
        <v/>
      </c>
      <c r="B684" s="75" t="str">
        <f>IFERROR(INDEX(对接源_01入库吨位!$B$5:$B$304,MATCH(INT((ROW()-5)/3)+1,对接源_01入库吨位!$S$5:$S$304,0)),"")</f>
        <v/>
      </c>
      <c r="C684" s="75" t="str">
        <f>IFERROR(INDEX(对接源_01入库吨位!$C$5:$C$304,MATCH(INT((ROW()-5)/3)+1,对接源_01入库吨位!$S$5:$S$304,0)),"")</f>
        <v/>
      </c>
      <c r="D684" s="89" t="str">
        <f t="shared" si="81"/>
        <v/>
      </c>
      <c r="E684" s="42" t="str">
        <f>IF($B684="","",IFERROR(IF($D684="周转打冷",N(INDEX(对接源_01入库吨位!$D$5:$D$304,MATCH(INT((ROW()-5)/3)+1,对接源_01入库吨位!$S$5:$S$304,0))),IF($D684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4" s="76" t="str">
        <f>IF($B684="","",ROUND(IFERROR(IF($D684="周转打冷",N(INDEX(对接源_01入库吨位!$H$5:$H$304,MATCH(INT((ROW()-5)/3)+1,对接源_01入库吨位!$S$5:$S$304,0))),IF($D684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4" s="122" t="str">
        <f t="shared" si="82"/>
        <v/>
      </c>
      <c r="H684" s="43"/>
      <c r="I684" s="107"/>
      <c r="J684" s="123" t="str">
        <f t="shared" si="83"/>
        <v/>
      </c>
      <c r="K684" s="76" t="str">
        <f t="shared" si="84"/>
        <v/>
      </c>
      <c r="L684" s="43"/>
      <c r="M684" s="7"/>
      <c r="N684" s="106"/>
      <c r="R684" s="3" t="str">
        <f t="shared" si="85"/>
        <v/>
      </c>
      <c r="S684" s="3">
        <f t="shared" si="86"/>
        <v>0</v>
      </c>
      <c r="T684" s="3">
        <f t="shared" si="87"/>
        <v>13</v>
      </c>
    </row>
    <row r="685" spans="1:20">
      <c r="A685" s="74" t="str">
        <f t="shared" si="80"/>
        <v/>
      </c>
      <c r="B685" s="75" t="str">
        <f>IFERROR(INDEX(对接源_01入库吨位!$B$5:$B$304,MATCH(INT((ROW()-5)/3)+1,对接源_01入库吨位!$S$5:$S$304,0)),"")</f>
        <v/>
      </c>
      <c r="C685" s="75" t="str">
        <f>IFERROR(INDEX(对接源_01入库吨位!$C$5:$C$304,MATCH(INT((ROW()-5)/3)+1,对接源_01入库吨位!$S$5:$S$304,0)),"")</f>
        <v/>
      </c>
      <c r="D685" s="89" t="str">
        <f t="shared" si="81"/>
        <v/>
      </c>
      <c r="E685" s="42" t="str">
        <f>IF($B685="","",IFERROR(IF($D685="周转打冷",N(INDEX(对接源_01入库吨位!$D$5:$D$304,MATCH(INT((ROW()-5)/3)+1,对接源_01入库吨位!$S$5:$S$304,0))),IF($D685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5" s="76" t="str">
        <f>IF($B685="","",ROUND(IFERROR(IF($D685="周转打冷",N(INDEX(对接源_01入库吨位!$H$5:$H$304,MATCH(INT((ROW()-5)/3)+1,对接源_01入库吨位!$S$5:$S$304,0))),IF($D685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5" s="122" t="str">
        <f t="shared" si="82"/>
        <v/>
      </c>
      <c r="H685" s="43"/>
      <c r="I685" s="107"/>
      <c r="J685" s="123" t="str">
        <f t="shared" si="83"/>
        <v/>
      </c>
      <c r="K685" s="76" t="str">
        <f t="shared" si="84"/>
        <v/>
      </c>
      <c r="L685" s="43"/>
      <c r="M685" s="7"/>
      <c r="N685" s="106"/>
      <c r="R685" s="3" t="str">
        <f t="shared" si="85"/>
        <v/>
      </c>
      <c r="S685" s="3">
        <f t="shared" si="86"/>
        <v>0</v>
      </c>
      <c r="T685" s="3">
        <f t="shared" si="87"/>
        <v>13</v>
      </c>
    </row>
    <row r="686" spans="1:20">
      <c r="A686" s="74" t="str">
        <f t="shared" si="80"/>
        <v/>
      </c>
      <c r="B686" s="75" t="str">
        <f>IFERROR(INDEX(对接源_01入库吨位!$B$5:$B$304,MATCH(INT((ROW()-5)/3)+1,对接源_01入库吨位!$S$5:$S$304,0)),"")</f>
        <v/>
      </c>
      <c r="C686" s="75" t="str">
        <f>IFERROR(INDEX(对接源_01入库吨位!$C$5:$C$304,MATCH(INT((ROW()-5)/3)+1,对接源_01入库吨位!$S$5:$S$304,0)),"")</f>
        <v/>
      </c>
      <c r="D686" s="89" t="str">
        <f t="shared" si="81"/>
        <v/>
      </c>
      <c r="E686" s="42" t="str">
        <f>IF($B686="","",IFERROR(IF($D686="周转打冷",N(INDEX(对接源_01入库吨位!$D$5:$D$304,MATCH(INT((ROW()-5)/3)+1,对接源_01入库吨位!$S$5:$S$304,0))),IF($D686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6" s="76" t="str">
        <f>IF($B686="","",ROUND(IFERROR(IF($D686="周转打冷",N(INDEX(对接源_01入库吨位!$H$5:$H$304,MATCH(INT((ROW()-5)/3)+1,对接源_01入库吨位!$S$5:$S$304,0))),IF($D686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6" s="122" t="str">
        <f t="shared" si="82"/>
        <v/>
      </c>
      <c r="H686" s="43"/>
      <c r="I686" s="107"/>
      <c r="J686" s="123" t="str">
        <f t="shared" si="83"/>
        <v/>
      </c>
      <c r="K686" s="76" t="str">
        <f t="shared" si="84"/>
        <v/>
      </c>
      <c r="L686" s="43"/>
      <c r="M686" s="7"/>
      <c r="N686" s="106"/>
      <c r="R686" s="3" t="str">
        <f t="shared" si="85"/>
        <v/>
      </c>
      <c r="S686" s="3">
        <f t="shared" si="86"/>
        <v>0</v>
      </c>
      <c r="T686" s="3">
        <f t="shared" si="87"/>
        <v>13</v>
      </c>
    </row>
    <row r="687" spans="1:20">
      <c r="A687" s="74" t="str">
        <f t="shared" si="80"/>
        <v/>
      </c>
      <c r="B687" s="75" t="str">
        <f>IFERROR(INDEX(对接源_01入库吨位!$B$5:$B$304,MATCH(INT((ROW()-5)/3)+1,对接源_01入库吨位!$S$5:$S$304,0)),"")</f>
        <v/>
      </c>
      <c r="C687" s="75" t="str">
        <f>IFERROR(INDEX(对接源_01入库吨位!$C$5:$C$304,MATCH(INT((ROW()-5)/3)+1,对接源_01入库吨位!$S$5:$S$304,0)),"")</f>
        <v/>
      </c>
      <c r="D687" s="89" t="str">
        <f t="shared" si="81"/>
        <v/>
      </c>
      <c r="E687" s="42" t="str">
        <f>IF($B687="","",IFERROR(IF($D687="周转打冷",N(INDEX(对接源_01入库吨位!$D$5:$D$304,MATCH(INT((ROW()-5)/3)+1,对接源_01入库吨位!$S$5:$S$304,0))),IF($D687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7" s="76" t="str">
        <f>IF($B687="","",ROUND(IFERROR(IF($D687="周转打冷",N(INDEX(对接源_01入库吨位!$H$5:$H$304,MATCH(INT((ROW()-5)/3)+1,对接源_01入库吨位!$S$5:$S$304,0))),IF($D687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7" s="122" t="str">
        <f t="shared" si="82"/>
        <v/>
      </c>
      <c r="H687" s="43"/>
      <c r="I687" s="107"/>
      <c r="J687" s="123" t="str">
        <f t="shared" si="83"/>
        <v/>
      </c>
      <c r="K687" s="76" t="str">
        <f t="shared" si="84"/>
        <v/>
      </c>
      <c r="L687" s="43"/>
      <c r="M687" s="7"/>
      <c r="N687" s="106"/>
      <c r="R687" s="3" t="str">
        <f t="shared" si="85"/>
        <v/>
      </c>
      <c r="S687" s="3">
        <f t="shared" si="86"/>
        <v>0</v>
      </c>
      <c r="T687" s="3">
        <f t="shared" si="87"/>
        <v>13</v>
      </c>
    </row>
    <row r="688" spans="1:20">
      <c r="A688" s="74" t="str">
        <f t="shared" si="80"/>
        <v/>
      </c>
      <c r="B688" s="75" t="str">
        <f>IFERROR(INDEX(对接源_01入库吨位!$B$5:$B$304,MATCH(INT((ROW()-5)/3)+1,对接源_01入库吨位!$S$5:$S$304,0)),"")</f>
        <v/>
      </c>
      <c r="C688" s="75" t="str">
        <f>IFERROR(INDEX(对接源_01入库吨位!$C$5:$C$304,MATCH(INT((ROW()-5)/3)+1,对接源_01入库吨位!$S$5:$S$304,0)),"")</f>
        <v/>
      </c>
      <c r="D688" s="89" t="str">
        <f t="shared" si="81"/>
        <v/>
      </c>
      <c r="E688" s="42" t="str">
        <f>IF($B688="","",IFERROR(IF($D688="周转打冷",N(INDEX(对接源_01入库吨位!$D$5:$D$304,MATCH(INT((ROW()-5)/3)+1,对接源_01入库吨位!$S$5:$S$304,0))),IF($D688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8" s="76" t="str">
        <f>IF($B688="","",ROUND(IFERROR(IF($D688="周转打冷",N(INDEX(对接源_01入库吨位!$H$5:$H$304,MATCH(INT((ROW()-5)/3)+1,对接源_01入库吨位!$S$5:$S$304,0))),IF($D688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8" s="122" t="str">
        <f t="shared" si="82"/>
        <v/>
      </c>
      <c r="H688" s="43"/>
      <c r="I688" s="107"/>
      <c r="J688" s="123" t="str">
        <f t="shared" si="83"/>
        <v/>
      </c>
      <c r="K688" s="76" t="str">
        <f t="shared" si="84"/>
        <v/>
      </c>
      <c r="L688" s="43"/>
      <c r="M688" s="7"/>
      <c r="N688" s="106"/>
      <c r="R688" s="3" t="str">
        <f t="shared" si="85"/>
        <v/>
      </c>
      <c r="S688" s="3">
        <f t="shared" si="86"/>
        <v>0</v>
      </c>
      <c r="T688" s="3">
        <f t="shared" si="87"/>
        <v>13</v>
      </c>
    </row>
    <row r="689" spans="1:20">
      <c r="A689" s="74" t="str">
        <f t="shared" si="80"/>
        <v/>
      </c>
      <c r="B689" s="75" t="str">
        <f>IFERROR(INDEX(对接源_01入库吨位!$B$5:$B$304,MATCH(INT((ROW()-5)/3)+1,对接源_01入库吨位!$S$5:$S$304,0)),"")</f>
        <v/>
      </c>
      <c r="C689" s="75" t="str">
        <f>IFERROR(INDEX(对接源_01入库吨位!$C$5:$C$304,MATCH(INT((ROW()-5)/3)+1,对接源_01入库吨位!$S$5:$S$304,0)),"")</f>
        <v/>
      </c>
      <c r="D689" s="89" t="str">
        <f t="shared" si="81"/>
        <v/>
      </c>
      <c r="E689" s="42" t="str">
        <f>IF($B689="","",IFERROR(IF($D689="周转打冷",N(INDEX(对接源_01入库吨位!$D$5:$D$304,MATCH(INT((ROW()-5)/3)+1,对接源_01入库吨位!$S$5:$S$304,0))),IF($D689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9" s="76" t="str">
        <f>IF($B689="","",ROUND(IFERROR(IF($D689="周转打冷",N(INDEX(对接源_01入库吨位!$H$5:$H$304,MATCH(INT((ROW()-5)/3)+1,对接源_01入库吨位!$S$5:$S$304,0))),IF($D689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9" s="122" t="str">
        <f t="shared" si="82"/>
        <v/>
      </c>
      <c r="H689" s="43"/>
      <c r="I689" s="107"/>
      <c r="J689" s="123" t="str">
        <f t="shared" si="83"/>
        <v/>
      </c>
      <c r="K689" s="76" t="str">
        <f t="shared" si="84"/>
        <v/>
      </c>
      <c r="L689" s="43"/>
      <c r="M689" s="7"/>
      <c r="N689" s="106"/>
      <c r="R689" s="3" t="str">
        <f t="shared" si="85"/>
        <v/>
      </c>
      <c r="S689" s="3">
        <f t="shared" si="86"/>
        <v>0</v>
      </c>
      <c r="T689" s="3">
        <f t="shared" si="87"/>
        <v>13</v>
      </c>
    </row>
    <row r="690" spans="1:20">
      <c r="A690" s="74" t="str">
        <f t="shared" si="80"/>
        <v/>
      </c>
      <c r="B690" s="75" t="str">
        <f>IFERROR(INDEX(对接源_01入库吨位!$B$5:$B$304,MATCH(INT((ROW()-5)/3)+1,对接源_01入库吨位!$S$5:$S$304,0)),"")</f>
        <v/>
      </c>
      <c r="C690" s="75" t="str">
        <f>IFERROR(INDEX(对接源_01入库吨位!$C$5:$C$304,MATCH(INT((ROW()-5)/3)+1,对接源_01入库吨位!$S$5:$S$304,0)),"")</f>
        <v/>
      </c>
      <c r="D690" s="89" t="str">
        <f t="shared" si="81"/>
        <v/>
      </c>
      <c r="E690" s="42" t="str">
        <f>IF($B690="","",IFERROR(IF($D690="周转打冷",N(INDEX(对接源_01入库吨位!$D$5:$D$304,MATCH(INT((ROW()-5)/3)+1,对接源_01入库吨位!$S$5:$S$304,0))),IF($D690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0" s="76" t="str">
        <f>IF($B690="","",ROUND(IFERROR(IF($D690="周转打冷",N(INDEX(对接源_01入库吨位!$H$5:$H$304,MATCH(INT((ROW()-5)/3)+1,对接源_01入库吨位!$S$5:$S$304,0))),IF($D690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0" s="122" t="str">
        <f t="shared" si="82"/>
        <v/>
      </c>
      <c r="H690" s="43"/>
      <c r="I690" s="107"/>
      <c r="J690" s="123" t="str">
        <f t="shared" si="83"/>
        <v/>
      </c>
      <c r="K690" s="76" t="str">
        <f t="shared" si="84"/>
        <v/>
      </c>
      <c r="L690" s="43"/>
      <c r="M690" s="7"/>
      <c r="N690" s="106"/>
      <c r="R690" s="3" t="str">
        <f t="shared" si="85"/>
        <v/>
      </c>
      <c r="S690" s="3">
        <f t="shared" si="86"/>
        <v>0</v>
      </c>
      <c r="T690" s="3">
        <f t="shared" si="87"/>
        <v>13</v>
      </c>
    </row>
    <row r="691" spans="1:20">
      <c r="A691" s="74" t="str">
        <f t="shared" si="80"/>
        <v/>
      </c>
      <c r="B691" s="75" t="str">
        <f>IFERROR(INDEX(对接源_01入库吨位!$B$5:$B$304,MATCH(INT((ROW()-5)/3)+1,对接源_01入库吨位!$S$5:$S$304,0)),"")</f>
        <v/>
      </c>
      <c r="C691" s="75" t="str">
        <f>IFERROR(INDEX(对接源_01入库吨位!$C$5:$C$304,MATCH(INT((ROW()-5)/3)+1,对接源_01入库吨位!$S$5:$S$304,0)),"")</f>
        <v/>
      </c>
      <c r="D691" s="89" t="str">
        <f t="shared" si="81"/>
        <v/>
      </c>
      <c r="E691" s="42" t="str">
        <f>IF($B691="","",IFERROR(IF($D691="周转打冷",N(INDEX(对接源_01入库吨位!$D$5:$D$304,MATCH(INT((ROW()-5)/3)+1,对接源_01入库吨位!$S$5:$S$304,0))),IF($D691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1" s="76" t="str">
        <f>IF($B691="","",ROUND(IFERROR(IF($D691="周转打冷",N(INDEX(对接源_01入库吨位!$H$5:$H$304,MATCH(INT((ROW()-5)/3)+1,对接源_01入库吨位!$S$5:$S$304,0))),IF($D691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1" s="122" t="str">
        <f t="shared" si="82"/>
        <v/>
      </c>
      <c r="H691" s="43"/>
      <c r="I691" s="107"/>
      <c r="J691" s="123" t="str">
        <f t="shared" si="83"/>
        <v/>
      </c>
      <c r="K691" s="76" t="str">
        <f t="shared" si="84"/>
        <v/>
      </c>
      <c r="L691" s="43"/>
      <c r="M691" s="7"/>
      <c r="N691" s="106"/>
      <c r="R691" s="3" t="str">
        <f t="shared" si="85"/>
        <v/>
      </c>
      <c r="S691" s="3">
        <f t="shared" si="86"/>
        <v>0</v>
      </c>
      <c r="T691" s="3">
        <f t="shared" si="87"/>
        <v>13</v>
      </c>
    </row>
    <row r="692" spans="1:20">
      <c r="A692" s="74" t="str">
        <f t="shared" si="80"/>
        <v/>
      </c>
      <c r="B692" s="75" t="str">
        <f>IFERROR(INDEX(对接源_01入库吨位!$B$5:$B$304,MATCH(INT((ROW()-5)/3)+1,对接源_01入库吨位!$S$5:$S$304,0)),"")</f>
        <v/>
      </c>
      <c r="C692" s="75" t="str">
        <f>IFERROR(INDEX(对接源_01入库吨位!$C$5:$C$304,MATCH(INT((ROW()-5)/3)+1,对接源_01入库吨位!$S$5:$S$304,0)),"")</f>
        <v/>
      </c>
      <c r="D692" s="89" t="str">
        <f t="shared" si="81"/>
        <v/>
      </c>
      <c r="E692" s="42" t="str">
        <f>IF($B692="","",IFERROR(IF($D692="周转打冷",N(INDEX(对接源_01入库吨位!$D$5:$D$304,MATCH(INT((ROW()-5)/3)+1,对接源_01入库吨位!$S$5:$S$304,0))),IF($D692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2" s="76" t="str">
        <f>IF($B692="","",ROUND(IFERROR(IF($D692="周转打冷",N(INDEX(对接源_01入库吨位!$H$5:$H$304,MATCH(INT((ROW()-5)/3)+1,对接源_01入库吨位!$S$5:$S$304,0))),IF($D692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2" s="122" t="str">
        <f t="shared" si="82"/>
        <v/>
      </c>
      <c r="H692" s="43"/>
      <c r="I692" s="107"/>
      <c r="J692" s="123" t="str">
        <f t="shared" si="83"/>
        <v/>
      </c>
      <c r="K692" s="76" t="str">
        <f t="shared" si="84"/>
        <v/>
      </c>
      <c r="L692" s="43"/>
      <c r="M692" s="7"/>
      <c r="N692" s="106"/>
      <c r="R692" s="3" t="str">
        <f t="shared" si="85"/>
        <v/>
      </c>
      <c r="S692" s="3">
        <f t="shared" si="86"/>
        <v>0</v>
      </c>
      <c r="T692" s="3">
        <f t="shared" si="87"/>
        <v>13</v>
      </c>
    </row>
    <row r="693" spans="1:20">
      <c r="A693" s="74" t="str">
        <f t="shared" si="80"/>
        <v/>
      </c>
      <c r="B693" s="75" t="str">
        <f>IFERROR(INDEX(对接源_01入库吨位!$B$5:$B$304,MATCH(INT((ROW()-5)/3)+1,对接源_01入库吨位!$S$5:$S$304,0)),"")</f>
        <v/>
      </c>
      <c r="C693" s="75" t="str">
        <f>IFERROR(INDEX(对接源_01入库吨位!$C$5:$C$304,MATCH(INT((ROW()-5)/3)+1,对接源_01入库吨位!$S$5:$S$304,0)),"")</f>
        <v/>
      </c>
      <c r="D693" s="89" t="str">
        <f t="shared" si="81"/>
        <v/>
      </c>
      <c r="E693" s="42" t="str">
        <f>IF($B693="","",IFERROR(IF($D693="周转打冷",N(INDEX(对接源_01入库吨位!$D$5:$D$304,MATCH(INT((ROW()-5)/3)+1,对接源_01入库吨位!$S$5:$S$304,0))),IF($D693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3" s="76" t="str">
        <f>IF($B693="","",ROUND(IFERROR(IF($D693="周转打冷",N(INDEX(对接源_01入库吨位!$H$5:$H$304,MATCH(INT((ROW()-5)/3)+1,对接源_01入库吨位!$S$5:$S$304,0))),IF($D693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3" s="122" t="str">
        <f t="shared" si="82"/>
        <v/>
      </c>
      <c r="H693" s="43"/>
      <c r="I693" s="107"/>
      <c r="J693" s="123" t="str">
        <f t="shared" si="83"/>
        <v/>
      </c>
      <c r="K693" s="76" t="str">
        <f t="shared" si="84"/>
        <v/>
      </c>
      <c r="L693" s="43"/>
      <c r="M693" s="7"/>
      <c r="N693" s="106"/>
      <c r="R693" s="3" t="str">
        <f t="shared" si="85"/>
        <v/>
      </c>
      <c r="S693" s="3">
        <f t="shared" si="86"/>
        <v>0</v>
      </c>
      <c r="T693" s="3">
        <f t="shared" si="87"/>
        <v>13</v>
      </c>
    </row>
    <row r="694" spans="1:20">
      <c r="A694" s="74" t="str">
        <f t="shared" si="80"/>
        <v/>
      </c>
      <c r="B694" s="75" t="str">
        <f>IFERROR(INDEX(对接源_01入库吨位!$B$5:$B$304,MATCH(INT((ROW()-5)/3)+1,对接源_01入库吨位!$S$5:$S$304,0)),"")</f>
        <v/>
      </c>
      <c r="C694" s="75" t="str">
        <f>IFERROR(INDEX(对接源_01入库吨位!$C$5:$C$304,MATCH(INT((ROW()-5)/3)+1,对接源_01入库吨位!$S$5:$S$304,0)),"")</f>
        <v/>
      </c>
      <c r="D694" s="89" t="str">
        <f t="shared" si="81"/>
        <v/>
      </c>
      <c r="E694" s="42" t="str">
        <f>IF($B694="","",IFERROR(IF($D694="周转打冷",N(INDEX(对接源_01入库吨位!$D$5:$D$304,MATCH(INT((ROW()-5)/3)+1,对接源_01入库吨位!$S$5:$S$304,0))),IF($D694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4" s="76" t="str">
        <f>IF($B694="","",ROUND(IFERROR(IF($D694="周转打冷",N(INDEX(对接源_01入库吨位!$H$5:$H$304,MATCH(INT((ROW()-5)/3)+1,对接源_01入库吨位!$S$5:$S$304,0))),IF($D694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4" s="122" t="str">
        <f t="shared" si="82"/>
        <v/>
      </c>
      <c r="H694" s="43"/>
      <c r="I694" s="107"/>
      <c r="J694" s="123" t="str">
        <f t="shared" si="83"/>
        <v/>
      </c>
      <c r="K694" s="76" t="str">
        <f t="shared" si="84"/>
        <v/>
      </c>
      <c r="L694" s="43"/>
      <c r="M694" s="7"/>
      <c r="N694" s="106"/>
      <c r="R694" s="3" t="str">
        <f t="shared" si="85"/>
        <v/>
      </c>
      <c r="S694" s="3">
        <f t="shared" si="86"/>
        <v>0</v>
      </c>
      <c r="T694" s="3">
        <f t="shared" si="87"/>
        <v>13</v>
      </c>
    </row>
    <row r="695" spans="1:20">
      <c r="A695" s="74" t="str">
        <f t="shared" si="80"/>
        <v/>
      </c>
      <c r="B695" s="75" t="str">
        <f>IFERROR(INDEX(对接源_01入库吨位!$B$5:$B$304,MATCH(INT((ROW()-5)/3)+1,对接源_01入库吨位!$S$5:$S$304,0)),"")</f>
        <v/>
      </c>
      <c r="C695" s="75" t="str">
        <f>IFERROR(INDEX(对接源_01入库吨位!$C$5:$C$304,MATCH(INT((ROW()-5)/3)+1,对接源_01入库吨位!$S$5:$S$304,0)),"")</f>
        <v/>
      </c>
      <c r="D695" s="89" t="str">
        <f t="shared" si="81"/>
        <v/>
      </c>
      <c r="E695" s="42" t="str">
        <f>IF($B695="","",IFERROR(IF($D695="周转打冷",N(INDEX(对接源_01入库吨位!$D$5:$D$304,MATCH(INT((ROW()-5)/3)+1,对接源_01入库吨位!$S$5:$S$304,0))),IF($D695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5" s="76" t="str">
        <f>IF($B695="","",ROUND(IFERROR(IF($D695="周转打冷",N(INDEX(对接源_01入库吨位!$H$5:$H$304,MATCH(INT((ROW()-5)/3)+1,对接源_01入库吨位!$S$5:$S$304,0))),IF($D695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5" s="122" t="str">
        <f t="shared" si="82"/>
        <v/>
      </c>
      <c r="H695" s="43"/>
      <c r="I695" s="107"/>
      <c r="J695" s="123" t="str">
        <f t="shared" si="83"/>
        <v/>
      </c>
      <c r="K695" s="76" t="str">
        <f t="shared" si="84"/>
        <v/>
      </c>
      <c r="L695" s="43"/>
      <c r="M695" s="7"/>
      <c r="N695" s="106"/>
      <c r="R695" s="3" t="str">
        <f t="shared" si="85"/>
        <v/>
      </c>
      <c r="S695" s="3">
        <f t="shared" si="86"/>
        <v>0</v>
      </c>
      <c r="T695" s="3">
        <f t="shared" si="87"/>
        <v>13</v>
      </c>
    </row>
    <row r="696" spans="1:20">
      <c r="A696" s="74" t="str">
        <f t="shared" si="80"/>
        <v/>
      </c>
      <c r="B696" s="75" t="str">
        <f>IFERROR(INDEX(对接源_01入库吨位!$B$5:$B$304,MATCH(INT((ROW()-5)/3)+1,对接源_01入库吨位!$S$5:$S$304,0)),"")</f>
        <v/>
      </c>
      <c r="C696" s="75" t="str">
        <f>IFERROR(INDEX(对接源_01入库吨位!$C$5:$C$304,MATCH(INT((ROW()-5)/3)+1,对接源_01入库吨位!$S$5:$S$304,0)),"")</f>
        <v/>
      </c>
      <c r="D696" s="89" t="str">
        <f t="shared" si="81"/>
        <v/>
      </c>
      <c r="E696" s="42" t="str">
        <f>IF($B696="","",IFERROR(IF($D696="周转打冷",N(INDEX(对接源_01入库吨位!$D$5:$D$304,MATCH(INT((ROW()-5)/3)+1,对接源_01入库吨位!$S$5:$S$304,0))),IF($D696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6" s="76" t="str">
        <f>IF($B696="","",ROUND(IFERROR(IF($D696="周转打冷",N(INDEX(对接源_01入库吨位!$H$5:$H$304,MATCH(INT((ROW()-5)/3)+1,对接源_01入库吨位!$S$5:$S$304,0))),IF($D696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6" s="122" t="str">
        <f t="shared" si="82"/>
        <v/>
      </c>
      <c r="H696" s="43"/>
      <c r="I696" s="107"/>
      <c r="J696" s="123" t="str">
        <f t="shared" si="83"/>
        <v/>
      </c>
      <c r="K696" s="76" t="str">
        <f t="shared" si="84"/>
        <v/>
      </c>
      <c r="L696" s="43"/>
      <c r="M696" s="7"/>
      <c r="N696" s="106"/>
      <c r="R696" s="3" t="str">
        <f t="shared" si="85"/>
        <v/>
      </c>
      <c r="S696" s="3">
        <f t="shared" si="86"/>
        <v>0</v>
      </c>
      <c r="T696" s="3">
        <f t="shared" si="87"/>
        <v>13</v>
      </c>
    </row>
    <row r="697" spans="1:20">
      <c r="A697" s="74" t="str">
        <f t="shared" si="80"/>
        <v/>
      </c>
      <c r="B697" s="75" t="str">
        <f>IFERROR(INDEX(对接源_01入库吨位!$B$5:$B$304,MATCH(INT((ROW()-5)/3)+1,对接源_01入库吨位!$S$5:$S$304,0)),"")</f>
        <v/>
      </c>
      <c r="C697" s="75" t="str">
        <f>IFERROR(INDEX(对接源_01入库吨位!$C$5:$C$304,MATCH(INT((ROW()-5)/3)+1,对接源_01入库吨位!$S$5:$S$304,0)),"")</f>
        <v/>
      </c>
      <c r="D697" s="89" t="str">
        <f t="shared" si="81"/>
        <v/>
      </c>
      <c r="E697" s="42" t="str">
        <f>IF($B697="","",IFERROR(IF($D697="周转打冷",N(INDEX(对接源_01入库吨位!$D$5:$D$304,MATCH(INT((ROW()-5)/3)+1,对接源_01入库吨位!$S$5:$S$304,0))),IF($D697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7" s="76" t="str">
        <f>IF($B697="","",ROUND(IFERROR(IF($D697="周转打冷",N(INDEX(对接源_01入库吨位!$H$5:$H$304,MATCH(INT((ROW()-5)/3)+1,对接源_01入库吨位!$S$5:$S$304,0))),IF($D697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7" s="122" t="str">
        <f t="shared" si="82"/>
        <v/>
      </c>
      <c r="H697" s="43"/>
      <c r="I697" s="107"/>
      <c r="J697" s="123" t="str">
        <f t="shared" si="83"/>
        <v/>
      </c>
      <c r="K697" s="76" t="str">
        <f t="shared" si="84"/>
        <v/>
      </c>
      <c r="L697" s="43"/>
      <c r="M697" s="7"/>
      <c r="N697" s="106"/>
      <c r="R697" s="3" t="str">
        <f t="shared" si="85"/>
        <v/>
      </c>
      <c r="S697" s="3">
        <f t="shared" si="86"/>
        <v>0</v>
      </c>
      <c r="T697" s="3">
        <f t="shared" si="87"/>
        <v>13</v>
      </c>
    </row>
    <row r="698" spans="1:20">
      <c r="A698" s="74" t="str">
        <f t="shared" si="80"/>
        <v/>
      </c>
      <c r="B698" s="75" t="str">
        <f>IFERROR(INDEX(对接源_01入库吨位!$B$5:$B$304,MATCH(INT((ROW()-5)/3)+1,对接源_01入库吨位!$S$5:$S$304,0)),"")</f>
        <v/>
      </c>
      <c r="C698" s="75" t="str">
        <f>IFERROR(INDEX(对接源_01入库吨位!$C$5:$C$304,MATCH(INT((ROW()-5)/3)+1,对接源_01入库吨位!$S$5:$S$304,0)),"")</f>
        <v/>
      </c>
      <c r="D698" s="89" t="str">
        <f t="shared" si="81"/>
        <v/>
      </c>
      <c r="E698" s="42" t="str">
        <f>IF($B698="","",IFERROR(IF($D698="周转打冷",N(INDEX(对接源_01入库吨位!$D$5:$D$304,MATCH(INT((ROW()-5)/3)+1,对接源_01入库吨位!$S$5:$S$304,0))),IF($D698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8" s="76" t="str">
        <f>IF($B698="","",ROUND(IFERROR(IF($D698="周转打冷",N(INDEX(对接源_01入库吨位!$H$5:$H$304,MATCH(INT((ROW()-5)/3)+1,对接源_01入库吨位!$S$5:$S$304,0))),IF($D698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8" s="122" t="str">
        <f t="shared" si="82"/>
        <v/>
      </c>
      <c r="H698" s="43"/>
      <c r="I698" s="107"/>
      <c r="J698" s="123" t="str">
        <f t="shared" si="83"/>
        <v/>
      </c>
      <c r="K698" s="76" t="str">
        <f t="shared" si="84"/>
        <v/>
      </c>
      <c r="L698" s="43"/>
      <c r="M698" s="7"/>
      <c r="N698" s="106"/>
      <c r="R698" s="3" t="str">
        <f t="shared" si="85"/>
        <v/>
      </c>
      <c r="S698" s="3">
        <f t="shared" si="86"/>
        <v>0</v>
      </c>
      <c r="T698" s="3">
        <f t="shared" si="87"/>
        <v>13</v>
      </c>
    </row>
    <row r="699" spans="1:20">
      <c r="A699" s="74" t="str">
        <f t="shared" si="80"/>
        <v/>
      </c>
      <c r="B699" s="75" t="str">
        <f>IFERROR(INDEX(对接源_01入库吨位!$B$5:$B$304,MATCH(INT((ROW()-5)/3)+1,对接源_01入库吨位!$S$5:$S$304,0)),"")</f>
        <v/>
      </c>
      <c r="C699" s="75" t="str">
        <f>IFERROR(INDEX(对接源_01入库吨位!$C$5:$C$304,MATCH(INT((ROW()-5)/3)+1,对接源_01入库吨位!$S$5:$S$304,0)),"")</f>
        <v/>
      </c>
      <c r="D699" s="89" t="str">
        <f t="shared" si="81"/>
        <v/>
      </c>
      <c r="E699" s="42" t="str">
        <f>IF($B699="","",IFERROR(IF($D699="周转打冷",N(INDEX(对接源_01入库吨位!$D$5:$D$304,MATCH(INT((ROW()-5)/3)+1,对接源_01入库吨位!$S$5:$S$304,0))),IF($D699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9" s="76" t="str">
        <f>IF($B699="","",ROUND(IFERROR(IF($D699="周转打冷",N(INDEX(对接源_01入库吨位!$H$5:$H$304,MATCH(INT((ROW()-5)/3)+1,对接源_01入库吨位!$S$5:$S$304,0))),IF($D699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9" s="122" t="str">
        <f t="shared" si="82"/>
        <v/>
      </c>
      <c r="H699" s="43"/>
      <c r="I699" s="107"/>
      <c r="J699" s="123" t="str">
        <f t="shared" si="83"/>
        <v/>
      </c>
      <c r="K699" s="76" t="str">
        <f t="shared" si="84"/>
        <v/>
      </c>
      <c r="L699" s="43"/>
      <c r="M699" s="7"/>
      <c r="N699" s="106"/>
      <c r="R699" s="3" t="str">
        <f t="shared" si="85"/>
        <v/>
      </c>
      <c r="S699" s="3">
        <f t="shared" si="86"/>
        <v>0</v>
      </c>
      <c r="T699" s="3">
        <f t="shared" si="87"/>
        <v>13</v>
      </c>
    </row>
    <row r="700" spans="1:20">
      <c r="A700" s="74" t="str">
        <f t="shared" si="80"/>
        <v/>
      </c>
      <c r="B700" s="75" t="str">
        <f>IFERROR(INDEX(对接源_01入库吨位!$B$5:$B$304,MATCH(INT((ROW()-5)/3)+1,对接源_01入库吨位!$S$5:$S$304,0)),"")</f>
        <v/>
      </c>
      <c r="C700" s="75" t="str">
        <f>IFERROR(INDEX(对接源_01入库吨位!$C$5:$C$304,MATCH(INT((ROW()-5)/3)+1,对接源_01入库吨位!$S$5:$S$304,0)),"")</f>
        <v/>
      </c>
      <c r="D700" s="89" t="str">
        <f t="shared" si="81"/>
        <v/>
      </c>
      <c r="E700" s="42" t="str">
        <f>IF($B700="","",IFERROR(IF($D700="周转打冷",N(INDEX(对接源_01入库吨位!$D$5:$D$304,MATCH(INT((ROW()-5)/3)+1,对接源_01入库吨位!$S$5:$S$304,0))),IF($D700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0" s="76" t="str">
        <f>IF($B700="","",ROUND(IFERROR(IF($D700="周转打冷",N(INDEX(对接源_01入库吨位!$H$5:$H$304,MATCH(INT((ROW()-5)/3)+1,对接源_01入库吨位!$S$5:$S$304,0))),IF($D700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0" s="122" t="str">
        <f t="shared" si="82"/>
        <v/>
      </c>
      <c r="H700" s="43"/>
      <c r="I700" s="107"/>
      <c r="J700" s="123" t="str">
        <f t="shared" si="83"/>
        <v/>
      </c>
      <c r="K700" s="76" t="str">
        <f t="shared" si="84"/>
        <v/>
      </c>
      <c r="L700" s="43"/>
      <c r="M700" s="7"/>
      <c r="N700" s="106"/>
      <c r="R700" s="3" t="str">
        <f t="shared" si="85"/>
        <v/>
      </c>
      <c r="S700" s="3">
        <f t="shared" si="86"/>
        <v>0</v>
      </c>
      <c r="T700" s="3">
        <f t="shared" si="87"/>
        <v>13</v>
      </c>
    </row>
    <row r="701" spans="1:20">
      <c r="A701" s="74" t="str">
        <f t="shared" si="80"/>
        <v/>
      </c>
      <c r="B701" s="75" t="str">
        <f>IFERROR(INDEX(对接源_01入库吨位!$B$5:$B$304,MATCH(INT((ROW()-5)/3)+1,对接源_01入库吨位!$S$5:$S$304,0)),"")</f>
        <v/>
      </c>
      <c r="C701" s="75" t="str">
        <f>IFERROR(INDEX(对接源_01入库吨位!$C$5:$C$304,MATCH(INT((ROW()-5)/3)+1,对接源_01入库吨位!$S$5:$S$304,0)),"")</f>
        <v/>
      </c>
      <c r="D701" s="89" t="str">
        <f t="shared" si="81"/>
        <v/>
      </c>
      <c r="E701" s="42" t="str">
        <f>IF($B701="","",IFERROR(IF($D701="周转打冷",N(INDEX(对接源_01入库吨位!$D$5:$D$304,MATCH(INT((ROW()-5)/3)+1,对接源_01入库吨位!$S$5:$S$304,0))),IF($D701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1" s="76" t="str">
        <f>IF($B701="","",ROUND(IFERROR(IF($D701="周转打冷",N(INDEX(对接源_01入库吨位!$H$5:$H$304,MATCH(INT((ROW()-5)/3)+1,对接源_01入库吨位!$S$5:$S$304,0))),IF($D701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1" s="122" t="str">
        <f t="shared" si="82"/>
        <v/>
      </c>
      <c r="H701" s="43"/>
      <c r="I701" s="107"/>
      <c r="J701" s="123" t="str">
        <f t="shared" si="83"/>
        <v/>
      </c>
      <c r="K701" s="76" t="str">
        <f t="shared" si="84"/>
        <v/>
      </c>
      <c r="L701" s="43"/>
      <c r="M701" s="7"/>
      <c r="N701" s="106"/>
      <c r="R701" s="3" t="str">
        <f t="shared" si="85"/>
        <v/>
      </c>
      <c r="S701" s="3">
        <f t="shared" si="86"/>
        <v>0</v>
      </c>
      <c r="T701" s="3">
        <f t="shared" si="87"/>
        <v>13</v>
      </c>
    </row>
    <row r="702" spans="1:20">
      <c r="A702" s="74" t="str">
        <f t="shared" si="80"/>
        <v/>
      </c>
      <c r="B702" s="75" t="str">
        <f>IFERROR(INDEX(对接源_01入库吨位!$B$5:$B$304,MATCH(INT((ROW()-5)/3)+1,对接源_01入库吨位!$S$5:$S$304,0)),"")</f>
        <v/>
      </c>
      <c r="C702" s="75" t="str">
        <f>IFERROR(INDEX(对接源_01入库吨位!$C$5:$C$304,MATCH(INT((ROW()-5)/3)+1,对接源_01入库吨位!$S$5:$S$304,0)),"")</f>
        <v/>
      </c>
      <c r="D702" s="89" t="str">
        <f t="shared" si="81"/>
        <v/>
      </c>
      <c r="E702" s="42" t="str">
        <f>IF($B702="","",IFERROR(IF($D702="周转打冷",N(INDEX(对接源_01入库吨位!$D$5:$D$304,MATCH(INT((ROW()-5)/3)+1,对接源_01入库吨位!$S$5:$S$304,0))),IF($D702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2" s="76" t="str">
        <f>IF($B702="","",ROUND(IFERROR(IF($D702="周转打冷",N(INDEX(对接源_01入库吨位!$H$5:$H$304,MATCH(INT((ROW()-5)/3)+1,对接源_01入库吨位!$S$5:$S$304,0))),IF($D702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2" s="122" t="str">
        <f t="shared" si="82"/>
        <v/>
      </c>
      <c r="H702" s="43"/>
      <c r="I702" s="107"/>
      <c r="J702" s="123" t="str">
        <f t="shared" si="83"/>
        <v/>
      </c>
      <c r="K702" s="76" t="str">
        <f t="shared" si="84"/>
        <v/>
      </c>
      <c r="L702" s="43"/>
      <c r="M702" s="7"/>
      <c r="N702" s="106"/>
      <c r="R702" s="3" t="str">
        <f t="shared" si="85"/>
        <v/>
      </c>
      <c r="S702" s="3">
        <f t="shared" si="86"/>
        <v>0</v>
      </c>
      <c r="T702" s="3">
        <f t="shared" si="87"/>
        <v>13</v>
      </c>
    </row>
    <row r="703" spans="1:20">
      <c r="A703" s="74" t="str">
        <f t="shared" si="80"/>
        <v/>
      </c>
      <c r="B703" s="75" t="str">
        <f>IFERROR(INDEX(对接源_01入库吨位!$B$5:$B$304,MATCH(INT((ROW()-5)/3)+1,对接源_01入库吨位!$S$5:$S$304,0)),"")</f>
        <v/>
      </c>
      <c r="C703" s="75" t="str">
        <f>IFERROR(INDEX(对接源_01入库吨位!$C$5:$C$304,MATCH(INT((ROW()-5)/3)+1,对接源_01入库吨位!$S$5:$S$304,0)),"")</f>
        <v/>
      </c>
      <c r="D703" s="89" t="str">
        <f t="shared" si="81"/>
        <v/>
      </c>
      <c r="E703" s="42" t="str">
        <f>IF($B703="","",IFERROR(IF($D703="周转打冷",N(INDEX(对接源_01入库吨位!$D$5:$D$304,MATCH(INT((ROW()-5)/3)+1,对接源_01入库吨位!$S$5:$S$304,0))),IF($D703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3" s="76" t="str">
        <f>IF($B703="","",ROUND(IFERROR(IF($D703="周转打冷",N(INDEX(对接源_01入库吨位!$H$5:$H$304,MATCH(INT((ROW()-5)/3)+1,对接源_01入库吨位!$S$5:$S$304,0))),IF($D703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3" s="122" t="str">
        <f t="shared" si="82"/>
        <v/>
      </c>
      <c r="H703" s="43"/>
      <c r="I703" s="107"/>
      <c r="J703" s="123" t="str">
        <f t="shared" si="83"/>
        <v/>
      </c>
      <c r="K703" s="76" t="str">
        <f t="shared" si="84"/>
        <v/>
      </c>
      <c r="L703" s="43"/>
      <c r="M703" s="7"/>
      <c r="N703" s="106"/>
      <c r="R703" s="3" t="str">
        <f t="shared" si="85"/>
        <v/>
      </c>
      <c r="S703" s="3">
        <f t="shared" si="86"/>
        <v>0</v>
      </c>
      <c r="T703" s="3">
        <f t="shared" si="87"/>
        <v>13</v>
      </c>
    </row>
    <row r="704" spans="1:20">
      <c r="A704" s="74" t="str">
        <f t="shared" si="80"/>
        <v/>
      </c>
      <c r="B704" s="75" t="str">
        <f>IFERROR(INDEX(对接源_01入库吨位!$B$5:$B$304,MATCH(INT((ROW()-5)/3)+1,对接源_01入库吨位!$S$5:$S$304,0)),"")</f>
        <v/>
      </c>
      <c r="C704" s="75" t="str">
        <f>IFERROR(INDEX(对接源_01入库吨位!$C$5:$C$304,MATCH(INT((ROW()-5)/3)+1,对接源_01入库吨位!$S$5:$S$304,0)),"")</f>
        <v/>
      </c>
      <c r="D704" s="89" t="str">
        <f t="shared" si="81"/>
        <v/>
      </c>
      <c r="E704" s="42" t="str">
        <f>IF($B704="","",IFERROR(IF($D704="周转打冷",N(INDEX(对接源_01入库吨位!$D$5:$D$304,MATCH(INT((ROW()-5)/3)+1,对接源_01入库吨位!$S$5:$S$304,0))),IF($D704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4" s="76" t="str">
        <f>IF($B704="","",ROUND(IFERROR(IF($D704="周转打冷",N(INDEX(对接源_01入库吨位!$H$5:$H$304,MATCH(INT((ROW()-5)/3)+1,对接源_01入库吨位!$S$5:$S$304,0))),IF($D704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4" s="122" t="str">
        <f t="shared" si="82"/>
        <v/>
      </c>
      <c r="H704" s="43"/>
      <c r="I704" s="107"/>
      <c r="J704" s="123" t="str">
        <f t="shared" si="83"/>
        <v/>
      </c>
      <c r="K704" s="76" t="str">
        <f t="shared" si="84"/>
        <v/>
      </c>
      <c r="L704" s="43"/>
      <c r="M704" s="7"/>
      <c r="N704" s="106"/>
      <c r="R704" s="3" t="str">
        <f t="shared" si="85"/>
        <v/>
      </c>
      <c r="S704" s="3">
        <f t="shared" si="86"/>
        <v>0</v>
      </c>
      <c r="T704" s="3">
        <f t="shared" si="87"/>
        <v>13</v>
      </c>
    </row>
    <row r="705" spans="1:20">
      <c r="A705" s="74" t="str">
        <f t="shared" si="80"/>
        <v/>
      </c>
      <c r="B705" s="75" t="str">
        <f>IFERROR(INDEX(对接源_01入库吨位!$B$5:$B$304,MATCH(INT((ROW()-5)/3)+1,对接源_01入库吨位!$S$5:$S$304,0)),"")</f>
        <v/>
      </c>
      <c r="C705" s="75" t="str">
        <f>IFERROR(INDEX(对接源_01入库吨位!$C$5:$C$304,MATCH(INT((ROW()-5)/3)+1,对接源_01入库吨位!$S$5:$S$304,0)),"")</f>
        <v/>
      </c>
      <c r="D705" s="89" t="str">
        <f t="shared" si="81"/>
        <v/>
      </c>
      <c r="E705" s="42" t="str">
        <f>IF($B705="","",IFERROR(IF($D705="周转打冷",N(INDEX(对接源_01入库吨位!$D$5:$D$304,MATCH(INT((ROW()-5)/3)+1,对接源_01入库吨位!$S$5:$S$304,0))),IF($D705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5" s="76" t="str">
        <f>IF($B705="","",ROUND(IFERROR(IF($D705="周转打冷",N(INDEX(对接源_01入库吨位!$H$5:$H$304,MATCH(INT((ROW()-5)/3)+1,对接源_01入库吨位!$S$5:$S$304,0))),IF($D705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5" s="122" t="str">
        <f t="shared" si="82"/>
        <v/>
      </c>
      <c r="H705" s="43"/>
      <c r="I705" s="107"/>
      <c r="J705" s="123" t="str">
        <f t="shared" si="83"/>
        <v/>
      </c>
      <c r="K705" s="76" t="str">
        <f t="shared" si="84"/>
        <v/>
      </c>
      <c r="L705" s="43"/>
      <c r="M705" s="7"/>
      <c r="N705" s="106"/>
      <c r="R705" s="3" t="str">
        <f t="shared" si="85"/>
        <v/>
      </c>
      <c r="S705" s="3">
        <f t="shared" si="86"/>
        <v>0</v>
      </c>
      <c r="T705" s="3">
        <f t="shared" si="87"/>
        <v>13</v>
      </c>
    </row>
    <row r="706" spans="1:20">
      <c r="A706" s="74" t="str">
        <f t="shared" si="80"/>
        <v/>
      </c>
      <c r="B706" s="75" t="str">
        <f>IFERROR(INDEX(对接源_01入库吨位!$B$5:$B$304,MATCH(INT((ROW()-5)/3)+1,对接源_01入库吨位!$S$5:$S$304,0)),"")</f>
        <v/>
      </c>
      <c r="C706" s="75" t="str">
        <f>IFERROR(INDEX(对接源_01入库吨位!$C$5:$C$304,MATCH(INT((ROW()-5)/3)+1,对接源_01入库吨位!$S$5:$S$304,0)),"")</f>
        <v/>
      </c>
      <c r="D706" s="89" t="str">
        <f t="shared" si="81"/>
        <v/>
      </c>
      <c r="E706" s="42" t="str">
        <f>IF($B706="","",IFERROR(IF($D706="周转打冷",N(INDEX(对接源_01入库吨位!$D$5:$D$304,MATCH(INT((ROW()-5)/3)+1,对接源_01入库吨位!$S$5:$S$304,0))),IF($D706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6" s="76" t="str">
        <f>IF($B706="","",ROUND(IFERROR(IF($D706="周转打冷",N(INDEX(对接源_01入库吨位!$H$5:$H$304,MATCH(INT((ROW()-5)/3)+1,对接源_01入库吨位!$S$5:$S$304,0))),IF($D706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6" s="122" t="str">
        <f t="shared" si="82"/>
        <v/>
      </c>
      <c r="H706" s="43"/>
      <c r="I706" s="107"/>
      <c r="J706" s="123" t="str">
        <f t="shared" si="83"/>
        <v/>
      </c>
      <c r="K706" s="76" t="str">
        <f t="shared" si="84"/>
        <v/>
      </c>
      <c r="L706" s="43"/>
      <c r="M706" s="7"/>
      <c r="N706" s="106"/>
      <c r="R706" s="3" t="str">
        <f t="shared" si="85"/>
        <v/>
      </c>
      <c r="S706" s="3">
        <f t="shared" si="86"/>
        <v>0</v>
      </c>
      <c r="T706" s="3">
        <f t="shared" si="87"/>
        <v>13</v>
      </c>
    </row>
    <row r="707" spans="1:20">
      <c r="A707" s="74" t="str">
        <f t="shared" si="80"/>
        <v/>
      </c>
      <c r="B707" s="75" t="str">
        <f>IFERROR(INDEX(对接源_01入库吨位!$B$5:$B$304,MATCH(INT((ROW()-5)/3)+1,对接源_01入库吨位!$S$5:$S$304,0)),"")</f>
        <v/>
      </c>
      <c r="C707" s="75" t="str">
        <f>IFERROR(INDEX(对接源_01入库吨位!$C$5:$C$304,MATCH(INT((ROW()-5)/3)+1,对接源_01入库吨位!$S$5:$S$304,0)),"")</f>
        <v/>
      </c>
      <c r="D707" s="89" t="str">
        <f t="shared" si="81"/>
        <v/>
      </c>
      <c r="E707" s="42" t="str">
        <f>IF($B707="","",IFERROR(IF($D707="周转打冷",N(INDEX(对接源_01入库吨位!$D$5:$D$304,MATCH(INT((ROW()-5)/3)+1,对接源_01入库吨位!$S$5:$S$304,0))),IF($D707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7" s="76" t="str">
        <f>IF($B707="","",ROUND(IFERROR(IF($D707="周转打冷",N(INDEX(对接源_01入库吨位!$H$5:$H$304,MATCH(INT((ROW()-5)/3)+1,对接源_01入库吨位!$S$5:$S$304,0))),IF($D707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7" s="122" t="str">
        <f t="shared" si="82"/>
        <v/>
      </c>
      <c r="H707" s="43"/>
      <c r="I707" s="107"/>
      <c r="J707" s="123" t="str">
        <f t="shared" si="83"/>
        <v/>
      </c>
      <c r="K707" s="76" t="str">
        <f t="shared" si="84"/>
        <v/>
      </c>
      <c r="L707" s="43"/>
      <c r="M707" s="7"/>
      <c r="N707" s="106"/>
      <c r="R707" s="3" t="str">
        <f t="shared" si="85"/>
        <v/>
      </c>
      <c r="S707" s="3">
        <f t="shared" si="86"/>
        <v>0</v>
      </c>
      <c r="T707" s="3">
        <f t="shared" si="87"/>
        <v>13</v>
      </c>
    </row>
    <row r="708" spans="1:20">
      <c r="A708" s="74" t="str">
        <f t="shared" si="80"/>
        <v/>
      </c>
      <c r="B708" s="75" t="str">
        <f>IFERROR(INDEX(对接源_01入库吨位!$B$5:$B$304,MATCH(INT((ROW()-5)/3)+1,对接源_01入库吨位!$S$5:$S$304,0)),"")</f>
        <v/>
      </c>
      <c r="C708" s="75" t="str">
        <f>IFERROR(INDEX(对接源_01入库吨位!$C$5:$C$304,MATCH(INT((ROW()-5)/3)+1,对接源_01入库吨位!$S$5:$S$304,0)),"")</f>
        <v/>
      </c>
      <c r="D708" s="89" t="str">
        <f t="shared" si="81"/>
        <v/>
      </c>
      <c r="E708" s="42" t="str">
        <f>IF($B708="","",IFERROR(IF($D708="周转打冷",N(INDEX(对接源_01入库吨位!$D$5:$D$304,MATCH(INT((ROW()-5)/3)+1,对接源_01入库吨位!$S$5:$S$304,0))),IF($D708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8" s="76" t="str">
        <f>IF($B708="","",ROUND(IFERROR(IF($D708="周转打冷",N(INDEX(对接源_01入库吨位!$H$5:$H$304,MATCH(INT((ROW()-5)/3)+1,对接源_01入库吨位!$S$5:$S$304,0))),IF($D708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8" s="122" t="str">
        <f t="shared" si="82"/>
        <v/>
      </c>
      <c r="H708" s="43"/>
      <c r="I708" s="107"/>
      <c r="J708" s="123" t="str">
        <f t="shared" si="83"/>
        <v/>
      </c>
      <c r="K708" s="76" t="str">
        <f t="shared" si="84"/>
        <v/>
      </c>
      <c r="L708" s="43"/>
      <c r="M708" s="7"/>
      <c r="N708" s="106"/>
      <c r="R708" s="3" t="str">
        <f t="shared" si="85"/>
        <v/>
      </c>
      <c r="S708" s="3">
        <f t="shared" si="86"/>
        <v>0</v>
      </c>
      <c r="T708" s="3">
        <f t="shared" si="87"/>
        <v>13</v>
      </c>
    </row>
    <row r="709" spans="1:20">
      <c r="A709" s="74" t="str">
        <f t="shared" ref="A709:A772" si="88">IF($B709="","",ROW()-4)</f>
        <v/>
      </c>
      <c r="B709" s="75" t="str">
        <f>IFERROR(INDEX(对接源_01入库吨位!$B$5:$B$304,MATCH(INT((ROW()-5)/3)+1,对接源_01入库吨位!$S$5:$S$304,0)),"")</f>
        <v/>
      </c>
      <c r="C709" s="75" t="str">
        <f>IFERROR(INDEX(对接源_01入库吨位!$C$5:$C$304,MATCH(INT((ROW()-5)/3)+1,对接源_01入库吨位!$S$5:$S$304,0)),"")</f>
        <v/>
      </c>
      <c r="D709" s="89" t="str">
        <f t="shared" ref="D709:D772" si="89">IF($B709="","",IF(MOD(ROW()-5,3)=0,"周转打冷",IF(MOD(ROW()-5,3)=1,"仓储加工","装卸费")))</f>
        <v/>
      </c>
      <c r="E709" s="42" t="str">
        <f>IF($B709="","",IFERROR(IF($D709="周转打冷",N(INDEX(对接源_01入库吨位!$D$5:$D$304,MATCH(INT((ROW()-5)/3)+1,对接源_01入库吨位!$S$5:$S$304,0))),IF($D709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9" s="76" t="str">
        <f>IF($B709="","",ROUND(IFERROR(IF($D709="周转打冷",N(INDEX(对接源_01入库吨位!$H$5:$H$304,MATCH(INT((ROW()-5)/3)+1,对接源_01入库吨位!$S$5:$S$304,0))),IF($D709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9" s="122" t="str">
        <f t="shared" ref="G709:G772" si="90">IF($B709="","",ROUND(N($F709)/1000,3))</f>
        <v/>
      </c>
      <c r="H709" s="43"/>
      <c r="I709" s="107"/>
      <c r="J709" s="123" t="str">
        <f t="shared" ref="J709:J772" si="91">IF($B709="","",IF($H709="按筐数×单价",N($E709),IF($H709="按总重KG×单价",N($F709),IF($H709="按吨位×单价",N($G709),0))))</f>
        <v/>
      </c>
      <c r="K709" s="76" t="str">
        <f t="shared" ref="K709:K772" si="92">IF($B709="","",ROUND(N($J709)*N($I709),2))</f>
        <v/>
      </c>
      <c r="L709" s="43"/>
      <c r="M709" s="7"/>
      <c r="N709" s="106"/>
      <c r="R709" s="3" t="str">
        <f t="shared" ref="R709:R772" si="93">IF($B709="","",$B709)</f>
        <v/>
      </c>
      <c r="S709" s="3">
        <f t="shared" ref="S709:S772" si="94">IF($R709="",0,IF(MATCH($R709,$R$5:$R$904,0)=ROW()-4,1,0))</f>
        <v>0</v>
      </c>
      <c r="T709" s="3">
        <f t="shared" ref="T709:T772" si="95">N(T708)+$S709</f>
        <v>13</v>
      </c>
    </row>
    <row r="710" spans="1:20">
      <c r="A710" s="74" t="str">
        <f t="shared" si="88"/>
        <v/>
      </c>
      <c r="B710" s="75" t="str">
        <f>IFERROR(INDEX(对接源_01入库吨位!$B$5:$B$304,MATCH(INT((ROW()-5)/3)+1,对接源_01入库吨位!$S$5:$S$304,0)),"")</f>
        <v/>
      </c>
      <c r="C710" s="75" t="str">
        <f>IFERROR(INDEX(对接源_01入库吨位!$C$5:$C$304,MATCH(INT((ROW()-5)/3)+1,对接源_01入库吨位!$S$5:$S$304,0)),"")</f>
        <v/>
      </c>
      <c r="D710" s="89" t="str">
        <f t="shared" si="89"/>
        <v/>
      </c>
      <c r="E710" s="42" t="str">
        <f>IF($B710="","",IFERROR(IF($D710="周转打冷",N(INDEX(对接源_01入库吨位!$D$5:$D$304,MATCH(INT((ROW()-5)/3)+1,对接源_01入库吨位!$S$5:$S$304,0))),IF($D710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0" s="76" t="str">
        <f>IF($B710="","",ROUND(IFERROR(IF($D710="周转打冷",N(INDEX(对接源_01入库吨位!$H$5:$H$304,MATCH(INT((ROW()-5)/3)+1,对接源_01入库吨位!$S$5:$S$304,0))),IF($D710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0" s="122" t="str">
        <f t="shared" si="90"/>
        <v/>
      </c>
      <c r="H710" s="43"/>
      <c r="I710" s="107"/>
      <c r="J710" s="123" t="str">
        <f t="shared" si="91"/>
        <v/>
      </c>
      <c r="K710" s="76" t="str">
        <f t="shared" si="92"/>
        <v/>
      </c>
      <c r="L710" s="43"/>
      <c r="M710" s="7"/>
      <c r="N710" s="106"/>
      <c r="R710" s="3" t="str">
        <f t="shared" si="93"/>
        <v/>
      </c>
      <c r="S710" s="3">
        <f t="shared" si="94"/>
        <v>0</v>
      </c>
      <c r="T710" s="3">
        <f t="shared" si="95"/>
        <v>13</v>
      </c>
    </row>
    <row r="711" spans="1:20">
      <c r="A711" s="74" t="str">
        <f t="shared" si="88"/>
        <v/>
      </c>
      <c r="B711" s="75" t="str">
        <f>IFERROR(INDEX(对接源_01入库吨位!$B$5:$B$304,MATCH(INT((ROW()-5)/3)+1,对接源_01入库吨位!$S$5:$S$304,0)),"")</f>
        <v/>
      </c>
      <c r="C711" s="75" t="str">
        <f>IFERROR(INDEX(对接源_01入库吨位!$C$5:$C$304,MATCH(INT((ROW()-5)/3)+1,对接源_01入库吨位!$S$5:$S$304,0)),"")</f>
        <v/>
      </c>
      <c r="D711" s="89" t="str">
        <f t="shared" si="89"/>
        <v/>
      </c>
      <c r="E711" s="42" t="str">
        <f>IF($B711="","",IFERROR(IF($D711="周转打冷",N(INDEX(对接源_01入库吨位!$D$5:$D$304,MATCH(INT((ROW()-5)/3)+1,对接源_01入库吨位!$S$5:$S$304,0))),IF($D711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1" s="76" t="str">
        <f>IF($B711="","",ROUND(IFERROR(IF($D711="周转打冷",N(INDEX(对接源_01入库吨位!$H$5:$H$304,MATCH(INT((ROW()-5)/3)+1,对接源_01入库吨位!$S$5:$S$304,0))),IF($D711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1" s="122" t="str">
        <f t="shared" si="90"/>
        <v/>
      </c>
      <c r="H711" s="43"/>
      <c r="I711" s="107"/>
      <c r="J711" s="123" t="str">
        <f t="shared" si="91"/>
        <v/>
      </c>
      <c r="K711" s="76" t="str">
        <f t="shared" si="92"/>
        <v/>
      </c>
      <c r="L711" s="43"/>
      <c r="M711" s="7"/>
      <c r="N711" s="106"/>
      <c r="R711" s="3" t="str">
        <f t="shared" si="93"/>
        <v/>
      </c>
      <c r="S711" s="3">
        <f t="shared" si="94"/>
        <v>0</v>
      </c>
      <c r="T711" s="3">
        <f t="shared" si="95"/>
        <v>13</v>
      </c>
    </row>
    <row r="712" spans="1:20">
      <c r="A712" s="74" t="str">
        <f t="shared" si="88"/>
        <v/>
      </c>
      <c r="B712" s="75" t="str">
        <f>IFERROR(INDEX(对接源_01入库吨位!$B$5:$B$304,MATCH(INT((ROW()-5)/3)+1,对接源_01入库吨位!$S$5:$S$304,0)),"")</f>
        <v/>
      </c>
      <c r="C712" s="75" t="str">
        <f>IFERROR(INDEX(对接源_01入库吨位!$C$5:$C$304,MATCH(INT((ROW()-5)/3)+1,对接源_01入库吨位!$S$5:$S$304,0)),"")</f>
        <v/>
      </c>
      <c r="D712" s="89" t="str">
        <f t="shared" si="89"/>
        <v/>
      </c>
      <c r="E712" s="42" t="str">
        <f>IF($B712="","",IFERROR(IF($D712="周转打冷",N(INDEX(对接源_01入库吨位!$D$5:$D$304,MATCH(INT((ROW()-5)/3)+1,对接源_01入库吨位!$S$5:$S$304,0))),IF($D712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2" s="76" t="str">
        <f>IF($B712="","",ROUND(IFERROR(IF($D712="周转打冷",N(INDEX(对接源_01入库吨位!$H$5:$H$304,MATCH(INT((ROW()-5)/3)+1,对接源_01入库吨位!$S$5:$S$304,0))),IF($D712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2" s="122" t="str">
        <f t="shared" si="90"/>
        <v/>
      </c>
      <c r="H712" s="43"/>
      <c r="I712" s="107"/>
      <c r="J712" s="123" t="str">
        <f t="shared" si="91"/>
        <v/>
      </c>
      <c r="K712" s="76" t="str">
        <f t="shared" si="92"/>
        <v/>
      </c>
      <c r="L712" s="43"/>
      <c r="M712" s="7"/>
      <c r="N712" s="106"/>
      <c r="R712" s="3" t="str">
        <f t="shared" si="93"/>
        <v/>
      </c>
      <c r="S712" s="3">
        <f t="shared" si="94"/>
        <v>0</v>
      </c>
      <c r="T712" s="3">
        <f t="shared" si="95"/>
        <v>13</v>
      </c>
    </row>
    <row r="713" spans="1:20">
      <c r="A713" s="74" t="str">
        <f t="shared" si="88"/>
        <v/>
      </c>
      <c r="B713" s="75" t="str">
        <f>IFERROR(INDEX(对接源_01入库吨位!$B$5:$B$304,MATCH(INT((ROW()-5)/3)+1,对接源_01入库吨位!$S$5:$S$304,0)),"")</f>
        <v/>
      </c>
      <c r="C713" s="75" t="str">
        <f>IFERROR(INDEX(对接源_01入库吨位!$C$5:$C$304,MATCH(INT((ROW()-5)/3)+1,对接源_01入库吨位!$S$5:$S$304,0)),"")</f>
        <v/>
      </c>
      <c r="D713" s="89" t="str">
        <f t="shared" si="89"/>
        <v/>
      </c>
      <c r="E713" s="42" t="str">
        <f>IF($B713="","",IFERROR(IF($D713="周转打冷",N(INDEX(对接源_01入库吨位!$D$5:$D$304,MATCH(INT((ROW()-5)/3)+1,对接源_01入库吨位!$S$5:$S$304,0))),IF($D713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3" s="76" t="str">
        <f>IF($B713="","",ROUND(IFERROR(IF($D713="周转打冷",N(INDEX(对接源_01入库吨位!$H$5:$H$304,MATCH(INT((ROW()-5)/3)+1,对接源_01入库吨位!$S$5:$S$304,0))),IF($D713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3" s="122" t="str">
        <f t="shared" si="90"/>
        <v/>
      </c>
      <c r="H713" s="43"/>
      <c r="I713" s="107"/>
      <c r="J713" s="123" t="str">
        <f t="shared" si="91"/>
        <v/>
      </c>
      <c r="K713" s="76" t="str">
        <f t="shared" si="92"/>
        <v/>
      </c>
      <c r="L713" s="43"/>
      <c r="M713" s="7"/>
      <c r="N713" s="106"/>
      <c r="R713" s="3" t="str">
        <f t="shared" si="93"/>
        <v/>
      </c>
      <c r="S713" s="3">
        <f t="shared" si="94"/>
        <v>0</v>
      </c>
      <c r="T713" s="3">
        <f t="shared" si="95"/>
        <v>13</v>
      </c>
    </row>
    <row r="714" spans="1:20">
      <c r="A714" s="74" t="str">
        <f t="shared" si="88"/>
        <v/>
      </c>
      <c r="B714" s="75" t="str">
        <f>IFERROR(INDEX(对接源_01入库吨位!$B$5:$B$304,MATCH(INT((ROW()-5)/3)+1,对接源_01入库吨位!$S$5:$S$304,0)),"")</f>
        <v/>
      </c>
      <c r="C714" s="75" t="str">
        <f>IFERROR(INDEX(对接源_01入库吨位!$C$5:$C$304,MATCH(INT((ROW()-5)/3)+1,对接源_01入库吨位!$S$5:$S$304,0)),"")</f>
        <v/>
      </c>
      <c r="D714" s="89" t="str">
        <f t="shared" si="89"/>
        <v/>
      </c>
      <c r="E714" s="42" t="str">
        <f>IF($B714="","",IFERROR(IF($D714="周转打冷",N(INDEX(对接源_01入库吨位!$D$5:$D$304,MATCH(INT((ROW()-5)/3)+1,对接源_01入库吨位!$S$5:$S$304,0))),IF($D714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4" s="76" t="str">
        <f>IF($B714="","",ROUND(IFERROR(IF($D714="周转打冷",N(INDEX(对接源_01入库吨位!$H$5:$H$304,MATCH(INT((ROW()-5)/3)+1,对接源_01入库吨位!$S$5:$S$304,0))),IF($D714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4" s="122" t="str">
        <f t="shared" si="90"/>
        <v/>
      </c>
      <c r="H714" s="43"/>
      <c r="I714" s="107"/>
      <c r="J714" s="123" t="str">
        <f t="shared" si="91"/>
        <v/>
      </c>
      <c r="K714" s="76" t="str">
        <f t="shared" si="92"/>
        <v/>
      </c>
      <c r="L714" s="43"/>
      <c r="M714" s="7"/>
      <c r="N714" s="106"/>
      <c r="R714" s="3" t="str">
        <f t="shared" si="93"/>
        <v/>
      </c>
      <c r="S714" s="3">
        <f t="shared" si="94"/>
        <v>0</v>
      </c>
      <c r="T714" s="3">
        <f t="shared" si="95"/>
        <v>13</v>
      </c>
    </row>
    <row r="715" spans="1:20">
      <c r="A715" s="74" t="str">
        <f t="shared" si="88"/>
        <v/>
      </c>
      <c r="B715" s="75" t="str">
        <f>IFERROR(INDEX(对接源_01入库吨位!$B$5:$B$304,MATCH(INT((ROW()-5)/3)+1,对接源_01入库吨位!$S$5:$S$304,0)),"")</f>
        <v/>
      </c>
      <c r="C715" s="75" t="str">
        <f>IFERROR(INDEX(对接源_01入库吨位!$C$5:$C$304,MATCH(INT((ROW()-5)/3)+1,对接源_01入库吨位!$S$5:$S$304,0)),"")</f>
        <v/>
      </c>
      <c r="D715" s="89" t="str">
        <f t="shared" si="89"/>
        <v/>
      </c>
      <c r="E715" s="42" t="str">
        <f>IF($B715="","",IFERROR(IF($D715="周转打冷",N(INDEX(对接源_01入库吨位!$D$5:$D$304,MATCH(INT((ROW()-5)/3)+1,对接源_01入库吨位!$S$5:$S$304,0))),IF($D715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5" s="76" t="str">
        <f>IF($B715="","",ROUND(IFERROR(IF($D715="周转打冷",N(INDEX(对接源_01入库吨位!$H$5:$H$304,MATCH(INT((ROW()-5)/3)+1,对接源_01入库吨位!$S$5:$S$304,0))),IF($D715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5" s="122" t="str">
        <f t="shared" si="90"/>
        <v/>
      </c>
      <c r="H715" s="43"/>
      <c r="I715" s="107"/>
      <c r="J715" s="123" t="str">
        <f t="shared" si="91"/>
        <v/>
      </c>
      <c r="K715" s="76" t="str">
        <f t="shared" si="92"/>
        <v/>
      </c>
      <c r="L715" s="43"/>
      <c r="M715" s="7"/>
      <c r="N715" s="106"/>
      <c r="R715" s="3" t="str">
        <f t="shared" si="93"/>
        <v/>
      </c>
      <c r="S715" s="3">
        <f t="shared" si="94"/>
        <v>0</v>
      </c>
      <c r="T715" s="3">
        <f t="shared" si="95"/>
        <v>13</v>
      </c>
    </row>
    <row r="716" spans="1:20">
      <c r="A716" s="74" t="str">
        <f t="shared" si="88"/>
        <v/>
      </c>
      <c r="B716" s="75" t="str">
        <f>IFERROR(INDEX(对接源_01入库吨位!$B$5:$B$304,MATCH(INT((ROW()-5)/3)+1,对接源_01入库吨位!$S$5:$S$304,0)),"")</f>
        <v/>
      </c>
      <c r="C716" s="75" t="str">
        <f>IFERROR(INDEX(对接源_01入库吨位!$C$5:$C$304,MATCH(INT((ROW()-5)/3)+1,对接源_01入库吨位!$S$5:$S$304,0)),"")</f>
        <v/>
      </c>
      <c r="D716" s="89" t="str">
        <f t="shared" si="89"/>
        <v/>
      </c>
      <c r="E716" s="42" t="str">
        <f>IF($B716="","",IFERROR(IF($D716="周转打冷",N(INDEX(对接源_01入库吨位!$D$5:$D$304,MATCH(INT((ROW()-5)/3)+1,对接源_01入库吨位!$S$5:$S$304,0))),IF($D716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6" s="76" t="str">
        <f>IF($B716="","",ROUND(IFERROR(IF($D716="周转打冷",N(INDEX(对接源_01入库吨位!$H$5:$H$304,MATCH(INT((ROW()-5)/3)+1,对接源_01入库吨位!$S$5:$S$304,0))),IF($D716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6" s="122" t="str">
        <f t="shared" si="90"/>
        <v/>
      </c>
      <c r="H716" s="43"/>
      <c r="I716" s="107"/>
      <c r="J716" s="123" t="str">
        <f t="shared" si="91"/>
        <v/>
      </c>
      <c r="K716" s="76" t="str">
        <f t="shared" si="92"/>
        <v/>
      </c>
      <c r="L716" s="43"/>
      <c r="M716" s="7"/>
      <c r="N716" s="106"/>
      <c r="R716" s="3" t="str">
        <f t="shared" si="93"/>
        <v/>
      </c>
      <c r="S716" s="3">
        <f t="shared" si="94"/>
        <v>0</v>
      </c>
      <c r="T716" s="3">
        <f t="shared" si="95"/>
        <v>13</v>
      </c>
    </row>
    <row r="717" spans="1:20">
      <c r="A717" s="74" t="str">
        <f t="shared" si="88"/>
        <v/>
      </c>
      <c r="B717" s="75" t="str">
        <f>IFERROR(INDEX(对接源_01入库吨位!$B$5:$B$304,MATCH(INT((ROW()-5)/3)+1,对接源_01入库吨位!$S$5:$S$304,0)),"")</f>
        <v/>
      </c>
      <c r="C717" s="75" t="str">
        <f>IFERROR(INDEX(对接源_01入库吨位!$C$5:$C$304,MATCH(INT((ROW()-5)/3)+1,对接源_01入库吨位!$S$5:$S$304,0)),"")</f>
        <v/>
      </c>
      <c r="D717" s="89" t="str">
        <f t="shared" si="89"/>
        <v/>
      </c>
      <c r="E717" s="42" t="str">
        <f>IF($B717="","",IFERROR(IF($D717="周转打冷",N(INDEX(对接源_01入库吨位!$D$5:$D$304,MATCH(INT((ROW()-5)/3)+1,对接源_01入库吨位!$S$5:$S$304,0))),IF($D717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7" s="76" t="str">
        <f>IF($B717="","",ROUND(IFERROR(IF($D717="周转打冷",N(INDEX(对接源_01入库吨位!$H$5:$H$304,MATCH(INT((ROW()-5)/3)+1,对接源_01入库吨位!$S$5:$S$304,0))),IF($D717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7" s="122" t="str">
        <f t="shared" si="90"/>
        <v/>
      </c>
      <c r="H717" s="43"/>
      <c r="I717" s="107"/>
      <c r="J717" s="123" t="str">
        <f t="shared" si="91"/>
        <v/>
      </c>
      <c r="K717" s="76" t="str">
        <f t="shared" si="92"/>
        <v/>
      </c>
      <c r="L717" s="43"/>
      <c r="M717" s="7"/>
      <c r="N717" s="106"/>
      <c r="R717" s="3" t="str">
        <f t="shared" si="93"/>
        <v/>
      </c>
      <c r="S717" s="3">
        <f t="shared" si="94"/>
        <v>0</v>
      </c>
      <c r="T717" s="3">
        <f t="shared" si="95"/>
        <v>13</v>
      </c>
    </row>
    <row r="718" spans="1:20">
      <c r="A718" s="74" t="str">
        <f t="shared" si="88"/>
        <v/>
      </c>
      <c r="B718" s="75" t="str">
        <f>IFERROR(INDEX(对接源_01入库吨位!$B$5:$B$304,MATCH(INT((ROW()-5)/3)+1,对接源_01入库吨位!$S$5:$S$304,0)),"")</f>
        <v/>
      </c>
      <c r="C718" s="75" t="str">
        <f>IFERROR(INDEX(对接源_01入库吨位!$C$5:$C$304,MATCH(INT((ROW()-5)/3)+1,对接源_01入库吨位!$S$5:$S$304,0)),"")</f>
        <v/>
      </c>
      <c r="D718" s="89" t="str">
        <f t="shared" si="89"/>
        <v/>
      </c>
      <c r="E718" s="42" t="str">
        <f>IF($B718="","",IFERROR(IF($D718="周转打冷",N(INDEX(对接源_01入库吨位!$D$5:$D$304,MATCH(INT((ROW()-5)/3)+1,对接源_01入库吨位!$S$5:$S$304,0))),IF($D718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8" s="76" t="str">
        <f>IF($B718="","",ROUND(IFERROR(IF($D718="周转打冷",N(INDEX(对接源_01入库吨位!$H$5:$H$304,MATCH(INT((ROW()-5)/3)+1,对接源_01入库吨位!$S$5:$S$304,0))),IF($D718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8" s="122" t="str">
        <f t="shared" si="90"/>
        <v/>
      </c>
      <c r="H718" s="43"/>
      <c r="I718" s="107"/>
      <c r="J718" s="123" t="str">
        <f t="shared" si="91"/>
        <v/>
      </c>
      <c r="K718" s="76" t="str">
        <f t="shared" si="92"/>
        <v/>
      </c>
      <c r="L718" s="43"/>
      <c r="M718" s="7"/>
      <c r="N718" s="106"/>
      <c r="R718" s="3" t="str">
        <f t="shared" si="93"/>
        <v/>
      </c>
      <c r="S718" s="3">
        <f t="shared" si="94"/>
        <v>0</v>
      </c>
      <c r="T718" s="3">
        <f t="shared" si="95"/>
        <v>13</v>
      </c>
    </row>
    <row r="719" spans="1:20">
      <c r="A719" s="74" t="str">
        <f t="shared" si="88"/>
        <v/>
      </c>
      <c r="B719" s="75" t="str">
        <f>IFERROR(INDEX(对接源_01入库吨位!$B$5:$B$304,MATCH(INT((ROW()-5)/3)+1,对接源_01入库吨位!$S$5:$S$304,0)),"")</f>
        <v/>
      </c>
      <c r="C719" s="75" t="str">
        <f>IFERROR(INDEX(对接源_01入库吨位!$C$5:$C$304,MATCH(INT((ROW()-5)/3)+1,对接源_01入库吨位!$S$5:$S$304,0)),"")</f>
        <v/>
      </c>
      <c r="D719" s="89" t="str">
        <f t="shared" si="89"/>
        <v/>
      </c>
      <c r="E719" s="42" t="str">
        <f>IF($B719="","",IFERROR(IF($D719="周转打冷",N(INDEX(对接源_01入库吨位!$D$5:$D$304,MATCH(INT((ROW()-5)/3)+1,对接源_01入库吨位!$S$5:$S$304,0))),IF($D719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9" s="76" t="str">
        <f>IF($B719="","",ROUND(IFERROR(IF($D719="周转打冷",N(INDEX(对接源_01入库吨位!$H$5:$H$304,MATCH(INT((ROW()-5)/3)+1,对接源_01入库吨位!$S$5:$S$304,0))),IF($D719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9" s="122" t="str">
        <f t="shared" si="90"/>
        <v/>
      </c>
      <c r="H719" s="43"/>
      <c r="I719" s="107"/>
      <c r="J719" s="123" t="str">
        <f t="shared" si="91"/>
        <v/>
      </c>
      <c r="K719" s="76" t="str">
        <f t="shared" si="92"/>
        <v/>
      </c>
      <c r="L719" s="43"/>
      <c r="M719" s="7"/>
      <c r="N719" s="106"/>
      <c r="R719" s="3" t="str">
        <f t="shared" si="93"/>
        <v/>
      </c>
      <c r="S719" s="3">
        <f t="shared" si="94"/>
        <v>0</v>
      </c>
      <c r="T719" s="3">
        <f t="shared" si="95"/>
        <v>13</v>
      </c>
    </row>
    <row r="720" spans="1:20">
      <c r="A720" s="74" t="str">
        <f t="shared" si="88"/>
        <v/>
      </c>
      <c r="B720" s="75" t="str">
        <f>IFERROR(INDEX(对接源_01入库吨位!$B$5:$B$304,MATCH(INT((ROW()-5)/3)+1,对接源_01入库吨位!$S$5:$S$304,0)),"")</f>
        <v/>
      </c>
      <c r="C720" s="75" t="str">
        <f>IFERROR(INDEX(对接源_01入库吨位!$C$5:$C$304,MATCH(INT((ROW()-5)/3)+1,对接源_01入库吨位!$S$5:$S$304,0)),"")</f>
        <v/>
      </c>
      <c r="D720" s="89" t="str">
        <f t="shared" si="89"/>
        <v/>
      </c>
      <c r="E720" s="42" t="str">
        <f>IF($B720="","",IFERROR(IF($D720="周转打冷",N(INDEX(对接源_01入库吨位!$D$5:$D$304,MATCH(INT((ROW()-5)/3)+1,对接源_01入库吨位!$S$5:$S$304,0))),IF($D720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0" s="76" t="str">
        <f>IF($B720="","",ROUND(IFERROR(IF($D720="周转打冷",N(INDEX(对接源_01入库吨位!$H$5:$H$304,MATCH(INT((ROW()-5)/3)+1,对接源_01入库吨位!$S$5:$S$304,0))),IF($D720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0" s="122" t="str">
        <f t="shared" si="90"/>
        <v/>
      </c>
      <c r="H720" s="43"/>
      <c r="I720" s="107"/>
      <c r="J720" s="123" t="str">
        <f t="shared" si="91"/>
        <v/>
      </c>
      <c r="K720" s="76" t="str">
        <f t="shared" si="92"/>
        <v/>
      </c>
      <c r="L720" s="43"/>
      <c r="M720" s="7"/>
      <c r="N720" s="106"/>
      <c r="R720" s="3" t="str">
        <f t="shared" si="93"/>
        <v/>
      </c>
      <c r="S720" s="3">
        <f t="shared" si="94"/>
        <v>0</v>
      </c>
      <c r="T720" s="3">
        <f t="shared" si="95"/>
        <v>13</v>
      </c>
    </row>
    <row r="721" spans="1:20">
      <c r="A721" s="74" t="str">
        <f t="shared" si="88"/>
        <v/>
      </c>
      <c r="B721" s="75" t="str">
        <f>IFERROR(INDEX(对接源_01入库吨位!$B$5:$B$304,MATCH(INT((ROW()-5)/3)+1,对接源_01入库吨位!$S$5:$S$304,0)),"")</f>
        <v/>
      </c>
      <c r="C721" s="75" t="str">
        <f>IFERROR(INDEX(对接源_01入库吨位!$C$5:$C$304,MATCH(INT((ROW()-5)/3)+1,对接源_01入库吨位!$S$5:$S$304,0)),"")</f>
        <v/>
      </c>
      <c r="D721" s="89" t="str">
        <f t="shared" si="89"/>
        <v/>
      </c>
      <c r="E721" s="42" t="str">
        <f>IF($B721="","",IFERROR(IF($D721="周转打冷",N(INDEX(对接源_01入库吨位!$D$5:$D$304,MATCH(INT((ROW()-5)/3)+1,对接源_01入库吨位!$S$5:$S$304,0))),IF($D721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1" s="76" t="str">
        <f>IF($B721="","",ROUND(IFERROR(IF($D721="周转打冷",N(INDEX(对接源_01入库吨位!$H$5:$H$304,MATCH(INT((ROW()-5)/3)+1,对接源_01入库吨位!$S$5:$S$304,0))),IF($D721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1" s="122" t="str">
        <f t="shared" si="90"/>
        <v/>
      </c>
      <c r="H721" s="43"/>
      <c r="I721" s="107"/>
      <c r="J721" s="123" t="str">
        <f t="shared" si="91"/>
        <v/>
      </c>
      <c r="K721" s="76" t="str">
        <f t="shared" si="92"/>
        <v/>
      </c>
      <c r="L721" s="43"/>
      <c r="M721" s="7"/>
      <c r="N721" s="106"/>
      <c r="R721" s="3" t="str">
        <f t="shared" si="93"/>
        <v/>
      </c>
      <c r="S721" s="3">
        <f t="shared" si="94"/>
        <v>0</v>
      </c>
      <c r="T721" s="3">
        <f t="shared" si="95"/>
        <v>13</v>
      </c>
    </row>
    <row r="722" spans="1:20">
      <c r="A722" s="74" t="str">
        <f t="shared" si="88"/>
        <v/>
      </c>
      <c r="B722" s="75" t="str">
        <f>IFERROR(INDEX(对接源_01入库吨位!$B$5:$B$304,MATCH(INT((ROW()-5)/3)+1,对接源_01入库吨位!$S$5:$S$304,0)),"")</f>
        <v/>
      </c>
      <c r="C722" s="75" t="str">
        <f>IFERROR(INDEX(对接源_01入库吨位!$C$5:$C$304,MATCH(INT((ROW()-5)/3)+1,对接源_01入库吨位!$S$5:$S$304,0)),"")</f>
        <v/>
      </c>
      <c r="D722" s="89" t="str">
        <f t="shared" si="89"/>
        <v/>
      </c>
      <c r="E722" s="42" t="str">
        <f>IF($B722="","",IFERROR(IF($D722="周转打冷",N(INDEX(对接源_01入库吨位!$D$5:$D$304,MATCH(INT((ROW()-5)/3)+1,对接源_01入库吨位!$S$5:$S$304,0))),IF($D722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2" s="76" t="str">
        <f>IF($B722="","",ROUND(IFERROR(IF($D722="周转打冷",N(INDEX(对接源_01入库吨位!$H$5:$H$304,MATCH(INT((ROW()-5)/3)+1,对接源_01入库吨位!$S$5:$S$304,0))),IF($D722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2" s="122" t="str">
        <f t="shared" si="90"/>
        <v/>
      </c>
      <c r="H722" s="43"/>
      <c r="I722" s="107"/>
      <c r="J722" s="123" t="str">
        <f t="shared" si="91"/>
        <v/>
      </c>
      <c r="K722" s="76" t="str">
        <f t="shared" si="92"/>
        <v/>
      </c>
      <c r="L722" s="43"/>
      <c r="M722" s="7"/>
      <c r="N722" s="106"/>
      <c r="R722" s="3" t="str">
        <f t="shared" si="93"/>
        <v/>
      </c>
      <c r="S722" s="3">
        <f t="shared" si="94"/>
        <v>0</v>
      </c>
      <c r="T722" s="3">
        <f t="shared" si="95"/>
        <v>13</v>
      </c>
    </row>
    <row r="723" spans="1:20">
      <c r="A723" s="74" t="str">
        <f t="shared" si="88"/>
        <v/>
      </c>
      <c r="B723" s="75" t="str">
        <f>IFERROR(INDEX(对接源_01入库吨位!$B$5:$B$304,MATCH(INT((ROW()-5)/3)+1,对接源_01入库吨位!$S$5:$S$304,0)),"")</f>
        <v/>
      </c>
      <c r="C723" s="75" t="str">
        <f>IFERROR(INDEX(对接源_01入库吨位!$C$5:$C$304,MATCH(INT((ROW()-5)/3)+1,对接源_01入库吨位!$S$5:$S$304,0)),"")</f>
        <v/>
      </c>
      <c r="D723" s="89" t="str">
        <f t="shared" si="89"/>
        <v/>
      </c>
      <c r="E723" s="42" t="str">
        <f>IF($B723="","",IFERROR(IF($D723="周转打冷",N(INDEX(对接源_01入库吨位!$D$5:$D$304,MATCH(INT((ROW()-5)/3)+1,对接源_01入库吨位!$S$5:$S$304,0))),IF($D723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3" s="76" t="str">
        <f>IF($B723="","",ROUND(IFERROR(IF($D723="周转打冷",N(INDEX(对接源_01入库吨位!$H$5:$H$304,MATCH(INT((ROW()-5)/3)+1,对接源_01入库吨位!$S$5:$S$304,0))),IF($D723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3" s="122" t="str">
        <f t="shared" si="90"/>
        <v/>
      </c>
      <c r="H723" s="43"/>
      <c r="I723" s="107"/>
      <c r="J723" s="123" t="str">
        <f t="shared" si="91"/>
        <v/>
      </c>
      <c r="K723" s="76" t="str">
        <f t="shared" si="92"/>
        <v/>
      </c>
      <c r="L723" s="43"/>
      <c r="M723" s="7"/>
      <c r="N723" s="106"/>
      <c r="R723" s="3" t="str">
        <f t="shared" si="93"/>
        <v/>
      </c>
      <c r="S723" s="3">
        <f t="shared" si="94"/>
        <v>0</v>
      </c>
      <c r="T723" s="3">
        <f t="shared" si="95"/>
        <v>13</v>
      </c>
    </row>
    <row r="724" spans="1:20">
      <c r="A724" s="74" t="str">
        <f t="shared" si="88"/>
        <v/>
      </c>
      <c r="B724" s="75" t="str">
        <f>IFERROR(INDEX(对接源_01入库吨位!$B$5:$B$304,MATCH(INT((ROW()-5)/3)+1,对接源_01入库吨位!$S$5:$S$304,0)),"")</f>
        <v/>
      </c>
      <c r="C724" s="75" t="str">
        <f>IFERROR(INDEX(对接源_01入库吨位!$C$5:$C$304,MATCH(INT((ROW()-5)/3)+1,对接源_01入库吨位!$S$5:$S$304,0)),"")</f>
        <v/>
      </c>
      <c r="D724" s="89" t="str">
        <f t="shared" si="89"/>
        <v/>
      </c>
      <c r="E724" s="42" t="str">
        <f>IF($B724="","",IFERROR(IF($D724="周转打冷",N(INDEX(对接源_01入库吨位!$D$5:$D$304,MATCH(INT((ROW()-5)/3)+1,对接源_01入库吨位!$S$5:$S$304,0))),IF($D724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4" s="76" t="str">
        <f>IF($B724="","",ROUND(IFERROR(IF($D724="周转打冷",N(INDEX(对接源_01入库吨位!$H$5:$H$304,MATCH(INT((ROW()-5)/3)+1,对接源_01入库吨位!$S$5:$S$304,0))),IF($D724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4" s="122" t="str">
        <f t="shared" si="90"/>
        <v/>
      </c>
      <c r="H724" s="43"/>
      <c r="I724" s="107"/>
      <c r="J724" s="123" t="str">
        <f t="shared" si="91"/>
        <v/>
      </c>
      <c r="K724" s="76" t="str">
        <f t="shared" si="92"/>
        <v/>
      </c>
      <c r="L724" s="43"/>
      <c r="M724" s="7"/>
      <c r="N724" s="106"/>
      <c r="R724" s="3" t="str">
        <f t="shared" si="93"/>
        <v/>
      </c>
      <c r="S724" s="3">
        <f t="shared" si="94"/>
        <v>0</v>
      </c>
      <c r="T724" s="3">
        <f t="shared" si="95"/>
        <v>13</v>
      </c>
    </row>
    <row r="725" spans="1:20">
      <c r="A725" s="74" t="str">
        <f t="shared" si="88"/>
        <v/>
      </c>
      <c r="B725" s="75" t="str">
        <f>IFERROR(INDEX(对接源_01入库吨位!$B$5:$B$304,MATCH(INT((ROW()-5)/3)+1,对接源_01入库吨位!$S$5:$S$304,0)),"")</f>
        <v/>
      </c>
      <c r="C725" s="75" t="str">
        <f>IFERROR(INDEX(对接源_01入库吨位!$C$5:$C$304,MATCH(INT((ROW()-5)/3)+1,对接源_01入库吨位!$S$5:$S$304,0)),"")</f>
        <v/>
      </c>
      <c r="D725" s="89" t="str">
        <f t="shared" si="89"/>
        <v/>
      </c>
      <c r="E725" s="42" t="str">
        <f>IF($B725="","",IFERROR(IF($D725="周转打冷",N(INDEX(对接源_01入库吨位!$D$5:$D$304,MATCH(INT((ROW()-5)/3)+1,对接源_01入库吨位!$S$5:$S$304,0))),IF($D725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5" s="76" t="str">
        <f>IF($B725="","",ROUND(IFERROR(IF($D725="周转打冷",N(INDEX(对接源_01入库吨位!$H$5:$H$304,MATCH(INT((ROW()-5)/3)+1,对接源_01入库吨位!$S$5:$S$304,0))),IF($D725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5" s="122" t="str">
        <f t="shared" si="90"/>
        <v/>
      </c>
      <c r="H725" s="43"/>
      <c r="I725" s="107"/>
      <c r="J725" s="123" t="str">
        <f t="shared" si="91"/>
        <v/>
      </c>
      <c r="K725" s="76" t="str">
        <f t="shared" si="92"/>
        <v/>
      </c>
      <c r="L725" s="43"/>
      <c r="M725" s="7"/>
      <c r="N725" s="106"/>
      <c r="R725" s="3" t="str">
        <f t="shared" si="93"/>
        <v/>
      </c>
      <c r="S725" s="3">
        <f t="shared" si="94"/>
        <v>0</v>
      </c>
      <c r="T725" s="3">
        <f t="shared" si="95"/>
        <v>13</v>
      </c>
    </row>
    <row r="726" spans="1:20">
      <c r="A726" s="74" t="str">
        <f t="shared" si="88"/>
        <v/>
      </c>
      <c r="B726" s="75" t="str">
        <f>IFERROR(INDEX(对接源_01入库吨位!$B$5:$B$304,MATCH(INT((ROW()-5)/3)+1,对接源_01入库吨位!$S$5:$S$304,0)),"")</f>
        <v/>
      </c>
      <c r="C726" s="75" t="str">
        <f>IFERROR(INDEX(对接源_01入库吨位!$C$5:$C$304,MATCH(INT((ROW()-5)/3)+1,对接源_01入库吨位!$S$5:$S$304,0)),"")</f>
        <v/>
      </c>
      <c r="D726" s="89" t="str">
        <f t="shared" si="89"/>
        <v/>
      </c>
      <c r="E726" s="42" t="str">
        <f>IF($B726="","",IFERROR(IF($D726="周转打冷",N(INDEX(对接源_01入库吨位!$D$5:$D$304,MATCH(INT((ROW()-5)/3)+1,对接源_01入库吨位!$S$5:$S$304,0))),IF($D726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6" s="76" t="str">
        <f>IF($B726="","",ROUND(IFERROR(IF($D726="周转打冷",N(INDEX(对接源_01入库吨位!$H$5:$H$304,MATCH(INT((ROW()-5)/3)+1,对接源_01入库吨位!$S$5:$S$304,0))),IF($D726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6" s="122" t="str">
        <f t="shared" si="90"/>
        <v/>
      </c>
      <c r="H726" s="43"/>
      <c r="I726" s="107"/>
      <c r="J726" s="123" t="str">
        <f t="shared" si="91"/>
        <v/>
      </c>
      <c r="K726" s="76" t="str">
        <f t="shared" si="92"/>
        <v/>
      </c>
      <c r="L726" s="43"/>
      <c r="M726" s="7"/>
      <c r="N726" s="106"/>
      <c r="R726" s="3" t="str">
        <f t="shared" si="93"/>
        <v/>
      </c>
      <c r="S726" s="3">
        <f t="shared" si="94"/>
        <v>0</v>
      </c>
      <c r="T726" s="3">
        <f t="shared" si="95"/>
        <v>13</v>
      </c>
    </row>
    <row r="727" spans="1:20">
      <c r="A727" s="74" t="str">
        <f t="shared" si="88"/>
        <v/>
      </c>
      <c r="B727" s="75" t="str">
        <f>IFERROR(INDEX(对接源_01入库吨位!$B$5:$B$304,MATCH(INT((ROW()-5)/3)+1,对接源_01入库吨位!$S$5:$S$304,0)),"")</f>
        <v/>
      </c>
      <c r="C727" s="75" t="str">
        <f>IFERROR(INDEX(对接源_01入库吨位!$C$5:$C$304,MATCH(INT((ROW()-5)/3)+1,对接源_01入库吨位!$S$5:$S$304,0)),"")</f>
        <v/>
      </c>
      <c r="D727" s="89" t="str">
        <f t="shared" si="89"/>
        <v/>
      </c>
      <c r="E727" s="42" t="str">
        <f>IF($B727="","",IFERROR(IF($D727="周转打冷",N(INDEX(对接源_01入库吨位!$D$5:$D$304,MATCH(INT((ROW()-5)/3)+1,对接源_01入库吨位!$S$5:$S$304,0))),IF($D727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7" s="76" t="str">
        <f>IF($B727="","",ROUND(IFERROR(IF($D727="周转打冷",N(INDEX(对接源_01入库吨位!$H$5:$H$304,MATCH(INT((ROW()-5)/3)+1,对接源_01入库吨位!$S$5:$S$304,0))),IF($D727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7" s="122" t="str">
        <f t="shared" si="90"/>
        <v/>
      </c>
      <c r="H727" s="43"/>
      <c r="I727" s="107"/>
      <c r="J727" s="123" t="str">
        <f t="shared" si="91"/>
        <v/>
      </c>
      <c r="K727" s="76" t="str">
        <f t="shared" si="92"/>
        <v/>
      </c>
      <c r="L727" s="43"/>
      <c r="M727" s="7"/>
      <c r="N727" s="106"/>
      <c r="R727" s="3" t="str">
        <f t="shared" si="93"/>
        <v/>
      </c>
      <c r="S727" s="3">
        <f t="shared" si="94"/>
        <v>0</v>
      </c>
      <c r="T727" s="3">
        <f t="shared" si="95"/>
        <v>13</v>
      </c>
    </row>
    <row r="728" spans="1:20">
      <c r="A728" s="74" t="str">
        <f t="shared" si="88"/>
        <v/>
      </c>
      <c r="B728" s="75" t="str">
        <f>IFERROR(INDEX(对接源_01入库吨位!$B$5:$B$304,MATCH(INT((ROW()-5)/3)+1,对接源_01入库吨位!$S$5:$S$304,0)),"")</f>
        <v/>
      </c>
      <c r="C728" s="75" t="str">
        <f>IFERROR(INDEX(对接源_01入库吨位!$C$5:$C$304,MATCH(INT((ROW()-5)/3)+1,对接源_01入库吨位!$S$5:$S$304,0)),"")</f>
        <v/>
      </c>
      <c r="D728" s="89" t="str">
        <f t="shared" si="89"/>
        <v/>
      </c>
      <c r="E728" s="42" t="str">
        <f>IF($B728="","",IFERROR(IF($D728="周转打冷",N(INDEX(对接源_01入库吨位!$D$5:$D$304,MATCH(INT((ROW()-5)/3)+1,对接源_01入库吨位!$S$5:$S$304,0))),IF($D728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8" s="76" t="str">
        <f>IF($B728="","",ROUND(IFERROR(IF($D728="周转打冷",N(INDEX(对接源_01入库吨位!$H$5:$H$304,MATCH(INT((ROW()-5)/3)+1,对接源_01入库吨位!$S$5:$S$304,0))),IF($D728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8" s="122" t="str">
        <f t="shared" si="90"/>
        <v/>
      </c>
      <c r="H728" s="43"/>
      <c r="I728" s="107"/>
      <c r="J728" s="123" t="str">
        <f t="shared" si="91"/>
        <v/>
      </c>
      <c r="K728" s="76" t="str">
        <f t="shared" si="92"/>
        <v/>
      </c>
      <c r="L728" s="43"/>
      <c r="M728" s="7"/>
      <c r="N728" s="106"/>
      <c r="R728" s="3" t="str">
        <f t="shared" si="93"/>
        <v/>
      </c>
      <c r="S728" s="3">
        <f t="shared" si="94"/>
        <v>0</v>
      </c>
      <c r="T728" s="3">
        <f t="shared" si="95"/>
        <v>13</v>
      </c>
    </row>
    <row r="729" spans="1:20">
      <c r="A729" s="74" t="str">
        <f t="shared" si="88"/>
        <v/>
      </c>
      <c r="B729" s="75" t="str">
        <f>IFERROR(INDEX(对接源_01入库吨位!$B$5:$B$304,MATCH(INT((ROW()-5)/3)+1,对接源_01入库吨位!$S$5:$S$304,0)),"")</f>
        <v/>
      </c>
      <c r="C729" s="75" t="str">
        <f>IFERROR(INDEX(对接源_01入库吨位!$C$5:$C$304,MATCH(INT((ROW()-5)/3)+1,对接源_01入库吨位!$S$5:$S$304,0)),"")</f>
        <v/>
      </c>
      <c r="D729" s="89" t="str">
        <f t="shared" si="89"/>
        <v/>
      </c>
      <c r="E729" s="42" t="str">
        <f>IF($B729="","",IFERROR(IF($D729="周转打冷",N(INDEX(对接源_01入库吨位!$D$5:$D$304,MATCH(INT((ROW()-5)/3)+1,对接源_01入库吨位!$S$5:$S$304,0))),IF($D729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9" s="76" t="str">
        <f>IF($B729="","",ROUND(IFERROR(IF($D729="周转打冷",N(INDEX(对接源_01入库吨位!$H$5:$H$304,MATCH(INT((ROW()-5)/3)+1,对接源_01入库吨位!$S$5:$S$304,0))),IF($D729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9" s="122" t="str">
        <f t="shared" si="90"/>
        <v/>
      </c>
      <c r="H729" s="43"/>
      <c r="I729" s="107"/>
      <c r="J729" s="123" t="str">
        <f t="shared" si="91"/>
        <v/>
      </c>
      <c r="K729" s="76" t="str">
        <f t="shared" si="92"/>
        <v/>
      </c>
      <c r="L729" s="43"/>
      <c r="M729" s="7"/>
      <c r="N729" s="106"/>
      <c r="R729" s="3" t="str">
        <f t="shared" si="93"/>
        <v/>
      </c>
      <c r="S729" s="3">
        <f t="shared" si="94"/>
        <v>0</v>
      </c>
      <c r="T729" s="3">
        <f t="shared" si="95"/>
        <v>13</v>
      </c>
    </row>
    <row r="730" spans="1:20">
      <c r="A730" s="74" t="str">
        <f t="shared" si="88"/>
        <v/>
      </c>
      <c r="B730" s="75" t="str">
        <f>IFERROR(INDEX(对接源_01入库吨位!$B$5:$B$304,MATCH(INT((ROW()-5)/3)+1,对接源_01入库吨位!$S$5:$S$304,0)),"")</f>
        <v/>
      </c>
      <c r="C730" s="75" t="str">
        <f>IFERROR(INDEX(对接源_01入库吨位!$C$5:$C$304,MATCH(INT((ROW()-5)/3)+1,对接源_01入库吨位!$S$5:$S$304,0)),"")</f>
        <v/>
      </c>
      <c r="D730" s="89" t="str">
        <f t="shared" si="89"/>
        <v/>
      </c>
      <c r="E730" s="42" t="str">
        <f>IF($B730="","",IFERROR(IF($D730="周转打冷",N(INDEX(对接源_01入库吨位!$D$5:$D$304,MATCH(INT((ROW()-5)/3)+1,对接源_01入库吨位!$S$5:$S$304,0))),IF($D730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0" s="76" t="str">
        <f>IF($B730="","",ROUND(IFERROR(IF($D730="周转打冷",N(INDEX(对接源_01入库吨位!$H$5:$H$304,MATCH(INT((ROW()-5)/3)+1,对接源_01入库吨位!$S$5:$S$304,0))),IF($D730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0" s="122" t="str">
        <f t="shared" si="90"/>
        <v/>
      </c>
      <c r="H730" s="43"/>
      <c r="I730" s="107"/>
      <c r="J730" s="123" t="str">
        <f t="shared" si="91"/>
        <v/>
      </c>
      <c r="K730" s="76" t="str">
        <f t="shared" si="92"/>
        <v/>
      </c>
      <c r="L730" s="43"/>
      <c r="M730" s="7"/>
      <c r="N730" s="106"/>
      <c r="R730" s="3" t="str">
        <f t="shared" si="93"/>
        <v/>
      </c>
      <c r="S730" s="3">
        <f t="shared" si="94"/>
        <v>0</v>
      </c>
      <c r="T730" s="3">
        <f t="shared" si="95"/>
        <v>13</v>
      </c>
    </row>
    <row r="731" spans="1:20">
      <c r="A731" s="74" t="str">
        <f t="shared" si="88"/>
        <v/>
      </c>
      <c r="B731" s="75" t="str">
        <f>IFERROR(INDEX(对接源_01入库吨位!$B$5:$B$304,MATCH(INT((ROW()-5)/3)+1,对接源_01入库吨位!$S$5:$S$304,0)),"")</f>
        <v/>
      </c>
      <c r="C731" s="75" t="str">
        <f>IFERROR(INDEX(对接源_01入库吨位!$C$5:$C$304,MATCH(INT((ROW()-5)/3)+1,对接源_01入库吨位!$S$5:$S$304,0)),"")</f>
        <v/>
      </c>
      <c r="D731" s="89" t="str">
        <f t="shared" si="89"/>
        <v/>
      </c>
      <c r="E731" s="42" t="str">
        <f>IF($B731="","",IFERROR(IF($D731="周转打冷",N(INDEX(对接源_01入库吨位!$D$5:$D$304,MATCH(INT((ROW()-5)/3)+1,对接源_01入库吨位!$S$5:$S$304,0))),IF($D731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1" s="76" t="str">
        <f>IF($B731="","",ROUND(IFERROR(IF($D731="周转打冷",N(INDEX(对接源_01入库吨位!$H$5:$H$304,MATCH(INT((ROW()-5)/3)+1,对接源_01入库吨位!$S$5:$S$304,0))),IF($D731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1" s="122" t="str">
        <f t="shared" si="90"/>
        <v/>
      </c>
      <c r="H731" s="43"/>
      <c r="I731" s="107"/>
      <c r="J731" s="123" t="str">
        <f t="shared" si="91"/>
        <v/>
      </c>
      <c r="K731" s="76" t="str">
        <f t="shared" si="92"/>
        <v/>
      </c>
      <c r="L731" s="43"/>
      <c r="M731" s="7"/>
      <c r="N731" s="106"/>
      <c r="R731" s="3" t="str">
        <f t="shared" si="93"/>
        <v/>
      </c>
      <c r="S731" s="3">
        <f t="shared" si="94"/>
        <v>0</v>
      </c>
      <c r="T731" s="3">
        <f t="shared" si="95"/>
        <v>13</v>
      </c>
    </row>
    <row r="732" spans="1:20">
      <c r="A732" s="74" t="str">
        <f t="shared" si="88"/>
        <v/>
      </c>
      <c r="B732" s="75" t="str">
        <f>IFERROR(INDEX(对接源_01入库吨位!$B$5:$B$304,MATCH(INT((ROW()-5)/3)+1,对接源_01入库吨位!$S$5:$S$304,0)),"")</f>
        <v/>
      </c>
      <c r="C732" s="75" t="str">
        <f>IFERROR(INDEX(对接源_01入库吨位!$C$5:$C$304,MATCH(INT((ROW()-5)/3)+1,对接源_01入库吨位!$S$5:$S$304,0)),"")</f>
        <v/>
      </c>
      <c r="D732" s="89" t="str">
        <f t="shared" si="89"/>
        <v/>
      </c>
      <c r="E732" s="42" t="str">
        <f>IF($B732="","",IFERROR(IF($D732="周转打冷",N(INDEX(对接源_01入库吨位!$D$5:$D$304,MATCH(INT((ROW()-5)/3)+1,对接源_01入库吨位!$S$5:$S$304,0))),IF($D732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2" s="76" t="str">
        <f>IF($B732="","",ROUND(IFERROR(IF($D732="周转打冷",N(INDEX(对接源_01入库吨位!$H$5:$H$304,MATCH(INT((ROW()-5)/3)+1,对接源_01入库吨位!$S$5:$S$304,0))),IF($D732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2" s="122" t="str">
        <f t="shared" si="90"/>
        <v/>
      </c>
      <c r="H732" s="43"/>
      <c r="I732" s="107"/>
      <c r="J732" s="123" t="str">
        <f t="shared" si="91"/>
        <v/>
      </c>
      <c r="K732" s="76" t="str">
        <f t="shared" si="92"/>
        <v/>
      </c>
      <c r="L732" s="43"/>
      <c r="M732" s="7"/>
      <c r="N732" s="106"/>
      <c r="R732" s="3" t="str">
        <f t="shared" si="93"/>
        <v/>
      </c>
      <c r="S732" s="3">
        <f t="shared" si="94"/>
        <v>0</v>
      </c>
      <c r="T732" s="3">
        <f t="shared" si="95"/>
        <v>13</v>
      </c>
    </row>
    <row r="733" spans="1:20">
      <c r="A733" s="74" t="str">
        <f t="shared" si="88"/>
        <v/>
      </c>
      <c r="B733" s="75" t="str">
        <f>IFERROR(INDEX(对接源_01入库吨位!$B$5:$B$304,MATCH(INT((ROW()-5)/3)+1,对接源_01入库吨位!$S$5:$S$304,0)),"")</f>
        <v/>
      </c>
      <c r="C733" s="75" t="str">
        <f>IFERROR(INDEX(对接源_01入库吨位!$C$5:$C$304,MATCH(INT((ROW()-5)/3)+1,对接源_01入库吨位!$S$5:$S$304,0)),"")</f>
        <v/>
      </c>
      <c r="D733" s="89" t="str">
        <f t="shared" si="89"/>
        <v/>
      </c>
      <c r="E733" s="42" t="str">
        <f>IF($B733="","",IFERROR(IF($D733="周转打冷",N(INDEX(对接源_01入库吨位!$D$5:$D$304,MATCH(INT((ROW()-5)/3)+1,对接源_01入库吨位!$S$5:$S$304,0))),IF($D733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3" s="76" t="str">
        <f>IF($B733="","",ROUND(IFERROR(IF($D733="周转打冷",N(INDEX(对接源_01入库吨位!$H$5:$H$304,MATCH(INT((ROW()-5)/3)+1,对接源_01入库吨位!$S$5:$S$304,0))),IF($D733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3" s="122" t="str">
        <f t="shared" si="90"/>
        <v/>
      </c>
      <c r="H733" s="43"/>
      <c r="I733" s="107"/>
      <c r="J733" s="123" t="str">
        <f t="shared" si="91"/>
        <v/>
      </c>
      <c r="K733" s="76" t="str">
        <f t="shared" si="92"/>
        <v/>
      </c>
      <c r="L733" s="43"/>
      <c r="M733" s="7"/>
      <c r="N733" s="106"/>
      <c r="R733" s="3" t="str">
        <f t="shared" si="93"/>
        <v/>
      </c>
      <c r="S733" s="3">
        <f t="shared" si="94"/>
        <v>0</v>
      </c>
      <c r="T733" s="3">
        <f t="shared" si="95"/>
        <v>13</v>
      </c>
    </row>
    <row r="734" spans="1:20">
      <c r="A734" s="74" t="str">
        <f t="shared" si="88"/>
        <v/>
      </c>
      <c r="B734" s="75" t="str">
        <f>IFERROR(INDEX(对接源_01入库吨位!$B$5:$B$304,MATCH(INT((ROW()-5)/3)+1,对接源_01入库吨位!$S$5:$S$304,0)),"")</f>
        <v/>
      </c>
      <c r="C734" s="75" t="str">
        <f>IFERROR(INDEX(对接源_01入库吨位!$C$5:$C$304,MATCH(INT((ROW()-5)/3)+1,对接源_01入库吨位!$S$5:$S$304,0)),"")</f>
        <v/>
      </c>
      <c r="D734" s="89" t="str">
        <f t="shared" si="89"/>
        <v/>
      </c>
      <c r="E734" s="42" t="str">
        <f>IF($B734="","",IFERROR(IF($D734="周转打冷",N(INDEX(对接源_01入库吨位!$D$5:$D$304,MATCH(INT((ROW()-5)/3)+1,对接源_01入库吨位!$S$5:$S$304,0))),IF($D734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4" s="76" t="str">
        <f>IF($B734="","",ROUND(IFERROR(IF($D734="周转打冷",N(INDEX(对接源_01入库吨位!$H$5:$H$304,MATCH(INT((ROW()-5)/3)+1,对接源_01入库吨位!$S$5:$S$304,0))),IF($D734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4" s="122" t="str">
        <f t="shared" si="90"/>
        <v/>
      </c>
      <c r="H734" s="43"/>
      <c r="I734" s="107"/>
      <c r="J734" s="123" t="str">
        <f t="shared" si="91"/>
        <v/>
      </c>
      <c r="K734" s="76" t="str">
        <f t="shared" si="92"/>
        <v/>
      </c>
      <c r="L734" s="43"/>
      <c r="M734" s="7"/>
      <c r="N734" s="106"/>
      <c r="R734" s="3" t="str">
        <f t="shared" si="93"/>
        <v/>
      </c>
      <c r="S734" s="3">
        <f t="shared" si="94"/>
        <v>0</v>
      </c>
      <c r="T734" s="3">
        <f t="shared" si="95"/>
        <v>13</v>
      </c>
    </row>
    <row r="735" spans="1:20">
      <c r="A735" s="74" t="str">
        <f t="shared" si="88"/>
        <v/>
      </c>
      <c r="B735" s="75" t="str">
        <f>IFERROR(INDEX(对接源_01入库吨位!$B$5:$B$304,MATCH(INT((ROW()-5)/3)+1,对接源_01入库吨位!$S$5:$S$304,0)),"")</f>
        <v/>
      </c>
      <c r="C735" s="75" t="str">
        <f>IFERROR(INDEX(对接源_01入库吨位!$C$5:$C$304,MATCH(INT((ROW()-5)/3)+1,对接源_01入库吨位!$S$5:$S$304,0)),"")</f>
        <v/>
      </c>
      <c r="D735" s="89" t="str">
        <f t="shared" si="89"/>
        <v/>
      </c>
      <c r="E735" s="42" t="str">
        <f>IF($B735="","",IFERROR(IF($D735="周转打冷",N(INDEX(对接源_01入库吨位!$D$5:$D$304,MATCH(INT((ROW()-5)/3)+1,对接源_01入库吨位!$S$5:$S$304,0))),IF($D735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5" s="76" t="str">
        <f>IF($B735="","",ROUND(IFERROR(IF($D735="周转打冷",N(INDEX(对接源_01入库吨位!$H$5:$H$304,MATCH(INT((ROW()-5)/3)+1,对接源_01入库吨位!$S$5:$S$304,0))),IF($D735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5" s="122" t="str">
        <f t="shared" si="90"/>
        <v/>
      </c>
      <c r="H735" s="43"/>
      <c r="I735" s="107"/>
      <c r="J735" s="123" t="str">
        <f t="shared" si="91"/>
        <v/>
      </c>
      <c r="K735" s="76" t="str">
        <f t="shared" si="92"/>
        <v/>
      </c>
      <c r="L735" s="43"/>
      <c r="M735" s="7"/>
      <c r="N735" s="106"/>
      <c r="R735" s="3" t="str">
        <f t="shared" si="93"/>
        <v/>
      </c>
      <c r="S735" s="3">
        <f t="shared" si="94"/>
        <v>0</v>
      </c>
      <c r="T735" s="3">
        <f t="shared" si="95"/>
        <v>13</v>
      </c>
    </row>
    <row r="736" spans="1:20">
      <c r="A736" s="74" t="str">
        <f t="shared" si="88"/>
        <v/>
      </c>
      <c r="B736" s="75" t="str">
        <f>IFERROR(INDEX(对接源_01入库吨位!$B$5:$B$304,MATCH(INT((ROW()-5)/3)+1,对接源_01入库吨位!$S$5:$S$304,0)),"")</f>
        <v/>
      </c>
      <c r="C736" s="75" t="str">
        <f>IFERROR(INDEX(对接源_01入库吨位!$C$5:$C$304,MATCH(INT((ROW()-5)/3)+1,对接源_01入库吨位!$S$5:$S$304,0)),"")</f>
        <v/>
      </c>
      <c r="D736" s="89" t="str">
        <f t="shared" si="89"/>
        <v/>
      </c>
      <c r="E736" s="42" t="str">
        <f>IF($B736="","",IFERROR(IF($D736="周转打冷",N(INDEX(对接源_01入库吨位!$D$5:$D$304,MATCH(INT((ROW()-5)/3)+1,对接源_01入库吨位!$S$5:$S$304,0))),IF($D736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6" s="76" t="str">
        <f>IF($B736="","",ROUND(IFERROR(IF($D736="周转打冷",N(INDEX(对接源_01入库吨位!$H$5:$H$304,MATCH(INT((ROW()-5)/3)+1,对接源_01入库吨位!$S$5:$S$304,0))),IF($D736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6" s="122" t="str">
        <f t="shared" si="90"/>
        <v/>
      </c>
      <c r="H736" s="43"/>
      <c r="I736" s="107"/>
      <c r="J736" s="123" t="str">
        <f t="shared" si="91"/>
        <v/>
      </c>
      <c r="K736" s="76" t="str">
        <f t="shared" si="92"/>
        <v/>
      </c>
      <c r="L736" s="43"/>
      <c r="M736" s="7"/>
      <c r="N736" s="106"/>
      <c r="R736" s="3" t="str">
        <f t="shared" si="93"/>
        <v/>
      </c>
      <c r="S736" s="3">
        <f t="shared" si="94"/>
        <v>0</v>
      </c>
      <c r="T736" s="3">
        <f t="shared" si="95"/>
        <v>13</v>
      </c>
    </row>
    <row r="737" spans="1:20">
      <c r="A737" s="74" t="str">
        <f t="shared" si="88"/>
        <v/>
      </c>
      <c r="B737" s="75" t="str">
        <f>IFERROR(INDEX(对接源_01入库吨位!$B$5:$B$304,MATCH(INT((ROW()-5)/3)+1,对接源_01入库吨位!$S$5:$S$304,0)),"")</f>
        <v/>
      </c>
      <c r="C737" s="75" t="str">
        <f>IFERROR(INDEX(对接源_01入库吨位!$C$5:$C$304,MATCH(INT((ROW()-5)/3)+1,对接源_01入库吨位!$S$5:$S$304,0)),"")</f>
        <v/>
      </c>
      <c r="D737" s="89" t="str">
        <f t="shared" si="89"/>
        <v/>
      </c>
      <c r="E737" s="42" t="str">
        <f>IF($B737="","",IFERROR(IF($D737="周转打冷",N(INDEX(对接源_01入库吨位!$D$5:$D$304,MATCH(INT((ROW()-5)/3)+1,对接源_01入库吨位!$S$5:$S$304,0))),IF($D737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7" s="76" t="str">
        <f>IF($B737="","",ROUND(IFERROR(IF($D737="周转打冷",N(INDEX(对接源_01入库吨位!$H$5:$H$304,MATCH(INT((ROW()-5)/3)+1,对接源_01入库吨位!$S$5:$S$304,0))),IF($D737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7" s="122" t="str">
        <f t="shared" si="90"/>
        <v/>
      </c>
      <c r="H737" s="43"/>
      <c r="I737" s="107"/>
      <c r="J737" s="123" t="str">
        <f t="shared" si="91"/>
        <v/>
      </c>
      <c r="K737" s="76" t="str">
        <f t="shared" si="92"/>
        <v/>
      </c>
      <c r="L737" s="43"/>
      <c r="M737" s="7"/>
      <c r="N737" s="106"/>
      <c r="R737" s="3" t="str">
        <f t="shared" si="93"/>
        <v/>
      </c>
      <c r="S737" s="3">
        <f t="shared" si="94"/>
        <v>0</v>
      </c>
      <c r="T737" s="3">
        <f t="shared" si="95"/>
        <v>13</v>
      </c>
    </row>
    <row r="738" spans="1:20">
      <c r="A738" s="74" t="str">
        <f t="shared" si="88"/>
        <v/>
      </c>
      <c r="B738" s="75" t="str">
        <f>IFERROR(INDEX(对接源_01入库吨位!$B$5:$B$304,MATCH(INT((ROW()-5)/3)+1,对接源_01入库吨位!$S$5:$S$304,0)),"")</f>
        <v/>
      </c>
      <c r="C738" s="75" t="str">
        <f>IFERROR(INDEX(对接源_01入库吨位!$C$5:$C$304,MATCH(INT((ROW()-5)/3)+1,对接源_01入库吨位!$S$5:$S$304,0)),"")</f>
        <v/>
      </c>
      <c r="D738" s="89" t="str">
        <f t="shared" si="89"/>
        <v/>
      </c>
      <c r="E738" s="42" t="str">
        <f>IF($B738="","",IFERROR(IF($D738="周转打冷",N(INDEX(对接源_01入库吨位!$D$5:$D$304,MATCH(INT((ROW()-5)/3)+1,对接源_01入库吨位!$S$5:$S$304,0))),IF($D738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8" s="76" t="str">
        <f>IF($B738="","",ROUND(IFERROR(IF($D738="周转打冷",N(INDEX(对接源_01入库吨位!$H$5:$H$304,MATCH(INT((ROW()-5)/3)+1,对接源_01入库吨位!$S$5:$S$304,0))),IF($D738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8" s="122" t="str">
        <f t="shared" si="90"/>
        <v/>
      </c>
      <c r="H738" s="43"/>
      <c r="I738" s="107"/>
      <c r="J738" s="123" t="str">
        <f t="shared" si="91"/>
        <v/>
      </c>
      <c r="K738" s="76" t="str">
        <f t="shared" si="92"/>
        <v/>
      </c>
      <c r="L738" s="43"/>
      <c r="M738" s="7"/>
      <c r="N738" s="106"/>
      <c r="R738" s="3" t="str">
        <f t="shared" si="93"/>
        <v/>
      </c>
      <c r="S738" s="3">
        <f t="shared" si="94"/>
        <v>0</v>
      </c>
      <c r="T738" s="3">
        <f t="shared" si="95"/>
        <v>13</v>
      </c>
    </row>
    <row r="739" spans="1:20">
      <c r="A739" s="74" t="str">
        <f t="shared" si="88"/>
        <v/>
      </c>
      <c r="B739" s="75" t="str">
        <f>IFERROR(INDEX(对接源_01入库吨位!$B$5:$B$304,MATCH(INT((ROW()-5)/3)+1,对接源_01入库吨位!$S$5:$S$304,0)),"")</f>
        <v/>
      </c>
      <c r="C739" s="75" t="str">
        <f>IFERROR(INDEX(对接源_01入库吨位!$C$5:$C$304,MATCH(INT((ROW()-5)/3)+1,对接源_01入库吨位!$S$5:$S$304,0)),"")</f>
        <v/>
      </c>
      <c r="D739" s="89" t="str">
        <f t="shared" si="89"/>
        <v/>
      </c>
      <c r="E739" s="42" t="str">
        <f>IF($B739="","",IFERROR(IF($D739="周转打冷",N(INDEX(对接源_01入库吨位!$D$5:$D$304,MATCH(INT((ROW()-5)/3)+1,对接源_01入库吨位!$S$5:$S$304,0))),IF($D739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9" s="76" t="str">
        <f>IF($B739="","",ROUND(IFERROR(IF($D739="周转打冷",N(INDEX(对接源_01入库吨位!$H$5:$H$304,MATCH(INT((ROW()-5)/3)+1,对接源_01入库吨位!$S$5:$S$304,0))),IF($D739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9" s="122" t="str">
        <f t="shared" si="90"/>
        <v/>
      </c>
      <c r="H739" s="43"/>
      <c r="I739" s="107"/>
      <c r="J739" s="123" t="str">
        <f t="shared" si="91"/>
        <v/>
      </c>
      <c r="K739" s="76" t="str">
        <f t="shared" si="92"/>
        <v/>
      </c>
      <c r="L739" s="43"/>
      <c r="M739" s="7"/>
      <c r="N739" s="106"/>
      <c r="R739" s="3" t="str">
        <f t="shared" si="93"/>
        <v/>
      </c>
      <c r="S739" s="3">
        <f t="shared" si="94"/>
        <v>0</v>
      </c>
      <c r="T739" s="3">
        <f t="shared" si="95"/>
        <v>13</v>
      </c>
    </row>
    <row r="740" spans="1:20">
      <c r="A740" s="74" t="str">
        <f t="shared" si="88"/>
        <v/>
      </c>
      <c r="B740" s="75" t="str">
        <f>IFERROR(INDEX(对接源_01入库吨位!$B$5:$B$304,MATCH(INT((ROW()-5)/3)+1,对接源_01入库吨位!$S$5:$S$304,0)),"")</f>
        <v/>
      </c>
      <c r="C740" s="75" t="str">
        <f>IFERROR(INDEX(对接源_01入库吨位!$C$5:$C$304,MATCH(INT((ROW()-5)/3)+1,对接源_01入库吨位!$S$5:$S$304,0)),"")</f>
        <v/>
      </c>
      <c r="D740" s="89" t="str">
        <f t="shared" si="89"/>
        <v/>
      </c>
      <c r="E740" s="42" t="str">
        <f>IF($B740="","",IFERROR(IF($D740="周转打冷",N(INDEX(对接源_01入库吨位!$D$5:$D$304,MATCH(INT((ROW()-5)/3)+1,对接源_01入库吨位!$S$5:$S$304,0))),IF($D740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0" s="76" t="str">
        <f>IF($B740="","",ROUND(IFERROR(IF($D740="周转打冷",N(INDEX(对接源_01入库吨位!$H$5:$H$304,MATCH(INT((ROW()-5)/3)+1,对接源_01入库吨位!$S$5:$S$304,0))),IF($D740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0" s="122" t="str">
        <f t="shared" si="90"/>
        <v/>
      </c>
      <c r="H740" s="43"/>
      <c r="I740" s="107"/>
      <c r="J740" s="123" t="str">
        <f t="shared" si="91"/>
        <v/>
      </c>
      <c r="K740" s="76" t="str">
        <f t="shared" si="92"/>
        <v/>
      </c>
      <c r="L740" s="43"/>
      <c r="M740" s="7"/>
      <c r="N740" s="106"/>
      <c r="R740" s="3" t="str">
        <f t="shared" si="93"/>
        <v/>
      </c>
      <c r="S740" s="3">
        <f t="shared" si="94"/>
        <v>0</v>
      </c>
      <c r="T740" s="3">
        <f t="shared" si="95"/>
        <v>13</v>
      </c>
    </row>
    <row r="741" spans="1:20">
      <c r="A741" s="74" t="str">
        <f t="shared" si="88"/>
        <v/>
      </c>
      <c r="B741" s="75" t="str">
        <f>IFERROR(INDEX(对接源_01入库吨位!$B$5:$B$304,MATCH(INT((ROW()-5)/3)+1,对接源_01入库吨位!$S$5:$S$304,0)),"")</f>
        <v/>
      </c>
      <c r="C741" s="75" t="str">
        <f>IFERROR(INDEX(对接源_01入库吨位!$C$5:$C$304,MATCH(INT((ROW()-5)/3)+1,对接源_01入库吨位!$S$5:$S$304,0)),"")</f>
        <v/>
      </c>
      <c r="D741" s="89" t="str">
        <f t="shared" si="89"/>
        <v/>
      </c>
      <c r="E741" s="42" t="str">
        <f>IF($B741="","",IFERROR(IF($D741="周转打冷",N(INDEX(对接源_01入库吨位!$D$5:$D$304,MATCH(INT((ROW()-5)/3)+1,对接源_01入库吨位!$S$5:$S$304,0))),IF($D741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1" s="76" t="str">
        <f>IF($B741="","",ROUND(IFERROR(IF($D741="周转打冷",N(INDEX(对接源_01入库吨位!$H$5:$H$304,MATCH(INT((ROW()-5)/3)+1,对接源_01入库吨位!$S$5:$S$304,0))),IF($D741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1" s="122" t="str">
        <f t="shared" si="90"/>
        <v/>
      </c>
      <c r="H741" s="43"/>
      <c r="I741" s="107"/>
      <c r="J741" s="123" t="str">
        <f t="shared" si="91"/>
        <v/>
      </c>
      <c r="K741" s="76" t="str">
        <f t="shared" si="92"/>
        <v/>
      </c>
      <c r="L741" s="43"/>
      <c r="M741" s="7"/>
      <c r="N741" s="106"/>
      <c r="R741" s="3" t="str">
        <f t="shared" si="93"/>
        <v/>
      </c>
      <c r="S741" s="3">
        <f t="shared" si="94"/>
        <v>0</v>
      </c>
      <c r="T741" s="3">
        <f t="shared" si="95"/>
        <v>13</v>
      </c>
    </row>
    <row r="742" spans="1:20">
      <c r="A742" s="74" t="str">
        <f t="shared" si="88"/>
        <v/>
      </c>
      <c r="B742" s="75" t="str">
        <f>IFERROR(INDEX(对接源_01入库吨位!$B$5:$B$304,MATCH(INT((ROW()-5)/3)+1,对接源_01入库吨位!$S$5:$S$304,0)),"")</f>
        <v/>
      </c>
      <c r="C742" s="75" t="str">
        <f>IFERROR(INDEX(对接源_01入库吨位!$C$5:$C$304,MATCH(INT((ROW()-5)/3)+1,对接源_01入库吨位!$S$5:$S$304,0)),"")</f>
        <v/>
      </c>
      <c r="D742" s="89" t="str">
        <f t="shared" si="89"/>
        <v/>
      </c>
      <c r="E742" s="42" t="str">
        <f>IF($B742="","",IFERROR(IF($D742="周转打冷",N(INDEX(对接源_01入库吨位!$D$5:$D$304,MATCH(INT((ROW()-5)/3)+1,对接源_01入库吨位!$S$5:$S$304,0))),IF($D742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2" s="76" t="str">
        <f>IF($B742="","",ROUND(IFERROR(IF($D742="周转打冷",N(INDEX(对接源_01入库吨位!$H$5:$H$304,MATCH(INT((ROW()-5)/3)+1,对接源_01入库吨位!$S$5:$S$304,0))),IF($D742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2" s="122" t="str">
        <f t="shared" si="90"/>
        <v/>
      </c>
      <c r="H742" s="43"/>
      <c r="I742" s="107"/>
      <c r="J742" s="123" t="str">
        <f t="shared" si="91"/>
        <v/>
      </c>
      <c r="K742" s="76" t="str">
        <f t="shared" si="92"/>
        <v/>
      </c>
      <c r="L742" s="43"/>
      <c r="M742" s="7"/>
      <c r="N742" s="106"/>
      <c r="R742" s="3" t="str">
        <f t="shared" si="93"/>
        <v/>
      </c>
      <c r="S742" s="3">
        <f t="shared" si="94"/>
        <v>0</v>
      </c>
      <c r="T742" s="3">
        <f t="shared" si="95"/>
        <v>13</v>
      </c>
    </row>
    <row r="743" spans="1:20">
      <c r="A743" s="74" t="str">
        <f t="shared" si="88"/>
        <v/>
      </c>
      <c r="B743" s="75" t="str">
        <f>IFERROR(INDEX(对接源_01入库吨位!$B$5:$B$304,MATCH(INT((ROW()-5)/3)+1,对接源_01入库吨位!$S$5:$S$304,0)),"")</f>
        <v/>
      </c>
      <c r="C743" s="75" t="str">
        <f>IFERROR(INDEX(对接源_01入库吨位!$C$5:$C$304,MATCH(INT((ROW()-5)/3)+1,对接源_01入库吨位!$S$5:$S$304,0)),"")</f>
        <v/>
      </c>
      <c r="D743" s="89" t="str">
        <f t="shared" si="89"/>
        <v/>
      </c>
      <c r="E743" s="42" t="str">
        <f>IF($B743="","",IFERROR(IF($D743="周转打冷",N(INDEX(对接源_01入库吨位!$D$5:$D$304,MATCH(INT((ROW()-5)/3)+1,对接源_01入库吨位!$S$5:$S$304,0))),IF($D743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3" s="76" t="str">
        <f>IF($B743="","",ROUND(IFERROR(IF($D743="周转打冷",N(INDEX(对接源_01入库吨位!$H$5:$H$304,MATCH(INT((ROW()-5)/3)+1,对接源_01入库吨位!$S$5:$S$304,0))),IF($D743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3" s="122" t="str">
        <f t="shared" si="90"/>
        <v/>
      </c>
      <c r="H743" s="43"/>
      <c r="I743" s="107"/>
      <c r="J743" s="123" t="str">
        <f t="shared" si="91"/>
        <v/>
      </c>
      <c r="K743" s="76" t="str">
        <f t="shared" si="92"/>
        <v/>
      </c>
      <c r="L743" s="43"/>
      <c r="M743" s="7"/>
      <c r="N743" s="106"/>
      <c r="R743" s="3" t="str">
        <f t="shared" si="93"/>
        <v/>
      </c>
      <c r="S743" s="3">
        <f t="shared" si="94"/>
        <v>0</v>
      </c>
      <c r="T743" s="3">
        <f t="shared" si="95"/>
        <v>13</v>
      </c>
    </row>
    <row r="744" spans="1:20">
      <c r="A744" s="74" t="str">
        <f t="shared" si="88"/>
        <v/>
      </c>
      <c r="B744" s="75" t="str">
        <f>IFERROR(INDEX(对接源_01入库吨位!$B$5:$B$304,MATCH(INT((ROW()-5)/3)+1,对接源_01入库吨位!$S$5:$S$304,0)),"")</f>
        <v/>
      </c>
      <c r="C744" s="75" t="str">
        <f>IFERROR(INDEX(对接源_01入库吨位!$C$5:$C$304,MATCH(INT((ROW()-5)/3)+1,对接源_01入库吨位!$S$5:$S$304,0)),"")</f>
        <v/>
      </c>
      <c r="D744" s="89" t="str">
        <f t="shared" si="89"/>
        <v/>
      </c>
      <c r="E744" s="42" t="str">
        <f>IF($B744="","",IFERROR(IF($D744="周转打冷",N(INDEX(对接源_01入库吨位!$D$5:$D$304,MATCH(INT((ROW()-5)/3)+1,对接源_01入库吨位!$S$5:$S$304,0))),IF($D744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4" s="76" t="str">
        <f>IF($B744="","",ROUND(IFERROR(IF($D744="周转打冷",N(INDEX(对接源_01入库吨位!$H$5:$H$304,MATCH(INT((ROW()-5)/3)+1,对接源_01入库吨位!$S$5:$S$304,0))),IF($D744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4" s="122" t="str">
        <f t="shared" si="90"/>
        <v/>
      </c>
      <c r="H744" s="43"/>
      <c r="I744" s="107"/>
      <c r="J744" s="123" t="str">
        <f t="shared" si="91"/>
        <v/>
      </c>
      <c r="K744" s="76" t="str">
        <f t="shared" si="92"/>
        <v/>
      </c>
      <c r="L744" s="43"/>
      <c r="M744" s="7"/>
      <c r="N744" s="106"/>
      <c r="R744" s="3" t="str">
        <f t="shared" si="93"/>
        <v/>
      </c>
      <c r="S744" s="3">
        <f t="shared" si="94"/>
        <v>0</v>
      </c>
      <c r="T744" s="3">
        <f t="shared" si="95"/>
        <v>13</v>
      </c>
    </row>
    <row r="745" spans="1:20">
      <c r="A745" s="74" t="str">
        <f t="shared" si="88"/>
        <v/>
      </c>
      <c r="B745" s="75" t="str">
        <f>IFERROR(INDEX(对接源_01入库吨位!$B$5:$B$304,MATCH(INT((ROW()-5)/3)+1,对接源_01入库吨位!$S$5:$S$304,0)),"")</f>
        <v/>
      </c>
      <c r="C745" s="75" t="str">
        <f>IFERROR(INDEX(对接源_01入库吨位!$C$5:$C$304,MATCH(INT((ROW()-5)/3)+1,对接源_01入库吨位!$S$5:$S$304,0)),"")</f>
        <v/>
      </c>
      <c r="D745" s="89" t="str">
        <f t="shared" si="89"/>
        <v/>
      </c>
      <c r="E745" s="42" t="str">
        <f>IF($B745="","",IFERROR(IF($D745="周转打冷",N(INDEX(对接源_01入库吨位!$D$5:$D$304,MATCH(INT((ROW()-5)/3)+1,对接源_01入库吨位!$S$5:$S$304,0))),IF($D745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5" s="76" t="str">
        <f>IF($B745="","",ROUND(IFERROR(IF($D745="周转打冷",N(INDEX(对接源_01入库吨位!$H$5:$H$304,MATCH(INT((ROW()-5)/3)+1,对接源_01入库吨位!$S$5:$S$304,0))),IF($D745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5" s="122" t="str">
        <f t="shared" si="90"/>
        <v/>
      </c>
      <c r="H745" s="43"/>
      <c r="I745" s="107"/>
      <c r="J745" s="123" t="str">
        <f t="shared" si="91"/>
        <v/>
      </c>
      <c r="K745" s="76" t="str">
        <f t="shared" si="92"/>
        <v/>
      </c>
      <c r="L745" s="43"/>
      <c r="M745" s="7"/>
      <c r="N745" s="106"/>
      <c r="R745" s="3" t="str">
        <f t="shared" si="93"/>
        <v/>
      </c>
      <c r="S745" s="3">
        <f t="shared" si="94"/>
        <v>0</v>
      </c>
      <c r="T745" s="3">
        <f t="shared" si="95"/>
        <v>13</v>
      </c>
    </row>
    <row r="746" spans="1:20">
      <c r="A746" s="74" t="str">
        <f t="shared" si="88"/>
        <v/>
      </c>
      <c r="B746" s="75" t="str">
        <f>IFERROR(INDEX(对接源_01入库吨位!$B$5:$B$304,MATCH(INT((ROW()-5)/3)+1,对接源_01入库吨位!$S$5:$S$304,0)),"")</f>
        <v/>
      </c>
      <c r="C746" s="75" t="str">
        <f>IFERROR(INDEX(对接源_01入库吨位!$C$5:$C$304,MATCH(INT((ROW()-5)/3)+1,对接源_01入库吨位!$S$5:$S$304,0)),"")</f>
        <v/>
      </c>
      <c r="D746" s="89" t="str">
        <f t="shared" si="89"/>
        <v/>
      </c>
      <c r="E746" s="42" t="str">
        <f>IF($B746="","",IFERROR(IF($D746="周转打冷",N(INDEX(对接源_01入库吨位!$D$5:$D$304,MATCH(INT((ROW()-5)/3)+1,对接源_01入库吨位!$S$5:$S$304,0))),IF($D746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6" s="76" t="str">
        <f>IF($B746="","",ROUND(IFERROR(IF($D746="周转打冷",N(INDEX(对接源_01入库吨位!$H$5:$H$304,MATCH(INT((ROW()-5)/3)+1,对接源_01入库吨位!$S$5:$S$304,0))),IF($D746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6" s="122" t="str">
        <f t="shared" si="90"/>
        <v/>
      </c>
      <c r="H746" s="43"/>
      <c r="I746" s="107"/>
      <c r="J746" s="123" t="str">
        <f t="shared" si="91"/>
        <v/>
      </c>
      <c r="K746" s="76" t="str">
        <f t="shared" si="92"/>
        <v/>
      </c>
      <c r="L746" s="43"/>
      <c r="M746" s="7"/>
      <c r="N746" s="106"/>
      <c r="R746" s="3" t="str">
        <f t="shared" si="93"/>
        <v/>
      </c>
      <c r="S746" s="3">
        <f t="shared" si="94"/>
        <v>0</v>
      </c>
      <c r="T746" s="3">
        <f t="shared" si="95"/>
        <v>13</v>
      </c>
    </row>
    <row r="747" spans="1:20">
      <c r="A747" s="74" t="str">
        <f t="shared" si="88"/>
        <v/>
      </c>
      <c r="B747" s="75" t="str">
        <f>IFERROR(INDEX(对接源_01入库吨位!$B$5:$B$304,MATCH(INT((ROW()-5)/3)+1,对接源_01入库吨位!$S$5:$S$304,0)),"")</f>
        <v/>
      </c>
      <c r="C747" s="75" t="str">
        <f>IFERROR(INDEX(对接源_01入库吨位!$C$5:$C$304,MATCH(INT((ROW()-5)/3)+1,对接源_01入库吨位!$S$5:$S$304,0)),"")</f>
        <v/>
      </c>
      <c r="D747" s="89" t="str">
        <f t="shared" si="89"/>
        <v/>
      </c>
      <c r="E747" s="42" t="str">
        <f>IF($B747="","",IFERROR(IF($D747="周转打冷",N(INDEX(对接源_01入库吨位!$D$5:$D$304,MATCH(INT((ROW()-5)/3)+1,对接源_01入库吨位!$S$5:$S$304,0))),IF($D747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7" s="76" t="str">
        <f>IF($B747="","",ROUND(IFERROR(IF($D747="周转打冷",N(INDEX(对接源_01入库吨位!$H$5:$H$304,MATCH(INT((ROW()-5)/3)+1,对接源_01入库吨位!$S$5:$S$304,0))),IF($D747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7" s="122" t="str">
        <f t="shared" si="90"/>
        <v/>
      </c>
      <c r="H747" s="43"/>
      <c r="I747" s="107"/>
      <c r="J747" s="123" t="str">
        <f t="shared" si="91"/>
        <v/>
      </c>
      <c r="K747" s="76" t="str">
        <f t="shared" si="92"/>
        <v/>
      </c>
      <c r="L747" s="43"/>
      <c r="M747" s="7"/>
      <c r="N747" s="106"/>
      <c r="R747" s="3" t="str">
        <f t="shared" si="93"/>
        <v/>
      </c>
      <c r="S747" s="3">
        <f t="shared" si="94"/>
        <v>0</v>
      </c>
      <c r="T747" s="3">
        <f t="shared" si="95"/>
        <v>13</v>
      </c>
    </row>
    <row r="748" spans="1:20">
      <c r="A748" s="74" t="str">
        <f t="shared" si="88"/>
        <v/>
      </c>
      <c r="B748" s="75" t="str">
        <f>IFERROR(INDEX(对接源_01入库吨位!$B$5:$B$304,MATCH(INT((ROW()-5)/3)+1,对接源_01入库吨位!$S$5:$S$304,0)),"")</f>
        <v/>
      </c>
      <c r="C748" s="75" t="str">
        <f>IFERROR(INDEX(对接源_01入库吨位!$C$5:$C$304,MATCH(INT((ROW()-5)/3)+1,对接源_01入库吨位!$S$5:$S$304,0)),"")</f>
        <v/>
      </c>
      <c r="D748" s="89" t="str">
        <f t="shared" si="89"/>
        <v/>
      </c>
      <c r="E748" s="42" t="str">
        <f>IF($B748="","",IFERROR(IF($D748="周转打冷",N(INDEX(对接源_01入库吨位!$D$5:$D$304,MATCH(INT((ROW()-5)/3)+1,对接源_01入库吨位!$S$5:$S$304,0))),IF($D748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8" s="76" t="str">
        <f>IF($B748="","",ROUND(IFERROR(IF($D748="周转打冷",N(INDEX(对接源_01入库吨位!$H$5:$H$304,MATCH(INT((ROW()-5)/3)+1,对接源_01入库吨位!$S$5:$S$304,0))),IF($D748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8" s="122" t="str">
        <f t="shared" si="90"/>
        <v/>
      </c>
      <c r="H748" s="43"/>
      <c r="I748" s="107"/>
      <c r="J748" s="123" t="str">
        <f t="shared" si="91"/>
        <v/>
      </c>
      <c r="K748" s="76" t="str">
        <f t="shared" si="92"/>
        <v/>
      </c>
      <c r="L748" s="43"/>
      <c r="M748" s="7"/>
      <c r="N748" s="106"/>
      <c r="R748" s="3" t="str">
        <f t="shared" si="93"/>
        <v/>
      </c>
      <c r="S748" s="3">
        <f t="shared" si="94"/>
        <v>0</v>
      </c>
      <c r="T748" s="3">
        <f t="shared" si="95"/>
        <v>13</v>
      </c>
    </row>
    <row r="749" spans="1:20">
      <c r="A749" s="74" t="str">
        <f t="shared" si="88"/>
        <v/>
      </c>
      <c r="B749" s="75" t="str">
        <f>IFERROR(INDEX(对接源_01入库吨位!$B$5:$B$304,MATCH(INT((ROW()-5)/3)+1,对接源_01入库吨位!$S$5:$S$304,0)),"")</f>
        <v/>
      </c>
      <c r="C749" s="75" t="str">
        <f>IFERROR(INDEX(对接源_01入库吨位!$C$5:$C$304,MATCH(INT((ROW()-5)/3)+1,对接源_01入库吨位!$S$5:$S$304,0)),"")</f>
        <v/>
      </c>
      <c r="D749" s="89" t="str">
        <f t="shared" si="89"/>
        <v/>
      </c>
      <c r="E749" s="42" t="str">
        <f>IF($B749="","",IFERROR(IF($D749="周转打冷",N(INDEX(对接源_01入库吨位!$D$5:$D$304,MATCH(INT((ROW()-5)/3)+1,对接源_01入库吨位!$S$5:$S$304,0))),IF($D749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9" s="76" t="str">
        <f>IF($B749="","",ROUND(IFERROR(IF($D749="周转打冷",N(INDEX(对接源_01入库吨位!$H$5:$H$304,MATCH(INT((ROW()-5)/3)+1,对接源_01入库吨位!$S$5:$S$304,0))),IF($D749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9" s="122" t="str">
        <f t="shared" si="90"/>
        <v/>
      </c>
      <c r="H749" s="43"/>
      <c r="I749" s="107"/>
      <c r="J749" s="123" t="str">
        <f t="shared" si="91"/>
        <v/>
      </c>
      <c r="K749" s="76" t="str">
        <f t="shared" si="92"/>
        <v/>
      </c>
      <c r="L749" s="43"/>
      <c r="M749" s="7"/>
      <c r="N749" s="106"/>
      <c r="R749" s="3" t="str">
        <f t="shared" si="93"/>
        <v/>
      </c>
      <c r="S749" s="3">
        <f t="shared" si="94"/>
        <v>0</v>
      </c>
      <c r="T749" s="3">
        <f t="shared" si="95"/>
        <v>13</v>
      </c>
    </row>
    <row r="750" spans="1:20">
      <c r="A750" s="74" t="str">
        <f t="shared" si="88"/>
        <v/>
      </c>
      <c r="B750" s="75" t="str">
        <f>IFERROR(INDEX(对接源_01入库吨位!$B$5:$B$304,MATCH(INT((ROW()-5)/3)+1,对接源_01入库吨位!$S$5:$S$304,0)),"")</f>
        <v/>
      </c>
      <c r="C750" s="75" t="str">
        <f>IFERROR(INDEX(对接源_01入库吨位!$C$5:$C$304,MATCH(INT((ROW()-5)/3)+1,对接源_01入库吨位!$S$5:$S$304,0)),"")</f>
        <v/>
      </c>
      <c r="D750" s="89" t="str">
        <f t="shared" si="89"/>
        <v/>
      </c>
      <c r="E750" s="42" t="str">
        <f>IF($B750="","",IFERROR(IF($D750="周转打冷",N(INDEX(对接源_01入库吨位!$D$5:$D$304,MATCH(INT((ROW()-5)/3)+1,对接源_01入库吨位!$S$5:$S$304,0))),IF($D750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0" s="76" t="str">
        <f>IF($B750="","",ROUND(IFERROR(IF($D750="周转打冷",N(INDEX(对接源_01入库吨位!$H$5:$H$304,MATCH(INT((ROW()-5)/3)+1,对接源_01入库吨位!$S$5:$S$304,0))),IF($D750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0" s="122" t="str">
        <f t="shared" si="90"/>
        <v/>
      </c>
      <c r="H750" s="43"/>
      <c r="I750" s="107"/>
      <c r="J750" s="123" t="str">
        <f t="shared" si="91"/>
        <v/>
      </c>
      <c r="K750" s="76" t="str">
        <f t="shared" si="92"/>
        <v/>
      </c>
      <c r="L750" s="43"/>
      <c r="M750" s="7"/>
      <c r="N750" s="106"/>
      <c r="R750" s="3" t="str">
        <f t="shared" si="93"/>
        <v/>
      </c>
      <c r="S750" s="3">
        <f t="shared" si="94"/>
        <v>0</v>
      </c>
      <c r="T750" s="3">
        <f t="shared" si="95"/>
        <v>13</v>
      </c>
    </row>
    <row r="751" spans="1:20">
      <c r="A751" s="74" t="str">
        <f t="shared" si="88"/>
        <v/>
      </c>
      <c r="B751" s="75" t="str">
        <f>IFERROR(INDEX(对接源_01入库吨位!$B$5:$B$304,MATCH(INT((ROW()-5)/3)+1,对接源_01入库吨位!$S$5:$S$304,0)),"")</f>
        <v/>
      </c>
      <c r="C751" s="75" t="str">
        <f>IFERROR(INDEX(对接源_01入库吨位!$C$5:$C$304,MATCH(INT((ROW()-5)/3)+1,对接源_01入库吨位!$S$5:$S$304,0)),"")</f>
        <v/>
      </c>
      <c r="D751" s="89" t="str">
        <f t="shared" si="89"/>
        <v/>
      </c>
      <c r="E751" s="42" t="str">
        <f>IF($B751="","",IFERROR(IF($D751="周转打冷",N(INDEX(对接源_01入库吨位!$D$5:$D$304,MATCH(INT((ROW()-5)/3)+1,对接源_01入库吨位!$S$5:$S$304,0))),IF($D751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1" s="76" t="str">
        <f>IF($B751="","",ROUND(IFERROR(IF($D751="周转打冷",N(INDEX(对接源_01入库吨位!$H$5:$H$304,MATCH(INT((ROW()-5)/3)+1,对接源_01入库吨位!$S$5:$S$304,0))),IF($D751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1" s="122" t="str">
        <f t="shared" si="90"/>
        <v/>
      </c>
      <c r="H751" s="43"/>
      <c r="I751" s="107"/>
      <c r="J751" s="123" t="str">
        <f t="shared" si="91"/>
        <v/>
      </c>
      <c r="K751" s="76" t="str">
        <f t="shared" si="92"/>
        <v/>
      </c>
      <c r="L751" s="43"/>
      <c r="M751" s="7"/>
      <c r="N751" s="106"/>
      <c r="R751" s="3" t="str">
        <f t="shared" si="93"/>
        <v/>
      </c>
      <c r="S751" s="3">
        <f t="shared" si="94"/>
        <v>0</v>
      </c>
      <c r="T751" s="3">
        <f t="shared" si="95"/>
        <v>13</v>
      </c>
    </row>
    <row r="752" spans="1:20">
      <c r="A752" s="74" t="str">
        <f t="shared" si="88"/>
        <v/>
      </c>
      <c r="B752" s="75" t="str">
        <f>IFERROR(INDEX(对接源_01入库吨位!$B$5:$B$304,MATCH(INT((ROW()-5)/3)+1,对接源_01入库吨位!$S$5:$S$304,0)),"")</f>
        <v/>
      </c>
      <c r="C752" s="75" t="str">
        <f>IFERROR(INDEX(对接源_01入库吨位!$C$5:$C$304,MATCH(INT((ROW()-5)/3)+1,对接源_01入库吨位!$S$5:$S$304,0)),"")</f>
        <v/>
      </c>
      <c r="D752" s="89" t="str">
        <f t="shared" si="89"/>
        <v/>
      </c>
      <c r="E752" s="42" t="str">
        <f>IF($B752="","",IFERROR(IF($D752="周转打冷",N(INDEX(对接源_01入库吨位!$D$5:$D$304,MATCH(INT((ROW()-5)/3)+1,对接源_01入库吨位!$S$5:$S$304,0))),IF($D752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2" s="76" t="str">
        <f>IF($B752="","",ROUND(IFERROR(IF($D752="周转打冷",N(INDEX(对接源_01入库吨位!$H$5:$H$304,MATCH(INT((ROW()-5)/3)+1,对接源_01入库吨位!$S$5:$S$304,0))),IF($D752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2" s="122" t="str">
        <f t="shared" si="90"/>
        <v/>
      </c>
      <c r="H752" s="43"/>
      <c r="I752" s="107"/>
      <c r="J752" s="123" t="str">
        <f t="shared" si="91"/>
        <v/>
      </c>
      <c r="K752" s="76" t="str">
        <f t="shared" si="92"/>
        <v/>
      </c>
      <c r="L752" s="43"/>
      <c r="M752" s="7"/>
      <c r="N752" s="106"/>
      <c r="R752" s="3" t="str">
        <f t="shared" si="93"/>
        <v/>
      </c>
      <c r="S752" s="3">
        <f t="shared" si="94"/>
        <v>0</v>
      </c>
      <c r="T752" s="3">
        <f t="shared" si="95"/>
        <v>13</v>
      </c>
    </row>
    <row r="753" spans="1:20">
      <c r="A753" s="74" t="str">
        <f t="shared" si="88"/>
        <v/>
      </c>
      <c r="B753" s="75" t="str">
        <f>IFERROR(INDEX(对接源_01入库吨位!$B$5:$B$304,MATCH(INT((ROW()-5)/3)+1,对接源_01入库吨位!$S$5:$S$304,0)),"")</f>
        <v/>
      </c>
      <c r="C753" s="75" t="str">
        <f>IFERROR(INDEX(对接源_01入库吨位!$C$5:$C$304,MATCH(INT((ROW()-5)/3)+1,对接源_01入库吨位!$S$5:$S$304,0)),"")</f>
        <v/>
      </c>
      <c r="D753" s="89" t="str">
        <f t="shared" si="89"/>
        <v/>
      </c>
      <c r="E753" s="42" t="str">
        <f>IF($B753="","",IFERROR(IF($D753="周转打冷",N(INDEX(对接源_01入库吨位!$D$5:$D$304,MATCH(INT((ROW()-5)/3)+1,对接源_01入库吨位!$S$5:$S$304,0))),IF($D753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3" s="76" t="str">
        <f>IF($B753="","",ROUND(IFERROR(IF($D753="周转打冷",N(INDEX(对接源_01入库吨位!$H$5:$H$304,MATCH(INT((ROW()-5)/3)+1,对接源_01入库吨位!$S$5:$S$304,0))),IF($D753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3" s="122" t="str">
        <f t="shared" si="90"/>
        <v/>
      </c>
      <c r="H753" s="43"/>
      <c r="I753" s="107"/>
      <c r="J753" s="123" t="str">
        <f t="shared" si="91"/>
        <v/>
      </c>
      <c r="K753" s="76" t="str">
        <f t="shared" si="92"/>
        <v/>
      </c>
      <c r="L753" s="43"/>
      <c r="M753" s="7"/>
      <c r="N753" s="106"/>
      <c r="R753" s="3" t="str">
        <f t="shared" si="93"/>
        <v/>
      </c>
      <c r="S753" s="3">
        <f t="shared" si="94"/>
        <v>0</v>
      </c>
      <c r="T753" s="3">
        <f t="shared" si="95"/>
        <v>13</v>
      </c>
    </row>
    <row r="754" spans="1:20">
      <c r="A754" s="74" t="str">
        <f t="shared" si="88"/>
        <v/>
      </c>
      <c r="B754" s="75" t="str">
        <f>IFERROR(INDEX(对接源_01入库吨位!$B$5:$B$304,MATCH(INT((ROW()-5)/3)+1,对接源_01入库吨位!$S$5:$S$304,0)),"")</f>
        <v/>
      </c>
      <c r="C754" s="75" t="str">
        <f>IFERROR(INDEX(对接源_01入库吨位!$C$5:$C$304,MATCH(INT((ROW()-5)/3)+1,对接源_01入库吨位!$S$5:$S$304,0)),"")</f>
        <v/>
      </c>
      <c r="D754" s="89" t="str">
        <f t="shared" si="89"/>
        <v/>
      </c>
      <c r="E754" s="42" t="str">
        <f>IF($B754="","",IFERROR(IF($D754="周转打冷",N(INDEX(对接源_01入库吨位!$D$5:$D$304,MATCH(INT((ROW()-5)/3)+1,对接源_01入库吨位!$S$5:$S$304,0))),IF($D754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4" s="76" t="str">
        <f>IF($B754="","",ROUND(IFERROR(IF($D754="周转打冷",N(INDEX(对接源_01入库吨位!$H$5:$H$304,MATCH(INT((ROW()-5)/3)+1,对接源_01入库吨位!$S$5:$S$304,0))),IF($D754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4" s="122" t="str">
        <f t="shared" si="90"/>
        <v/>
      </c>
      <c r="H754" s="43"/>
      <c r="I754" s="107"/>
      <c r="J754" s="123" t="str">
        <f t="shared" si="91"/>
        <v/>
      </c>
      <c r="K754" s="76" t="str">
        <f t="shared" si="92"/>
        <v/>
      </c>
      <c r="L754" s="43"/>
      <c r="M754" s="7"/>
      <c r="N754" s="106"/>
      <c r="R754" s="3" t="str">
        <f t="shared" si="93"/>
        <v/>
      </c>
      <c r="S754" s="3">
        <f t="shared" si="94"/>
        <v>0</v>
      </c>
      <c r="T754" s="3">
        <f t="shared" si="95"/>
        <v>13</v>
      </c>
    </row>
    <row r="755" spans="1:20">
      <c r="A755" s="74" t="str">
        <f t="shared" si="88"/>
        <v/>
      </c>
      <c r="B755" s="75" t="str">
        <f>IFERROR(INDEX(对接源_01入库吨位!$B$5:$B$304,MATCH(INT((ROW()-5)/3)+1,对接源_01入库吨位!$S$5:$S$304,0)),"")</f>
        <v/>
      </c>
      <c r="C755" s="75" t="str">
        <f>IFERROR(INDEX(对接源_01入库吨位!$C$5:$C$304,MATCH(INT((ROW()-5)/3)+1,对接源_01入库吨位!$S$5:$S$304,0)),"")</f>
        <v/>
      </c>
      <c r="D755" s="89" t="str">
        <f t="shared" si="89"/>
        <v/>
      </c>
      <c r="E755" s="42" t="str">
        <f>IF($B755="","",IFERROR(IF($D755="周转打冷",N(INDEX(对接源_01入库吨位!$D$5:$D$304,MATCH(INT((ROW()-5)/3)+1,对接源_01入库吨位!$S$5:$S$304,0))),IF($D755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5" s="76" t="str">
        <f>IF($B755="","",ROUND(IFERROR(IF($D755="周转打冷",N(INDEX(对接源_01入库吨位!$H$5:$H$304,MATCH(INT((ROW()-5)/3)+1,对接源_01入库吨位!$S$5:$S$304,0))),IF($D755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5" s="122" t="str">
        <f t="shared" si="90"/>
        <v/>
      </c>
      <c r="H755" s="43"/>
      <c r="I755" s="107"/>
      <c r="J755" s="123" t="str">
        <f t="shared" si="91"/>
        <v/>
      </c>
      <c r="K755" s="76" t="str">
        <f t="shared" si="92"/>
        <v/>
      </c>
      <c r="L755" s="43"/>
      <c r="M755" s="7"/>
      <c r="N755" s="106"/>
      <c r="R755" s="3" t="str">
        <f t="shared" si="93"/>
        <v/>
      </c>
      <c r="S755" s="3">
        <f t="shared" si="94"/>
        <v>0</v>
      </c>
      <c r="T755" s="3">
        <f t="shared" si="95"/>
        <v>13</v>
      </c>
    </row>
    <row r="756" spans="1:20">
      <c r="A756" s="74" t="str">
        <f t="shared" si="88"/>
        <v/>
      </c>
      <c r="B756" s="75" t="str">
        <f>IFERROR(INDEX(对接源_01入库吨位!$B$5:$B$304,MATCH(INT((ROW()-5)/3)+1,对接源_01入库吨位!$S$5:$S$304,0)),"")</f>
        <v/>
      </c>
      <c r="C756" s="75" t="str">
        <f>IFERROR(INDEX(对接源_01入库吨位!$C$5:$C$304,MATCH(INT((ROW()-5)/3)+1,对接源_01入库吨位!$S$5:$S$304,0)),"")</f>
        <v/>
      </c>
      <c r="D756" s="89" t="str">
        <f t="shared" si="89"/>
        <v/>
      </c>
      <c r="E756" s="42" t="str">
        <f>IF($B756="","",IFERROR(IF($D756="周转打冷",N(INDEX(对接源_01入库吨位!$D$5:$D$304,MATCH(INT((ROW()-5)/3)+1,对接源_01入库吨位!$S$5:$S$304,0))),IF($D756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6" s="76" t="str">
        <f>IF($B756="","",ROUND(IFERROR(IF($D756="周转打冷",N(INDEX(对接源_01入库吨位!$H$5:$H$304,MATCH(INT((ROW()-5)/3)+1,对接源_01入库吨位!$S$5:$S$304,0))),IF($D756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6" s="122" t="str">
        <f t="shared" si="90"/>
        <v/>
      </c>
      <c r="H756" s="43"/>
      <c r="I756" s="107"/>
      <c r="J756" s="123" t="str">
        <f t="shared" si="91"/>
        <v/>
      </c>
      <c r="K756" s="76" t="str">
        <f t="shared" si="92"/>
        <v/>
      </c>
      <c r="L756" s="43"/>
      <c r="M756" s="7"/>
      <c r="N756" s="106"/>
      <c r="R756" s="3" t="str">
        <f t="shared" si="93"/>
        <v/>
      </c>
      <c r="S756" s="3">
        <f t="shared" si="94"/>
        <v>0</v>
      </c>
      <c r="T756" s="3">
        <f t="shared" si="95"/>
        <v>13</v>
      </c>
    </row>
    <row r="757" spans="1:20">
      <c r="A757" s="74" t="str">
        <f t="shared" si="88"/>
        <v/>
      </c>
      <c r="B757" s="75" t="str">
        <f>IFERROR(INDEX(对接源_01入库吨位!$B$5:$B$304,MATCH(INT((ROW()-5)/3)+1,对接源_01入库吨位!$S$5:$S$304,0)),"")</f>
        <v/>
      </c>
      <c r="C757" s="75" t="str">
        <f>IFERROR(INDEX(对接源_01入库吨位!$C$5:$C$304,MATCH(INT((ROW()-5)/3)+1,对接源_01入库吨位!$S$5:$S$304,0)),"")</f>
        <v/>
      </c>
      <c r="D757" s="89" t="str">
        <f t="shared" si="89"/>
        <v/>
      </c>
      <c r="E757" s="42" t="str">
        <f>IF($B757="","",IFERROR(IF($D757="周转打冷",N(INDEX(对接源_01入库吨位!$D$5:$D$304,MATCH(INT((ROW()-5)/3)+1,对接源_01入库吨位!$S$5:$S$304,0))),IF($D757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7" s="76" t="str">
        <f>IF($B757="","",ROUND(IFERROR(IF($D757="周转打冷",N(INDEX(对接源_01入库吨位!$H$5:$H$304,MATCH(INT((ROW()-5)/3)+1,对接源_01入库吨位!$S$5:$S$304,0))),IF($D757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7" s="122" t="str">
        <f t="shared" si="90"/>
        <v/>
      </c>
      <c r="H757" s="43"/>
      <c r="I757" s="107"/>
      <c r="J757" s="123" t="str">
        <f t="shared" si="91"/>
        <v/>
      </c>
      <c r="K757" s="76" t="str">
        <f t="shared" si="92"/>
        <v/>
      </c>
      <c r="L757" s="43"/>
      <c r="M757" s="7"/>
      <c r="N757" s="106"/>
      <c r="R757" s="3" t="str">
        <f t="shared" si="93"/>
        <v/>
      </c>
      <c r="S757" s="3">
        <f t="shared" si="94"/>
        <v>0</v>
      </c>
      <c r="T757" s="3">
        <f t="shared" si="95"/>
        <v>13</v>
      </c>
    </row>
    <row r="758" spans="1:20">
      <c r="A758" s="74" t="str">
        <f t="shared" si="88"/>
        <v/>
      </c>
      <c r="B758" s="75" t="str">
        <f>IFERROR(INDEX(对接源_01入库吨位!$B$5:$B$304,MATCH(INT((ROW()-5)/3)+1,对接源_01入库吨位!$S$5:$S$304,0)),"")</f>
        <v/>
      </c>
      <c r="C758" s="75" t="str">
        <f>IFERROR(INDEX(对接源_01入库吨位!$C$5:$C$304,MATCH(INT((ROW()-5)/3)+1,对接源_01入库吨位!$S$5:$S$304,0)),"")</f>
        <v/>
      </c>
      <c r="D758" s="89" t="str">
        <f t="shared" si="89"/>
        <v/>
      </c>
      <c r="E758" s="42" t="str">
        <f>IF($B758="","",IFERROR(IF($D758="周转打冷",N(INDEX(对接源_01入库吨位!$D$5:$D$304,MATCH(INT((ROW()-5)/3)+1,对接源_01入库吨位!$S$5:$S$304,0))),IF($D758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8" s="76" t="str">
        <f>IF($B758="","",ROUND(IFERROR(IF($D758="周转打冷",N(INDEX(对接源_01入库吨位!$H$5:$H$304,MATCH(INT((ROW()-5)/3)+1,对接源_01入库吨位!$S$5:$S$304,0))),IF($D758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8" s="122" t="str">
        <f t="shared" si="90"/>
        <v/>
      </c>
      <c r="H758" s="43"/>
      <c r="I758" s="107"/>
      <c r="J758" s="123" t="str">
        <f t="shared" si="91"/>
        <v/>
      </c>
      <c r="K758" s="76" t="str">
        <f t="shared" si="92"/>
        <v/>
      </c>
      <c r="L758" s="43"/>
      <c r="M758" s="7"/>
      <c r="N758" s="106"/>
      <c r="R758" s="3" t="str">
        <f t="shared" si="93"/>
        <v/>
      </c>
      <c r="S758" s="3">
        <f t="shared" si="94"/>
        <v>0</v>
      </c>
      <c r="T758" s="3">
        <f t="shared" si="95"/>
        <v>13</v>
      </c>
    </row>
    <row r="759" spans="1:20">
      <c r="A759" s="74" t="str">
        <f t="shared" si="88"/>
        <v/>
      </c>
      <c r="B759" s="75" t="str">
        <f>IFERROR(INDEX(对接源_01入库吨位!$B$5:$B$304,MATCH(INT((ROW()-5)/3)+1,对接源_01入库吨位!$S$5:$S$304,0)),"")</f>
        <v/>
      </c>
      <c r="C759" s="75" t="str">
        <f>IFERROR(INDEX(对接源_01入库吨位!$C$5:$C$304,MATCH(INT((ROW()-5)/3)+1,对接源_01入库吨位!$S$5:$S$304,0)),"")</f>
        <v/>
      </c>
      <c r="D759" s="89" t="str">
        <f t="shared" si="89"/>
        <v/>
      </c>
      <c r="E759" s="42" t="str">
        <f>IF($B759="","",IFERROR(IF($D759="周转打冷",N(INDEX(对接源_01入库吨位!$D$5:$D$304,MATCH(INT((ROW()-5)/3)+1,对接源_01入库吨位!$S$5:$S$304,0))),IF($D759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9" s="76" t="str">
        <f>IF($B759="","",ROUND(IFERROR(IF($D759="周转打冷",N(INDEX(对接源_01入库吨位!$H$5:$H$304,MATCH(INT((ROW()-5)/3)+1,对接源_01入库吨位!$S$5:$S$304,0))),IF($D759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9" s="122" t="str">
        <f t="shared" si="90"/>
        <v/>
      </c>
      <c r="H759" s="43"/>
      <c r="I759" s="107"/>
      <c r="J759" s="123" t="str">
        <f t="shared" si="91"/>
        <v/>
      </c>
      <c r="K759" s="76" t="str">
        <f t="shared" si="92"/>
        <v/>
      </c>
      <c r="L759" s="43"/>
      <c r="M759" s="7"/>
      <c r="N759" s="106"/>
      <c r="R759" s="3" t="str">
        <f t="shared" si="93"/>
        <v/>
      </c>
      <c r="S759" s="3">
        <f t="shared" si="94"/>
        <v>0</v>
      </c>
      <c r="T759" s="3">
        <f t="shared" si="95"/>
        <v>13</v>
      </c>
    </row>
    <row r="760" spans="1:20">
      <c r="A760" s="74" t="str">
        <f t="shared" si="88"/>
        <v/>
      </c>
      <c r="B760" s="75" t="str">
        <f>IFERROR(INDEX(对接源_01入库吨位!$B$5:$B$304,MATCH(INT((ROW()-5)/3)+1,对接源_01入库吨位!$S$5:$S$304,0)),"")</f>
        <v/>
      </c>
      <c r="C760" s="75" t="str">
        <f>IFERROR(INDEX(对接源_01入库吨位!$C$5:$C$304,MATCH(INT((ROW()-5)/3)+1,对接源_01入库吨位!$S$5:$S$304,0)),"")</f>
        <v/>
      </c>
      <c r="D760" s="89" t="str">
        <f t="shared" si="89"/>
        <v/>
      </c>
      <c r="E760" s="42" t="str">
        <f>IF($B760="","",IFERROR(IF($D760="周转打冷",N(INDEX(对接源_01入库吨位!$D$5:$D$304,MATCH(INT((ROW()-5)/3)+1,对接源_01入库吨位!$S$5:$S$304,0))),IF($D760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0" s="76" t="str">
        <f>IF($B760="","",ROUND(IFERROR(IF($D760="周转打冷",N(INDEX(对接源_01入库吨位!$H$5:$H$304,MATCH(INT((ROW()-5)/3)+1,对接源_01入库吨位!$S$5:$S$304,0))),IF($D760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0" s="122" t="str">
        <f t="shared" si="90"/>
        <v/>
      </c>
      <c r="H760" s="43"/>
      <c r="I760" s="107"/>
      <c r="J760" s="123" t="str">
        <f t="shared" si="91"/>
        <v/>
      </c>
      <c r="K760" s="76" t="str">
        <f t="shared" si="92"/>
        <v/>
      </c>
      <c r="L760" s="43"/>
      <c r="M760" s="7"/>
      <c r="N760" s="106"/>
      <c r="R760" s="3" t="str">
        <f t="shared" si="93"/>
        <v/>
      </c>
      <c r="S760" s="3">
        <f t="shared" si="94"/>
        <v>0</v>
      </c>
      <c r="T760" s="3">
        <f t="shared" si="95"/>
        <v>13</v>
      </c>
    </row>
    <row r="761" spans="1:20">
      <c r="A761" s="74" t="str">
        <f t="shared" si="88"/>
        <v/>
      </c>
      <c r="B761" s="75" t="str">
        <f>IFERROR(INDEX(对接源_01入库吨位!$B$5:$B$304,MATCH(INT((ROW()-5)/3)+1,对接源_01入库吨位!$S$5:$S$304,0)),"")</f>
        <v/>
      </c>
      <c r="C761" s="75" t="str">
        <f>IFERROR(INDEX(对接源_01入库吨位!$C$5:$C$304,MATCH(INT((ROW()-5)/3)+1,对接源_01入库吨位!$S$5:$S$304,0)),"")</f>
        <v/>
      </c>
      <c r="D761" s="89" t="str">
        <f t="shared" si="89"/>
        <v/>
      </c>
      <c r="E761" s="42" t="str">
        <f>IF($B761="","",IFERROR(IF($D761="周转打冷",N(INDEX(对接源_01入库吨位!$D$5:$D$304,MATCH(INT((ROW()-5)/3)+1,对接源_01入库吨位!$S$5:$S$304,0))),IF($D761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1" s="76" t="str">
        <f>IF($B761="","",ROUND(IFERROR(IF($D761="周转打冷",N(INDEX(对接源_01入库吨位!$H$5:$H$304,MATCH(INT((ROW()-5)/3)+1,对接源_01入库吨位!$S$5:$S$304,0))),IF($D761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1" s="122" t="str">
        <f t="shared" si="90"/>
        <v/>
      </c>
      <c r="H761" s="43"/>
      <c r="I761" s="107"/>
      <c r="J761" s="123" t="str">
        <f t="shared" si="91"/>
        <v/>
      </c>
      <c r="K761" s="76" t="str">
        <f t="shared" si="92"/>
        <v/>
      </c>
      <c r="L761" s="43"/>
      <c r="M761" s="7"/>
      <c r="N761" s="106"/>
      <c r="R761" s="3" t="str">
        <f t="shared" si="93"/>
        <v/>
      </c>
      <c r="S761" s="3">
        <f t="shared" si="94"/>
        <v>0</v>
      </c>
      <c r="T761" s="3">
        <f t="shared" si="95"/>
        <v>13</v>
      </c>
    </row>
    <row r="762" spans="1:20">
      <c r="A762" s="74" t="str">
        <f t="shared" si="88"/>
        <v/>
      </c>
      <c r="B762" s="75" t="str">
        <f>IFERROR(INDEX(对接源_01入库吨位!$B$5:$B$304,MATCH(INT((ROW()-5)/3)+1,对接源_01入库吨位!$S$5:$S$304,0)),"")</f>
        <v/>
      </c>
      <c r="C762" s="75" t="str">
        <f>IFERROR(INDEX(对接源_01入库吨位!$C$5:$C$304,MATCH(INT((ROW()-5)/3)+1,对接源_01入库吨位!$S$5:$S$304,0)),"")</f>
        <v/>
      </c>
      <c r="D762" s="89" t="str">
        <f t="shared" si="89"/>
        <v/>
      </c>
      <c r="E762" s="42" t="str">
        <f>IF($B762="","",IFERROR(IF($D762="周转打冷",N(INDEX(对接源_01入库吨位!$D$5:$D$304,MATCH(INT((ROW()-5)/3)+1,对接源_01入库吨位!$S$5:$S$304,0))),IF($D762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2" s="76" t="str">
        <f>IF($B762="","",ROUND(IFERROR(IF($D762="周转打冷",N(INDEX(对接源_01入库吨位!$H$5:$H$304,MATCH(INT((ROW()-5)/3)+1,对接源_01入库吨位!$S$5:$S$304,0))),IF($D762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2" s="122" t="str">
        <f t="shared" si="90"/>
        <v/>
      </c>
      <c r="H762" s="43"/>
      <c r="I762" s="107"/>
      <c r="J762" s="123" t="str">
        <f t="shared" si="91"/>
        <v/>
      </c>
      <c r="K762" s="76" t="str">
        <f t="shared" si="92"/>
        <v/>
      </c>
      <c r="L762" s="43"/>
      <c r="M762" s="7"/>
      <c r="N762" s="106"/>
      <c r="R762" s="3" t="str">
        <f t="shared" si="93"/>
        <v/>
      </c>
      <c r="S762" s="3">
        <f t="shared" si="94"/>
        <v>0</v>
      </c>
      <c r="T762" s="3">
        <f t="shared" si="95"/>
        <v>13</v>
      </c>
    </row>
    <row r="763" spans="1:20">
      <c r="A763" s="74" t="str">
        <f t="shared" si="88"/>
        <v/>
      </c>
      <c r="B763" s="75" t="str">
        <f>IFERROR(INDEX(对接源_01入库吨位!$B$5:$B$304,MATCH(INT((ROW()-5)/3)+1,对接源_01入库吨位!$S$5:$S$304,0)),"")</f>
        <v/>
      </c>
      <c r="C763" s="75" t="str">
        <f>IFERROR(INDEX(对接源_01入库吨位!$C$5:$C$304,MATCH(INT((ROW()-5)/3)+1,对接源_01入库吨位!$S$5:$S$304,0)),"")</f>
        <v/>
      </c>
      <c r="D763" s="89" t="str">
        <f t="shared" si="89"/>
        <v/>
      </c>
      <c r="E763" s="42" t="str">
        <f>IF($B763="","",IFERROR(IF($D763="周转打冷",N(INDEX(对接源_01入库吨位!$D$5:$D$304,MATCH(INT((ROW()-5)/3)+1,对接源_01入库吨位!$S$5:$S$304,0))),IF($D763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3" s="76" t="str">
        <f>IF($B763="","",ROUND(IFERROR(IF($D763="周转打冷",N(INDEX(对接源_01入库吨位!$H$5:$H$304,MATCH(INT((ROW()-5)/3)+1,对接源_01入库吨位!$S$5:$S$304,0))),IF($D763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3" s="122" t="str">
        <f t="shared" si="90"/>
        <v/>
      </c>
      <c r="H763" s="43"/>
      <c r="I763" s="107"/>
      <c r="J763" s="123" t="str">
        <f t="shared" si="91"/>
        <v/>
      </c>
      <c r="K763" s="76" t="str">
        <f t="shared" si="92"/>
        <v/>
      </c>
      <c r="L763" s="43"/>
      <c r="M763" s="7"/>
      <c r="N763" s="106"/>
      <c r="R763" s="3" t="str">
        <f t="shared" si="93"/>
        <v/>
      </c>
      <c r="S763" s="3">
        <f t="shared" si="94"/>
        <v>0</v>
      </c>
      <c r="T763" s="3">
        <f t="shared" si="95"/>
        <v>13</v>
      </c>
    </row>
    <row r="764" spans="1:20">
      <c r="A764" s="74" t="str">
        <f t="shared" si="88"/>
        <v/>
      </c>
      <c r="B764" s="75" t="str">
        <f>IFERROR(INDEX(对接源_01入库吨位!$B$5:$B$304,MATCH(INT((ROW()-5)/3)+1,对接源_01入库吨位!$S$5:$S$304,0)),"")</f>
        <v/>
      </c>
      <c r="C764" s="75" t="str">
        <f>IFERROR(INDEX(对接源_01入库吨位!$C$5:$C$304,MATCH(INT((ROW()-5)/3)+1,对接源_01入库吨位!$S$5:$S$304,0)),"")</f>
        <v/>
      </c>
      <c r="D764" s="89" t="str">
        <f t="shared" si="89"/>
        <v/>
      </c>
      <c r="E764" s="42" t="str">
        <f>IF($B764="","",IFERROR(IF($D764="周转打冷",N(INDEX(对接源_01入库吨位!$D$5:$D$304,MATCH(INT((ROW()-5)/3)+1,对接源_01入库吨位!$S$5:$S$304,0))),IF($D764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4" s="76" t="str">
        <f>IF($B764="","",ROUND(IFERROR(IF($D764="周转打冷",N(INDEX(对接源_01入库吨位!$H$5:$H$304,MATCH(INT((ROW()-5)/3)+1,对接源_01入库吨位!$S$5:$S$304,0))),IF($D764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4" s="122" t="str">
        <f t="shared" si="90"/>
        <v/>
      </c>
      <c r="H764" s="43"/>
      <c r="I764" s="107"/>
      <c r="J764" s="123" t="str">
        <f t="shared" si="91"/>
        <v/>
      </c>
      <c r="K764" s="76" t="str">
        <f t="shared" si="92"/>
        <v/>
      </c>
      <c r="L764" s="43"/>
      <c r="M764" s="7"/>
      <c r="N764" s="106"/>
      <c r="R764" s="3" t="str">
        <f t="shared" si="93"/>
        <v/>
      </c>
      <c r="S764" s="3">
        <f t="shared" si="94"/>
        <v>0</v>
      </c>
      <c r="T764" s="3">
        <f t="shared" si="95"/>
        <v>13</v>
      </c>
    </row>
    <row r="765" spans="1:20">
      <c r="A765" s="74" t="str">
        <f t="shared" si="88"/>
        <v/>
      </c>
      <c r="B765" s="75" t="str">
        <f>IFERROR(INDEX(对接源_01入库吨位!$B$5:$B$304,MATCH(INT((ROW()-5)/3)+1,对接源_01入库吨位!$S$5:$S$304,0)),"")</f>
        <v/>
      </c>
      <c r="C765" s="75" t="str">
        <f>IFERROR(INDEX(对接源_01入库吨位!$C$5:$C$304,MATCH(INT((ROW()-5)/3)+1,对接源_01入库吨位!$S$5:$S$304,0)),"")</f>
        <v/>
      </c>
      <c r="D765" s="89" t="str">
        <f t="shared" si="89"/>
        <v/>
      </c>
      <c r="E765" s="42" t="str">
        <f>IF($B765="","",IFERROR(IF($D765="周转打冷",N(INDEX(对接源_01入库吨位!$D$5:$D$304,MATCH(INT((ROW()-5)/3)+1,对接源_01入库吨位!$S$5:$S$304,0))),IF($D765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5" s="76" t="str">
        <f>IF($B765="","",ROUND(IFERROR(IF($D765="周转打冷",N(INDEX(对接源_01入库吨位!$H$5:$H$304,MATCH(INT((ROW()-5)/3)+1,对接源_01入库吨位!$S$5:$S$304,0))),IF($D765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5" s="122" t="str">
        <f t="shared" si="90"/>
        <v/>
      </c>
      <c r="H765" s="43"/>
      <c r="I765" s="107"/>
      <c r="J765" s="123" t="str">
        <f t="shared" si="91"/>
        <v/>
      </c>
      <c r="K765" s="76" t="str">
        <f t="shared" si="92"/>
        <v/>
      </c>
      <c r="L765" s="43"/>
      <c r="M765" s="7"/>
      <c r="N765" s="106"/>
      <c r="R765" s="3" t="str">
        <f t="shared" si="93"/>
        <v/>
      </c>
      <c r="S765" s="3">
        <f t="shared" si="94"/>
        <v>0</v>
      </c>
      <c r="T765" s="3">
        <f t="shared" si="95"/>
        <v>13</v>
      </c>
    </row>
    <row r="766" spans="1:20">
      <c r="A766" s="74" t="str">
        <f t="shared" si="88"/>
        <v/>
      </c>
      <c r="B766" s="75" t="str">
        <f>IFERROR(INDEX(对接源_01入库吨位!$B$5:$B$304,MATCH(INT((ROW()-5)/3)+1,对接源_01入库吨位!$S$5:$S$304,0)),"")</f>
        <v/>
      </c>
      <c r="C766" s="75" t="str">
        <f>IFERROR(INDEX(对接源_01入库吨位!$C$5:$C$304,MATCH(INT((ROW()-5)/3)+1,对接源_01入库吨位!$S$5:$S$304,0)),"")</f>
        <v/>
      </c>
      <c r="D766" s="89" t="str">
        <f t="shared" si="89"/>
        <v/>
      </c>
      <c r="E766" s="42" t="str">
        <f>IF($B766="","",IFERROR(IF($D766="周转打冷",N(INDEX(对接源_01入库吨位!$D$5:$D$304,MATCH(INT((ROW()-5)/3)+1,对接源_01入库吨位!$S$5:$S$304,0))),IF($D766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6" s="76" t="str">
        <f>IF($B766="","",ROUND(IFERROR(IF($D766="周转打冷",N(INDEX(对接源_01入库吨位!$H$5:$H$304,MATCH(INT((ROW()-5)/3)+1,对接源_01入库吨位!$S$5:$S$304,0))),IF($D766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6" s="122" t="str">
        <f t="shared" si="90"/>
        <v/>
      </c>
      <c r="H766" s="43"/>
      <c r="I766" s="107"/>
      <c r="J766" s="123" t="str">
        <f t="shared" si="91"/>
        <v/>
      </c>
      <c r="K766" s="76" t="str">
        <f t="shared" si="92"/>
        <v/>
      </c>
      <c r="L766" s="43"/>
      <c r="M766" s="7"/>
      <c r="N766" s="106"/>
      <c r="R766" s="3" t="str">
        <f t="shared" si="93"/>
        <v/>
      </c>
      <c r="S766" s="3">
        <f t="shared" si="94"/>
        <v>0</v>
      </c>
      <c r="T766" s="3">
        <f t="shared" si="95"/>
        <v>13</v>
      </c>
    </row>
    <row r="767" spans="1:20">
      <c r="A767" s="74" t="str">
        <f t="shared" si="88"/>
        <v/>
      </c>
      <c r="B767" s="75" t="str">
        <f>IFERROR(INDEX(对接源_01入库吨位!$B$5:$B$304,MATCH(INT((ROW()-5)/3)+1,对接源_01入库吨位!$S$5:$S$304,0)),"")</f>
        <v/>
      </c>
      <c r="C767" s="75" t="str">
        <f>IFERROR(INDEX(对接源_01入库吨位!$C$5:$C$304,MATCH(INT((ROW()-5)/3)+1,对接源_01入库吨位!$S$5:$S$304,0)),"")</f>
        <v/>
      </c>
      <c r="D767" s="89" t="str">
        <f t="shared" si="89"/>
        <v/>
      </c>
      <c r="E767" s="42" t="str">
        <f>IF($B767="","",IFERROR(IF($D767="周转打冷",N(INDEX(对接源_01入库吨位!$D$5:$D$304,MATCH(INT((ROW()-5)/3)+1,对接源_01入库吨位!$S$5:$S$304,0))),IF($D767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7" s="76" t="str">
        <f>IF($B767="","",ROUND(IFERROR(IF($D767="周转打冷",N(INDEX(对接源_01入库吨位!$H$5:$H$304,MATCH(INT((ROW()-5)/3)+1,对接源_01入库吨位!$S$5:$S$304,0))),IF($D767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7" s="122" t="str">
        <f t="shared" si="90"/>
        <v/>
      </c>
      <c r="H767" s="43"/>
      <c r="I767" s="107"/>
      <c r="J767" s="123" t="str">
        <f t="shared" si="91"/>
        <v/>
      </c>
      <c r="K767" s="76" t="str">
        <f t="shared" si="92"/>
        <v/>
      </c>
      <c r="L767" s="43"/>
      <c r="M767" s="7"/>
      <c r="N767" s="106"/>
      <c r="R767" s="3" t="str">
        <f t="shared" si="93"/>
        <v/>
      </c>
      <c r="S767" s="3">
        <f t="shared" si="94"/>
        <v>0</v>
      </c>
      <c r="T767" s="3">
        <f t="shared" si="95"/>
        <v>13</v>
      </c>
    </row>
    <row r="768" spans="1:20">
      <c r="A768" s="74" t="str">
        <f t="shared" si="88"/>
        <v/>
      </c>
      <c r="B768" s="75" t="str">
        <f>IFERROR(INDEX(对接源_01入库吨位!$B$5:$B$304,MATCH(INT((ROW()-5)/3)+1,对接源_01入库吨位!$S$5:$S$304,0)),"")</f>
        <v/>
      </c>
      <c r="C768" s="75" t="str">
        <f>IFERROR(INDEX(对接源_01入库吨位!$C$5:$C$304,MATCH(INT((ROW()-5)/3)+1,对接源_01入库吨位!$S$5:$S$304,0)),"")</f>
        <v/>
      </c>
      <c r="D768" s="89" t="str">
        <f t="shared" si="89"/>
        <v/>
      </c>
      <c r="E768" s="42" t="str">
        <f>IF($B768="","",IFERROR(IF($D768="周转打冷",N(INDEX(对接源_01入库吨位!$D$5:$D$304,MATCH(INT((ROW()-5)/3)+1,对接源_01入库吨位!$S$5:$S$304,0))),IF($D768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8" s="76" t="str">
        <f>IF($B768="","",ROUND(IFERROR(IF($D768="周转打冷",N(INDEX(对接源_01入库吨位!$H$5:$H$304,MATCH(INT((ROW()-5)/3)+1,对接源_01入库吨位!$S$5:$S$304,0))),IF($D768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8" s="122" t="str">
        <f t="shared" si="90"/>
        <v/>
      </c>
      <c r="H768" s="43"/>
      <c r="I768" s="107"/>
      <c r="J768" s="123" t="str">
        <f t="shared" si="91"/>
        <v/>
      </c>
      <c r="K768" s="76" t="str">
        <f t="shared" si="92"/>
        <v/>
      </c>
      <c r="L768" s="43"/>
      <c r="M768" s="7"/>
      <c r="N768" s="106"/>
      <c r="R768" s="3" t="str">
        <f t="shared" si="93"/>
        <v/>
      </c>
      <c r="S768" s="3">
        <f t="shared" si="94"/>
        <v>0</v>
      </c>
      <c r="T768" s="3">
        <f t="shared" si="95"/>
        <v>13</v>
      </c>
    </row>
    <row r="769" spans="1:20">
      <c r="A769" s="74" t="str">
        <f t="shared" si="88"/>
        <v/>
      </c>
      <c r="B769" s="75" t="str">
        <f>IFERROR(INDEX(对接源_01入库吨位!$B$5:$B$304,MATCH(INT((ROW()-5)/3)+1,对接源_01入库吨位!$S$5:$S$304,0)),"")</f>
        <v/>
      </c>
      <c r="C769" s="75" t="str">
        <f>IFERROR(INDEX(对接源_01入库吨位!$C$5:$C$304,MATCH(INT((ROW()-5)/3)+1,对接源_01入库吨位!$S$5:$S$304,0)),"")</f>
        <v/>
      </c>
      <c r="D769" s="89" t="str">
        <f t="shared" si="89"/>
        <v/>
      </c>
      <c r="E769" s="42" t="str">
        <f>IF($B769="","",IFERROR(IF($D769="周转打冷",N(INDEX(对接源_01入库吨位!$D$5:$D$304,MATCH(INT((ROW()-5)/3)+1,对接源_01入库吨位!$S$5:$S$304,0))),IF($D769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9" s="76" t="str">
        <f>IF($B769="","",ROUND(IFERROR(IF($D769="周转打冷",N(INDEX(对接源_01入库吨位!$H$5:$H$304,MATCH(INT((ROW()-5)/3)+1,对接源_01入库吨位!$S$5:$S$304,0))),IF($D769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9" s="122" t="str">
        <f t="shared" si="90"/>
        <v/>
      </c>
      <c r="H769" s="43"/>
      <c r="I769" s="107"/>
      <c r="J769" s="123" t="str">
        <f t="shared" si="91"/>
        <v/>
      </c>
      <c r="K769" s="76" t="str">
        <f t="shared" si="92"/>
        <v/>
      </c>
      <c r="L769" s="43"/>
      <c r="M769" s="7"/>
      <c r="N769" s="106"/>
      <c r="R769" s="3" t="str">
        <f t="shared" si="93"/>
        <v/>
      </c>
      <c r="S769" s="3">
        <f t="shared" si="94"/>
        <v>0</v>
      </c>
      <c r="T769" s="3">
        <f t="shared" si="95"/>
        <v>13</v>
      </c>
    </row>
    <row r="770" spans="1:20">
      <c r="A770" s="74" t="str">
        <f t="shared" si="88"/>
        <v/>
      </c>
      <c r="B770" s="75" t="str">
        <f>IFERROR(INDEX(对接源_01入库吨位!$B$5:$B$304,MATCH(INT((ROW()-5)/3)+1,对接源_01入库吨位!$S$5:$S$304,0)),"")</f>
        <v/>
      </c>
      <c r="C770" s="75" t="str">
        <f>IFERROR(INDEX(对接源_01入库吨位!$C$5:$C$304,MATCH(INT((ROW()-5)/3)+1,对接源_01入库吨位!$S$5:$S$304,0)),"")</f>
        <v/>
      </c>
      <c r="D770" s="89" t="str">
        <f t="shared" si="89"/>
        <v/>
      </c>
      <c r="E770" s="42" t="str">
        <f>IF($B770="","",IFERROR(IF($D770="周转打冷",N(INDEX(对接源_01入库吨位!$D$5:$D$304,MATCH(INT((ROW()-5)/3)+1,对接源_01入库吨位!$S$5:$S$304,0))),IF($D770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0" s="76" t="str">
        <f>IF($B770="","",ROUND(IFERROR(IF($D770="周转打冷",N(INDEX(对接源_01入库吨位!$H$5:$H$304,MATCH(INT((ROW()-5)/3)+1,对接源_01入库吨位!$S$5:$S$304,0))),IF($D770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0" s="122" t="str">
        <f t="shared" si="90"/>
        <v/>
      </c>
      <c r="H770" s="43"/>
      <c r="I770" s="107"/>
      <c r="J770" s="123" t="str">
        <f t="shared" si="91"/>
        <v/>
      </c>
      <c r="K770" s="76" t="str">
        <f t="shared" si="92"/>
        <v/>
      </c>
      <c r="L770" s="43"/>
      <c r="M770" s="7"/>
      <c r="N770" s="106"/>
      <c r="R770" s="3" t="str">
        <f t="shared" si="93"/>
        <v/>
      </c>
      <c r="S770" s="3">
        <f t="shared" si="94"/>
        <v>0</v>
      </c>
      <c r="T770" s="3">
        <f t="shared" si="95"/>
        <v>13</v>
      </c>
    </row>
    <row r="771" spans="1:20">
      <c r="A771" s="74" t="str">
        <f t="shared" si="88"/>
        <v/>
      </c>
      <c r="B771" s="75" t="str">
        <f>IFERROR(INDEX(对接源_01入库吨位!$B$5:$B$304,MATCH(INT((ROW()-5)/3)+1,对接源_01入库吨位!$S$5:$S$304,0)),"")</f>
        <v/>
      </c>
      <c r="C771" s="75" t="str">
        <f>IFERROR(INDEX(对接源_01入库吨位!$C$5:$C$304,MATCH(INT((ROW()-5)/3)+1,对接源_01入库吨位!$S$5:$S$304,0)),"")</f>
        <v/>
      </c>
      <c r="D771" s="89" t="str">
        <f t="shared" si="89"/>
        <v/>
      </c>
      <c r="E771" s="42" t="str">
        <f>IF($B771="","",IFERROR(IF($D771="周转打冷",N(INDEX(对接源_01入库吨位!$D$5:$D$304,MATCH(INT((ROW()-5)/3)+1,对接源_01入库吨位!$S$5:$S$304,0))),IF($D771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1" s="76" t="str">
        <f>IF($B771="","",ROUND(IFERROR(IF($D771="周转打冷",N(INDEX(对接源_01入库吨位!$H$5:$H$304,MATCH(INT((ROW()-5)/3)+1,对接源_01入库吨位!$S$5:$S$304,0))),IF($D771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1" s="122" t="str">
        <f t="shared" si="90"/>
        <v/>
      </c>
      <c r="H771" s="43"/>
      <c r="I771" s="107"/>
      <c r="J771" s="123" t="str">
        <f t="shared" si="91"/>
        <v/>
      </c>
      <c r="K771" s="76" t="str">
        <f t="shared" si="92"/>
        <v/>
      </c>
      <c r="L771" s="43"/>
      <c r="M771" s="7"/>
      <c r="N771" s="106"/>
      <c r="R771" s="3" t="str">
        <f t="shared" si="93"/>
        <v/>
      </c>
      <c r="S771" s="3">
        <f t="shared" si="94"/>
        <v>0</v>
      </c>
      <c r="T771" s="3">
        <f t="shared" si="95"/>
        <v>13</v>
      </c>
    </row>
    <row r="772" spans="1:20">
      <c r="A772" s="74" t="str">
        <f t="shared" si="88"/>
        <v/>
      </c>
      <c r="B772" s="75" t="str">
        <f>IFERROR(INDEX(对接源_01入库吨位!$B$5:$B$304,MATCH(INT((ROW()-5)/3)+1,对接源_01入库吨位!$S$5:$S$304,0)),"")</f>
        <v/>
      </c>
      <c r="C772" s="75" t="str">
        <f>IFERROR(INDEX(对接源_01入库吨位!$C$5:$C$304,MATCH(INT((ROW()-5)/3)+1,对接源_01入库吨位!$S$5:$S$304,0)),"")</f>
        <v/>
      </c>
      <c r="D772" s="89" t="str">
        <f t="shared" si="89"/>
        <v/>
      </c>
      <c r="E772" s="42" t="str">
        <f>IF($B772="","",IFERROR(IF($D772="周转打冷",N(INDEX(对接源_01入库吨位!$D$5:$D$304,MATCH(INT((ROW()-5)/3)+1,对接源_01入库吨位!$S$5:$S$304,0))),IF($D772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2" s="76" t="str">
        <f>IF($B772="","",ROUND(IFERROR(IF($D772="周转打冷",N(INDEX(对接源_01入库吨位!$H$5:$H$304,MATCH(INT((ROW()-5)/3)+1,对接源_01入库吨位!$S$5:$S$304,0))),IF($D772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2" s="122" t="str">
        <f t="shared" si="90"/>
        <v/>
      </c>
      <c r="H772" s="43"/>
      <c r="I772" s="107"/>
      <c r="J772" s="123" t="str">
        <f t="shared" si="91"/>
        <v/>
      </c>
      <c r="K772" s="76" t="str">
        <f t="shared" si="92"/>
        <v/>
      </c>
      <c r="L772" s="43"/>
      <c r="M772" s="7"/>
      <c r="N772" s="106"/>
      <c r="R772" s="3" t="str">
        <f t="shared" si="93"/>
        <v/>
      </c>
      <c r="S772" s="3">
        <f t="shared" si="94"/>
        <v>0</v>
      </c>
      <c r="T772" s="3">
        <f t="shared" si="95"/>
        <v>13</v>
      </c>
    </row>
    <row r="773" spans="1:20">
      <c r="A773" s="74" t="str">
        <f t="shared" ref="A773:A836" si="96">IF($B773="","",ROW()-4)</f>
        <v/>
      </c>
      <c r="B773" s="75" t="str">
        <f>IFERROR(INDEX(对接源_01入库吨位!$B$5:$B$304,MATCH(INT((ROW()-5)/3)+1,对接源_01入库吨位!$S$5:$S$304,0)),"")</f>
        <v/>
      </c>
      <c r="C773" s="75" t="str">
        <f>IFERROR(INDEX(对接源_01入库吨位!$C$5:$C$304,MATCH(INT((ROW()-5)/3)+1,对接源_01入库吨位!$S$5:$S$304,0)),"")</f>
        <v/>
      </c>
      <c r="D773" s="89" t="str">
        <f t="shared" ref="D773:D836" si="97">IF($B773="","",IF(MOD(ROW()-5,3)=0,"周转打冷",IF(MOD(ROW()-5,3)=1,"仓储加工","装卸费")))</f>
        <v/>
      </c>
      <c r="E773" s="42" t="str">
        <f>IF($B773="","",IFERROR(IF($D773="周转打冷",N(INDEX(对接源_01入库吨位!$D$5:$D$304,MATCH(INT((ROW()-5)/3)+1,对接源_01入库吨位!$S$5:$S$304,0))),IF($D773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3" s="76" t="str">
        <f>IF($B773="","",ROUND(IFERROR(IF($D773="周转打冷",N(INDEX(对接源_01入库吨位!$H$5:$H$304,MATCH(INT((ROW()-5)/3)+1,对接源_01入库吨位!$S$5:$S$304,0))),IF($D773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3" s="122" t="str">
        <f t="shared" ref="G773:G836" si="98">IF($B773="","",ROUND(N($F773)/1000,3))</f>
        <v/>
      </c>
      <c r="H773" s="43"/>
      <c r="I773" s="107"/>
      <c r="J773" s="123" t="str">
        <f t="shared" ref="J773:J836" si="99">IF($B773="","",IF($H773="按筐数×单价",N($E773),IF($H773="按总重KG×单价",N($F773),IF($H773="按吨位×单价",N($G773),0))))</f>
        <v/>
      </c>
      <c r="K773" s="76" t="str">
        <f t="shared" ref="K773:K836" si="100">IF($B773="","",ROUND(N($J773)*N($I773),2))</f>
        <v/>
      </c>
      <c r="L773" s="43"/>
      <c r="M773" s="7"/>
      <c r="N773" s="106"/>
      <c r="R773" s="3" t="str">
        <f t="shared" ref="R773:R836" si="101">IF($B773="","",$B773)</f>
        <v/>
      </c>
      <c r="S773" s="3">
        <f t="shared" ref="S773:S836" si="102">IF($R773="",0,IF(MATCH($R773,$R$5:$R$904,0)=ROW()-4,1,0))</f>
        <v>0</v>
      </c>
      <c r="T773" s="3">
        <f t="shared" ref="T773:T836" si="103">N(T772)+$S773</f>
        <v>13</v>
      </c>
    </row>
    <row r="774" spans="1:20">
      <c r="A774" s="74" t="str">
        <f t="shared" si="96"/>
        <v/>
      </c>
      <c r="B774" s="75" t="str">
        <f>IFERROR(INDEX(对接源_01入库吨位!$B$5:$B$304,MATCH(INT((ROW()-5)/3)+1,对接源_01入库吨位!$S$5:$S$304,0)),"")</f>
        <v/>
      </c>
      <c r="C774" s="75" t="str">
        <f>IFERROR(INDEX(对接源_01入库吨位!$C$5:$C$304,MATCH(INT((ROW()-5)/3)+1,对接源_01入库吨位!$S$5:$S$304,0)),"")</f>
        <v/>
      </c>
      <c r="D774" s="89" t="str">
        <f t="shared" si="97"/>
        <v/>
      </c>
      <c r="E774" s="42" t="str">
        <f>IF($B774="","",IFERROR(IF($D774="周转打冷",N(INDEX(对接源_01入库吨位!$D$5:$D$304,MATCH(INT((ROW()-5)/3)+1,对接源_01入库吨位!$S$5:$S$304,0))),IF($D774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4" s="76" t="str">
        <f>IF($B774="","",ROUND(IFERROR(IF($D774="周转打冷",N(INDEX(对接源_01入库吨位!$H$5:$H$304,MATCH(INT((ROW()-5)/3)+1,对接源_01入库吨位!$S$5:$S$304,0))),IF($D774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4" s="122" t="str">
        <f t="shared" si="98"/>
        <v/>
      </c>
      <c r="H774" s="43"/>
      <c r="I774" s="107"/>
      <c r="J774" s="123" t="str">
        <f t="shared" si="99"/>
        <v/>
      </c>
      <c r="K774" s="76" t="str">
        <f t="shared" si="100"/>
        <v/>
      </c>
      <c r="L774" s="43"/>
      <c r="M774" s="7"/>
      <c r="N774" s="106"/>
      <c r="R774" s="3" t="str">
        <f t="shared" si="101"/>
        <v/>
      </c>
      <c r="S774" s="3">
        <f t="shared" si="102"/>
        <v>0</v>
      </c>
      <c r="T774" s="3">
        <f t="shared" si="103"/>
        <v>13</v>
      </c>
    </row>
    <row r="775" spans="1:20">
      <c r="A775" s="74" t="str">
        <f t="shared" si="96"/>
        <v/>
      </c>
      <c r="B775" s="75" t="str">
        <f>IFERROR(INDEX(对接源_01入库吨位!$B$5:$B$304,MATCH(INT((ROW()-5)/3)+1,对接源_01入库吨位!$S$5:$S$304,0)),"")</f>
        <v/>
      </c>
      <c r="C775" s="75" t="str">
        <f>IFERROR(INDEX(对接源_01入库吨位!$C$5:$C$304,MATCH(INT((ROW()-5)/3)+1,对接源_01入库吨位!$S$5:$S$304,0)),"")</f>
        <v/>
      </c>
      <c r="D775" s="89" t="str">
        <f t="shared" si="97"/>
        <v/>
      </c>
      <c r="E775" s="42" t="str">
        <f>IF($B775="","",IFERROR(IF($D775="周转打冷",N(INDEX(对接源_01入库吨位!$D$5:$D$304,MATCH(INT((ROW()-5)/3)+1,对接源_01入库吨位!$S$5:$S$304,0))),IF($D775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5" s="76" t="str">
        <f>IF($B775="","",ROUND(IFERROR(IF($D775="周转打冷",N(INDEX(对接源_01入库吨位!$H$5:$H$304,MATCH(INT((ROW()-5)/3)+1,对接源_01入库吨位!$S$5:$S$304,0))),IF($D775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5" s="122" t="str">
        <f t="shared" si="98"/>
        <v/>
      </c>
      <c r="H775" s="43"/>
      <c r="I775" s="107"/>
      <c r="J775" s="123" t="str">
        <f t="shared" si="99"/>
        <v/>
      </c>
      <c r="K775" s="76" t="str">
        <f t="shared" si="100"/>
        <v/>
      </c>
      <c r="L775" s="43"/>
      <c r="M775" s="7"/>
      <c r="N775" s="106"/>
      <c r="R775" s="3" t="str">
        <f t="shared" si="101"/>
        <v/>
      </c>
      <c r="S775" s="3">
        <f t="shared" si="102"/>
        <v>0</v>
      </c>
      <c r="T775" s="3">
        <f t="shared" si="103"/>
        <v>13</v>
      </c>
    </row>
    <row r="776" spans="1:20">
      <c r="A776" s="74" t="str">
        <f t="shared" si="96"/>
        <v/>
      </c>
      <c r="B776" s="75" t="str">
        <f>IFERROR(INDEX(对接源_01入库吨位!$B$5:$B$304,MATCH(INT((ROW()-5)/3)+1,对接源_01入库吨位!$S$5:$S$304,0)),"")</f>
        <v/>
      </c>
      <c r="C776" s="75" t="str">
        <f>IFERROR(INDEX(对接源_01入库吨位!$C$5:$C$304,MATCH(INT((ROW()-5)/3)+1,对接源_01入库吨位!$S$5:$S$304,0)),"")</f>
        <v/>
      </c>
      <c r="D776" s="89" t="str">
        <f t="shared" si="97"/>
        <v/>
      </c>
      <c r="E776" s="42" t="str">
        <f>IF($B776="","",IFERROR(IF($D776="周转打冷",N(INDEX(对接源_01入库吨位!$D$5:$D$304,MATCH(INT((ROW()-5)/3)+1,对接源_01入库吨位!$S$5:$S$304,0))),IF($D776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6" s="76" t="str">
        <f>IF($B776="","",ROUND(IFERROR(IF($D776="周转打冷",N(INDEX(对接源_01入库吨位!$H$5:$H$304,MATCH(INT((ROW()-5)/3)+1,对接源_01入库吨位!$S$5:$S$304,0))),IF($D776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6" s="122" t="str">
        <f t="shared" si="98"/>
        <v/>
      </c>
      <c r="H776" s="43"/>
      <c r="I776" s="107"/>
      <c r="J776" s="123" t="str">
        <f t="shared" si="99"/>
        <v/>
      </c>
      <c r="K776" s="76" t="str">
        <f t="shared" si="100"/>
        <v/>
      </c>
      <c r="L776" s="43"/>
      <c r="M776" s="7"/>
      <c r="N776" s="106"/>
      <c r="R776" s="3" t="str">
        <f t="shared" si="101"/>
        <v/>
      </c>
      <c r="S776" s="3">
        <f t="shared" si="102"/>
        <v>0</v>
      </c>
      <c r="T776" s="3">
        <f t="shared" si="103"/>
        <v>13</v>
      </c>
    </row>
    <row r="777" spans="1:20">
      <c r="A777" s="74" t="str">
        <f t="shared" si="96"/>
        <v/>
      </c>
      <c r="B777" s="75" t="str">
        <f>IFERROR(INDEX(对接源_01入库吨位!$B$5:$B$304,MATCH(INT((ROW()-5)/3)+1,对接源_01入库吨位!$S$5:$S$304,0)),"")</f>
        <v/>
      </c>
      <c r="C777" s="75" t="str">
        <f>IFERROR(INDEX(对接源_01入库吨位!$C$5:$C$304,MATCH(INT((ROW()-5)/3)+1,对接源_01入库吨位!$S$5:$S$304,0)),"")</f>
        <v/>
      </c>
      <c r="D777" s="89" t="str">
        <f t="shared" si="97"/>
        <v/>
      </c>
      <c r="E777" s="42" t="str">
        <f>IF($B777="","",IFERROR(IF($D777="周转打冷",N(INDEX(对接源_01入库吨位!$D$5:$D$304,MATCH(INT((ROW()-5)/3)+1,对接源_01入库吨位!$S$5:$S$304,0))),IF($D777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7" s="76" t="str">
        <f>IF($B777="","",ROUND(IFERROR(IF($D777="周转打冷",N(INDEX(对接源_01入库吨位!$H$5:$H$304,MATCH(INT((ROW()-5)/3)+1,对接源_01入库吨位!$S$5:$S$304,0))),IF($D777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7" s="122" t="str">
        <f t="shared" si="98"/>
        <v/>
      </c>
      <c r="H777" s="43"/>
      <c r="I777" s="107"/>
      <c r="J777" s="123" t="str">
        <f t="shared" si="99"/>
        <v/>
      </c>
      <c r="K777" s="76" t="str">
        <f t="shared" si="100"/>
        <v/>
      </c>
      <c r="L777" s="43"/>
      <c r="M777" s="7"/>
      <c r="N777" s="106"/>
      <c r="R777" s="3" t="str">
        <f t="shared" si="101"/>
        <v/>
      </c>
      <c r="S777" s="3">
        <f t="shared" si="102"/>
        <v>0</v>
      </c>
      <c r="T777" s="3">
        <f t="shared" si="103"/>
        <v>13</v>
      </c>
    </row>
    <row r="778" spans="1:20">
      <c r="A778" s="74" t="str">
        <f t="shared" si="96"/>
        <v/>
      </c>
      <c r="B778" s="75" t="str">
        <f>IFERROR(INDEX(对接源_01入库吨位!$B$5:$B$304,MATCH(INT((ROW()-5)/3)+1,对接源_01入库吨位!$S$5:$S$304,0)),"")</f>
        <v/>
      </c>
      <c r="C778" s="75" t="str">
        <f>IFERROR(INDEX(对接源_01入库吨位!$C$5:$C$304,MATCH(INT((ROW()-5)/3)+1,对接源_01入库吨位!$S$5:$S$304,0)),"")</f>
        <v/>
      </c>
      <c r="D778" s="89" t="str">
        <f t="shared" si="97"/>
        <v/>
      </c>
      <c r="E778" s="42" t="str">
        <f>IF($B778="","",IFERROR(IF($D778="周转打冷",N(INDEX(对接源_01入库吨位!$D$5:$D$304,MATCH(INT((ROW()-5)/3)+1,对接源_01入库吨位!$S$5:$S$304,0))),IF($D778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8" s="76" t="str">
        <f>IF($B778="","",ROUND(IFERROR(IF($D778="周转打冷",N(INDEX(对接源_01入库吨位!$H$5:$H$304,MATCH(INT((ROW()-5)/3)+1,对接源_01入库吨位!$S$5:$S$304,0))),IF($D778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8" s="122" t="str">
        <f t="shared" si="98"/>
        <v/>
      </c>
      <c r="H778" s="43"/>
      <c r="I778" s="107"/>
      <c r="J778" s="123" t="str">
        <f t="shared" si="99"/>
        <v/>
      </c>
      <c r="K778" s="76" t="str">
        <f t="shared" si="100"/>
        <v/>
      </c>
      <c r="L778" s="43"/>
      <c r="M778" s="7"/>
      <c r="N778" s="106"/>
      <c r="R778" s="3" t="str">
        <f t="shared" si="101"/>
        <v/>
      </c>
      <c r="S778" s="3">
        <f t="shared" si="102"/>
        <v>0</v>
      </c>
      <c r="T778" s="3">
        <f t="shared" si="103"/>
        <v>13</v>
      </c>
    </row>
    <row r="779" spans="1:20">
      <c r="A779" s="74" t="str">
        <f t="shared" si="96"/>
        <v/>
      </c>
      <c r="B779" s="75" t="str">
        <f>IFERROR(INDEX(对接源_01入库吨位!$B$5:$B$304,MATCH(INT((ROW()-5)/3)+1,对接源_01入库吨位!$S$5:$S$304,0)),"")</f>
        <v/>
      </c>
      <c r="C779" s="75" t="str">
        <f>IFERROR(INDEX(对接源_01入库吨位!$C$5:$C$304,MATCH(INT((ROW()-5)/3)+1,对接源_01入库吨位!$S$5:$S$304,0)),"")</f>
        <v/>
      </c>
      <c r="D779" s="89" t="str">
        <f t="shared" si="97"/>
        <v/>
      </c>
      <c r="E779" s="42" t="str">
        <f>IF($B779="","",IFERROR(IF($D779="周转打冷",N(INDEX(对接源_01入库吨位!$D$5:$D$304,MATCH(INT((ROW()-5)/3)+1,对接源_01入库吨位!$S$5:$S$304,0))),IF($D779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9" s="76" t="str">
        <f>IF($B779="","",ROUND(IFERROR(IF($D779="周转打冷",N(INDEX(对接源_01入库吨位!$H$5:$H$304,MATCH(INT((ROW()-5)/3)+1,对接源_01入库吨位!$S$5:$S$304,0))),IF($D779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9" s="122" t="str">
        <f t="shared" si="98"/>
        <v/>
      </c>
      <c r="H779" s="43"/>
      <c r="I779" s="107"/>
      <c r="J779" s="123" t="str">
        <f t="shared" si="99"/>
        <v/>
      </c>
      <c r="K779" s="76" t="str">
        <f t="shared" si="100"/>
        <v/>
      </c>
      <c r="L779" s="43"/>
      <c r="M779" s="7"/>
      <c r="N779" s="106"/>
      <c r="R779" s="3" t="str">
        <f t="shared" si="101"/>
        <v/>
      </c>
      <c r="S779" s="3">
        <f t="shared" si="102"/>
        <v>0</v>
      </c>
      <c r="T779" s="3">
        <f t="shared" si="103"/>
        <v>13</v>
      </c>
    </row>
    <row r="780" spans="1:20">
      <c r="A780" s="74" t="str">
        <f t="shared" si="96"/>
        <v/>
      </c>
      <c r="B780" s="75" t="str">
        <f>IFERROR(INDEX(对接源_01入库吨位!$B$5:$B$304,MATCH(INT((ROW()-5)/3)+1,对接源_01入库吨位!$S$5:$S$304,0)),"")</f>
        <v/>
      </c>
      <c r="C780" s="75" t="str">
        <f>IFERROR(INDEX(对接源_01入库吨位!$C$5:$C$304,MATCH(INT((ROW()-5)/3)+1,对接源_01入库吨位!$S$5:$S$304,0)),"")</f>
        <v/>
      </c>
      <c r="D780" s="89" t="str">
        <f t="shared" si="97"/>
        <v/>
      </c>
      <c r="E780" s="42" t="str">
        <f>IF($B780="","",IFERROR(IF($D780="周转打冷",N(INDEX(对接源_01入库吨位!$D$5:$D$304,MATCH(INT((ROW()-5)/3)+1,对接源_01入库吨位!$S$5:$S$304,0))),IF($D780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0" s="76" t="str">
        <f>IF($B780="","",ROUND(IFERROR(IF($D780="周转打冷",N(INDEX(对接源_01入库吨位!$H$5:$H$304,MATCH(INT((ROW()-5)/3)+1,对接源_01入库吨位!$S$5:$S$304,0))),IF($D780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0" s="122" t="str">
        <f t="shared" si="98"/>
        <v/>
      </c>
      <c r="H780" s="43"/>
      <c r="I780" s="107"/>
      <c r="J780" s="123" t="str">
        <f t="shared" si="99"/>
        <v/>
      </c>
      <c r="K780" s="76" t="str">
        <f t="shared" si="100"/>
        <v/>
      </c>
      <c r="L780" s="43"/>
      <c r="M780" s="7"/>
      <c r="N780" s="106"/>
      <c r="R780" s="3" t="str">
        <f t="shared" si="101"/>
        <v/>
      </c>
      <c r="S780" s="3">
        <f t="shared" si="102"/>
        <v>0</v>
      </c>
      <c r="T780" s="3">
        <f t="shared" si="103"/>
        <v>13</v>
      </c>
    </row>
    <row r="781" spans="1:20">
      <c r="A781" s="74" t="str">
        <f t="shared" si="96"/>
        <v/>
      </c>
      <c r="B781" s="75" t="str">
        <f>IFERROR(INDEX(对接源_01入库吨位!$B$5:$B$304,MATCH(INT((ROW()-5)/3)+1,对接源_01入库吨位!$S$5:$S$304,0)),"")</f>
        <v/>
      </c>
      <c r="C781" s="75" t="str">
        <f>IFERROR(INDEX(对接源_01入库吨位!$C$5:$C$304,MATCH(INT((ROW()-5)/3)+1,对接源_01入库吨位!$S$5:$S$304,0)),"")</f>
        <v/>
      </c>
      <c r="D781" s="89" t="str">
        <f t="shared" si="97"/>
        <v/>
      </c>
      <c r="E781" s="42" t="str">
        <f>IF($B781="","",IFERROR(IF($D781="周转打冷",N(INDEX(对接源_01入库吨位!$D$5:$D$304,MATCH(INT((ROW()-5)/3)+1,对接源_01入库吨位!$S$5:$S$304,0))),IF($D781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1" s="76" t="str">
        <f>IF($B781="","",ROUND(IFERROR(IF($D781="周转打冷",N(INDEX(对接源_01入库吨位!$H$5:$H$304,MATCH(INT((ROW()-5)/3)+1,对接源_01入库吨位!$S$5:$S$304,0))),IF($D781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1" s="122" t="str">
        <f t="shared" si="98"/>
        <v/>
      </c>
      <c r="H781" s="43"/>
      <c r="I781" s="107"/>
      <c r="J781" s="123" t="str">
        <f t="shared" si="99"/>
        <v/>
      </c>
      <c r="K781" s="76" t="str">
        <f t="shared" si="100"/>
        <v/>
      </c>
      <c r="L781" s="43"/>
      <c r="M781" s="7"/>
      <c r="N781" s="106"/>
      <c r="R781" s="3" t="str">
        <f t="shared" si="101"/>
        <v/>
      </c>
      <c r="S781" s="3">
        <f t="shared" si="102"/>
        <v>0</v>
      </c>
      <c r="T781" s="3">
        <f t="shared" si="103"/>
        <v>13</v>
      </c>
    </row>
    <row r="782" spans="1:20">
      <c r="A782" s="74" t="str">
        <f t="shared" si="96"/>
        <v/>
      </c>
      <c r="B782" s="75" t="str">
        <f>IFERROR(INDEX(对接源_01入库吨位!$B$5:$B$304,MATCH(INT((ROW()-5)/3)+1,对接源_01入库吨位!$S$5:$S$304,0)),"")</f>
        <v/>
      </c>
      <c r="C782" s="75" t="str">
        <f>IFERROR(INDEX(对接源_01入库吨位!$C$5:$C$304,MATCH(INT((ROW()-5)/3)+1,对接源_01入库吨位!$S$5:$S$304,0)),"")</f>
        <v/>
      </c>
      <c r="D782" s="89" t="str">
        <f t="shared" si="97"/>
        <v/>
      </c>
      <c r="E782" s="42" t="str">
        <f>IF($B782="","",IFERROR(IF($D782="周转打冷",N(INDEX(对接源_01入库吨位!$D$5:$D$304,MATCH(INT((ROW()-5)/3)+1,对接源_01入库吨位!$S$5:$S$304,0))),IF($D782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2" s="76" t="str">
        <f>IF($B782="","",ROUND(IFERROR(IF($D782="周转打冷",N(INDEX(对接源_01入库吨位!$H$5:$H$304,MATCH(INT((ROW()-5)/3)+1,对接源_01入库吨位!$S$5:$S$304,0))),IF($D782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2" s="122" t="str">
        <f t="shared" si="98"/>
        <v/>
      </c>
      <c r="H782" s="43"/>
      <c r="I782" s="107"/>
      <c r="J782" s="123" t="str">
        <f t="shared" si="99"/>
        <v/>
      </c>
      <c r="K782" s="76" t="str">
        <f t="shared" si="100"/>
        <v/>
      </c>
      <c r="L782" s="43"/>
      <c r="M782" s="7"/>
      <c r="N782" s="106"/>
      <c r="R782" s="3" t="str">
        <f t="shared" si="101"/>
        <v/>
      </c>
      <c r="S782" s="3">
        <f t="shared" si="102"/>
        <v>0</v>
      </c>
      <c r="T782" s="3">
        <f t="shared" si="103"/>
        <v>13</v>
      </c>
    </row>
    <row r="783" spans="1:20">
      <c r="A783" s="74" t="str">
        <f t="shared" si="96"/>
        <v/>
      </c>
      <c r="B783" s="75" t="str">
        <f>IFERROR(INDEX(对接源_01入库吨位!$B$5:$B$304,MATCH(INT((ROW()-5)/3)+1,对接源_01入库吨位!$S$5:$S$304,0)),"")</f>
        <v/>
      </c>
      <c r="C783" s="75" t="str">
        <f>IFERROR(INDEX(对接源_01入库吨位!$C$5:$C$304,MATCH(INT((ROW()-5)/3)+1,对接源_01入库吨位!$S$5:$S$304,0)),"")</f>
        <v/>
      </c>
      <c r="D783" s="89" t="str">
        <f t="shared" si="97"/>
        <v/>
      </c>
      <c r="E783" s="42" t="str">
        <f>IF($B783="","",IFERROR(IF($D783="周转打冷",N(INDEX(对接源_01入库吨位!$D$5:$D$304,MATCH(INT((ROW()-5)/3)+1,对接源_01入库吨位!$S$5:$S$304,0))),IF($D783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3" s="76" t="str">
        <f>IF($B783="","",ROUND(IFERROR(IF($D783="周转打冷",N(INDEX(对接源_01入库吨位!$H$5:$H$304,MATCH(INT((ROW()-5)/3)+1,对接源_01入库吨位!$S$5:$S$304,0))),IF($D783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3" s="122" t="str">
        <f t="shared" si="98"/>
        <v/>
      </c>
      <c r="H783" s="43"/>
      <c r="I783" s="107"/>
      <c r="J783" s="123" t="str">
        <f t="shared" si="99"/>
        <v/>
      </c>
      <c r="K783" s="76" t="str">
        <f t="shared" si="100"/>
        <v/>
      </c>
      <c r="L783" s="43"/>
      <c r="M783" s="7"/>
      <c r="N783" s="106"/>
      <c r="R783" s="3" t="str">
        <f t="shared" si="101"/>
        <v/>
      </c>
      <c r="S783" s="3">
        <f t="shared" si="102"/>
        <v>0</v>
      </c>
      <c r="T783" s="3">
        <f t="shared" si="103"/>
        <v>13</v>
      </c>
    </row>
    <row r="784" spans="1:20">
      <c r="A784" s="74" t="str">
        <f t="shared" si="96"/>
        <v/>
      </c>
      <c r="B784" s="75" t="str">
        <f>IFERROR(INDEX(对接源_01入库吨位!$B$5:$B$304,MATCH(INT((ROW()-5)/3)+1,对接源_01入库吨位!$S$5:$S$304,0)),"")</f>
        <v/>
      </c>
      <c r="C784" s="75" t="str">
        <f>IFERROR(INDEX(对接源_01入库吨位!$C$5:$C$304,MATCH(INT((ROW()-5)/3)+1,对接源_01入库吨位!$S$5:$S$304,0)),"")</f>
        <v/>
      </c>
      <c r="D784" s="89" t="str">
        <f t="shared" si="97"/>
        <v/>
      </c>
      <c r="E784" s="42" t="str">
        <f>IF($B784="","",IFERROR(IF($D784="周转打冷",N(INDEX(对接源_01入库吨位!$D$5:$D$304,MATCH(INT((ROW()-5)/3)+1,对接源_01入库吨位!$S$5:$S$304,0))),IF($D784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4" s="76" t="str">
        <f>IF($B784="","",ROUND(IFERROR(IF($D784="周转打冷",N(INDEX(对接源_01入库吨位!$H$5:$H$304,MATCH(INT((ROW()-5)/3)+1,对接源_01入库吨位!$S$5:$S$304,0))),IF($D784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4" s="122" t="str">
        <f t="shared" si="98"/>
        <v/>
      </c>
      <c r="H784" s="43"/>
      <c r="I784" s="107"/>
      <c r="J784" s="123" t="str">
        <f t="shared" si="99"/>
        <v/>
      </c>
      <c r="K784" s="76" t="str">
        <f t="shared" si="100"/>
        <v/>
      </c>
      <c r="L784" s="43"/>
      <c r="M784" s="7"/>
      <c r="N784" s="106"/>
      <c r="R784" s="3" t="str">
        <f t="shared" si="101"/>
        <v/>
      </c>
      <c r="S784" s="3">
        <f t="shared" si="102"/>
        <v>0</v>
      </c>
      <c r="T784" s="3">
        <f t="shared" si="103"/>
        <v>13</v>
      </c>
    </row>
    <row r="785" spans="1:20">
      <c r="A785" s="74" t="str">
        <f t="shared" si="96"/>
        <v/>
      </c>
      <c r="B785" s="75" t="str">
        <f>IFERROR(INDEX(对接源_01入库吨位!$B$5:$B$304,MATCH(INT((ROW()-5)/3)+1,对接源_01入库吨位!$S$5:$S$304,0)),"")</f>
        <v/>
      </c>
      <c r="C785" s="75" t="str">
        <f>IFERROR(INDEX(对接源_01入库吨位!$C$5:$C$304,MATCH(INT((ROW()-5)/3)+1,对接源_01入库吨位!$S$5:$S$304,0)),"")</f>
        <v/>
      </c>
      <c r="D785" s="89" t="str">
        <f t="shared" si="97"/>
        <v/>
      </c>
      <c r="E785" s="42" t="str">
        <f>IF($B785="","",IFERROR(IF($D785="周转打冷",N(INDEX(对接源_01入库吨位!$D$5:$D$304,MATCH(INT((ROW()-5)/3)+1,对接源_01入库吨位!$S$5:$S$304,0))),IF($D785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5" s="76" t="str">
        <f>IF($B785="","",ROUND(IFERROR(IF($D785="周转打冷",N(INDEX(对接源_01入库吨位!$H$5:$H$304,MATCH(INT((ROW()-5)/3)+1,对接源_01入库吨位!$S$5:$S$304,0))),IF($D785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5" s="122" t="str">
        <f t="shared" si="98"/>
        <v/>
      </c>
      <c r="H785" s="43"/>
      <c r="I785" s="107"/>
      <c r="J785" s="123" t="str">
        <f t="shared" si="99"/>
        <v/>
      </c>
      <c r="K785" s="76" t="str">
        <f t="shared" si="100"/>
        <v/>
      </c>
      <c r="L785" s="43"/>
      <c r="M785" s="7"/>
      <c r="N785" s="106"/>
      <c r="R785" s="3" t="str">
        <f t="shared" si="101"/>
        <v/>
      </c>
      <c r="S785" s="3">
        <f t="shared" si="102"/>
        <v>0</v>
      </c>
      <c r="T785" s="3">
        <f t="shared" si="103"/>
        <v>13</v>
      </c>
    </row>
    <row r="786" spans="1:20">
      <c r="A786" s="74" t="str">
        <f t="shared" si="96"/>
        <v/>
      </c>
      <c r="B786" s="75" t="str">
        <f>IFERROR(INDEX(对接源_01入库吨位!$B$5:$B$304,MATCH(INT((ROW()-5)/3)+1,对接源_01入库吨位!$S$5:$S$304,0)),"")</f>
        <v/>
      </c>
      <c r="C786" s="75" t="str">
        <f>IFERROR(INDEX(对接源_01入库吨位!$C$5:$C$304,MATCH(INT((ROW()-5)/3)+1,对接源_01入库吨位!$S$5:$S$304,0)),"")</f>
        <v/>
      </c>
      <c r="D786" s="89" t="str">
        <f t="shared" si="97"/>
        <v/>
      </c>
      <c r="E786" s="42" t="str">
        <f>IF($B786="","",IFERROR(IF($D786="周转打冷",N(INDEX(对接源_01入库吨位!$D$5:$D$304,MATCH(INT((ROW()-5)/3)+1,对接源_01入库吨位!$S$5:$S$304,0))),IF($D786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6" s="76" t="str">
        <f>IF($B786="","",ROUND(IFERROR(IF($D786="周转打冷",N(INDEX(对接源_01入库吨位!$H$5:$H$304,MATCH(INT((ROW()-5)/3)+1,对接源_01入库吨位!$S$5:$S$304,0))),IF($D786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6" s="122" t="str">
        <f t="shared" si="98"/>
        <v/>
      </c>
      <c r="H786" s="43"/>
      <c r="I786" s="107"/>
      <c r="J786" s="123" t="str">
        <f t="shared" si="99"/>
        <v/>
      </c>
      <c r="K786" s="76" t="str">
        <f t="shared" si="100"/>
        <v/>
      </c>
      <c r="L786" s="43"/>
      <c r="M786" s="7"/>
      <c r="N786" s="106"/>
      <c r="R786" s="3" t="str">
        <f t="shared" si="101"/>
        <v/>
      </c>
      <c r="S786" s="3">
        <f t="shared" si="102"/>
        <v>0</v>
      </c>
      <c r="T786" s="3">
        <f t="shared" si="103"/>
        <v>13</v>
      </c>
    </row>
    <row r="787" spans="1:20">
      <c r="A787" s="74" t="str">
        <f t="shared" si="96"/>
        <v/>
      </c>
      <c r="B787" s="75" t="str">
        <f>IFERROR(INDEX(对接源_01入库吨位!$B$5:$B$304,MATCH(INT((ROW()-5)/3)+1,对接源_01入库吨位!$S$5:$S$304,0)),"")</f>
        <v/>
      </c>
      <c r="C787" s="75" t="str">
        <f>IFERROR(INDEX(对接源_01入库吨位!$C$5:$C$304,MATCH(INT((ROW()-5)/3)+1,对接源_01入库吨位!$S$5:$S$304,0)),"")</f>
        <v/>
      </c>
      <c r="D787" s="89" t="str">
        <f t="shared" si="97"/>
        <v/>
      </c>
      <c r="E787" s="42" t="str">
        <f>IF($B787="","",IFERROR(IF($D787="周转打冷",N(INDEX(对接源_01入库吨位!$D$5:$D$304,MATCH(INT((ROW()-5)/3)+1,对接源_01入库吨位!$S$5:$S$304,0))),IF($D787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7" s="76" t="str">
        <f>IF($B787="","",ROUND(IFERROR(IF($D787="周转打冷",N(INDEX(对接源_01入库吨位!$H$5:$H$304,MATCH(INT((ROW()-5)/3)+1,对接源_01入库吨位!$S$5:$S$304,0))),IF($D787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7" s="122" t="str">
        <f t="shared" si="98"/>
        <v/>
      </c>
      <c r="H787" s="43"/>
      <c r="I787" s="107"/>
      <c r="J787" s="123" t="str">
        <f t="shared" si="99"/>
        <v/>
      </c>
      <c r="K787" s="76" t="str">
        <f t="shared" si="100"/>
        <v/>
      </c>
      <c r="L787" s="43"/>
      <c r="M787" s="7"/>
      <c r="N787" s="106"/>
      <c r="R787" s="3" t="str">
        <f t="shared" si="101"/>
        <v/>
      </c>
      <c r="S787" s="3">
        <f t="shared" si="102"/>
        <v>0</v>
      </c>
      <c r="T787" s="3">
        <f t="shared" si="103"/>
        <v>13</v>
      </c>
    </row>
    <row r="788" spans="1:20">
      <c r="A788" s="74" t="str">
        <f t="shared" si="96"/>
        <v/>
      </c>
      <c r="B788" s="75" t="str">
        <f>IFERROR(INDEX(对接源_01入库吨位!$B$5:$B$304,MATCH(INT((ROW()-5)/3)+1,对接源_01入库吨位!$S$5:$S$304,0)),"")</f>
        <v/>
      </c>
      <c r="C788" s="75" t="str">
        <f>IFERROR(INDEX(对接源_01入库吨位!$C$5:$C$304,MATCH(INT((ROW()-5)/3)+1,对接源_01入库吨位!$S$5:$S$304,0)),"")</f>
        <v/>
      </c>
      <c r="D788" s="89" t="str">
        <f t="shared" si="97"/>
        <v/>
      </c>
      <c r="E788" s="42" t="str">
        <f>IF($B788="","",IFERROR(IF($D788="周转打冷",N(INDEX(对接源_01入库吨位!$D$5:$D$304,MATCH(INT((ROW()-5)/3)+1,对接源_01入库吨位!$S$5:$S$304,0))),IF($D788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8" s="76" t="str">
        <f>IF($B788="","",ROUND(IFERROR(IF($D788="周转打冷",N(INDEX(对接源_01入库吨位!$H$5:$H$304,MATCH(INT((ROW()-5)/3)+1,对接源_01入库吨位!$S$5:$S$304,0))),IF($D788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8" s="122" t="str">
        <f t="shared" si="98"/>
        <v/>
      </c>
      <c r="H788" s="43"/>
      <c r="I788" s="107"/>
      <c r="J788" s="123" t="str">
        <f t="shared" si="99"/>
        <v/>
      </c>
      <c r="K788" s="76" t="str">
        <f t="shared" si="100"/>
        <v/>
      </c>
      <c r="L788" s="43"/>
      <c r="M788" s="7"/>
      <c r="N788" s="106"/>
      <c r="R788" s="3" t="str">
        <f t="shared" si="101"/>
        <v/>
      </c>
      <c r="S788" s="3">
        <f t="shared" si="102"/>
        <v>0</v>
      </c>
      <c r="T788" s="3">
        <f t="shared" si="103"/>
        <v>13</v>
      </c>
    </row>
    <row r="789" spans="1:20">
      <c r="A789" s="74" t="str">
        <f t="shared" si="96"/>
        <v/>
      </c>
      <c r="B789" s="75" t="str">
        <f>IFERROR(INDEX(对接源_01入库吨位!$B$5:$B$304,MATCH(INT((ROW()-5)/3)+1,对接源_01入库吨位!$S$5:$S$304,0)),"")</f>
        <v/>
      </c>
      <c r="C789" s="75" t="str">
        <f>IFERROR(INDEX(对接源_01入库吨位!$C$5:$C$304,MATCH(INT((ROW()-5)/3)+1,对接源_01入库吨位!$S$5:$S$304,0)),"")</f>
        <v/>
      </c>
      <c r="D789" s="89" t="str">
        <f t="shared" si="97"/>
        <v/>
      </c>
      <c r="E789" s="42" t="str">
        <f>IF($B789="","",IFERROR(IF($D789="周转打冷",N(INDEX(对接源_01入库吨位!$D$5:$D$304,MATCH(INT((ROW()-5)/3)+1,对接源_01入库吨位!$S$5:$S$304,0))),IF($D789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9" s="76" t="str">
        <f>IF($B789="","",ROUND(IFERROR(IF($D789="周转打冷",N(INDEX(对接源_01入库吨位!$H$5:$H$304,MATCH(INT((ROW()-5)/3)+1,对接源_01入库吨位!$S$5:$S$304,0))),IF($D789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9" s="122" t="str">
        <f t="shared" si="98"/>
        <v/>
      </c>
      <c r="H789" s="43"/>
      <c r="I789" s="107"/>
      <c r="J789" s="123" t="str">
        <f t="shared" si="99"/>
        <v/>
      </c>
      <c r="K789" s="76" t="str">
        <f t="shared" si="100"/>
        <v/>
      </c>
      <c r="L789" s="43"/>
      <c r="M789" s="7"/>
      <c r="N789" s="106"/>
      <c r="R789" s="3" t="str">
        <f t="shared" si="101"/>
        <v/>
      </c>
      <c r="S789" s="3">
        <f t="shared" si="102"/>
        <v>0</v>
      </c>
      <c r="T789" s="3">
        <f t="shared" si="103"/>
        <v>13</v>
      </c>
    </row>
    <row r="790" spans="1:20">
      <c r="A790" s="74" t="str">
        <f t="shared" si="96"/>
        <v/>
      </c>
      <c r="B790" s="75" t="str">
        <f>IFERROR(INDEX(对接源_01入库吨位!$B$5:$B$304,MATCH(INT((ROW()-5)/3)+1,对接源_01入库吨位!$S$5:$S$304,0)),"")</f>
        <v/>
      </c>
      <c r="C790" s="75" t="str">
        <f>IFERROR(INDEX(对接源_01入库吨位!$C$5:$C$304,MATCH(INT((ROW()-5)/3)+1,对接源_01入库吨位!$S$5:$S$304,0)),"")</f>
        <v/>
      </c>
      <c r="D790" s="89" t="str">
        <f t="shared" si="97"/>
        <v/>
      </c>
      <c r="E790" s="42" t="str">
        <f>IF($B790="","",IFERROR(IF($D790="周转打冷",N(INDEX(对接源_01入库吨位!$D$5:$D$304,MATCH(INT((ROW()-5)/3)+1,对接源_01入库吨位!$S$5:$S$304,0))),IF($D790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0" s="76" t="str">
        <f>IF($B790="","",ROUND(IFERROR(IF($D790="周转打冷",N(INDEX(对接源_01入库吨位!$H$5:$H$304,MATCH(INT((ROW()-5)/3)+1,对接源_01入库吨位!$S$5:$S$304,0))),IF($D790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0" s="122" t="str">
        <f t="shared" si="98"/>
        <v/>
      </c>
      <c r="H790" s="43"/>
      <c r="I790" s="107"/>
      <c r="J790" s="123" t="str">
        <f t="shared" si="99"/>
        <v/>
      </c>
      <c r="K790" s="76" t="str">
        <f t="shared" si="100"/>
        <v/>
      </c>
      <c r="L790" s="43"/>
      <c r="M790" s="7"/>
      <c r="N790" s="106"/>
      <c r="R790" s="3" t="str">
        <f t="shared" si="101"/>
        <v/>
      </c>
      <c r="S790" s="3">
        <f t="shared" si="102"/>
        <v>0</v>
      </c>
      <c r="T790" s="3">
        <f t="shared" si="103"/>
        <v>13</v>
      </c>
    </row>
    <row r="791" spans="1:20">
      <c r="A791" s="74" t="str">
        <f t="shared" si="96"/>
        <v/>
      </c>
      <c r="B791" s="75" t="str">
        <f>IFERROR(INDEX(对接源_01入库吨位!$B$5:$B$304,MATCH(INT((ROW()-5)/3)+1,对接源_01入库吨位!$S$5:$S$304,0)),"")</f>
        <v/>
      </c>
      <c r="C791" s="75" t="str">
        <f>IFERROR(INDEX(对接源_01入库吨位!$C$5:$C$304,MATCH(INT((ROW()-5)/3)+1,对接源_01入库吨位!$S$5:$S$304,0)),"")</f>
        <v/>
      </c>
      <c r="D791" s="89" t="str">
        <f t="shared" si="97"/>
        <v/>
      </c>
      <c r="E791" s="42" t="str">
        <f>IF($B791="","",IFERROR(IF($D791="周转打冷",N(INDEX(对接源_01入库吨位!$D$5:$D$304,MATCH(INT((ROW()-5)/3)+1,对接源_01入库吨位!$S$5:$S$304,0))),IF($D791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1" s="76" t="str">
        <f>IF($B791="","",ROUND(IFERROR(IF($D791="周转打冷",N(INDEX(对接源_01入库吨位!$H$5:$H$304,MATCH(INT((ROW()-5)/3)+1,对接源_01入库吨位!$S$5:$S$304,0))),IF($D791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1" s="122" t="str">
        <f t="shared" si="98"/>
        <v/>
      </c>
      <c r="H791" s="43"/>
      <c r="I791" s="107"/>
      <c r="J791" s="123" t="str">
        <f t="shared" si="99"/>
        <v/>
      </c>
      <c r="K791" s="76" t="str">
        <f t="shared" si="100"/>
        <v/>
      </c>
      <c r="L791" s="43"/>
      <c r="M791" s="7"/>
      <c r="N791" s="106"/>
      <c r="R791" s="3" t="str">
        <f t="shared" si="101"/>
        <v/>
      </c>
      <c r="S791" s="3">
        <f t="shared" si="102"/>
        <v>0</v>
      </c>
      <c r="T791" s="3">
        <f t="shared" si="103"/>
        <v>13</v>
      </c>
    </row>
    <row r="792" spans="1:20">
      <c r="A792" s="74" t="str">
        <f t="shared" si="96"/>
        <v/>
      </c>
      <c r="B792" s="75" t="str">
        <f>IFERROR(INDEX(对接源_01入库吨位!$B$5:$B$304,MATCH(INT((ROW()-5)/3)+1,对接源_01入库吨位!$S$5:$S$304,0)),"")</f>
        <v/>
      </c>
      <c r="C792" s="75" t="str">
        <f>IFERROR(INDEX(对接源_01入库吨位!$C$5:$C$304,MATCH(INT((ROW()-5)/3)+1,对接源_01入库吨位!$S$5:$S$304,0)),"")</f>
        <v/>
      </c>
      <c r="D792" s="89" t="str">
        <f t="shared" si="97"/>
        <v/>
      </c>
      <c r="E792" s="42" t="str">
        <f>IF($B792="","",IFERROR(IF($D792="周转打冷",N(INDEX(对接源_01入库吨位!$D$5:$D$304,MATCH(INT((ROW()-5)/3)+1,对接源_01入库吨位!$S$5:$S$304,0))),IF($D792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2" s="76" t="str">
        <f>IF($B792="","",ROUND(IFERROR(IF($D792="周转打冷",N(INDEX(对接源_01入库吨位!$H$5:$H$304,MATCH(INT((ROW()-5)/3)+1,对接源_01入库吨位!$S$5:$S$304,0))),IF($D792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2" s="122" t="str">
        <f t="shared" si="98"/>
        <v/>
      </c>
      <c r="H792" s="43"/>
      <c r="I792" s="107"/>
      <c r="J792" s="123" t="str">
        <f t="shared" si="99"/>
        <v/>
      </c>
      <c r="K792" s="76" t="str">
        <f t="shared" si="100"/>
        <v/>
      </c>
      <c r="L792" s="43"/>
      <c r="M792" s="7"/>
      <c r="N792" s="106"/>
      <c r="R792" s="3" t="str">
        <f t="shared" si="101"/>
        <v/>
      </c>
      <c r="S792" s="3">
        <f t="shared" si="102"/>
        <v>0</v>
      </c>
      <c r="T792" s="3">
        <f t="shared" si="103"/>
        <v>13</v>
      </c>
    </row>
    <row r="793" spans="1:20">
      <c r="A793" s="74" t="str">
        <f t="shared" si="96"/>
        <v/>
      </c>
      <c r="B793" s="75" t="str">
        <f>IFERROR(INDEX(对接源_01入库吨位!$B$5:$B$304,MATCH(INT((ROW()-5)/3)+1,对接源_01入库吨位!$S$5:$S$304,0)),"")</f>
        <v/>
      </c>
      <c r="C793" s="75" t="str">
        <f>IFERROR(INDEX(对接源_01入库吨位!$C$5:$C$304,MATCH(INT((ROW()-5)/3)+1,对接源_01入库吨位!$S$5:$S$304,0)),"")</f>
        <v/>
      </c>
      <c r="D793" s="89" t="str">
        <f t="shared" si="97"/>
        <v/>
      </c>
      <c r="E793" s="42" t="str">
        <f>IF($B793="","",IFERROR(IF($D793="周转打冷",N(INDEX(对接源_01入库吨位!$D$5:$D$304,MATCH(INT((ROW()-5)/3)+1,对接源_01入库吨位!$S$5:$S$304,0))),IF($D793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3" s="76" t="str">
        <f>IF($B793="","",ROUND(IFERROR(IF($D793="周转打冷",N(INDEX(对接源_01入库吨位!$H$5:$H$304,MATCH(INT((ROW()-5)/3)+1,对接源_01入库吨位!$S$5:$S$304,0))),IF($D793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3" s="122" t="str">
        <f t="shared" si="98"/>
        <v/>
      </c>
      <c r="H793" s="43"/>
      <c r="I793" s="107"/>
      <c r="J793" s="123" t="str">
        <f t="shared" si="99"/>
        <v/>
      </c>
      <c r="K793" s="76" t="str">
        <f t="shared" si="100"/>
        <v/>
      </c>
      <c r="L793" s="43"/>
      <c r="M793" s="7"/>
      <c r="N793" s="106"/>
      <c r="R793" s="3" t="str">
        <f t="shared" si="101"/>
        <v/>
      </c>
      <c r="S793" s="3">
        <f t="shared" si="102"/>
        <v>0</v>
      </c>
      <c r="T793" s="3">
        <f t="shared" si="103"/>
        <v>13</v>
      </c>
    </row>
    <row r="794" spans="1:20">
      <c r="A794" s="74" t="str">
        <f t="shared" si="96"/>
        <v/>
      </c>
      <c r="B794" s="75" t="str">
        <f>IFERROR(INDEX(对接源_01入库吨位!$B$5:$B$304,MATCH(INT((ROW()-5)/3)+1,对接源_01入库吨位!$S$5:$S$304,0)),"")</f>
        <v/>
      </c>
      <c r="C794" s="75" t="str">
        <f>IFERROR(INDEX(对接源_01入库吨位!$C$5:$C$304,MATCH(INT((ROW()-5)/3)+1,对接源_01入库吨位!$S$5:$S$304,0)),"")</f>
        <v/>
      </c>
      <c r="D794" s="89" t="str">
        <f t="shared" si="97"/>
        <v/>
      </c>
      <c r="E794" s="42" t="str">
        <f>IF($B794="","",IFERROR(IF($D794="周转打冷",N(INDEX(对接源_01入库吨位!$D$5:$D$304,MATCH(INT((ROW()-5)/3)+1,对接源_01入库吨位!$S$5:$S$304,0))),IF($D794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4" s="76" t="str">
        <f>IF($B794="","",ROUND(IFERROR(IF($D794="周转打冷",N(INDEX(对接源_01入库吨位!$H$5:$H$304,MATCH(INT((ROW()-5)/3)+1,对接源_01入库吨位!$S$5:$S$304,0))),IF($D794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4" s="122" t="str">
        <f t="shared" si="98"/>
        <v/>
      </c>
      <c r="H794" s="43"/>
      <c r="I794" s="107"/>
      <c r="J794" s="123" t="str">
        <f t="shared" si="99"/>
        <v/>
      </c>
      <c r="K794" s="76" t="str">
        <f t="shared" si="100"/>
        <v/>
      </c>
      <c r="L794" s="43"/>
      <c r="M794" s="7"/>
      <c r="N794" s="106"/>
      <c r="R794" s="3" t="str">
        <f t="shared" si="101"/>
        <v/>
      </c>
      <c r="S794" s="3">
        <f t="shared" si="102"/>
        <v>0</v>
      </c>
      <c r="T794" s="3">
        <f t="shared" si="103"/>
        <v>13</v>
      </c>
    </row>
    <row r="795" spans="1:20">
      <c r="A795" s="74" t="str">
        <f t="shared" si="96"/>
        <v/>
      </c>
      <c r="B795" s="75" t="str">
        <f>IFERROR(INDEX(对接源_01入库吨位!$B$5:$B$304,MATCH(INT((ROW()-5)/3)+1,对接源_01入库吨位!$S$5:$S$304,0)),"")</f>
        <v/>
      </c>
      <c r="C795" s="75" t="str">
        <f>IFERROR(INDEX(对接源_01入库吨位!$C$5:$C$304,MATCH(INT((ROW()-5)/3)+1,对接源_01入库吨位!$S$5:$S$304,0)),"")</f>
        <v/>
      </c>
      <c r="D795" s="89" t="str">
        <f t="shared" si="97"/>
        <v/>
      </c>
      <c r="E795" s="42" t="str">
        <f>IF($B795="","",IFERROR(IF($D795="周转打冷",N(INDEX(对接源_01入库吨位!$D$5:$D$304,MATCH(INT((ROW()-5)/3)+1,对接源_01入库吨位!$S$5:$S$304,0))),IF($D795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5" s="76" t="str">
        <f>IF($B795="","",ROUND(IFERROR(IF($D795="周转打冷",N(INDEX(对接源_01入库吨位!$H$5:$H$304,MATCH(INT((ROW()-5)/3)+1,对接源_01入库吨位!$S$5:$S$304,0))),IF($D795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5" s="122" t="str">
        <f t="shared" si="98"/>
        <v/>
      </c>
      <c r="H795" s="43"/>
      <c r="I795" s="107"/>
      <c r="J795" s="123" t="str">
        <f t="shared" si="99"/>
        <v/>
      </c>
      <c r="K795" s="76" t="str">
        <f t="shared" si="100"/>
        <v/>
      </c>
      <c r="L795" s="43"/>
      <c r="M795" s="7"/>
      <c r="N795" s="106"/>
      <c r="R795" s="3" t="str">
        <f t="shared" si="101"/>
        <v/>
      </c>
      <c r="S795" s="3">
        <f t="shared" si="102"/>
        <v>0</v>
      </c>
      <c r="T795" s="3">
        <f t="shared" si="103"/>
        <v>13</v>
      </c>
    </row>
    <row r="796" spans="1:20">
      <c r="A796" s="74" t="str">
        <f t="shared" si="96"/>
        <v/>
      </c>
      <c r="B796" s="75" t="str">
        <f>IFERROR(INDEX(对接源_01入库吨位!$B$5:$B$304,MATCH(INT((ROW()-5)/3)+1,对接源_01入库吨位!$S$5:$S$304,0)),"")</f>
        <v/>
      </c>
      <c r="C796" s="75" t="str">
        <f>IFERROR(INDEX(对接源_01入库吨位!$C$5:$C$304,MATCH(INT((ROW()-5)/3)+1,对接源_01入库吨位!$S$5:$S$304,0)),"")</f>
        <v/>
      </c>
      <c r="D796" s="89" t="str">
        <f t="shared" si="97"/>
        <v/>
      </c>
      <c r="E796" s="42" t="str">
        <f>IF($B796="","",IFERROR(IF($D796="周转打冷",N(INDEX(对接源_01入库吨位!$D$5:$D$304,MATCH(INT((ROW()-5)/3)+1,对接源_01入库吨位!$S$5:$S$304,0))),IF($D796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6" s="76" t="str">
        <f>IF($B796="","",ROUND(IFERROR(IF($D796="周转打冷",N(INDEX(对接源_01入库吨位!$H$5:$H$304,MATCH(INT((ROW()-5)/3)+1,对接源_01入库吨位!$S$5:$S$304,0))),IF($D796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6" s="122" t="str">
        <f t="shared" si="98"/>
        <v/>
      </c>
      <c r="H796" s="43"/>
      <c r="I796" s="107"/>
      <c r="J796" s="123" t="str">
        <f t="shared" si="99"/>
        <v/>
      </c>
      <c r="K796" s="76" t="str">
        <f t="shared" si="100"/>
        <v/>
      </c>
      <c r="L796" s="43"/>
      <c r="M796" s="7"/>
      <c r="N796" s="106"/>
      <c r="R796" s="3" t="str">
        <f t="shared" si="101"/>
        <v/>
      </c>
      <c r="S796" s="3">
        <f t="shared" si="102"/>
        <v>0</v>
      </c>
      <c r="T796" s="3">
        <f t="shared" si="103"/>
        <v>13</v>
      </c>
    </row>
    <row r="797" spans="1:20">
      <c r="A797" s="74" t="str">
        <f t="shared" si="96"/>
        <v/>
      </c>
      <c r="B797" s="75" t="str">
        <f>IFERROR(INDEX(对接源_01入库吨位!$B$5:$B$304,MATCH(INT((ROW()-5)/3)+1,对接源_01入库吨位!$S$5:$S$304,0)),"")</f>
        <v/>
      </c>
      <c r="C797" s="75" t="str">
        <f>IFERROR(INDEX(对接源_01入库吨位!$C$5:$C$304,MATCH(INT((ROW()-5)/3)+1,对接源_01入库吨位!$S$5:$S$304,0)),"")</f>
        <v/>
      </c>
      <c r="D797" s="89" t="str">
        <f t="shared" si="97"/>
        <v/>
      </c>
      <c r="E797" s="42" t="str">
        <f>IF($B797="","",IFERROR(IF($D797="周转打冷",N(INDEX(对接源_01入库吨位!$D$5:$D$304,MATCH(INT((ROW()-5)/3)+1,对接源_01入库吨位!$S$5:$S$304,0))),IF($D797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7" s="76" t="str">
        <f>IF($B797="","",ROUND(IFERROR(IF($D797="周转打冷",N(INDEX(对接源_01入库吨位!$H$5:$H$304,MATCH(INT((ROW()-5)/3)+1,对接源_01入库吨位!$S$5:$S$304,0))),IF($D797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7" s="122" t="str">
        <f t="shared" si="98"/>
        <v/>
      </c>
      <c r="H797" s="43"/>
      <c r="I797" s="107"/>
      <c r="J797" s="123" t="str">
        <f t="shared" si="99"/>
        <v/>
      </c>
      <c r="K797" s="76" t="str">
        <f t="shared" si="100"/>
        <v/>
      </c>
      <c r="L797" s="43"/>
      <c r="M797" s="7"/>
      <c r="N797" s="106"/>
      <c r="R797" s="3" t="str">
        <f t="shared" si="101"/>
        <v/>
      </c>
      <c r="S797" s="3">
        <f t="shared" si="102"/>
        <v>0</v>
      </c>
      <c r="T797" s="3">
        <f t="shared" si="103"/>
        <v>13</v>
      </c>
    </row>
    <row r="798" spans="1:20">
      <c r="A798" s="74" t="str">
        <f t="shared" si="96"/>
        <v/>
      </c>
      <c r="B798" s="75" t="str">
        <f>IFERROR(INDEX(对接源_01入库吨位!$B$5:$B$304,MATCH(INT((ROW()-5)/3)+1,对接源_01入库吨位!$S$5:$S$304,0)),"")</f>
        <v/>
      </c>
      <c r="C798" s="75" t="str">
        <f>IFERROR(INDEX(对接源_01入库吨位!$C$5:$C$304,MATCH(INT((ROW()-5)/3)+1,对接源_01入库吨位!$S$5:$S$304,0)),"")</f>
        <v/>
      </c>
      <c r="D798" s="89" t="str">
        <f t="shared" si="97"/>
        <v/>
      </c>
      <c r="E798" s="42" t="str">
        <f>IF($B798="","",IFERROR(IF($D798="周转打冷",N(INDEX(对接源_01入库吨位!$D$5:$D$304,MATCH(INT((ROW()-5)/3)+1,对接源_01入库吨位!$S$5:$S$304,0))),IF($D798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8" s="76" t="str">
        <f>IF($B798="","",ROUND(IFERROR(IF($D798="周转打冷",N(INDEX(对接源_01入库吨位!$H$5:$H$304,MATCH(INT((ROW()-5)/3)+1,对接源_01入库吨位!$S$5:$S$304,0))),IF($D798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8" s="122" t="str">
        <f t="shared" si="98"/>
        <v/>
      </c>
      <c r="H798" s="43"/>
      <c r="I798" s="107"/>
      <c r="J798" s="123" t="str">
        <f t="shared" si="99"/>
        <v/>
      </c>
      <c r="K798" s="76" t="str">
        <f t="shared" si="100"/>
        <v/>
      </c>
      <c r="L798" s="43"/>
      <c r="M798" s="7"/>
      <c r="N798" s="106"/>
      <c r="R798" s="3" t="str">
        <f t="shared" si="101"/>
        <v/>
      </c>
      <c r="S798" s="3">
        <f t="shared" si="102"/>
        <v>0</v>
      </c>
      <c r="T798" s="3">
        <f t="shared" si="103"/>
        <v>13</v>
      </c>
    </row>
    <row r="799" spans="1:20">
      <c r="A799" s="74" t="str">
        <f t="shared" si="96"/>
        <v/>
      </c>
      <c r="B799" s="75" t="str">
        <f>IFERROR(INDEX(对接源_01入库吨位!$B$5:$B$304,MATCH(INT((ROW()-5)/3)+1,对接源_01入库吨位!$S$5:$S$304,0)),"")</f>
        <v/>
      </c>
      <c r="C799" s="75" t="str">
        <f>IFERROR(INDEX(对接源_01入库吨位!$C$5:$C$304,MATCH(INT((ROW()-5)/3)+1,对接源_01入库吨位!$S$5:$S$304,0)),"")</f>
        <v/>
      </c>
      <c r="D799" s="89" t="str">
        <f t="shared" si="97"/>
        <v/>
      </c>
      <c r="E799" s="42" t="str">
        <f>IF($B799="","",IFERROR(IF($D799="周转打冷",N(INDEX(对接源_01入库吨位!$D$5:$D$304,MATCH(INT((ROW()-5)/3)+1,对接源_01入库吨位!$S$5:$S$304,0))),IF($D799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9" s="76" t="str">
        <f>IF($B799="","",ROUND(IFERROR(IF($D799="周转打冷",N(INDEX(对接源_01入库吨位!$H$5:$H$304,MATCH(INT((ROW()-5)/3)+1,对接源_01入库吨位!$S$5:$S$304,0))),IF($D799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9" s="122" t="str">
        <f t="shared" si="98"/>
        <v/>
      </c>
      <c r="H799" s="43"/>
      <c r="I799" s="107"/>
      <c r="J799" s="123" t="str">
        <f t="shared" si="99"/>
        <v/>
      </c>
      <c r="K799" s="76" t="str">
        <f t="shared" si="100"/>
        <v/>
      </c>
      <c r="L799" s="43"/>
      <c r="M799" s="7"/>
      <c r="N799" s="106"/>
      <c r="R799" s="3" t="str">
        <f t="shared" si="101"/>
        <v/>
      </c>
      <c r="S799" s="3">
        <f t="shared" si="102"/>
        <v>0</v>
      </c>
      <c r="T799" s="3">
        <f t="shared" si="103"/>
        <v>13</v>
      </c>
    </row>
    <row r="800" spans="1:20">
      <c r="A800" s="74" t="str">
        <f t="shared" si="96"/>
        <v/>
      </c>
      <c r="B800" s="75" t="str">
        <f>IFERROR(INDEX(对接源_01入库吨位!$B$5:$B$304,MATCH(INT((ROW()-5)/3)+1,对接源_01入库吨位!$S$5:$S$304,0)),"")</f>
        <v/>
      </c>
      <c r="C800" s="75" t="str">
        <f>IFERROR(INDEX(对接源_01入库吨位!$C$5:$C$304,MATCH(INT((ROW()-5)/3)+1,对接源_01入库吨位!$S$5:$S$304,0)),"")</f>
        <v/>
      </c>
      <c r="D800" s="89" t="str">
        <f t="shared" si="97"/>
        <v/>
      </c>
      <c r="E800" s="42" t="str">
        <f>IF($B800="","",IFERROR(IF($D800="周转打冷",N(INDEX(对接源_01入库吨位!$D$5:$D$304,MATCH(INT((ROW()-5)/3)+1,对接源_01入库吨位!$S$5:$S$304,0))),IF($D800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0" s="76" t="str">
        <f>IF($B800="","",ROUND(IFERROR(IF($D800="周转打冷",N(INDEX(对接源_01入库吨位!$H$5:$H$304,MATCH(INT((ROW()-5)/3)+1,对接源_01入库吨位!$S$5:$S$304,0))),IF($D800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0" s="122" t="str">
        <f t="shared" si="98"/>
        <v/>
      </c>
      <c r="H800" s="43"/>
      <c r="I800" s="107"/>
      <c r="J800" s="123" t="str">
        <f t="shared" si="99"/>
        <v/>
      </c>
      <c r="K800" s="76" t="str">
        <f t="shared" si="100"/>
        <v/>
      </c>
      <c r="L800" s="43"/>
      <c r="M800" s="7"/>
      <c r="N800" s="106"/>
      <c r="R800" s="3" t="str">
        <f t="shared" si="101"/>
        <v/>
      </c>
      <c r="S800" s="3">
        <f t="shared" si="102"/>
        <v>0</v>
      </c>
      <c r="T800" s="3">
        <f t="shared" si="103"/>
        <v>13</v>
      </c>
    </row>
    <row r="801" spans="1:20">
      <c r="A801" s="74" t="str">
        <f t="shared" si="96"/>
        <v/>
      </c>
      <c r="B801" s="75" t="str">
        <f>IFERROR(INDEX(对接源_01入库吨位!$B$5:$B$304,MATCH(INT((ROW()-5)/3)+1,对接源_01入库吨位!$S$5:$S$304,0)),"")</f>
        <v/>
      </c>
      <c r="C801" s="75" t="str">
        <f>IFERROR(INDEX(对接源_01入库吨位!$C$5:$C$304,MATCH(INT((ROW()-5)/3)+1,对接源_01入库吨位!$S$5:$S$304,0)),"")</f>
        <v/>
      </c>
      <c r="D801" s="89" t="str">
        <f t="shared" si="97"/>
        <v/>
      </c>
      <c r="E801" s="42" t="str">
        <f>IF($B801="","",IFERROR(IF($D801="周转打冷",N(INDEX(对接源_01入库吨位!$D$5:$D$304,MATCH(INT((ROW()-5)/3)+1,对接源_01入库吨位!$S$5:$S$304,0))),IF($D801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1" s="76" t="str">
        <f>IF($B801="","",ROUND(IFERROR(IF($D801="周转打冷",N(INDEX(对接源_01入库吨位!$H$5:$H$304,MATCH(INT((ROW()-5)/3)+1,对接源_01入库吨位!$S$5:$S$304,0))),IF($D801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1" s="122" t="str">
        <f t="shared" si="98"/>
        <v/>
      </c>
      <c r="H801" s="43"/>
      <c r="I801" s="107"/>
      <c r="J801" s="123" t="str">
        <f t="shared" si="99"/>
        <v/>
      </c>
      <c r="K801" s="76" t="str">
        <f t="shared" si="100"/>
        <v/>
      </c>
      <c r="L801" s="43"/>
      <c r="M801" s="7"/>
      <c r="N801" s="106"/>
      <c r="R801" s="3" t="str">
        <f t="shared" si="101"/>
        <v/>
      </c>
      <c r="S801" s="3">
        <f t="shared" si="102"/>
        <v>0</v>
      </c>
      <c r="T801" s="3">
        <f t="shared" si="103"/>
        <v>13</v>
      </c>
    </row>
    <row r="802" spans="1:20">
      <c r="A802" s="74" t="str">
        <f t="shared" si="96"/>
        <v/>
      </c>
      <c r="B802" s="75" t="str">
        <f>IFERROR(INDEX(对接源_01入库吨位!$B$5:$B$304,MATCH(INT((ROW()-5)/3)+1,对接源_01入库吨位!$S$5:$S$304,0)),"")</f>
        <v/>
      </c>
      <c r="C802" s="75" t="str">
        <f>IFERROR(INDEX(对接源_01入库吨位!$C$5:$C$304,MATCH(INT((ROW()-5)/3)+1,对接源_01入库吨位!$S$5:$S$304,0)),"")</f>
        <v/>
      </c>
      <c r="D802" s="89" t="str">
        <f t="shared" si="97"/>
        <v/>
      </c>
      <c r="E802" s="42" t="str">
        <f>IF($B802="","",IFERROR(IF($D802="周转打冷",N(INDEX(对接源_01入库吨位!$D$5:$D$304,MATCH(INT((ROW()-5)/3)+1,对接源_01入库吨位!$S$5:$S$304,0))),IF($D802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2" s="76" t="str">
        <f>IF($B802="","",ROUND(IFERROR(IF($D802="周转打冷",N(INDEX(对接源_01入库吨位!$H$5:$H$304,MATCH(INT((ROW()-5)/3)+1,对接源_01入库吨位!$S$5:$S$304,0))),IF($D802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2" s="122" t="str">
        <f t="shared" si="98"/>
        <v/>
      </c>
      <c r="H802" s="43"/>
      <c r="I802" s="107"/>
      <c r="J802" s="123" t="str">
        <f t="shared" si="99"/>
        <v/>
      </c>
      <c r="K802" s="76" t="str">
        <f t="shared" si="100"/>
        <v/>
      </c>
      <c r="L802" s="43"/>
      <c r="M802" s="7"/>
      <c r="N802" s="106"/>
      <c r="R802" s="3" t="str">
        <f t="shared" si="101"/>
        <v/>
      </c>
      <c r="S802" s="3">
        <f t="shared" si="102"/>
        <v>0</v>
      </c>
      <c r="T802" s="3">
        <f t="shared" si="103"/>
        <v>13</v>
      </c>
    </row>
    <row r="803" spans="1:20">
      <c r="A803" s="74" t="str">
        <f t="shared" si="96"/>
        <v/>
      </c>
      <c r="B803" s="75" t="str">
        <f>IFERROR(INDEX(对接源_01入库吨位!$B$5:$B$304,MATCH(INT((ROW()-5)/3)+1,对接源_01入库吨位!$S$5:$S$304,0)),"")</f>
        <v/>
      </c>
      <c r="C803" s="75" t="str">
        <f>IFERROR(INDEX(对接源_01入库吨位!$C$5:$C$304,MATCH(INT((ROW()-5)/3)+1,对接源_01入库吨位!$S$5:$S$304,0)),"")</f>
        <v/>
      </c>
      <c r="D803" s="89" t="str">
        <f t="shared" si="97"/>
        <v/>
      </c>
      <c r="E803" s="42" t="str">
        <f>IF($B803="","",IFERROR(IF($D803="周转打冷",N(INDEX(对接源_01入库吨位!$D$5:$D$304,MATCH(INT((ROW()-5)/3)+1,对接源_01入库吨位!$S$5:$S$304,0))),IF($D803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3" s="76" t="str">
        <f>IF($B803="","",ROUND(IFERROR(IF($D803="周转打冷",N(INDEX(对接源_01入库吨位!$H$5:$H$304,MATCH(INT((ROW()-5)/3)+1,对接源_01入库吨位!$S$5:$S$304,0))),IF($D803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3" s="122" t="str">
        <f t="shared" si="98"/>
        <v/>
      </c>
      <c r="H803" s="43"/>
      <c r="I803" s="107"/>
      <c r="J803" s="123" t="str">
        <f t="shared" si="99"/>
        <v/>
      </c>
      <c r="K803" s="76" t="str">
        <f t="shared" si="100"/>
        <v/>
      </c>
      <c r="L803" s="43"/>
      <c r="M803" s="7"/>
      <c r="N803" s="106"/>
      <c r="R803" s="3" t="str">
        <f t="shared" si="101"/>
        <v/>
      </c>
      <c r="S803" s="3">
        <f t="shared" si="102"/>
        <v>0</v>
      </c>
      <c r="T803" s="3">
        <f t="shared" si="103"/>
        <v>13</v>
      </c>
    </row>
    <row r="804" spans="1:20">
      <c r="A804" s="74" t="str">
        <f t="shared" si="96"/>
        <v/>
      </c>
      <c r="B804" s="75" t="str">
        <f>IFERROR(INDEX(对接源_01入库吨位!$B$5:$B$304,MATCH(INT((ROW()-5)/3)+1,对接源_01入库吨位!$S$5:$S$304,0)),"")</f>
        <v/>
      </c>
      <c r="C804" s="75" t="str">
        <f>IFERROR(INDEX(对接源_01入库吨位!$C$5:$C$304,MATCH(INT((ROW()-5)/3)+1,对接源_01入库吨位!$S$5:$S$304,0)),"")</f>
        <v/>
      </c>
      <c r="D804" s="89" t="str">
        <f t="shared" si="97"/>
        <v/>
      </c>
      <c r="E804" s="42" t="str">
        <f>IF($B804="","",IFERROR(IF($D804="周转打冷",N(INDEX(对接源_01入库吨位!$D$5:$D$304,MATCH(INT((ROW()-5)/3)+1,对接源_01入库吨位!$S$5:$S$304,0))),IF($D804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4" s="76" t="str">
        <f>IF($B804="","",ROUND(IFERROR(IF($D804="周转打冷",N(INDEX(对接源_01入库吨位!$H$5:$H$304,MATCH(INT((ROW()-5)/3)+1,对接源_01入库吨位!$S$5:$S$304,0))),IF($D804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4" s="122" t="str">
        <f t="shared" si="98"/>
        <v/>
      </c>
      <c r="H804" s="43"/>
      <c r="I804" s="107"/>
      <c r="J804" s="123" t="str">
        <f t="shared" si="99"/>
        <v/>
      </c>
      <c r="K804" s="76" t="str">
        <f t="shared" si="100"/>
        <v/>
      </c>
      <c r="L804" s="43"/>
      <c r="M804" s="7"/>
      <c r="N804" s="106"/>
      <c r="R804" s="3" t="str">
        <f t="shared" si="101"/>
        <v/>
      </c>
      <c r="S804" s="3">
        <f t="shared" si="102"/>
        <v>0</v>
      </c>
      <c r="T804" s="3">
        <f t="shared" si="103"/>
        <v>13</v>
      </c>
    </row>
    <row r="805" spans="1:20">
      <c r="A805" s="74" t="str">
        <f t="shared" si="96"/>
        <v/>
      </c>
      <c r="B805" s="75" t="str">
        <f>IFERROR(INDEX(对接源_01入库吨位!$B$5:$B$304,MATCH(INT((ROW()-5)/3)+1,对接源_01入库吨位!$S$5:$S$304,0)),"")</f>
        <v/>
      </c>
      <c r="C805" s="75" t="str">
        <f>IFERROR(INDEX(对接源_01入库吨位!$C$5:$C$304,MATCH(INT((ROW()-5)/3)+1,对接源_01入库吨位!$S$5:$S$304,0)),"")</f>
        <v/>
      </c>
      <c r="D805" s="89" t="str">
        <f t="shared" si="97"/>
        <v/>
      </c>
      <c r="E805" s="42" t="str">
        <f>IF($B805="","",IFERROR(IF($D805="周转打冷",N(INDEX(对接源_01入库吨位!$D$5:$D$304,MATCH(INT((ROW()-5)/3)+1,对接源_01入库吨位!$S$5:$S$304,0))),IF($D805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5" s="76" t="str">
        <f>IF($B805="","",ROUND(IFERROR(IF($D805="周转打冷",N(INDEX(对接源_01入库吨位!$H$5:$H$304,MATCH(INT((ROW()-5)/3)+1,对接源_01入库吨位!$S$5:$S$304,0))),IF($D805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5" s="122" t="str">
        <f t="shared" si="98"/>
        <v/>
      </c>
      <c r="H805" s="43"/>
      <c r="I805" s="107"/>
      <c r="J805" s="123" t="str">
        <f t="shared" si="99"/>
        <v/>
      </c>
      <c r="K805" s="76" t="str">
        <f t="shared" si="100"/>
        <v/>
      </c>
      <c r="L805" s="43"/>
      <c r="M805" s="7"/>
      <c r="N805" s="106"/>
      <c r="R805" s="3" t="str">
        <f t="shared" si="101"/>
        <v/>
      </c>
      <c r="S805" s="3">
        <f t="shared" si="102"/>
        <v>0</v>
      </c>
      <c r="T805" s="3">
        <f t="shared" si="103"/>
        <v>13</v>
      </c>
    </row>
    <row r="806" spans="1:20">
      <c r="A806" s="74" t="str">
        <f t="shared" si="96"/>
        <v/>
      </c>
      <c r="B806" s="75" t="str">
        <f>IFERROR(INDEX(对接源_01入库吨位!$B$5:$B$304,MATCH(INT((ROW()-5)/3)+1,对接源_01入库吨位!$S$5:$S$304,0)),"")</f>
        <v/>
      </c>
      <c r="C806" s="75" t="str">
        <f>IFERROR(INDEX(对接源_01入库吨位!$C$5:$C$304,MATCH(INT((ROW()-5)/3)+1,对接源_01入库吨位!$S$5:$S$304,0)),"")</f>
        <v/>
      </c>
      <c r="D806" s="89" t="str">
        <f t="shared" si="97"/>
        <v/>
      </c>
      <c r="E806" s="42" t="str">
        <f>IF($B806="","",IFERROR(IF($D806="周转打冷",N(INDEX(对接源_01入库吨位!$D$5:$D$304,MATCH(INT((ROW()-5)/3)+1,对接源_01入库吨位!$S$5:$S$304,0))),IF($D806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6" s="76" t="str">
        <f>IF($B806="","",ROUND(IFERROR(IF($D806="周转打冷",N(INDEX(对接源_01入库吨位!$H$5:$H$304,MATCH(INT((ROW()-5)/3)+1,对接源_01入库吨位!$S$5:$S$304,0))),IF($D806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6" s="122" t="str">
        <f t="shared" si="98"/>
        <v/>
      </c>
      <c r="H806" s="43"/>
      <c r="I806" s="107"/>
      <c r="J806" s="123" t="str">
        <f t="shared" si="99"/>
        <v/>
      </c>
      <c r="K806" s="76" t="str">
        <f t="shared" si="100"/>
        <v/>
      </c>
      <c r="L806" s="43"/>
      <c r="M806" s="7"/>
      <c r="N806" s="106"/>
      <c r="R806" s="3" t="str">
        <f t="shared" si="101"/>
        <v/>
      </c>
      <c r="S806" s="3">
        <f t="shared" si="102"/>
        <v>0</v>
      </c>
      <c r="T806" s="3">
        <f t="shared" si="103"/>
        <v>13</v>
      </c>
    </row>
    <row r="807" spans="1:20">
      <c r="A807" s="74" t="str">
        <f t="shared" si="96"/>
        <v/>
      </c>
      <c r="B807" s="75" t="str">
        <f>IFERROR(INDEX(对接源_01入库吨位!$B$5:$B$304,MATCH(INT((ROW()-5)/3)+1,对接源_01入库吨位!$S$5:$S$304,0)),"")</f>
        <v/>
      </c>
      <c r="C807" s="75" t="str">
        <f>IFERROR(INDEX(对接源_01入库吨位!$C$5:$C$304,MATCH(INT((ROW()-5)/3)+1,对接源_01入库吨位!$S$5:$S$304,0)),"")</f>
        <v/>
      </c>
      <c r="D807" s="89" t="str">
        <f t="shared" si="97"/>
        <v/>
      </c>
      <c r="E807" s="42" t="str">
        <f>IF($B807="","",IFERROR(IF($D807="周转打冷",N(INDEX(对接源_01入库吨位!$D$5:$D$304,MATCH(INT((ROW()-5)/3)+1,对接源_01入库吨位!$S$5:$S$304,0))),IF($D807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7" s="76" t="str">
        <f>IF($B807="","",ROUND(IFERROR(IF($D807="周转打冷",N(INDEX(对接源_01入库吨位!$H$5:$H$304,MATCH(INT((ROW()-5)/3)+1,对接源_01入库吨位!$S$5:$S$304,0))),IF($D807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7" s="122" t="str">
        <f t="shared" si="98"/>
        <v/>
      </c>
      <c r="H807" s="43"/>
      <c r="I807" s="107"/>
      <c r="J807" s="123" t="str">
        <f t="shared" si="99"/>
        <v/>
      </c>
      <c r="K807" s="76" t="str">
        <f t="shared" si="100"/>
        <v/>
      </c>
      <c r="L807" s="43"/>
      <c r="M807" s="7"/>
      <c r="N807" s="106"/>
      <c r="R807" s="3" t="str">
        <f t="shared" si="101"/>
        <v/>
      </c>
      <c r="S807" s="3">
        <f t="shared" si="102"/>
        <v>0</v>
      </c>
      <c r="T807" s="3">
        <f t="shared" si="103"/>
        <v>13</v>
      </c>
    </row>
    <row r="808" spans="1:20">
      <c r="A808" s="74" t="str">
        <f t="shared" si="96"/>
        <v/>
      </c>
      <c r="B808" s="75" t="str">
        <f>IFERROR(INDEX(对接源_01入库吨位!$B$5:$B$304,MATCH(INT((ROW()-5)/3)+1,对接源_01入库吨位!$S$5:$S$304,0)),"")</f>
        <v/>
      </c>
      <c r="C808" s="75" t="str">
        <f>IFERROR(INDEX(对接源_01入库吨位!$C$5:$C$304,MATCH(INT((ROW()-5)/3)+1,对接源_01入库吨位!$S$5:$S$304,0)),"")</f>
        <v/>
      </c>
      <c r="D808" s="89" t="str">
        <f t="shared" si="97"/>
        <v/>
      </c>
      <c r="E808" s="42" t="str">
        <f>IF($B808="","",IFERROR(IF($D808="周转打冷",N(INDEX(对接源_01入库吨位!$D$5:$D$304,MATCH(INT((ROW()-5)/3)+1,对接源_01入库吨位!$S$5:$S$304,0))),IF($D808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8" s="76" t="str">
        <f>IF($B808="","",ROUND(IFERROR(IF($D808="周转打冷",N(INDEX(对接源_01入库吨位!$H$5:$H$304,MATCH(INT((ROW()-5)/3)+1,对接源_01入库吨位!$S$5:$S$304,0))),IF($D808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8" s="122" t="str">
        <f t="shared" si="98"/>
        <v/>
      </c>
      <c r="H808" s="43"/>
      <c r="I808" s="107"/>
      <c r="J808" s="123" t="str">
        <f t="shared" si="99"/>
        <v/>
      </c>
      <c r="K808" s="76" t="str">
        <f t="shared" si="100"/>
        <v/>
      </c>
      <c r="L808" s="43"/>
      <c r="M808" s="7"/>
      <c r="N808" s="106"/>
      <c r="R808" s="3" t="str">
        <f t="shared" si="101"/>
        <v/>
      </c>
      <c r="S808" s="3">
        <f t="shared" si="102"/>
        <v>0</v>
      </c>
      <c r="T808" s="3">
        <f t="shared" si="103"/>
        <v>13</v>
      </c>
    </row>
    <row r="809" spans="1:20">
      <c r="A809" s="74" t="str">
        <f t="shared" si="96"/>
        <v/>
      </c>
      <c r="B809" s="75" t="str">
        <f>IFERROR(INDEX(对接源_01入库吨位!$B$5:$B$304,MATCH(INT((ROW()-5)/3)+1,对接源_01入库吨位!$S$5:$S$304,0)),"")</f>
        <v/>
      </c>
      <c r="C809" s="75" t="str">
        <f>IFERROR(INDEX(对接源_01入库吨位!$C$5:$C$304,MATCH(INT((ROW()-5)/3)+1,对接源_01入库吨位!$S$5:$S$304,0)),"")</f>
        <v/>
      </c>
      <c r="D809" s="89" t="str">
        <f t="shared" si="97"/>
        <v/>
      </c>
      <c r="E809" s="42" t="str">
        <f>IF($B809="","",IFERROR(IF($D809="周转打冷",N(INDEX(对接源_01入库吨位!$D$5:$D$304,MATCH(INT((ROW()-5)/3)+1,对接源_01入库吨位!$S$5:$S$304,0))),IF($D809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9" s="76" t="str">
        <f>IF($B809="","",ROUND(IFERROR(IF($D809="周转打冷",N(INDEX(对接源_01入库吨位!$H$5:$H$304,MATCH(INT((ROW()-5)/3)+1,对接源_01入库吨位!$S$5:$S$304,0))),IF($D809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9" s="122" t="str">
        <f t="shared" si="98"/>
        <v/>
      </c>
      <c r="H809" s="43"/>
      <c r="I809" s="107"/>
      <c r="J809" s="123" t="str">
        <f t="shared" si="99"/>
        <v/>
      </c>
      <c r="K809" s="76" t="str">
        <f t="shared" si="100"/>
        <v/>
      </c>
      <c r="L809" s="43"/>
      <c r="M809" s="7"/>
      <c r="N809" s="106"/>
      <c r="R809" s="3" t="str">
        <f t="shared" si="101"/>
        <v/>
      </c>
      <c r="S809" s="3">
        <f t="shared" si="102"/>
        <v>0</v>
      </c>
      <c r="T809" s="3">
        <f t="shared" si="103"/>
        <v>13</v>
      </c>
    </row>
    <row r="810" spans="1:20">
      <c r="A810" s="74" t="str">
        <f t="shared" si="96"/>
        <v/>
      </c>
      <c r="B810" s="75" t="str">
        <f>IFERROR(INDEX(对接源_01入库吨位!$B$5:$B$304,MATCH(INT((ROW()-5)/3)+1,对接源_01入库吨位!$S$5:$S$304,0)),"")</f>
        <v/>
      </c>
      <c r="C810" s="75" t="str">
        <f>IFERROR(INDEX(对接源_01入库吨位!$C$5:$C$304,MATCH(INT((ROW()-5)/3)+1,对接源_01入库吨位!$S$5:$S$304,0)),"")</f>
        <v/>
      </c>
      <c r="D810" s="89" t="str">
        <f t="shared" si="97"/>
        <v/>
      </c>
      <c r="E810" s="42" t="str">
        <f>IF($B810="","",IFERROR(IF($D810="周转打冷",N(INDEX(对接源_01入库吨位!$D$5:$D$304,MATCH(INT((ROW()-5)/3)+1,对接源_01入库吨位!$S$5:$S$304,0))),IF($D810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0" s="76" t="str">
        <f>IF($B810="","",ROUND(IFERROR(IF($D810="周转打冷",N(INDEX(对接源_01入库吨位!$H$5:$H$304,MATCH(INT((ROW()-5)/3)+1,对接源_01入库吨位!$S$5:$S$304,0))),IF($D810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0" s="122" t="str">
        <f t="shared" si="98"/>
        <v/>
      </c>
      <c r="H810" s="43"/>
      <c r="I810" s="107"/>
      <c r="J810" s="123" t="str">
        <f t="shared" si="99"/>
        <v/>
      </c>
      <c r="K810" s="76" t="str">
        <f t="shared" si="100"/>
        <v/>
      </c>
      <c r="L810" s="43"/>
      <c r="M810" s="7"/>
      <c r="N810" s="106"/>
      <c r="R810" s="3" t="str">
        <f t="shared" si="101"/>
        <v/>
      </c>
      <c r="S810" s="3">
        <f t="shared" si="102"/>
        <v>0</v>
      </c>
      <c r="T810" s="3">
        <f t="shared" si="103"/>
        <v>13</v>
      </c>
    </row>
    <row r="811" spans="1:20">
      <c r="A811" s="74" t="str">
        <f t="shared" si="96"/>
        <v/>
      </c>
      <c r="B811" s="75" t="str">
        <f>IFERROR(INDEX(对接源_01入库吨位!$B$5:$B$304,MATCH(INT((ROW()-5)/3)+1,对接源_01入库吨位!$S$5:$S$304,0)),"")</f>
        <v/>
      </c>
      <c r="C811" s="75" t="str">
        <f>IFERROR(INDEX(对接源_01入库吨位!$C$5:$C$304,MATCH(INT((ROW()-5)/3)+1,对接源_01入库吨位!$S$5:$S$304,0)),"")</f>
        <v/>
      </c>
      <c r="D811" s="89" t="str">
        <f t="shared" si="97"/>
        <v/>
      </c>
      <c r="E811" s="42" t="str">
        <f>IF($B811="","",IFERROR(IF($D811="周转打冷",N(INDEX(对接源_01入库吨位!$D$5:$D$304,MATCH(INT((ROW()-5)/3)+1,对接源_01入库吨位!$S$5:$S$304,0))),IF($D811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1" s="76" t="str">
        <f>IF($B811="","",ROUND(IFERROR(IF($D811="周转打冷",N(INDEX(对接源_01入库吨位!$H$5:$H$304,MATCH(INT((ROW()-5)/3)+1,对接源_01入库吨位!$S$5:$S$304,0))),IF($D811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1" s="122" t="str">
        <f t="shared" si="98"/>
        <v/>
      </c>
      <c r="H811" s="43"/>
      <c r="I811" s="107"/>
      <c r="J811" s="123" t="str">
        <f t="shared" si="99"/>
        <v/>
      </c>
      <c r="K811" s="76" t="str">
        <f t="shared" si="100"/>
        <v/>
      </c>
      <c r="L811" s="43"/>
      <c r="M811" s="7"/>
      <c r="N811" s="106"/>
      <c r="R811" s="3" t="str">
        <f t="shared" si="101"/>
        <v/>
      </c>
      <c r="S811" s="3">
        <f t="shared" si="102"/>
        <v>0</v>
      </c>
      <c r="T811" s="3">
        <f t="shared" si="103"/>
        <v>13</v>
      </c>
    </row>
    <row r="812" spans="1:20">
      <c r="A812" s="74" t="str">
        <f t="shared" si="96"/>
        <v/>
      </c>
      <c r="B812" s="75" t="str">
        <f>IFERROR(INDEX(对接源_01入库吨位!$B$5:$B$304,MATCH(INT((ROW()-5)/3)+1,对接源_01入库吨位!$S$5:$S$304,0)),"")</f>
        <v/>
      </c>
      <c r="C812" s="75" t="str">
        <f>IFERROR(INDEX(对接源_01入库吨位!$C$5:$C$304,MATCH(INT((ROW()-5)/3)+1,对接源_01入库吨位!$S$5:$S$304,0)),"")</f>
        <v/>
      </c>
      <c r="D812" s="89" t="str">
        <f t="shared" si="97"/>
        <v/>
      </c>
      <c r="E812" s="42" t="str">
        <f>IF($B812="","",IFERROR(IF($D812="周转打冷",N(INDEX(对接源_01入库吨位!$D$5:$D$304,MATCH(INT((ROW()-5)/3)+1,对接源_01入库吨位!$S$5:$S$304,0))),IF($D812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2" s="76" t="str">
        <f>IF($B812="","",ROUND(IFERROR(IF($D812="周转打冷",N(INDEX(对接源_01入库吨位!$H$5:$H$304,MATCH(INT((ROW()-5)/3)+1,对接源_01入库吨位!$S$5:$S$304,0))),IF($D812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2" s="122" t="str">
        <f t="shared" si="98"/>
        <v/>
      </c>
      <c r="H812" s="43"/>
      <c r="I812" s="107"/>
      <c r="J812" s="123" t="str">
        <f t="shared" si="99"/>
        <v/>
      </c>
      <c r="K812" s="76" t="str">
        <f t="shared" si="100"/>
        <v/>
      </c>
      <c r="L812" s="43"/>
      <c r="M812" s="7"/>
      <c r="N812" s="106"/>
      <c r="R812" s="3" t="str">
        <f t="shared" si="101"/>
        <v/>
      </c>
      <c r="S812" s="3">
        <f t="shared" si="102"/>
        <v>0</v>
      </c>
      <c r="T812" s="3">
        <f t="shared" si="103"/>
        <v>13</v>
      </c>
    </row>
    <row r="813" spans="1:20">
      <c r="A813" s="74" t="str">
        <f t="shared" si="96"/>
        <v/>
      </c>
      <c r="B813" s="75" t="str">
        <f>IFERROR(INDEX(对接源_01入库吨位!$B$5:$B$304,MATCH(INT((ROW()-5)/3)+1,对接源_01入库吨位!$S$5:$S$304,0)),"")</f>
        <v/>
      </c>
      <c r="C813" s="75" t="str">
        <f>IFERROR(INDEX(对接源_01入库吨位!$C$5:$C$304,MATCH(INT((ROW()-5)/3)+1,对接源_01入库吨位!$S$5:$S$304,0)),"")</f>
        <v/>
      </c>
      <c r="D813" s="89" t="str">
        <f t="shared" si="97"/>
        <v/>
      </c>
      <c r="E813" s="42" t="str">
        <f>IF($B813="","",IFERROR(IF($D813="周转打冷",N(INDEX(对接源_01入库吨位!$D$5:$D$304,MATCH(INT((ROW()-5)/3)+1,对接源_01入库吨位!$S$5:$S$304,0))),IF($D813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3" s="76" t="str">
        <f>IF($B813="","",ROUND(IFERROR(IF($D813="周转打冷",N(INDEX(对接源_01入库吨位!$H$5:$H$304,MATCH(INT((ROW()-5)/3)+1,对接源_01入库吨位!$S$5:$S$304,0))),IF($D813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3" s="122" t="str">
        <f t="shared" si="98"/>
        <v/>
      </c>
      <c r="H813" s="43"/>
      <c r="I813" s="107"/>
      <c r="J813" s="123" t="str">
        <f t="shared" si="99"/>
        <v/>
      </c>
      <c r="K813" s="76" t="str">
        <f t="shared" si="100"/>
        <v/>
      </c>
      <c r="L813" s="43"/>
      <c r="M813" s="7"/>
      <c r="N813" s="106"/>
      <c r="R813" s="3" t="str">
        <f t="shared" si="101"/>
        <v/>
      </c>
      <c r="S813" s="3">
        <f t="shared" si="102"/>
        <v>0</v>
      </c>
      <c r="T813" s="3">
        <f t="shared" si="103"/>
        <v>13</v>
      </c>
    </row>
    <row r="814" spans="1:20">
      <c r="A814" s="74" t="str">
        <f t="shared" si="96"/>
        <v/>
      </c>
      <c r="B814" s="75" t="str">
        <f>IFERROR(INDEX(对接源_01入库吨位!$B$5:$B$304,MATCH(INT((ROW()-5)/3)+1,对接源_01入库吨位!$S$5:$S$304,0)),"")</f>
        <v/>
      </c>
      <c r="C814" s="75" t="str">
        <f>IFERROR(INDEX(对接源_01入库吨位!$C$5:$C$304,MATCH(INT((ROW()-5)/3)+1,对接源_01入库吨位!$S$5:$S$304,0)),"")</f>
        <v/>
      </c>
      <c r="D814" s="89" t="str">
        <f t="shared" si="97"/>
        <v/>
      </c>
      <c r="E814" s="42" t="str">
        <f>IF($B814="","",IFERROR(IF($D814="周转打冷",N(INDEX(对接源_01入库吨位!$D$5:$D$304,MATCH(INT((ROW()-5)/3)+1,对接源_01入库吨位!$S$5:$S$304,0))),IF($D814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4" s="76" t="str">
        <f>IF($B814="","",ROUND(IFERROR(IF($D814="周转打冷",N(INDEX(对接源_01入库吨位!$H$5:$H$304,MATCH(INT((ROW()-5)/3)+1,对接源_01入库吨位!$S$5:$S$304,0))),IF($D814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4" s="122" t="str">
        <f t="shared" si="98"/>
        <v/>
      </c>
      <c r="H814" s="43"/>
      <c r="I814" s="107"/>
      <c r="J814" s="123" t="str">
        <f t="shared" si="99"/>
        <v/>
      </c>
      <c r="K814" s="76" t="str">
        <f t="shared" si="100"/>
        <v/>
      </c>
      <c r="L814" s="43"/>
      <c r="M814" s="7"/>
      <c r="N814" s="106"/>
      <c r="R814" s="3" t="str">
        <f t="shared" si="101"/>
        <v/>
      </c>
      <c r="S814" s="3">
        <f t="shared" si="102"/>
        <v>0</v>
      </c>
      <c r="T814" s="3">
        <f t="shared" si="103"/>
        <v>13</v>
      </c>
    </row>
    <row r="815" spans="1:20">
      <c r="A815" s="74" t="str">
        <f t="shared" si="96"/>
        <v/>
      </c>
      <c r="B815" s="75" t="str">
        <f>IFERROR(INDEX(对接源_01入库吨位!$B$5:$B$304,MATCH(INT((ROW()-5)/3)+1,对接源_01入库吨位!$S$5:$S$304,0)),"")</f>
        <v/>
      </c>
      <c r="C815" s="75" t="str">
        <f>IFERROR(INDEX(对接源_01入库吨位!$C$5:$C$304,MATCH(INT((ROW()-5)/3)+1,对接源_01入库吨位!$S$5:$S$304,0)),"")</f>
        <v/>
      </c>
      <c r="D815" s="89" t="str">
        <f t="shared" si="97"/>
        <v/>
      </c>
      <c r="E815" s="42" t="str">
        <f>IF($B815="","",IFERROR(IF($D815="周转打冷",N(INDEX(对接源_01入库吨位!$D$5:$D$304,MATCH(INT((ROW()-5)/3)+1,对接源_01入库吨位!$S$5:$S$304,0))),IF($D815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5" s="76" t="str">
        <f>IF($B815="","",ROUND(IFERROR(IF($D815="周转打冷",N(INDEX(对接源_01入库吨位!$H$5:$H$304,MATCH(INT((ROW()-5)/3)+1,对接源_01入库吨位!$S$5:$S$304,0))),IF($D815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5" s="122" t="str">
        <f t="shared" si="98"/>
        <v/>
      </c>
      <c r="H815" s="43"/>
      <c r="I815" s="107"/>
      <c r="J815" s="123" t="str">
        <f t="shared" si="99"/>
        <v/>
      </c>
      <c r="K815" s="76" t="str">
        <f t="shared" si="100"/>
        <v/>
      </c>
      <c r="L815" s="43"/>
      <c r="M815" s="7"/>
      <c r="N815" s="106"/>
      <c r="R815" s="3" t="str">
        <f t="shared" si="101"/>
        <v/>
      </c>
      <c r="S815" s="3">
        <f t="shared" si="102"/>
        <v>0</v>
      </c>
      <c r="T815" s="3">
        <f t="shared" si="103"/>
        <v>13</v>
      </c>
    </row>
    <row r="816" spans="1:20">
      <c r="A816" s="74" t="str">
        <f t="shared" si="96"/>
        <v/>
      </c>
      <c r="B816" s="75" t="str">
        <f>IFERROR(INDEX(对接源_01入库吨位!$B$5:$B$304,MATCH(INT((ROW()-5)/3)+1,对接源_01入库吨位!$S$5:$S$304,0)),"")</f>
        <v/>
      </c>
      <c r="C816" s="75" t="str">
        <f>IFERROR(INDEX(对接源_01入库吨位!$C$5:$C$304,MATCH(INT((ROW()-5)/3)+1,对接源_01入库吨位!$S$5:$S$304,0)),"")</f>
        <v/>
      </c>
      <c r="D816" s="89" t="str">
        <f t="shared" si="97"/>
        <v/>
      </c>
      <c r="E816" s="42" t="str">
        <f>IF($B816="","",IFERROR(IF($D816="周转打冷",N(INDEX(对接源_01入库吨位!$D$5:$D$304,MATCH(INT((ROW()-5)/3)+1,对接源_01入库吨位!$S$5:$S$304,0))),IF($D816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6" s="76" t="str">
        <f>IF($B816="","",ROUND(IFERROR(IF($D816="周转打冷",N(INDEX(对接源_01入库吨位!$H$5:$H$304,MATCH(INT((ROW()-5)/3)+1,对接源_01入库吨位!$S$5:$S$304,0))),IF($D816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6" s="122" t="str">
        <f t="shared" si="98"/>
        <v/>
      </c>
      <c r="H816" s="43"/>
      <c r="I816" s="107"/>
      <c r="J816" s="123" t="str">
        <f t="shared" si="99"/>
        <v/>
      </c>
      <c r="K816" s="76" t="str">
        <f t="shared" si="100"/>
        <v/>
      </c>
      <c r="L816" s="43"/>
      <c r="M816" s="7"/>
      <c r="N816" s="106"/>
      <c r="R816" s="3" t="str">
        <f t="shared" si="101"/>
        <v/>
      </c>
      <c r="S816" s="3">
        <f t="shared" si="102"/>
        <v>0</v>
      </c>
      <c r="T816" s="3">
        <f t="shared" si="103"/>
        <v>13</v>
      </c>
    </row>
    <row r="817" spans="1:20">
      <c r="A817" s="74" t="str">
        <f t="shared" si="96"/>
        <v/>
      </c>
      <c r="B817" s="75" t="str">
        <f>IFERROR(INDEX(对接源_01入库吨位!$B$5:$B$304,MATCH(INT((ROW()-5)/3)+1,对接源_01入库吨位!$S$5:$S$304,0)),"")</f>
        <v/>
      </c>
      <c r="C817" s="75" t="str">
        <f>IFERROR(INDEX(对接源_01入库吨位!$C$5:$C$304,MATCH(INT((ROW()-5)/3)+1,对接源_01入库吨位!$S$5:$S$304,0)),"")</f>
        <v/>
      </c>
      <c r="D817" s="89" t="str">
        <f t="shared" si="97"/>
        <v/>
      </c>
      <c r="E817" s="42" t="str">
        <f>IF($B817="","",IFERROR(IF($D817="周转打冷",N(INDEX(对接源_01入库吨位!$D$5:$D$304,MATCH(INT((ROW()-5)/3)+1,对接源_01入库吨位!$S$5:$S$304,0))),IF($D817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7" s="76" t="str">
        <f>IF($B817="","",ROUND(IFERROR(IF($D817="周转打冷",N(INDEX(对接源_01入库吨位!$H$5:$H$304,MATCH(INT((ROW()-5)/3)+1,对接源_01入库吨位!$S$5:$S$304,0))),IF($D817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7" s="122" t="str">
        <f t="shared" si="98"/>
        <v/>
      </c>
      <c r="H817" s="43"/>
      <c r="I817" s="107"/>
      <c r="J817" s="123" t="str">
        <f t="shared" si="99"/>
        <v/>
      </c>
      <c r="K817" s="76" t="str">
        <f t="shared" si="100"/>
        <v/>
      </c>
      <c r="L817" s="43"/>
      <c r="M817" s="7"/>
      <c r="N817" s="106"/>
      <c r="R817" s="3" t="str">
        <f t="shared" si="101"/>
        <v/>
      </c>
      <c r="S817" s="3">
        <f t="shared" si="102"/>
        <v>0</v>
      </c>
      <c r="T817" s="3">
        <f t="shared" si="103"/>
        <v>13</v>
      </c>
    </row>
    <row r="818" spans="1:20">
      <c r="A818" s="74" t="str">
        <f t="shared" si="96"/>
        <v/>
      </c>
      <c r="B818" s="75" t="str">
        <f>IFERROR(INDEX(对接源_01入库吨位!$B$5:$B$304,MATCH(INT((ROW()-5)/3)+1,对接源_01入库吨位!$S$5:$S$304,0)),"")</f>
        <v/>
      </c>
      <c r="C818" s="75" t="str">
        <f>IFERROR(INDEX(对接源_01入库吨位!$C$5:$C$304,MATCH(INT((ROW()-5)/3)+1,对接源_01入库吨位!$S$5:$S$304,0)),"")</f>
        <v/>
      </c>
      <c r="D818" s="89" t="str">
        <f t="shared" si="97"/>
        <v/>
      </c>
      <c r="E818" s="42" t="str">
        <f>IF($B818="","",IFERROR(IF($D818="周转打冷",N(INDEX(对接源_01入库吨位!$D$5:$D$304,MATCH(INT((ROW()-5)/3)+1,对接源_01入库吨位!$S$5:$S$304,0))),IF($D818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8" s="76" t="str">
        <f>IF($B818="","",ROUND(IFERROR(IF($D818="周转打冷",N(INDEX(对接源_01入库吨位!$H$5:$H$304,MATCH(INT((ROW()-5)/3)+1,对接源_01入库吨位!$S$5:$S$304,0))),IF($D818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8" s="122" t="str">
        <f t="shared" si="98"/>
        <v/>
      </c>
      <c r="H818" s="43"/>
      <c r="I818" s="107"/>
      <c r="J818" s="123" t="str">
        <f t="shared" si="99"/>
        <v/>
      </c>
      <c r="K818" s="76" t="str">
        <f t="shared" si="100"/>
        <v/>
      </c>
      <c r="L818" s="43"/>
      <c r="M818" s="7"/>
      <c r="N818" s="106"/>
      <c r="R818" s="3" t="str">
        <f t="shared" si="101"/>
        <v/>
      </c>
      <c r="S818" s="3">
        <f t="shared" si="102"/>
        <v>0</v>
      </c>
      <c r="T818" s="3">
        <f t="shared" si="103"/>
        <v>13</v>
      </c>
    </row>
    <row r="819" spans="1:20">
      <c r="A819" s="74" t="str">
        <f t="shared" si="96"/>
        <v/>
      </c>
      <c r="B819" s="75" t="str">
        <f>IFERROR(INDEX(对接源_01入库吨位!$B$5:$B$304,MATCH(INT((ROW()-5)/3)+1,对接源_01入库吨位!$S$5:$S$304,0)),"")</f>
        <v/>
      </c>
      <c r="C819" s="75" t="str">
        <f>IFERROR(INDEX(对接源_01入库吨位!$C$5:$C$304,MATCH(INT((ROW()-5)/3)+1,对接源_01入库吨位!$S$5:$S$304,0)),"")</f>
        <v/>
      </c>
      <c r="D819" s="89" t="str">
        <f t="shared" si="97"/>
        <v/>
      </c>
      <c r="E819" s="42" t="str">
        <f>IF($B819="","",IFERROR(IF($D819="周转打冷",N(INDEX(对接源_01入库吨位!$D$5:$D$304,MATCH(INT((ROW()-5)/3)+1,对接源_01入库吨位!$S$5:$S$304,0))),IF($D819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9" s="76" t="str">
        <f>IF($B819="","",ROUND(IFERROR(IF($D819="周转打冷",N(INDEX(对接源_01入库吨位!$H$5:$H$304,MATCH(INT((ROW()-5)/3)+1,对接源_01入库吨位!$S$5:$S$304,0))),IF($D819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9" s="122" t="str">
        <f t="shared" si="98"/>
        <v/>
      </c>
      <c r="H819" s="43"/>
      <c r="I819" s="107"/>
      <c r="J819" s="123" t="str">
        <f t="shared" si="99"/>
        <v/>
      </c>
      <c r="K819" s="76" t="str">
        <f t="shared" si="100"/>
        <v/>
      </c>
      <c r="L819" s="43"/>
      <c r="M819" s="7"/>
      <c r="N819" s="106"/>
      <c r="R819" s="3" t="str">
        <f t="shared" si="101"/>
        <v/>
      </c>
      <c r="S819" s="3">
        <f t="shared" si="102"/>
        <v>0</v>
      </c>
      <c r="T819" s="3">
        <f t="shared" si="103"/>
        <v>13</v>
      </c>
    </row>
    <row r="820" spans="1:20">
      <c r="A820" s="74" t="str">
        <f t="shared" si="96"/>
        <v/>
      </c>
      <c r="B820" s="75" t="str">
        <f>IFERROR(INDEX(对接源_01入库吨位!$B$5:$B$304,MATCH(INT((ROW()-5)/3)+1,对接源_01入库吨位!$S$5:$S$304,0)),"")</f>
        <v/>
      </c>
      <c r="C820" s="75" t="str">
        <f>IFERROR(INDEX(对接源_01入库吨位!$C$5:$C$304,MATCH(INT((ROW()-5)/3)+1,对接源_01入库吨位!$S$5:$S$304,0)),"")</f>
        <v/>
      </c>
      <c r="D820" s="89" t="str">
        <f t="shared" si="97"/>
        <v/>
      </c>
      <c r="E820" s="42" t="str">
        <f>IF($B820="","",IFERROR(IF($D820="周转打冷",N(INDEX(对接源_01入库吨位!$D$5:$D$304,MATCH(INT((ROW()-5)/3)+1,对接源_01入库吨位!$S$5:$S$304,0))),IF($D820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0" s="76" t="str">
        <f>IF($B820="","",ROUND(IFERROR(IF($D820="周转打冷",N(INDEX(对接源_01入库吨位!$H$5:$H$304,MATCH(INT((ROW()-5)/3)+1,对接源_01入库吨位!$S$5:$S$304,0))),IF($D820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0" s="122" t="str">
        <f t="shared" si="98"/>
        <v/>
      </c>
      <c r="H820" s="43"/>
      <c r="I820" s="107"/>
      <c r="J820" s="123" t="str">
        <f t="shared" si="99"/>
        <v/>
      </c>
      <c r="K820" s="76" t="str">
        <f t="shared" si="100"/>
        <v/>
      </c>
      <c r="L820" s="43"/>
      <c r="M820" s="7"/>
      <c r="N820" s="106"/>
      <c r="R820" s="3" t="str">
        <f t="shared" si="101"/>
        <v/>
      </c>
      <c r="S820" s="3">
        <f t="shared" si="102"/>
        <v>0</v>
      </c>
      <c r="T820" s="3">
        <f t="shared" si="103"/>
        <v>13</v>
      </c>
    </row>
    <row r="821" spans="1:20">
      <c r="A821" s="74" t="str">
        <f t="shared" si="96"/>
        <v/>
      </c>
      <c r="B821" s="75" t="str">
        <f>IFERROR(INDEX(对接源_01入库吨位!$B$5:$B$304,MATCH(INT((ROW()-5)/3)+1,对接源_01入库吨位!$S$5:$S$304,0)),"")</f>
        <v/>
      </c>
      <c r="C821" s="75" t="str">
        <f>IFERROR(INDEX(对接源_01入库吨位!$C$5:$C$304,MATCH(INT((ROW()-5)/3)+1,对接源_01入库吨位!$S$5:$S$304,0)),"")</f>
        <v/>
      </c>
      <c r="D821" s="89" t="str">
        <f t="shared" si="97"/>
        <v/>
      </c>
      <c r="E821" s="42" t="str">
        <f>IF($B821="","",IFERROR(IF($D821="周转打冷",N(INDEX(对接源_01入库吨位!$D$5:$D$304,MATCH(INT((ROW()-5)/3)+1,对接源_01入库吨位!$S$5:$S$304,0))),IF($D821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1" s="76" t="str">
        <f>IF($B821="","",ROUND(IFERROR(IF($D821="周转打冷",N(INDEX(对接源_01入库吨位!$H$5:$H$304,MATCH(INT((ROW()-5)/3)+1,对接源_01入库吨位!$S$5:$S$304,0))),IF($D821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1" s="122" t="str">
        <f t="shared" si="98"/>
        <v/>
      </c>
      <c r="H821" s="43"/>
      <c r="I821" s="107"/>
      <c r="J821" s="123" t="str">
        <f t="shared" si="99"/>
        <v/>
      </c>
      <c r="K821" s="76" t="str">
        <f t="shared" si="100"/>
        <v/>
      </c>
      <c r="L821" s="43"/>
      <c r="M821" s="7"/>
      <c r="N821" s="106"/>
      <c r="R821" s="3" t="str">
        <f t="shared" si="101"/>
        <v/>
      </c>
      <c r="S821" s="3">
        <f t="shared" si="102"/>
        <v>0</v>
      </c>
      <c r="T821" s="3">
        <f t="shared" si="103"/>
        <v>13</v>
      </c>
    </row>
    <row r="822" spans="1:20">
      <c r="A822" s="74" t="str">
        <f t="shared" si="96"/>
        <v/>
      </c>
      <c r="B822" s="75" t="str">
        <f>IFERROR(INDEX(对接源_01入库吨位!$B$5:$B$304,MATCH(INT((ROW()-5)/3)+1,对接源_01入库吨位!$S$5:$S$304,0)),"")</f>
        <v/>
      </c>
      <c r="C822" s="75" t="str">
        <f>IFERROR(INDEX(对接源_01入库吨位!$C$5:$C$304,MATCH(INT((ROW()-5)/3)+1,对接源_01入库吨位!$S$5:$S$304,0)),"")</f>
        <v/>
      </c>
      <c r="D822" s="89" t="str">
        <f t="shared" si="97"/>
        <v/>
      </c>
      <c r="E822" s="42" t="str">
        <f>IF($B822="","",IFERROR(IF($D822="周转打冷",N(INDEX(对接源_01入库吨位!$D$5:$D$304,MATCH(INT((ROW()-5)/3)+1,对接源_01入库吨位!$S$5:$S$304,0))),IF($D822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2" s="76" t="str">
        <f>IF($B822="","",ROUND(IFERROR(IF($D822="周转打冷",N(INDEX(对接源_01入库吨位!$H$5:$H$304,MATCH(INT((ROW()-5)/3)+1,对接源_01入库吨位!$S$5:$S$304,0))),IF($D822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2" s="122" t="str">
        <f t="shared" si="98"/>
        <v/>
      </c>
      <c r="H822" s="43"/>
      <c r="I822" s="107"/>
      <c r="J822" s="123" t="str">
        <f t="shared" si="99"/>
        <v/>
      </c>
      <c r="K822" s="76" t="str">
        <f t="shared" si="100"/>
        <v/>
      </c>
      <c r="L822" s="43"/>
      <c r="M822" s="7"/>
      <c r="N822" s="106"/>
      <c r="R822" s="3" t="str">
        <f t="shared" si="101"/>
        <v/>
      </c>
      <c r="S822" s="3">
        <f t="shared" si="102"/>
        <v>0</v>
      </c>
      <c r="T822" s="3">
        <f t="shared" si="103"/>
        <v>13</v>
      </c>
    </row>
    <row r="823" spans="1:20">
      <c r="A823" s="74" t="str">
        <f t="shared" si="96"/>
        <v/>
      </c>
      <c r="B823" s="75" t="str">
        <f>IFERROR(INDEX(对接源_01入库吨位!$B$5:$B$304,MATCH(INT((ROW()-5)/3)+1,对接源_01入库吨位!$S$5:$S$304,0)),"")</f>
        <v/>
      </c>
      <c r="C823" s="75" t="str">
        <f>IFERROR(INDEX(对接源_01入库吨位!$C$5:$C$304,MATCH(INT((ROW()-5)/3)+1,对接源_01入库吨位!$S$5:$S$304,0)),"")</f>
        <v/>
      </c>
      <c r="D823" s="89" t="str">
        <f t="shared" si="97"/>
        <v/>
      </c>
      <c r="E823" s="42" t="str">
        <f>IF($B823="","",IFERROR(IF($D823="周转打冷",N(INDEX(对接源_01入库吨位!$D$5:$D$304,MATCH(INT((ROW()-5)/3)+1,对接源_01入库吨位!$S$5:$S$304,0))),IF($D823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3" s="76" t="str">
        <f>IF($B823="","",ROUND(IFERROR(IF($D823="周转打冷",N(INDEX(对接源_01入库吨位!$H$5:$H$304,MATCH(INT((ROW()-5)/3)+1,对接源_01入库吨位!$S$5:$S$304,0))),IF($D823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3" s="122" t="str">
        <f t="shared" si="98"/>
        <v/>
      </c>
      <c r="H823" s="43"/>
      <c r="I823" s="107"/>
      <c r="J823" s="123" t="str">
        <f t="shared" si="99"/>
        <v/>
      </c>
      <c r="K823" s="76" t="str">
        <f t="shared" si="100"/>
        <v/>
      </c>
      <c r="L823" s="43"/>
      <c r="M823" s="7"/>
      <c r="N823" s="106"/>
      <c r="R823" s="3" t="str">
        <f t="shared" si="101"/>
        <v/>
      </c>
      <c r="S823" s="3">
        <f t="shared" si="102"/>
        <v>0</v>
      </c>
      <c r="T823" s="3">
        <f t="shared" si="103"/>
        <v>13</v>
      </c>
    </row>
    <row r="824" spans="1:20">
      <c r="A824" s="74" t="str">
        <f t="shared" si="96"/>
        <v/>
      </c>
      <c r="B824" s="75" t="str">
        <f>IFERROR(INDEX(对接源_01入库吨位!$B$5:$B$304,MATCH(INT((ROW()-5)/3)+1,对接源_01入库吨位!$S$5:$S$304,0)),"")</f>
        <v/>
      </c>
      <c r="C824" s="75" t="str">
        <f>IFERROR(INDEX(对接源_01入库吨位!$C$5:$C$304,MATCH(INT((ROW()-5)/3)+1,对接源_01入库吨位!$S$5:$S$304,0)),"")</f>
        <v/>
      </c>
      <c r="D824" s="89" t="str">
        <f t="shared" si="97"/>
        <v/>
      </c>
      <c r="E824" s="42" t="str">
        <f>IF($B824="","",IFERROR(IF($D824="周转打冷",N(INDEX(对接源_01入库吨位!$D$5:$D$304,MATCH(INT((ROW()-5)/3)+1,对接源_01入库吨位!$S$5:$S$304,0))),IF($D824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4" s="76" t="str">
        <f>IF($B824="","",ROUND(IFERROR(IF($D824="周转打冷",N(INDEX(对接源_01入库吨位!$H$5:$H$304,MATCH(INT((ROW()-5)/3)+1,对接源_01入库吨位!$S$5:$S$304,0))),IF($D824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4" s="122" t="str">
        <f t="shared" si="98"/>
        <v/>
      </c>
      <c r="H824" s="43"/>
      <c r="I824" s="107"/>
      <c r="J824" s="123" t="str">
        <f t="shared" si="99"/>
        <v/>
      </c>
      <c r="K824" s="76" t="str">
        <f t="shared" si="100"/>
        <v/>
      </c>
      <c r="L824" s="43"/>
      <c r="M824" s="7"/>
      <c r="N824" s="106"/>
      <c r="R824" s="3" t="str">
        <f t="shared" si="101"/>
        <v/>
      </c>
      <c r="S824" s="3">
        <f t="shared" si="102"/>
        <v>0</v>
      </c>
      <c r="T824" s="3">
        <f t="shared" si="103"/>
        <v>13</v>
      </c>
    </row>
    <row r="825" spans="1:20">
      <c r="A825" s="74" t="str">
        <f t="shared" si="96"/>
        <v/>
      </c>
      <c r="B825" s="75" t="str">
        <f>IFERROR(INDEX(对接源_01入库吨位!$B$5:$B$304,MATCH(INT((ROW()-5)/3)+1,对接源_01入库吨位!$S$5:$S$304,0)),"")</f>
        <v/>
      </c>
      <c r="C825" s="75" t="str">
        <f>IFERROR(INDEX(对接源_01入库吨位!$C$5:$C$304,MATCH(INT((ROW()-5)/3)+1,对接源_01入库吨位!$S$5:$S$304,0)),"")</f>
        <v/>
      </c>
      <c r="D825" s="89" t="str">
        <f t="shared" si="97"/>
        <v/>
      </c>
      <c r="E825" s="42" t="str">
        <f>IF($B825="","",IFERROR(IF($D825="周转打冷",N(INDEX(对接源_01入库吨位!$D$5:$D$304,MATCH(INT((ROW()-5)/3)+1,对接源_01入库吨位!$S$5:$S$304,0))),IF($D825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5" s="76" t="str">
        <f>IF($B825="","",ROUND(IFERROR(IF($D825="周转打冷",N(INDEX(对接源_01入库吨位!$H$5:$H$304,MATCH(INT((ROW()-5)/3)+1,对接源_01入库吨位!$S$5:$S$304,0))),IF($D825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5" s="122" t="str">
        <f t="shared" si="98"/>
        <v/>
      </c>
      <c r="H825" s="43"/>
      <c r="I825" s="107"/>
      <c r="J825" s="123" t="str">
        <f t="shared" si="99"/>
        <v/>
      </c>
      <c r="K825" s="76" t="str">
        <f t="shared" si="100"/>
        <v/>
      </c>
      <c r="L825" s="43"/>
      <c r="M825" s="7"/>
      <c r="N825" s="106"/>
      <c r="R825" s="3" t="str">
        <f t="shared" si="101"/>
        <v/>
      </c>
      <c r="S825" s="3">
        <f t="shared" si="102"/>
        <v>0</v>
      </c>
      <c r="T825" s="3">
        <f t="shared" si="103"/>
        <v>13</v>
      </c>
    </row>
    <row r="826" spans="1:20">
      <c r="A826" s="74" t="str">
        <f t="shared" si="96"/>
        <v/>
      </c>
      <c r="B826" s="75" t="str">
        <f>IFERROR(INDEX(对接源_01入库吨位!$B$5:$B$304,MATCH(INT((ROW()-5)/3)+1,对接源_01入库吨位!$S$5:$S$304,0)),"")</f>
        <v/>
      </c>
      <c r="C826" s="75" t="str">
        <f>IFERROR(INDEX(对接源_01入库吨位!$C$5:$C$304,MATCH(INT((ROW()-5)/3)+1,对接源_01入库吨位!$S$5:$S$304,0)),"")</f>
        <v/>
      </c>
      <c r="D826" s="89" t="str">
        <f t="shared" si="97"/>
        <v/>
      </c>
      <c r="E826" s="42" t="str">
        <f>IF($B826="","",IFERROR(IF($D826="周转打冷",N(INDEX(对接源_01入库吨位!$D$5:$D$304,MATCH(INT((ROW()-5)/3)+1,对接源_01入库吨位!$S$5:$S$304,0))),IF($D826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6" s="76" t="str">
        <f>IF($B826="","",ROUND(IFERROR(IF($D826="周转打冷",N(INDEX(对接源_01入库吨位!$H$5:$H$304,MATCH(INT((ROW()-5)/3)+1,对接源_01入库吨位!$S$5:$S$304,0))),IF($D826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6" s="122" t="str">
        <f t="shared" si="98"/>
        <v/>
      </c>
      <c r="H826" s="43"/>
      <c r="I826" s="107"/>
      <c r="J826" s="123" t="str">
        <f t="shared" si="99"/>
        <v/>
      </c>
      <c r="K826" s="76" t="str">
        <f t="shared" si="100"/>
        <v/>
      </c>
      <c r="L826" s="43"/>
      <c r="M826" s="7"/>
      <c r="N826" s="106"/>
      <c r="R826" s="3" t="str">
        <f t="shared" si="101"/>
        <v/>
      </c>
      <c r="S826" s="3">
        <f t="shared" si="102"/>
        <v>0</v>
      </c>
      <c r="T826" s="3">
        <f t="shared" si="103"/>
        <v>13</v>
      </c>
    </row>
    <row r="827" spans="1:20">
      <c r="A827" s="74" t="str">
        <f t="shared" si="96"/>
        <v/>
      </c>
      <c r="B827" s="75" t="str">
        <f>IFERROR(INDEX(对接源_01入库吨位!$B$5:$B$304,MATCH(INT((ROW()-5)/3)+1,对接源_01入库吨位!$S$5:$S$304,0)),"")</f>
        <v/>
      </c>
      <c r="C827" s="75" t="str">
        <f>IFERROR(INDEX(对接源_01入库吨位!$C$5:$C$304,MATCH(INT((ROW()-5)/3)+1,对接源_01入库吨位!$S$5:$S$304,0)),"")</f>
        <v/>
      </c>
      <c r="D827" s="89" t="str">
        <f t="shared" si="97"/>
        <v/>
      </c>
      <c r="E827" s="42" t="str">
        <f>IF($B827="","",IFERROR(IF($D827="周转打冷",N(INDEX(对接源_01入库吨位!$D$5:$D$304,MATCH(INT((ROW()-5)/3)+1,对接源_01入库吨位!$S$5:$S$304,0))),IF($D827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7" s="76" t="str">
        <f>IF($B827="","",ROUND(IFERROR(IF($D827="周转打冷",N(INDEX(对接源_01入库吨位!$H$5:$H$304,MATCH(INT((ROW()-5)/3)+1,对接源_01入库吨位!$S$5:$S$304,0))),IF($D827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7" s="122" t="str">
        <f t="shared" si="98"/>
        <v/>
      </c>
      <c r="H827" s="43"/>
      <c r="I827" s="107"/>
      <c r="J827" s="123" t="str">
        <f t="shared" si="99"/>
        <v/>
      </c>
      <c r="K827" s="76" t="str">
        <f t="shared" si="100"/>
        <v/>
      </c>
      <c r="L827" s="43"/>
      <c r="M827" s="7"/>
      <c r="N827" s="106"/>
      <c r="R827" s="3" t="str">
        <f t="shared" si="101"/>
        <v/>
      </c>
      <c r="S827" s="3">
        <f t="shared" si="102"/>
        <v>0</v>
      </c>
      <c r="T827" s="3">
        <f t="shared" si="103"/>
        <v>13</v>
      </c>
    </row>
    <row r="828" spans="1:20">
      <c r="A828" s="74" t="str">
        <f t="shared" si="96"/>
        <v/>
      </c>
      <c r="B828" s="75" t="str">
        <f>IFERROR(INDEX(对接源_01入库吨位!$B$5:$B$304,MATCH(INT((ROW()-5)/3)+1,对接源_01入库吨位!$S$5:$S$304,0)),"")</f>
        <v/>
      </c>
      <c r="C828" s="75" t="str">
        <f>IFERROR(INDEX(对接源_01入库吨位!$C$5:$C$304,MATCH(INT((ROW()-5)/3)+1,对接源_01入库吨位!$S$5:$S$304,0)),"")</f>
        <v/>
      </c>
      <c r="D828" s="89" t="str">
        <f t="shared" si="97"/>
        <v/>
      </c>
      <c r="E828" s="42" t="str">
        <f>IF($B828="","",IFERROR(IF($D828="周转打冷",N(INDEX(对接源_01入库吨位!$D$5:$D$304,MATCH(INT((ROW()-5)/3)+1,对接源_01入库吨位!$S$5:$S$304,0))),IF($D828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8" s="76" t="str">
        <f>IF($B828="","",ROUND(IFERROR(IF($D828="周转打冷",N(INDEX(对接源_01入库吨位!$H$5:$H$304,MATCH(INT((ROW()-5)/3)+1,对接源_01入库吨位!$S$5:$S$304,0))),IF($D828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8" s="122" t="str">
        <f t="shared" si="98"/>
        <v/>
      </c>
      <c r="H828" s="43"/>
      <c r="I828" s="107"/>
      <c r="J828" s="123" t="str">
        <f t="shared" si="99"/>
        <v/>
      </c>
      <c r="K828" s="76" t="str">
        <f t="shared" si="100"/>
        <v/>
      </c>
      <c r="L828" s="43"/>
      <c r="M828" s="7"/>
      <c r="N828" s="106"/>
      <c r="R828" s="3" t="str">
        <f t="shared" si="101"/>
        <v/>
      </c>
      <c r="S828" s="3">
        <f t="shared" si="102"/>
        <v>0</v>
      </c>
      <c r="T828" s="3">
        <f t="shared" si="103"/>
        <v>13</v>
      </c>
    </row>
    <row r="829" spans="1:20">
      <c r="A829" s="74" t="str">
        <f t="shared" si="96"/>
        <v/>
      </c>
      <c r="B829" s="75" t="str">
        <f>IFERROR(INDEX(对接源_01入库吨位!$B$5:$B$304,MATCH(INT((ROW()-5)/3)+1,对接源_01入库吨位!$S$5:$S$304,0)),"")</f>
        <v/>
      </c>
      <c r="C829" s="75" t="str">
        <f>IFERROR(INDEX(对接源_01入库吨位!$C$5:$C$304,MATCH(INT((ROW()-5)/3)+1,对接源_01入库吨位!$S$5:$S$304,0)),"")</f>
        <v/>
      </c>
      <c r="D829" s="89" t="str">
        <f t="shared" si="97"/>
        <v/>
      </c>
      <c r="E829" s="42" t="str">
        <f>IF($B829="","",IFERROR(IF($D829="周转打冷",N(INDEX(对接源_01入库吨位!$D$5:$D$304,MATCH(INT((ROW()-5)/3)+1,对接源_01入库吨位!$S$5:$S$304,0))),IF($D829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9" s="76" t="str">
        <f>IF($B829="","",ROUND(IFERROR(IF($D829="周转打冷",N(INDEX(对接源_01入库吨位!$H$5:$H$304,MATCH(INT((ROW()-5)/3)+1,对接源_01入库吨位!$S$5:$S$304,0))),IF($D829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9" s="122" t="str">
        <f t="shared" si="98"/>
        <v/>
      </c>
      <c r="H829" s="43"/>
      <c r="I829" s="107"/>
      <c r="J829" s="123" t="str">
        <f t="shared" si="99"/>
        <v/>
      </c>
      <c r="K829" s="76" t="str">
        <f t="shared" si="100"/>
        <v/>
      </c>
      <c r="L829" s="43"/>
      <c r="M829" s="7"/>
      <c r="N829" s="106"/>
      <c r="R829" s="3" t="str">
        <f t="shared" si="101"/>
        <v/>
      </c>
      <c r="S829" s="3">
        <f t="shared" si="102"/>
        <v>0</v>
      </c>
      <c r="T829" s="3">
        <f t="shared" si="103"/>
        <v>13</v>
      </c>
    </row>
    <row r="830" spans="1:20">
      <c r="A830" s="74" t="str">
        <f t="shared" si="96"/>
        <v/>
      </c>
      <c r="B830" s="75" t="str">
        <f>IFERROR(INDEX(对接源_01入库吨位!$B$5:$B$304,MATCH(INT((ROW()-5)/3)+1,对接源_01入库吨位!$S$5:$S$304,0)),"")</f>
        <v/>
      </c>
      <c r="C830" s="75" t="str">
        <f>IFERROR(INDEX(对接源_01入库吨位!$C$5:$C$304,MATCH(INT((ROW()-5)/3)+1,对接源_01入库吨位!$S$5:$S$304,0)),"")</f>
        <v/>
      </c>
      <c r="D830" s="89" t="str">
        <f t="shared" si="97"/>
        <v/>
      </c>
      <c r="E830" s="42" t="str">
        <f>IF($B830="","",IFERROR(IF($D830="周转打冷",N(INDEX(对接源_01入库吨位!$D$5:$D$304,MATCH(INT((ROW()-5)/3)+1,对接源_01入库吨位!$S$5:$S$304,0))),IF($D830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0" s="76" t="str">
        <f>IF($B830="","",ROUND(IFERROR(IF($D830="周转打冷",N(INDEX(对接源_01入库吨位!$H$5:$H$304,MATCH(INT((ROW()-5)/3)+1,对接源_01入库吨位!$S$5:$S$304,0))),IF($D830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0" s="122" t="str">
        <f t="shared" si="98"/>
        <v/>
      </c>
      <c r="H830" s="43"/>
      <c r="I830" s="107"/>
      <c r="J830" s="123" t="str">
        <f t="shared" si="99"/>
        <v/>
      </c>
      <c r="K830" s="76" t="str">
        <f t="shared" si="100"/>
        <v/>
      </c>
      <c r="L830" s="43"/>
      <c r="M830" s="7"/>
      <c r="N830" s="106"/>
      <c r="R830" s="3" t="str">
        <f t="shared" si="101"/>
        <v/>
      </c>
      <c r="S830" s="3">
        <f t="shared" si="102"/>
        <v>0</v>
      </c>
      <c r="T830" s="3">
        <f t="shared" si="103"/>
        <v>13</v>
      </c>
    </row>
    <row r="831" spans="1:20">
      <c r="A831" s="74" t="str">
        <f t="shared" si="96"/>
        <v/>
      </c>
      <c r="B831" s="75" t="str">
        <f>IFERROR(INDEX(对接源_01入库吨位!$B$5:$B$304,MATCH(INT((ROW()-5)/3)+1,对接源_01入库吨位!$S$5:$S$304,0)),"")</f>
        <v/>
      </c>
      <c r="C831" s="75" t="str">
        <f>IFERROR(INDEX(对接源_01入库吨位!$C$5:$C$304,MATCH(INT((ROW()-5)/3)+1,对接源_01入库吨位!$S$5:$S$304,0)),"")</f>
        <v/>
      </c>
      <c r="D831" s="89" t="str">
        <f t="shared" si="97"/>
        <v/>
      </c>
      <c r="E831" s="42" t="str">
        <f>IF($B831="","",IFERROR(IF($D831="周转打冷",N(INDEX(对接源_01入库吨位!$D$5:$D$304,MATCH(INT((ROW()-5)/3)+1,对接源_01入库吨位!$S$5:$S$304,0))),IF($D831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1" s="76" t="str">
        <f>IF($B831="","",ROUND(IFERROR(IF($D831="周转打冷",N(INDEX(对接源_01入库吨位!$H$5:$H$304,MATCH(INT((ROW()-5)/3)+1,对接源_01入库吨位!$S$5:$S$304,0))),IF($D831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1" s="122" t="str">
        <f t="shared" si="98"/>
        <v/>
      </c>
      <c r="H831" s="43"/>
      <c r="I831" s="107"/>
      <c r="J831" s="123" t="str">
        <f t="shared" si="99"/>
        <v/>
      </c>
      <c r="K831" s="76" t="str">
        <f t="shared" si="100"/>
        <v/>
      </c>
      <c r="L831" s="43"/>
      <c r="M831" s="7"/>
      <c r="N831" s="106"/>
      <c r="R831" s="3" t="str">
        <f t="shared" si="101"/>
        <v/>
      </c>
      <c r="S831" s="3">
        <f t="shared" si="102"/>
        <v>0</v>
      </c>
      <c r="T831" s="3">
        <f t="shared" si="103"/>
        <v>13</v>
      </c>
    </row>
    <row r="832" spans="1:20">
      <c r="A832" s="74" t="str">
        <f t="shared" si="96"/>
        <v/>
      </c>
      <c r="B832" s="75" t="str">
        <f>IFERROR(INDEX(对接源_01入库吨位!$B$5:$B$304,MATCH(INT((ROW()-5)/3)+1,对接源_01入库吨位!$S$5:$S$304,0)),"")</f>
        <v/>
      </c>
      <c r="C832" s="75" t="str">
        <f>IFERROR(INDEX(对接源_01入库吨位!$C$5:$C$304,MATCH(INT((ROW()-5)/3)+1,对接源_01入库吨位!$S$5:$S$304,0)),"")</f>
        <v/>
      </c>
      <c r="D832" s="89" t="str">
        <f t="shared" si="97"/>
        <v/>
      </c>
      <c r="E832" s="42" t="str">
        <f>IF($B832="","",IFERROR(IF($D832="周转打冷",N(INDEX(对接源_01入库吨位!$D$5:$D$304,MATCH(INT((ROW()-5)/3)+1,对接源_01入库吨位!$S$5:$S$304,0))),IF($D832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2" s="76" t="str">
        <f>IF($B832="","",ROUND(IFERROR(IF($D832="周转打冷",N(INDEX(对接源_01入库吨位!$H$5:$H$304,MATCH(INT((ROW()-5)/3)+1,对接源_01入库吨位!$S$5:$S$304,0))),IF($D832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2" s="122" t="str">
        <f t="shared" si="98"/>
        <v/>
      </c>
      <c r="H832" s="43"/>
      <c r="I832" s="107"/>
      <c r="J832" s="123" t="str">
        <f t="shared" si="99"/>
        <v/>
      </c>
      <c r="K832" s="76" t="str">
        <f t="shared" si="100"/>
        <v/>
      </c>
      <c r="L832" s="43"/>
      <c r="M832" s="7"/>
      <c r="N832" s="106"/>
      <c r="R832" s="3" t="str">
        <f t="shared" si="101"/>
        <v/>
      </c>
      <c r="S832" s="3">
        <f t="shared" si="102"/>
        <v>0</v>
      </c>
      <c r="T832" s="3">
        <f t="shared" si="103"/>
        <v>13</v>
      </c>
    </row>
    <row r="833" spans="1:20">
      <c r="A833" s="74" t="str">
        <f t="shared" si="96"/>
        <v/>
      </c>
      <c r="B833" s="75" t="str">
        <f>IFERROR(INDEX(对接源_01入库吨位!$B$5:$B$304,MATCH(INT((ROW()-5)/3)+1,对接源_01入库吨位!$S$5:$S$304,0)),"")</f>
        <v/>
      </c>
      <c r="C833" s="75" t="str">
        <f>IFERROR(INDEX(对接源_01入库吨位!$C$5:$C$304,MATCH(INT((ROW()-5)/3)+1,对接源_01入库吨位!$S$5:$S$304,0)),"")</f>
        <v/>
      </c>
      <c r="D833" s="89" t="str">
        <f t="shared" si="97"/>
        <v/>
      </c>
      <c r="E833" s="42" t="str">
        <f>IF($B833="","",IFERROR(IF($D833="周转打冷",N(INDEX(对接源_01入库吨位!$D$5:$D$304,MATCH(INT((ROW()-5)/3)+1,对接源_01入库吨位!$S$5:$S$304,0))),IF($D833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3" s="76" t="str">
        <f>IF($B833="","",ROUND(IFERROR(IF($D833="周转打冷",N(INDEX(对接源_01入库吨位!$H$5:$H$304,MATCH(INT((ROW()-5)/3)+1,对接源_01入库吨位!$S$5:$S$304,0))),IF($D833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3" s="122" t="str">
        <f t="shared" si="98"/>
        <v/>
      </c>
      <c r="H833" s="43"/>
      <c r="I833" s="107"/>
      <c r="J833" s="123" t="str">
        <f t="shared" si="99"/>
        <v/>
      </c>
      <c r="K833" s="76" t="str">
        <f t="shared" si="100"/>
        <v/>
      </c>
      <c r="L833" s="43"/>
      <c r="M833" s="7"/>
      <c r="N833" s="106"/>
      <c r="R833" s="3" t="str">
        <f t="shared" si="101"/>
        <v/>
      </c>
      <c r="S833" s="3">
        <f t="shared" si="102"/>
        <v>0</v>
      </c>
      <c r="T833" s="3">
        <f t="shared" si="103"/>
        <v>13</v>
      </c>
    </row>
    <row r="834" spans="1:20">
      <c r="A834" s="74" t="str">
        <f t="shared" si="96"/>
        <v/>
      </c>
      <c r="B834" s="75" t="str">
        <f>IFERROR(INDEX(对接源_01入库吨位!$B$5:$B$304,MATCH(INT((ROW()-5)/3)+1,对接源_01入库吨位!$S$5:$S$304,0)),"")</f>
        <v/>
      </c>
      <c r="C834" s="75" t="str">
        <f>IFERROR(INDEX(对接源_01入库吨位!$C$5:$C$304,MATCH(INT((ROW()-5)/3)+1,对接源_01入库吨位!$S$5:$S$304,0)),"")</f>
        <v/>
      </c>
      <c r="D834" s="89" t="str">
        <f t="shared" si="97"/>
        <v/>
      </c>
      <c r="E834" s="42" t="str">
        <f>IF($B834="","",IFERROR(IF($D834="周转打冷",N(INDEX(对接源_01入库吨位!$D$5:$D$304,MATCH(INT((ROW()-5)/3)+1,对接源_01入库吨位!$S$5:$S$304,0))),IF($D834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4" s="76" t="str">
        <f>IF($B834="","",ROUND(IFERROR(IF($D834="周转打冷",N(INDEX(对接源_01入库吨位!$H$5:$H$304,MATCH(INT((ROW()-5)/3)+1,对接源_01入库吨位!$S$5:$S$304,0))),IF($D834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4" s="122" t="str">
        <f t="shared" si="98"/>
        <v/>
      </c>
      <c r="H834" s="43"/>
      <c r="I834" s="107"/>
      <c r="J834" s="123" t="str">
        <f t="shared" si="99"/>
        <v/>
      </c>
      <c r="K834" s="76" t="str">
        <f t="shared" si="100"/>
        <v/>
      </c>
      <c r="L834" s="43"/>
      <c r="M834" s="7"/>
      <c r="N834" s="106"/>
      <c r="R834" s="3" t="str">
        <f t="shared" si="101"/>
        <v/>
      </c>
      <c r="S834" s="3">
        <f t="shared" si="102"/>
        <v>0</v>
      </c>
      <c r="T834" s="3">
        <f t="shared" si="103"/>
        <v>13</v>
      </c>
    </row>
    <row r="835" spans="1:20">
      <c r="A835" s="74" t="str">
        <f t="shared" si="96"/>
        <v/>
      </c>
      <c r="B835" s="75" t="str">
        <f>IFERROR(INDEX(对接源_01入库吨位!$B$5:$B$304,MATCH(INT((ROW()-5)/3)+1,对接源_01入库吨位!$S$5:$S$304,0)),"")</f>
        <v/>
      </c>
      <c r="C835" s="75" t="str">
        <f>IFERROR(INDEX(对接源_01入库吨位!$C$5:$C$304,MATCH(INT((ROW()-5)/3)+1,对接源_01入库吨位!$S$5:$S$304,0)),"")</f>
        <v/>
      </c>
      <c r="D835" s="89" t="str">
        <f t="shared" si="97"/>
        <v/>
      </c>
      <c r="E835" s="42" t="str">
        <f>IF($B835="","",IFERROR(IF($D835="周转打冷",N(INDEX(对接源_01入库吨位!$D$5:$D$304,MATCH(INT((ROW()-5)/3)+1,对接源_01入库吨位!$S$5:$S$304,0))),IF($D835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5" s="76" t="str">
        <f>IF($B835="","",ROUND(IFERROR(IF($D835="周转打冷",N(INDEX(对接源_01入库吨位!$H$5:$H$304,MATCH(INT((ROW()-5)/3)+1,对接源_01入库吨位!$S$5:$S$304,0))),IF($D835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5" s="122" t="str">
        <f t="shared" si="98"/>
        <v/>
      </c>
      <c r="H835" s="43"/>
      <c r="I835" s="107"/>
      <c r="J835" s="123" t="str">
        <f t="shared" si="99"/>
        <v/>
      </c>
      <c r="K835" s="76" t="str">
        <f t="shared" si="100"/>
        <v/>
      </c>
      <c r="L835" s="43"/>
      <c r="M835" s="7"/>
      <c r="N835" s="106"/>
      <c r="R835" s="3" t="str">
        <f t="shared" si="101"/>
        <v/>
      </c>
      <c r="S835" s="3">
        <f t="shared" si="102"/>
        <v>0</v>
      </c>
      <c r="T835" s="3">
        <f t="shared" si="103"/>
        <v>13</v>
      </c>
    </row>
    <row r="836" spans="1:20">
      <c r="A836" s="74" t="str">
        <f t="shared" si="96"/>
        <v/>
      </c>
      <c r="B836" s="75" t="str">
        <f>IFERROR(INDEX(对接源_01入库吨位!$B$5:$B$304,MATCH(INT((ROW()-5)/3)+1,对接源_01入库吨位!$S$5:$S$304,0)),"")</f>
        <v/>
      </c>
      <c r="C836" s="75" t="str">
        <f>IFERROR(INDEX(对接源_01入库吨位!$C$5:$C$304,MATCH(INT((ROW()-5)/3)+1,对接源_01入库吨位!$S$5:$S$304,0)),"")</f>
        <v/>
      </c>
      <c r="D836" s="89" t="str">
        <f t="shared" si="97"/>
        <v/>
      </c>
      <c r="E836" s="42" t="str">
        <f>IF($B836="","",IFERROR(IF($D836="周转打冷",N(INDEX(对接源_01入库吨位!$D$5:$D$304,MATCH(INT((ROW()-5)/3)+1,对接源_01入库吨位!$S$5:$S$304,0))),IF($D836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6" s="76" t="str">
        <f>IF($B836="","",ROUND(IFERROR(IF($D836="周转打冷",N(INDEX(对接源_01入库吨位!$H$5:$H$304,MATCH(INT((ROW()-5)/3)+1,对接源_01入库吨位!$S$5:$S$304,0))),IF($D836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6" s="122" t="str">
        <f t="shared" si="98"/>
        <v/>
      </c>
      <c r="H836" s="43"/>
      <c r="I836" s="107"/>
      <c r="J836" s="123" t="str">
        <f t="shared" si="99"/>
        <v/>
      </c>
      <c r="K836" s="76" t="str">
        <f t="shared" si="100"/>
        <v/>
      </c>
      <c r="L836" s="43"/>
      <c r="M836" s="7"/>
      <c r="N836" s="106"/>
      <c r="R836" s="3" t="str">
        <f t="shared" si="101"/>
        <v/>
      </c>
      <c r="S836" s="3">
        <f t="shared" si="102"/>
        <v>0</v>
      </c>
      <c r="T836" s="3">
        <f t="shared" si="103"/>
        <v>13</v>
      </c>
    </row>
    <row r="837" spans="1:20">
      <c r="A837" s="74" t="str">
        <f t="shared" ref="A837:A900" si="104">IF($B837="","",ROW()-4)</f>
        <v/>
      </c>
      <c r="B837" s="75" t="str">
        <f>IFERROR(INDEX(对接源_01入库吨位!$B$5:$B$304,MATCH(INT((ROW()-5)/3)+1,对接源_01入库吨位!$S$5:$S$304,0)),"")</f>
        <v/>
      </c>
      <c r="C837" s="75" t="str">
        <f>IFERROR(INDEX(对接源_01入库吨位!$C$5:$C$304,MATCH(INT((ROW()-5)/3)+1,对接源_01入库吨位!$S$5:$S$304,0)),"")</f>
        <v/>
      </c>
      <c r="D837" s="89" t="str">
        <f t="shared" ref="D837:D900" si="105">IF($B837="","",IF(MOD(ROW()-5,3)=0,"周转打冷",IF(MOD(ROW()-5,3)=1,"仓储加工","装卸费")))</f>
        <v/>
      </c>
      <c r="E837" s="42" t="str">
        <f>IF($B837="","",IFERROR(IF($D837="周转打冷",N(INDEX(对接源_01入库吨位!$D$5:$D$304,MATCH(INT((ROW()-5)/3)+1,对接源_01入库吨位!$S$5:$S$304,0))),IF($D837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7" s="76" t="str">
        <f>IF($B837="","",ROUND(IFERROR(IF($D837="周转打冷",N(INDEX(对接源_01入库吨位!$H$5:$H$304,MATCH(INT((ROW()-5)/3)+1,对接源_01入库吨位!$S$5:$S$304,0))),IF($D837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7" s="122" t="str">
        <f t="shared" ref="G837:G900" si="106">IF($B837="","",ROUND(N($F837)/1000,3))</f>
        <v/>
      </c>
      <c r="H837" s="43"/>
      <c r="I837" s="107"/>
      <c r="J837" s="123" t="str">
        <f t="shared" ref="J837:J900" si="107">IF($B837="","",IF($H837="按筐数×单价",N($E837),IF($H837="按总重KG×单价",N($F837),IF($H837="按吨位×单价",N($G837),0))))</f>
        <v/>
      </c>
      <c r="K837" s="76" t="str">
        <f t="shared" ref="K837:K900" si="108">IF($B837="","",ROUND(N($J837)*N($I837),2))</f>
        <v/>
      </c>
      <c r="L837" s="43"/>
      <c r="M837" s="7"/>
      <c r="N837" s="106"/>
      <c r="R837" s="3" t="str">
        <f t="shared" ref="R837:R900" si="109">IF($B837="","",$B837)</f>
        <v/>
      </c>
      <c r="S837" s="3">
        <f t="shared" ref="S837:S900" si="110">IF($R837="",0,IF(MATCH($R837,$R$5:$R$904,0)=ROW()-4,1,0))</f>
        <v>0</v>
      </c>
      <c r="T837" s="3">
        <f t="shared" ref="T837:T900" si="111">N(T836)+$S837</f>
        <v>13</v>
      </c>
    </row>
    <row r="838" spans="1:20">
      <c r="A838" s="74" t="str">
        <f t="shared" si="104"/>
        <v/>
      </c>
      <c r="B838" s="75" t="str">
        <f>IFERROR(INDEX(对接源_01入库吨位!$B$5:$B$304,MATCH(INT((ROW()-5)/3)+1,对接源_01入库吨位!$S$5:$S$304,0)),"")</f>
        <v/>
      </c>
      <c r="C838" s="75" t="str">
        <f>IFERROR(INDEX(对接源_01入库吨位!$C$5:$C$304,MATCH(INT((ROW()-5)/3)+1,对接源_01入库吨位!$S$5:$S$304,0)),"")</f>
        <v/>
      </c>
      <c r="D838" s="89" t="str">
        <f t="shared" si="105"/>
        <v/>
      </c>
      <c r="E838" s="42" t="str">
        <f>IF($B838="","",IFERROR(IF($D838="周转打冷",N(INDEX(对接源_01入库吨位!$D$5:$D$304,MATCH(INT((ROW()-5)/3)+1,对接源_01入库吨位!$S$5:$S$304,0))),IF($D838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8" s="76" t="str">
        <f>IF($B838="","",ROUND(IFERROR(IF($D838="周转打冷",N(INDEX(对接源_01入库吨位!$H$5:$H$304,MATCH(INT((ROW()-5)/3)+1,对接源_01入库吨位!$S$5:$S$304,0))),IF($D838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8" s="122" t="str">
        <f t="shared" si="106"/>
        <v/>
      </c>
      <c r="H838" s="43"/>
      <c r="I838" s="107"/>
      <c r="J838" s="123" t="str">
        <f t="shared" si="107"/>
        <v/>
      </c>
      <c r="K838" s="76" t="str">
        <f t="shared" si="108"/>
        <v/>
      </c>
      <c r="L838" s="43"/>
      <c r="M838" s="7"/>
      <c r="N838" s="106"/>
      <c r="R838" s="3" t="str">
        <f t="shared" si="109"/>
        <v/>
      </c>
      <c r="S838" s="3">
        <f t="shared" si="110"/>
        <v>0</v>
      </c>
      <c r="T838" s="3">
        <f t="shared" si="111"/>
        <v>13</v>
      </c>
    </row>
    <row r="839" spans="1:20">
      <c r="A839" s="74" t="str">
        <f t="shared" si="104"/>
        <v/>
      </c>
      <c r="B839" s="75" t="str">
        <f>IFERROR(INDEX(对接源_01入库吨位!$B$5:$B$304,MATCH(INT((ROW()-5)/3)+1,对接源_01入库吨位!$S$5:$S$304,0)),"")</f>
        <v/>
      </c>
      <c r="C839" s="75" t="str">
        <f>IFERROR(INDEX(对接源_01入库吨位!$C$5:$C$304,MATCH(INT((ROW()-5)/3)+1,对接源_01入库吨位!$S$5:$S$304,0)),"")</f>
        <v/>
      </c>
      <c r="D839" s="89" t="str">
        <f t="shared" si="105"/>
        <v/>
      </c>
      <c r="E839" s="42" t="str">
        <f>IF($B839="","",IFERROR(IF($D839="周转打冷",N(INDEX(对接源_01入库吨位!$D$5:$D$304,MATCH(INT((ROW()-5)/3)+1,对接源_01入库吨位!$S$5:$S$304,0))),IF($D839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9" s="76" t="str">
        <f>IF($B839="","",ROUND(IFERROR(IF($D839="周转打冷",N(INDEX(对接源_01入库吨位!$H$5:$H$304,MATCH(INT((ROW()-5)/3)+1,对接源_01入库吨位!$S$5:$S$304,0))),IF($D839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9" s="122" t="str">
        <f t="shared" si="106"/>
        <v/>
      </c>
      <c r="H839" s="43"/>
      <c r="I839" s="107"/>
      <c r="J839" s="123" t="str">
        <f t="shared" si="107"/>
        <v/>
      </c>
      <c r="K839" s="76" t="str">
        <f t="shared" si="108"/>
        <v/>
      </c>
      <c r="L839" s="43"/>
      <c r="M839" s="7"/>
      <c r="N839" s="106"/>
      <c r="R839" s="3" t="str">
        <f t="shared" si="109"/>
        <v/>
      </c>
      <c r="S839" s="3">
        <f t="shared" si="110"/>
        <v>0</v>
      </c>
      <c r="T839" s="3">
        <f t="shared" si="111"/>
        <v>13</v>
      </c>
    </row>
    <row r="840" spans="1:20">
      <c r="A840" s="74" t="str">
        <f t="shared" si="104"/>
        <v/>
      </c>
      <c r="B840" s="75" t="str">
        <f>IFERROR(INDEX(对接源_01入库吨位!$B$5:$B$304,MATCH(INT((ROW()-5)/3)+1,对接源_01入库吨位!$S$5:$S$304,0)),"")</f>
        <v/>
      </c>
      <c r="C840" s="75" t="str">
        <f>IFERROR(INDEX(对接源_01入库吨位!$C$5:$C$304,MATCH(INT((ROW()-5)/3)+1,对接源_01入库吨位!$S$5:$S$304,0)),"")</f>
        <v/>
      </c>
      <c r="D840" s="89" t="str">
        <f t="shared" si="105"/>
        <v/>
      </c>
      <c r="E840" s="42" t="str">
        <f>IF($B840="","",IFERROR(IF($D840="周转打冷",N(INDEX(对接源_01入库吨位!$D$5:$D$304,MATCH(INT((ROW()-5)/3)+1,对接源_01入库吨位!$S$5:$S$304,0))),IF($D840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0" s="76" t="str">
        <f>IF($B840="","",ROUND(IFERROR(IF($D840="周转打冷",N(INDEX(对接源_01入库吨位!$H$5:$H$304,MATCH(INT((ROW()-5)/3)+1,对接源_01入库吨位!$S$5:$S$304,0))),IF($D840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0" s="122" t="str">
        <f t="shared" si="106"/>
        <v/>
      </c>
      <c r="H840" s="43"/>
      <c r="I840" s="107"/>
      <c r="J840" s="123" t="str">
        <f t="shared" si="107"/>
        <v/>
      </c>
      <c r="K840" s="76" t="str">
        <f t="shared" si="108"/>
        <v/>
      </c>
      <c r="L840" s="43"/>
      <c r="M840" s="7"/>
      <c r="N840" s="106"/>
      <c r="R840" s="3" t="str">
        <f t="shared" si="109"/>
        <v/>
      </c>
      <c r="S840" s="3">
        <f t="shared" si="110"/>
        <v>0</v>
      </c>
      <c r="T840" s="3">
        <f t="shared" si="111"/>
        <v>13</v>
      </c>
    </row>
    <row r="841" spans="1:20">
      <c r="A841" s="74" t="str">
        <f t="shared" si="104"/>
        <v/>
      </c>
      <c r="B841" s="75" t="str">
        <f>IFERROR(INDEX(对接源_01入库吨位!$B$5:$B$304,MATCH(INT((ROW()-5)/3)+1,对接源_01入库吨位!$S$5:$S$304,0)),"")</f>
        <v/>
      </c>
      <c r="C841" s="75" t="str">
        <f>IFERROR(INDEX(对接源_01入库吨位!$C$5:$C$304,MATCH(INT((ROW()-5)/3)+1,对接源_01入库吨位!$S$5:$S$304,0)),"")</f>
        <v/>
      </c>
      <c r="D841" s="89" t="str">
        <f t="shared" si="105"/>
        <v/>
      </c>
      <c r="E841" s="42" t="str">
        <f>IF($B841="","",IFERROR(IF($D841="周转打冷",N(INDEX(对接源_01入库吨位!$D$5:$D$304,MATCH(INT((ROW()-5)/3)+1,对接源_01入库吨位!$S$5:$S$304,0))),IF($D841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1" s="76" t="str">
        <f>IF($B841="","",ROUND(IFERROR(IF($D841="周转打冷",N(INDEX(对接源_01入库吨位!$H$5:$H$304,MATCH(INT((ROW()-5)/3)+1,对接源_01入库吨位!$S$5:$S$304,0))),IF($D841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1" s="122" t="str">
        <f t="shared" si="106"/>
        <v/>
      </c>
      <c r="H841" s="43"/>
      <c r="I841" s="107"/>
      <c r="J841" s="123" t="str">
        <f t="shared" si="107"/>
        <v/>
      </c>
      <c r="K841" s="76" t="str">
        <f t="shared" si="108"/>
        <v/>
      </c>
      <c r="L841" s="43"/>
      <c r="M841" s="7"/>
      <c r="N841" s="106"/>
      <c r="R841" s="3" t="str">
        <f t="shared" si="109"/>
        <v/>
      </c>
      <c r="S841" s="3">
        <f t="shared" si="110"/>
        <v>0</v>
      </c>
      <c r="T841" s="3">
        <f t="shared" si="111"/>
        <v>13</v>
      </c>
    </row>
    <row r="842" spans="1:20">
      <c r="A842" s="74" t="str">
        <f t="shared" si="104"/>
        <v/>
      </c>
      <c r="B842" s="75" t="str">
        <f>IFERROR(INDEX(对接源_01入库吨位!$B$5:$B$304,MATCH(INT((ROW()-5)/3)+1,对接源_01入库吨位!$S$5:$S$304,0)),"")</f>
        <v/>
      </c>
      <c r="C842" s="75" t="str">
        <f>IFERROR(INDEX(对接源_01入库吨位!$C$5:$C$304,MATCH(INT((ROW()-5)/3)+1,对接源_01入库吨位!$S$5:$S$304,0)),"")</f>
        <v/>
      </c>
      <c r="D842" s="89" t="str">
        <f t="shared" si="105"/>
        <v/>
      </c>
      <c r="E842" s="42" t="str">
        <f>IF($B842="","",IFERROR(IF($D842="周转打冷",N(INDEX(对接源_01入库吨位!$D$5:$D$304,MATCH(INT((ROW()-5)/3)+1,对接源_01入库吨位!$S$5:$S$304,0))),IF($D842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2" s="76" t="str">
        <f>IF($B842="","",ROUND(IFERROR(IF($D842="周转打冷",N(INDEX(对接源_01入库吨位!$H$5:$H$304,MATCH(INT((ROW()-5)/3)+1,对接源_01入库吨位!$S$5:$S$304,0))),IF($D842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2" s="122" t="str">
        <f t="shared" si="106"/>
        <v/>
      </c>
      <c r="H842" s="43"/>
      <c r="I842" s="107"/>
      <c r="J842" s="123" t="str">
        <f t="shared" si="107"/>
        <v/>
      </c>
      <c r="K842" s="76" t="str">
        <f t="shared" si="108"/>
        <v/>
      </c>
      <c r="L842" s="43"/>
      <c r="M842" s="7"/>
      <c r="N842" s="106"/>
      <c r="R842" s="3" t="str">
        <f t="shared" si="109"/>
        <v/>
      </c>
      <c r="S842" s="3">
        <f t="shared" si="110"/>
        <v>0</v>
      </c>
      <c r="T842" s="3">
        <f t="shared" si="111"/>
        <v>13</v>
      </c>
    </row>
    <row r="843" spans="1:20">
      <c r="A843" s="74" t="str">
        <f t="shared" si="104"/>
        <v/>
      </c>
      <c r="B843" s="75" t="str">
        <f>IFERROR(INDEX(对接源_01入库吨位!$B$5:$B$304,MATCH(INT((ROW()-5)/3)+1,对接源_01入库吨位!$S$5:$S$304,0)),"")</f>
        <v/>
      </c>
      <c r="C843" s="75" t="str">
        <f>IFERROR(INDEX(对接源_01入库吨位!$C$5:$C$304,MATCH(INT((ROW()-5)/3)+1,对接源_01入库吨位!$S$5:$S$304,0)),"")</f>
        <v/>
      </c>
      <c r="D843" s="89" t="str">
        <f t="shared" si="105"/>
        <v/>
      </c>
      <c r="E843" s="42" t="str">
        <f>IF($B843="","",IFERROR(IF($D843="周转打冷",N(INDEX(对接源_01入库吨位!$D$5:$D$304,MATCH(INT((ROW()-5)/3)+1,对接源_01入库吨位!$S$5:$S$304,0))),IF($D843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3" s="76" t="str">
        <f>IF($B843="","",ROUND(IFERROR(IF($D843="周转打冷",N(INDEX(对接源_01入库吨位!$H$5:$H$304,MATCH(INT((ROW()-5)/3)+1,对接源_01入库吨位!$S$5:$S$304,0))),IF($D843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3" s="122" t="str">
        <f t="shared" si="106"/>
        <v/>
      </c>
      <c r="H843" s="43"/>
      <c r="I843" s="107"/>
      <c r="J843" s="123" t="str">
        <f t="shared" si="107"/>
        <v/>
      </c>
      <c r="K843" s="76" t="str">
        <f t="shared" si="108"/>
        <v/>
      </c>
      <c r="L843" s="43"/>
      <c r="M843" s="7"/>
      <c r="N843" s="106"/>
      <c r="R843" s="3" t="str">
        <f t="shared" si="109"/>
        <v/>
      </c>
      <c r="S843" s="3">
        <f t="shared" si="110"/>
        <v>0</v>
      </c>
      <c r="T843" s="3">
        <f t="shared" si="111"/>
        <v>13</v>
      </c>
    </row>
    <row r="844" spans="1:20">
      <c r="A844" s="74" t="str">
        <f t="shared" si="104"/>
        <v/>
      </c>
      <c r="B844" s="75" t="str">
        <f>IFERROR(INDEX(对接源_01入库吨位!$B$5:$B$304,MATCH(INT((ROW()-5)/3)+1,对接源_01入库吨位!$S$5:$S$304,0)),"")</f>
        <v/>
      </c>
      <c r="C844" s="75" t="str">
        <f>IFERROR(INDEX(对接源_01入库吨位!$C$5:$C$304,MATCH(INT((ROW()-5)/3)+1,对接源_01入库吨位!$S$5:$S$304,0)),"")</f>
        <v/>
      </c>
      <c r="D844" s="89" t="str">
        <f t="shared" si="105"/>
        <v/>
      </c>
      <c r="E844" s="42" t="str">
        <f>IF($B844="","",IFERROR(IF($D844="周转打冷",N(INDEX(对接源_01入库吨位!$D$5:$D$304,MATCH(INT((ROW()-5)/3)+1,对接源_01入库吨位!$S$5:$S$304,0))),IF($D844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4" s="76" t="str">
        <f>IF($B844="","",ROUND(IFERROR(IF($D844="周转打冷",N(INDEX(对接源_01入库吨位!$H$5:$H$304,MATCH(INT((ROW()-5)/3)+1,对接源_01入库吨位!$S$5:$S$304,0))),IF($D844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4" s="122" t="str">
        <f t="shared" si="106"/>
        <v/>
      </c>
      <c r="H844" s="43"/>
      <c r="I844" s="107"/>
      <c r="J844" s="123" t="str">
        <f t="shared" si="107"/>
        <v/>
      </c>
      <c r="K844" s="76" t="str">
        <f t="shared" si="108"/>
        <v/>
      </c>
      <c r="L844" s="43"/>
      <c r="M844" s="7"/>
      <c r="N844" s="106"/>
      <c r="R844" s="3" t="str">
        <f t="shared" si="109"/>
        <v/>
      </c>
      <c r="S844" s="3">
        <f t="shared" si="110"/>
        <v>0</v>
      </c>
      <c r="T844" s="3">
        <f t="shared" si="111"/>
        <v>13</v>
      </c>
    </row>
    <row r="845" spans="1:20">
      <c r="A845" s="74" t="str">
        <f t="shared" si="104"/>
        <v/>
      </c>
      <c r="B845" s="75" t="str">
        <f>IFERROR(INDEX(对接源_01入库吨位!$B$5:$B$304,MATCH(INT((ROW()-5)/3)+1,对接源_01入库吨位!$S$5:$S$304,0)),"")</f>
        <v/>
      </c>
      <c r="C845" s="75" t="str">
        <f>IFERROR(INDEX(对接源_01入库吨位!$C$5:$C$304,MATCH(INT((ROW()-5)/3)+1,对接源_01入库吨位!$S$5:$S$304,0)),"")</f>
        <v/>
      </c>
      <c r="D845" s="89" t="str">
        <f t="shared" si="105"/>
        <v/>
      </c>
      <c r="E845" s="42" t="str">
        <f>IF($B845="","",IFERROR(IF($D845="周转打冷",N(INDEX(对接源_01入库吨位!$D$5:$D$304,MATCH(INT((ROW()-5)/3)+1,对接源_01入库吨位!$S$5:$S$304,0))),IF($D845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5" s="76" t="str">
        <f>IF($B845="","",ROUND(IFERROR(IF($D845="周转打冷",N(INDEX(对接源_01入库吨位!$H$5:$H$304,MATCH(INT((ROW()-5)/3)+1,对接源_01入库吨位!$S$5:$S$304,0))),IF($D845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5" s="122" t="str">
        <f t="shared" si="106"/>
        <v/>
      </c>
      <c r="H845" s="43"/>
      <c r="I845" s="107"/>
      <c r="J845" s="123" t="str">
        <f t="shared" si="107"/>
        <v/>
      </c>
      <c r="K845" s="76" t="str">
        <f t="shared" si="108"/>
        <v/>
      </c>
      <c r="L845" s="43"/>
      <c r="M845" s="7"/>
      <c r="N845" s="106"/>
      <c r="R845" s="3" t="str">
        <f t="shared" si="109"/>
        <v/>
      </c>
      <c r="S845" s="3">
        <f t="shared" si="110"/>
        <v>0</v>
      </c>
      <c r="T845" s="3">
        <f t="shared" si="111"/>
        <v>13</v>
      </c>
    </row>
    <row r="846" spans="1:20">
      <c r="A846" s="74" t="str">
        <f t="shared" si="104"/>
        <v/>
      </c>
      <c r="B846" s="75" t="str">
        <f>IFERROR(INDEX(对接源_01入库吨位!$B$5:$B$304,MATCH(INT((ROW()-5)/3)+1,对接源_01入库吨位!$S$5:$S$304,0)),"")</f>
        <v/>
      </c>
      <c r="C846" s="75" t="str">
        <f>IFERROR(INDEX(对接源_01入库吨位!$C$5:$C$304,MATCH(INT((ROW()-5)/3)+1,对接源_01入库吨位!$S$5:$S$304,0)),"")</f>
        <v/>
      </c>
      <c r="D846" s="89" t="str">
        <f t="shared" si="105"/>
        <v/>
      </c>
      <c r="E846" s="42" t="str">
        <f>IF($B846="","",IFERROR(IF($D846="周转打冷",N(INDEX(对接源_01入库吨位!$D$5:$D$304,MATCH(INT((ROW()-5)/3)+1,对接源_01入库吨位!$S$5:$S$304,0))),IF($D846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6" s="76" t="str">
        <f>IF($B846="","",ROUND(IFERROR(IF($D846="周转打冷",N(INDEX(对接源_01入库吨位!$H$5:$H$304,MATCH(INT((ROW()-5)/3)+1,对接源_01入库吨位!$S$5:$S$304,0))),IF($D846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6" s="122" t="str">
        <f t="shared" si="106"/>
        <v/>
      </c>
      <c r="H846" s="43"/>
      <c r="I846" s="107"/>
      <c r="J846" s="123" t="str">
        <f t="shared" si="107"/>
        <v/>
      </c>
      <c r="K846" s="76" t="str">
        <f t="shared" si="108"/>
        <v/>
      </c>
      <c r="L846" s="43"/>
      <c r="M846" s="7"/>
      <c r="N846" s="106"/>
      <c r="R846" s="3" t="str">
        <f t="shared" si="109"/>
        <v/>
      </c>
      <c r="S846" s="3">
        <f t="shared" si="110"/>
        <v>0</v>
      </c>
      <c r="T846" s="3">
        <f t="shared" si="111"/>
        <v>13</v>
      </c>
    </row>
    <row r="847" spans="1:20">
      <c r="A847" s="74" t="str">
        <f t="shared" si="104"/>
        <v/>
      </c>
      <c r="B847" s="75" t="str">
        <f>IFERROR(INDEX(对接源_01入库吨位!$B$5:$B$304,MATCH(INT((ROW()-5)/3)+1,对接源_01入库吨位!$S$5:$S$304,0)),"")</f>
        <v/>
      </c>
      <c r="C847" s="75" t="str">
        <f>IFERROR(INDEX(对接源_01入库吨位!$C$5:$C$304,MATCH(INT((ROW()-5)/3)+1,对接源_01入库吨位!$S$5:$S$304,0)),"")</f>
        <v/>
      </c>
      <c r="D847" s="89" t="str">
        <f t="shared" si="105"/>
        <v/>
      </c>
      <c r="E847" s="42" t="str">
        <f>IF($B847="","",IFERROR(IF($D847="周转打冷",N(INDEX(对接源_01入库吨位!$D$5:$D$304,MATCH(INT((ROW()-5)/3)+1,对接源_01入库吨位!$S$5:$S$304,0))),IF($D847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7" s="76" t="str">
        <f>IF($B847="","",ROUND(IFERROR(IF($D847="周转打冷",N(INDEX(对接源_01入库吨位!$H$5:$H$304,MATCH(INT((ROW()-5)/3)+1,对接源_01入库吨位!$S$5:$S$304,0))),IF($D847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7" s="122" t="str">
        <f t="shared" si="106"/>
        <v/>
      </c>
      <c r="H847" s="43"/>
      <c r="I847" s="107"/>
      <c r="J847" s="123" t="str">
        <f t="shared" si="107"/>
        <v/>
      </c>
      <c r="K847" s="76" t="str">
        <f t="shared" si="108"/>
        <v/>
      </c>
      <c r="L847" s="43"/>
      <c r="M847" s="7"/>
      <c r="N847" s="106"/>
      <c r="R847" s="3" t="str">
        <f t="shared" si="109"/>
        <v/>
      </c>
      <c r="S847" s="3">
        <f t="shared" si="110"/>
        <v>0</v>
      </c>
      <c r="T847" s="3">
        <f t="shared" si="111"/>
        <v>13</v>
      </c>
    </row>
    <row r="848" spans="1:20">
      <c r="A848" s="74" t="str">
        <f t="shared" si="104"/>
        <v/>
      </c>
      <c r="B848" s="75" t="str">
        <f>IFERROR(INDEX(对接源_01入库吨位!$B$5:$B$304,MATCH(INT((ROW()-5)/3)+1,对接源_01入库吨位!$S$5:$S$304,0)),"")</f>
        <v/>
      </c>
      <c r="C848" s="75" t="str">
        <f>IFERROR(INDEX(对接源_01入库吨位!$C$5:$C$304,MATCH(INT((ROW()-5)/3)+1,对接源_01入库吨位!$S$5:$S$304,0)),"")</f>
        <v/>
      </c>
      <c r="D848" s="89" t="str">
        <f t="shared" si="105"/>
        <v/>
      </c>
      <c r="E848" s="42" t="str">
        <f>IF($B848="","",IFERROR(IF($D848="周转打冷",N(INDEX(对接源_01入库吨位!$D$5:$D$304,MATCH(INT((ROW()-5)/3)+1,对接源_01入库吨位!$S$5:$S$304,0))),IF($D848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8" s="76" t="str">
        <f>IF($B848="","",ROUND(IFERROR(IF($D848="周转打冷",N(INDEX(对接源_01入库吨位!$H$5:$H$304,MATCH(INT((ROW()-5)/3)+1,对接源_01入库吨位!$S$5:$S$304,0))),IF($D848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8" s="122" t="str">
        <f t="shared" si="106"/>
        <v/>
      </c>
      <c r="H848" s="43"/>
      <c r="I848" s="107"/>
      <c r="J848" s="123" t="str">
        <f t="shared" si="107"/>
        <v/>
      </c>
      <c r="K848" s="76" t="str">
        <f t="shared" si="108"/>
        <v/>
      </c>
      <c r="L848" s="43"/>
      <c r="M848" s="7"/>
      <c r="N848" s="106"/>
      <c r="R848" s="3" t="str">
        <f t="shared" si="109"/>
        <v/>
      </c>
      <c r="S848" s="3">
        <f t="shared" si="110"/>
        <v>0</v>
      </c>
      <c r="T848" s="3">
        <f t="shared" si="111"/>
        <v>13</v>
      </c>
    </row>
    <row r="849" spans="1:20">
      <c r="A849" s="74" t="str">
        <f t="shared" si="104"/>
        <v/>
      </c>
      <c r="B849" s="75" t="str">
        <f>IFERROR(INDEX(对接源_01入库吨位!$B$5:$B$304,MATCH(INT((ROW()-5)/3)+1,对接源_01入库吨位!$S$5:$S$304,0)),"")</f>
        <v/>
      </c>
      <c r="C849" s="75" t="str">
        <f>IFERROR(INDEX(对接源_01入库吨位!$C$5:$C$304,MATCH(INT((ROW()-5)/3)+1,对接源_01入库吨位!$S$5:$S$304,0)),"")</f>
        <v/>
      </c>
      <c r="D849" s="89" t="str">
        <f t="shared" si="105"/>
        <v/>
      </c>
      <c r="E849" s="42" t="str">
        <f>IF($B849="","",IFERROR(IF($D849="周转打冷",N(INDEX(对接源_01入库吨位!$D$5:$D$304,MATCH(INT((ROW()-5)/3)+1,对接源_01入库吨位!$S$5:$S$304,0))),IF($D849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9" s="76" t="str">
        <f>IF($B849="","",ROUND(IFERROR(IF($D849="周转打冷",N(INDEX(对接源_01入库吨位!$H$5:$H$304,MATCH(INT((ROW()-5)/3)+1,对接源_01入库吨位!$S$5:$S$304,0))),IF($D849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9" s="122" t="str">
        <f t="shared" si="106"/>
        <v/>
      </c>
      <c r="H849" s="43"/>
      <c r="I849" s="107"/>
      <c r="J849" s="123" t="str">
        <f t="shared" si="107"/>
        <v/>
      </c>
      <c r="K849" s="76" t="str">
        <f t="shared" si="108"/>
        <v/>
      </c>
      <c r="L849" s="43"/>
      <c r="M849" s="7"/>
      <c r="N849" s="106"/>
      <c r="R849" s="3" t="str">
        <f t="shared" si="109"/>
        <v/>
      </c>
      <c r="S849" s="3">
        <f t="shared" si="110"/>
        <v>0</v>
      </c>
      <c r="T849" s="3">
        <f t="shared" si="111"/>
        <v>13</v>
      </c>
    </row>
    <row r="850" spans="1:20">
      <c r="A850" s="74" t="str">
        <f t="shared" si="104"/>
        <v/>
      </c>
      <c r="B850" s="75" t="str">
        <f>IFERROR(INDEX(对接源_01入库吨位!$B$5:$B$304,MATCH(INT((ROW()-5)/3)+1,对接源_01入库吨位!$S$5:$S$304,0)),"")</f>
        <v/>
      </c>
      <c r="C850" s="75" t="str">
        <f>IFERROR(INDEX(对接源_01入库吨位!$C$5:$C$304,MATCH(INT((ROW()-5)/3)+1,对接源_01入库吨位!$S$5:$S$304,0)),"")</f>
        <v/>
      </c>
      <c r="D850" s="89" t="str">
        <f t="shared" si="105"/>
        <v/>
      </c>
      <c r="E850" s="42" t="str">
        <f>IF($B850="","",IFERROR(IF($D850="周转打冷",N(INDEX(对接源_01入库吨位!$D$5:$D$304,MATCH(INT((ROW()-5)/3)+1,对接源_01入库吨位!$S$5:$S$304,0))),IF($D850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0" s="76" t="str">
        <f>IF($B850="","",ROUND(IFERROR(IF($D850="周转打冷",N(INDEX(对接源_01入库吨位!$H$5:$H$304,MATCH(INT((ROW()-5)/3)+1,对接源_01入库吨位!$S$5:$S$304,0))),IF($D850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0" s="122" t="str">
        <f t="shared" si="106"/>
        <v/>
      </c>
      <c r="H850" s="43"/>
      <c r="I850" s="107"/>
      <c r="J850" s="123" t="str">
        <f t="shared" si="107"/>
        <v/>
      </c>
      <c r="K850" s="76" t="str">
        <f t="shared" si="108"/>
        <v/>
      </c>
      <c r="L850" s="43"/>
      <c r="M850" s="7"/>
      <c r="N850" s="106"/>
      <c r="R850" s="3" t="str">
        <f t="shared" si="109"/>
        <v/>
      </c>
      <c r="S850" s="3">
        <f t="shared" si="110"/>
        <v>0</v>
      </c>
      <c r="T850" s="3">
        <f t="shared" si="111"/>
        <v>13</v>
      </c>
    </row>
    <row r="851" spans="1:20">
      <c r="A851" s="74" t="str">
        <f t="shared" si="104"/>
        <v/>
      </c>
      <c r="B851" s="75" t="str">
        <f>IFERROR(INDEX(对接源_01入库吨位!$B$5:$B$304,MATCH(INT((ROW()-5)/3)+1,对接源_01入库吨位!$S$5:$S$304,0)),"")</f>
        <v/>
      </c>
      <c r="C851" s="75" t="str">
        <f>IFERROR(INDEX(对接源_01入库吨位!$C$5:$C$304,MATCH(INT((ROW()-5)/3)+1,对接源_01入库吨位!$S$5:$S$304,0)),"")</f>
        <v/>
      </c>
      <c r="D851" s="89" t="str">
        <f t="shared" si="105"/>
        <v/>
      </c>
      <c r="E851" s="42" t="str">
        <f>IF($B851="","",IFERROR(IF($D851="周转打冷",N(INDEX(对接源_01入库吨位!$D$5:$D$304,MATCH(INT((ROW()-5)/3)+1,对接源_01入库吨位!$S$5:$S$304,0))),IF($D851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1" s="76" t="str">
        <f>IF($B851="","",ROUND(IFERROR(IF($D851="周转打冷",N(INDEX(对接源_01入库吨位!$H$5:$H$304,MATCH(INT((ROW()-5)/3)+1,对接源_01入库吨位!$S$5:$S$304,0))),IF($D851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1" s="122" t="str">
        <f t="shared" si="106"/>
        <v/>
      </c>
      <c r="H851" s="43"/>
      <c r="I851" s="107"/>
      <c r="J851" s="123" t="str">
        <f t="shared" si="107"/>
        <v/>
      </c>
      <c r="K851" s="76" t="str">
        <f t="shared" si="108"/>
        <v/>
      </c>
      <c r="L851" s="43"/>
      <c r="M851" s="7"/>
      <c r="N851" s="106"/>
      <c r="R851" s="3" t="str">
        <f t="shared" si="109"/>
        <v/>
      </c>
      <c r="S851" s="3">
        <f t="shared" si="110"/>
        <v>0</v>
      </c>
      <c r="T851" s="3">
        <f t="shared" si="111"/>
        <v>13</v>
      </c>
    </row>
    <row r="852" spans="1:20">
      <c r="A852" s="74" t="str">
        <f t="shared" si="104"/>
        <v/>
      </c>
      <c r="B852" s="75" t="str">
        <f>IFERROR(INDEX(对接源_01入库吨位!$B$5:$B$304,MATCH(INT((ROW()-5)/3)+1,对接源_01入库吨位!$S$5:$S$304,0)),"")</f>
        <v/>
      </c>
      <c r="C852" s="75" t="str">
        <f>IFERROR(INDEX(对接源_01入库吨位!$C$5:$C$304,MATCH(INT((ROW()-5)/3)+1,对接源_01入库吨位!$S$5:$S$304,0)),"")</f>
        <v/>
      </c>
      <c r="D852" s="89" t="str">
        <f t="shared" si="105"/>
        <v/>
      </c>
      <c r="E852" s="42" t="str">
        <f>IF($B852="","",IFERROR(IF($D852="周转打冷",N(INDEX(对接源_01入库吨位!$D$5:$D$304,MATCH(INT((ROW()-5)/3)+1,对接源_01入库吨位!$S$5:$S$304,0))),IF($D852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2" s="76" t="str">
        <f>IF($B852="","",ROUND(IFERROR(IF($D852="周转打冷",N(INDEX(对接源_01入库吨位!$H$5:$H$304,MATCH(INT((ROW()-5)/3)+1,对接源_01入库吨位!$S$5:$S$304,0))),IF($D852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2" s="122" t="str">
        <f t="shared" si="106"/>
        <v/>
      </c>
      <c r="H852" s="43"/>
      <c r="I852" s="107"/>
      <c r="J852" s="123" t="str">
        <f t="shared" si="107"/>
        <v/>
      </c>
      <c r="K852" s="76" t="str">
        <f t="shared" si="108"/>
        <v/>
      </c>
      <c r="L852" s="43"/>
      <c r="M852" s="7"/>
      <c r="N852" s="106"/>
      <c r="R852" s="3" t="str">
        <f t="shared" si="109"/>
        <v/>
      </c>
      <c r="S852" s="3">
        <f t="shared" si="110"/>
        <v>0</v>
      </c>
      <c r="T852" s="3">
        <f t="shared" si="111"/>
        <v>13</v>
      </c>
    </row>
    <row r="853" spans="1:20">
      <c r="A853" s="74" t="str">
        <f t="shared" si="104"/>
        <v/>
      </c>
      <c r="B853" s="75" t="str">
        <f>IFERROR(INDEX(对接源_01入库吨位!$B$5:$B$304,MATCH(INT((ROW()-5)/3)+1,对接源_01入库吨位!$S$5:$S$304,0)),"")</f>
        <v/>
      </c>
      <c r="C853" s="75" t="str">
        <f>IFERROR(INDEX(对接源_01入库吨位!$C$5:$C$304,MATCH(INT((ROW()-5)/3)+1,对接源_01入库吨位!$S$5:$S$304,0)),"")</f>
        <v/>
      </c>
      <c r="D853" s="89" t="str">
        <f t="shared" si="105"/>
        <v/>
      </c>
      <c r="E853" s="42" t="str">
        <f>IF($B853="","",IFERROR(IF($D853="周转打冷",N(INDEX(对接源_01入库吨位!$D$5:$D$304,MATCH(INT((ROW()-5)/3)+1,对接源_01入库吨位!$S$5:$S$304,0))),IF($D853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3" s="76" t="str">
        <f>IF($B853="","",ROUND(IFERROR(IF($D853="周转打冷",N(INDEX(对接源_01入库吨位!$H$5:$H$304,MATCH(INT((ROW()-5)/3)+1,对接源_01入库吨位!$S$5:$S$304,0))),IF($D853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3" s="122" t="str">
        <f t="shared" si="106"/>
        <v/>
      </c>
      <c r="H853" s="43"/>
      <c r="I853" s="107"/>
      <c r="J853" s="123" t="str">
        <f t="shared" si="107"/>
        <v/>
      </c>
      <c r="K853" s="76" t="str">
        <f t="shared" si="108"/>
        <v/>
      </c>
      <c r="L853" s="43"/>
      <c r="M853" s="7"/>
      <c r="N853" s="106"/>
      <c r="R853" s="3" t="str">
        <f t="shared" si="109"/>
        <v/>
      </c>
      <c r="S853" s="3">
        <f t="shared" si="110"/>
        <v>0</v>
      </c>
      <c r="T853" s="3">
        <f t="shared" si="111"/>
        <v>13</v>
      </c>
    </row>
    <row r="854" spans="1:20">
      <c r="A854" s="74" t="str">
        <f t="shared" si="104"/>
        <v/>
      </c>
      <c r="B854" s="75" t="str">
        <f>IFERROR(INDEX(对接源_01入库吨位!$B$5:$B$304,MATCH(INT((ROW()-5)/3)+1,对接源_01入库吨位!$S$5:$S$304,0)),"")</f>
        <v/>
      </c>
      <c r="C854" s="75" t="str">
        <f>IFERROR(INDEX(对接源_01入库吨位!$C$5:$C$304,MATCH(INT((ROW()-5)/3)+1,对接源_01入库吨位!$S$5:$S$304,0)),"")</f>
        <v/>
      </c>
      <c r="D854" s="89" t="str">
        <f t="shared" si="105"/>
        <v/>
      </c>
      <c r="E854" s="42" t="str">
        <f>IF($B854="","",IFERROR(IF($D854="周转打冷",N(INDEX(对接源_01入库吨位!$D$5:$D$304,MATCH(INT((ROW()-5)/3)+1,对接源_01入库吨位!$S$5:$S$304,0))),IF($D854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4" s="76" t="str">
        <f>IF($B854="","",ROUND(IFERROR(IF($D854="周转打冷",N(INDEX(对接源_01入库吨位!$H$5:$H$304,MATCH(INT((ROW()-5)/3)+1,对接源_01入库吨位!$S$5:$S$304,0))),IF($D854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4" s="122" t="str">
        <f t="shared" si="106"/>
        <v/>
      </c>
      <c r="H854" s="43"/>
      <c r="I854" s="107"/>
      <c r="J854" s="123" t="str">
        <f t="shared" si="107"/>
        <v/>
      </c>
      <c r="K854" s="76" t="str">
        <f t="shared" si="108"/>
        <v/>
      </c>
      <c r="L854" s="43"/>
      <c r="M854" s="7"/>
      <c r="N854" s="106"/>
      <c r="R854" s="3" t="str">
        <f t="shared" si="109"/>
        <v/>
      </c>
      <c r="S854" s="3">
        <f t="shared" si="110"/>
        <v>0</v>
      </c>
      <c r="T854" s="3">
        <f t="shared" si="111"/>
        <v>13</v>
      </c>
    </row>
    <row r="855" spans="1:20">
      <c r="A855" s="74" t="str">
        <f t="shared" si="104"/>
        <v/>
      </c>
      <c r="B855" s="75" t="str">
        <f>IFERROR(INDEX(对接源_01入库吨位!$B$5:$B$304,MATCH(INT((ROW()-5)/3)+1,对接源_01入库吨位!$S$5:$S$304,0)),"")</f>
        <v/>
      </c>
      <c r="C855" s="75" t="str">
        <f>IFERROR(INDEX(对接源_01入库吨位!$C$5:$C$304,MATCH(INT((ROW()-5)/3)+1,对接源_01入库吨位!$S$5:$S$304,0)),"")</f>
        <v/>
      </c>
      <c r="D855" s="89" t="str">
        <f t="shared" si="105"/>
        <v/>
      </c>
      <c r="E855" s="42" t="str">
        <f>IF($B855="","",IFERROR(IF($D855="周转打冷",N(INDEX(对接源_01入库吨位!$D$5:$D$304,MATCH(INT((ROW()-5)/3)+1,对接源_01入库吨位!$S$5:$S$304,0))),IF($D855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5" s="76" t="str">
        <f>IF($B855="","",ROUND(IFERROR(IF($D855="周转打冷",N(INDEX(对接源_01入库吨位!$H$5:$H$304,MATCH(INT((ROW()-5)/3)+1,对接源_01入库吨位!$S$5:$S$304,0))),IF($D855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5" s="122" t="str">
        <f t="shared" si="106"/>
        <v/>
      </c>
      <c r="H855" s="43"/>
      <c r="I855" s="107"/>
      <c r="J855" s="123" t="str">
        <f t="shared" si="107"/>
        <v/>
      </c>
      <c r="K855" s="76" t="str">
        <f t="shared" si="108"/>
        <v/>
      </c>
      <c r="L855" s="43"/>
      <c r="M855" s="7"/>
      <c r="N855" s="106"/>
      <c r="R855" s="3" t="str">
        <f t="shared" si="109"/>
        <v/>
      </c>
      <c r="S855" s="3">
        <f t="shared" si="110"/>
        <v>0</v>
      </c>
      <c r="T855" s="3">
        <f t="shared" si="111"/>
        <v>13</v>
      </c>
    </row>
    <row r="856" spans="1:20">
      <c r="A856" s="74" t="str">
        <f t="shared" si="104"/>
        <v/>
      </c>
      <c r="B856" s="75" t="str">
        <f>IFERROR(INDEX(对接源_01入库吨位!$B$5:$B$304,MATCH(INT((ROW()-5)/3)+1,对接源_01入库吨位!$S$5:$S$304,0)),"")</f>
        <v/>
      </c>
      <c r="C856" s="75" t="str">
        <f>IFERROR(INDEX(对接源_01入库吨位!$C$5:$C$304,MATCH(INT((ROW()-5)/3)+1,对接源_01入库吨位!$S$5:$S$304,0)),"")</f>
        <v/>
      </c>
      <c r="D856" s="89" t="str">
        <f t="shared" si="105"/>
        <v/>
      </c>
      <c r="E856" s="42" t="str">
        <f>IF($B856="","",IFERROR(IF($D856="周转打冷",N(INDEX(对接源_01入库吨位!$D$5:$D$304,MATCH(INT((ROW()-5)/3)+1,对接源_01入库吨位!$S$5:$S$304,0))),IF($D856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6" s="76" t="str">
        <f>IF($B856="","",ROUND(IFERROR(IF($D856="周转打冷",N(INDEX(对接源_01入库吨位!$H$5:$H$304,MATCH(INT((ROW()-5)/3)+1,对接源_01入库吨位!$S$5:$S$304,0))),IF($D856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6" s="122" t="str">
        <f t="shared" si="106"/>
        <v/>
      </c>
      <c r="H856" s="43"/>
      <c r="I856" s="107"/>
      <c r="J856" s="123" t="str">
        <f t="shared" si="107"/>
        <v/>
      </c>
      <c r="K856" s="76" t="str">
        <f t="shared" si="108"/>
        <v/>
      </c>
      <c r="L856" s="43"/>
      <c r="M856" s="7"/>
      <c r="N856" s="106"/>
      <c r="R856" s="3" t="str">
        <f t="shared" si="109"/>
        <v/>
      </c>
      <c r="S856" s="3">
        <f t="shared" si="110"/>
        <v>0</v>
      </c>
      <c r="T856" s="3">
        <f t="shared" si="111"/>
        <v>13</v>
      </c>
    </row>
    <row r="857" spans="1:20">
      <c r="A857" s="74" t="str">
        <f t="shared" si="104"/>
        <v/>
      </c>
      <c r="B857" s="75" t="str">
        <f>IFERROR(INDEX(对接源_01入库吨位!$B$5:$B$304,MATCH(INT((ROW()-5)/3)+1,对接源_01入库吨位!$S$5:$S$304,0)),"")</f>
        <v/>
      </c>
      <c r="C857" s="75" t="str">
        <f>IFERROR(INDEX(对接源_01入库吨位!$C$5:$C$304,MATCH(INT((ROW()-5)/3)+1,对接源_01入库吨位!$S$5:$S$304,0)),"")</f>
        <v/>
      </c>
      <c r="D857" s="89" t="str">
        <f t="shared" si="105"/>
        <v/>
      </c>
      <c r="E857" s="42" t="str">
        <f>IF($B857="","",IFERROR(IF($D857="周转打冷",N(INDEX(对接源_01入库吨位!$D$5:$D$304,MATCH(INT((ROW()-5)/3)+1,对接源_01入库吨位!$S$5:$S$304,0))),IF($D857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7" s="76" t="str">
        <f>IF($B857="","",ROUND(IFERROR(IF($D857="周转打冷",N(INDEX(对接源_01入库吨位!$H$5:$H$304,MATCH(INT((ROW()-5)/3)+1,对接源_01入库吨位!$S$5:$S$304,0))),IF($D857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7" s="122" t="str">
        <f t="shared" si="106"/>
        <v/>
      </c>
      <c r="H857" s="43"/>
      <c r="I857" s="107"/>
      <c r="J857" s="123" t="str">
        <f t="shared" si="107"/>
        <v/>
      </c>
      <c r="K857" s="76" t="str">
        <f t="shared" si="108"/>
        <v/>
      </c>
      <c r="L857" s="43"/>
      <c r="M857" s="7"/>
      <c r="N857" s="106"/>
      <c r="R857" s="3" t="str">
        <f t="shared" si="109"/>
        <v/>
      </c>
      <c r="S857" s="3">
        <f t="shared" si="110"/>
        <v>0</v>
      </c>
      <c r="T857" s="3">
        <f t="shared" si="111"/>
        <v>13</v>
      </c>
    </row>
    <row r="858" spans="1:20">
      <c r="A858" s="74" t="str">
        <f t="shared" si="104"/>
        <v/>
      </c>
      <c r="B858" s="75" t="str">
        <f>IFERROR(INDEX(对接源_01入库吨位!$B$5:$B$304,MATCH(INT((ROW()-5)/3)+1,对接源_01入库吨位!$S$5:$S$304,0)),"")</f>
        <v/>
      </c>
      <c r="C858" s="75" t="str">
        <f>IFERROR(INDEX(对接源_01入库吨位!$C$5:$C$304,MATCH(INT((ROW()-5)/3)+1,对接源_01入库吨位!$S$5:$S$304,0)),"")</f>
        <v/>
      </c>
      <c r="D858" s="89" t="str">
        <f t="shared" si="105"/>
        <v/>
      </c>
      <c r="E858" s="42" t="str">
        <f>IF($B858="","",IFERROR(IF($D858="周转打冷",N(INDEX(对接源_01入库吨位!$D$5:$D$304,MATCH(INT((ROW()-5)/3)+1,对接源_01入库吨位!$S$5:$S$304,0))),IF($D858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8" s="76" t="str">
        <f>IF($B858="","",ROUND(IFERROR(IF($D858="周转打冷",N(INDEX(对接源_01入库吨位!$H$5:$H$304,MATCH(INT((ROW()-5)/3)+1,对接源_01入库吨位!$S$5:$S$304,0))),IF($D858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8" s="122" t="str">
        <f t="shared" si="106"/>
        <v/>
      </c>
      <c r="H858" s="43"/>
      <c r="I858" s="107"/>
      <c r="J858" s="123" t="str">
        <f t="shared" si="107"/>
        <v/>
      </c>
      <c r="K858" s="76" t="str">
        <f t="shared" si="108"/>
        <v/>
      </c>
      <c r="L858" s="43"/>
      <c r="M858" s="7"/>
      <c r="N858" s="106"/>
      <c r="R858" s="3" t="str">
        <f t="shared" si="109"/>
        <v/>
      </c>
      <c r="S858" s="3">
        <f t="shared" si="110"/>
        <v>0</v>
      </c>
      <c r="T858" s="3">
        <f t="shared" si="111"/>
        <v>13</v>
      </c>
    </row>
    <row r="859" spans="1:20">
      <c r="A859" s="74" t="str">
        <f t="shared" si="104"/>
        <v/>
      </c>
      <c r="B859" s="75" t="str">
        <f>IFERROR(INDEX(对接源_01入库吨位!$B$5:$B$304,MATCH(INT((ROW()-5)/3)+1,对接源_01入库吨位!$S$5:$S$304,0)),"")</f>
        <v/>
      </c>
      <c r="C859" s="75" t="str">
        <f>IFERROR(INDEX(对接源_01入库吨位!$C$5:$C$304,MATCH(INT((ROW()-5)/3)+1,对接源_01入库吨位!$S$5:$S$304,0)),"")</f>
        <v/>
      </c>
      <c r="D859" s="89" t="str">
        <f t="shared" si="105"/>
        <v/>
      </c>
      <c r="E859" s="42" t="str">
        <f>IF($B859="","",IFERROR(IF($D859="周转打冷",N(INDEX(对接源_01入库吨位!$D$5:$D$304,MATCH(INT((ROW()-5)/3)+1,对接源_01入库吨位!$S$5:$S$304,0))),IF($D859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9" s="76" t="str">
        <f>IF($B859="","",ROUND(IFERROR(IF($D859="周转打冷",N(INDEX(对接源_01入库吨位!$H$5:$H$304,MATCH(INT((ROW()-5)/3)+1,对接源_01入库吨位!$S$5:$S$304,0))),IF($D859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9" s="122" t="str">
        <f t="shared" si="106"/>
        <v/>
      </c>
      <c r="H859" s="43"/>
      <c r="I859" s="107"/>
      <c r="J859" s="123" t="str">
        <f t="shared" si="107"/>
        <v/>
      </c>
      <c r="K859" s="76" t="str">
        <f t="shared" si="108"/>
        <v/>
      </c>
      <c r="L859" s="43"/>
      <c r="M859" s="7"/>
      <c r="N859" s="106"/>
      <c r="R859" s="3" t="str">
        <f t="shared" si="109"/>
        <v/>
      </c>
      <c r="S859" s="3">
        <f t="shared" si="110"/>
        <v>0</v>
      </c>
      <c r="T859" s="3">
        <f t="shared" si="111"/>
        <v>13</v>
      </c>
    </row>
    <row r="860" spans="1:20">
      <c r="A860" s="74" t="str">
        <f t="shared" si="104"/>
        <v/>
      </c>
      <c r="B860" s="75" t="str">
        <f>IFERROR(INDEX(对接源_01入库吨位!$B$5:$B$304,MATCH(INT((ROW()-5)/3)+1,对接源_01入库吨位!$S$5:$S$304,0)),"")</f>
        <v/>
      </c>
      <c r="C860" s="75" t="str">
        <f>IFERROR(INDEX(对接源_01入库吨位!$C$5:$C$304,MATCH(INT((ROW()-5)/3)+1,对接源_01入库吨位!$S$5:$S$304,0)),"")</f>
        <v/>
      </c>
      <c r="D860" s="89" t="str">
        <f t="shared" si="105"/>
        <v/>
      </c>
      <c r="E860" s="42" t="str">
        <f>IF($B860="","",IFERROR(IF($D860="周转打冷",N(INDEX(对接源_01入库吨位!$D$5:$D$304,MATCH(INT((ROW()-5)/3)+1,对接源_01入库吨位!$S$5:$S$304,0))),IF($D860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0" s="76" t="str">
        <f>IF($B860="","",ROUND(IFERROR(IF($D860="周转打冷",N(INDEX(对接源_01入库吨位!$H$5:$H$304,MATCH(INT((ROW()-5)/3)+1,对接源_01入库吨位!$S$5:$S$304,0))),IF($D860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0" s="122" t="str">
        <f t="shared" si="106"/>
        <v/>
      </c>
      <c r="H860" s="43"/>
      <c r="I860" s="107"/>
      <c r="J860" s="123" t="str">
        <f t="shared" si="107"/>
        <v/>
      </c>
      <c r="K860" s="76" t="str">
        <f t="shared" si="108"/>
        <v/>
      </c>
      <c r="L860" s="43"/>
      <c r="M860" s="7"/>
      <c r="N860" s="106"/>
      <c r="R860" s="3" t="str">
        <f t="shared" si="109"/>
        <v/>
      </c>
      <c r="S860" s="3">
        <f t="shared" si="110"/>
        <v>0</v>
      </c>
      <c r="T860" s="3">
        <f t="shared" si="111"/>
        <v>13</v>
      </c>
    </row>
    <row r="861" spans="1:20">
      <c r="A861" s="74" t="str">
        <f t="shared" si="104"/>
        <v/>
      </c>
      <c r="B861" s="75" t="str">
        <f>IFERROR(INDEX(对接源_01入库吨位!$B$5:$B$304,MATCH(INT((ROW()-5)/3)+1,对接源_01入库吨位!$S$5:$S$304,0)),"")</f>
        <v/>
      </c>
      <c r="C861" s="75" t="str">
        <f>IFERROR(INDEX(对接源_01入库吨位!$C$5:$C$304,MATCH(INT((ROW()-5)/3)+1,对接源_01入库吨位!$S$5:$S$304,0)),"")</f>
        <v/>
      </c>
      <c r="D861" s="89" t="str">
        <f t="shared" si="105"/>
        <v/>
      </c>
      <c r="E861" s="42" t="str">
        <f>IF($B861="","",IFERROR(IF($D861="周转打冷",N(INDEX(对接源_01入库吨位!$D$5:$D$304,MATCH(INT((ROW()-5)/3)+1,对接源_01入库吨位!$S$5:$S$304,0))),IF($D861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1" s="76" t="str">
        <f>IF($B861="","",ROUND(IFERROR(IF($D861="周转打冷",N(INDEX(对接源_01入库吨位!$H$5:$H$304,MATCH(INT((ROW()-5)/3)+1,对接源_01入库吨位!$S$5:$S$304,0))),IF($D861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1" s="122" t="str">
        <f t="shared" si="106"/>
        <v/>
      </c>
      <c r="H861" s="43"/>
      <c r="I861" s="107"/>
      <c r="J861" s="123" t="str">
        <f t="shared" si="107"/>
        <v/>
      </c>
      <c r="K861" s="76" t="str">
        <f t="shared" si="108"/>
        <v/>
      </c>
      <c r="L861" s="43"/>
      <c r="M861" s="7"/>
      <c r="N861" s="106"/>
      <c r="R861" s="3" t="str">
        <f t="shared" si="109"/>
        <v/>
      </c>
      <c r="S861" s="3">
        <f t="shared" si="110"/>
        <v>0</v>
      </c>
      <c r="T861" s="3">
        <f t="shared" si="111"/>
        <v>13</v>
      </c>
    </row>
    <row r="862" spans="1:20">
      <c r="A862" s="74" t="str">
        <f t="shared" si="104"/>
        <v/>
      </c>
      <c r="B862" s="75" t="str">
        <f>IFERROR(INDEX(对接源_01入库吨位!$B$5:$B$304,MATCH(INT((ROW()-5)/3)+1,对接源_01入库吨位!$S$5:$S$304,0)),"")</f>
        <v/>
      </c>
      <c r="C862" s="75" t="str">
        <f>IFERROR(INDEX(对接源_01入库吨位!$C$5:$C$304,MATCH(INT((ROW()-5)/3)+1,对接源_01入库吨位!$S$5:$S$304,0)),"")</f>
        <v/>
      </c>
      <c r="D862" s="89" t="str">
        <f t="shared" si="105"/>
        <v/>
      </c>
      <c r="E862" s="42" t="str">
        <f>IF($B862="","",IFERROR(IF($D862="周转打冷",N(INDEX(对接源_01入库吨位!$D$5:$D$304,MATCH(INT((ROW()-5)/3)+1,对接源_01入库吨位!$S$5:$S$304,0))),IF($D862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2" s="76" t="str">
        <f>IF($B862="","",ROUND(IFERROR(IF($D862="周转打冷",N(INDEX(对接源_01入库吨位!$H$5:$H$304,MATCH(INT((ROW()-5)/3)+1,对接源_01入库吨位!$S$5:$S$304,0))),IF($D862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2" s="122" t="str">
        <f t="shared" si="106"/>
        <v/>
      </c>
      <c r="H862" s="43"/>
      <c r="I862" s="107"/>
      <c r="J862" s="123" t="str">
        <f t="shared" si="107"/>
        <v/>
      </c>
      <c r="K862" s="76" t="str">
        <f t="shared" si="108"/>
        <v/>
      </c>
      <c r="L862" s="43"/>
      <c r="M862" s="7"/>
      <c r="N862" s="106"/>
      <c r="R862" s="3" t="str">
        <f t="shared" si="109"/>
        <v/>
      </c>
      <c r="S862" s="3">
        <f t="shared" si="110"/>
        <v>0</v>
      </c>
      <c r="T862" s="3">
        <f t="shared" si="111"/>
        <v>13</v>
      </c>
    </row>
    <row r="863" spans="1:20">
      <c r="A863" s="74" t="str">
        <f t="shared" si="104"/>
        <v/>
      </c>
      <c r="B863" s="75" t="str">
        <f>IFERROR(INDEX(对接源_01入库吨位!$B$5:$B$304,MATCH(INT((ROW()-5)/3)+1,对接源_01入库吨位!$S$5:$S$304,0)),"")</f>
        <v/>
      </c>
      <c r="C863" s="75" t="str">
        <f>IFERROR(INDEX(对接源_01入库吨位!$C$5:$C$304,MATCH(INT((ROW()-5)/3)+1,对接源_01入库吨位!$S$5:$S$304,0)),"")</f>
        <v/>
      </c>
      <c r="D863" s="89" t="str">
        <f t="shared" si="105"/>
        <v/>
      </c>
      <c r="E863" s="42" t="str">
        <f>IF($B863="","",IFERROR(IF($D863="周转打冷",N(INDEX(对接源_01入库吨位!$D$5:$D$304,MATCH(INT((ROW()-5)/3)+1,对接源_01入库吨位!$S$5:$S$304,0))),IF($D863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3" s="76" t="str">
        <f>IF($B863="","",ROUND(IFERROR(IF($D863="周转打冷",N(INDEX(对接源_01入库吨位!$H$5:$H$304,MATCH(INT((ROW()-5)/3)+1,对接源_01入库吨位!$S$5:$S$304,0))),IF($D863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3" s="122" t="str">
        <f t="shared" si="106"/>
        <v/>
      </c>
      <c r="H863" s="43"/>
      <c r="I863" s="107"/>
      <c r="J863" s="123" t="str">
        <f t="shared" si="107"/>
        <v/>
      </c>
      <c r="K863" s="76" t="str">
        <f t="shared" si="108"/>
        <v/>
      </c>
      <c r="L863" s="43"/>
      <c r="M863" s="7"/>
      <c r="N863" s="106"/>
      <c r="R863" s="3" t="str">
        <f t="shared" si="109"/>
        <v/>
      </c>
      <c r="S863" s="3">
        <f t="shared" si="110"/>
        <v>0</v>
      </c>
      <c r="T863" s="3">
        <f t="shared" si="111"/>
        <v>13</v>
      </c>
    </row>
    <row r="864" spans="1:20">
      <c r="A864" s="74" t="str">
        <f t="shared" si="104"/>
        <v/>
      </c>
      <c r="B864" s="75" t="str">
        <f>IFERROR(INDEX(对接源_01入库吨位!$B$5:$B$304,MATCH(INT((ROW()-5)/3)+1,对接源_01入库吨位!$S$5:$S$304,0)),"")</f>
        <v/>
      </c>
      <c r="C864" s="75" t="str">
        <f>IFERROR(INDEX(对接源_01入库吨位!$C$5:$C$304,MATCH(INT((ROW()-5)/3)+1,对接源_01入库吨位!$S$5:$S$304,0)),"")</f>
        <v/>
      </c>
      <c r="D864" s="89" t="str">
        <f t="shared" si="105"/>
        <v/>
      </c>
      <c r="E864" s="42" t="str">
        <f>IF($B864="","",IFERROR(IF($D864="周转打冷",N(INDEX(对接源_01入库吨位!$D$5:$D$304,MATCH(INT((ROW()-5)/3)+1,对接源_01入库吨位!$S$5:$S$304,0))),IF($D864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4" s="76" t="str">
        <f>IF($B864="","",ROUND(IFERROR(IF($D864="周转打冷",N(INDEX(对接源_01入库吨位!$H$5:$H$304,MATCH(INT((ROW()-5)/3)+1,对接源_01入库吨位!$S$5:$S$304,0))),IF($D864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4" s="122" t="str">
        <f t="shared" si="106"/>
        <v/>
      </c>
      <c r="H864" s="43"/>
      <c r="I864" s="107"/>
      <c r="J864" s="123" t="str">
        <f t="shared" si="107"/>
        <v/>
      </c>
      <c r="K864" s="76" t="str">
        <f t="shared" si="108"/>
        <v/>
      </c>
      <c r="L864" s="43"/>
      <c r="M864" s="7"/>
      <c r="N864" s="106"/>
      <c r="R864" s="3" t="str">
        <f t="shared" si="109"/>
        <v/>
      </c>
      <c r="S864" s="3">
        <f t="shared" si="110"/>
        <v>0</v>
      </c>
      <c r="T864" s="3">
        <f t="shared" si="111"/>
        <v>13</v>
      </c>
    </row>
    <row r="865" spans="1:20">
      <c r="A865" s="74" t="str">
        <f t="shared" si="104"/>
        <v/>
      </c>
      <c r="B865" s="75" t="str">
        <f>IFERROR(INDEX(对接源_01入库吨位!$B$5:$B$304,MATCH(INT((ROW()-5)/3)+1,对接源_01入库吨位!$S$5:$S$304,0)),"")</f>
        <v/>
      </c>
      <c r="C865" s="75" t="str">
        <f>IFERROR(INDEX(对接源_01入库吨位!$C$5:$C$304,MATCH(INT((ROW()-5)/3)+1,对接源_01入库吨位!$S$5:$S$304,0)),"")</f>
        <v/>
      </c>
      <c r="D865" s="89" t="str">
        <f t="shared" si="105"/>
        <v/>
      </c>
      <c r="E865" s="42" t="str">
        <f>IF($B865="","",IFERROR(IF($D865="周转打冷",N(INDEX(对接源_01入库吨位!$D$5:$D$304,MATCH(INT((ROW()-5)/3)+1,对接源_01入库吨位!$S$5:$S$304,0))),IF($D865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5" s="76" t="str">
        <f>IF($B865="","",ROUND(IFERROR(IF($D865="周转打冷",N(INDEX(对接源_01入库吨位!$H$5:$H$304,MATCH(INT((ROW()-5)/3)+1,对接源_01入库吨位!$S$5:$S$304,0))),IF($D865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5" s="122" t="str">
        <f t="shared" si="106"/>
        <v/>
      </c>
      <c r="H865" s="43"/>
      <c r="I865" s="107"/>
      <c r="J865" s="123" t="str">
        <f t="shared" si="107"/>
        <v/>
      </c>
      <c r="K865" s="76" t="str">
        <f t="shared" si="108"/>
        <v/>
      </c>
      <c r="L865" s="43"/>
      <c r="M865" s="7"/>
      <c r="N865" s="106"/>
      <c r="R865" s="3" t="str">
        <f t="shared" si="109"/>
        <v/>
      </c>
      <c r="S865" s="3">
        <f t="shared" si="110"/>
        <v>0</v>
      </c>
      <c r="T865" s="3">
        <f t="shared" si="111"/>
        <v>13</v>
      </c>
    </row>
    <row r="866" spans="1:20">
      <c r="A866" s="74" t="str">
        <f t="shared" si="104"/>
        <v/>
      </c>
      <c r="B866" s="75" t="str">
        <f>IFERROR(INDEX(对接源_01入库吨位!$B$5:$B$304,MATCH(INT((ROW()-5)/3)+1,对接源_01入库吨位!$S$5:$S$304,0)),"")</f>
        <v/>
      </c>
      <c r="C866" s="75" t="str">
        <f>IFERROR(INDEX(对接源_01入库吨位!$C$5:$C$304,MATCH(INT((ROW()-5)/3)+1,对接源_01入库吨位!$S$5:$S$304,0)),"")</f>
        <v/>
      </c>
      <c r="D866" s="89" t="str">
        <f t="shared" si="105"/>
        <v/>
      </c>
      <c r="E866" s="42" t="str">
        <f>IF($B866="","",IFERROR(IF($D866="周转打冷",N(INDEX(对接源_01入库吨位!$D$5:$D$304,MATCH(INT((ROW()-5)/3)+1,对接源_01入库吨位!$S$5:$S$304,0))),IF($D866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6" s="76" t="str">
        <f>IF($B866="","",ROUND(IFERROR(IF($D866="周转打冷",N(INDEX(对接源_01入库吨位!$H$5:$H$304,MATCH(INT((ROW()-5)/3)+1,对接源_01入库吨位!$S$5:$S$304,0))),IF($D866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6" s="122" t="str">
        <f t="shared" si="106"/>
        <v/>
      </c>
      <c r="H866" s="43"/>
      <c r="I866" s="107"/>
      <c r="J866" s="123" t="str">
        <f t="shared" si="107"/>
        <v/>
      </c>
      <c r="K866" s="76" t="str">
        <f t="shared" si="108"/>
        <v/>
      </c>
      <c r="L866" s="43"/>
      <c r="M866" s="7"/>
      <c r="N866" s="106"/>
      <c r="R866" s="3" t="str">
        <f t="shared" si="109"/>
        <v/>
      </c>
      <c r="S866" s="3">
        <f t="shared" si="110"/>
        <v>0</v>
      </c>
      <c r="T866" s="3">
        <f t="shared" si="111"/>
        <v>13</v>
      </c>
    </row>
    <row r="867" spans="1:20">
      <c r="A867" s="74" t="str">
        <f t="shared" si="104"/>
        <v/>
      </c>
      <c r="B867" s="75" t="str">
        <f>IFERROR(INDEX(对接源_01入库吨位!$B$5:$B$304,MATCH(INT((ROW()-5)/3)+1,对接源_01入库吨位!$S$5:$S$304,0)),"")</f>
        <v/>
      </c>
      <c r="C867" s="75" t="str">
        <f>IFERROR(INDEX(对接源_01入库吨位!$C$5:$C$304,MATCH(INT((ROW()-5)/3)+1,对接源_01入库吨位!$S$5:$S$304,0)),"")</f>
        <v/>
      </c>
      <c r="D867" s="89" t="str">
        <f t="shared" si="105"/>
        <v/>
      </c>
      <c r="E867" s="42" t="str">
        <f>IF($B867="","",IFERROR(IF($D867="周转打冷",N(INDEX(对接源_01入库吨位!$D$5:$D$304,MATCH(INT((ROW()-5)/3)+1,对接源_01入库吨位!$S$5:$S$304,0))),IF($D867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7" s="76" t="str">
        <f>IF($B867="","",ROUND(IFERROR(IF($D867="周转打冷",N(INDEX(对接源_01入库吨位!$H$5:$H$304,MATCH(INT((ROW()-5)/3)+1,对接源_01入库吨位!$S$5:$S$304,0))),IF($D867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7" s="122" t="str">
        <f t="shared" si="106"/>
        <v/>
      </c>
      <c r="H867" s="43"/>
      <c r="I867" s="107"/>
      <c r="J867" s="123" t="str">
        <f t="shared" si="107"/>
        <v/>
      </c>
      <c r="K867" s="76" t="str">
        <f t="shared" si="108"/>
        <v/>
      </c>
      <c r="L867" s="43"/>
      <c r="M867" s="7"/>
      <c r="N867" s="106"/>
      <c r="R867" s="3" t="str">
        <f t="shared" si="109"/>
        <v/>
      </c>
      <c r="S867" s="3">
        <f t="shared" si="110"/>
        <v>0</v>
      </c>
      <c r="T867" s="3">
        <f t="shared" si="111"/>
        <v>13</v>
      </c>
    </row>
    <row r="868" spans="1:20">
      <c r="A868" s="74" t="str">
        <f t="shared" si="104"/>
        <v/>
      </c>
      <c r="B868" s="75" t="str">
        <f>IFERROR(INDEX(对接源_01入库吨位!$B$5:$B$304,MATCH(INT((ROW()-5)/3)+1,对接源_01入库吨位!$S$5:$S$304,0)),"")</f>
        <v/>
      </c>
      <c r="C868" s="75" t="str">
        <f>IFERROR(INDEX(对接源_01入库吨位!$C$5:$C$304,MATCH(INT((ROW()-5)/3)+1,对接源_01入库吨位!$S$5:$S$304,0)),"")</f>
        <v/>
      </c>
      <c r="D868" s="89" t="str">
        <f t="shared" si="105"/>
        <v/>
      </c>
      <c r="E868" s="42" t="str">
        <f>IF($B868="","",IFERROR(IF($D868="周转打冷",N(INDEX(对接源_01入库吨位!$D$5:$D$304,MATCH(INT((ROW()-5)/3)+1,对接源_01入库吨位!$S$5:$S$304,0))),IF($D868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8" s="76" t="str">
        <f>IF($B868="","",ROUND(IFERROR(IF($D868="周转打冷",N(INDEX(对接源_01入库吨位!$H$5:$H$304,MATCH(INT((ROW()-5)/3)+1,对接源_01入库吨位!$S$5:$S$304,0))),IF($D868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8" s="122" t="str">
        <f t="shared" si="106"/>
        <v/>
      </c>
      <c r="H868" s="43"/>
      <c r="I868" s="107"/>
      <c r="J868" s="123" t="str">
        <f t="shared" si="107"/>
        <v/>
      </c>
      <c r="K868" s="76" t="str">
        <f t="shared" si="108"/>
        <v/>
      </c>
      <c r="L868" s="43"/>
      <c r="M868" s="7"/>
      <c r="N868" s="106"/>
      <c r="R868" s="3" t="str">
        <f t="shared" si="109"/>
        <v/>
      </c>
      <c r="S868" s="3">
        <f t="shared" si="110"/>
        <v>0</v>
      </c>
      <c r="T868" s="3">
        <f t="shared" si="111"/>
        <v>13</v>
      </c>
    </row>
    <row r="869" spans="1:20">
      <c r="A869" s="74" t="str">
        <f t="shared" si="104"/>
        <v/>
      </c>
      <c r="B869" s="75" t="str">
        <f>IFERROR(INDEX(对接源_01入库吨位!$B$5:$B$304,MATCH(INT((ROW()-5)/3)+1,对接源_01入库吨位!$S$5:$S$304,0)),"")</f>
        <v/>
      </c>
      <c r="C869" s="75" t="str">
        <f>IFERROR(INDEX(对接源_01入库吨位!$C$5:$C$304,MATCH(INT((ROW()-5)/3)+1,对接源_01入库吨位!$S$5:$S$304,0)),"")</f>
        <v/>
      </c>
      <c r="D869" s="89" t="str">
        <f t="shared" si="105"/>
        <v/>
      </c>
      <c r="E869" s="42" t="str">
        <f>IF($B869="","",IFERROR(IF($D869="周转打冷",N(INDEX(对接源_01入库吨位!$D$5:$D$304,MATCH(INT((ROW()-5)/3)+1,对接源_01入库吨位!$S$5:$S$304,0))),IF($D869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9" s="76" t="str">
        <f>IF($B869="","",ROUND(IFERROR(IF($D869="周转打冷",N(INDEX(对接源_01入库吨位!$H$5:$H$304,MATCH(INT((ROW()-5)/3)+1,对接源_01入库吨位!$S$5:$S$304,0))),IF($D869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9" s="122" t="str">
        <f t="shared" si="106"/>
        <v/>
      </c>
      <c r="H869" s="43"/>
      <c r="I869" s="107"/>
      <c r="J869" s="123" t="str">
        <f t="shared" si="107"/>
        <v/>
      </c>
      <c r="K869" s="76" t="str">
        <f t="shared" si="108"/>
        <v/>
      </c>
      <c r="L869" s="43"/>
      <c r="M869" s="7"/>
      <c r="N869" s="106"/>
      <c r="R869" s="3" t="str">
        <f t="shared" si="109"/>
        <v/>
      </c>
      <c r="S869" s="3">
        <f t="shared" si="110"/>
        <v>0</v>
      </c>
      <c r="T869" s="3">
        <f t="shared" si="111"/>
        <v>13</v>
      </c>
    </row>
    <row r="870" spans="1:20">
      <c r="A870" s="74" t="str">
        <f t="shared" si="104"/>
        <v/>
      </c>
      <c r="B870" s="75" t="str">
        <f>IFERROR(INDEX(对接源_01入库吨位!$B$5:$B$304,MATCH(INT((ROW()-5)/3)+1,对接源_01入库吨位!$S$5:$S$304,0)),"")</f>
        <v/>
      </c>
      <c r="C870" s="75" t="str">
        <f>IFERROR(INDEX(对接源_01入库吨位!$C$5:$C$304,MATCH(INT((ROW()-5)/3)+1,对接源_01入库吨位!$S$5:$S$304,0)),"")</f>
        <v/>
      </c>
      <c r="D870" s="89" t="str">
        <f t="shared" si="105"/>
        <v/>
      </c>
      <c r="E870" s="42" t="str">
        <f>IF($B870="","",IFERROR(IF($D870="周转打冷",N(INDEX(对接源_01入库吨位!$D$5:$D$304,MATCH(INT((ROW()-5)/3)+1,对接源_01入库吨位!$S$5:$S$304,0))),IF($D870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0" s="76" t="str">
        <f>IF($B870="","",ROUND(IFERROR(IF($D870="周转打冷",N(INDEX(对接源_01入库吨位!$H$5:$H$304,MATCH(INT((ROW()-5)/3)+1,对接源_01入库吨位!$S$5:$S$304,0))),IF($D870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0" s="122" t="str">
        <f t="shared" si="106"/>
        <v/>
      </c>
      <c r="H870" s="43"/>
      <c r="I870" s="107"/>
      <c r="J870" s="123" t="str">
        <f t="shared" si="107"/>
        <v/>
      </c>
      <c r="K870" s="76" t="str">
        <f t="shared" si="108"/>
        <v/>
      </c>
      <c r="L870" s="43"/>
      <c r="M870" s="7"/>
      <c r="N870" s="106"/>
      <c r="R870" s="3" t="str">
        <f t="shared" si="109"/>
        <v/>
      </c>
      <c r="S870" s="3">
        <f t="shared" si="110"/>
        <v>0</v>
      </c>
      <c r="T870" s="3">
        <f t="shared" si="111"/>
        <v>13</v>
      </c>
    </row>
    <row r="871" spans="1:20">
      <c r="A871" s="74" t="str">
        <f t="shared" si="104"/>
        <v/>
      </c>
      <c r="B871" s="75" t="str">
        <f>IFERROR(INDEX(对接源_01入库吨位!$B$5:$B$304,MATCH(INT((ROW()-5)/3)+1,对接源_01入库吨位!$S$5:$S$304,0)),"")</f>
        <v/>
      </c>
      <c r="C871" s="75" t="str">
        <f>IFERROR(INDEX(对接源_01入库吨位!$C$5:$C$304,MATCH(INT((ROW()-5)/3)+1,对接源_01入库吨位!$S$5:$S$304,0)),"")</f>
        <v/>
      </c>
      <c r="D871" s="89" t="str">
        <f t="shared" si="105"/>
        <v/>
      </c>
      <c r="E871" s="42" t="str">
        <f>IF($B871="","",IFERROR(IF($D871="周转打冷",N(INDEX(对接源_01入库吨位!$D$5:$D$304,MATCH(INT((ROW()-5)/3)+1,对接源_01入库吨位!$S$5:$S$304,0))),IF($D871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1" s="76" t="str">
        <f>IF($B871="","",ROUND(IFERROR(IF($D871="周转打冷",N(INDEX(对接源_01入库吨位!$H$5:$H$304,MATCH(INT((ROW()-5)/3)+1,对接源_01入库吨位!$S$5:$S$304,0))),IF($D871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1" s="122" t="str">
        <f t="shared" si="106"/>
        <v/>
      </c>
      <c r="H871" s="43"/>
      <c r="I871" s="107"/>
      <c r="J871" s="123" t="str">
        <f t="shared" si="107"/>
        <v/>
      </c>
      <c r="K871" s="76" t="str">
        <f t="shared" si="108"/>
        <v/>
      </c>
      <c r="L871" s="43"/>
      <c r="M871" s="7"/>
      <c r="N871" s="106"/>
      <c r="R871" s="3" t="str">
        <f t="shared" si="109"/>
        <v/>
      </c>
      <c r="S871" s="3">
        <f t="shared" si="110"/>
        <v>0</v>
      </c>
      <c r="T871" s="3">
        <f t="shared" si="111"/>
        <v>13</v>
      </c>
    </row>
    <row r="872" spans="1:20">
      <c r="A872" s="74" t="str">
        <f t="shared" si="104"/>
        <v/>
      </c>
      <c r="B872" s="75" t="str">
        <f>IFERROR(INDEX(对接源_01入库吨位!$B$5:$B$304,MATCH(INT((ROW()-5)/3)+1,对接源_01入库吨位!$S$5:$S$304,0)),"")</f>
        <v/>
      </c>
      <c r="C872" s="75" t="str">
        <f>IFERROR(INDEX(对接源_01入库吨位!$C$5:$C$304,MATCH(INT((ROW()-5)/3)+1,对接源_01入库吨位!$S$5:$S$304,0)),"")</f>
        <v/>
      </c>
      <c r="D872" s="89" t="str">
        <f t="shared" si="105"/>
        <v/>
      </c>
      <c r="E872" s="42" t="str">
        <f>IF($B872="","",IFERROR(IF($D872="周转打冷",N(INDEX(对接源_01入库吨位!$D$5:$D$304,MATCH(INT((ROW()-5)/3)+1,对接源_01入库吨位!$S$5:$S$304,0))),IF($D872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2" s="76" t="str">
        <f>IF($B872="","",ROUND(IFERROR(IF($D872="周转打冷",N(INDEX(对接源_01入库吨位!$H$5:$H$304,MATCH(INT((ROW()-5)/3)+1,对接源_01入库吨位!$S$5:$S$304,0))),IF($D872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2" s="122" t="str">
        <f t="shared" si="106"/>
        <v/>
      </c>
      <c r="H872" s="43"/>
      <c r="I872" s="107"/>
      <c r="J872" s="123" t="str">
        <f t="shared" si="107"/>
        <v/>
      </c>
      <c r="K872" s="76" t="str">
        <f t="shared" si="108"/>
        <v/>
      </c>
      <c r="L872" s="43"/>
      <c r="M872" s="7"/>
      <c r="N872" s="106"/>
      <c r="R872" s="3" t="str">
        <f t="shared" si="109"/>
        <v/>
      </c>
      <c r="S872" s="3">
        <f t="shared" si="110"/>
        <v>0</v>
      </c>
      <c r="T872" s="3">
        <f t="shared" si="111"/>
        <v>13</v>
      </c>
    </row>
    <row r="873" spans="1:20">
      <c r="A873" s="74" t="str">
        <f t="shared" si="104"/>
        <v/>
      </c>
      <c r="B873" s="75" t="str">
        <f>IFERROR(INDEX(对接源_01入库吨位!$B$5:$B$304,MATCH(INT((ROW()-5)/3)+1,对接源_01入库吨位!$S$5:$S$304,0)),"")</f>
        <v/>
      </c>
      <c r="C873" s="75" t="str">
        <f>IFERROR(INDEX(对接源_01入库吨位!$C$5:$C$304,MATCH(INT((ROW()-5)/3)+1,对接源_01入库吨位!$S$5:$S$304,0)),"")</f>
        <v/>
      </c>
      <c r="D873" s="89" t="str">
        <f t="shared" si="105"/>
        <v/>
      </c>
      <c r="E873" s="42" t="str">
        <f>IF($B873="","",IFERROR(IF($D873="周转打冷",N(INDEX(对接源_01入库吨位!$D$5:$D$304,MATCH(INT((ROW()-5)/3)+1,对接源_01入库吨位!$S$5:$S$304,0))),IF($D873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3" s="76" t="str">
        <f>IF($B873="","",ROUND(IFERROR(IF($D873="周转打冷",N(INDEX(对接源_01入库吨位!$H$5:$H$304,MATCH(INT((ROW()-5)/3)+1,对接源_01入库吨位!$S$5:$S$304,0))),IF($D873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3" s="122" t="str">
        <f t="shared" si="106"/>
        <v/>
      </c>
      <c r="H873" s="43"/>
      <c r="I873" s="107"/>
      <c r="J873" s="123" t="str">
        <f t="shared" si="107"/>
        <v/>
      </c>
      <c r="K873" s="76" t="str">
        <f t="shared" si="108"/>
        <v/>
      </c>
      <c r="L873" s="43"/>
      <c r="M873" s="7"/>
      <c r="N873" s="106"/>
      <c r="R873" s="3" t="str">
        <f t="shared" si="109"/>
        <v/>
      </c>
      <c r="S873" s="3">
        <f t="shared" si="110"/>
        <v>0</v>
      </c>
      <c r="T873" s="3">
        <f t="shared" si="111"/>
        <v>13</v>
      </c>
    </row>
    <row r="874" spans="1:20">
      <c r="A874" s="74" t="str">
        <f t="shared" si="104"/>
        <v/>
      </c>
      <c r="B874" s="75" t="str">
        <f>IFERROR(INDEX(对接源_01入库吨位!$B$5:$B$304,MATCH(INT((ROW()-5)/3)+1,对接源_01入库吨位!$S$5:$S$304,0)),"")</f>
        <v/>
      </c>
      <c r="C874" s="75" t="str">
        <f>IFERROR(INDEX(对接源_01入库吨位!$C$5:$C$304,MATCH(INT((ROW()-5)/3)+1,对接源_01入库吨位!$S$5:$S$304,0)),"")</f>
        <v/>
      </c>
      <c r="D874" s="89" t="str">
        <f t="shared" si="105"/>
        <v/>
      </c>
      <c r="E874" s="42" t="str">
        <f>IF($B874="","",IFERROR(IF($D874="周转打冷",N(INDEX(对接源_01入库吨位!$D$5:$D$304,MATCH(INT((ROW()-5)/3)+1,对接源_01入库吨位!$S$5:$S$304,0))),IF($D874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4" s="76" t="str">
        <f>IF($B874="","",ROUND(IFERROR(IF($D874="周转打冷",N(INDEX(对接源_01入库吨位!$H$5:$H$304,MATCH(INT((ROW()-5)/3)+1,对接源_01入库吨位!$S$5:$S$304,0))),IF($D874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4" s="122" t="str">
        <f t="shared" si="106"/>
        <v/>
      </c>
      <c r="H874" s="43"/>
      <c r="I874" s="107"/>
      <c r="J874" s="123" t="str">
        <f t="shared" si="107"/>
        <v/>
      </c>
      <c r="K874" s="76" t="str">
        <f t="shared" si="108"/>
        <v/>
      </c>
      <c r="L874" s="43"/>
      <c r="M874" s="7"/>
      <c r="N874" s="106"/>
      <c r="R874" s="3" t="str">
        <f t="shared" si="109"/>
        <v/>
      </c>
      <c r="S874" s="3">
        <f t="shared" si="110"/>
        <v>0</v>
      </c>
      <c r="T874" s="3">
        <f t="shared" si="111"/>
        <v>13</v>
      </c>
    </row>
    <row r="875" spans="1:20">
      <c r="A875" s="74" t="str">
        <f t="shared" si="104"/>
        <v/>
      </c>
      <c r="B875" s="75" t="str">
        <f>IFERROR(INDEX(对接源_01入库吨位!$B$5:$B$304,MATCH(INT((ROW()-5)/3)+1,对接源_01入库吨位!$S$5:$S$304,0)),"")</f>
        <v/>
      </c>
      <c r="C875" s="75" t="str">
        <f>IFERROR(INDEX(对接源_01入库吨位!$C$5:$C$304,MATCH(INT((ROW()-5)/3)+1,对接源_01入库吨位!$S$5:$S$304,0)),"")</f>
        <v/>
      </c>
      <c r="D875" s="89" t="str">
        <f t="shared" si="105"/>
        <v/>
      </c>
      <c r="E875" s="42" t="str">
        <f>IF($B875="","",IFERROR(IF($D875="周转打冷",N(INDEX(对接源_01入库吨位!$D$5:$D$304,MATCH(INT((ROW()-5)/3)+1,对接源_01入库吨位!$S$5:$S$304,0))),IF($D875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5" s="76" t="str">
        <f>IF($B875="","",ROUND(IFERROR(IF($D875="周转打冷",N(INDEX(对接源_01入库吨位!$H$5:$H$304,MATCH(INT((ROW()-5)/3)+1,对接源_01入库吨位!$S$5:$S$304,0))),IF($D875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5" s="122" t="str">
        <f t="shared" si="106"/>
        <v/>
      </c>
      <c r="H875" s="43"/>
      <c r="I875" s="107"/>
      <c r="J875" s="123" t="str">
        <f t="shared" si="107"/>
        <v/>
      </c>
      <c r="K875" s="76" t="str">
        <f t="shared" si="108"/>
        <v/>
      </c>
      <c r="L875" s="43"/>
      <c r="M875" s="7"/>
      <c r="N875" s="106"/>
      <c r="R875" s="3" t="str">
        <f t="shared" si="109"/>
        <v/>
      </c>
      <c r="S875" s="3">
        <f t="shared" si="110"/>
        <v>0</v>
      </c>
      <c r="T875" s="3">
        <f t="shared" si="111"/>
        <v>13</v>
      </c>
    </row>
    <row r="876" spans="1:20">
      <c r="A876" s="74" t="str">
        <f t="shared" si="104"/>
        <v/>
      </c>
      <c r="B876" s="75" t="str">
        <f>IFERROR(INDEX(对接源_01入库吨位!$B$5:$B$304,MATCH(INT((ROW()-5)/3)+1,对接源_01入库吨位!$S$5:$S$304,0)),"")</f>
        <v/>
      </c>
      <c r="C876" s="75" t="str">
        <f>IFERROR(INDEX(对接源_01入库吨位!$C$5:$C$304,MATCH(INT((ROW()-5)/3)+1,对接源_01入库吨位!$S$5:$S$304,0)),"")</f>
        <v/>
      </c>
      <c r="D876" s="89" t="str">
        <f t="shared" si="105"/>
        <v/>
      </c>
      <c r="E876" s="42" t="str">
        <f>IF($B876="","",IFERROR(IF($D876="周转打冷",N(INDEX(对接源_01入库吨位!$D$5:$D$304,MATCH(INT((ROW()-5)/3)+1,对接源_01入库吨位!$S$5:$S$304,0))),IF($D876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6" s="76" t="str">
        <f>IF($B876="","",ROUND(IFERROR(IF($D876="周转打冷",N(INDEX(对接源_01入库吨位!$H$5:$H$304,MATCH(INT((ROW()-5)/3)+1,对接源_01入库吨位!$S$5:$S$304,0))),IF($D876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6" s="122" t="str">
        <f t="shared" si="106"/>
        <v/>
      </c>
      <c r="H876" s="43"/>
      <c r="I876" s="107"/>
      <c r="J876" s="123" t="str">
        <f t="shared" si="107"/>
        <v/>
      </c>
      <c r="K876" s="76" t="str">
        <f t="shared" si="108"/>
        <v/>
      </c>
      <c r="L876" s="43"/>
      <c r="M876" s="7"/>
      <c r="N876" s="106"/>
      <c r="R876" s="3" t="str">
        <f t="shared" si="109"/>
        <v/>
      </c>
      <c r="S876" s="3">
        <f t="shared" si="110"/>
        <v>0</v>
      </c>
      <c r="T876" s="3">
        <f t="shared" si="111"/>
        <v>13</v>
      </c>
    </row>
    <row r="877" spans="1:20">
      <c r="A877" s="74" t="str">
        <f t="shared" si="104"/>
        <v/>
      </c>
      <c r="B877" s="75" t="str">
        <f>IFERROR(INDEX(对接源_01入库吨位!$B$5:$B$304,MATCH(INT((ROW()-5)/3)+1,对接源_01入库吨位!$S$5:$S$304,0)),"")</f>
        <v/>
      </c>
      <c r="C877" s="75" t="str">
        <f>IFERROR(INDEX(对接源_01入库吨位!$C$5:$C$304,MATCH(INT((ROW()-5)/3)+1,对接源_01入库吨位!$S$5:$S$304,0)),"")</f>
        <v/>
      </c>
      <c r="D877" s="89" t="str">
        <f t="shared" si="105"/>
        <v/>
      </c>
      <c r="E877" s="42" t="str">
        <f>IF($B877="","",IFERROR(IF($D877="周转打冷",N(INDEX(对接源_01入库吨位!$D$5:$D$304,MATCH(INT((ROW()-5)/3)+1,对接源_01入库吨位!$S$5:$S$304,0))),IF($D877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7" s="76" t="str">
        <f>IF($B877="","",ROUND(IFERROR(IF($D877="周转打冷",N(INDEX(对接源_01入库吨位!$H$5:$H$304,MATCH(INT((ROW()-5)/3)+1,对接源_01入库吨位!$S$5:$S$304,0))),IF($D877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7" s="122" t="str">
        <f t="shared" si="106"/>
        <v/>
      </c>
      <c r="H877" s="43"/>
      <c r="I877" s="107"/>
      <c r="J877" s="123" t="str">
        <f t="shared" si="107"/>
        <v/>
      </c>
      <c r="K877" s="76" t="str">
        <f t="shared" si="108"/>
        <v/>
      </c>
      <c r="L877" s="43"/>
      <c r="M877" s="7"/>
      <c r="N877" s="106"/>
      <c r="R877" s="3" t="str">
        <f t="shared" si="109"/>
        <v/>
      </c>
      <c r="S877" s="3">
        <f t="shared" si="110"/>
        <v>0</v>
      </c>
      <c r="T877" s="3">
        <f t="shared" si="111"/>
        <v>13</v>
      </c>
    </row>
    <row r="878" spans="1:20">
      <c r="A878" s="74" t="str">
        <f t="shared" si="104"/>
        <v/>
      </c>
      <c r="B878" s="75" t="str">
        <f>IFERROR(INDEX(对接源_01入库吨位!$B$5:$B$304,MATCH(INT((ROW()-5)/3)+1,对接源_01入库吨位!$S$5:$S$304,0)),"")</f>
        <v/>
      </c>
      <c r="C878" s="75" t="str">
        <f>IFERROR(INDEX(对接源_01入库吨位!$C$5:$C$304,MATCH(INT((ROW()-5)/3)+1,对接源_01入库吨位!$S$5:$S$304,0)),"")</f>
        <v/>
      </c>
      <c r="D878" s="89" t="str">
        <f t="shared" si="105"/>
        <v/>
      </c>
      <c r="E878" s="42" t="str">
        <f>IF($B878="","",IFERROR(IF($D878="周转打冷",N(INDEX(对接源_01入库吨位!$D$5:$D$304,MATCH(INT((ROW()-5)/3)+1,对接源_01入库吨位!$S$5:$S$304,0))),IF($D878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8" s="76" t="str">
        <f>IF($B878="","",ROUND(IFERROR(IF($D878="周转打冷",N(INDEX(对接源_01入库吨位!$H$5:$H$304,MATCH(INT((ROW()-5)/3)+1,对接源_01入库吨位!$S$5:$S$304,0))),IF($D878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8" s="122" t="str">
        <f t="shared" si="106"/>
        <v/>
      </c>
      <c r="H878" s="43"/>
      <c r="I878" s="107"/>
      <c r="J878" s="123" t="str">
        <f t="shared" si="107"/>
        <v/>
      </c>
      <c r="K878" s="76" t="str">
        <f t="shared" si="108"/>
        <v/>
      </c>
      <c r="L878" s="43"/>
      <c r="M878" s="7"/>
      <c r="N878" s="106"/>
      <c r="R878" s="3" t="str">
        <f t="shared" si="109"/>
        <v/>
      </c>
      <c r="S878" s="3">
        <f t="shared" si="110"/>
        <v>0</v>
      </c>
      <c r="T878" s="3">
        <f t="shared" si="111"/>
        <v>13</v>
      </c>
    </row>
    <row r="879" spans="1:20">
      <c r="A879" s="74" t="str">
        <f t="shared" si="104"/>
        <v/>
      </c>
      <c r="B879" s="75" t="str">
        <f>IFERROR(INDEX(对接源_01入库吨位!$B$5:$B$304,MATCH(INT((ROW()-5)/3)+1,对接源_01入库吨位!$S$5:$S$304,0)),"")</f>
        <v/>
      </c>
      <c r="C879" s="75" t="str">
        <f>IFERROR(INDEX(对接源_01入库吨位!$C$5:$C$304,MATCH(INT((ROW()-5)/3)+1,对接源_01入库吨位!$S$5:$S$304,0)),"")</f>
        <v/>
      </c>
      <c r="D879" s="89" t="str">
        <f t="shared" si="105"/>
        <v/>
      </c>
      <c r="E879" s="42" t="str">
        <f>IF($B879="","",IFERROR(IF($D879="周转打冷",N(INDEX(对接源_01入库吨位!$D$5:$D$304,MATCH(INT((ROW()-5)/3)+1,对接源_01入库吨位!$S$5:$S$304,0))),IF($D879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9" s="76" t="str">
        <f>IF($B879="","",ROUND(IFERROR(IF($D879="周转打冷",N(INDEX(对接源_01入库吨位!$H$5:$H$304,MATCH(INT((ROW()-5)/3)+1,对接源_01入库吨位!$S$5:$S$304,0))),IF($D879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9" s="122" t="str">
        <f t="shared" si="106"/>
        <v/>
      </c>
      <c r="H879" s="43"/>
      <c r="I879" s="107"/>
      <c r="J879" s="123" t="str">
        <f t="shared" si="107"/>
        <v/>
      </c>
      <c r="K879" s="76" t="str">
        <f t="shared" si="108"/>
        <v/>
      </c>
      <c r="L879" s="43"/>
      <c r="M879" s="7"/>
      <c r="N879" s="106"/>
      <c r="R879" s="3" t="str">
        <f t="shared" si="109"/>
        <v/>
      </c>
      <c r="S879" s="3">
        <f t="shared" si="110"/>
        <v>0</v>
      </c>
      <c r="T879" s="3">
        <f t="shared" si="111"/>
        <v>13</v>
      </c>
    </row>
    <row r="880" spans="1:20">
      <c r="A880" s="74" t="str">
        <f t="shared" si="104"/>
        <v/>
      </c>
      <c r="B880" s="75" t="str">
        <f>IFERROR(INDEX(对接源_01入库吨位!$B$5:$B$304,MATCH(INT((ROW()-5)/3)+1,对接源_01入库吨位!$S$5:$S$304,0)),"")</f>
        <v/>
      </c>
      <c r="C880" s="75" t="str">
        <f>IFERROR(INDEX(对接源_01入库吨位!$C$5:$C$304,MATCH(INT((ROW()-5)/3)+1,对接源_01入库吨位!$S$5:$S$304,0)),"")</f>
        <v/>
      </c>
      <c r="D880" s="89" t="str">
        <f t="shared" si="105"/>
        <v/>
      </c>
      <c r="E880" s="42" t="str">
        <f>IF($B880="","",IFERROR(IF($D880="周转打冷",N(INDEX(对接源_01入库吨位!$D$5:$D$304,MATCH(INT((ROW()-5)/3)+1,对接源_01入库吨位!$S$5:$S$304,0))),IF($D880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0" s="76" t="str">
        <f>IF($B880="","",ROUND(IFERROR(IF($D880="周转打冷",N(INDEX(对接源_01入库吨位!$H$5:$H$304,MATCH(INT((ROW()-5)/3)+1,对接源_01入库吨位!$S$5:$S$304,0))),IF($D880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0" s="122" t="str">
        <f t="shared" si="106"/>
        <v/>
      </c>
      <c r="H880" s="43"/>
      <c r="I880" s="107"/>
      <c r="J880" s="123" t="str">
        <f t="shared" si="107"/>
        <v/>
      </c>
      <c r="K880" s="76" t="str">
        <f t="shared" si="108"/>
        <v/>
      </c>
      <c r="L880" s="43"/>
      <c r="M880" s="7"/>
      <c r="N880" s="106"/>
      <c r="R880" s="3" t="str">
        <f t="shared" si="109"/>
        <v/>
      </c>
      <c r="S880" s="3">
        <f t="shared" si="110"/>
        <v>0</v>
      </c>
      <c r="T880" s="3">
        <f t="shared" si="111"/>
        <v>13</v>
      </c>
    </row>
    <row r="881" spans="1:20">
      <c r="A881" s="74" t="str">
        <f t="shared" si="104"/>
        <v/>
      </c>
      <c r="B881" s="75" t="str">
        <f>IFERROR(INDEX(对接源_01入库吨位!$B$5:$B$304,MATCH(INT((ROW()-5)/3)+1,对接源_01入库吨位!$S$5:$S$304,0)),"")</f>
        <v/>
      </c>
      <c r="C881" s="75" t="str">
        <f>IFERROR(INDEX(对接源_01入库吨位!$C$5:$C$304,MATCH(INT((ROW()-5)/3)+1,对接源_01入库吨位!$S$5:$S$304,0)),"")</f>
        <v/>
      </c>
      <c r="D881" s="89" t="str">
        <f t="shared" si="105"/>
        <v/>
      </c>
      <c r="E881" s="42" t="str">
        <f>IF($B881="","",IFERROR(IF($D881="周转打冷",N(INDEX(对接源_01入库吨位!$D$5:$D$304,MATCH(INT((ROW()-5)/3)+1,对接源_01入库吨位!$S$5:$S$304,0))),IF($D881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1" s="76" t="str">
        <f>IF($B881="","",ROUND(IFERROR(IF($D881="周转打冷",N(INDEX(对接源_01入库吨位!$H$5:$H$304,MATCH(INT((ROW()-5)/3)+1,对接源_01入库吨位!$S$5:$S$304,0))),IF($D881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1" s="122" t="str">
        <f t="shared" si="106"/>
        <v/>
      </c>
      <c r="H881" s="43"/>
      <c r="I881" s="107"/>
      <c r="J881" s="123" t="str">
        <f t="shared" si="107"/>
        <v/>
      </c>
      <c r="K881" s="76" t="str">
        <f t="shared" si="108"/>
        <v/>
      </c>
      <c r="L881" s="43"/>
      <c r="M881" s="7"/>
      <c r="N881" s="106"/>
      <c r="R881" s="3" t="str">
        <f t="shared" si="109"/>
        <v/>
      </c>
      <c r="S881" s="3">
        <f t="shared" si="110"/>
        <v>0</v>
      </c>
      <c r="T881" s="3">
        <f t="shared" si="111"/>
        <v>13</v>
      </c>
    </row>
    <row r="882" spans="1:20">
      <c r="A882" s="74" t="str">
        <f t="shared" si="104"/>
        <v/>
      </c>
      <c r="B882" s="75" t="str">
        <f>IFERROR(INDEX(对接源_01入库吨位!$B$5:$B$304,MATCH(INT((ROW()-5)/3)+1,对接源_01入库吨位!$S$5:$S$304,0)),"")</f>
        <v/>
      </c>
      <c r="C882" s="75" t="str">
        <f>IFERROR(INDEX(对接源_01入库吨位!$C$5:$C$304,MATCH(INT((ROW()-5)/3)+1,对接源_01入库吨位!$S$5:$S$304,0)),"")</f>
        <v/>
      </c>
      <c r="D882" s="89" t="str">
        <f t="shared" si="105"/>
        <v/>
      </c>
      <c r="E882" s="42" t="str">
        <f>IF($B882="","",IFERROR(IF($D882="周转打冷",N(INDEX(对接源_01入库吨位!$D$5:$D$304,MATCH(INT((ROW()-5)/3)+1,对接源_01入库吨位!$S$5:$S$304,0))),IF($D882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2" s="76" t="str">
        <f>IF($B882="","",ROUND(IFERROR(IF($D882="周转打冷",N(INDEX(对接源_01入库吨位!$H$5:$H$304,MATCH(INT((ROW()-5)/3)+1,对接源_01入库吨位!$S$5:$S$304,0))),IF($D882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2" s="122" t="str">
        <f t="shared" si="106"/>
        <v/>
      </c>
      <c r="H882" s="43"/>
      <c r="I882" s="107"/>
      <c r="J882" s="123" t="str">
        <f t="shared" si="107"/>
        <v/>
      </c>
      <c r="K882" s="76" t="str">
        <f t="shared" si="108"/>
        <v/>
      </c>
      <c r="L882" s="43"/>
      <c r="M882" s="7"/>
      <c r="N882" s="106"/>
      <c r="R882" s="3" t="str">
        <f t="shared" si="109"/>
        <v/>
      </c>
      <c r="S882" s="3">
        <f t="shared" si="110"/>
        <v>0</v>
      </c>
      <c r="T882" s="3">
        <f t="shared" si="111"/>
        <v>13</v>
      </c>
    </row>
    <row r="883" spans="1:20">
      <c r="A883" s="74" t="str">
        <f t="shared" si="104"/>
        <v/>
      </c>
      <c r="B883" s="75" t="str">
        <f>IFERROR(INDEX(对接源_01入库吨位!$B$5:$B$304,MATCH(INT((ROW()-5)/3)+1,对接源_01入库吨位!$S$5:$S$304,0)),"")</f>
        <v/>
      </c>
      <c r="C883" s="75" t="str">
        <f>IFERROR(INDEX(对接源_01入库吨位!$C$5:$C$304,MATCH(INT((ROW()-5)/3)+1,对接源_01入库吨位!$S$5:$S$304,0)),"")</f>
        <v/>
      </c>
      <c r="D883" s="89" t="str">
        <f t="shared" si="105"/>
        <v/>
      </c>
      <c r="E883" s="42" t="str">
        <f>IF($B883="","",IFERROR(IF($D883="周转打冷",N(INDEX(对接源_01入库吨位!$D$5:$D$304,MATCH(INT((ROW()-5)/3)+1,对接源_01入库吨位!$S$5:$S$304,0))),IF($D883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3" s="76" t="str">
        <f>IF($B883="","",ROUND(IFERROR(IF($D883="周转打冷",N(INDEX(对接源_01入库吨位!$H$5:$H$304,MATCH(INT((ROW()-5)/3)+1,对接源_01入库吨位!$S$5:$S$304,0))),IF($D883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3" s="122" t="str">
        <f t="shared" si="106"/>
        <v/>
      </c>
      <c r="H883" s="43"/>
      <c r="I883" s="107"/>
      <c r="J883" s="123" t="str">
        <f t="shared" si="107"/>
        <v/>
      </c>
      <c r="K883" s="76" t="str">
        <f t="shared" si="108"/>
        <v/>
      </c>
      <c r="L883" s="43"/>
      <c r="M883" s="7"/>
      <c r="N883" s="106"/>
      <c r="R883" s="3" t="str">
        <f t="shared" si="109"/>
        <v/>
      </c>
      <c r="S883" s="3">
        <f t="shared" si="110"/>
        <v>0</v>
      </c>
      <c r="T883" s="3">
        <f t="shared" si="111"/>
        <v>13</v>
      </c>
    </row>
    <row r="884" spans="1:20">
      <c r="A884" s="74" t="str">
        <f t="shared" si="104"/>
        <v/>
      </c>
      <c r="B884" s="75" t="str">
        <f>IFERROR(INDEX(对接源_01入库吨位!$B$5:$B$304,MATCH(INT((ROW()-5)/3)+1,对接源_01入库吨位!$S$5:$S$304,0)),"")</f>
        <v/>
      </c>
      <c r="C884" s="75" t="str">
        <f>IFERROR(INDEX(对接源_01入库吨位!$C$5:$C$304,MATCH(INT((ROW()-5)/3)+1,对接源_01入库吨位!$S$5:$S$304,0)),"")</f>
        <v/>
      </c>
      <c r="D884" s="89" t="str">
        <f t="shared" si="105"/>
        <v/>
      </c>
      <c r="E884" s="42" t="str">
        <f>IF($B884="","",IFERROR(IF($D884="周转打冷",N(INDEX(对接源_01入库吨位!$D$5:$D$304,MATCH(INT((ROW()-5)/3)+1,对接源_01入库吨位!$S$5:$S$304,0))),IF($D884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4" s="76" t="str">
        <f>IF($B884="","",ROUND(IFERROR(IF($D884="周转打冷",N(INDEX(对接源_01入库吨位!$H$5:$H$304,MATCH(INT((ROW()-5)/3)+1,对接源_01入库吨位!$S$5:$S$304,0))),IF($D884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4" s="122" t="str">
        <f t="shared" si="106"/>
        <v/>
      </c>
      <c r="H884" s="43"/>
      <c r="I884" s="107"/>
      <c r="J884" s="123" t="str">
        <f t="shared" si="107"/>
        <v/>
      </c>
      <c r="K884" s="76" t="str">
        <f t="shared" si="108"/>
        <v/>
      </c>
      <c r="L884" s="43"/>
      <c r="M884" s="7"/>
      <c r="N884" s="106"/>
      <c r="R884" s="3" t="str">
        <f t="shared" si="109"/>
        <v/>
      </c>
      <c r="S884" s="3">
        <f t="shared" si="110"/>
        <v>0</v>
      </c>
      <c r="T884" s="3">
        <f t="shared" si="111"/>
        <v>13</v>
      </c>
    </row>
    <row r="885" spans="1:20">
      <c r="A885" s="74" t="str">
        <f t="shared" si="104"/>
        <v/>
      </c>
      <c r="B885" s="75" t="str">
        <f>IFERROR(INDEX(对接源_01入库吨位!$B$5:$B$304,MATCH(INT((ROW()-5)/3)+1,对接源_01入库吨位!$S$5:$S$304,0)),"")</f>
        <v/>
      </c>
      <c r="C885" s="75" t="str">
        <f>IFERROR(INDEX(对接源_01入库吨位!$C$5:$C$304,MATCH(INT((ROW()-5)/3)+1,对接源_01入库吨位!$S$5:$S$304,0)),"")</f>
        <v/>
      </c>
      <c r="D885" s="89" t="str">
        <f t="shared" si="105"/>
        <v/>
      </c>
      <c r="E885" s="42" t="str">
        <f>IF($B885="","",IFERROR(IF($D885="周转打冷",N(INDEX(对接源_01入库吨位!$D$5:$D$304,MATCH(INT((ROW()-5)/3)+1,对接源_01入库吨位!$S$5:$S$304,0))),IF($D885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5" s="76" t="str">
        <f>IF($B885="","",ROUND(IFERROR(IF($D885="周转打冷",N(INDEX(对接源_01入库吨位!$H$5:$H$304,MATCH(INT((ROW()-5)/3)+1,对接源_01入库吨位!$S$5:$S$304,0))),IF($D885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5" s="122" t="str">
        <f t="shared" si="106"/>
        <v/>
      </c>
      <c r="H885" s="43"/>
      <c r="I885" s="107"/>
      <c r="J885" s="123" t="str">
        <f t="shared" si="107"/>
        <v/>
      </c>
      <c r="K885" s="76" t="str">
        <f t="shared" si="108"/>
        <v/>
      </c>
      <c r="L885" s="43"/>
      <c r="M885" s="7"/>
      <c r="N885" s="106"/>
      <c r="R885" s="3" t="str">
        <f t="shared" si="109"/>
        <v/>
      </c>
      <c r="S885" s="3">
        <f t="shared" si="110"/>
        <v>0</v>
      </c>
      <c r="T885" s="3">
        <f t="shared" si="111"/>
        <v>13</v>
      </c>
    </row>
    <row r="886" spans="1:20">
      <c r="A886" s="74" t="str">
        <f t="shared" si="104"/>
        <v/>
      </c>
      <c r="B886" s="75" t="str">
        <f>IFERROR(INDEX(对接源_01入库吨位!$B$5:$B$304,MATCH(INT((ROW()-5)/3)+1,对接源_01入库吨位!$S$5:$S$304,0)),"")</f>
        <v/>
      </c>
      <c r="C886" s="75" t="str">
        <f>IFERROR(INDEX(对接源_01入库吨位!$C$5:$C$304,MATCH(INT((ROW()-5)/3)+1,对接源_01入库吨位!$S$5:$S$304,0)),"")</f>
        <v/>
      </c>
      <c r="D886" s="89" t="str">
        <f t="shared" si="105"/>
        <v/>
      </c>
      <c r="E886" s="42" t="str">
        <f>IF($B886="","",IFERROR(IF($D886="周转打冷",N(INDEX(对接源_01入库吨位!$D$5:$D$304,MATCH(INT((ROW()-5)/3)+1,对接源_01入库吨位!$S$5:$S$304,0))),IF($D886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6" s="76" t="str">
        <f>IF($B886="","",ROUND(IFERROR(IF($D886="周转打冷",N(INDEX(对接源_01入库吨位!$H$5:$H$304,MATCH(INT((ROW()-5)/3)+1,对接源_01入库吨位!$S$5:$S$304,0))),IF($D886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6" s="122" t="str">
        <f t="shared" si="106"/>
        <v/>
      </c>
      <c r="H886" s="43"/>
      <c r="I886" s="107"/>
      <c r="J886" s="123" t="str">
        <f t="shared" si="107"/>
        <v/>
      </c>
      <c r="K886" s="76" t="str">
        <f t="shared" si="108"/>
        <v/>
      </c>
      <c r="L886" s="43"/>
      <c r="M886" s="7"/>
      <c r="N886" s="106"/>
      <c r="R886" s="3" t="str">
        <f t="shared" si="109"/>
        <v/>
      </c>
      <c r="S886" s="3">
        <f t="shared" si="110"/>
        <v>0</v>
      </c>
      <c r="T886" s="3">
        <f t="shared" si="111"/>
        <v>13</v>
      </c>
    </row>
    <row r="887" spans="1:20">
      <c r="A887" s="74" t="str">
        <f t="shared" si="104"/>
        <v/>
      </c>
      <c r="B887" s="75" t="str">
        <f>IFERROR(INDEX(对接源_01入库吨位!$B$5:$B$304,MATCH(INT((ROW()-5)/3)+1,对接源_01入库吨位!$S$5:$S$304,0)),"")</f>
        <v/>
      </c>
      <c r="C887" s="75" t="str">
        <f>IFERROR(INDEX(对接源_01入库吨位!$C$5:$C$304,MATCH(INT((ROW()-5)/3)+1,对接源_01入库吨位!$S$5:$S$304,0)),"")</f>
        <v/>
      </c>
      <c r="D887" s="89" t="str">
        <f t="shared" si="105"/>
        <v/>
      </c>
      <c r="E887" s="42" t="str">
        <f>IF($B887="","",IFERROR(IF($D887="周转打冷",N(INDEX(对接源_01入库吨位!$D$5:$D$304,MATCH(INT((ROW()-5)/3)+1,对接源_01入库吨位!$S$5:$S$304,0))),IF($D887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7" s="76" t="str">
        <f>IF($B887="","",ROUND(IFERROR(IF($D887="周转打冷",N(INDEX(对接源_01入库吨位!$H$5:$H$304,MATCH(INT((ROW()-5)/3)+1,对接源_01入库吨位!$S$5:$S$304,0))),IF($D887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7" s="122" t="str">
        <f t="shared" si="106"/>
        <v/>
      </c>
      <c r="H887" s="43"/>
      <c r="I887" s="107"/>
      <c r="J887" s="123" t="str">
        <f t="shared" si="107"/>
        <v/>
      </c>
      <c r="K887" s="76" t="str">
        <f t="shared" si="108"/>
        <v/>
      </c>
      <c r="L887" s="43"/>
      <c r="M887" s="7"/>
      <c r="N887" s="106"/>
      <c r="R887" s="3" t="str">
        <f t="shared" si="109"/>
        <v/>
      </c>
      <c r="S887" s="3">
        <f t="shared" si="110"/>
        <v>0</v>
      </c>
      <c r="T887" s="3">
        <f t="shared" si="111"/>
        <v>13</v>
      </c>
    </row>
    <row r="888" spans="1:20">
      <c r="A888" s="74" t="str">
        <f t="shared" si="104"/>
        <v/>
      </c>
      <c r="B888" s="75" t="str">
        <f>IFERROR(INDEX(对接源_01入库吨位!$B$5:$B$304,MATCH(INT((ROW()-5)/3)+1,对接源_01入库吨位!$S$5:$S$304,0)),"")</f>
        <v/>
      </c>
      <c r="C888" s="75" t="str">
        <f>IFERROR(INDEX(对接源_01入库吨位!$C$5:$C$304,MATCH(INT((ROW()-5)/3)+1,对接源_01入库吨位!$S$5:$S$304,0)),"")</f>
        <v/>
      </c>
      <c r="D888" s="89" t="str">
        <f t="shared" si="105"/>
        <v/>
      </c>
      <c r="E888" s="42" t="str">
        <f>IF($B888="","",IFERROR(IF($D888="周转打冷",N(INDEX(对接源_01入库吨位!$D$5:$D$304,MATCH(INT((ROW()-5)/3)+1,对接源_01入库吨位!$S$5:$S$304,0))),IF($D888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8" s="76" t="str">
        <f>IF($B888="","",ROUND(IFERROR(IF($D888="周转打冷",N(INDEX(对接源_01入库吨位!$H$5:$H$304,MATCH(INT((ROW()-5)/3)+1,对接源_01入库吨位!$S$5:$S$304,0))),IF($D888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8" s="122" t="str">
        <f t="shared" si="106"/>
        <v/>
      </c>
      <c r="H888" s="43"/>
      <c r="I888" s="107"/>
      <c r="J888" s="123" t="str">
        <f t="shared" si="107"/>
        <v/>
      </c>
      <c r="K888" s="76" t="str">
        <f t="shared" si="108"/>
        <v/>
      </c>
      <c r="L888" s="43"/>
      <c r="M888" s="7"/>
      <c r="N888" s="106"/>
      <c r="R888" s="3" t="str">
        <f t="shared" si="109"/>
        <v/>
      </c>
      <c r="S888" s="3">
        <f t="shared" si="110"/>
        <v>0</v>
      </c>
      <c r="T888" s="3">
        <f t="shared" si="111"/>
        <v>13</v>
      </c>
    </row>
    <row r="889" spans="1:20">
      <c r="A889" s="74" t="str">
        <f t="shared" si="104"/>
        <v/>
      </c>
      <c r="B889" s="75" t="str">
        <f>IFERROR(INDEX(对接源_01入库吨位!$B$5:$B$304,MATCH(INT((ROW()-5)/3)+1,对接源_01入库吨位!$S$5:$S$304,0)),"")</f>
        <v/>
      </c>
      <c r="C889" s="75" t="str">
        <f>IFERROR(INDEX(对接源_01入库吨位!$C$5:$C$304,MATCH(INT((ROW()-5)/3)+1,对接源_01入库吨位!$S$5:$S$304,0)),"")</f>
        <v/>
      </c>
      <c r="D889" s="89" t="str">
        <f t="shared" si="105"/>
        <v/>
      </c>
      <c r="E889" s="42" t="str">
        <f>IF($B889="","",IFERROR(IF($D889="周转打冷",N(INDEX(对接源_01入库吨位!$D$5:$D$304,MATCH(INT((ROW()-5)/3)+1,对接源_01入库吨位!$S$5:$S$304,0))),IF($D889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9" s="76" t="str">
        <f>IF($B889="","",ROUND(IFERROR(IF($D889="周转打冷",N(INDEX(对接源_01入库吨位!$H$5:$H$304,MATCH(INT((ROW()-5)/3)+1,对接源_01入库吨位!$S$5:$S$304,0))),IF($D889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9" s="122" t="str">
        <f t="shared" si="106"/>
        <v/>
      </c>
      <c r="H889" s="43"/>
      <c r="I889" s="107"/>
      <c r="J889" s="123" t="str">
        <f t="shared" si="107"/>
        <v/>
      </c>
      <c r="K889" s="76" t="str">
        <f t="shared" si="108"/>
        <v/>
      </c>
      <c r="L889" s="43"/>
      <c r="M889" s="7"/>
      <c r="N889" s="106"/>
      <c r="R889" s="3" t="str">
        <f t="shared" si="109"/>
        <v/>
      </c>
      <c r="S889" s="3">
        <f t="shared" si="110"/>
        <v>0</v>
      </c>
      <c r="T889" s="3">
        <f t="shared" si="111"/>
        <v>13</v>
      </c>
    </row>
    <row r="890" spans="1:20">
      <c r="A890" s="74" t="str">
        <f t="shared" si="104"/>
        <v/>
      </c>
      <c r="B890" s="75" t="str">
        <f>IFERROR(INDEX(对接源_01入库吨位!$B$5:$B$304,MATCH(INT((ROW()-5)/3)+1,对接源_01入库吨位!$S$5:$S$304,0)),"")</f>
        <v/>
      </c>
      <c r="C890" s="75" t="str">
        <f>IFERROR(INDEX(对接源_01入库吨位!$C$5:$C$304,MATCH(INT((ROW()-5)/3)+1,对接源_01入库吨位!$S$5:$S$304,0)),"")</f>
        <v/>
      </c>
      <c r="D890" s="89" t="str">
        <f t="shared" si="105"/>
        <v/>
      </c>
      <c r="E890" s="42" t="str">
        <f>IF($B890="","",IFERROR(IF($D890="周转打冷",N(INDEX(对接源_01入库吨位!$D$5:$D$304,MATCH(INT((ROW()-5)/3)+1,对接源_01入库吨位!$S$5:$S$304,0))),IF($D890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0" s="76" t="str">
        <f>IF($B890="","",ROUND(IFERROR(IF($D890="周转打冷",N(INDEX(对接源_01入库吨位!$H$5:$H$304,MATCH(INT((ROW()-5)/3)+1,对接源_01入库吨位!$S$5:$S$304,0))),IF($D890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0" s="122" t="str">
        <f t="shared" si="106"/>
        <v/>
      </c>
      <c r="H890" s="43"/>
      <c r="I890" s="107"/>
      <c r="J890" s="123" t="str">
        <f t="shared" si="107"/>
        <v/>
      </c>
      <c r="K890" s="76" t="str">
        <f t="shared" si="108"/>
        <v/>
      </c>
      <c r="L890" s="43"/>
      <c r="M890" s="7"/>
      <c r="N890" s="106"/>
      <c r="R890" s="3" t="str">
        <f t="shared" si="109"/>
        <v/>
      </c>
      <c r="S890" s="3">
        <f t="shared" si="110"/>
        <v>0</v>
      </c>
      <c r="T890" s="3">
        <f t="shared" si="111"/>
        <v>13</v>
      </c>
    </row>
    <row r="891" spans="1:20">
      <c r="A891" s="74" t="str">
        <f t="shared" si="104"/>
        <v/>
      </c>
      <c r="B891" s="75" t="str">
        <f>IFERROR(INDEX(对接源_01入库吨位!$B$5:$B$304,MATCH(INT((ROW()-5)/3)+1,对接源_01入库吨位!$S$5:$S$304,0)),"")</f>
        <v/>
      </c>
      <c r="C891" s="75" t="str">
        <f>IFERROR(INDEX(对接源_01入库吨位!$C$5:$C$304,MATCH(INT((ROW()-5)/3)+1,对接源_01入库吨位!$S$5:$S$304,0)),"")</f>
        <v/>
      </c>
      <c r="D891" s="89" t="str">
        <f t="shared" si="105"/>
        <v/>
      </c>
      <c r="E891" s="42" t="str">
        <f>IF($B891="","",IFERROR(IF($D891="周转打冷",N(INDEX(对接源_01入库吨位!$D$5:$D$304,MATCH(INT((ROW()-5)/3)+1,对接源_01入库吨位!$S$5:$S$304,0))),IF($D891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1" s="76" t="str">
        <f>IF($B891="","",ROUND(IFERROR(IF($D891="周转打冷",N(INDEX(对接源_01入库吨位!$H$5:$H$304,MATCH(INT((ROW()-5)/3)+1,对接源_01入库吨位!$S$5:$S$304,0))),IF($D891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1" s="122" t="str">
        <f t="shared" si="106"/>
        <v/>
      </c>
      <c r="H891" s="43"/>
      <c r="I891" s="107"/>
      <c r="J891" s="123" t="str">
        <f t="shared" si="107"/>
        <v/>
      </c>
      <c r="K891" s="76" t="str">
        <f t="shared" si="108"/>
        <v/>
      </c>
      <c r="L891" s="43"/>
      <c r="M891" s="7"/>
      <c r="N891" s="106"/>
      <c r="R891" s="3" t="str">
        <f t="shared" si="109"/>
        <v/>
      </c>
      <c r="S891" s="3">
        <f t="shared" si="110"/>
        <v>0</v>
      </c>
      <c r="T891" s="3">
        <f t="shared" si="111"/>
        <v>13</v>
      </c>
    </row>
    <row r="892" spans="1:20">
      <c r="A892" s="74" t="str">
        <f t="shared" si="104"/>
        <v/>
      </c>
      <c r="B892" s="75" t="str">
        <f>IFERROR(INDEX(对接源_01入库吨位!$B$5:$B$304,MATCH(INT((ROW()-5)/3)+1,对接源_01入库吨位!$S$5:$S$304,0)),"")</f>
        <v/>
      </c>
      <c r="C892" s="75" t="str">
        <f>IFERROR(INDEX(对接源_01入库吨位!$C$5:$C$304,MATCH(INT((ROW()-5)/3)+1,对接源_01入库吨位!$S$5:$S$304,0)),"")</f>
        <v/>
      </c>
      <c r="D892" s="89" t="str">
        <f t="shared" si="105"/>
        <v/>
      </c>
      <c r="E892" s="42" t="str">
        <f>IF($B892="","",IFERROR(IF($D892="周转打冷",N(INDEX(对接源_01入库吨位!$D$5:$D$304,MATCH(INT((ROW()-5)/3)+1,对接源_01入库吨位!$S$5:$S$304,0))),IF($D892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2" s="76" t="str">
        <f>IF($B892="","",ROUND(IFERROR(IF($D892="周转打冷",N(INDEX(对接源_01入库吨位!$H$5:$H$304,MATCH(INT((ROW()-5)/3)+1,对接源_01入库吨位!$S$5:$S$304,0))),IF($D892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2" s="122" t="str">
        <f t="shared" si="106"/>
        <v/>
      </c>
      <c r="H892" s="43"/>
      <c r="I892" s="107"/>
      <c r="J892" s="123" t="str">
        <f t="shared" si="107"/>
        <v/>
      </c>
      <c r="K892" s="76" t="str">
        <f t="shared" si="108"/>
        <v/>
      </c>
      <c r="L892" s="43"/>
      <c r="M892" s="7"/>
      <c r="N892" s="106"/>
      <c r="R892" s="3" t="str">
        <f t="shared" si="109"/>
        <v/>
      </c>
      <c r="S892" s="3">
        <f t="shared" si="110"/>
        <v>0</v>
      </c>
      <c r="T892" s="3">
        <f t="shared" si="111"/>
        <v>13</v>
      </c>
    </row>
    <row r="893" spans="1:20">
      <c r="A893" s="74" t="str">
        <f t="shared" si="104"/>
        <v/>
      </c>
      <c r="B893" s="75" t="str">
        <f>IFERROR(INDEX(对接源_01入库吨位!$B$5:$B$304,MATCH(INT((ROW()-5)/3)+1,对接源_01入库吨位!$S$5:$S$304,0)),"")</f>
        <v/>
      </c>
      <c r="C893" s="75" t="str">
        <f>IFERROR(INDEX(对接源_01入库吨位!$C$5:$C$304,MATCH(INT((ROW()-5)/3)+1,对接源_01入库吨位!$S$5:$S$304,0)),"")</f>
        <v/>
      </c>
      <c r="D893" s="89" t="str">
        <f t="shared" si="105"/>
        <v/>
      </c>
      <c r="E893" s="42" t="str">
        <f>IF($B893="","",IFERROR(IF($D893="周转打冷",N(INDEX(对接源_01入库吨位!$D$5:$D$304,MATCH(INT((ROW()-5)/3)+1,对接源_01入库吨位!$S$5:$S$304,0))),IF($D893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3" s="76" t="str">
        <f>IF($B893="","",ROUND(IFERROR(IF($D893="周转打冷",N(INDEX(对接源_01入库吨位!$H$5:$H$304,MATCH(INT((ROW()-5)/3)+1,对接源_01入库吨位!$S$5:$S$304,0))),IF($D893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3" s="122" t="str">
        <f t="shared" si="106"/>
        <v/>
      </c>
      <c r="H893" s="43"/>
      <c r="I893" s="107"/>
      <c r="J893" s="123" t="str">
        <f t="shared" si="107"/>
        <v/>
      </c>
      <c r="K893" s="76" t="str">
        <f t="shared" si="108"/>
        <v/>
      </c>
      <c r="L893" s="43"/>
      <c r="M893" s="7"/>
      <c r="N893" s="106"/>
      <c r="R893" s="3" t="str">
        <f t="shared" si="109"/>
        <v/>
      </c>
      <c r="S893" s="3">
        <f t="shared" si="110"/>
        <v>0</v>
      </c>
      <c r="T893" s="3">
        <f t="shared" si="111"/>
        <v>13</v>
      </c>
    </row>
    <row r="894" spans="1:20">
      <c r="A894" s="74" t="str">
        <f t="shared" si="104"/>
        <v/>
      </c>
      <c r="B894" s="75" t="str">
        <f>IFERROR(INDEX(对接源_01入库吨位!$B$5:$B$304,MATCH(INT((ROW()-5)/3)+1,对接源_01入库吨位!$S$5:$S$304,0)),"")</f>
        <v/>
      </c>
      <c r="C894" s="75" t="str">
        <f>IFERROR(INDEX(对接源_01入库吨位!$C$5:$C$304,MATCH(INT((ROW()-5)/3)+1,对接源_01入库吨位!$S$5:$S$304,0)),"")</f>
        <v/>
      </c>
      <c r="D894" s="89" t="str">
        <f t="shared" si="105"/>
        <v/>
      </c>
      <c r="E894" s="42" t="str">
        <f>IF($B894="","",IFERROR(IF($D894="周转打冷",N(INDEX(对接源_01入库吨位!$D$5:$D$304,MATCH(INT((ROW()-5)/3)+1,对接源_01入库吨位!$S$5:$S$304,0))),IF($D894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4" s="76" t="str">
        <f>IF($B894="","",ROUND(IFERROR(IF($D894="周转打冷",N(INDEX(对接源_01入库吨位!$H$5:$H$304,MATCH(INT((ROW()-5)/3)+1,对接源_01入库吨位!$S$5:$S$304,0))),IF($D894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4" s="122" t="str">
        <f t="shared" si="106"/>
        <v/>
      </c>
      <c r="H894" s="43"/>
      <c r="I894" s="107"/>
      <c r="J894" s="123" t="str">
        <f t="shared" si="107"/>
        <v/>
      </c>
      <c r="K894" s="76" t="str">
        <f t="shared" si="108"/>
        <v/>
      </c>
      <c r="L894" s="43"/>
      <c r="M894" s="7"/>
      <c r="N894" s="106"/>
      <c r="R894" s="3" t="str">
        <f t="shared" si="109"/>
        <v/>
      </c>
      <c r="S894" s="3">
        <f t="shared" si="110"/>
        <v>0</v>
      </c>
      <c r="T894" s="3">
        <f t="shared" si="111"/>
        <v>13</v>
      </c>
    </row>
    <row r="895" spans="1:20">
      <c r="A895" s="74" t="str">
        <f t="shared" si="104"/>
        <v/>
      </c>
      <c r="B895" s="75" t="str">
        <f>IFERROR(INDEX(对接源_01入库吨位!$B$5:$B$304,MATCH(INT((ROW()-5)/3)+1,对接源_01入库吨位!$S$5:$S$304,0)),"")</f>
        <v/>
      </c>
      <c r="C895" s="75" t="str">
        <f>IFERROR(INDEX(对接源_01入库吨位!$C$5:$C$304,MATCH(INT((ROW()-5)/3)+1,对接源_01入库吨位!$S$5:$S$304,0)),"")</f>
        <v/>
      </c>
      <c r="D895" s="89" t="str">
        <f t="shared" si="105"/>
        <v/>
      </c>
      <c r="E895" s="42" t="str">
        <f>IF($B895="","",IFERROR(IF($D895="周转打冷",N(INDEX(对接源_01入库吨位!$D$5:$D$304,MATCH(INT((ROW()-5)/3)+1,对接源_01入库吨位!$S$5:$S$304,0))),IF($D895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5" s="76" t="str">
        <f>IF($B895="","",ROUND(IFERROR(IF($D895="周转打冷",N(INDEX(对接源_01入库吨位!$H$5:$H$304,MATCH(INT((ROW()-5)/3)+1,对接源_01入库吨位!$S$5:$S$304,0))),IF($D895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5" s="122" t="str">
        <f t="shared" si="106"/>
        <v/>
      </c>
      <c r="H895" s="43"/>
      <c r="I895" s="107"/>
      <c r="J895" s="123" t="str">
        <f t="shared" si="107"/>
        <v/>
      </c>
      <c r="K895" s="76" t="str">
        <f t="shared" si="108"/>
        <v/>
      </c>
      <c r="L895" s="43"/>
      <c r="M895" s="7"/>
      <c r="N895" s="106"/>
      <c r="R895" s="3" t="str">
        <f t="shared" si="109"/>
        <v/>
      </c>
      <c r="S895" s="3">
        <f t="shared" si="110"/>
        <v>0</v>
      </c>
      <c r="T895" s="3">
        <f t="shared" si="111"/>
        <v>13</v>
      </c>
    </row>
    <row r="896" spans="1:20">
      <c r="A896" s="74" t="str">
        <f t="shared" si="104"/>
        <v/>
      </c>
      <c r="B896" s="75" t="str">
        <f>IFERROR(INDEX(对接源_01入库吨位!$B$5:$B$304,MATCH(INT((ROW()-5)/3)+1,对接源_01入库吨位!$S$5:$S$304,0)),"")</f>
        <v/>
      </c>
      <c r="C896" s="75" t="str">
        <f>IFERROR(INDEX(对接源_01入库吨位!$C$5:$C$304,MATCH(INT((ROW()-5)/3)+1,对接源_01入库吨位!$S$5:$S$304,0)),"")</f>
        <v/>
      </c>
      <c r="D896" s="89" t="str">
        <f t="shared" si="105"/>
        <v/>
      </c>
      <c r="E896" s="42" t="str">
        <f>IF($B896="","",IFERROR(IF($D896="周转打冷",N(INDEX(对接源_01入库吨位!$D$5:$D$304,MATCH(INT((ROW()-5)/3)+1,对接源_01入库吨位!$S$5:$S$304,0))),IF($D896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6" s="76" t="str">
        <f>IF($B896="","",ROUND(IFERROR(IF($D896="周转打冷",N(INDEX(对接源_01入库吨位!$H$5:$H$304,MATCH(INT((ROW()-5)/3)+1,对接源_01入库吨位!$S$5:$S$304,0))),IF($D896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6" s="122" t="str">
        <f t="shared" si="106"/>
        <v/>
      </c>
      <c r="H896" s="43"/>
      <c r="I896" s="107"/>
      <c r="J896" s="123" t="str">
        <f t="shared" si="107"/>
        <v/>
      </c>
      <c r="K896" s="76" t="str">
        <f t="shared" si="108"/>
        <v/>
      </c>
      <c r="L896" s="43"/>
      <c r="M896" s="7"/>
      <c r="N896" s="106"/>
      <c r="R896" s="3" t="str">
        <f t="shared" si="109"/>
        <v/>
      </c>
      <c r="S896" s="3">
        <f t="shared" si="110"/>
        <v>0</v>
      </c>
      <c r="T896" s="3">
        <f t="shared" si="111"/>
        <v>13</v>
      </c>
    </row>
    <row r="897" spans="1:20">
      <c r="A897" s="74" t="str">
        <f t="shared" si="104"/>
        <v/>
      </c>
      <c r="B897" s="75" t="str">
        <f>IFERROR(INDEX(对接源_01入库吨位!$B$5:$B$304,MATCH(INT((ROW()-5)/3)+1,对接源_01入库吨位!$S$5:$S$304,0)),"")</f>
        <v/>
      </c>
      <c r="C897" s="75" t="str">
        <f>IFERROR(INDEX(对接源_01入库吨位!$C$5:$C$304,MATCH(INT((ROW()-5)/3)+1,对接源_01入库吨位!$S$5:$S$304,0)),"")</f>
        <v/>
      </c>
      <c r="D897" s="89" t="str">
        <f t="shared" si="105"/>
        <v/>
      </c>
      <c r="E897" s="42" t="str">
        <f>IF($B897="","",IFERROR(IF($D897="周转打冷",N(INDEX(对接源_01入库吨位!$D$5:$D$304,MATCH(INT((ROW()-5)/3)+1,对接源_01入库吨位!$S$5:$S$304,0))),IF($D897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7" s="76" t="str">
        <f>IF($B897="","",ROUND(IFERROR(IF($D897="周转打冷",N(INDEX(对接源_01入库吨位!$H$5:$H$304,MATCH(INT((ROW()-5)/3)+1,对接源_01入库吨位!$S$5:$S$304,0))),IF($D897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7" s="122" t="str">
        <f t="shared" si="106"/>
        <v/>
      </c>
      <c r="H897" s="43"/>
      <c r="I897" s="107"/>
      <c r="J897" s="123" t="str">
        <f t="shared" si="107"/>
        <v/>
      </c>
      <c r="K897" s="76" t="str">
        <f t="shared" si="108"/>
        <v/>
      </c>
      <c r="L897" s="43"/>
      <c r="M897" s="7"/>
      <c r="N897" s="106"/>
      <c r="R897" s="3" t="str">
        <f t="shared" si="109"/>
        <v/>
      </c>
      <c r="S897" s="3">
        <f t="shared" si="110"/>
        <v>0</v>
      </c>
      <c r="T897" s="3">
        <f t="shared" si="111"/>
        <v>13</v>
      </c>
    </row>
    <row r="898" spans="1:20">
      <c r="A898" s="74" t="str">
        <f t="shared" si="104"/>
        <v/>
      </c>
      <c r="B898" s="75" t="str">
        <f>IFERROR(INDEX(对接源_01入库吨位!$B$5:$B$304,MATCH(INT((ROW()-5)/3)+1,对接源_01入库吨位!$S$5:$S$304,0)),"")</f>
        <v/>
      </c>
      <c r="C898" s="75" t="str">
        <f>IFERROR(INDEX(对接源_01入库吨位!$C$5:$C$304,MATCH(INT((ROW()-5)/3)+1,对接源_01入库吨位!$S$5:$S$304,0)),"")</f>
        <v/>
      </c>
      <c r="D898" s="89" t="str">
        <f t="shared" si="105"/>
        <v/>
      </c>
      <c r="E898" s="42" t="str">
        <f>IF($B898="","",IFERROR(IF($D898="周转打冷",N(INDEX(对接源_01入库吨位!$D$5:$D$304,MATCH(INT((ROW()-5)/3)+1,对接源_01入库吨位!$S$5:$S$304,0))),IF($D898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8" s="76" t="str">
        <f>IF($B898="","",ROUND(IFERROR(IF($D898="周转打冷",N(INDEX(对接源_01入库吨位!$H$5:$H$304,MATCH(INT((ROW()-5)/3)+1,对接源_01入库吨位!$S$5:$S$304,0))),IF($D898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8" s="122" t="str">
        <f t="shared" si="106"/>
        <v/>
      </c>
      <c r="H898" s="43"/>
      <c r="I898" s="107"/>
      <c r="J898" s="123" t="str">
        <f t="shared" si="107"/>
        <v/>
      </c>
      <c r="K898" s="76" t="str">
        <f t="shared" si="108"/>
        <v/>
      </c>
      <c r="L898" s="43"/>
      <c r="M898" s="7"/>
      <c r="N898" s="106"/>
      <c r="R898" s="3" t="str">
        <f t="shared" si="109"/>
        <v/>
      </c>
      <c r="S898" s="3">
        <f t="shared" si="110"/>
        <v>0</v>
      </c>
      <c r="T898" s="3">
        <f t="shared" si="111"/>
        <v>13</v>
      </c>
    </row>
    <row r="899" spans="1:20">
      <c r="A899" s="74" t="str">
        <f t="shared" si="104"/>
        <v/>
      </c>
      <c r="B899" s="75" t="str">
        <f>IFERROR(INDEX(对接源_01入库吨位!$B$5:$B$304,MATCH(INT((ROW()-5)/3)+1,对接源_01入库吨位!$S$5:$S$304,0)),"")</f>
        <v/>
      </c>
      <c r="C899" s="75" t="str">
        <f>IFERROR(INDEX(对接源_01入库吨位!$C$5:$C$304,MATCH(INT((ROW()-5)/3)+1,对接源_01入库吨位!$S$5:$S$304,0)),"")</f>
        <v/>
      </c>
      <c r="D899" s="89" t="str">
        <f t="shared" si="105"/>
        <v/>
      </c>
      <c r="E899" s="42" t="str">
        <f>IF($B899="","",IFERROR(IF($D899="周转打冷",N(INDEX(对接源_01入库吨位!$D$5:$D$304,MATCH(INT((ROW()-5)/3)+1,对接源_01入库吨位!$S$5:$S$304,0))),IF($D899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9" s="76" t="str">
        <f>IF($B899="","",ROUND(IFERROR(IF($D899="周转打冷",N(INDEX(对接源_01入库吨位!$H$5:$H$304,MATCH(INT((ROW()-5)/3)+1,对接源_01入库吨位!$S$5:$S$304,0))),IF($D899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9" s="122" t="str">
        <f t="shared" si="106"/>
        <v/>
      </c>
      <c r="H899" s="43"/>
      <c r="I899" s="107"/>
      <c r="J899" s="123" t="str">
        <f t="shared" si="107"/>
        <v/>
      </c>
      <c r="K899" s="76" t="str">
        <f t="shared" si="108"/>
        <v/>
      </c>
      <c r="L899" s="43"/>
      <c r="M899" s="7"/>
      <c r="N899" s="106"/>
      <c r="R899" s="3" t="str">
        <f t="shared" si="109"/>
        <v/>
      </c>
      <c r="S899" s="3">
        <f t="shared" si="110"/>
        <v>0</v>
      </c>
      <c r="T899" s="3">
        <f t="shared" si="111"/>
        <v>13</v>
      </c>
    </row>
    <row r="900" spans="1:20">
      <c r="A900" s="74" t="str">
        <f t="shared" si="104"/>
        <v/>
      </c>
      <c r="B900" s="75" t="str">
        <f>IFERROR(INDEX(对接源_01入库吨位!$B$5:$B$304,MATCH(INT((ROW()-5)/3)+1,对接源_01入库吨位!$S$5:$S$304,0)),"")</f>
        <v/>
      </c>
      <c r="C900" s="75" t="str">
        <f>IFERROR(INDEX(对接源_01入库吨位!$C$5:$C$304,MATCH(INT((ROW()-5)/3)+1,对接源_01入库吨位!$S$5:$S$304,0)),"")</f>
        <v/>
      </c>
      <c r="D900" s="89" t="str">
        <f t="shared" si="105"/>
        <v/>
      </c>
      <c r="E900" s="42" t="str">
        <f>IF($B900="","",IFERROR(IF($D900="周转打冷",N(INDEX(对接源_01入库吨位!$D$5:$D$304,MATCH(INT((ROW()-5)/3)+1,对接源_01入库吨位!$S$5:$S$304,0))),IF($D900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0" s="76" t="str">
        <f>IF($B900="","",ROUND(IFERROR(IF($D900="周转打冷",N(INDEX(对接源_01入库吨位!$H$5:$H$304,MATCH(INT((ROW()-5)/3)+1,对接源_01入库吨位!$S$5:$S$304,0))),IF($D900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0" s="122" t="str">
        <f t="shared" si="106"/>
        <v/>
      </c>
      <c r="H900" s="43"/>
      <c r="I900" s="107"/>
      <c r="J900" s="123" t="str">
        <f t="shared" si="107"/>
        <v/>
      </c>
      <c r="K900" s="76" t="str">
        <f t="shared" si="108"/>
        <v/>
      </c>
      <c r="L900" s="43"/>
      <c r="M900" s="7"/>
      <c r="N900" s="106"/>
      <c r="R900" s="3" t="str">
        <f t="shared" si="109"/>
        <v/>
      </c>
      <c r="S900" s="3">
        <f t="shared" si="110"/>
        <v>0</v>
      </c>
      <c r="T900" s="3">
        <f t="shared" si="111"/>
        <v>13</v>
      </c>
    </row>
    <row r="901" spans="1:20">
      <c r="A901" s="74" t="str">
        <f>IF($B901="","",ROW()-4)</f>
        <v/>
      </c>
      <c r="B901" s="75" t="str">
        <f>IFERROR(INDEX(对接源_01入库吨位!$B$5:$B$304,MATCH(INT((ROW()-5)/3)+1,对接源_01入库吨位!$S$5:$S$304,0)),"")</f>
        <v/>
      </c>
      <c r="C901" s="75" t="str">
        <f>IFERROR(INDEX(对接源_01入库吨位!$C$5:$C$304,MATCH(INT((ROW()-5)/3)+1,对接源_01入库吨位!$S$5:$S$304,0)),"")</f>
        <v/>
      </c>
      <c r="D901" s="89" t="str">
        <f>IF($B901="","",IF(MOD(ROW()-5,3)=0,"周转打冷",IF(MOD(ROW()-5,3)=1,"仓储加工","装卸费")))</f>
        <v/>
      </c>
      <c r="E901" s="42" t="str">
        <f>IF($B901="","",IFERROR(IF($D901="周转打冷",N(INDEX(对接源_01入库吨位!$D$5:$D$304,MATCH(INT((ROW()-5)/3)+1,对接源_01入库吨位!$S$5:$S$304,0))),IF($D901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1" s="76" t="str">
        <f>IF($B901="","",ROUND(IFERROR(IF($D901="周转打冷",N(INDEX(对接源_01入库吨位!$H$5:$H$304,MATCH(INT((ROW()-5)/3)+1,对接源_01入库吨位!$S$5:$S$304,0))),IF($D901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1" s="122" t="str">
        <f>IF($B901="","",ROUND(N($F901)/1000,3))</f>
        <v/>
      </c>
      <c r="H901" s="43"/>
      <c r="I901" s="107"/>
      <c r="J901" s="123" t="str">
        <f>IF($B901="","",IF($H901="按筐数×单价",N($E901),IF($H901="按总重KG×单价",N($F901),IF($H901="按吨位×单价",N($G901),0))))</f>
        <v/>
      </c>
      <c r="K901" s="76" t="str">
        <f>IF($B901="","",ROUND(N($J901)*N($I901),2))</f>
        <v/>
      </c>
      <c r="L901" s="43"/>
      <c r="M901" s="7"/>
      <c r="N901" s="106"/>
      <c r="R901" s="3" t="str">
        <f>IF($B901="","",$B901)</f>
        <v/>
      </c>
      <c r="S901" s="3">
        <f>IF($R901="",0,IF(MATCH($R901,$R$5:$R$904,0)=ROW()-4,1,0))</f>
        <v>0</v>
      </c>
      <c r="T901" s="3">
        <f>N(T900)+$S901</f>
        <v>13</v>
      </c>
    </row>
    <row r="902" spans="1:20">
      <c r="A902" s="74" t="str">
        <f>IF($B902="","",ROW()-4)</f>
        <v/>
      </c>
      <c r="B902" s="75" t="str">
        <f>IFERROR(INDEX(对接源_01入库吨位!$B$5:$B$304,MATCH(INT((ROW()-5)/3)+1,对接源_01入库吨位!$S$5:$S$304,0)),"")</f>
        <v/>
      </c>
      <c r="C902" s="75" t="str">
        <f>IFERROR(INDEX(对接源_01入库吨位!$C$5:$C$304,MATCH(INT((ROW()-5)/3)+1,对接源_01入库吨位!$S$5:$S$304,0)),"")</f>
        <v/>
      </c>
      <c r="D902" s="89" t="str">
        <f>IF($B902="","",IF(MOD(ROW()-5,3)=0,"周转打冷",IF(MOD(ROW()-5,3)=1,"仓储加工","装卸费")))</f>
        <v/>
      </c>
      <c r="E902" s="42" t="str">
        <f>IF($B902="","",IFERROR(IF($D902="周转打冷",N(INDEX(对接源_01入库吨位!$D$5:$D$304,MATCH(INT((ROW()-5)/3)+1,对接源_01入库吨位!$S$5:$S$304,0))),IF($D902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2" s="76" t="str">
        <f>IF($B902="","",ROUND(IFERROR(IF($D902="周转打冷",N(INDEX(对接源_01入库吨位!$H$5:$H$304,MATCH(INT((ROW()-5)/3)+1,对接源_01入库吨位!$S$5:$S$304,0))),IF($D902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2" s="122" t="str">
        <f>IF($B902="","",ROUND(N($F902)/1000,3))</f>
        <v/>
      </c>
      <c r="H902" s="43"/>
      <c r="I902" s="107"/>
      <c r="J902" s="123" t="str">
        <f>IF($B902="","",IF($H902="按筐数×单价",N($E902),IF($H902="按总重KG×单价",N($F902),IF($H902="按吨位×单价",N($G902),0))))</f>
        <v/>
      </c>
      <c r="K902" s="76" t="str">
        <f>IF($B902="","",ROUND(N($J902)*N($I902),2))</f>
        <v/>
      </c>
      <c r="L902" s="43"/>
      <c r="M902" s="7"/>
      <c r="N902" s="106"/>
      <c r="R902" s="3" t="str">
        <f>IF($B902="","",$B902)</f>
        <v/>
      </c>
      <c r="S902" s="3">
        <f>IF($R902="",0,IF(MATCH($R902,$R$5:$R$904,0)=ROW()-4,1,0))</f>
        <v>0</v>
      </c>
      <c r="T902" s="3">
        <f>N(T901)+$S902</f>
        <v>13</v>
      </c>
    </row>
    <row r="903" spans="1:20">
      <c r="A903" s="74" t="str">
        <f>IF($B903="","",ROW()-4)</f>
        <v/>
      </c>
      <c r="B903" s="75" t="str">
        <f>IFERROR(INDEX(对接源_01入库吨位!$B$5:$B$304,MATCH(INT((ROW()-5)/3)+1,对接源_01入库吨位!$S$5:$S$304,0)),"")</f>
        <v/>
      </c>
      <c r="C903" s="75" t="str">
        <f>IFERROR(INDEX(对接源_01入库吨位!$C$5:$C$304,MATCH(INT((ROW()-5)/3)+1,对接源_01入库吨位!$S$5:$S$304,0)),"")</f>
        <v/>
      </c>
      <c r="D903" s="89" t="str">
        <f>IF($B903="","",IF(MOD(ROW()-5,3)=0,"周转打冷",IF(MOD(ROW()-5,3)=1,"仓储加工","装卸费")))</f>
        <v/>
      </c>
      <c r="E903" s="42" t="str">
        <f>IF($B903="","",IFERROR(IF($D903="周转打冷",N(INDEX(对接源_01入库吨位!$D$5:$D$304,MATCH(INT((ROW()-5)/3)+1,对接源_01入库吨位!$S$5:$S$304,0))),IF($D903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3" s="76" t="str">
        <f>IF($B903="","",ROUND(IFERROR(IF($D903="周转打冷",N(INDEX(对接源_01入库吨位!$H$5:$H$304,MATCH(INT((ROW()-5)/3)+1,对接源_01入库吨位!$S$5:$S$304,0))),IF($D903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3" s="122" t="str">
        <f>IF($B903="","",ROUND(N($F903)/1000,3))</f>
        <v/>
      </c>
      <c r="H903" s="43"/>
      <c r="I903" s="107"/>
      <c r="J903" s="123" t="str">
        <f>IF($B903="","",IF($H903="按筐数×单价",N($E903),IF($H903="按总重KG×单价",N($F903),IF($H903="按吨位×单价",N($G903),0))))</f>
        <v/>
      </c>
      <c r="K903" s="76" t="str">
        <f>IF($B903="","",ROUND(N($J903)*N($I903),2))</f>
        <v/>
      </c>
      <c r="L903" s="43"/>
      <c r="M903" s="7"/>
      <c r="N903" s="106"/>
      <c r="R903" s="3" t="str">
        <f>IF($B903="","",$B903)</f>
        <v/>
      </c>
      <c r="S903" s="3">
        <f>IF($R903="",0,IF(MATCH($R903,$R$5:$R$904,0)=ROW()-4,1,0))</f>
        <v>0</v>
      </c>
      <c r="T903" s="3">
        <f>N(T902)+$S903</f>
        <v>13</v>
      </c>
    </row>
    <row r="904" spans="1:20">
      <c r="A904" s="74" t="str">
        <f>IF($B904="","",ROW()-4)</f>
        <v/>
      </c>
      <c r="B904" s="75" t="str">
        <f>IFERROR(INDEX(对接源_01入库吨位!$B$5:$B$304,MATCH(INT((ROW()-5)/3)+1,对接源_01入库吨位!$S$5:$S$304,0)),"")</f>
        <v/>
      </c>
      <c r="C904" s="75" t="str">
        <f>IFERROR(INDEX(对接源_01入库吨位!$C$5:$C$304,MATCH(INT((ROW()-5)/3)+1,对接源_01入库吨位!$S$5:$S$304,0)),"")</f>
        <v/>
      </c>
      <c r="D904" s="89" t="str">
        <f>IF($B904="","",IF(MOD(ROW()-5,3)=0,"周转打冷",IF(MOD(ROW()-5,3)=1,"仓储加工","装卸费")))</f>
        <v/>
      </c>
      <c r="E904" s="42" t="str">
        <f>IF($B904="","",IFERROR(IF($D904="周转打冷",N(INDEX(对接源_01入库吨位!$D$5:$D$304,MATCH(INT((ROW()-5)/3)+1,对接源_01入库吨位!$S$5:$S$304,0))),IF($D904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4" s="76" t="str">
        <f>IF($B904="","",ROUND(IFERROR(IF($D904="周转打冷",N(INDEX(对接源_01入库吨位!$H$5:$H$304,MATCH(INT((ROW()-5)/3)+1,对接源_01入库吨位!$S$5:$S$304,0))),IF($D904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4" s="122" t="str">
        <f>IF($B904="","",ROUND(N($F904)/1000,3))</f>
        <v/>
      </c>
      <c r="H904" s="43"/>
      <c r="I904" s="107"/>
      <c r="J904" s="123" t="str">
        <f>IF($B904="","",IF($H904="按筐数×单价",N($E904),IF($H904="按总重KG×单价",N($F904),IF($H904="按吨位×单价",N($G904),0))))</f>
        <v/>
      </c>
      <c r="K904" s="76" t="str">
        <f>IF($B904="","",ROUND(N($J904)*N($I904),2))</f>
        <v/>
      </c>
      <c r="L904" s="43"/>
      <c r="M904" s="7"/>
      <c r="N904" s="106"/>
      <c r="R904" s="3" t="str">
        <f>IF($B904="","",$B904)</f>
        <v/>
      </c>
      <c r="S904" s="3">
        <f>IF($R904="",0,IF(MATCH($R904,$R$5:$R$904,0)=ROW()-4,1,0))</f>
        <v>0</v>
      </c>
      <c r="T904" s="3">
        <f>N(T903)+$S904</f>
        <v>13</v>
      </c>
    </row>
    <row r="905" spans="1:20">
      <c r="A905" s="79" t="s">
        <v>220</v>
      </c>
      <c r="B905" s="46"/>
      <c r="C905" s="46"/>
      <c r="D905" s="38"/>
      <c r="E905" s="80">
        <f>ROUND(SUM(E$5:E$904),2)</f>
        <v>54920</v>
      </c>
      <c r="F905" s="81">
        <f>ROUND(SUM(F$5:F$904),2)</f>
        <v>751684.2</v>
      </c>
      <c r="G905" s="124">
        <f>ROUND(SUM(G$5:G$904),3)</f>
        <v>751.686</v>
      </c>
      <c r="H905" s="78"/>
      <c r="I905" s="78"/>
      <c r="J905" s="78"/>
      <c r="K905" s="81">
        <f>ROUND(SUM(K$5:K$904),2)</f>
        <v>0</v>
      </c>
      <c r="L905" s="78"/>
      <c r="M905" s="78"/>
      <c r="N905" s="78"/>
    </row>
    <row r="907" ht="20" customHeight="1" spans="1:20">
      <c r="A907" s="121" t="s">
        <v>235</v>
      </c>
    </row>
    <row r="908" ht="30" customHeight="1" spans="1:20">
      <c r="A908" s="73" t="s">
        <v>3</v>
      </c>
      <c r="B908" s="73" t="s">
        <v>224</v>
      </c>
      <c r="C908" s="73" t="s">
        <v>236</v>
      </c>
      <c r="D908" s="73" t="s">
        <v>237</v>
      </c>
      <c r="E908" s="73" t="s">
        <v>238</v>
      </c>
      <c r="F908" s="73" t="s">
        <v>239</v>
      </c>
      <c r="G908" s="73" t="s">
        <v>240</v>
      </c>
      <c r="H908" s="73" t="s">
        <v>241</v>
      </c>
      <c r="I908" s="73" t="s">
        <v>242</v>
      </c>
      <c r="J908" s="73" t="s">
        <v>192</v>
      </c>
      <c r="K908" s="73" t="s">
        <v>243</v>
      </c>
      <c r="L908" s="73" t="s">
        <v>172</v>
      </c>
    </row>
    <row r="909" spans="1:20">
      <c r="A909" s="89">
        <f t="shared" ref="A909:A972" si="112">IF($B909="","",ROW()-908)</f>
        <v>1</v>
      </c>
      <c r="B909" s="75" t="str">
        <f t="shared" ref="B909:B972" si="113">IFERROR(INDEX($U$5:$U$124,ROW()-908),"")</f>
        <v>聂新平</v>
      </c>
      <c r="C909" s="76">
        <f t="shared" ref="C909:C972" si="114">IF($B909="","",ROUND(SUMIFS($K$5:$K$904,$B$5:$B$904,$B909,$D$5:$D$904,"周转打冷"),2))</f>
        <v>0</v>
      </c>
      <c r="D909" s="76">
        <f t="shared" ref="D909:D972" si="115">IF($B909="","",ROUND(SUMIFS($K$5:$K$904,$B$5:$B$904,$B909,$D$5:$D$904,"仓储加工"),2))</f>
        <v>0</v>
      </c>
      <c r="E909" s="76">
        <f t="shared" ref="E909:E972" si="116">IF($B909="","",ROUND(SUMIFS($K$5:$K$904,$B$5:$B$904,$B909,$D$5:$D$904,"装卸费"),2))</f>
        <v>0</v>
      </c>
      <c r="F909" s="76">
        <f t="shared" ref="F909:F972" si="117">IF($B909="","",ROUND(N($C909)+N($D909)+N($E909),2))</f>
        <v>0</v>
      </c>
      <c r="G909" s="42">
        <f t="shared" ref="G909:G972" si="118">IF($B909="","",SUMIFS($E$5:$E$904,$B$5:$B$904,$B909,$D$5:$D$904,"周转打冷"))</f>
        <v>11421</v>
      </c>
      <c r="H909" s="42">
        <f t="shared" ref="H909:H972" si="119">IF($B909="","",SUMIFS($E$5:$E$904,$B$5:$B$904,$B909,$D$5:$D$904,"仓储加工"))</f>
        <v>0</v>
      </c>
      <c r="I909" s="42">
        <f t="shared" ref="I909:I972" si="120">IF($B909="","",N($G909)+N($H909))</f>
        <v>11421</v>
      </c>
      <c r="J909" s="122">
        <f t="shared" ref="J909:J972" si="121">IF($B909="","",ROUND(SUMIFS($G$5:$G$904,$B$5:$B$904,$B909,$D$5:$D$904,"周转打冷")+SUMIFS($G$5:$G$904,$B$5:$B$904,$B909,$D$5:$D$904,"仓储加工"),3))</f>
        <v>73.028</v>
      </c>
      <c r="K909" s="42">
        <f t="shared" ref="K909:K972" si="122">IF($B909="","",COUNTIFS($B$5:$B$904,$B909,$I$5:$I$904,"")+COUNTIFS($B$5:$B$904,$B909,$I$5:$I$904,0))</f>
        <v>6</v>
      </c>
      <c r="L909" s="75" t="str">
        <f t="shared" ref="L909:L972" si="123">IF($B909="","",IF(N($K909)&gt;0,"⚠ 有 "&amp;N($K909)&amp;" 行还没填单价","✔ 已全部定价"))</f>
        <v>⚠ 有 6 行还没填单价</v>
      </c>
    </row>
    <row r="910" spans="1:20">
      <c r="A910" s="89">
        <f t="shared" si="112"/>
        <v>2</v>
      </c>
      <c r="B910" s="75" t="str">
        <f t="shared" si="113"/>
        <v>王照雪</v>
      </c>
      <c r="C910" s="76">
        <f t="shared" si="114"/>
        <v>0</v>
      </c>
      <c r="D910" s="76">
        <f t="shared" si="115"/>
        <v>0</v>
      </c>
      <c r="E910" s="76">
        <f t="shared" si="116"/>
        <v>0</v>
      </c>
      <c r="F910" s="76">
        <f t="shared" si="117"/>
        <v>0</v>
      </c>
      <c r="G910" s="42">
        <f t="shared" si="118"/>
        <v>2092</v>
      </c>
      <c r="H910" s="42">
        <f t="shared" si="119"/>
        <v>543</v>
      </c>
      <c r="I910" s="42">
        <f t="shared" si="120"/>
        <v>2635</v>
      </c>
      <c r="J910" s="122">
        <f t="shared" si="121"/>
        <v>46.251</v>
      </c>
      <c r="K910" s="42">
        <f t="shared" si="122"/>
        <v>9</v>
      </c>
      <c r="L910" s="75" t="str">
        <f t="shared" si="123"/>
        <v>⚠ 有 9 行还没填单价</v>
      </c>
    </row>
    <row r="911" spans="1:20">
      <c r="A911" s="89">
        <f t="shared" si="112"/>
        <v>3</v>
      </c>
      <c r="B911" s="75" t="str">
        <f t="shared" si="113"/>
        <v>伍元虎</v>
      </c>
      <c r="C911" s="76">
        <f t="shared" si="114"/>
        <v>0</v>
      </c>
      <c r="D911" s="76">
        <f t="shared" si="115"/>
        <v>0</v>
      </c>
      <c r="E911" s="76">
        <f t="shared" si="116"/>
        <v>0</v>
      </c>
      <c r="F911" s="76">
        <f t="shared" si="117"/>
        <v>0</v>
      </c>
      <c r="G911" s="42">
        <f t="shared" si="118"/>
        <v>87</v>
      </c>
      <c r="H911" s="42">
        <f t="shared" si="119"/>
        <v>0</v>
      </c>
      <c r="I911" s="42">
        <f t="shared" si="120"/>
        <v>87</v>
      </c>
      <c r="J911" s="122">
        <f t="shared" si="121"/>
        <v>1.958</v>
      </c>
      <c r="K911" s="42">
        <f t="shared" si="122"/>
        <v>3</v>
      </c>
      <c r="L911" s="75" t="str">
        <f t="shared" si="123"/>
        <v>⚠ 有 3 行还没填单价</v>
      </c>
    </row>
    <row r="912" spans="1:20">
      <c r="A912" s="89">
        <f t="shared" si="112"/>
        <v>4</v>
      </c>
      <c r="B912" s="75" t="str">
        <f t="shared" si="113"/>
        <v>马锦祥</v>
      </c>
      <c r="C912" s="76">
        <f t="shared" si="114"/>
        <v>0</v>
      </c>
      <c r="D912" s="76">
        <f t="shared" si="115"/>
        <v>0</v>
      </c>
      <c r="E912" s="76">
        <f t="shared" si="116"/>
        <v>0</v>
      </c>
      <c r="F912" s="76">
        <f t="shared" si="117"/>
        <v>0</v>
      </c>
      <c r="G912" s="42">
        <f t="shared" si="118"/>
        <v>68</v>
      </c>
      <c r="H912" s="42">
        <f t="shared" si="119"/>
        <v>1900</v>
      </c>
      <c r="I912" s="42">
        <f t="shared" si="120"/>
        <v>1968</v>
      </c>
      <c r="J912" s="122">
        <f t="shared" si="121"/>
        <v>36.146</v>
      </c>
      <c r="K912" s="42">
        <f t="shared" si="122"/>
        <v>6</v>
      </c>
      <c r="L912" s="75" t="str">
        <f t="shared" si="123"/>
        <v>⚠ 有 6 行还没填单价</v>
      </c>
    </row>
    <row r="913" spans="1:12">
      <c r="A913" s="89">
        <f t="shared" si="112"/>
        <v>5</v>
      </c>
      <c r="B913" s="75" t="str">
        <f t="shared" si="113"/>
        <v>麦麦提</v>
      </c>
      <c r="C913" s="76">
        <f t="shared" si="114"/>
        <v>0</v>
      </c>
      <c r="D913" s="76">
        <f t="shared" si="115"/>
        <v>0</v>
      </c>
      <c r="E913" s="76">
        <f t="shared" si="116"/>
        <v>0</v>
      </c>
      <c r="F913" s="76">
        <f t="shared" si="117"/>
        <v>0</v>
      </c>
      <c r="G913" s="42">
        <f t="shared" si="118"/>
        <v>0</v>
      </c>
      <c r="H913" s="42">
        <f t="shared" si="119"/>
        <v>2537</v>
      </c>
      <c r="I913" s="42">
        <f t="shared" si="120"/>
        <v>2537</v>
      </c>
      <c r="J913" s="122">
        <f t="shared" si="121"/>
        <v>48.999</v>
      </c>
      <c r="K913" s="42">
        <f t="shared" si="122"/>
        <v>3</v>
      </c>
      <c r="L913" s="75" t="str">
        <f t="shared" si="123"/>
        <v>⚠ 有 3 行还没填单价</v>
      </c>
    </row>
    <row r="914" spans="1:12">
      <c r="A914" s="89">
        <f t="shared" si="112"/>
        <v>6</v>
      </c>
      <c r="B914" s="75" t="str">
        <f t="shared" si="113"/>
        <v>吐尔洪</v>
      </c>
      <c r="C914" s="76">
        <f t="shared" si="114"/>
        <v>0</v>
      </c>
      <c r="D914" s="76">
        <f t="shared" si="115"/>
        <v>0</v>
      </c>
      <c r="E914" s="76">
        <f t="shared" si="116"/>
        <v>0</v>
      </c>
      <c r="F914" s="76">
        <f t="shared" si="117"/>
        <v>0</v>
      </c>
      <c r="G914" s="42">
        <f t="shared" si="118"/>
        <v>0</v>
      </c>
      <c r="H914" s="42">
        <f t="shared" si="119"/>
        <v>1195</v>
      </c>
      <c r="I914" s="42">
        <f t="shared" si="120"/>
        <v>1195</v>
      </c>
      <c r="J914" s="122">
        <f t="shared" si="121"/>
        <v>23.605</v>
      </c>
      <c r="K914" s="42">
        <f t="shared" si="122"/>
        <v>3</v>
      </c>
      <c r="L914" s="75" t="str">
        <f t="shared" si="123"/>
        <v>⚠ 有 3 行还没填单价</v>
      </c>
    </row>
    <row r="915" spans="1:12">
      <c r="A915" s="89">
        <f t="shared" si="112"/>
        <v>7</v>
      </c>
      <c r="B915" s="75" t="str">
        <f t="shared" si="113"/>
        <v>热合曼</v>
      </c>
      <c r="C915" s="76">
        <f t="shared" si="114"/>
        <v>0</v>
      </c>
      <c r="D915" s="76">
        <f t="shared" si="115"/>
        <v>0</v>
      </c>
      <c r="E915" s="76">
        <f t="shared" si="116"/>
        <v>0</v>
      </c>
      <c r="F915" s="76">
        <f t="shared" si="117"/>
        <v>0</v>
      </c>
      <c r="G915" s="42">
        <f t="shared" si="118"/>
        <v>0</v>
      </c>
      <c r="H915" s="42">
        <f t="shared" si="119"/>
        <v>1521</v>
      </c>
      <c r="I915" s="42">
        <f t="shared" si="120"/>
        <v>1521</v>
      </c>
      <c r="J915" s="122">
        <f t="shared" si="121"/>
        <v>29.445</v>
      </c>
      <c r="K915" s="42">
        <f t="shared" si="122"/>
        <v>3</v>
      </c>
      <c r="L915" s="75" t="str">
        <f t="shared" si="123"/>
        <v>⚠ 有 3 行还没填单价</v>
      </c>
    </row>
    <row r="916" spans="1:12">
      <c r="A916" s="89">
        <f t="shared" si="112"/>
        <v>8</v>
      </c>
      <c r="B916" s="75" t="str">
        <f t="shared" si="113"/>
        <v>贾建国</v>
      </c>
      <c r="C916" s="76">
        <f t="shared" si="114"/>
        <v>0</v>
      </c>
      <c r="D916" s="76">
        <f t="shared" si="115"/>
        <v>0</v>
      </c>
      <c r="E916" s="76">
        <f t="shared" si="116"/>
        <v>0</v>
      </c>
      <c r="F916" s="76">
        <f t="shared" si="117"/>
        <v>0</v>
      </c>
      <c r="G916" s="42">
        <f t="shared" si="118"/>
        <v>0</v>
      </c>
      <c r="H916" s="42">
        <f t="shared" si="119"/>
        <v>1265</v>
      </c>
      <c r="I916" s="42">
        <f t="shared" si="120"/>
        <v>1265</v>
      </c>
      <c r="J916" s="122">
        <f t="shared" si="121"/>
        <v>25.784</v>
      </c>
      <c r="K916" s="42">
        <f t="shared" si="122"/>
        <v>3</v>
      </c>
      <c r="L916" s="75" t="str">
        <f t="shared" si="123"/>
        <v>⚠ 有 3 行还没填单价</v>
      </c>
    </row>
    <row r="917" spans="1:12">
      <c r="A917" s="89">
        <f t="shared" si="112"/>
        <v>9</v>
      </c>
      <c r="B917" s="75" t="str">
        <f t="shared" si="113"/>
        <v>王灵云</v>
      </c>
      <c r="C917" s="76">
        <f t="shared" si="114"/>
        <v>0</v>
      </c>
      <c r="D917" s="76">
        <f t="shared" si="115"/>
        <v>0</v>
      </c>
      <c r="E917" s="76">
        <f t="shared" si="116"/>
        <v>0</v>
      </c>
      <c r="F917" s="76">
        <f t="shared" si="117"/>
        <v>0</v>
      </c>
      <c r="G917" s="42">
        <f t="shared" si="118"/>
        <v>1037</v>
      </c>
      <c r="H917" s="42">
        <f t="shared" si="119"/>
        <v>0</v>
      </c>
      <c r="I917" s="42">
        <f t="shared" si="120"/>
        <v>1037</v>
      </c>
      <c r="J917" s="122">
        <f t="shared" si="121"/>
        <v>19.557</v>
      </c>
      <c r="K917" s="42">
        <f t="shared" si="122"/>
        <v>3</v>
      </c>
      <c r="L917" s="75" t="str">
        <f t="shared" si="123"/>
        <v>⚠ 有 3 行还没填单价</v>
      </c>
    </row>
    <row r="918" spans="1:12">
      <c r="A918" s="89">
        <f t="shared" si="112"/>
        <v>10</v>
      </c>
      <c r="B918" s="75" t="str">
        <f t="shared" si="113"/>
        <v>杨艳玲</v>
      </c>
      <c r="C918" s="76">
        <f t="shared" si="114"/>
        <v>0</v>
      </c>
      <c r="D918" s="76">
        <f t="shared" si="115"/>
        <v>0</v>
      </c>
      <c r="E918" s="76">
        <f t="shared" si="116"/>
        <v>0</v>
      </c>
      <c r="F918" s="76">
        <f t="shared" si="117"/>
        <v>0</v>
      </c>
      <c r="G918" s="42">
        <f t="shared" si="118"/>
        <v>104</v>
      </c>
      <c r="H918" s="42">
        <f t="shared" si="119"/>
        <v>0</v>
      </c>
      <c r="I918" s="42">
        <f t="shared" si="120"/>
        <v>104</v>
      </c>
      <c r="J918" s="122">
        <f t="shared" si="121"/>
        <v>1.799</v>
      </c>
      <c r="K918" s="42">
        <f t="shared" si="122"/>
        <v>3</v>
      </c>
      <c r="L918" s="75" t="str">
        <f t="shared" si="123"/>
        <v>⚠ 有 3 行还没填单价</v>
      </c>
    </row>
    <row r="919" spans="1:12">
      <c r="A919" s="89">
        <f t="shared" si="112"/>
        <v>11</v>
      </c>
      <c r="B919" s="75" t="str">
        <f t="shared" si="113"/>
        <v>荆建君</v>
      </c>
      <c r="C919" s="76">
        <f t="shared" si="114"/>
        <v>0</v>
      </c>
      <c r="D919" s="76">
        <f t="shared" si="115"/>
        <v>0</v>
      </c>
      <c r="E919" s="76">
        <f t="shared" si="116"/>
        <v>0</v>
      </c>
      <c r="F919" s="76">
        <f t="shared" si="117"/>
        <v>0</v>
      </c>
      <c r="G919" s="42">
        <f t="shared" si="118"/>
        <v>0</v>
      </c>
      <c r="H919" s="42">
        <f t="shared" si="119"/>
        <v>1216</v>
      </c>
      <c r="I919" s="42">
        <f t="shared" si="120"/>
        <v>1216</v>
      </c>
      <c r="J919" s="122">
        <f t="shared" si="121"/>
        <v>22.253</v>
      </c>
      <c r="K919" s="42">
        <f t="shared" si="122"/>
        <v>3</v>
      </c>
      <c r="L919" s="75" t="str">
        <f t="shared" si="123"/>
        <v>⚠ 有 3 行还没填单价</v>
      </c>
    </row>
    <row r="920" spans="1:12">
      <c r="A920" s="89">
        <f t="shared" si="112"/>
        <v>12</v>
      </c>
      <c r="B920" s="75" t="str">
        <f t="shared" si="113"/>
        <v>努尔敦</v>
      </c>
      <c r="C920" s="76">
        <f t="shared" si="114"/>
        <v>0</v>
      </c>
      <c r="D920" s="76">
        <f t="shared" si="115"/>
        <v>0</v>
      </c>
      <c r="E920" s="76">
        <f t="shared" si="116"/>
        <v>0</v>
      </c>
      <c r="F920" s="76">
        <f t="shared" si="117"/>
        <v>0</v>
      </c>
      <c r="G920" s="42">
        <f t="shared" si="118"/>
        <v>0</v>
      </c>
      <c r="H920" s="42">
        <f t="shared" si="119"/>
        <v>1290</v>
      </c>
      <c r="I920" s="42">
        <f t="shared" si="120"/>
        <v>1290</v>
      </c>
      <c r="J920" s="122">
        <f t="shared" si="121"/>
        <v>25.351</v>
      </c>
      <c r="K920" s="42">
        <f t="shared" si="122"/>
        <v>3</v>
      </c>
      <c r="L920" s="75" t="str">
        <f t="shared" si="123"/>
        <v>⚠ 有 3 行还没填单价</v>
      </c>
    </row>
    <row r="921" spans="1:12">
      <c r="A921" s="89">
        <f t="shared" si="112"/>
        <v>13</v>
      </c>
      <c r="B921" s="75" t="str">
        <f t="shared" si="113"/>
        <v>王浩</v>
      </c>
      <c r="C921" s="76">
        <f t="shared" si="114"/>
        <v>0</v>
      </c>
      <c r="D921" s="76">
        <f t="shared" si="115"/>
        <v>0</v>
      </c>
      <c r="E921" s="76">
        <f t="shared" si="116"/>
        <v>0</v>
      </c>
      <c r="F921" s="76">
        <f t="shared" si="117"/>
        <v>0</v>
      </c>
      <c r="G921" s="42">
        <f t="shared" si="118"/>
        <v>0</v>
      </c>
      <c r="H921" s="42">
        <f t="shared" si="119"/>
        <v>1184</v>
      </c>
      <c r="I921" s="42">
        <f t="shared" si="120"/>
        <v>1184</v>
      </c>
      <c r="J921" s="122">
        <f t="shared" si="121"/>
        <v>21.667</v>
      </c>
      <c r="K921" s="42">
        <f t="shared" si="122"/>
        <v>3</v>
      </c>
      <c r="L921" s="75" t="str">
        <f t="shared" si="123"/>
        <v>⚠ 有 3 行还没填单价</v>
      </c>
    </row>
    <row r="922" spans="1:12">
      <c r="A922" s="89" t="str">
        <f t="shared" si="112"/>
        <v/>
      </c>
      <c r="B922" s="75" t="str">
        <f t="shared" si="113"/>
        <v/>
      </c>
      <c r="C922" s="76" t="str">
        <f t="shared" si="114"/>
        <v/>
      </c>
      <c r="D922" s="76" t="str">
        <f t="shared" si="115"/>
        <v/>
      </c>
      <c r="E922" s="76" t="str">
        <f t="shared" si="116"/>
        <v/>
      </c>
      <c r="F922" s="76" t="str">
        <f t="shared" si="117"/>
        <v/>
      </c>
      <c r="G922" s="42" t="str">
        <f t="shared" si="118"/>
        <v/>
      </c>
      <c r="H922" s="42" t="str">
        <f t="shared" si="119"/>
        <v/>
      </c>
      <c r="I922" s="42" t="str">
        <f t="shared" si="120"/>
        <v/>
      </c>
      <c r="J922" s="122" t="str">
        <f t="shared" si="121"/>
        <v/>
      </c>
      <c r="K922" s="42" t="str">
        <f t="shared" si="122"/>
        <v/>
      </c>
      <c r="L922" s="75" t="str">
        <f t="shared" si="123"/>
        <v/>
      </c>
    </row>
    <row r="923" spans="1:12">
      <c r="A923" s="89" t="str">
        <f t="shared" si="112"/>
        <v/>
      </c>
      <c r="B923" s="75" t="str">
        <f t="shared" si="113"/>
        <v/>
      </c>
      <c r="C923" s="76" t="str">
        <f t="shared" si="114"/>
        <v/>
      </c>
      <c r="D923" s="76" t="str">
        <f t="shared" si="115"/>
        <v/>
      </c>
      <c r="E923" s="76" t="str">
        <f t="shared" si="116"/>
        <v/>
      </c>
      <c r="F923" s="76" t="str">
        <f t="shared" si="117"/>
        <v/>
      </c>
      <c r="G923" s="42" t="str">
        <f t="shared" si="118"/>
        <v/>
      </c>
      <c r="H923" s="42" t="str">
        <f t="shared" si="119"/>
        <v/>
      </c>
      <c r="I923" s="42" t="str">
        <f t="shared" si="120"/>
        <v/>
      </c>
      <c r="J923" s="122" t="str">
        <f t="shared" si="121"/>
        <v/>
      </c>
      <c r="K923" s="42" t="str">
        <f t="shared" si="122"/>
        <v/>
      </c>
      <c r="L923" s="75" t="str">
        <f t="shared" si="123"/>
        <v/>
      </c>
    </row>
    <row r="924" spans="1:12">
      <c r="A924" s="89" t="str">
        <f t="shared" si="112"/>
        <v/>
      </c>
      <c r="B924" s="75" t="str">
        <f t="shared" si="113"/>
        <v/>
      </c>
      <c r="C924" s="76" t="str">
        <f t="shared" si="114"/>
        <v/>
      </c>
      <c r="D924" s="76" t="str">
        <f t="shared" si="115"/>
        <v/>
      </c>
      <c r="E924" s="76" t="str">
        <f t="shared" si="116"/>
        <v/>
      </c>
      <c r="F924" s="76" t="str">
        <f t="shared" si="117"/>
        <v/>
      </c>
      <c r="G924" s="42" t="str">
        <f t="shared" si="118"/>
        <v/>
      </c>
      <c r="H924" s="42" t="str">
        <f t="shared" si="119"/>
        <v/>
      </c>
      <c r="I924" s="42" t="str">
        <f t="shared" si="120"/>
        <v/>
      </c>
      <c r="J924" s="122" t="str">
        <f t="shared" si="121"/>
        <v/>
      </c>
      <c r="K924" s="42" t="str">
        <f t="shared" si="122"/>
        <v/>
      </c>
      <c r="L924" s="75" t="str">
        <f t="shared" si="123"/>
        <v/>
      </c>
    </row>
    <row r="925" spans="1:12">
      <c r="A925" s="89" t="str">
        <f t="shared" si="112"/>
        <v/>
      </c>
      <c r="B925" s="75" t="str">
        <f t="shared" si="113"/>
        <v/>
      </c>
      <c r="C925" s="76" t="str">
        <f t="shared" si="114"/>
        <v/>
      </c>
      <c r="D925" s="76" t="str">
        <f t="shared" si="115"/>
        <v/>
      </c>
      <c r="E925" s="76" t="str">
        <f t="shared" si="116"/>
        <v/>
      </c>
      <c r="F925" s="76" t="str">
        <f t="shared" si="117"/>
        <v/>
      </c>
      <c r="G925" s="42" t="str">
        <f t="shared" si="118"/>
        <v/>
      </c>
      <c r="H925" s="42" t="str">
        <f t="shared" si="119"/>
        <v/>
      </c>
      <c r="I925" s="42" t="str">
        <f t="shared" si="120"/>
        <v/>
      </c>
      <c r="J925" s="122" t="str">
        <f t="shared" si="121"/>
        <v/>
      </c>
      <c r="K925" s="42" t="str">
        <f t="shared" si="122"/>
        <v/>
      </c>
      <c r="L925" s="75" t="str">
        <f t="shared" si="123"/>
        <v/>
      </c>
    </row>
    <row r="926" spans="1:12">
      <c r="A926" s="89" t="str">
        <f t="shared" si="112"/>
        <v/>
      </c>
      <c r="B926" s="75" t="str">
        <f t="shared" si="113"/>
        <v/>
      </c>
      <c r="C926" s="76" t="str">
        <f t="shared" si="114"/>
        <v/>
      </c>
      <c r="D926" s="76" t="str">
        <f t="shared" si="115"/>
        <v/>
      </c>
      <c r="E926" s="76" t="str">
        <f t="shared" si="116"/>
        <v/>
      </c>
      <c r="F926" s="76" t="str">
        <f t="shared" si="117"/>
        <v/>
      </c>
      <c r="G926" s="42" t="str">
        <f t="shared" si="118"/>
        <v/>
      </c>
      <c r="H926" s="42" t="str">
        <f t="shared" si="119"/>
        <v/>
      </c>
      <c r="I926" s="42" t="str">
        <f t="shared" si="120"/>
        <v/>
      </c>
      <c r="J926" s="122" t="str">
        <f t="shared" si="121"/>
        <v/>
      </c>
      <c r="K926" s="42" t="str">
        <f t="shared" si="122"/>
        <v/>
      </c>
      <c r="L926" s="75" t="str">
        <f t="shared" si="123"/>
        <v/>
      </c>
    </row>
    <row r="927" spans="1:12">
      <c r="A927" s="89" t="str">
        <f t="shared" si="112"/>
        <v/>
      </c>
      <c r="B927" s="75" t="str">
        <f t="shared" si="113"/>
        <v/>
      </c>
      <c r="C927" s="76" t="str">
        <f t="shared" si="114"/>
        <v/>
      </c>
      <c r="D927" s="76" t="str">
        <f t="shared" si="115"/>
        <v/>
      </c>
      <c r="E927" s="76" t="str">
        <f t="shared" si="116"/>
        <v/>
      </c>
      <c r="F927" s="76" t="str">
        <f t="shared" si="117"/>
        <v/>
      </c>
      <c r="G927" s="42" t="str">
        <f t="shared" si="118"/>
        <v/>
      </c>
      <c r="H927" s="42" t="str">
        <f t="shared" si="119"/>
        <v/>
      </c>
      <c r="I927" s="42" t="str">
        <f t="shared" si="120"/>
        <v/>
      </c>
      <c r="J927" s="122" t="str">
        <f t="shared" si="121"/>
        <v/>
      </c>
      <c r="K927" s="42" t="str">
        <f t="shared" si="122"/>
        <v/>
      </c>
      <c r="L927" s="75" t="str">
        <f t="shared" si="123"/>
        <v/>
      </c>
    </row>
    <row r="928" spans="1:12">
      <c r="A928" s="89" t="str">
        <f t="shared" si="112"/>
        <v/>
      </c>
      <c r="B928" s="75" t="str">
        <f t="shared" si="113"/>
        <v/>
      </c>
      <c r="C928" s="76" t="str">
        <f t="shared" si="114"/>
        <v/>
      </c>
      <c r="D928" s="76" t="str">
        <f t="shared" si="115"/>
        <v/>
      </c>
      <c r="E928" s="76" t="str">
        <f t="shared" si="116"/>
        <v/>
      </c>
      <c r="F928" s="76" t="str">
        <f t="shared" si="117"/>
        <v/>
      </c>
      <c r="G928" s="42" t="str">
        <f t="shared" si="118"/>
        <v/>
      </c>
      <c r="H928" s="42" t="str">
        <f t="shared" si="119"/>
        <v/>
      </c>
      <c r="I928" s="42" t="str">
        <f t="shared" si="120"/>
        <v/>
      </c>
      <c r="J928" s="122" t="str">
        <f t="shared" si="121"/>
        <v/>
      </c>
      <c r="K928" s="42" t="str">
        <f t="shared" si="122"/>
        <v/>
      </c>
      <c r="L928" s="75" t="str">
        <f t="shared" si="123"/>
        <v/>
      </c>
    </row>
    <row r="929" spans="1:12">
      <c r="A929" s="89" t="str">
        <f t="shared" si="112"/>
        <v/>
      </c>
      <c r="B929" s="75" t="str">
        <f t="shared" si="113"/>
        <v/>
      </c>
      <c r="C929" s="76" t="str">
        <f t="shared" si="114"/>
        <v/>
      </c>
      <c r="D929" s="76" t="str">
        <f t="shared" si="115"/>
        <v/>
      </c>
      <c r="E929" s="76" t="str">
        <f t="shared" si="116"/>
        <v/>
      </c>
      <c r="F929" s="76" t="str">
        <f t="shared" si="117"/>
        <v/>
      </c>
      <c r="G929" s="42" t="str">
        <f t="shared" si="118"/>
        <v/>
      </c>
      <c r="H929" s="42" t="str">
        <f t="shared" si="119"/>
        <v/>
      </c>
      <c r="I929" s="42" t="str">
        <f t="shared" si="120"/>
        <v/>
      </c>
      <c r="J929" s="122" t="str">
        <f t="shared" si="121"/>
        <v/>
      </c>
      <c r="K929" s="42" t="str">
        <f t="shared" si="122"/>
        <v/>
      </c>
      <c r="L929" s="75" t="str">
        <f t="shared" si="123"/>
        <v/>
      </c>
    </row>
    <row r="930" spans="1:12">
      <c r="A930" s="89" t="str">
        <f t="shared" si="112"/>
        <v/>
      </c>
      <c r="B930" s="75" t="str">
        <f t="shared" si="113"/>
        <v/>
      </c>
      <c r="C930" s="76" t="str">
        <f t="shared" si="114"/>
        <v/>
      </c>
      <c r="D930" s="76" t="str">
        <f t="shared" si="115"/>
        <v/>
      </c>
      <c r="E930" s="76" t="str">
        <f t="shared" si="116"/>
        <v/>
      </c>
      <c r="F930" s="76" t="str">
        <f t="shared" si="117"/>
        <v/>
      </c>
      <c r="G930" s="42" t="str">
        <f t="shared" si="118"/>
        <v/>
      </c>
      <c r="H930" s="42" t="str">
        <f t="shared" si="119"/>
        <v/>
      </c>
      <c r="I930" s="42" t="str">
        <f t="shared" si="120"/>
        <v/>
      </c>
      <c r="J930" s="122" t="str">
        <f t="shared" si="121"/>
        <v/>
      </c>
      <c r="K930" s="42" t="str">
        <f t="shared" si="122"/>
        <v/>
      </c>
      <c r="L930" s="75" t="str">
        <f t="shared" si="123"/>
        <v/>
      </c>
    </row>
    <row r="931" spans="1:12">
      <c r="A931" s="89" t="str">
        <f t="shared" si="112"/>
        <v/>
      </c>
      <c r="B931" s="75" t="str">
        <f t="shared" si="113"/>
        <v/>
      </c>
      <c r="C931" s="76" t="str">
        <f t="shared" si="114"/>
        <v/>
      </c>
      <c r="D931" s="76" t="str">
        <f t="shared" si="115"/>
        <v/>
      </c>
      <c r="E931" s="76" t="str">
        <f t="shared" si="116"/>
        <v/>
      </c>
      <c r="F931" s="76" t="str">
        <f t="shared" si="117"/>
        <v/>
      </c>
      <c r="G931" s="42" t="str">
        <f t="shared" si="118"/>
        <v/>
      </c>
      <c r="H931" s="42" t="str">
        <f t="shared" si="119"/>
        <v/>
      </c>
      <c r="I931" s="42" t="str">
        <f t="shared" si="120"/>
        <v/>
      </c>
      <c r="J931" s="122" t="str">
        <f t="shared" si="121"/>
        <v/>
      </c>
      <c r="K931" s="42" t="str">
        <f t="shared" si="122"/>
        <v/>
      </c>
      <c r="L931" s="75" t="str">
        <f t="shared" si="123"/>
        <v/>
      </c>
    </row>
    <row r="932" spans="1:12">
      <c r="A932" s="89" t="str">
        <f t="shared" si="112"/>
        <v/>
      </c>
      <c r="B932" s="75" t="str">
        <f t="shared" si="113"/>
        <v/>
      </c>
      <c r="C932" s="76" t="str">
        <f t="shared" si="114"/>
        <v/>
      </c>
      <c r="D932" s="76" t="str">
        <f t="shared" si="115"/>
        <v/>
      </c>
      <c r="E932" s="76" t="str">
        <f t="shared" si="116"/>
        <v/>
      </c>
      <c r="F932" s="76" t="str">
        <f t="shared" si="117"/>
        <v/>
      </c>
      <c r="G932" s="42" t="str">
        <f t="shared" si="118"/>
        <v/>
      </c>
      <c r="H932" s="42" t="str">
        <f t="shared" si="119"/>
        <v/>
      </c>
      <c r="I932" s="42" t="str">
        <f t="shared" si="120"/>
        <v/>
      </c>
      <c r="J932" s="122" t="str">
        <f t="shared" si="121"/>
        <v/>
      </c>
      <c r="K932" s="42" t="str">
        <f t="shared" si="122"/>
        <v/>
      </c>
      <c r="L932" s="75" t="str">
        <f t="shared" si="123"/>
        <v/>
      </c>
    </row>
    <row r="933" spans="1:12">
      <c r="A933" s="89" t="str">
        <f t="shared" si="112"/>
        <v/>
      </c>
      <c r="B933" s="75" t="str">
        <f t="shared" si="113"/>
        <v/>
      </c>
      <c r="C933" s="76" t="str">
        <f t="shared" si="114"/>
        <v/>
      </c>
      <c r="D933" s="76" t="str">
        <f t="shared" si="115"/>
        <v/>
      </c>
      <c r="E933" s="76" t="str">
        <f t="shared" si="116"/>
        <v/>
      </c>
      <c r="F933" s="76" t="str">
        <f t="shared" si="117"/>
        <v/>
      </c>
      <c r="G933" s="42" t="str">
        <f t="shared" si="118"/>
        <v/>
      </c>
      <c r="H933" s="42" t="str">
        <f t="shared" si="119"/>
        <v/>
      </c>
      <c r="I933" s="42" t="str">
        <f t="shared" si="120"/>
        <v/>
      </c>
      <c r="J933" s="122" t="str">
        <f t="shared" si="121"/>
        <v/>
      </c>
      <c r="K933" s="42" t="str">
        <f t="shared" si="122"/>
        <v/>
      </c>
      <c r="L933" s="75" t="str">
        <f t="shared" si="123"/>
        <v/>
      </c>
    </row>
    <row r="934" spans="1:12">
      <c r="A934" s="89" t="str">
        <f t="shared" si="112"/>
        <v/>
      </c>
      <c r="B934" s="75" t="str">
        <f t="shared" si="113"/>
        <v/>
      </c>
      <c r="C934" s="76" t="str">
        <f t="shared" si="114"/>
        <v/>
      </c>
      <c r="D934" s="76" t="str">
        <f t="shared" si="115"/>
        <v/>
      </c>
      <c r="E934" s="76" t="str">
        <f t="shared" si="116"/>
        <v/>
      </c>
      <c r="F934" s="76" t="str">
        <f t="shared" si="117"/>
        <v/>
      </c>
      <c r="G934" s="42" t="str">
        <f t="shared" si="118"/>
        <v/>
      </c>
      <c r="H934" s="42" t="str">
        <f t="shared" si="119"/>
        <v/>
      </c>
      <c r="I934" s="42" t="str">
        <f t="shared" si="120"/>
        <v/>
      </c>
      <c r="J934" s="122" t="str">
        <f t="shared" si="121"/>
        <v/>
      </c>
      <c r="K934" s="42" t="str">
        <f t="shared" si="122"/>
        <v/>
      </c>
      <c r="L934" s="75" t="str">
        <f t="shared" si="123"/>
        <v/>
      </c>
    </row>
    <row r="935" spans="1:12">
      <c r="A935" s="89" t="str">
        <f t="shared" si="112"/>
        <v/>
      </c>
      <c r="B935" s="75" t="str">
        <f t="shared" si="113"/>
        <v/>
      </c>
      <c r="C935" s="76" t="str">
        <f t="shared" si="114"/>
        <v/>
      </c>
      <c r="D935" s="76" t="str">
        <f t="shared" si="115"/>
        <v/>
      </c>
      <c r="E935" s="76" t="str">
        <f t="shared" si="116"/>
        <v/>
      </c>
      <c r="F935" s="76" t="str">
        <f t="shared" si="117"/>
        <v/>
      </c>
      <c r="G935" s="42" t="str">
        <f t="shared" si="118"/>
        <v/>
      </c>
      <c r="H935" s="42" t="str">
        <f t="shared" si="119"/>
        <v/>
      </c>
      <c r="I935" s="42" t="str">
        <f t="shared" si="120"/>
        <v/>
      </c>
      <c r="J935" s="122" t="str">
        <f t="shared" si="121"/>
        <v/>
      </c>
      <c r="K935" s="42" t="str">
        <f t="shared" si="122"/>
        <v/>
      </c>
      <c r="L935" s="75" t="str">
        <f t="shared" si="123"/>
        <v/>
      </c>
    </row>
    <row r="936" spans="1:12">
      <c r="A936" s="89" t="str">
        <f t="shared" si="112"/>
        <v/>
      </c>
      <c r="B936" s="75" t="str">
        <f t="shared" si="113"/>
        <v/>
      </c>
      <c r="C936" s="76" t="str">
        <f t="shared" si="114"/>
        <v/>
      </c>
      <c r="D936" s="76" t="str">
        <f t="shared" si="115"/>
        <v/>
      </c>
      <c r="E936" s="76" t="str">
        <f t="shared" si="116"/>
        <v/>
      </c>
      <c r="F936" s="76" t="str">
        <f t="shared" si="117"/>
        <v/>
      </c>
      <c r="G936" s="42" t="str">
        <f t="shared" si="118"/>
        <v/>
      </c>
      <c r="H936" s="42" t="str">
        <f t="shared" si="119"/>
        <v/>
      </c>
      <c r="I936" s="42" t="str">
        <f t="shared" si="120"/>
        <v/>
      </c>
      <c r="J936" s="122" t="str">
        <f t="shared" si="121"/>
        <v/>
      </c>
      <c r="K936" s="42" t="str">
        <f t="shared" si="122"/>
        <v/>
      </c>
      <c r="L936" s="75" t="str">
        <f t="shared" si="123"/>
        <v/>
      </c>
    </row>
    <row r="937" spans="1:12">
      <c r="A937" s="89" t="str">
        <f t="shared" si="112"/>
        <v/>
      </c>
      <c r="B937" s="75" t="str">
        <f t="shared" si="113"/>
        <v/>
      </c>
      <c r="C937" s="76" t="str">
        <f t="shared" si="114"/>
        <v/>
      </c>
      <c r="D937" s="76" t="str">
        <f t="shared" si="115"/>
        <v/>
      </c>
      <c r="E937" s="76" t="str">
        <f t="shared" si="116"/>
        <v/>
      </c>
      <c r="F937" s="76" t="str">
        <f t="shared" si="117"/>
        <v/>
      </c>
      <c r="G937" s="42" t="str">
        <f t="shared" si="118"/>
        <v/>
      </c>
      <c r="H937" s="42" t="str">
        <f t="shared" si="119"/>
        <v/>
      </c>
      <c r="I937" s="42" t="str">
        <f t="shared" si="120"/>
        <v/>
      </c>
      <c r="J937" s="122" t="str">
        <f t="shared" si="121"/>
        <v/>
      </c>
      <c r="K937" s="42" t="str">
        <f t="shared" si="122"/>
        <v/>
      </c>
      <c r="L937" s="75" t="str">
        <f t="shared" si="123"/>
        <v/>
      </c>
    </row>
    <row r="938" spans="1:12">
      <c r="A938" s="89" t="str">
        <f t="shared" si="112"/>
        <v/>
      </c>
      <c r="B938" s="75" t="str">
        <f t="shared" si="113"/>
        <v/>
      </c>
      <c r="C938" s="76" t="str">
        <f t="shared" si="114"/>
        <v/>
      </c>
      <c r="D938" s="76" t="str">
        <f t="shared" si="115"/>
        <v/>
      </c>
      <c r="E938" s="76" t="str">
        <f t="shared" si="116"/>
        <v/>
      </c>
      <c r="F938" s="76" t="str">
        <f t="shared" si="117"/>
        <v/>
      </c>
      <c r="G938" s="42" t="str">
        <f t="shared" si="118"/>
        <v/>
      </c>
      <c r="H938" s="42" t="str">
        <f t="shared" si="119"/>
        <v/>
      </c>
      <c r="I938" s="42" t="str">
        <f t="shared" si="120"/>
        <v/>
      </c>
      <c r="J938" s="122" t="str">
        <f t="shared" si="121"/>
        <v/>
      </c>
      <c r="K938" s="42" t="str">
        <f t="shared" si="122"/>
        <v/>
      </c>
      <c r="L938" s="75" t="str">
        <f t="shared" si="123"/>
        <v/>
      </c>
    </row>
    <row r="939" spans="1:12">
      <c r="A939" s="89" t="str">
        <f t="shared" si="112"/>
        <v/>
      </c>
      <c r="B939" s="75" t="str">
        <f t="shared" si="113"/>
        <v/>
      </c>
      <c r="C939" s="76" t="str">
        <f t="shared" si="114"/>
        <v/>
      </c>
      <c r="D939" s="76" t="str">
        <f t="shared" si="115"/>
        <v/>
      </c>
      <c r="E939" s="76" t="str">
        <f t="shared" si="116"/>
        <v/>
      </c>
      <c r="F939" s="76" t="str">
        <f t="shared" si="117"/>
        <v/>
      </c>
      <c r="G939" s="42" t="str">
        <f t="shared" si="118"/>
        <v/>
      </c>
      <c r="H939" s="42" t="str">
        <f t="shared" si="119"/>
        <v/>
      </c>
      <c r="I939" s="42" t="str">
        <f t="shared" si="120"/>
        <v/>
      </c>
      <c r="J939" s="122" t="str">
        <f t="shared" si="121"/>
        <v/>
      </c>
      <c r="K939" s="42" t="str">
        <f t="shared" si="122"/>
        <v/>
      </c>
      <c r="L939" s="75" t="str">
        <f t="shared" si="123"/>
        <v/>
      </c>
    </row>
    <row r="940" spans="1:12">
      <c r="A940" s="89" t="str">
        <f t="shared" si="112"/>
        <v/>
      </c>
      <c r="B940" s="75" t="str">
        <f t="shared" si="113"/>
        <v/>
      </c>
      <c r="C940" s="76" t="str">
        <f t="shared" si="114"/>
        <v/>
      </c>
      <c r="D940" s="76" t="str">
        <f t="shared" si="115"/>
        <v/>
      </c>
      <c r="E940" s="76" t="str">
        <f t="shared" si="116"/>
        <v/>
      </c>
      <c r="F940" s="76" t="str">
        <f t="shared" si="117"/>
        <v/>
      </c>
      <c r="G940" s="42" t="str">
        <f t="shared" si="118"/>
        <v/>
      </c>
      <c r="H940" s="42" t="str">
        <f t="shared" si="119"/>
        <v/>
      </c>
      <c r="I940" s="42" t="str">
        <f t="shared" si="120"/>
        <v/>
      </c>
      <c r="J940" s="122" t="str">
        <f t="shared" si="121"/>
        <v/>
      </c>
      <c r="K940" s="42" t="str">
        <f t="shared" si="122"/>
        <v/>
      </c>
      <c r="L940" s="75" t="str">
        <f t="shared" si="123"/>
        <v/>
      </c>
    </row>
    <row r="941" spans="1:12">
      <c r="A941" s="89" t="str">
        <f t="shared" si="112"/>
        <v/>
      </c>
      <c r="B941" s="75" t="str">
        <f t="shared" si="113"/>
        <v/>
      </c>
      <c r="C941" s="76" t="str">
        <f t="shared" si="114"/>
        <v/>
      </c>
      <c r="D941" s="76" t="str">
        <f t="shared" si="115"/>
        <v/>
      </c>
      <c r="E941" s="76" t="str">
        <f t="shared" si="116"/>
        <v/>
      </c>
      <c r="F941" s="76" t="str">
        <f t="shared" si="117"/>
        <v/>
      </c>
      <c r="G941" s="42" t="str">
        <f t="shared" si="118"/>
        <v/>
      </c>
      <c r="H941" s="42" t="str">
        <f t="shared" si="119"/>
        <v/>
      </c>
      <c r="I941" s="42" t="str">
        <f t="shared" si="120"/>
        <v/>
      </c>
      <c r="J941" s="122" t="str">
        <f t="shared" si="121"/>
        <v/>
      </c>
      <c r="K941" s="42" t="str">
        <f t="shared" si="122"/>
        <v/>
      </c>
      <c r="L941" s="75" t="str">
        <f t="shared" si="123"/>
        <v/>
      </c>
    </row>
    <row r="942" spans="1:12">
      <c r="A942" s="89" t="str">
        <f t="shared" si="112"/>
        <v/>
      </c>
      <c r="B942" s="75" t="str">
        <f t="shared" si="113"/>
        <v/>
      </c>
      <c r="C942" s="76" t="str">
        <f t="shared" si="114"/>
        <v/>
      </c>
      <c r="D942" s="76" t="str">
        <f t="shared" si="115"/>
        <v/>
      </c>
      <c r="E942" s="76" t="str">
        <f t="shared" si="116"/>
        <v/>
      </c>
      <c r="F942" s="76" t="str">
        <f t="shared" si="117"/>
        <v/>
      </c>
      <c r="G942" s="42" t="str">
        <f t="shared" si="118"/>
        <v/>
      </c>
      <c r="H942" s="42" t="str">
        <f t="shared" si="119"/>
        <v/>
      </c>
      <c r="I942" s="42" t="str">
        <f t="shared" si="120"/>
        <v/>
      </c>
      <c r="J942" s="122" t="str">
        <f t="shared" si="121"/>
        <v/>
      </c>
      <c r="K942" s="42" t="str">
        <f t="shared" si="122"/>
        <v/>
      </c>
      <c r="L942" s="75" t="str">
        <f t="shared" si="123"/>
        <v/>
      </c>
    </row>
    <row r="943" spans="1:12">
      <c r="A943" s="89" t="str">
        <f t="shared" si="112"/>
        <v/>
      </c>
      <c r="B943" s="75" t="str">
        <f t="shared" si="113"/>
        <v/>
      </c>
      <c r="C943" s="76" t="str">
        <f t="shared" si="114"/>
        <v/>
      </c>
      <c r="D943" s="76" t="str">
        <f t="shared" si="115"/>
        <v/>
      </c>
      <c r="E943" s="76" t="str">
        <f t="shared" si="116"/>
        <v/>
      </c>
      <c r="F943" s="76" t="str">
        <f t="shared" si="117"/>
        <v/>
      </c>
      <c r="G943" s="42" t="str">
        <f t="shared" si="118"/>
        <v/>
      </c>
      <c r="H943" s="42" t="str">
        <f t="shared" si="119"/>
        <v/>
      </c>
      <c r="I943" s="42" t="str">
        <f t="shared" si="120"/>
        <v/>
      </c>
      <c r="J943" s="122" t="str">
        <f t="shared" si="121"/>
        <v/>
      </c>
      <c r="K943" s="42" t="str">
        <f t="shared" si="122"/>
        <v/>
      </c>
      <c r="L943" s="75" t="str">
        <f t="shared" si="123"/>
        <v/>
      </c>
    </row>
    <row r="944" spans="1:12">
      <c r="A944" s="89" t="str">
        <f t="shared" si="112"/>
        <v/>
      </c>
      <c r="B944" s="75" t="str">
        <f t="shared" si="113"/>
        <v/>
      </c>
      <c r="C944" s="76" t="str">
        <f t="shared" si="114"/>
        <v/>
      </c>
      <c r="D944" s="76" t="str">
        <f t="shared" si="115"/>
        <v/>
      </c>
      <c r="E944" s="76" t="str">
        <f t="shared" si="116"/>
        <v/>
      </c>
      <c r="F944" s="76" t="str">
        <f t="shared" si="117"/>
        <v/>
      </c>
      <c r="G944" s="42" t="str">
        <f t="shared" si="118"/>
        <v/>
      </c>
      <c r="H944" s="42" t="str">
        <f t="shared" si="119"/>
        <v/>
      </c>
      <c r="I944" s="42" t="str">
        <f t="shared" si="120"/>
        <v/>
      </c>
      <c r="J944" s="122" t="str">
        <f t="shared" si="121"/>
        <v/>
      </c>
      <c r="K944" s="42" t="str">
        <f t="shared" si="122"/>
        <v/>
      </c>
      <c r="L944" s="75" t="str">
        <f t="shared" si="123"/>
        <v/>
      </c>
    </row>
    <row r="945" spans="1:12">
      <c r="A945" s="89" t="str">
        <f t="shared" si="112"/>
        <v/>
      </c>
      <c r="B945" s="75" t="str">
        <f t="shared" si="113"/>
        <v/>
      </c>
      <c r="C945" s="76" t="str">
        <f t="shared" si="114"/>
        <v/>
      </c>
      <c r="D945" s="76" t="str">
        <f t="shared" si="115"/>
        <v/>
      </c>
      <c r="E945" s="76" t="str">
        <f t="shared" si="116"/>
        <v/>
      </c>
      <c r="F945" s="76" t="str">
        <f t="shared" si="117"/>
        <v/>
      </c>
      <c r="G945" s="42" t="str">
        <f t="shared" si="118"/>
        <v/>
      </c>
      <c r="H945" s="42" t="str">
        <f t="shared" si="119"/>
        <v/>
      </c>
      <c r="I945" s="42" t="str">
        <f t="shared" si="120"/>
        <v/>
      </c>
      <c r="J945" s="122" t="str">
        <f t="shared" si="121"/>
        <v/>
      </c>
      <c r="K945" s="42" t="str">
        <f t="shared" si="122"/>
        <v/>
      </c>
      <c r="L945" s="75" t="str">
        <f t="shared" si="123"/>
        <v/>
      </c>
    </row>
    <row r="946" spans="1:12">
      <c r="A946" s="89" t="str">
        <f t="shared" si="112"/>
        <v/>
      </c>
      <c r="B946" s="75" t="str">
        <f t="shared" si="113"/>
        <v/>
      </c>
      <c r="C946" s="76" t="str">
        <f t="shared" si="114"/>
        <v/>
      </c>
      <c r="D946" s="76" t="str">
        <f t="shared" si="115"/>
        <v/>
      </c>
      <c r="E946" s="76" t="str">
        <f t="shared" si="116"/>
        <v/>
      </c>
      <c r="F946" s="76" t="str">
        <f t="shared" si="117"/>
        <v/>
      </c>
      <c r="G946" s="42" t="str">
        <f t="shared" si="118"/>
        <v/>
      </c>
      <c r="H946" s="42" t="str">
        <f t="shared" si="119"/>
        <v/>
      </c>
      <c r="I946" s="42" t="str">
        <f t="shared" si="120"/>
        <v/>
      </c>
      <c r="J946" s="122" t="str">
        <f t="shared" si="121"/>
        <v/>
      </c>
      <c r="K946" s="42" t="str">
        <f t="shared" si="122"/>
        <v/>
      </c>
      <c r="L946" s="75" t="str">
        <f t="shared" si="123"/>
        <v/>
      </c>
    </row>
    <row r="947" spans="1:12">
      <c r="A947" s="89" t="str">
        <f t="shared" si="112"/>
        <v/>
      </c>
      <c r="B947" s="75" t="str">
        <f t="shared" si="113"/>
        <v/>
      </c>
      <c r="C947" s="76" t="str">
        <f t="shared" si="114"/>
        <v/>
      </c>
      <c r="D947" s="76" t="str">
        <f t="shared" si="115"/>
        <v/>
      </c>
      <c r="E947" s="76" t="str">
        <f t="shared" si="116"/>
        <v/>
      </c>
      <c r="F947" s="76" t="str">
        <f t="shared" si="117"/>
        <v/>
      </c>
      <c r="G947" s="42" t="str">
        <f t="shared" si="118"/>
        <v/>
      </c>
      <c r="H947" s="42" t="str">
        <f t="shared" si="119"/>
        <v/>
      </c>
      <c r="I947" s="42" t="str">
        <f t="shared" si="120"/>
        <v/>
      </c>
      <c r="J947" s="122" t="str">
        <f t="shared" si="121"/>
        <v/>
      </c>
      <c r="K947" s="42" t="str">
        <f t="shared" si="122"/>
        <v/>
      </c>
      <c r="L947" s="75" t="str">
        <f t="shared" si="123"/>
        <v/>
      </c>
    </row>
    <row r="948" spans="1:12">
      <c r="A948" s="89" t="str">
        <f t="shared" si="112"/>
        <v/>
      </c>
      <c r="B948" s="75" t="str">
        <f t="shared" si="113"/>
        <v/>
      </c>
      <c r="C948" s="76" t="str">
        <f t="shared" si="114"/>
        <v/>
      </c>
      <c r="D948" s="76" t="str">
        <f t="shared" si="115"/>
        <v/>
      </c>
      <c r="E948" s="76" t="str">
        <f t="shared" si="116"/>
        <v/>
      </c>
      <c r="F948" s="76" t="str">
        <f t="shared" si="117"/>
        <v/>
      </c>
      <c r="G948" s="42" t="str">
        <f t="shared" si="118"/>
        <v/>
      </c>
      <c r="H948" s="42" t="str">
        <f t="shared" si="119"/>
        <v/>
      </c>
      <c r="I948" s="42" t="str">
        <f t="shared" si="120"/>
        <v/>
      </c>
      <c r="J948" s="122" t="str">
        <f t="shared" si="121"/>
        <v/>
      </c>
      <c r="K948" s="42" t="str">
        <f t="shared" si="122"/>
        <v/>
      </c>
      <c r="L948" s="75" t="str">
        <f t="shared" si="123"/>
        <v/>
      </c>
    </row>
    <row r="949" spans="1:12">
      <c r="A949" s="89" t="str">
        <f t="shared" si="112"/>
        <v/>
      </c>
      <c r="B949" s="75" t="str">
        <f t="shared" si="113"/>
        <v/>
      </c>
      <c r="C949" s="76" t="str">
        <f t="shared" si="114"/>
        <v/>
      </c>
      <c r="D949" s="76" t="str">
        <f t="shared" si="115"/>
        <v/>
      </c>
      <c r="E949" s="76" t="str">
        <f t="shared" si="116"/>
        <v/>
      </c>
      <c r="F949" s="76" t="str">
        <f t="shared" si="117"/>
        <v/>
      </c>
      <c r="G949" s="42" t="str">
        <f t="shared" si="118"/>
        <v/>
      </c>
      <c r="H949" s="42" t="str">
        <f t="shared" si="119"/>
        <v/>
      </c>
      <c r="I949" s="42" t="str">
        <f t="shared" si="120"/>
        <v/>
      </c>
      <c r="J949" s="122" t="str">
        <f t="shared" si="121"/>
        <v/>
      </c>
      <c r="K949" s="42" t="str">
        <f t="shared" si="122"/>
        <v/>
      </c>
      <c r="L949" s="75" t="str">
        <f t="shared" si="123"/>
        <v/>
      </c>
    </row>
    <row r="950" spans="1:12">
      <c r="A950" s="89" t="str">
        <f t="shared" si="112"/>
        <v/>
      </c>
      <c r="B950" s="75" t="str">
        <f t="shared" si="113"/>
        <v/>
      </c>
      <c r="C950" s="76" t="str">
        <f t="shared" si="114"/>
        <v/>
      </c>
      <c r="D950" s="76" t="str">
        <f t="shared" si="115"/>
        <v/>
      </c>
      <c r="E950" s="76" t="str">
        <f t="shared" si="116"/>
        <v/>
      </c>
      <c r="F950" s="76" t="str">
        <f t="shared" si="117"/>
        <v/>
      </c>
      <c r="G950" s="42" t="str">
        <f t="shared" si="118"/>
        <v/>
      </c>
      <c r="H950" s="42" t="str">
        <f t="shared" si="119"/>
        <v/>
      </c>
      <c r="I950" s="42" t="str">
        <f t="shared" si="120"/>
        <v/>
      </c>
      <c r="J950" s="122" t="str">
        <f t="shared" si="121"/>
        <v/>
      </c>
      <c r="K950" s="42" t="str">
        <f t="shared" si="122"/>
        <v/>
      </c>
      <c r="L950" s="75" t="str">
        <f t="shared" si="123"/>
        <v/>
      </c>
    </row>
    <row r="951" spans="1:12">
      <c r="A951" s="89" t="str">
        <f t="shared" si="112"/>
        <v/>
      </c>
      <c r="B951" s="75" t="str">
        <f t="shared" si="113"/>
        <v/>
      </c>
      <c r="C951" s="76" t="str">
        <f t="shared" si="114"/>
        <v/>
      </c>
      <c r="D951" s="76" t="str">
        <f t="shared" si="115"/>
        <v/>
      </c>
      <c r="E951" s="76" t="str">
        <f t="shared" si="116"/>
        <v/>
      </c>
      <c r="F951" s="76" t="str">
        <f t="shared" si="117"/>
        <v/>
      </c>
      <c r="G951" s="42" t="str">
        <f t="shared" si="118"/>
        <v/>
      </c>
      <c r="H951" s="42" t="str">
        <f t="shared" si="119"/>
        <v/>
      </c>
      <c r="I951" s="42" t="str">
        <f t="shared" si="120"/>
        <v/>
      </c>
      <c r="J951" s="122" t="str">
        <f t="shared" si="121"/>
        <v/>
      </c>
      <c r="K951" s="42" t="str">
        <f t="shared" si="122"/>
        <v/>
      </c>
      <c r="L951" s="75" t="str">
        <f t="shared" si="123"/>
        <v/>
      </c>
    </row>
    <row r="952" spans="1:12">
      <c r="A952" s="89" t="str">
        <f t="shared" si="112"/>
        <v/>
      </c>
      <c r="B952" s="75" t="str">
        <f t="shared" si="113"/>
        <v/>
      </c>
      <c r="C952" s="76" t="str">
        <f t="shared" si="114"/>
        <v/>
      </c>
      <c r="D952" s="76" t="str">
        <f t="shared" si="115"/>
        <v/>
      </c>
      <c r="E952" s="76" t="str">
        <f t="shared" si="116"/>
        <v/>
      </c>
      <c r="F952" s="76" t="str">
        <f t="shared" si="117"/>
        <v/>
      </c>
      <c r="G952" s="42" t="str">
        <f t="shared" si="118"/>
        <v/>
      </c>
      <c r="H952" s="42" t="str">
        <f t="shared" si="119"/>
        <v/>
      </c>
      <c r="I952" s="42" t="str">
        <f t="shared" si="120"/>
        <v/>
      </c>
      <c r="J952" s="122" t="str">
        <f t="shared" si="121"/>
        <v/>
      </c>
      <c r="K952" s="42" t="str">
        <f t="shared" si="122"/>
        <v/>
      </c>
      <c r="L952" s="75" t="str">
        <f t="shared" si="123"/>
        <v/>
      </c>
    </row>
    <row r="953" spans="1:12">
      <c r="A953" s="89" t="str">
        <f t="shared" si="112"/>
        <v/>
      </c>
      <c r="B953" s="75" t="str">
        <f t="shared" si="113"/>
        <v/>
      </c>
      <c r="C953" s="76" t="str">
        <f t="shared" si="114"/>
        <v/>
      </c>
      <c r="D953" s="76" t="str">
        <f t="shared" si="115"/>
        <v/>
      </c>
      <c r="E953" s="76" t="str">
        <f t="shared" si="116"/>
        <v/>
      </c>
      <c r="F953" s="76" t="str">
        <f t="shared" si="117"/>
        <v/>
      </c>
      <c r="G953" s="42" t="str">
        <f t="shared" si="118"/>
        <v/>
      </c>
      <c r="H953" s="42" t="str">
        <f t="shared" si="119"/>
        <v/>
      </c>
      <c r="I953" s="42" t="str">
        <f t="shared" si="120"/>
        <v/>
      </c>
      <c r="J953" s="122" t="str">
        <f t="shared" si="121"/>
        <v/>
      </c>
      <c r="K953" s="42" t="str">
        <f t="shared" si="122"/>
        <v/>
      </c>
      <c r="L953" s="75" t="str">
        <f t="shared" si="123"/>
        <v/>
      </c>
    </row>
    <row r="954" spans="1:12">
      <c r="A954" s="89" t="str">
        <f t="shared" si="112"/>
        <v/>
      </c>
      <c r="B954" s="75" t="str">
        <f t="shared" si="113"/>
        <v/>
      </c>
      <c r="C954" s="76" t="str">
        <f t="shared" si="114"/>
        <v/>
      </c>
      <c r="D954" s="76" t="str">
        <f t="shared" si="115"/>
        <v/>
      </c>
      <c r="E954" s="76" t="str">
        <f t="shared" si="116"/>
        <v/>
      </c>
      <c r="F954" s="76" t="str">
        <f t="shared" si="117"/>
        <v/>
      </c>
      <c r="G954" s="42" t="str">
        <f t="shared" si="118"/>
        <v/>
      </c>
      <c r="H954" s="42" t="str">
        <f t="shared" si="119"/>
        <v/>
      </c>
      <c r="I954" s="42" t="str">
        <f t="shared" si="120"/>
        <v/>
      </c>
      <c r="J954" s="122" t="str">
        <f t="shared" si="121"/>
        <v/>
      </c>
      <c r="K954" s="42" t="str">
        <f t="shared" si="122"/>
        <v/>
      </c>
      <c r="L954" s="75" t="str">
        <f t="shared" si="123"/>
        <v/>
      </c>
    </row>
    <row r="955" spans="1:12">
      <c r="A955" s="89" t="str">
        <f t="shared" si="112"/>
        <v/>
      </c>
      <c r="B955" s="75" t="str">
        <f t="shared" si="113"/>
        <v/>
      </c>
      <c r="C955" s="76" t="str">
        <f t="shared" si="114"/>
        <v/>
      </c>
      <c r="D955" s="76" t="str">
        <f t="shared" si="115"/>
        <v/>
      </c>
      <c r="E955" s="76" t="str">
        <f t="shared" si="116"/>
        <v/>
      </c>
      <c r="F955" s="76" t="str">
        <f t="shared" si="117"/>
        <v/>
      </c>
      <c r="G955" s="42" t="str">
        <f t="shared" si="118"/>
        <v/>
      </c>
      <c r="H955" s="42" t="str">
        <f t="shared" si="119"/>
        <v/>
      </c>
      <c r="I955" s="42" t="str">
        <f t="shared" si="120"/>
        <v/>
      </c>
      <c r="J955" s="122" t="str">
        <f t="shared" si="121"/>
        <v/>
      </c>
      <c r="K955" s="42" t="str">
        <f t="shared" si="122"/>
        <v/>
      </c>
      <c r="L955" s="75" t="str">
        <f t="shared" si="123"/>
        <v/>
      </c>
    </row>
    <row r="956" spans="1:12">
      <c r="A956" s="89" t="str">
        <f t="shared" si="112"/>
        <v/>
      </c>
      <c r="B956" s="75" t="str">
        <f t="shared" si="113"/>
        <v/>
      </c>
      <c r="C956" s="76" t="str">
        <f t="shared" si="114"/>
        <v/>
      </c>
      <c r="D956" s="76" t="str">
        <f t="shared" si="115"/>
        <v/>
      </c>
      <c r="E956" s="76" t="str">
        <f t="shared" si="116"/>
        <v/>
      </c>
      <c r="F956" s="76" t="str">
        <f t="shared" si="117"/>
        <v/>
      </c>
      <c r="G956" s="42" t="str">
        <f t="shared" si="118"/>
        <v/>
      </c>
      <c r="H956" s="42" t="str">
        <f t="shared" si="119"/>
        <v/>
      </c>
      <c r="I956" s="42" t="str">
        <f t="shared" si="120"/>
        <v/>
      </c>
      <c r="J956" s="122" t="str">
        <f t="shared" si="121"/>
        <v/>
      </c>
      <c r="K956" s="42" t="str">
        <f t="shared" si="122"/>
        <v/>
      </c>
      <c r="L956" s="75" t="str">
        <f t="shared" si="123"/>
        <v/>
      </c>
    </row>
    <row r="957" spans="1:12">
      <c r="A957" s="89" t="str">
        <f t="shared" si="112"/>
        <v/>
      </c>
      <c r="B957" s="75" t="str">
        <f t="shared" si="113"/>
        <v/>
      </c>
      <c r="C957" s="76" t="str">
        <f t="shared" si="114"/>
        <v/>
      </c>
      <c r="D957" s="76" t="str">
        <f t="shared" si="115"/>
        <v/>
      </c>
      <c r="E957" s="76" t="str">
        <f t="shared" si="116"/>
        <v/>
      </c>
      <c r="F957" s="76" t="str">
        <f t="shared" si="117"/>
        <v/>
      </c>
      <c r="G957" s="42" t="str">
        <f t="shared" si="118"/>
        <v/>
      </c>
      <c r="H957" s="42" t="str">
        <f t="shared" si="119"/>
        <v/>
      </c>
      <c r="I957" s="42" t="str">
        <f t="shared" si="120"/>
        <v/>
      </c>
      <c r="J957" s="122" t="str">
        <f t="shared" si="121"/>
        <v/>
      </c>
      <c r="K957" s="42" t="str">
        <f t="shared" si="122"/>
        <v/>
      </c>
      <c r="L957" s="75" t="str">
        <f t="shared" si="123"/>
        <v/>
      </c>
    </row>
    <row r="958" spans="1:12">
      <c r="A958" s="89" t="str">
        <f t="shared" si="112"/>
        <v/>
      </c>
      <c r="B958" s="75" t="str">
        <f t="shared" si="113"/>
        <v/>
      </c>
      <c r="C958" s="76" t="str">
        <f t="shared" si="114"/>
        <v/>
      </c>
      <c r="D958" s="76" t="str">
        <f t="shared" si="115"/>
        <v/>
      </c>
      <c r="E958" s="76" t="str">
        <f t="shared" si="116"/>
        <v/>
      </c>
      <c r="F958" s="76" t="str">
        <f t="shared" si="117"/>
        <v/>
      </c>
      <c r="G958" s="42" t="str">
        <f t="shared" si="118"/>
        <v/>
      </c>
      <c r="H958" s="42" t="str">
        <f t="shared" si="119"/>
        <v/>
      </c>
      <c r="I958" s="42" t="str">
        <f t="shared" si="120"/>
        <v/>
      </c>
      <c r="J958" s="122" t="str">
        <f t="shared" si="121"/>
        <v/>
      </c>
      <c r="K958" s="42" t="str">
        <f t="shared" si="122"/>
        <v/>
      </c>
      <c r="L958" s="75" t="str">
        <f t="shared" si="123"/>
        <v/>
      </c>
    </row>
    <row r="959" spans="1:12">
      <c r="A959" s="89" t="str">
        <f t="shared" si="112"/>
        <v/>
      </c>
      <c r="B959" s="75" t="str">
        <f t="shared" si="113"/>
        <v/>
      </c>
      <c r="C959" s="76" t="str">
        <f t="shared" si="114"/>
        <v/>
      </c>
      <c r="D959" s="76" t="str">
        <f t="shared" si="115"/>
        <v/>
      </c>
      <c r="E959" s="76" t="str">
        <f t="shared" si="116"/>
        <v/>
      </c>
      <c r="F959" s="76" t="str">
        <f t="shared" si="117"/>
        <v/>
      </c>
      <c r="G959" s="42" t="str">
        <f t="shared" si="118"/>
        <v/>
      </c>
      <c r="H959" s="42" t="str">
        <f t="shared" si="119"/>
        <v/>
      </c>
      <c r="I959" s="42" t="str">
        <f t="shared" si="120"/>
        <v/>
      </c>
      <c r="J959" s="122" t="str">
        <f t="shared" si="121"/>
        <v/>
      </c>
      <c r="K959" s="42" t="str">
        <f t="shared" si="122"/>
        <v/>
      </c>
      <c r="L959" s="75" t="str">
        <f t="shared" si="123"/>
        <v/>
      </c>
    </row>
    <row r="960" spans="1:12">
      <c r="A960" s="89" t="str">
        <f t="shared" si="112"/>
        <v/>
      </c>
      <c r="B960" s="75" t="str">
        <f t="shared" si="113"/>
        <v/>
      </c>
      <c r="C960" s="76" t="str">
        <f t="shared" si="114"/>
        <v/>
      </c>
      <c r="D960" s="76" t="str">
        <f t="shared" si="115"/>
        <v/>
      </c>
      <c r="E960" s="76" t="str">
        <f t="shared" si="116"/>
        <v/>
      </c>
      <c r="F960" s="76" t="str">
        <f t="shared" si="117"/>
        <v/>
      </c>
      <c r="G960" s="42" t="str">
        <f t="shared" si="118"/>
        <v/>
      </c>
      <c r="H960" s="42" t="str">
        <f t="shared" si="119"/>
        <v/>
      </c>
      <c r="I960" s="42" t="str">
        <f t="shared" si="120"/>
        <v/>
      </c>
      <c r="J960" s="122" t="str">
        <f t="shared" si="121"/>
        <v/>
      </c>
      <c r="K960" s="42" t="str">
        <f t="shared" si="122"/>
        <v/>
      </c>
      <c r="L960" s="75" t="str">
        <f t="shared" si="123"/>
        <v/>
      </c>
    </row>
    <row r="961" spans="1:12">
      <c r="A961" s="89" t="str">
        <f t="shared" si="112"/>
        <v/>
      </c>
      <c r="B961" s="75" t="str">
        <f t="shared" si="113"/>
        <v/>
      </c>
      <c r="C961" s="76" t="str">
        <f t="shared" si="114"/>
        <v/>
      </c>
      <c r="D961" s="76" t="str">
        <f t="shared" si="115"/>
        <v/>
      </c>
      <c r="E961" s="76" t="str">
        <f t="shared" si="116"/>
        <v/>
      </c>
      <c r="F961" s="76" t="str">
        <f t="shared" si="117"/>
        <v/>
      </c>
      <c r="G961" s="42" t="str">
        <f t="shared" si="118"/>
        <v/>
      </c>
      <c r="H961" s="42" t="str">
        <f t="shared" si="119"/>
        <v/>
      </c>
      <c r="I961" s="42" t="str">
        <f t="shared" si="120"/>
        <v/>
      </c>
      <c r="J961" s="122" t="str">
        <f t="shared" si="121"/>
        <v/>
      </c>
      <c r="K961" s="42" t="str">
        <f t="shared" si="122"/>
        <v/>
      </c>
      <c r="L961" s="75" t="str">
        <f t="shared" si="123"/>
        <v/>
      </c>
    </row>
    <row r="962" spans="1:12">
      <c r="A962" s="89" t="str">
        <f t="shared" si="112"/>
        <v/>
      </c>
      <c r="B962" s="75" t="str">
        <f t="shared" si="113"/>
        <v/>
      </c>
      <c r="C962" s="76" t="str">
        <f t="shared" si="114"/>
        <v/>
      </c>
      <c r="D962" s="76" t="str">
        <f t="shared" si="115"/>
        <v/>
      </c>
      <c r="E962" s="76" t="str">
        <f t="shared" si="116"/>
        <v/>
      </c>
      <c r="F962" s="76" t="str">
        <f t="shared" si="117"/>
        <v/>
      </c>
      <c r="G962" s="42" t="str">
        <f t="shared" si="118"/>
        <v/>
      </c>
      <c r="H962" s="42" t="str">
        <f t="shared" si="119"/>
        <v/>
      </c>
      <c r="I962" s="42" t="str">
        <f t="shared" si="120"/>
        <v/>
      </c>
      <c r="J962" s="122" t="str">
        <f t="shared" si="121"/>
        <v/>
      </c>
      <c r="K962" s="42" t="str">
        <f t="shared" si="122"/>
        <v/>
      </c>
      <c r="L962" s="75" t="str">
        <f t="shared" si="123"/>
        <v/>
      </c>
    </row>
    <row r="963" spans="1:12">
      <c r="A963" s="89" t="str">
        <f t="shared" si="112"/>
        <v/>
      </c>
      <c r="B963" s="75" t="str">
        <f t="shared" si="113"/>
        <v/>
      </c>
      <c r="C963" s="76" t="str">
        <f t="shared" si="114"/>
        <v/>
      </c>
      <c r="D963" s="76" t="str">
        <f t="shared" si="115"/>
        <v/>
      </c>
      <c r="E963" s="76" t="str">
        <f t="shared" si="116"/>
        <v/>
      </c>
      <c r="F963" s="76" t="str">
        <f t="shared" si="117"/>
        <v/>
      </c>
      <c r="G963" s="42" t="str">
        <f t="shared" si="118"/>
        <v/>
      </c>
      <c r="H963" s="42" t="str">
        <f t="shared" si="119"/>
        <v/>
      </c>
      <c r="I963" s="42" t="str">
        <f t="shared" si="120"/>
        <v/>
      </c>
      <c r="J963" s="122" t="str">
        <f t="shared" si="121"/>
        <v/>
      </c>
      <c r="K963" s="42" t="str">
        <f t="shared" si="122"/>
        <v/>
      </c>
      <c r="L963" s="75" t="str">
        <f t="shared" si="123"/>
        <v/>
      </c>
    </row>
    <row r="964" spans="1:12">
      <c r="A964" s="89" t="str">
        <f t="shared" si="112"/>
        <v/>
      </c>
      <c r="B964" s="75" t="str">
        <f t="shared" si="113"/>
        <v/>
      </c>
      <c r="C964" s="76" t="str">
        <f t="shared" si="114"/>
        <v/>
      </c>
      <c r="D964" s="76" t="str">
        <f t="shared" si="115"/>
        <v/>
      </c>
      <c r="E964" s="76" t="str">
        <f t="shared" si="116"/>
        <v/>
      </c>
      <c r="F964" s="76" t="str">
        <f t="shared" si="117"/>
        <v/>
      </c>
      <c r="G964" s="42" t="str">
        <f t="shared" si="118"/>
        <v/>
      </c>
      <c r="H964" s="42" t="str">
        <f t="shared" si="119"/>
        <v/>
      </c>
      <c r="I964" s="42" t="str">
        <f t="shared" si="120"/>
        <v/>
      </c>
      <c r="J964" s="122" t="str">
        <f t="shared" si="121"/>
        <v/>
      </c>
      <c r="K964" s="42" t="str">
        <f t="shared" si="122"/>
        <v/>
      </c>
      <c r="L964" s="75" t="str">
        <f t="shared" si="123"/>
        <v/>
      </c>
    </row>
    <row r="965" spans="1:12">
      <c r="A965" s="89" t="str">
        <f t="shared" si="112"/>
        <v/>
      </c>
      <c r="B965" s="75" t="str">
        <f t="shared" si="113"/>
        <v/>
      </c>
      <c r="C965" s="76" t="str">
        <f t="shared" si="114"/>
        <v/>
      </c>
      <c r="D965" s="76" t="str">
        <f t="shared" si="115"/>
        <v/>
      </c>
      <c r="E965" s="76" t="str">
        <f t="shared" si="116"/>
        <v/>
      </c>
      <c r="F965" s="76" t="str">
        <f t="shared" si="117"/>
        <v/>
      </c>
      <c r="G965" s="42" t="str">
        <f t="shared" si="118"/>
        <v/>
      </c>
      <c r="H965" s="42" t="str">
        <f t="shared" si="119"/>
        <v/>
      </c>
      <c r="I965" s="42" t="str">
        <f t="shared" si="120"/>
        <v/>
      </c>
      <c r="J965" s="122" t="str">
        <f t="shared" si="121"/>
        <v/>
      </c>
      <c r="K965" s="42" t="str">
        <f t="shared" si="122"/>
        <v/>
      </c>
      <c r="L965" s="75" t="str">
        <f t="shared" si="123"/>
        <v/>
      </c>
    </row>
    <row r="966" spans="1:12">
      <c r="A966" s="89" t="str">
        <f t="shared" si="112"/>
        <v/>
      </c>
      <c r="B966" s="75" t="str">
        <f t="shared" si="113"/>
        <v/>
      </c>
      <c r="C966" s="76" t="str">
        <f t="shared" si="114"/>
        <v/>
      </c>
      <c r="D966" s="76" t="str">
        <f t="shared" si="115"/>
        <v/>
      </c>
      <c r="E966" s="76" t="str">
        <f t="shared" si="116"/>
        <v/>
      </c>
      <c r="F966" s="76" t="str">
        <f t="shared" si="117"/>
        <v/>
      </c>
      <c r="G966" s="42" t="str">
        <f t="shared" si="118"/>
        <v/>
      </c>
      <c r="H966" s="42" t="str">
        <f t="shared" si="119"/>
        <v/>
      </c>
      <c r="I966" s="42" t="str">
        <f t="shared" si="120"/>
        <v/>
      </c>
      <c r="J966" s="122" t="str">
        <f t="shared" si="121"/>
        <v/>
      </c>
      <c r="K966" s="42" t="str">
        <f t="shared" si="122"/>
        <v/>
      </c>
      <c r="L966" s="75" t="str">
        <f t="shared" si="123"/>
        <v/>
      </c>
    </row>
    <row r="967" spans="1:12">
      <c r="A967" s="89" t="str">
        <f t="shared" si="112"/>
        <v/>
      </c>
      <c r="B967" s="75" t="str">
        <f t="shared" si="113"/>
        <v/>
      </c>
      <c r="C967" s="76" t="str">
        <f t="shared" si="114"/>
        <v/>
      </c>
      <c r="D967" s="76" t="str">
        <f t="shared" si="115"/>
        <v/>
      </c>
      <c r="E967" s="76" t="str">
        <f t="shared" si="116"/>
        <v/>
      </c>
      <c r="F967" s="76" t="str">
        <f t="shared" si="117"/>
        <v/>
      </c>
      <c r="G967" s="42" t="str">
        <f t="shared" si="118"/>
        <v/>
      </c>
      <c r="H967" s="42" t="str">
        <f t="shared" si="119"/>
        <v/>
      </c>
      <c r="I967" s="42" t="str">
        <f t="shared" si="120"/>
        <v/>
      </c>
      <c r="J967" s="122" t="str">
        <f t="shared" si="121"/>
        <v/>
      </c>
      <c r="K967" s="42" t="str">
        <f t="shared" si="122"/>
        <v/>
      </c>
      <c r="L967" s="75" t="str">
        <f t="shared" si="123"/>
        <v/>
      </c>
    </row>
    <row r="968" spans="1:12">
      <c r="A968" s="89" t="str">
        <f t="shared" si="112"/>
        <v/>
      </c>
      <c r="B968" s="75" t="str">
        <f t="shared" si="113"/>
        <v/>
      </c>
      <c r="C968" s="76" t="str">
        <f t="shared" si="114"/>
        <v/>
      </c>
      <c r="D968" s="76" t="str">
        <f t="shared" si="115"/>
        <v/>
      </c>
      <c r="E968" s="76" t="str">
        <f t="shared" si="116"/>
        <v/>
      </c>
      <c r="F968" s="76" t="str">
        <f t="shared" si="117"/>
        <v/>
      </c>
      <c r="G968" s="42" t="str">
        <f t="shared" si="118"/>
        <v/>
      </c>
      <c r="H968" s="42" t="str">
        <f t="shared" si="119"/>
        <v/>
      </c>
      <c r="I968" s="42" t="str">
        <f t="shared" si="120"/>
        <v/>
      </c>
      <c r="J968" s="122" t="str">
        <f t="shared" si="121"/>
        <v/>
      </c>
      <c r="K968" s="42" t="str">
        <f t="shared" si="122"/>
        <v/>
      </c>
      <c r="L968" s="75" t="str">
        <f t="shared" si="123"/>
        <v/>
      </c>
    </row>
    <row r="969" spans="1:12">
      <c r="A969" s="89" t="str">
        <f t="shared" si="112"/>
        <v/>
      </c>
      <c r="B969" s="75" t="str">
        <f t="shared" si="113"/>
        <v/>
      </c>
      <c r="C969" s="76" t="str">
        <f t="shared" si="114"/>
        <v/>
      </c>
      <c r="D969" s="76" t="str">
        <f t="shared" si="115"/>
        <v/>
      </c>
      <c r="E969" s="76" t="str">
        <f t="shared" si="116"/>
        <v/>
      </c>
      <c r="F969" s="76" t="str">
        <f t="shared" si="117"/>
        <v/>
      </c>
      <c r="G969" s="42" t="str">
        <f t="shared" si="118"/>
        <v/>
      </c>
      <c r="H969" s="42" t="str">
        <f t="shared" si="119"/>
        <v/>
      </c>
      <c r="I969" s="42" t="str">
        <f t="shared" si="120"/>
        <v/>
      </c>
      <c r="J969" s="122" t="str">
        <f t="shared" si="121"/>
        <v/>
      </c>
      <c r="K969" s="42" t="str">
        <f t="shared" si="122"/>
        <v/>
      </c>
      <c r="L969" s="75" t="str">
        <f t="shared" si="123"/>
        <v/>
      </c>
    </row>
    <row r="970" spans="1:12">
      <c r="A970" s="89" t="str">
        <f t="shared" si="112"/>
        <v/>
      </c>
      <c r="B970" s="75" t="str">
        <f t="shared" si="113"/>
        <v/>
      </c>
      <c r="C970" s="76" t="str">
        <f t="shared" si="114"/>
        <v/>
      </c>
      <c r="D970" s="76" t="str">
        <f t="shared" si="115"/>
        <v/>
      </c>
      <c r="E970" s="76" t="str">
        <f t="shared" si="116"/>
        <v/>
      </c>
      <c r="F970" s="76" t="str">
        <f t="shared" si="117"/>
        <v/>
      </c>
      <c r="G970" s="42" t="str">
        <f t="shared" si="118"/>
        <v/>
      </c>
      <c r="H970" s="42" t="str">
        <f t="shared" si="119"/>
        <v/>
      </c>
      <c r="I970" s="42" t="str">
        <f t="shared" si="120"/>
        <v/>
      </c>
      <c r="J970" s="122" t="str">
        <f t="shared" si="121"/>
        <v/>
      </c>
      <c r="K970" s="42" t="str">
        <f t="shared" si="122"/>
        <v/>
      </c>
      <c r="L970" s="75" t="str">
        <f t="shared" si="123"/>
        <v/>
      </c>
    </row>
    <row r="971" spans="1:12">
      <c r="A971" s="89" t="str">
        <f t="shared" si="112"/>
        <v/>
      </c>
      <c r="B971" s="75" t="str">
        <f t="shared" si="113"/>
        <v/>
      </c>
      <c r="C971" s="76" t="str">
        <f t="shared" si="114"/>
        <v/>
      </c>
      <c r="D971" s="76" t="str">
        <f t="shared" si="115"/>
        <v/>
      </c>
      <c r="E971" s="76" t="str">
        <f t="shared" si="116"/>
        <v/>
      </c>
      <c r="F971" s="76" t="str">
        <f t="shared" si="117"/>
        <v/>
      </c>
      <c r="G971" s="42" t="str">
        <f t="shared" si="118"/>
        <v/>
      </c>
      <c r="H971" s="42" t="str">
        <f t="shared" si="119"/>
        <v/>
      </c>
      <c r="I971" s="42" t="str">
        <f t="shared" si="120"/>
        <v/>
      </c>
      <c r="J971" s="122" t="str">
        <f t="shared" si="121"/>
        <v/>
      </c>
      <c r="K971" s="42" t="str">
        <f t="shared" si="122"/>
        <v/>
      </c>
      <c r="L971" s="75" t="str">
        <f t="shared" si="123"/>
        <v/>
      </c>
    </row>
    <row r="972" spans="1:12">
      <c r="A972" s="89" t="str">
        <f t="shared" si="112"/>
        <v/>
      </c>
      <c r="B972" s="75" t="str">
        <f t="shared" si="113"/>
        <v/>
      </c>
      <c r="C972" s="76" t="str">
        <f t="shared" si="114"/>
        <v/>
      </c>
      <c r="D972" s="76" t="str">
        <f t="shared" si="115"/>
        <v/>
      </c>
      <c r="E972" s="76" t="str">
        <f t="shared" si="116"/>
        <v/>
      </c>
      <c r="F972" s="76" t="str">
        <f t="shared" si="117"/>
        <v/>
      </c>
      <c r="G972" s="42" t="str">
        <f t="shared" si="118"/>
        <v/>
      </c>
      <c r="H972" s="42" t="str">
        <f t="shared" si="119"/>
        <v/>
      </c>
      <c r="I972" s="42" t="str">
        <f t="shared" si="120"/>
        <v/>
      </c>
      <c r="J972" s="122" t="str">
        <f t="shared" si="121"/>
        <v/>
      </c>
      <c r="K972" s="42" t="str">
        <f t="shared" si="122"/>
        <v/>
      </c>
      <c r="L972" s="75" t="str">
        <f t="shared" si="123"/>
        <v/>
      </c>
    </row>
    <row r="973" spans="1:12">
      <c r="A973" s="89" t="str">
        <f t="shared" ref="A973:A1028" si="124">IF($B973="","",ROW()-908)</f>
        <v/>
      </c>
      <c r="B973" s="75" t="str">
        <f t="shared" ref="B973:B1028" si="125">IFERROR(INDEX($U$5:$U$124,ROW()-908),"")</f>
        <v/>
      </c>
      <c r="C973" s="76" t="str">
        <f t="shared" ref="C973:C1028" si="126">IF($B973="","",ROUND(SUMIFS($K$5:$K$904,$B$5:$B$904,$B973,$D$5:$D$904,"周转打冷"),2))</f>
        <v/>
      </c>
      <c r="D973" s="76" t="str">
        <f t="shared" ref="D973:D1028" si="127">IF($B973="","",ROUND(SUMIFS($K$5:$K$904,$B$5:$B$904,$B973,$D$5:$D$904,"仓储加工"),2))</f>
        <v/>
      </c>
      <c r="E973" s="76" t="str">
        <f t="shared" ref="E973:E1028" si="128">IF($B973="","",ROUND(SUMIFS($K$5:$K$904,$B$5:$B$904,$B973,$D$5:$D$904,"装卸费"),2))</f>
        <v/>
      </c>
      <c r="F973" s="76" t="str">
        <f t="shared" ref="F973:F1028" si="129">IF($B973="","",ROUND(N($C973)+N($D973)+N($E973),2))</f>
        <v/>
      </c>
      <c r="G973" s="42" t="str">
        <f t="shared" ref="G973:G1028" si="130">IF($B973="","",SUMIFS($E$5:$E$904,$B$5:$B$904,$B973,$D$5:$D$904,"周转打冷"))</f>
        <v/>
      </c>
      <c r="H973" s="42" t="str">
        <f t="shared" ref="H973:H1028" si="131">IF($B973="","",SUMIFS($E$5:$E$904,$B$5:$B$904,$B973,$D$5:$D$904,"仓储加工"))</f>
        <v/>
      </c>
      <c r="I973" s="42" t="str">
        <f t="shared" ref="I973:I1028" si="132">IF($B973="","",N($G973)+N($H973))</f>
        <v/>
      </c>
      <c r="J973" s="122" t="str">
        <f t="shared" ref="J973:J1028" si="133">IF($B973="","",ROUND(SUMIFS($G$5:$G$904,$B$5:$B$904,$B973,$D$5:$D$904,"周转打冷")+SUMIFS($G$5:$G$904,$B$5:$B$904,$B973,$D$5:$D$904,"仓储加工"),3))</f>
        <v/>
      </c>
      <c r="K973" s="42" t="str">
        <f t="shared" ref="K973:K1028" si="134">IF($B973="","",COUNTIFS($B$5:$B$904,$B973,$I$5:$I$904,"")+COUNTIFS($B$5:$B$904,$B973,$I$5:$I$904,0))</f>
        <v/>
      </c>
      <c r="L973" s="75" t="str">
        <f t="shared" ref="L973:L1028" si="135">IF($B973="","",IF(N($K973)&gt;0,"⚠ 有 "&amp;N($K973)&amp;" 行还没填单价","✔ 已全部定价"))</f>
        <v/>
      </c>
    </row>
    <row r="974" spans="1:12">
      <c r="A974" s="89" t="str">
        <f t="shared" si="124"/>
        <v/>
      </c>
      <c r="B974" s="75" t="str">
        <f t="shared" si="125"/>
        <v/>
      </c>
      <c r="C974" s="76" t="str">
        <f t="shared" si="126"/>
        <v/>
      </c>
      <c r="D974" s="76" t="str">
        <f t="shared" si="127"/>
        <v/>
      </c>
      <c r="E974" s="76" t="str">
        <f t="shared" si="128"/>
        <v/>
      </c>
      <c r="F974" s="76" t="str">
        <f t="shared" si="129"/>
        <v/>
      </c>
      <c r="G974" s="42" t="str">
        <f t="shared" si="130"/>
        <v/>
      </c>
      <c r="H974" s="42" t="str">
        <f t="shared" si="131"/>
        <v/>
      </c>
      <c r="I974" s="42" t="str">
        <f t="shared" si="132"/>
        <v/>
      </c>
      <c r="J974" s="122" t="str">
        <f t="shared" si="133"/>
        <v/>
      </c>
      <c r="K974" s="42" t="str">
        <f t="shared" si="134"/>
        <v/>
      </c>
      <c r="L974" s="75" t="str">
        <f t="shared" si="135"/>
        <v/>
      </c>
    </row>
    <row r="975" spans="1:12">
      <c r="A975" s="89" t="str">
        <f t="shared" si="124"/>
        <v/>
      </c>
      <c r="B975" s="75" t="str">
        <f t="shared" si="125"/>
        <v/>
      </c>
      <c r="C975" s="76" t="str">
        <f t="shared" si="126"/>
        <v/>
      </c>
      <c r="D975" s="76" t="str">
        <f t="shared" si="127"/>
        <v/>
      </c>
      <c r="E975" s="76" t="str">
        <f t="shared" si="128"/>
        <v/>
      </c>
      <c r="F975" s="76" t="str">
        <f t="shared" si="129"/>
        <v/>
      </c>
      <c r="G975" s="42" t="str">
        <f t="shared" si="130"/>
        <v/>
      </c>
      <c r="H975" s="42" t="str">
        <f t="shared" si="131"/>
        <v/>
      </c>
      <c r="I975" s="42" t="str">
        <f t="shared" si="132"/>
        <v/>
      </c>
      <c r="J975" s="122" t="str">
        <f t="shared" si="133"/>
        <v/>
      </c>
      <c r="K975" s="42" t="str">
        <f t="shared" si="134"/>
        <v/>
      </c>
      <c r="L975" s="75" t="str">
        <f t="shared" si="135"/>
        <v/>
      </c>
    </row>
    <row r="976" spans="1:12">
      <c r="A976" s="89" t="str">
        <f t="shared" si="124"/>
        <v/>
      </c>
      <c r="B976" s="75" t="str">
        <f t="shared" si="125"/>
        <v/>
      </c>
      <c r="C976" s="76" t="str">
        <f t="shared" si="126"/>
        <v/>
      </c>
      <c r="D976" s="76" t="str">
        <f t="shared" si="127"/>
        <v/>
      </c>
      <c r="E976" s="76" t="str">
        <f t="shared" si="128"/>
        <v/>
      </c>
      <c r="F976" s="76" t="str">
        <f t="shared" si="129"/>
        <v/>
      </c>
      <c r="G976" s="42" t="str">
        <f t="shared" si="130"/>
        <v/>
      </c>
      <c r="H976" s="42" t="str">
        <f t="shared" si="131"/>
        <v/>
      </c>
      <c r="I976" s="42" t="str">
        <f t="shared" si="132"/>
        <v/>
      </c>
      <c r="J976" s="122" t="str">
        <f t="shared" si="133"/>
        <v/>
      </c>
      <c r="K976" s="42" t="str">
        <f t="shared" si="134"/>
        <v/>
      </c>
      <c r="L976" s="75" t="str">
        <f t="shared" si="135"/>
        <v/>
      </c>
    </row>
    <row r="977" spans="1:12">
      <c r="A977" s="89" t="str">
        <f t="shared" si="124"/>
        <v/>
      </c>
      <c r="B977" s="75" t="str">
        <f t="shared" si="125"/>
        <v/>
      </c>
      <c r="C977" s="76" t="str">
        <f t="shared" si="126"/>
        <v/>
      </c>
      <c r="D977" s="76" t="str">
        <f t="shared" si="127"/>
        <v/>
      </c>
      <c r="E977" s="76" t="str">
        <f t="shared" si="128"/>
        <v/>
      </c>
      <c r="F977" s="76" t="str">
        <f t="shared" si="129"/>
        <v/>
      </c>
      <c r="G977" s="42" t="str">
        <f t="shared" si="130"/>
        <v/>
      </c>
      <c r="H977" s="42" t="str">
        <f t="shared" si="131"/>
        <v/>
      </c>
      <c r="I977" s="42" t="str">
        <f t="shared" si="132"/>
        <v/>
      </c>
      <c r="J977" s="122" t="str">
        <f t="shared" si="133"/>
        <v/>
      </c>
      <c r="K977" s="42" t="str">
        <f t="shared" si="134"/>
        <v/>
      </c>
      <c r="L977" s="75" t="str">
        <f t="shared" si="135"/>
        <v/>
      </c>
    </row>
    <row r="978" spans="1:12">
      <c r="A978" s="89" t="str">
        <f t="shared" si="124"/>
        <v/>
      </c>
      <c r="B978" s="75" t="str">
        <f t="shared" si="125"/>
        <v/>
      </c>
      <c r="C978" s="76" t="str">
        <f t="shared" si="126"/>
        <v/>
      </c>
      <c r="D978" s="76" t="str">
        <f t="shared" si="127"/>
        <v/>
      </c>
      <c r="E978" s="76" t="str">
        <f t="shared" si="128"/>
        <v/>
      </c>
      <c r="F978" s="76" t="str">
        <f t="shared" si="129"/>
        <v/>
      </c>
      <c r="G978" s="42" t="str">
        <f t="shared" si="130"/>
        <v/>
      </c>
      <c r="H978" s="42" t="str">
        <f t="shared" si="131"/>
        <v/>
      </c>
      <c r="I978" s="42" t="str">
        <f t="shared" si="132"/>
        <v/>
      </c>
      <c r="J978" s="122" t="str">
        <f t="shared" si="133"/>
        <v/>
      </c>
      <c r="K978" s="42" t="str">
        <f t="shared" si="134"/>
        <v/>
      </c>
      <c r="L978" s="75" t="str">
        <f t="shared" si="135"/>
        <v/>
      </c>
    </row>
    <row r="979" spans="1:12">
      <c r="A979" s="89" t="str">
        <f t="shared" si="124"/>
        <v/>
      </c>
      <c r="B979" s="75" t="str">
        <f t="shared" si="125"/>
        <v/>
      </c>
      <c r="C979" s="76" t="str">
        <f t="shared" si="126"/>
        <v/>
      </c>
      <c r="D979" s="76" t="str">
        <f t="shared" si="127"/>
        <v/>
      </c>
      <c r="E979" s="76" t="str">
        <f t="shared" si="128"/>
        <v/>
      </c>
      <c r="F979" s="76" t="str">
        <f t="shared" si="129"/>
        <v/>
      </c>
      <c r="G979" s="42" t="str">
        <f t="shared" si="130"/>
        <v/>
      </c>
      <c r="H979" s="42" t="str">
        <f t="shared" si="131"/>
        <v/>
      </c>
      <c r="I979" s="42" t="str">
        <f t="shared" si="132"/>
        <v/>
      </c>
      <c r="J979" s="122" t="str">
        <f t="shared" si="133"/>
        <v/>
      </c>
      <c r="K979" s="42" t="str">
        <f t="shared" si="134"/>
        <v/>
      </c>
      <c r="L979" s="75" t="str">
        <f t="shared" si="135"/>
        <v/>
      </c>
    </row>
    <row r="980" spans="1:12">
      <c r="A980" s="89" t="str">
        <f t="shared" si="124"/>
        <v/>
      </c>
      <c r="B980" s="75" t="str">
        <f t="shared" si="125"/>
        <v/>
      </c>
      <c r="C980" s="76" t="str">
        <f t="shared" si="126"/>
        <v/>
      </c>
      <c r="D980" s="76" t="str">
        <f t="shared" si="127"/>
        <v/>
      </c>
      <c r="E980" s="76" t="str">
        <f t="shared" si="128"/>
        <v/>
      </c>
      <c r="F980" s="76" t="str">
        <f t="shared" si="129"/>
        <v/>
      </c>
      <c r="G980" s="42" t="str">
        <f t="shared" si="130"/>
        <v/>
      </c>
      <c r="H980" s="42" t="str">
        <f t="shared" si="131"/>
        <v/>
      </c>
      <c r="I980" s="42" t="str">
        <f t="shared" si="132"/>
        <v/>
      </c>
      <c r="J980" s="122" t="str">
        <f t="shared" si="133"/>
        <v/>
      </c>
      <c r="K980" s="42" t="str">
        <f t="shared" si="134"/>
        <v/>
      </c>
      <c r="L980" s="75" t="str">
        <f t="shared" si="135"/>
        <v/>
      </c>
    </row>
    <row r="981" spans="1:12">
      <c r="A981" s="89" t="str">
        <f t="shared" si="124"/>
        <v/>
      </c>
      <c r="B981" s="75" t="str">
        <f t="shared" si="125"/>
        <v/>
      </c>
      <c r="C981" s="76" t="str">
        <f t="shared" si="126"/>
        <v/>
      </c>
      <c r="D981" s="76" t="str">
        <f t="shared" si="127"/>
        <v/>
      </c>
      <c r="E981" s="76" t="str">
        <f t="shared" si="128"/>
        <v/>
      </c>
      <c r="F981" s="76" t="str">
        <f t="shared" si="129"/>
        <v/>
      </c>
      <c r="G981" s="42" t="str">
        <f t="shared" si="130"/>
        <v/>
      </c>
      <c r="H981" s="42" t="str">
        <f t="shared" si="131"/>
        <v/>
      </c>
      <c r="I981" s="42" t="str">
        <f t="shared" si="132"/>
        <v/>
      </c>
      <c r="J981" s="122" t="str">
        <f t="shared" si="133"/>
        <v/>
      </c>
      <c r="K981" s="42" t="str">
        <f t="shared" si="134"/>
        <v/>
      </c>
      <c r="L981" s="75" t="str">
        <f t="shared" si="135"/>
        <v/>
      </c>
    </row>
    <row r="982" spans="1:12">
      <c r="A982" s="89" t="str">
        <f t="shared" si="124"/>
        <v/>
      </c>
      <c r="B982" s="75" t="str">
        <f t="shared" si="125"/>
        <v/>
      </c>
      <c r="C982" s="76" t="str">
        <f t="shared" si="126"/>
        <v/>
      </c>
      <c r="D982" s="76" t="str">
        <f t="shared" si="127"/>
        <v/>
      </c>
      <c r="E982" s="76" t="str">
        <f t="shared" si="128"/>
        <v/>
      </c>
      <c r="F982" s="76" t="str">
        <f t="shared" si="129"/>
        <v/>
      </c>
      <c r="G982" s="42" t="str">
        <f t="shared" si="130"/>
        <v/>
      </c>
      <c r="H982" s="42" t="str">
        <f t="shared" si="131"/>
        <v/>
      </c>
      <c r="I982" s="42" t="str">
        <f t="shared" si="132"/>
        <v/>
      </c>
      <c r="J982" s="122" t="str">
        <f t="shared" si="133"/>
        <v/>
      </c>
      <c r="K982" s="42" t="str">
        <f t="shared" si="134"/>
        <v/>
      </c>
      <c r="L982" s="75" t="str">
        <f t="shared" si="135"/>
        <v/>
      </c>
    </row>
    <row r="983" spans="1:12">
      <c r="A983" s="89" t="str">
        <f t="shared" si="124"/>
        <v/>
      </c>
      <c r="B983" s="75" t="str">
        <f t="shared" si="125"/>
        <v/>
      </c>
      <c r="C983" s="76" t="str">
        <f t="shared" si="126"/>
        <v/>
      </c>
      <c r="D983" s="76" t="str">
        <f t="shared" si="127"/>
        <v/>
      </c>
      <c r="E983" s="76" t="str">
        <f t="shared" si="128"/>
        <v/>
      </c>
      <c r="F983" s="76" t="str">
        <f t="shared" si="129"/>
        <v/>
      </c>
      <c r="G983" s="42" t="str">
        <f t="shared" si="130"/>
        <v/>
      </c>
      <c r="H983" s="42" t="str">
        <f t="shared" si="131"/>
        <v/>
      </c>
      <c r="I983" s="42" t="str">
        <f t="shared" si="132"/>
        <v/>
      </c>
      <c r="J983" s="122" t="str">
        <f t="shared" si="133"/>
        <v/>
      </c>
      <c r="K983" s="42" t="str">
        <f t="shared" si="134"/>
        <v/>
      </c>
      <c r="L983" s="75" t="str">
        <f t="shared" si="135"/>
        <v/>
      </c>
    </row>
    <row r="984" spans="1:12">
      <c r="A984" s="89" t="str">
        <f t="shared" si="124"/>
        <v/>
      </c>
      <c r="B984" s="75" t="str">
        <f t="shared" si="125"/>
        <v/>
      </c>
      <c r="C984" s="76" t="str">
        <f t="shared" si="126"/>
        <v/>
      </c>
      <c r="D984" s="76" t="str">
        <f t="shared" si="127"/>
        <v/>
      </c>
      <c r="E984" s="76" t="str">
        <f t="shared" si="128"/>
        <v/>
      </c>
      <c r="F984" s="76" t="str">
        <f t="shared" si="129"/>
        <v/>
      </c>
      <c r="G984" s="42" t="str">
        <f t="shared" si="130"/>
        <v/>
      </c>
      <c r="H984" s="42" t="str">
        <f t="shared" si="131"/>
        <v/>
      </c>
      <c r="I984" s="42" t="str">
        <f t="shared" si="132"/>
        <v/>
      </c>
      <c r="J984" s="122" t="str">
        <f t="shared" si="133"/>
        <v/>
      </c>
      <c r="K984" s="42" t="str">
        <f t="shared" si="134"/>
        <v/>
      </c>
      <c r="L984" s="75" t="str">
        <f t="shared" si="135"/>
        <v/>
      </c>
    </row>
    <row r="985" spans="1:12">
      <c r="A985" s="89" t="str">
        <f t="shared" si="124"/>
        <v/>
      </c>
      <c r="B985" s="75" t="str">
        <f t="shared" si="125"/>
        <v/>
      </c>
      <c r="C985" s="76" t="str">
        <f t="shared" si="126"/>
        <v/>
      </c>
      <c r="D985" s="76" t="str">
        <f t="shared" si="127"/>
        <v/>
      </c>
      <c r="E985" s="76" t="str">
        <f t="shared" si="128"/>
        <v/>
      </c>
      <c r="F985" s="76" t="str">
        <f t="shared" si="129"/>
        <v/>
      </c>
      <c r="G985" s="42" t="str">
        <f t="shared" si="130"/>
        <v/>
      </c>
      <c r="H985" s="42" t="str">
        <f t="shared" si="131"/>
        <v/>
      </c>
      <c r="I985" s="42" t="str">
        <f t="shared" si="132"/>
        <v/>
      </c>
      <c r="J985" s="122" t="str">
        <f t="shared" si="133"/>
        <v/>
      </c>
      <c r="K985" s="42" t="str">
        <f t="shared" si="134"/>
        <v/>
      </c>
      <c r="L985" s="75" t="str">
        <f t="shared" si="135"/>
        <v/>
      </c>
    </row>
    <row r="986" spans="1:12">
      <c r="A986" s="89" t="str">
        <f t="shared" si="124"/>
        <v/>
      </c>
      <c r="B986" s="75" t="str">
        <f t="shared" si="125"/>
        <v/>
      </c>
      <c r="C986" s="76" t="str">
        <f t="shared" si="126"/>
        <v/>
      </c>
      <c r="D986" s="76" t="str">
        <f t="shared" si="127"/>
        <v/>
      </c>
      <c r="E986" s="76" t="str">
        <f t="shared" si="128"/>
        <v/>
      </c>
      <c r="F986" s="76" t="str">
        <f t="shared" si="129"/>
        <v/>
      </c>
      <c r="G986" s="42" t="str">
        <f t="shared" si="130"/>
        <v/>
      </c>
      <c r="H986" s="42" t="str">
        <f t="shared" si="131"/>
        <v/>
      </c>
      <c r="I986" s="42" t="str">
        <f t="shared" si="132"/>
        <v/>
      </c>
      <c r="J986" s="122" t="str">
        <f t="shared" si="133"/>
        <v/>
      </c>
      <c r="K986" s="42" t="str">
        <f t="shared" si="134"/>
        <v/>
      </c>
      <c r="L986" s="75" t="str">
        <f t="shared" si="135"/>
        <v/>
      </c>
    </row>
    <row r="987" spans="1:12">
      <c r="A987" s="89" t="str">
        <f t="shared" si="124"/>
        <v/>
      </c>
      <c r="B987" s="75" t="str">
        <f t="shared" si="125"/>
        <v/>
      </c>
      <c r="C987" s="76" t="str">
        <f t="shared" si="126"/>
        <v/>
      </c>
      <c r="D987" s="76" t="str">
        <f t="shared" si="127"/>
        <v/>
      </c>
      <c r="E987" s="76" t="str">
        <f t="shared" si="128"/>
        <v/>
      </c>
      <c r="F987" s="76" t="str">
        <f t="shared" si="129"/>
        <v/>
      </c>
      <c r="G987" s="42" t="str">
        <f t="shared" si="130"/>
        <v/>
      </c>
      <c r="H987" s="42" t="str">
        <f t="shared" si="131"/>
        <v/>
      </c>
      <c r="I987" s="42" t="str">
        <f t="shared" si="132"/>
        <v/>
      </c>
      <c r="J987" s="122" t="str">
        <f t="shared" si="133"/>
        <v/>
      </c>
      <c r="K987" s="42" t="str">
        <f t="shared" si="134"/>
        <v/>
      </c>
      <c r="L987" s="75" t="str">
        <f t="shared" si="135"/>
        <v/>
      </c>
    </row>
    <row r="988" spans="1:12">
      <c r="A988" s="89" t="str">
        <f t="shared" si="124"/>
        <v/>
      </c>
      <c r="B988" s="75" t="str">
        <f t="shared" si="125"/>
        <v/>
      </c>
      <c r="C988" s="76" t="str">
        <f t="shared" si="126"/>
        <v/>
      </c>
      <c r="D988" s="76" t="str">
        <f t="shared" si="127"/>
        <v/>
      </c>
      <c r="E988" s="76" t="str">
        <f t="shared" si="128"/>
        <v/>
      </c>
      <c r="F988" s="76" t="str">
        <f t="shared" si="129"/>
        <v/>
      </c>
      <c r="G988" s="42" t="str">
        <f t="shared" si="130"/>
        <v/>
      </c>
      <c r="H988" s="42" t="str">
        <f t="shared" si="131"/>
        <v/>
      </c>
      <c r="I988" s="42" t="str">
        <f t="shared" si="132"/>
        <v/>
      </c>
      <c r="J988" s="122" t="str">
        <f t="shared" si="133"/>
        <v/>
      </c>
      <c r="K988" s="42" t="str">
        <f t="shared" si="134"/>
        <v/>
      </c>
      <c r="L988" s="75" t="str">
        <f t="shared" si="135"/>
        <v/>
      </c>
    </row>
    <row r="989" spans="1:12">
      <c r="A989" s="89" t="str">
        <f t="shared" si="124"/>
        <v/>
      </c>
      <c r="B989" s="75" t="str">
        <f t="shared" si="125"/>
        <v/>
      </c>
      <c r="C989" s="76" t="str">
        <f t="shared" si="126"/>
        <v/>
      </c>
      <c r="D989" s="76" t="str">
        <f t="shared" si="127"/>
        <v/>
      </c>
      <c r="E989" s="76" t="str">
        <f t="shared" si="128"/>
        <v/>
      </c>
      <c r="F989" s="76" t="str">
        <f t="shared" si="129"/>
        <v/>
      </c>
      <c r="G989" s="42" t="str">
        <f t="shared" si="130"/>
        <v/>
      </c>
      <c r="H989" s="42" t="str">
        <f t="shared" si="131"/>
        <v/>
      </c>
      <c r="I989" s="42" t="str">
        <f t="shared" si="132"/>
        <v/>
      </c>
      <c r="J989" s="122" t="str">
        <f t="shared" si="133"/>
        <v/>
      </c>
      <c r="K989" s="42" t="str">
        <f t="shared" si="134"/>
        <v/>
      </c>
      <c r="L989" s="75" t="str">
        <f t="shared" si="135"/>
        <v/>
      </c>
    </row>
    <row r="990" spans="1:12">
      <c r="A990" s="89" t="str">
        <f t="shared" si="124"/>
        <v/>
      </c>
      <c r="B990" s="75" t="str">
        <f t="shared" si="125"/>
        <v/>
      </c>
      <c r="C990" s="76" t="str">
        <f t="shared" si="126"/>
        <v/>
      </c>
      <c r="D990" s="76" t="str">
        <f t="shared" si="127"/>
        <v/>
      </c>
      <c r="E990" s="76" t="str">
        <f t="shared" si="128"/>
        <v/>
      </c>
      <c r="F990" s="76" t="str">
        <f t="shared" si="129"/>
        <v/>
      </c>
      <c r="G990" s="42" t="str">
        <f t="shared" si="130"/>
        <v/>
      </c>
      <c r="H990" s="42" t="str">
        <f t="shared" si="131"/>
        <v/>
      </c>
      <c r="I990" s="42" t="str">
        <f t="shared" si="132"/>
        <v/>
      </c>
      <c r="J990" s="122" t="str">
        <f t="shared" si="133"/>
        <v/>
      </c>
      <c r="K990" s="42" t="str">
        <f t="shared" si="134"/>
        <v/>
      </c>
      <c r="L990" s="75" t="str">
        <f t="shared" si="135"/>
        <v/>
      </c>
    </row>
    <row r="991" spans="1:12">
      <c r="A991" s="89" t="str">
        <f t="shared" si="124"/>
        <v/>
      </c>
      <c r="B991" s="75" t="str">
        <f t="shared" si="125"/>
        <v/>
      </c>
      <c r="C991" s="76" t="str">
        <f t="shared" si="126"/>
        <v/>
      </c>
      <c r="D991" s="76" t="str">
        <f t="shared" si="127"/>
        <v/>
      </c>
      <c r="E991" s="76" t="str">
        <f t="shared" si="128"/>
        <v/>
      </c>
      <c r="F991" s="76" t="str">
        <f t="shared" si="129"/>
        <v/>
      </c>
      <c r="G991" s="42" t="str">
        <f t="shared" si="130"/>
        <v/>
      </c>
      <c r="H991" s="42" t="str">
        <f t="shared" si="131"/>
        <v/>
      </c>
      <c r="I991" s="42" t="str">
        <f t="shared" si="132"/>
        <v/>
      </c>
      <c r="J991" s="122" t="str">
        <f t="shared" si="133"/>
        <v/>
      </c>
      <c r="K991" s="42" t="str">
        <f t="shared" si="134"/>
        <v/>
      </c>
      <c r="L991" s="75" t="str">
        <f t="shared" si="135"/>
        <v/>
      </c>
    </row>
    <row r="992" spans="1:12">
      <c r="A992" s="89" t="str">
        <f t="shared" si="124"/>
        <v/>
      </c>
      <c r="B992" s="75" t="str">
        <f t="shared" si="125"/>
        <v/>
      </c>
      <c r="C992" s="76" t="str">
        <f t="shared" si="126"/>
        <v/>
      </c>
      <c r="D992" s="76" t="str">
        <f t="shared" si="127"/>
        <v/>
      </c>
      <c r="E992" s="76" t="str">
        <f t="shared" si="128"/>
        <v/>
      </c>
      <c r="F992" s="76" t="str">
        <f t="shared" si="129"/>
        <v/>
      </c>
      <c r="G992" s="42" t="str">
        <f t="shared" si="130"/>
        <v/>
      </c>
      <c r="H992" s="42" t="str">
        <f t="shared" si="131"/>
        <v/>
      </c>
      <c r="I992" s="42" t="str">
        <f t="shared" si="132"/>
        <v/>
      </c>
      <c r="J992" s="122" t="str">
        <f t="shared" si="133"/>
        <v/>
      </c>
      <c r="K992" s="42" t="str">
        <f t="shared" si="134"/>
        <v/>
      </c>
      <c r="L992" s="75" t="str">
        <f t="shared" si="135"/>
        <v/>
      </c>
    </row>
    <row r="993" spans="1:12">
      <c r="A993" s="89" t="str">
        <f t="shared" si="124"/>
        <v/>
      </c>
      <c r="B993" s="75" t="str">
        <f t="shared" si="125"/>
        <v/>
      </c>
      <c r="C993" s="76" t="str">
        <f t="shared" si="126"/>
        <v/>
      </c>
      <c r="D993" s="76" t="str">
        <f t="shared" si="127"/>
        <v/>
      </c>
      <c r="E993" s="76" t="str">
        <f t="shared" si="128"/>
        <v/>
      </c>
      <c r="F993" s="76" t="str">
        <f t="shared" si="129"/>
        <v/>
      </c>
      <c r="G993" s="42" t="str">
        <f t="shared" si="130"/>
        <v/>
      </c>
      <c r="H993" s="42" t="str">
        <f t="shared" si="131"/>
        <v/>
      </c>
      <c r="I993" s="42" t="str">
        <f t="shared" si="132"/>
        <v/>
      </c>
      <c r="J993" s="122" t="str">
        <f t="shared" si="133"/>
        <v/>
      </c>
      <c r="K993" s="42" t="str">
        <f t="shared" si="134"/>
        <v/>
      </c>
      <c r="L993" s="75" t="str">
        <f t="shared" si="135"/>
        <v/>
      </c>
    </row>
    <row r="994" spans="1:12">
      <c r="A994" s="89" t="str">
        <f t="shared" si="124"/>
        <v/>
      </c>
      <c r="B994" s="75" t="str">
        <f t="shared" si="125"/>
        <v/>
      </c>
      <c r="C994" s="76" t="str">
        <f t="shared" si="126"/>
        <v/>
      </c>
      <c r="D994" s="76" t="str">
        <f t="shared" si="127"/>
        <v/>
      </c>
      <c r="E994" s="76" t="str">
        <f t="shared" si="128"/>
        <v/>
      </c>
      <c r="F994" s="76" t="str">
        <f t="shared" si="129"/>
        <v/>
      </c>
      <c r="G994" s="42" t="str">
        <f t="shared" si="130"/>
        <v/>
      </c>
      <c r="H994" s="42" t="str">
        <f t="shared" si="131"/>
        <v/>
      </c>
      <c r="I994" s="42" t="str">
        <f t="shared" si="132"/>
        <v/>
      </c>
      <c r="J994" s="122" t="str">
        <f t="shared" si="133"/>
        <v/>
      </c>
      <c r="K994" s="42" t="str">
        <f t="shared" si="134"/>
        <v/>
      </c>
      <c r="L994" s="75" t="str">
        <f t="shared" si="135"/>
        <v/>
      </c>
    </row>
    <row r="995" spans="1:12">
      <c r="A995" s="89" t="str">
        <f t="shared" si="124"/>
        <v/>
      </c>
      <c r="B995" s="75" t="str">
        <f t="shared" si="125"/>
        <v/>
      </c>
      <c r="C995" s="76" t="str">
        <f t="shared" si="126"/>
        <v/>
      </c>
      <c r="D995" s="76" t="str">
        <f t="shared" si="127"/>
        <v/>
      </c>
      <c r="E995" s="76" t="str">
        <f t="shared" si="128"/>
        <v/>
      </c>
      <c r="F995" s="76" t="str">
        <f t="shared" si="129"/>
        <v/>
      </c>
      <c r="G995" s="42" t="str">
        <f t="shared" si="130"/>
        <v/>
      </c>
      <c r="H995" s="42" t="str">
        <f t="shared" si="131"/>
        <v/>
      </c>
      <c r="I995" s="42" t="str">
        <f t="shared" si="132"/>
        <v/>
      </c>
      <c r="J995" s="122" t="str">
        <f t="shared" si="133"/>
        <v/>
      </c>
      <c r="K995" s="42" t="str">
        <f t="shared" si="134"/>
        <v/>
      </c>
      <c r="L995" s="75" t="str">
        <f t="shared" si="135"/>
        <v/>
      </c>
    </row>
    <row r="996" spans="1:12">
      <c r="A996" s="89" t="str">
        <f t="shared" si="124"/>
        <v/>
      </c>
      <c r="B996" s="75" t="str">
        <f t="shared" si="125"/>
        <v/>
      </c>
      <c r="C996" s="76" t="str">
        <f t="shared" si="126"/>
        <v/>
      </c>
      <c r="D996" s="76" t="str">
        <f t="shared" si="127"/>
        <v/>
      </c>
      <c r="E996" s="76" t="str">
        <f t="shared" si="128"/>
        <v/>
      </c>
      <c r="F996" s="76" t="str">
        <f t="shared" si="129"/>
        <v/>
      </c>
      <c r="G996" s="42" t="str">
        <f t="shared" si="130"/>
        <v/>
      </c>
      <c r="H996" s="42" t="str">
        <f t="shared" si="131"/>
        <v/>
      </c>
      <c r="I996" s="42" t="str">
        <f t="shared" si="132"/>
        <v/>
      </c>
      <c r="J996" s="122" t="str">
        <f t="shared" si="133"/>
        <v/>
      </c>
      <c r="K996" s="42" t="str">
        <f t="shared" si="134"/>
        <v/>
      </c>
      <c r="L996" s="75" t="str">
        <f t="shared" si="135"/>
        <v/>
      </c>
    </row>
    <row r="997" spans="1:12">
      <c r="A997" s="89" t="str">
        <f t="shared" si="124"/>
        <v/>
      </c>
      <c r="B997" s="75" t="str">
        <f t="shared" si="125"/>
        <v/>
      </c>
      <c r="C997" s="76" t="str">
        <f t="shared" si="126"/>
        <v/>
      </c>
      <c r="D997" s="76" t="str">
        <f t="shared" si="127"/>
        <v/>
      </c>
      <c r="E997" s="76" t="str">
        <f t="shared" si="128"/>
        <v/>
      </c>
      <c r="F997" s="76" t="str">
        <f t="shared" si="129"/>
        <v/>
      </c>
      <c r="G997" s="42" t="str">
        <f t="shared" si="130"/>
        <v/>
      </c>
      <c r="H997" s="42" t="str">
        <f t="shared" si="131"/>
        <v/>
      </c>
      <c r="I997" s="42" t="str">
        <f t="shared" si="132"/>
        <v/>
      </c>
      <c r="J997" s="122" t="str">
        <f t="shared" si="133"/>
        <v/>
      </c>
      <c r="K997" s="42" t="str">
        <f t="shared" si="134"/>
        <v/>
      </c>
      <c r="L997" s="75" t="str">
        <f t="shared" si="135"/>
        <v/>
      </c>
    </row>
    <row r="998" spans="1:12">
      <c r="A998" s="89" t="str">
        <f t="shared" si="124"/>
        <v/>
      </c>
      <c r="B998" s="75" t="str">
        <f t="shared" si="125"/>
        <v/>
      </c>
      <c r="C998" s="76" t="str">
        <f t="shared" si="126"/>
        <v/>
      </c>
      <c r="D998" s="76" t="str">
        <f t="shared" si="127"/>
        <v/>
      </c>
      <c r="E998" s="76" t="str">
        <f t="shared" si="128"/>
        <v/>
      </c>
      <c r="F998" s="76" t="str">
        <f t="shared" si="129"/>
        <v/>
      </c>
      <c r="G998" s="42" t="str">
        <f t="shared" si="130"/>
        <v/>
      </c>
      <c r="H998" s="42" t="str">
        <f t="shared" si="131"/>
        <v/>
      </c>
      <c r="I998" s="42" t="str">
        <f t="shared" si="132"/>
        <v/>
      </c>
      <c r="J998" s="122" t="str">
        <f t="shared" si="133"/>
        <v/>
      </c>
      <c r="K998" s="42" t="str">
        <f t="shared" si="134"/>
        <v/>
      </c>
      <c r="L998" s="75" t="str">
        <f t="shared" si="135"/>
        <v/>
      </c>
    </row>
    <row r="999" spans="1:12">
      <c r="A999" s="89" t="str">
        <f t="shared" si="124"/>
        <v/>
      </c>
      <c r="B999" s="75" t="str">
        <f t="shared" si="125"/>
        <v/>
      </c>
      <c r="C999" s="76" t="str">
        <f t="shared" si="126"/>
        <v/>
      </c>
      <c r="D999" s="76" t="str">
        <f t="shared" si="127"/>
        <v/>
      </c>
      <c r="E999" s="76" t="str">
        <f t="shared" si="128"/>
        <v/>
      </c>
      <c r="F999" s="76" t="str">
        <f t="shared" si="129"/>
        <v/>
      </c>
      <c r="G999" s="42" t="str">
        <f t="shared" si="130"/>
        <v/>
      </c>
      <c r="H999" s="42" t="str">
        <f t="shared" si="131"/>
        <v/>
      </c>
      <c r="I999" s="42" t="str">
        <f t="shared" si="132"/>
        <v/>
      </c>
      <c r="J999" s="122" t="str">
        <f t="shared" si="133"/>
        <v/>
      </c>
      <c r="K999" s="42" t="str">
        <f t="shared" si="134"/>
        <v/>
      </c>
      <c r="L999" s="75" t="str">
        <f t="shared" si="135"/>
        <v/>
      </c>
    </row>
    <row r="1000" spans="1:12">
      <c r="A1000" s="89" t="str">
        <f t="shared" si="124"/>
        <v/>
      </c>
      <c r="B1000" s="75" t="str">
        <f t="shared" si="125"/>
        <v/>
      </c>
      <c r="C1000" s="76" t="str">
        <f t="shared" si="126"/>
        <v/>
      </c>
      <c r="D1000" s="76" t="str">
        <f t="shared" si="127"/>
        <v/>
      </c>
      <c r="E1000" s="76" t="str">
        <f t="shared" si="128"/>
        <v/>
      </c>
      <c r="F1000" s="76" t="str">
        <f t="shared" si="129"/>
        <v/>
      </c>
      <c r="G1000" s="42" t="str">
        <f t="shared" si="130"/>
        <v/>
      </c>
      <c r="H1000" s="42" t="str">
        <f t="shared" si="131"/>
        <v/>
      </c>
      <c r="I1000" s="42" t="str">
        <f t="shared" si="132"/>
        <v/>
      </c>
      <c r="J1000" s="122" t="str">
        <f t="shared" si="133"/>
        <v/>
      </c>
      <c r="K1000" s="42" t="str">
        <f t="shared" si="134"/>
        <v/>
      </c>
      <c r="L1000" s="75" t="str">
        <f t="shared" si="135"/>
        <v/>
      </c>
    </row>
    <row r="1001" spans="1:12">
      <c r="A1001" s="89" t="str">
        <f t="shared" si="124"/>
        <v/>
      </c>
      <c r="B1001" s="75" t="str">
        <f t="shared" si="125"/>
        <v/>
      </c>
      <c r="C1001" s="76" t="str">
        <f t="shared" si="126"/>
        <v/>
      </c>
      <c r="D1001" s="76" t="str">
        <f t="shared" si="127"/>
        <v/>
      </c>
      <c r="E1001" s="76" t="str">
        <f t="shared" si="128"/>
        <v/>
      </c>
      <c r="F1001" s="76" t="str">
        <f t="shared" si="129"/>
        <v/>
      </c>
      <c r="G1001" s="42" t="str">
        <f t="shared" si="130"/>
        <v/>
      </c>
      <c r="H1001" s="42" t="str">
        <f t="shared" si="131"/>
        <v/>
      </c>
      <c r="I1001" s="42" t="str">
        <f t="shared" si="132"/>
        <v/>
      </c>
      <c r="J1001" s="122" t="str">
        <f t="shared" si="133"/>
        <v/>
      </c>
      <c r="K1001" s="42" t="str">
        <f t="shared" si="134"/>
        <v/>
      </c>
      <c r="L1001" s="75" t="str">
        <f t="shared" si="135"/>
        <v/>
      </c>
    </row>
    <row r="1002" spans="1:12">
      <c r="A1002" s="89" t="str">
        <f t="shared" si="124"/>
        <v/>
      </c>
      <c r="B1002" s="75" t="str">
        <f t="shared" si="125"/>
        <v/>
      </c>
      <c r="C1002" s="76" t="str">
        <f t="shared" si="126"/>
        <v/>
      </c>
      <c r="D1002" s="76" t="str">
        <f t="shared" si="127"/>
        <v/>
      </c>
      <c r="E1002" s="76" t="str">
        <f t="shared" si="128"/>
        <v/>
      </c>
      <c r="F1002" s="76" t="str">
        <f t="shared" si="129"/>
        <v/>
      </c>
      <c r="G1002" s="42" t="str">
        <f t="shared" si="130"/>
        <v/>
      </c>
      <c r="H1002" s="42" t="str">
        <f t="shared" si="131"/>
        <v/>
      </c>
      <c r="I1002" s="42" t="str">
        <f t="shared" si="132"/>
        <v/>
      </c>
      <c r="J1002" s="122" t="str">
        <f t="shared" si="133"/>
        <v/>
      </c>
      <c r="K1002" s="42" t="str">
        <f t="shared" si="134"/>
        <v/>
      </c>
      <c r="L1002" s="75" t="str">
        <f t="shared" si="135"/>
        <v/>
      </c>
    </row>
    <row r="1003" spans="1:12">
      <c r="A1003" s="89" t="str">
        <f t="shared" si="124"/>
        <v/>
      </c>
      <c r="B1003" s="75" t="str">
        <f t="shared" si="125"/>
        <v/>
      </c>
      <c r="C1003" s="76" t="str">
        <f t="shared" si="126"/>
        <v/>
      </c>
      <c r="D1003" s="76" t="str">
        <f t="shared" si="127"/>
        <v/>
      </c>
      <c r="E1003" s="76" t="str">
        <f t="shared" si="128"/>
        <v/>
      </c>
      <c r="F1003" s="76" t="str">
        <f t="shared" si="129"/>
        <v/>
      </c>
      <c r="G1003" s="42" t="str">
        <f t="shared" si="130"/>
        <v/>
      </c>
      <c r="H1003" s="42" t="str">
        <f t="shared" si="131"/>
        <v/>
      </c>
      <c r="I1003" s="42" t="str">
        <f t="shared" si="132"/>
        <v/>
      </c>
      <c r="J1003" s="122" t="str">
        <f t="shared" si="133"/>
        <v/>
      </c>
      <c r="K1003" s="42" t="str">
        <f t="shared" si="134"/>
        <v/>
      </c>
      <c r="L1003" s="75" t="str">
        <f t="shared" si="135"/>
        <v/>
      </c>
    </row>
    <row r="1004" spans="1:12">
      <c r="A1004" s="89" t="str">
        <f t="shared" si="124"/>
        <v/>
      </c>
      <c r="B1004" s="75" t="str">
        <f t="shared" si="125"/>
        <v/>
      </c>
      <c r="C1004" s="76" t="str">
        <f t="shared" si="126"/>
        <v/>
      </c>
      <c r="D1004" s="76" t="str">
        <f t="shared" si="127"/>
        <v/>
      </c>
      <c r="E1004" s="76" t="str">
        <f t="shared" si="128"/>
        <v/>
      </c>
      <c r="F1004" s="76" t="str">
        <f t="shared" si="129"/>
        <v/>
      </c>
      <c r="G1004" s="42" t="str">
        <f t="shared" si="130"/>
        <v/>
      </c>
      <c r="H1004" s="42" t="str">
        <f t="shared" si="131"/>
        <v/>
      </c>
      <c r="I1004" s="42" t="str">
        <f t="shared" si="132"/>
        <v/>
      </c>
      <c r="J1004" s="122" t="str">
        <f t="shared" si="133"/>
        <v/>
      </c>
      <c r="K1004" s="42" t="str">
        <f t="shared" si="134"/>
        <v/>
      </c>
      <c r="L1004" s="75" t="str">
        <f t="shared" si="135"/>
        <v/>
      </c>
    </row>
    <row r="1005" spans="1:12">
      <c r="A1005" s="89" t="str">
        <f t="shared" si="124"/>
        <v/>
      </c>
      <c r="B1005" s="75" t="str">
        <f t="shared" si="125"/>
        <v/>
      </c>
      <c r="C1005" s="76" t="str">
        <f t="shared" si="126"/>
        <v/>
      </c>
      <c r="D1005" s="76" t="str">
        <f t="shared" si="127"/>
        <v/>
      </c>
      <c r="E1005" s="76" t="str">
        <f t="shared" si="128"/>
        <v/>
      </c>
      <c r="F1005" s="76" t="str">
        <f t="shared" si="129"/>
        <v/>
      </c>
      <c r="G1005" s="42" t="str">
        <f t="shared" si="130"/>
        <v/>
      </c>
      <c r="H1005" s="42" t="str">
        <f t="shared" si="131"/>
        <v/>
      </c>
      <c r="I1005" s="42" t="str">
        <f t="shared" si="132"/>
        <v/>
      </c>
      <c r="J1005" s="122" t="str">
        <f t="shared" si="133"/>
        <v/>
      </c>
      <c r="K1005" s="42" t="str">
        <f t="shared" si="134"/>
        <v/>
      </c>
      <c r="L1005" s="75" t="str">
        <f t="shared" si="135"/>
        <v/>
      </c>
    </row>
    <row r="1006" spans="1:12">
      <c r="A1006" s="89" t="str">
        <f t="shared" si="124"/>
        <v/>
      </c>
      <c r="B1006" s="75" t="str">
        <f t="shared" si="125"/>
        <v/>
      </c>
      <c r="C1006" s="76" t="str">
        <f t="shared" si="126"/>
        <v/>
      </c>
      <c r="D1006" s="76" t="str">
        <f t="shared" si="127"/>
        <v/>
      </c>
      <c r="E1006" s="76" t="str">
        <f t="shared" si="128"/>
        <v/>
      </c>
      <c r="F1006" s="76" t="str">
        <f t="shared" si="129"/>
        <v/>
      </c>
      <c r="G1006" s="42" t="str">
        <f t="shared" si="130"/>
        <v/>
      </c>
      <c r="H1006" s="42" t="str">
        <f t="shared" si="131"/>
        <v/>
      </c>
      <c r="I1006" s="42" t="str">
        <f t="shared" si="132"/>
        <v/>
      </c>
      <c r="J1006" s="122" t="str">
        <f t="shared" si="133"/>
        <v/>
      </c>
      <c r="K1006" s="42" t="str">
        <f t="shared" si="134"/>
        <v/>
      </c>
      <c r="L1006" s="75" t="str">
        <f t="shared" si="135"/>
        <v/>
      </c>
    </row>
    <row r="1007" spans="1:12">
      <c r="A1007" s="89" t="str">
        <f t="shared" si="124"/>
        <v/>
      </c>
      <c r="B1007" s="75" t="str">
        <f t="shared" si="125"/>
        <v/>
      </c>
      <c r="C1007" s="76" t="str">
        <f t="shared" si="126"/>
        <v/>
      </c>
      <c r="D1007" s="76" t="str">
        <f t="shared" si="127"/>
        <v/>
      </c>
      <c r="E1007" s="76" t="str">
        <f t="shared" si="128"/>
        <v/>
      </c>
      <c r="F1007" s="76" t="str">
        <f t="shared" si="129"/>
        <v/>
      </c>
      <c r="G1007" s="42" t="str">
        <f t="shared" si="130"/>
        <v/>
      </c>
      <c r="H1007" s="42" t="str">
        <f t="shared" si="131"/>
        <v/>
      </c>
      <c r="I1007" s="42" t="str">
        <f t="shared" si="132"/>
        <v/>
      </c>
      <c r="J1007" s="122" t="str">
        <f t="shared" si="133"/>
        <v/>
      </c>
      <c r="K1007" s="42" t="str">
        <f t="shared" si="134"/>
        <v/>
      </c>
      <c r="L1007" s="75" t="str">
        <f t="shared" si="135"/>
        <v/>
      </c>
    </row>
    <row r="1008" spans="1:12">
      <c r="A1008" s="89" t="str">
        <f t="shared" si="124"/>
        <v/>
      </c>
      <c r="B1008" s="75" t="str">
        <f t="shared" si="125"/>
        <v/>
      </c>
      <c r="C1008" s="76" t="str">
        <f t="shared" si="126"/>
        <v/>
      </c>
      <c r="D1008" s="76" t="str">
        <f t="shared" si="127"/>
        <v/>
      </c>
      <c r="E1008" s="76" t="str">
        <f t="shared" si="128"/>
        <v/>
      </c>
      <c r="F1008" s="76" t="str">
        <f t="shared" si="129"/>
        <v/>
      </c>
      <c r="G1008" s="42" t="str">
        <f t="shared" si="130"/>
        <v/>
      </c>
      <c r="H1008" s="42" t="str">
        <f t="shared" si="131"/>
        <v/>
      </c>
      <c r="I1008" s="42" t="str">
        <f t="shared" si="132"/>
        <v/>
      </c>
      <c r="J1008" s="122" t="str">
        <f t="shared" si="133"/>
        <v/>
      </c>
      <c r="K1008" s="42" t="str">
        <f t="shared" si="134"/>
        <v/>
      </c>
      <c r="L1008" s="75" t="str">
        <f t="shared" si="135"/>
        <v/>
      </c>
    </row>
    <row r="1009" spans="1:12">
      <c r="A1009" s="89" t="str">
        <f t="shared" si="124"/>
        <v/>
      </c>
      <c r="B1009" s="75" t="str">
        <f t="shared" si="125"/>
        <v/>
      </c>
      <c r="C1009" s="76" t="str">
        <f t="shared" si="126"/>
        <v/>
      </c>
      <c r="D1009" s="76" t="str">
        <f t="shared" si="127"/>
        <v/>
      </c>
      <c r="E1009" s="76" t="str">
        <f t="shared" si="128"/>
        <v/>
      </c>
      <c r="F1009" s="76" t="str">
        <f t="shared" si="129"/>
        <v/>
      </c>
      <c r="G1009" s="42" t="str">
        <f t="shared" si="130"/>
        <v/>
      </c>
      <c r="H1009" s="42" t="str">
        <f t="shared" si="131"/>
        <v/>
      </c>
      <c r="I1009" s="42" t="str">
        <f t="shared" si="132"/>
        <v/>
      </c>
      <c r="J1009" s="122" t="str">
        <f t="shared" si="133"/>
        <v/>
      </c>
      <c r="K1009" s="42" t="str">
        <f t="shared" si="134"/>
        <v/>
      </c>
      <c r="L1009" s="75" t="str">
        <f t="shared" si="135"/>
        <v/>
      </c>
    </row>
    <row r="1010" spans="1:12">
      <c r="A1010" s="89" t="str">
        <f t="shared" si="124"/>
        <v/>
      </c>
      <c r="B1010" s="75" t="str">
        <f t="shared" si="125"/>
        <v/>
      </c>
      <c r="C1010" s="76" t="str">
        <f t="shared" si="126"/>
        <v/>
      </c>
      <c r="D1010" s="76" t="str">
        <f t="shared" si="127"/>
        <v/>
      </c>
      <c r="E1010" s="76" t="str">
        <f t="shared" si="128"/>
        <v/>
      </c>
      <c r="F1010" s="76" t="str">
        <f t="shared" si="129"/>
        <v/>
      </c>
      <c r="G1010" s="42" t="str">
        <f t="shared" si="130"/>
        <v/>
      </c>
      <c r="H1010" s="42" t="str">
        <f t="shared" si="131"/>
        <v/>
      </c>
      <c r="I1010" s="42" t="str">
        <f t="shared" si="132"/>
        <v/>
      </c>
      <c r="J1010" s="122" t="str">
        <f t="shared" si="133"/>
        <v/>
      </c>
      <c r="K1010" s="42" t="str">
        <f t="shared" si="134"/>
        <v/>
      </c>
      <c r="L1010" s="75" t="str">
        <f t="shared" si="135"/>
        <v/>
      </c>
    </row>
    <row r="1011" spans="1:12">
      <c r="A1011" s="89" t="str">
        <f t="shared" si="124"/>
        <v/>
      </c>
      <c r="B1011" s="75" t="str">
        <f t="shared" si="125"/>
        <v/>
      </c>
      <c r="C1011" s="76" t="str">
        <f t="shared" si="126"/>
        <v/>
      </c>
      <c r="D1011" s="76" t="str">
        <f t="shared" si="127"/>
        <v/>
      </c>
      <c r="E1011" s="76" t="str">
        <f t="shared" si="128"/>
        <v/>
      </c>
      <c r="F1011" s="76" t="str">
        <f t="shared" si="129"/>
        <v/>
      </c>
      <c r="G1011" s="42" t="str">
        <f t="shared" si="130"/>
        <v/>
      </c>
      <c r="H1011" s="42" t="str">
        <f t="shared" si="131"/>
        <v/>
      </c>
      <c r="I1011" s="42" t="str">
        <f t="shared" si="132"/>
        <v/>
      </c>
      <c r="J1011" s="122" t="str">
        <f t="shared" si="133"/>
        <v/>
      </c>
      <c r="K1011" s="42" t="str">
        <f t="shared" si="134"/>
        <v/>
      </c>
      <c r="L1011" s="75" t="str">
        <f t="shared" si="135"/>
        <v/>
      </c>
    </row>
    <row r="1012" spans="1:12">
      <c r="A1012" s="89" t="str">
        <f t="shared" si="124"/>
        <v/>
      </c>
      <c r="B1012" s="75" t="str">
        <f t="shared" si="125"/>
        <v/>
      </c>
      <c r="C1012" s="76" t="str">
        <f t="shared" si="126"/>
        <v/>
      </c>
      <c r="D1012" s="76" t="str">
        <f t="shared" si="127"/>
        <v/>
      </c>
      <c r="E1012" s="76" t="str">
        <f t="shared" si="128"/>
        <v/>
      </c>
      <c r="F1012" s="76" t="str">
        <f t="shared" si="129"/>
        <v/>
      </c>
      <c r="G1012" s="42" t="str">
        <f t="shared" si="130"/>
        <v/>
      </c>
      <c r="H1012" s="42" t="str">
        <f t="shared" si="131"/>
        <v/>
      </c>
      <c r="I1012" s="42" t="str">
        <f t="shared" si="132"/>
        <v/>
      </c>
      <c r="J1012" s="122" t="str">
        <f t="shared" si="133"/>
        <v/>
      </c>
      <c r="K1012" s="42" t="str">
        <f t="shared" si="134"/>
        <v/>
      </c>
      <c r="L1012" s="75" t="str">
        <f t="shared" si="135"/>
        <v/>
      </c>
    </row>
    <row r="1013" spans="1:12">
      <c r="A1013" s="89" t="str">
        <f t="shared" si="124"/>
        <v/>
      </c>
      <c r="B1013" s="75" t="str">
        <f t="shared" si="125"/>
        <v/>
      </c>
      <c r="C1013" s="76" t="str">
        <f t="shared" si="126"/>
        <v/>
      </c>
      <c r="D1013" s="76" t="str">
        <f t="shared" si="127"/>
        <v/>
      </c>
      <c r="E1013" s="76" t="str">
        <f t="shared" si="128"/>
        <v/>
      </c>
      <c r="F1013" s="76" t="str">
        <f t="shared" si="129"/>
        <v/>
      </c>
      <c r="G1013" s="42" t="str">
        <f t="shared" si="130"/>
        <v/>
      </c>
      <c r="H1013" s="42" t="str">
        <f t="shared" si="131"/>
        <v/>
      </c>
      <c r="I1013" s="42" t="str">
        <f t="shared" si="132"/>
        <v/>
      </c>
      <c r="J1013" s="122" t="str">
        <f t="shared" si="133"/>
        <v/>
      </c>
      <c r="K1013" s="42" t="str">
        <f t="shared" si="134"/>
        <v/>
      </c>
      <c r="L1013" s="75" t="str">
        <f t="shared" si="135"/>
        <v/>
      </c>
    </row>
    <row r="1014" spans="1:12">
      <c r="A1014" s="89" t="str">
        <f t="shared" si="124"/>
        <v/>
      </c>
      <c r="B1014" s="75" t="str">
        <f t="shared" si="125"/>
        <v/>
      </c>
      <c r="C1014" s="76" t="str">
        <f t="shared" si="126"/>
        <v/>
      </c>
      <c r="D1014" s="76" t="str">
        <f t="shared" si="127"/>
        <v/>
      </c>
      <c r="E1014" s="76" t="str">
        <f t="shared" si="128"/>
        <v/>
      </c>
      <c r="F1014" s="76" t="str">
        <f t="shared" si="129"/>
        <v/>
      </c>
      <c r="G1014" s="42" t="str">
        <f t="shared" si="130"/>
        <v/>
      </c>
      <c r="H1014" s="42" t="str">
        <f t="shared" si="131"/>
        <v/>
      </c>
      <c r="I1014" s="42" t="str">
        <f t="shared" si="132"/>
        <v/>
      </c>
      <c r="J1014" s="122" t="str">
        <f t="shared" si="133"/>
        <v/>
      </c>
      <c r="K1014" s="42" t="str">
        <f t="shared" si="134"/>
        <v/>
      </c>
      <c r="L1014" s="75" t="str">
        <f t="shared" si="135"/>
        <v/>
      </c>
    </row>
    <row r="1015" spans="1:12">
      <c r="A1015" s="89" t="str">
        <f t="shared" si="124"/>
        <v/>
      </c>
      <c r="B1015" s="75" t="str">
        <f t="shared" si="125"/>
        <v/>
      </c>
      <c r="C1015" s="76" t="str">
        <f t="shared" si="126"/>
        <v/>
      </c>
      <c r="D1015" s="76" t="str">
        <f t="shared" si="127"/>
        <v/>
      </c>
      <c r="E1015" s="76" t="str">
        <f t="shared" si="128"/>
        <v/>
      </c>
      <c r="F1015" s="76" t="str">
        <f t="shared" si="129"/>
        <v/>
      </c>
      <c r="G1015" s="42" t="str">
        <f t="shared" si="130"/>
        <v/>
      </c>
      <c r="H1015" s="42" t="str">
        <f t="shared" si="131"/>
        <v/>
      </c>
      <c r="I1015" s="42" t="str">
        <f t="shared" si="132"/>
        <v/>
      </c>
      <c r="J1015" s="122" t="str">
        <f t="shared" si="133"/>
        <v/>
      </c>
      <c r="K1015" s="42" t="str">
        <f t="shared" si="134"/>
        <v/>
      </c>
      <c r="L1015" s="75" t="str">
        <f t="shared" si="135"/>
        <v/>
      </c>
    </row>
    <row r="1016" spans="1:12">
      <c r="A1016" s="89" t="str">
        <f t="shared" si="124"/>
        <v/>
      </c>
      <c r="B1016" s="75" t="str">
        <f t="shared" si="125"/>
        <v/>
      </c>
      <c r="C1016" s="76" t="str">
        <f t="shared" si="126"/>
        <v/>
      </c>
      <c r="D1016" s="76" t="str">
        <f t="shared" si="127"/>
        <v/>
      </c>
      <c r="E1016" s="76" t="str">
        <f t="shared" si="128"/>
        <v/>
      </c>
      <c r="F1016" s="76" t="str">
        <f t="shared" si="129"/>
        <v/>
      </c>
      <c r="G1016" s="42" t="str">
        <f t="shared" si="130"/>
        <v/>
      </c>
      <c r="H1016" s="42" t="str">
        <f t="shared" si="131"/>
        <v/>
      </c>
      <c r="I1016" s="42" t="str">
        <f t="shared" si="132"/>
        <v/>
      </c>
      <c r="J1016" s="122" t="str">
        <f t="shared" si="133"/>
        <v/>
      </c>
      <c r="K1016" s="42" t="str">
        <f t="shared" si="134"/>
        <v/>
      </c>
      <c r="L1016" s="75" t="str">
        <f t="shared" si="135"/>
        <v/>
      </c>
    </row>
    <row r="1017" spans="1:12">
      <c r="A1017" s="89" t="str">
        <f t="shared" si="124"/>
        <v/>
      </c>
      <c r="B1017" s="75" t="str">
        <f t="shared" si="125"/>
        <v/>
      </c>
      <c r="C1017" s="76" t="str">
        <f t="shared" si="126"/>
        <v/>
      </c>
      <c r="D1017" s="76" t="str">
        <f t="shared" si="127"/>
        <v/>
      </c>
      <c r="E1017" s="76" t="str">
        <f t="shared" si="128"/>
        <v/>
      </c>
      <c r="F1017" s="76" t="str">
        <f t="shared" si="129"/>
        <v/>
      </c>
      <c r="G1017" s="42" t="str">
        <f t="shared" si="130"/>
        <v/>
      </c>
      <c r="H1017" s="42" t="str">
        <f t="shared" si="131"/>
        <v/>
      </c>
      <c r="I1017" s="42" t="str">
        <f t="shared" si="132"/>
        <v/>
      </c>
      <c r="J1017" s="122" t="str">
        <f t="shared" si="133"/>
        <v/>
      </c>
      <c r="K1017" s="42" t="str">
        <f t="shared" si="134"/>
        <v/>
      </c>
      <c r="L1017" s="75" t="str">
        <f t="shared" si="135"/>
        <v/>
      </c>
    </row>
    <row r="1018" spans="1:12">
      <c r="A1018" s="89" t="str">
        <f t="shared" si="124"/>
        <v/>
      </c>
      <c r="B1018" s="75" t="str">
        <f t="shared" si="125"/>
        <v/>
      </c>
      <c r="C1018" s="76" t="str">
        <f t="shared" si="126"/>
        <v/>
      </c>
      <c r="D1018" s="76" t="str">
        <f t="shared" si="127"/>
        <v/>
      </c>
      <c r="E1018" s="76" t="str">
        <f t="shared" si="128"/>
        <v/>
      </c>
      <c r="F1018" s="76" t="str">
        <f t="shared" si="129"/>
        <v/>
      </c>
      <c r="G1018" s="42" t="str">
        <f t="shared" si="130"/>
        <v/>
      </c>
      <c r="H1018" s="42" t="str">
        <f t="shared" si="131"/>
        <v/>
      </c>
      <c r="I1018" s="42" t="str">
        <f t="shared" si="132"/>
        <v/>
      </c>
      <c r="J1018" s="122" t="str">
        <f t="shared" si="133"/>
        <v/>
      </c>
      <c r="K1018" s="42" t="str">
        <f t="shared" si="134"/>
        <v/>
      </c>
      <c r="L1018" s="75" t="str">
        <f t="shared" si="135"/>
        <v/>
      </c>
    </row>
    <row r="1019" spans="1:12">
      <c r="A1019" s="89" t="str">
        <f t="shared" si="124"/>
        <v/>
      </c>
      <c r="B1019" s="75" t="str">
        <f t="shared" si="125"/>
        <v/>
      </c>
      <c r="C1019" s="76" t="str">
        <f t="shared" si="126"/>
        <v/>
      </c>
      <c r="D1019" s="76" t="str">
        <f t="shared" si="127"/>
        <v/>
      </c>
      <c r="E1019" s="76" t="str">
        <f t="shared" si="128"/>
        <v/>
      </c>
      <c r="F1019" s="76" t="str">
        <f t="shared" si="129"/>
        <v/>
      </c>
      <c r="G1019" s="42" t="str">
        <f t="shared" si="130"/>
        <v/>
      </c>
      <c r="H1019" s="42" t="str">
        <f t="shared" si="131"/>
        <v/>
      </c>
      <c r="I1019" s="42" t="str">
        <f t="shared" si="132"/>
        <v/>
      </c>
      <c r="J1019" s="122" t="str">
        <f t="shared" si="133"/>
        <v/>
      </c>
      <c r="K1019" s="42" t="str">
        <f t="shared" si="134"/>
        <v/>
      </c>
      <c r="L1019" s="75" t="str">
        <f t="shared" si="135"/>
        <v/>
      </c>
    </row>
    <row r="1020" spans="1:12">
      <c r="A1020" s="89" t="str">
        <f t="shared" si="124"/>
        <v/>
      </c>
      <c r="B1020" s="75" t="str">
        <f t="shared" si="125"/>
        <v/>
      </c>
      <c r="C1020" s="76" t="str">
        <f t="shared" si="126"/>
        <v/>
      </c>
      <c r="D1020" s="76" t="str">
        <f t="shared" si="127"/>
        <v/>
      </c>
      <c r="E1020" s="76" t="str">
        <f t="shared" si="128"/>
        <v/>
      </c>
      <c r="F1020" s="76" t="str">
        <f t="shared" si="129"/>
        <v/>
      </c>
      <c r="G1020" s="42" t="str">
        <f t="shared" si="130"/>
        <v/>
      </c>
      <c r="H1020" s="42" t="str">
        <f t="shared" si="131"/>
        <v/>
      </c>
      <c r="I1020" s="42" t="str">
        <f t="shared" si="132"/>
        <v/>
      </c>
      <c r="J1020" s="122" t="str">
        <f t="shared" si="133"/>
        <v/>
      </c>
      <c r="K1020" s="42" t="str">
        <f t="shared" si="134"/>
        <v/>
      </c>
      <c r="L1020" s="75" t="str">
        <f t="shared" si="135"/>
        <v/>
      </c>
    </row>
    <row r="1021" spans="1:12">
      <c r="A1021" s="89" t="str">
        <f t="shared" si="124"/>
        <v/>
      </c>
      <c r="B1021" s="75" t="str">
        <f t="shared" si="125"/>
        <v/>
      </c>
      <c r="C1021" s="76" t="str">
        <f t="shared" si="126"/>
        <v/>
      </c>
      <c r="D1021" s="76" t="str">
        <f t="shared" si="127"/>
        <v/>
      </c>
      <c r="E1021" s="76" t="str">
        <f t="shared" si="128"/>
        <v/>
      </c>
      <c r="F1021" s="76" t="str">
        <f t="shared" si="129"/>
        <v/>
      </c>
      <c r="G1021" s="42" t="str">
        <f t="shared" si="130"/>
        <v/>
      </c>
      <c r="H1021" s="42" t="str">
        <f t="shared" si="131"/>
        <v/>
      </c>
      <c r="I1021" s="42" t="str">
        <f t="shared" si="132"/>
        <v/>
      </c>
      <c r="J1021" s="122" t="str">
        <f t="shared" si="133"/>
        <v/>
      </c>
      <c r="K1021" s="42" t="str">
        <f t="shared" si="134"/>
        <v/>
      </c>
      <c r="L1021" s="75" t="str">
        <f t="shared" si="135"/>
        <v/>
      </c>
    </row>
    <row r="1022" spans="1:12">
      <c r="A1022" s="89" t="str">
        <f t="shared" si="124"/>
        <v/>
      </c>
      <c r="B1022" s="75" t="str">
        <f t="shared" si="125"/>
        <v/>
      </c>
      <c r="C1022" s="76" t="str">
        <f t="shared" si="126"/>
        <v/>
      </c>
      <c r="D1022" s="76" t="str">
        <f t="shared" si="127"/>
        <v/>
      </c>
      <c r="E1022" s="76" t="str">
        <f t="shared" si="128"/>
        <v/>
      </c>
      <c r="F1022" s="76" t="str">
        <f t="shared" si="129"/>
        <v/>
      </c>
      <c r="G1022" s="42" t="str">
        <f t="shared" si="130"/>
        <v/>
      </c>
      <c r="H1022" s="42" t="str">
        <f t="shared" si="131"/>
        <v/>
      </c>
      <c r="I1022" s="42" t="str">
        <f t="shared" si="132"/>
        <v/>
      </c>
      <c r="J1022" s="122" t="str">
        <f t="shared" si="133"/>
        <v/>
      </c>
      <c r="K1022" s="42" t="str">
        <f t="shared" si="134"/>
        <v/>
      </c>
      <c r="L1022" s="75" t="str">
        <f t="shared" si="135"/>
        <v/>
      </c>
    </row>
    <row r="1023" spans="1:12">
      <c r="A1023" s="89" t="str">
        <f t="shared" si="124"/>
        <v/>
      </c>
      <c r="B1023" s="75" t="str">
        <f t="shared" si="125"/>
        <v/>
      </c>
      <c r="C1023" s="76" t="str">
        <f t="shared" si="126"/>
        <v/>
      </c>
      <c r="D1023" s="76" t="str">
        <f t="shared" si="127"/>
        <v/>
      </c>
      <c r="E1023" s="76" t="str">
        <f t="shared" si="128"/>
        <v/>
      </c>
      <c r="F1023" s="76" t="str">
        <f t="shared" si="129"/>
        <v/>
      </c>
      <c r="G1023" s="42" t="str">
        <f t="shared" si="130"/>
        <v/>
      </c>
      <c r="H1023" s="42" t="str">
        <f t="shared" si="131"/>
        <v/>
      </c>
      <c r="I1023" s="42" t="str">
        <f t="shared" si="132"/>
        <v/>
      </c>
      <c r="J1023" s="122" t="str">
        <f t="shared" si="133"/>
        <v/>
      </c>
      <c r="K1023" s="42" t="str">
        <f t="shared" si="134"/>
        <v/>
      </c>
      <c r="L1023" s="75" t="str">
        <f t="shared" si="135"/>
        <v/>
      </c>
    </row>
    <row r="1024" spans="1:12">
      <c r="A1024" s="89" t="str">
        <f t="shared" si="124"/>
        <v/>
      </c>
      <c r="B1024" s="75" t="str">
        <f t="shared" si="125"/>
        <v/>
      </c>
      <c r="C1024" s="76" t="str">
        <f t="shared" si="126"/>
        <v/>
      </c>
      <c r="D1024" s="76" t="str">
        <f t="shared" si="127"/>
        <v/>
      </c>
      <c r="E1024" s="76" t="str">
        <f t="shared" si="128"/>
        <v/>
      </c>
      <c r="F1024" s="76" t="str">
        <f t="shared" si="129"/>
        <v/>
      </c>
      <c r="G1024" s="42" t="str">
        <f t="shared" si="130"/>
        <v/>
      </c>
      <c r="H1024" s="42" t="str">
        <f t="shared" si="131"/>
        <v/>
      </c>
      <c r="I1024" s="42" t="str">
        <f t="shared" si="132"/>
        <v/>
      </c>
      <c r="J1024" s="122" t="str">
        <f t="shared" si="133"/>
        <v/>
      </c>
      <c r="K1024" s="42" t="str">
        <f t="shared" si="134"/>
        <v/>
      </c>
      <c r="L1024" s="75" t="str">
        <f t="shared" si="135"/>
        <v/>
      </c>
    </row>
    <row r="1025" spans="1:12">
      <c r="A1025" s="89" t="str">
        <f t="shared" si="124"/>
        <v/>
      </c>
      <c r="B1025" s="75" t="str">
        <f t="shared" si="125"/>
        <v/>
      </c>
      <c r="C1025" s="76" t="str">
        <f t="shared" si="126"/>
        <v/>
      </c>
      <c r="D1025" s="76" t="str">
        <f t="shared" si="127"/>
        <v/>
      </c>
      <c r="E1025" s="76" t="str">
        <f t="shared" si="128"/>
        <v/>
      </c>
      <c r="F1025" s="76" t="str">
        <f t="shared" si="129"/>
        <v/>
      </c>
      <c r="G1025" s="42" t="str">
        <f t="shared" si="130"/>
        <v/>
      </c>
      <c r="H1025" s="42" t="str">
        <f t="shared" si="131"/>
        <v/>
      </c>
      <c r="I1025" s="42" t="str">
        <f t="shared" si="132"/>
        <v/>
      </c>
      <c r="J1025" s="122" t="str">
        <f t="shared" si="133"/>
        <v/>
      </c>
      <c r="K1025" s="42" t="str">
        <f t="shared" si="134"/>
        <v/>
      </c>
      <c r="L1025" s="75" t="str">
        <f t="shared" si="135"/>
        <v/>
      </c>
    </row>
    <row r="1026" spans="1:12">
      <c r="A1026" s="89" t="str">
        <f t="shared" si="124"/>
        <v/>
      </c>
      <c r="B1026" s="75" t="str">
        <f t="shared" si="125"/>
        <v/>
      </c>
      <c r="C1026" s="76" t="str">
        <f t="shared" si="126"/>
        <v/>
      </c>
      <c r="D1026" s="76" t="str">
        <f t="shared" si="127"/>
        <v/>
      </c>
      <c r="E1026" s="76" t="str">
        <f t="shared" si="128"/>
        <v/>
      </c>
      <c r="F1026" s="76" t="str">
        <f t="shared" si="129"/>
        <v/>
      </c>
      <c r="G1026" s="42" t="str">
        <f t="shared" si="130"/>
        <v/>
      </c>
      <c r="H1026" s="42" t="str">
        <f t="shared" si="131"/>
        <v/>
      </c>
      <c r="I1026" s="42" t="str">
        <f t="shared" si="132"/>
        <v/>
      </c>
      <c r="J1026" s="122" t="str">
        <f t="shared" si="133"/>
        <v/>
      </c>
      <c r="K1026" s="42" t="str">
        <f t="shared" si="134"/>
        <v/>
      </c>
      <c r="L1026" s="75" t="str">
        <f t="shared" si="135"/>
        <v/>
      </c>
    </row>
    <row r="1027" spans="1:12">
      <c r="A1027" s="89" t="str">
        <f t="shared" si="124"/>
        <v/>
      </c>
      <c r="B1027" s="75" t="str">
        <f t="shared" si="125"/>
        <v/>
      </c>
      <c r="C1027" s="76" t="str">
        <f t="shared" si="126"/>
        <v/>
      </c>
      <c r="D1027" s="76" t="str">
        <f t="shared" si="127"/>
        <v/>
      </c>
      <c r="E1027" s="76" t="str">
        <f t="shared" si="128"/>
        <v/>
      </c>
      <c r="F1027" s="76" t="str">
        <f t="shared" si="129"/>
        <v/>
      </c>
      <c r="G1027" s="42" t="str">
        <f t="shared" si="130"/>
        <v/>
      </c>
      <c r="H1027" s="42" t="str">
        <f t="shared" si="131"/>
        <v/>
      </c>
      <c r="I1027" s="42" t="str">
        <f t="shared" si="132"/>
        <v/>
      </c>
      <c r="J1027" s="122" t="str">
        <f t="shared" si="133"/>
        <v/>
      </c>
      <c r="K1027" s="42" t="str">
        <f t="shared" si="134"/>
        <v/>
      </c>
      <c r="L1027" s="75" t="str">
        <f t="shared" si="135"/>
        <v/>
      </c>
    </row>
    <row r="1028" spans="1:12">
      <c r="A1028" s="89" t="str">
        <f t="shared" si="124"/>
        <v/>
      </c>
      <c r="B1028" s="75" t="str">
        <f t="shared" si="125"/>
        <v/>
      </c>
      <c r="C1028" s="76" t="str">
        <f t="shared" si="126"/>
        <v/>
      </c>
      <c r="D1028" s="76" t="str">
        <f t="shared" si="127"/>
        <v/>
      </c>
      <c r="E1028" s="76" t="str">
        <f t="shared" si="128"/>
        <v/>
      </c>
      <c r="F1028" s="76" t="str">
        <f t="shared" si="129"/>
        <v/>
      </c>
      <c r="G1028" s="42" t="str">
        <f t="shared" si="130"/>
        <v/>
      </c>
      <c r="H1028" s="42" t="str">
        <f t="shared" si="131"/>
        <v/>
      </c>
      <c r="I1028" s="42" t="str">
        <f t="shared" si="132"/>
        <v/>
      </c>
      <c r="J1028" s="122" t="str">
        <f t="shared" si="133"/>
        <v/>
      </c>
      <c r="K1028" s="42" t="str">
        <f t="shared" si="134"/>
        <v/>
      </c>
      <c r="L1028" s="75" t="str">
        <f t="shared" si="135"/>
        <v/>
      </c>
    </row>
    <row r="1029" spans="1:12">
      <c r="A1029" s="79" t="s">
        <v>220</v>
      </c>
      <c r="B1029" s="38"/>
      <c r="C1029" s="81">
        <f t="shared" ref="C1029:I1029" si="136">ROUND(SUM(C$909:C$1028),2)</f>
        <v>0</v>
      </c>
      <c r="D1029" s="81">
        <f t="shared" si="136"/>
        <v>0</v>
      </c>
      <c r="E1029" s="81">
        <f t="shared" si="136"/>
        <v>0</v>
      </c>
      <c r="F1029" s="81">
        <f t="shared" si="136"/>
        <v>0</v>
      </c>
      <c r="G1029" s="80">
        <f t="shared" si="136"/>
        <v>14809</v>
      </c>
      <c r="H1029" s="80">
        <f t="shared" si="136"/>
        <v>12651</v>
      </c>
      <c r="I1029" s="80">
        <f t="shared" si="136"/>
        <v>27460</v>
      </c>
      <c r="J1029" s="124">
        <f>ROUND(SUM(J$909:J$1028),3)</f>
        <v>375.843</v>
      </c>
      <c r="K1029" s="80">
        <f>ROUND(SUM(K$909:K$1028),2)</f>
        <v>51</v>
      </c>
      <c r="L1029" s="78"/>
    </row>
  </sheetData>
  <mergeCells count="6">
    <mergeCell ref="A1:N1"/>
    <mergeCell ref="A2:N2"/>
    <mergeCell ref="A3:N3"/>
    <mergeCell ref="A905:D905"/>
    <mergeCell ref="A907:N907"/>
    <mergeCell ref="A1029:B1029"/>
  </mergeCells>
  <dataValidations count="2">
    <dataValidation type="list" allowBlank="1" sqref="H5:H904">
      <formula1>"按筐数×单价,按总重KG×单价,按吨位×单价"</formula1>
    </dataValidation>
    <dataValidation type="list" allowBlank="1" sqref="L5:L904">
      <formula1>"应收,应付"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4"/>
  <sheetViews>
    <sheetView showGridLines="0" workbookViewId="0">
      <pane ySplit="3" topLeftCell="A4" activePane="bottomLeft" state="frozen"/>
      <selection/>
      <selection pane="bottomLeft" activeCell="E19" sqref="E19"/>
    </sheetView>
  </sheetViews>
  <sheetFormatPr defaultColWidth="9" defaultRowHeight="13.5" outlineLevelCol="6"/>
  <cols>
    <col min="1" max="1" width="6" customWidth="1"/>
    <col min="2" max="2" width="26" customWidth="1"/>
    <col min="3" max="3" width="12" customWidth="1"/>
    <col min="4" max="4" width="10" customWidth="1"/>
    <col min="5" max="6" width="28" customWidth="1"/>
    <col min="7" max="7" width="40" customWidth="1"/>
  </cols>
  <sheetData>
    <row r="1" ht="30" customHeight="1" spans="1:7">
      <c r="A1" s="2" t="s">
        <v>244</v>
      </c>
    </row>
    <row r="2" ht="18" customHeight="1" spans="1:7">
      <c r="A2" s="31" t="s">
        <v>245</v>
      </c>
    </row>
    <row r="3" ht="34" customHeight="1" spans="1:7">
      <c r="A3" s="9" t="s">
        <v>3</v>
      </c>
      <c r="B3" s="9" t="s">
        <v>246</v>
      </c>
      <c r="C3" s="9" t="s">
        <v>207</v>
      </c>
      <c r="D3" s="9" t="s">
        <v>247</v>
      </c>
      <c r="E3" s="9" t="s">
        <v>248</v>
      </c>
      <c r="F3" s="9" t="s">
        <v>249</v>
      </c>
      <c r="G3" s="9" t="s">
        <v>250</v>
      </c>
    </row>
    <row r="4" ht="20" customHeight="1" spans="1:7">
      <c r="A4" s="11">
        <v>1</v>
      </c>
      <c r="B4" s="10" t="s">
        <v>251</v>
      </c>
      <c r="C4" s="11" t="s">
        <v>252</v>
      </c>
      <c r="D4" s="17" t="s">
        <v>253</v>
      </c>
      <c r="E4" s="10" t="s">
        <v>254</v>
      </c>
      <c r="F4" s="10" t="s">
        <v>255</v>
      </c>
      <c r="G4" s="10" t="s">
        <v>256</v>
      </c>
    </row>
    <row r="5" ht="20" customHeight="1" spans="1:7">
      <c r="A5" s="11">
        <v>2</v>
      </c>
      <c r="B5" s="10" t="s">
        <v>257</v>
      </c>
      <c r="C5" s="11" t="s">
        <v>252</v>
      </c>
      <c r="D5" s="17" t="s">
        <v>253</v>
      </c>
      <c r="E5" s="10" t="s">
        <v>254</v>
      </c>
      <c r="F5" s="10" t="s">
        <v>258</v>
      </c>
      <c r="G5" s="10" t="s">
        <v>259</v>
      </c>
    </row>
    <row r="6" ht="20" customHeight="1" spans="1:7">
      <c r="A6" s="11">
        <v>3</v>
      </c>
      <c r="B6" s="10" t="s">
        <v>260</v>
      </c>
      <c r="C6" s="11" t="s">
        <v>252</v>
      </c>
      <c r="D6" s="17" t="s">
        <v>253</v>
      </c>
      <c r="E6" s="10" t="s">
        <v>254</v>
      </c>
      <c r="F6" s="10" t="s">
        <v>261</v>
      </c>
      <c r="G6" s="10" t="s">
        <v>262</v>
      </c>
    </row>
    <row r="7" ht="20" customHeight="1" spans="1:7">
      <c r="A7" s="11">
        <v>4</v>
      </c>
      <c r="B7" s="10" t="s">
        <v>263</v>
      </c>
      <c r="C7" s="11" t="s">
        <v>252</v>
      </c>
      <c r="D7" s="17" t="s">
        <v>253</v>
      </c>
      <c r="E7" s="10" t="s">
        <v>254</v>
      </c>
      <c r="F7" s="10" t="s">
        <v>264</v>
      </c>
      <c r="G7" s="10" t="s">
        <v>265</v>
      </c>
    </row>
    <row r="8" ht="20" customHeight="1" spans="1:7">
      <c r="A8" s="11">
        <v>5</v>
      </c>
      <c r="B8" s="10" t="s">
        <v>266</v>
      </c>
      <c r="C8" s="11" t="s">
        <v>252</v>
      </c>
      <c r="D8" s="17" t="s">
        <v>253</v>
      </c>
      <c r="E8" s="10" t="s">
        <v>254</v>
      </c>
      <c r="F8" s="10" t="s">
        <v>267</v>
      </c>
      <c r="G8" s="10" t="s">
        <v>268</v>
      </c>
    </row>
    <row r="9" ht="20" customHeight="1" spans="1:7">
      <c r="A9" s="11">
        <v>6</v>
      </c>
      <c r="B9" s="10" t="s">
        <v>269</v>
      </c>
      <c r="C9" s="11" t="s">
        <v>252</v>
      </c>
      <c r="D9" s="17" t="s">
        <v>253</v>
      </c>
      <c r="E9" s="10" t="s">
        <v>254</v>
      </c>
      <c r="F9" s="10" t="s">
        <v>270</v>
      </c>
      <c r="G9" s="10" t="s">
        <v>271</v>
      </c>
    </row>
    <row r="10" ht="20" customHeight="1" spans="1:7">
      <c r="A10" s="11">
        <v>7</v>
      </c>
      <c r="B10" s="10" t="s">
        <v>272</v>
      </c>
      <c r="C10" s="11" t="s">
        <v>252</v>
      </c>
      <c r="D10" s="17" t="s">
        <v>253</v>
      </c>
      <c r="E10" s="10" t="s">
        <v>254</v>
      </c>
      <c r="F10" s="10" t="s">
        <v>273</v>
      </c>
      <c r="G10" s="10" t="s">
        <v>274</v>
      </c>
    </row>
    <row r="11" ht="20" customHeight="1" spans="1:7">
      <c r="A11" s="11">
        <v>8</v>
      </c>
      <c r="B11" s="10" t="s">
        <v>275</v>
      </c>
      <c r="C11" s="11" t="s">
        <v>252</v>
      </c>
      <c r="D11" s="17" t="s">
        <v>253</v>
      </c>
      <c r="E11" s="10" t="s">
        <v>254</v>
      </c>
      <c r="F11" s="10" t="s">
        <v>276</v>
      </c>
      <c r="G11" s="10" t="s">
        <v>277</v>
      </c>
    </row>
    <row r="12" ht="20" customHeight="1" spans="1:7">
      <c r="A12" s="11">
        <v>9</v>
      </c>
      <c r="B12" s="10" t="s">
        <v>278</v>
      </c>
      <c r="C12" s="11" t="s">
        <v>252</v>
      </c>
      <c r="D12" s="17" t="s">
        <v>253</v>
      </c>
      <c r="E12" s="10" t="s">
        <v>254</v>
      </c>
      <c r="F12" s="10" t="s">
        <v>279</v>
      </c>
      <c r="G12" s="10" t="s">
        <v>280</v>
      </c>
    </row>
    <row r="13" ht="20" customHeight="1" spans="1:7">
      <c r="A13" s="11">
        <v>10</v>
      </c>
      <c r="B13" s="10" t="s">
        <v>281</v>
      </c>
      <c r="C13" s="11" t="s">
        <v>252</v>
      </c>
      <c r="D13" s="17" t="s">
        <v>253</v>
      </c>
      <c r="E13" s="10" t="s">
        <v>254</v>
      </c>
      <c r="F13" s="10" t="s">
        <v>279</v>
      </c>
      <c r="G13" s="10" t="s">
        <v>282</v>
      </c>
    </row>
    <row r="14" ht="20" customHeight="1" spans="1:7">
      <c r="A14" s="11">
        <v>11</v>
      </c>
      <c r="B14" s="10" t="s">
        <v>283</v>
      </c>
      <c r="C14" s="11" t="s">
        <v>284</v>
      </c>
      <c r="D14" s="17" t="s">
        <v>253</v>
      </c>
      <c r="E14" s="10"/>
      <c r="F14" s="10"/>
      <c r="G14" s="10" t="s">
        <v>285</v>
      </c>
    </row>
    <row r="15" ht="20" customHeight="1" spans="1:7">
      <c r="A15" s="11">
        <v>12</v>
      </c>
      <c r="B15" s="10" t="s">
        <v>286</v>
      </c>
      <c r="C15" s="11" t="s">
        <v>284</v>
      </c>
      <c r="D15" s="17" t="s">
        <v>253</v>
      </c>
      <c r="E15" s="10"/>
      <c r="F15" s="10"/>
      <c r="G15" s="10" t="s">
        <v>285</v>
      </c>
    </row>
    <row r="16" ht="20" customHeight="1" spans="1:7">
      <c r="A16" s="11">
        <v>13</v>
      </c>
      <c r="B16" s="10" t="s">
        <v>287</v>
      </c>
      <c r="C16" s="11" t="s">
        <v>288</v>
      </c>
      <c r="D16" s="17" t="s">
        <v>253</v>
      </c>
      <c r="E16" s="10" t="s">
        <v>289</v>
      </c>
      <c r="F16" s="10" t="s">
        <v>290</v>
      </c>
      <c r="G16" s="10" t="s">
        <v>291</v>
      </c>
    </row>
    <row r="17" ht="20" customHeight="1" spans="1:7">
      <c r="A17" s="11">
        <v>14</v>
      </c>
      <c r="B17" s="10" t="s">
        <v>292</v>
      </c>
      <c r="C17" s="11" t="s">
        <v>288</v>
      </c>
      <c r="D17" s="17" t="s">
        <v>253</v>
      </c>
      <c r="E17" s="10" t="s">
        <v>293</v>
      </c>
      <c r="F17" s="10" t="s">
        <v>290</v>
      </c>
      <c r="G17" s="10" t="s">
        <v>292</v>
      </c>
    </row>
    <row r="18" ht="20" customHeight="1" spans="1:7">
      <c r="A18" s="11">
        <v>15</v>
      </c>
      <c r="B18" s="10" t="s">
        <v>294</v>
      </c>
      <c r="C18" s="11" t="s">
        <v>288</v>
      </c>
      <c r="D18" s="17" t="s">
        <v>253</v>
      </c>
      <c r="E18" s="10" t="s">
        <v>295</v>
      </c>
      <c r="F18" s="10" t="s">
        <v>290</v>
      </c>
      <c r="G18" s="10" t="s">
        <v>296</v>
      </c>
    </row>
    <row r="19" ht="20" customHeight="1" spans="1:7">
      <c r="A19" s="11">
        <v>16</v>
      </c>
      <c r="B19" s="10" t="s">
        <v>297</v>
      </c>
      <c r="C19" s="11" t="s">
        <v>298</v>
      </c>
      <c r="D19" s="17" t="s">
        <v>253</v>
      </c>
      <c r="E19" s="10" t="s">
        <v>299</v>
      </c>
      <c r="F19" s="10" t="s">
        <v>289</v>
      </c>
      <c r="G19" s="10" t="s">
        <v>300</v>
      </c>
    </row>
    <row r="20" ht="20" customHeight="1" spans="1:7">
      <c r="A20" s="11">
        <v>17</v>
      </c>
      <c r="B20" s="10" t="s">
        <v>301</v>
      </c>
      <c r="C20" s="11" t="s">
        <v>284</v>
      </c>
      <c r="D20" s="17" t="s">
        <v>253</v>
      </c>
      <c r="E20" s="10"/>
      <c r="F20" s="10"/>
      <c r="G20" s="10" t="s">
        <v>302</v>
      </c>
    </row>
    <row r="21" ht="20" customHeight="1" spans="1:7">
      <c r="A21" s="11">
        <v>18</v>
      </c>
      <c r="B21" s="10" t="s">
        <v>303</v>
      </c>
      <c r="C21" s="11" t="s">
        <v>284</v>
      </c>
      <c r="D21" s="17" t="s">
        <v>253</v>
      </c>
      <c r="E21" s="10"/>
      <c r="F21" s="10"/>
      <c r="G21" s="10" t="s">
        <v>304</v>
      </c>
    </row>
    <row r="22" ht="20" customHeight="1" spans="1:7">
      <c r="A22" s="11">
        <v>19</v>
      </c>
      <c r="B22" s="10" t="s">
        <v>305</v>
      </c>
      <c r="C22" s="11" t="s">
        <v>284</v>
      </c>
      <c r="D22" s="17" t="s">
        <v>253</v>
      </c>
      <c r="E22" s="10"/>
      <c r="F22" s="10"/>
      <c r="G22" s="10" t="s">
        <v>304</v>
      </c>
    </row>
    <row r="23" ht="20" customHeight="1" spans="1:7">
      <c r="A23" s="11">
        <v>20</v>
      </c>
      <c r="B23" s="10" t="s">
        <v>306</v>
      </c>
      <c r="C23" s="11" t="s">
        <v>284</v>
      </c>
      <c r="D23" s="17" t="s">
        <v>253</v>
      </c>
      <c r="E23" s="10"/>
      <c r="F23" s="10"/>
      <c r="G23" s="10" t="s">
        <v>304</v>
      </c>
    </row>
    <row r="24" ht="20" customHeight="1" spans="1:7">
      <c r="A24" s="11">
        <v>21</v>
      </c>
      <c r="B24" s="10" t="s">
        <v>307</v>
      </c>
      <c r="C24" s="11" t="s">
        <v>284</v>
      </c>
      <c r="D24" s="17" t="s">
        <v>253</v>
      </c>
      <c r="E24" s="10"/>
      <c r="F24" s="10"/>
      <c r="G24" s="10" t="s">
        <v>304</v>
      </c>
    </row>
    <row r="25" ht="20" customHeight="1" spans="1:7">
      <c r="A25" s="11">
        <v>22</v>
      </c>
      <c r="B25" s="10" t="s">
        <v>308</v>
      </c>
      <c r="C25" s="11" t="s">
        <v>284</v>
      </c>
      <c r="D25" s="17" t="s">
        <v>253</v>
      </c>
      <c r="E25" s="10"/>
      <c r="F25" s="10"/>
      <c r="G25" s="10" t="s">
        <v>304</v>
      </c>
    </row>
    <row r="26" ht="20" customHeight="1" spans="1:7">
      <c r="A26" s="11">
        <v>23</v>
      </c>
      <c r="B26" s="10" t="s">
        <v>309</v>
      </c>
      <c r="C26" s="11" t="s">
        <v>284</v>
      </c>
      <c r="D26" s="17" t="s">
        <v>253</v>
      </c>
      <c r="E26" s="10"/>
      <c r="F26" s="10"/>
      <c r="G26" s="10" t="s">
        <v>304</v>
      </c>
    </row>
    <row r="27" ht="20" customHeight="1" spans="1:7">
      <c r="A27" s="11">
        <v>24</v>
      </c>
      <c r="B27" s="10" t="s">
        <v>310</v>
      </c>
      <c r="C27" s="11" t="s">
        <v>284</v>
      </c>
      <c r="D27" s="17" t="s">
        <v>253</v>
      </c>
      <c r="E27" s="10"/>
      <c r="F27" s="10"/>
      <c r="G27" s="10" t="s">
        <v>311</v>
      </c>
    </row>
    <row r="28" ht="20" customHeight="1" spans="1:7">
      <c r="A28" s="11"/>
      <c r="B28" s="10"/>
      <c r="C28" s="11"/>
      <c r="D28" s="17"/>
      <c r="E28" s="10"/>
      <c r="F28" s="10"/>
      <c r="G28" s="10"/>
    </row>
    <row r="29" ht="20" customHeight="1" spans="1:7">
      <c r="A29" s="11"/>
      <c r="B29" s="10"/>
      <c r="C29" s="11"/>
      <c r="D29" s="17"/>
      <c r="E29" s="10"/>
      <c r="F29" s="10"/>
      <c r="G29" s="10"/>
    </row>
    <row r="30" ht="20" customHeight="1" spans="1:7">
      <c r="A30" s="11"/>
      <c r="B30" s="10"/>
      <c r="C30" s="11"/>
      <c r="D30" s="17"/>
      <c r="E30" s="10"/>
      <c r="F30" s="10"/>
      <c r="G30" s="10"/>
    </row>
    <row r="31" ht="20" customHeight="1" spans="1:7">
      <c r="A31" s="11"/>
      <c r="B31" s="10"/>
      <c r="C31" s="11"/>
      <c r="D31" s="17"/>
      <c r="E31" s="10"/>
      <c r="F31" s="10"/>
      <c r="G31" s="10"/>
    </row>
    <row r="32" ht="20" customHeight="1" spans="1:7">
      <c r="A32" s="11"/>
      <c r="B32" s="10"/>
      <c r="C32" s="11"/>
      <c r="D32" s="17"/>
      <c r="E32" s="10"/>
      <c r="F32" s="10"/>
      <c r="G32" s="10"/>
    </row>
    <row r="33" ht="20" customHeight="1" spans="1:7">
      <c r="A33" s="11"/>
      <c r="B33" s="10"/>
      <c r="C33" s="11"/>
      <c r="D33" s="17"/>
      <c r="E33" s="10"/>
      <c r="F33" s="10"/>
      <c r="G33" s="10"/>
    </row>
    <row r="34" ht="20" customHeight="1" spans="1:7">
      <c r="A34" s="11"/>
      <c r="B34" s="10"/>
      <c r="C34" s="11"/>
      <c r="D34" s="17"/>
      <c r="E34" s="10"/>
      <c r="F34" s="10"/>
      <c r="G34" s="10"/>
    </row>
  </sheetData>
  <mergeCells count="2">
    <mergeCell ref="A1:G1"/>
    <mergeCell ref="A2:G2"/>
  </mergeCells>
  <dataValidations count="3">
    <dataValidation type="list" allowBlank="1" sqref="C4:C34">
      <formula1>科目表!$Q$4:$Q$140</formula1>
    </dataValidation>
    <dataValidation type="list" allowBlank="1" sqref="D4:D34">
      <formula1>科目表!$O$4:$O$140</formula1>
    </dataValidation>
    <dataValidation type="list" allowBlank="1" sqref="E4:F34">
      <formula1>科目表!$B$4:$B$81</formula1>
    </dataValidation>
  </dataValidations>
  <pageMargins left="0.3" right="0.3" top="0.4" bottom="0.4" header="0.5" footer="0.5"/>
  <pageSetup paperSize="9" fitToHeight="0" orientation="landscape"/>
  <headerFooter>
    <oddFooter>&amp;L&amp;A&amp;R第 &amp;P 页 / 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8F00"/>
  </sheetPr>
  <dimension ref="A1:E42"/>
  <sheetViews>
    <sheetView showGridLines="0" workbookViewId="0">
      <pane ySplit="3" topLeftCell="A4" activePane="bottomLeft" state="frozen"/>
      <selection/>
      <selection pane="bottomLeft" activeCell="B23" sqref="B23"/>
    </sheetView>
  </sheetViews>
  <sheetFormatPr defaultColWidth="9" defaultRowHeight="13.5" outlineLevelCol="4"/>
  <cols>
    <col min="1" max="1" width="6" customWidth="1"/>
    <col min="2" max="2" width="18" customWidth="1"/>
    <col min="3" max="4" width="24" customWidth="1"/>
    <col min="5" max="5" width="52" customWidth="1"/>
  </cols>
  <sheetData>
    <row r="1" ht="30" customHeight="1" spans="1:5">
      <c r="A1" s="71" t="s">
        <v>312</v>
      </c>
    </row>
    <row r="2" ht="18" customHeight="1" spans="1:5">
      <c r="A2" s="72" t="s">
        <v>313</v>
      </c>
    </row>
    <row r="3" ht="30" customHeight="1" spans="1:5">
      <c r="A3" s="73" t="s">
        <v>3</v>
      </c>
      <c r="B3" s="73" t="s">
        <v>314</v>
      </c>
      <c r="C3" s="73" t="s">
        <v>315</v>
      </c>
      <c r="D3" s="73" t="s">
        <v>316</v>
      </c>
      <c r="E3" s="73" t="s">
        <v>250</v>
      </c>
    </row>
    <row r="4" spans="1:5">
      <c r="A4" s="117">
        <v>1</v>
      </c>
      <c r="B4" s="118" t="s">
        <v>251</v>
      </c>
      <c r="C4" s="106" t="s">
        <v>254</v>
      </c>
      <c r="D4" s="106" t="s">
        <v>254</v>
      </c>
      <c r="E4" s="119" t="s">
        <v>317</v>
      </c>
    </row>
    <row r="5" spans="1:5">
      <c r="A5" s="117">
        <v>2</v>
      </c>
      <c r="B5" s="118" t="s">
        <v>318</v>
      </c>
      <c r="C5" s="106" t="s">
        <v>254</v>
      </c>
      <c r="D5" s="106" t="s">
        <v>254</v>
      </c>
      <c r="E5" s="119" t="s">
        <v>319</v>
      </c>
    </row>
    <row r="6" spans="1:5">
      <c r="A6" s="117">
        <v>3</v>
      </c>
      <c r="B6" s="118" t="s">
        <v>260</v>
      </c>
      <c r="C6" s="106" t="s">
        <v>254</v>
      </c>
      <c r="D6" s="106" t="s">
        <v>254</v>
      </c>
      <c r="E6" s="119" t="s">
        <v>320</v>
      </c>
    </row>
    <row r="7" spans="1:5">
      <c r="A7" s="117">
        <v>4</v>
      </c>
      <c r="B7" s="118" t="s">
        <v>321</v>
      </c>
      <c r="C7" s="106" t="s">
        <v>254</v>
      </c>
      <c r="D7" s="106" t="s">
        <v>254</v>
      </c>
      <c r="E7" s="119" t="s">
        <v>322</v>
      </c>
    </row>
    <row r="8" spans="1:5">
      <c r="A8" s="117">
        <v>5</v>
      </c>
      <c r="B8" s="118" t="s">
        <v>278</v>
      </c>
      <c r="C8" s="106" t="s">
        <v>254</v>
      </c>
      <c r="D8" s="106" t="s">
        <v>254</v>
      </c>
      <c r="E8" s="119" t="s">
        <v>323</v>
      </c>
    </row>
    <row r="9" spans="1:5">
      <c r="A9" s="117">
        <v>6</v>
      </c>
      <c r="B9" s="118" t="s">
        <v>272</v>
      </c>
      <c r="C9" s="106" t="s">
        <v>254</v>
      </c>
      <c r="D9" s="106" t="s">
        <v>254</v>
      </c>
      <c r="E9" s="119" t="s">
        <v>324</v>
      </c>
    </row>
    <row r="10" spans="1:5">
      <c r="A10" s="117">
        <v>7</v>
      </c>
      <c r="B10" s="118" t="s">
        <v>275</v>
      </c>
      <c r="C10" s="106" t="s">
        <v>254</v>
      </c>
      <c r="D10" s="106" t="s">
        <v>254</v>
      </c>
      <c r="E10" s="119" t="s">
        <v>325</v>
      </c>
    </row>
    <row r="11" spans="1:5">
      <c r="A11" s="117">
        <v>8</v>
      </c>
      <c r="B11" s="118" t="s">
        <v>281</v>
      </c>
      <c r="C11" s="106" t="s">
        <v>254</v>
      </c>
      <c r="D11" s="106" t="s">
        <v>254</v>
      </c>
      <c r="E11" s="119" t="s">
        <v>326</v>
      </c>
    </row>
    <row r="12" spans="1:5">
      <c r="A12" s="117">
        <v>9</v>
      </c>
      <c r="B12" s="118" t="s">
        <v>263</v>
      </c>
      <c r="C12" s="106" t="s">
        <v>254</v>
      </c>
      <c r="D12" s="106" t="s">
        <v>254</v>
      </c>
      <c r="E12" s="119" t="s">
        <v>327</v>
      </c>
    </row>
    <row r="13" spans="1:5">
      <c r="A13" s="117">
        <v>10</v>
      </c>
      <c r="B13" s="118" t="s">
        <v>328</v>
      </c>
      <c r="C13" s="106" t="s">
        <v>290</v>
      </c>
      <c r="D13" s="106" t="s">
        <v>290</v>
      </c>
      <c r="E13" s="119" t="s">
        <v>329</v>
      </c>
    </row>
    <row r="14" spans="1:5">
      <c r="A14" s="117">
        <v>11</v>
      </c>
      <c r="B14" s="118" t="s">
        <v>330</v>
      </c>
      <c r="C14" s="106" t="s">
        <v>290</v>
      </c>
      <c r="D14" s="106" t="s">
        <v>290</v>
      </c>
      <c r="E14" s="119" t="s">
        <v>331</v>
      </c>
    </row>
    <row r="15" spans="1:5">
      <c r="A15" s="117">
        <v>12</v>
      </c>
      <c r="B15" s="118" t="s">
        <v>332</v>
      </c>
      <c r="C15" s="106" t="s">
        <v>290</v>
      </c>
      <c r="D15" s="106" t="s">
        <v>290</v>
      </c>
      <c r="E15" s="119" t="s">
        <v>333</v>
      </c>
    </row>
    <row r="16" spans="1:5">
      <c r="A16" s="117">
        <v>13</v>
      </c>
      <c r="B16" s="118" t="s">
        <v>334</v>
      </c>
      <c r="C16" s="106" t="s">
        <v>290</v>
      </c>
      <c r="D16" s="106" t="s">
        <v>290</v>
      </c>
      <c r="E16" s="119" t="s">
        <v>335</v>
      </c>
    </row>
    <row r="17" spans="1:5">
      <c r="A17" s="117">
        <v>14</v>
      </c>
      <c r="B17" s="118" t="s">
        <v>336</v>
      </c>
      <c r="C17" s="106" t="s">
        <v>290</v>
      </c>
      <c r="D17" s="106" t="s">
        <v>290</v>
      </c>
      <c r="E17" s="119" t="s">
        <v>337</v>
      </c>
    </row>
    <row r="18" spans="1:5">
      <c r="A18" s="117">
        <v>15</v>
      </c>
      <c r="B18" s="118" t="s">
        <v>338</v>
      </c>
      <c r="C18" s="106" t="s">
        <v>290</v>
      </c>
      <c r="D18" s="106" t="s">
        <v>290</v>
      </c>
      <c r="E18" s="119" t="s">
        <v>339</v>
      </c>
    </row>
    <row r="19" spans="1:5">
      <c r="A19" s="117">
        <v>16</v>
      </c>
      <c r="B19" s="118" t="s">
        <v>340</v>
      </c>
      <c r="C19" s="106" t="s">
        <v>290</v>
      </c>
      <c r="D19" s="106" t="s">
        <v>290</v>
      </c>
      <c r="E19" s="119" t="s">
        <v>341</v>
      </c>
    </row>
    <row r="20" spans="1:5">
      <c r="A20" s="117">
        <v>17</v>
      </c>
      <c r="B20" s="118" t="s">
        <v>342</v>
      </c>
      <c r="C20" s="106" t="s">
        <v>343</v>
      </c>
      <c r="D20" s="106" t="s">
        <v>343</v>
      </c>
      <c r="E20" s="119" t="s">
        <v>344</v>
      </c>
    </row>
    <row r="21" spans="1:5">
      <c r="A21" s="117">
        <v>18</v>
      </c>
      <c r="B21" s="118" t="s">
        <v>345</v>
      </c>
      <c r="C21" s="106" t="s">
        <v>346</v>
      </c>
      <c r="D21" s="106" t="s">
        <v>346</v>
      </c>
      <c r="E21" s="119" t="s">
        <v>347</v>
      </c>
    </row>
    <row r="22" spans="1:5">
      <c r="A22" s="117">
        <v>19</v>
      </c>
      <c r="B22" s="118" t="s">
        <v>348</v>
      </c>
      <c r="C22" s="106" t="s">
        <v>349</v>
      </c>
      <c r="D22" s="106" t="s">
        <v>349</v>
      </c>
      <c r="E22" s="119" t="s">
        <v>350</v>
      </c>
    </row>
    <row r="23" spans="1:5">
      <c r="A23" s="117">
        <v>20</v>
      </c>
      <c r="B23" s="118" t="s">
        <v>351</v>
      </c>
      <c r="C23" s="106" t="s">
        <v>254</v>
      </c>
      <c r="D23" s="106" t="s">
        <v>290</v>
      </c>
      <c r="E23" s="119" t="s">
        <v>352</v>
      </c>
    </row>
    <row r="24" spans="1:5">
      <c r="A24" s="117">
        <v>21</v>
      </c>
      <c r="B24" s="118" t="s">
        <v>353</v>
      </c>
      <c r="C24" s="106" t="s">
        <v>354</v>
      </c>
      <c r="D24" s="106" t="s">
        <v>354</v>
      </c>
      <c r="E24" s="119" t="s">
        <v>355</v>
      </c>
    </row>
    <row r="25" spans="1:5">
      <c r="A25" s="117">
        <v>22</v>
      </c>
      <c r="B25" s="118" t="s">
        <v>356</v>
      </c>
      <c r="C25" s="106" t="s">
        <v>357</v>
      </c>
      <c r="D25" s="106" t="s">
        <v>358</v>
      </c>
      <c r="E25" s="119" t="s">
        <v>359</v>
      </c>
    </row>
    <row r="26" spans="1:5">
      <c r="A26" s="117">
        <v>23</v>
      </c>
      <c r="B26" s="120" t="s">
        <v>360</v>
      </c>
      <c r="C26" s="106" t="s">
        <v>358</v>
      </c>
      <c r="D26" s="106" t="s">
        <v>358</v>
      </c>
      <c r="E26" s="119" t="s">
        <v>361</v>
      </c>
    </row>
    <row r="27" spans="1:5">
      <c r="A27" s="91"/>
      <c r="B27" s="106"/>
      <c r="C27" s="106"/>
      <c r="D27" s="106"/>
      <c r="E27" s="91"/>
    </row>
    <row r="28" spans="1:5">
      <c r="A28" s="91"/>
      <c r="B28" s="106"/>
      <c r="C28" s="106"/>
      <c r="D28" s="106"/>
      <c r="E28" s="91"/>
    </row>
    <row r="29" spans="1:5">
      <c r="A29" s="91"/>
      <c r="B29" s="106"/>
      <c r="C29" s="106"/>
      <c r="D29" s="106"/>
      <c r="E29" s="91"/>
    </row>
    <row r="30" spans="1:5">
      <c r="A30" s="91"/>
      <c r="B30" s="106"/>
      <c r="C30" s="106"/>
      <c r="D30" s="106"/>
      <c r="E30" s="91"/>
    </row>
    <row r="31" spans="1:5">
      <c r="A31" s="91"/>
      <c r="B31" s="106"/>
      <c r="C31" s="106"/>
      <c r="D31" s="106"/>
      <c r="E31" s="91"/>
    </row>
    <row r="32" spans="1:5">
      <c r="A32" s="91"/>
      <c r="B32" s="106"/>
      <c r="C32" s="106"/>
      <c r="D32" s="106"/>
      <c r="E32" s="91"/>
    </row>
    <row r="33" spans="1:5">
      <c r="A33" s="91"/>
      <c r="B33" s="106"/>
      <c r="C33" s="106"/>
      <c r="D33" s="106"/>
      <c r="E33" s="91"/>
    </row>
    <row r="34" spans="1:5">
      <c r="A34" s="91"/>
      <c r="B34" s="106"/>
      <c r="C34" s="106"/>
      <c r="D34" s="106"/>
      <c r="E34" s="91"/>
    </row>
    <row r="35" spans="1:5">
      <c r="A35" s="91"/>
      <c r="B35" s="106"/>
      <c r="C35" s="106"/>
      <c r="D35" s="106"/>
      <c r="E35" s="91"/>
    </row>
    <row r="36" spans="1:5">
      <c r="A36" s="91"/>
      <c r="B36" s="106"/>
      <c r="C36" s="106"/>
      <c r="D36" s="106"/>
      <c r="E36" s="91"/>
    </row>
    <row r="37" spans="1:5">
      <c r="A37" s="91"/>
      <c r="B37" s="106"/>
      <c r="C37" s="106"/>
      <c r="D37" s="106"/>
      <c r="E37" s="91"/>
    </row>
    <row r="38" spans="1:5">
      <c r="A38" s="91"/>
      <c r="B38" s="106"/>
      <c r="C38" s="106"/>
      <c r="D38" s="106"/>
      <c r="E38" s="91"/>
    </row>
    <row r="39" spans="1:5">
      <c r="A39" s="91"/>
      <c r="B39" s="106"/>
      <c r="C39" s="106"/>
      <c r="D39" s="106"/>
      <c r="E39" s="91"/>
    </row>
    <row r="40" spans="1:5">
      <c r="A40" s="91"/>
      <c r="B40" s="106"/>
      <c r="C40" s="106"/>
      <c r="D40" s="106"/>
      <c r="E40" s="91"/>
    </row>
    <row r="42" ht="20" customHeight="1" spans="1:5">
      <c r="A42" s="88" t="s">
        <v>362</v>
      </c>
    </row>
  </sheetData>
  <mergeCells count="3">
    <mergeCell ref="A1:E1"/>
    <mergeCell ref="A2:E2"/>
    <mergeCell ref="A42:E42"/>
  </mergeCells>
  <dataValidations count="2">
    <dataValidation type="list" allowBlank="1" sqref="B26:B40">
      <formula1>科目表!$J$4:$J$140</formula1>
    </dataValidation>
    <dataValidation type="list" allowBlank="1" sqref="C4:D40">
      <formula1>科目表!$B$4:$B$81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140"/>
  <sheetViews>
    <sheetView showGridLines="0" workbookViewId="0">
      <pane xSplit="2" ySplit="3" topLeftCell="C32" activePane="bottomRight" state="frozen"/>
      <selection/>
      <selection pane="topRight"/>
      <selection pane="bottomLeft"/>
      <selection pane="bottomRight" activeCell="M54" sqref="M54"/>
    </sheetView>
  </sheetViews>
  <sheetFormatPr defaultColWidth="9" defaultRowHeight="13.5"/>
  <cols>
    <col min="1" max="1" width="13" customWidth="1"/>
    <col min="2" max="2" width="28" customWidth="1"/>
    <col min="3" max="4" width="11" customWidth="1"/>
    <col min="5" max="5" width="20" customWidth="1"/>
    <col min="6" max="6" width="11" customWidth="1"/>
    <col min="7" max="7" width="30" customWidth="1"/>
    <col min="9" max="17" width="15" customWidth="1"/>
    <col min="19" max="19" width="18" customWidth="1"/>
    <col min="20" max="20" width="20" customWidth="1"/>
    <col min="21" max="21" width="16" customWidth="1"/>
  </cols>
  <sheetData>
    <row r="1" ht="30" customHeight="1" spans="1:21">
      <c r="A1" s="2" t="s">
        <v>363</v>
      </c>
    </row>
    <row r="2" ht="18" customHeight="1" spans="1:21">
      <c r="A2" s="31" t="s">
        <v>364</v>
      </c>
    </row>
    <row r="3" ht="34" customHeight="1" spans="1:21">
      <c r="A3" s="9" t="s">
        <v>365</v>
      </c>
      <c r="B3" s="9" t="s">
        <v>366</v>
      </c>
      <c r="C3" s="9" t="s">
        <v>367</v>
      </c>
      <c r="D3" s="9" t="s">
        <v>368</v>
      </c>
      <c r="E3" s="9" t="s">
        <v>369</v>
      </c>
      <c r="F3" s="9" t="s">
        <v>370</v>
      </c>
      <c r="G3" s="9" t="s">
        <v>172</v>
      </c>
      <c r="I3" s="9" t="s">
        <v>371</v>
      </c>
      <c r="J3" s="9" t="s">
        <v>314</v>
      </c>
      <c r="K3" s="9" t="s">
        <v>372</v>
      </c>
      <c r="L3" s="9" t="s">
        <v>373</v>
      </c>
      <c r="M3" s="9" t="s">
        <v>374</v>
      </c>
      <c r="N3" s="9" t="s">
        <v>375</v>
      </c>
      <c r="O3" s="9" t="s">
        <v>247</v>
      </c>
      <c r="P3" s="9" t="s">
        <v>376</v>
      </c>
      <c r="Q3" s="9" t="s">
        <v>207</v>
      </c>
      <c r="S3" s="9" t="s">
        <v>372</v>
      </c>
      <c r="T3" s="9" t="s">
        <v>377</v>
      </c>
      <c r="U3" s="114" t="s">
        <v>378</v>
      </c>
    </row>
    <row r="4" ht="18" customHeight="1" spans="1:21">
      <c r="A4" s="115" t="s">
        <v>379</v>
      </c>
      <c r="B4" s="10" t="s">
        <v>380</v>
      </c>
      <c r="C4" s="11" t="s">
        <v>381</v>
      </c>
      <c r="D4" s="11" t="s">
        <v>382</v>
      </c>
      <c r="E4" s="10" t="s">
        <v>383</v>
      </c>
      <c r="F4" s="11" t="s">
        <v>64</v>
      </c>
      <c r="G4" s="10"/>
      <c r="I4" s="11" t="s">
        <v>384</v>
      </c>
      <c r="J4" s="11" t="s">
        <v>251</v>
      </c>
      <c r="K4" s="11" t="s">
        <v>380</v>
      </c>
      <c r="L4" s="11" t="s">
        <v>251</v>
      </c>
      <c r="M4" s="11" t="s">
        <v>385</v>
      </c>
      <c r="N4" s="11" t="s">
        <v>386</v>
      </c>
      <c r="O4" s="11" t="s">
        <v>253</v>
      </c>
      <c r="P4" s="11" t="s">
        <v>387</v>
      </c>
      <c r="Q4" s="11" t="s">
        <v>252</v>
      </c>
      <c r="S4" s="11" t="s">
        <v>380</v>
      </c>
      <c r="T4" s="11" t="s">
        <v>380</v>
      </c>
      <c r="U4" s="116" t="s">
        <v>299</v>
      </c>
    </row>
    <row r="5" ht="18" customHeight="1" spans="1:21">
      <c r="A5" s="115" t="s">
        <v>388</v>
      </c>
      <c r="B5" s="10" t="s">
        <v>389</v>
      </c>
      <c r="C5" s="11" t="s">
        <v>381</v>
      </c>
      <c r="D5" s="11" t="s">
        <v>382</v>
      </c>
      <c r="E5" s="10" t="s">
        <v>383</v>
      </c>
      <c r="F5" s="11" t="s">
        <v>64</v>
      </c>
      <c r="G5" s="10"/>
      <c r="I5" s="11" t="s">
        <v>390</v>
      </c>
      <c r="J5" s="11" t="s">
        <v>257</v>
      </c>
      <c r="K5" s="11" t="s">
        <v>391</v>
      </c>
      <c r="L5" s="11" t="s">
        <v>257</v>
      </c>
      <c r="M5" s="11" t="s">
        <v>392</v>
      </c>
      <c r="N5" s="11" t="s">
        <v>393</v>
      </c>
      <c r="O5" s="11" t="s">
        <v>394</v>
      </c>
      <c r="P5" s="11" t="s">
        <v>395</v>
      </c>
      <c r="Q5" s="11" t="s">
        <v>288</v>
      </c>
      <c r="S5" s="11" t="s">
        <v>391</v>
      </c>
      <c r="T5" s="11" t="s">
        <v>389</v>
      </c>
      <c r="U5" s="116" t="s">
        <v>299</v>
      </c>
    </row>
    <row r="6" ht="18" customHeight="1" spans="1:21">
      <c r="A6" s="115" t="s">
        <v>396</v>
      </c>
      <c r="B6" s="10" t="s">
        <v>397</v>
      </c>
      <c r="C6" s="11" t="s">
        <v>381</v>
      </c>
      <c r="D6" s="11" t="s">
        <v>382</v>
      </c>
      <c r="E6" s="10" t="s">
        <v>383</v>
      </c>
      <c r="F6" s="11" t="s">
        <v>64</v>
      </c>
      <c r="G6" s="10"/>
      <c r="I6" s="11" t="s">
        <v>398</v>
      </c>
      <c r="J6" s="11" t="s">
        <v>260</v>
      </c>
      <c r="K6" s="11" t="s">
        <v>399</v>
      </c>
      <c r="L6" s="11" t="s">
        <v>260</v>
      </c>
      <c r="M6" s="11" t="s">
        <v>400</v>
      </c>
      <c r="N6" s="11" t="s">
        <v>401</v>
      </c>
      <c r="O6" s="11" t="s">
        <v>402</v>
      </c>
      <c r="P6" s="96"/>
      <c r="Q6" s="11" t="s">
        <v>298</v>
      </c>
      <c r="S6" s="11" t="s">
        <v>399</v>
      </c>
      <c r="T6" s="11" t="s">
        <v>389</v>
      </c>
      <c r="U6" s="116" t="s">
        <v>299</v>
      </c>
    </row>
    <row r="7" ht="18" customHeight="1" spans="1:21">
      <c r="A7" s="115" t="s">
        <v>403</v>
      </c>
      <c r="B7" s="10" t="s">
        <v>404</v>
      </c>
      <c r="C7" s="11" t="s">
        <v>381</v>
      </c>
      <c r="D7" s="11" t="s">
        <v>382</v>
      </c>
      <c r="E7" s="10" t="s">
        <v>404</v>
      </c>
      <c r="F7" s="11" t="s">
        <v>64</v>
      </c>
      <c r="G7" s="10"/>
      <c r="I7" s="11" t="s">
        <v>405</v>
      </c>
      <c r="J7" s="11" t="s">
        <v>263</v>
      </c>
      <c r="K7" s="11" t="s">
        <v>401</v>
      </c>
      <c r="L7" s="11" t="s">
        <v>263</v>
      </c>
      <c r="M7" s="11" t="s">
        <v>334</v>
      </c>
      <c r="N7" s="11" t="s">
        <v>406</v>
      </c>
      <c r="O7" s="11" t="s">
        <v>407</v>
      </c>
      <c r="P7" s="96"/>
      <c r="Q7" s="11" t="s">
        <v>284</v>
      </c>
      <c r="S7" s="11" t="s">
        <v>401</v>
      </c>
      <c r="T7" s="11" t="s">
        <v>397</v>
      </c>
      <c r="U7" s="116" t="s">
        <v>299</v>
      </c>
    </row>
    <row r="8" ht="18" customHeight="1" spans="1:21">
      <c r="A8" s="115" t="s">
        <v>408</v>
      </c>
      <c r="B8" s="10" t="s">
        <v>254</v>
      </c>
      <c r="C8" s="11" t="s">
        <v>381</v>
      </c>
      <c r="D8" s="11" t="s">
        <v>382</v>
      </c>
      <c r="E8" s="10" t="s">
        <v>254</v>
      </c>
      <c r="F8" s="11" t="s">
        <v>64</v>
      </c>
      <c r="G8" s="10"/>
      <c r="I8" s="11" t="s">
        <v>409</v>
      </c>
      <c r="J8" s="11" t="s">
        <v>266</v>
      </c>
      <c r="K8" s="11" t="s">
        <v>406</v>
      </c>
      <c r="L8" s="11" t="s">
        <v>266</v>
      </c>
      <c r="M8" s="11" t="s">
        <v>410</v>
      </c>
      <c r="N8" s="11" t="s">
        <v>411</v>
      </c>
      <c r="O8" s="11" t="s">
        <v>412</v>
      </c>
      <c r="P8" s="96"/>
      <c r="Q8" s="96"/>
      <c r="S8" s="11" t="s">
        <v>406</v>
      </c>
      <c r="T8" s="11" t="s">
        <v>397</v>
      </c>
      <c r="U8" s="116" t="s">
        <v>413</v>
      </c>
    </row>
    <row r="9" ht="18" customHeight="1" spans="1:21">
      <c r="A9" s="115" t="s">
        <v>414</v>
      </c>
      <c r="B9" s="10" t="s">
        <v>415</v>
      </c>
      <c r="C9" s="11" t="s">
        <v>381</v>
      </c>
      <c r="D9" s="11" t="s">
        <v>382</v>
      </c>
      <c r="E9" s="10" t="s">
        <v>416</v>
      </c>
      <c r="F9" s="11" t="s">
        <v>64</v>
      </c>
      <c r="G9" s="10"/>
      <c r="I9" s="11" t="s">
        <v>417</v>
      </c>
      <c r="J9" s="11" t="s">
        <v>269</v>
      </c>
      <c r="K9" s="11" t="s">
        <v>411</v>
      </c>
      <c r="L9" s="11" t="s">
        <v>269</v>
      </c>
      <c r="M9" s="11" t="s">
        <v>260</v>
      </c>
      <c r="N9" s="11" t="s">
        <v>418</v>
      </c>
      <c r="O9" s="11" t="s">
        <v>419</v>
      </c>
      <c r="P9" s="96"/>
      <c r="Q9" s="96"/>
      <c r="S9" s="11" t="s">
        <v>411</v>
      </c>
      <c r="T9" s="11" t="s">
        <v>404</v>
      </c>
      <c r="U9" s="116" t="s">
        <v>299</v>
      </c>
    </row>
    <row r="10" ht="18" customHeight="1" spans="1:21">
      <c r="A10" s="115" t="s">
        <v>420</v>
      </c>
      <c r="B10" s="10" t="s">
        <v>421</v>
      </c>
      <c r="C10" s="11" t="s">
        <v>381</v>
      </c>
      <c r="D10" s="11" t="s">
        <v>382</v>
      </c>
      <c r="E10" s="10" t="s">
        <v>421</v>
      </c>
      <c r="F10" s="11" t="s">
        <v>64</v>
      </c>
      <c r="G10" s="10"/>
      <c r="I10" s="11" t="s">
        <v>422</v>
      </c>
      <c r="J10" s="11" t="s">
        <v>278</v>
      </c>
      <c r="K10" s="96"/>
      <c r="L10" s="11" t="s">
        <v>278</v>
      </c>
      <c r="M10" s="11" t="s">
        <v>423</v>
      </c>
      <c r="N10" s="11" t="s">
        <v>424</v>
      </c>
      <c r="O10" s="11" t="s">
        <v>425</v>
      </c>
      <c r="P10" s="96"/>
      <c r="Q10" s="96"/>
      <c r="U10" s="116" t="s">
        <v>299</v>
      </c>
    </row>
    <row r="11" ht="18" customHeight="1" spans="1:21">
      <c r="A11" s="115" t="s">
        <v>426</v>
      </c>
      <c r="B11" s="10" t="s">
        <v>427</v>
      </c>
      <c r="C11" s="11" t="s">
        <v>381</v>
      </c>
      <c r="D11" s="11" t="s">
        <v>382</v>
      </c>
      <c r="E11" s="10" t="s">
        <v>427</v>
      </c>
      <c r="F11" s="11" t="s">
        <v>64</v>
      </c>
      <c r="G11" s="10"/>
      <c r="I11" s="11" t="s">
        <v>428</v>
      </c>
      <c r="J11" s="11" t="s">
        <v>272</v>
      </c>
      <c r="K11" s="96"/>
      <c r="L11" s="11" t="s">
        <v>272</v>
      </c>
      <c r="M11" s="11" t="s">
        <v>338</v>
      </c>
      <c r="N11" s="11" t="s">
        <v>429</v>
      </c>
      <c r="O11" s="96"/>
      <c r="P11" s="96"/>
      <c r="Q11" s="96"/>
      <c r="U11" s="116" t="s">
        <v>299</v>
      </c>
    </row>
    <row r="12" ht="18" customHeight="1" spans="1:21">
      <c r="A12" s="115" t="s">
        <v>430</v>
      </c>
      <c r="B12" s="10" t="s">
        <v>357</v>
      </c>
      <c r="C12" s="11" t="s">
        <v>381</v>
      </c>
      <c r="D12" s="11" t="s">
        <v>382</v>
      </c>
      <c r="E12" s="10" t="s">
        <v>357</v>
      </c>
      <c r="F12" s="11" t="s">
        <v>64</v>
      </c>
      <c r="G12" s="10"/>
      <c r="I12" s="11" t="s">
        <v>431</v>
      </c>
      <c r="J12" s="11" t="s">
        <v>275</v>
      </c>
      <c r="K12" s="96"/>
      <c r="L12" s="11" t="s">
        <v>275</v>
      </c>
      <c r="M12" s="11" t="s">
        <v>432</v>
      </c>
      <c r="N12" s="96"/>
      <c r="O12" s="96"/>
      <c r="P12" s="96"/>
      <c r="Q12" s="96"/>
      <c r="U12" s="116" t="s">
        <v>299</v>
      </c>
    </row>
    <row r="13" ht="18" customHeight="1" spans="1:21">
      <c r="A13" s="115" t="s">
        <v>433</v>
      </c>
      <c r="B13" s="10" t="s">
        <v>434</v>
      </c>
      <c r="C13" s="11" t="s">
        <v>381</v>
      </c>
      <c r="D13" s="11" t="s">
        <v>435</v>
      </c>
      <c r="E13" s="10" t="s">
        <v>254</v>
      </c>
      <c r="F13" s="11" t="s">
        <v>64</v>
      </c>
      <c r="G13" s="10"/>
      <c r="I13" s="11" t="s">
        <v>436</v>
      </c>
      <c r="J13" s="11" t="s">
        <v>281</v>
      </c>
      <c r="K13" s="96"/>
      <c r="L13" s="11" t="s">
        <v>281</v>
      </c>
      <c r="M13" s="11" t="s">
        <v>437</v>
      </c>
      <c r="N13" s="96"/>
      <c r="O13" s="96"/>
      <c r="P13" s="96"/>
      <c r="Q13" s="96"/>
      <c r="U13" s="116" t="s">
        <v>299</v>
      </c>
    </row>
    <row r="14" ht="18" customHeight="1" spans="1:21">
      <c r="A14" s="115" t="s">
        <v>438</v>
      </c>
      <c r="B14" s="10" t="s">
        <v>439</v>
      </c>
      <c r="C14" s="11" t="s">
        <v>381</v>
      </c>
      <c r="D14" s="11" t="s">
        <v>382</v>
      </c>
      <c r="E14" s="10" t="s">
        <v>440</v>
      </c>
      <c r="F14" s="11" t="s">
        <v>64</v>
      </c>
      <c r="G14" s="10"/>
      <c r="I14" s="11" t="s">
        <v>441</v>
      </c>
      <c r="J14" s="11" t="s">
        <v>328</v>
      </c>
      <c r="K14" s="96"/>
      <c r="L14" s="96"/>
      <c r="M14" s="11" t="s">
        <v>442</v>
      </c>
      <c r="N14" s="96"/>
      <c r="O14" s="96"/>
      <c r="P14" s="96"/>
      <c r="Q14" s="96"/>
      <c r="U14" s="116" t="s">
        <v>299</v>
      </c>
    </row>
    <row r="15" ht="18" customHeight="1" spans="1:21">
      <c r="A15" s="115" t="s">
        <v>443</v>
      </c>
      <c r="B15" s="10" t="s">
        <v>293</v>
      </c>
      <c r="C15" s="11" t="s">
        <v>381</v>
      </c>
      <c r="D15" s="11" t="s">
        <v>382</v>
      </c>
      <c r="E15" s="10" t="s">
        <v>440</v>
      </c>
      <c r="F15" s="11" t="s">
        <v>64</v>
      </c>
      <c r="G15" s="10"/>
      <c r="I15" s="11" t="s">
        <v>444</v>
      </c>
      <c r="J15" s="11" t="s">
        <v>330</v>
      </c>
      <c r="K15" s="96"/>
      <c r="L15" s="96"/>
      <c r="M15" s="11" t="s">
        <v>445</v>
      </c>
      <c r="N15" s="96"/>
      <c r="O15" s="96"/>
      <c r="P15" s="96"/>
      <c r="Q15" s="96"/>
      <c r="U15" s="116" t="s">
        <v>299</v>
      </c>
    </row>
    <row r="16" ht="18" customHeight="1" spans="1:21">
      <c r="A16" s="115" t="s">
        <v>446</v>
      </c>
      <c r="B16" s="10" t="s">
        <v>289</v>
      </c>
      <c r="C16" s="11" t="s">
        <v>381</v>
      </c>
      <c r="D16" s="11" t="s">
        <v>382</v>
      </c>
      <c r="E16" s="10" t="s">
        <v>440</v>
      </c>
      <c r="F16" s="11" t="s">
        <v>64</v>
      </c>
      <c r="G16" s="10"/>
      <c r="I16" s="11" t="s">
        <v>447</v>
      </c>
      <c r="J16" s="11" t="s">
        <v>332</v>
      </c>
      <c r="K16" s="96"/>
      <c r="L16" s="96"/>
      <c r="M16" s="11" t="s">
        <v>448</v>
      </c>
      <c r="N16" s="96"/>
      <c r="O16" s="96"/>
      <c r="P16" s="96"/>
      <c r="Q16" s="96"/>
      <c r="U16" s="116" t="s">
        <v>299</v>
      </c>
    </row>
    <row r="17" ht="18" customHeight="1" spans="1:21">
      <c r="A17" s="115" t="s">
        <v>449</v>
      </c>
      <c r="B17" s="10" t="s">
        <v>450</v>
      </c>
      <c r="C17" s="11" t="s">
        <v>381</v>
      </c>
      <c r="D17" s="11" t="s">
        <v>382</v>
      </c>
      <c r="E17" s="10" t="s">
        <v>440</v>
      </c>
      <c r="F17" s="11" t="s">
        <v>64</v>
      </c>
      <c r="G17" s="10"/>
      <c r="I17" s="11" t="s">
        <v>451</v>
      </c>
      <c r="J17" s="11" t="s">
        <v>283</v>
      </c>
      <c r="K17" s="96"/>
      <c r="L17" s="96"/>
      <c r="M17" s="11" t="s">
        <v>452</v>
      </c>
      <c r="N17" s="96"/>
      <c r="O17" s="96"/>
      <c r="P17" s="96"/>
      <c r="Q17" s="96"/>
      <c r="U17" s="116" t="s">
        <v>299</v>
      </c>
    </row>
    <row r="18" ht="18" customHeight="1" spans="1:21">
      <c r="A18" s="115" t="s">
        <v>453</v>
      </c>
      <c r="B18" s="10" t="s">
        <v>295</v>
      </c>
      <c r="C18" s="11" t="s">
        <v>381</v>
      </c>
      <c r="D18" s="11" t="s">
        <v>382</v>
      </c>
      <c r="E18" s="10" t="s">
        <v>440</v>
      </c>
      <c r="F18" s="11" t="s">
        <v>64</v>
      </c>
      <c r="G18" s="10"/>
      <c r="I18" s="11" t="s">
        <v>454</v>
      </c>
      <c r="J18" s="11" t="s">
        <v>286</v>
      </c>
      <c r="K18" s="96"/>
      <c r="L18" s="96"/>
      <c r="M18" s="11" t="s">
        <v>455</v>
      </c>
      <c r="N18" s="96"/>
      <c r="O18" s="96"/>
      <c r="P18" s="96"/>
      <c r="Q18" s="96"/>
      <c r="U18" s="116" t="s">
        <v>413</v>
      </c>
    </row>
    <row r="19" ht="18" customHeight="1" spans="1:21">
      <c r="A19" s="115" t="s">
        <v>456</v>
      </c>
      <c r="B19" s="10" t="s">
        <v>457</v>
      </c>
      <c r="C19" s="11" t="s">
        <v>381</v>
      </c>
      <c r="D19" s="11" t="s">
        <v>435</v>
      </c>
      <c r="E19" s="10" t="s">
        <v>440</v>
      </c>
      <c r="F19" s="11" t="s">
        <v>64</v>
      </c>
      <c r="G19" s="10"/>
      <c r="I19" s="11" t="s">
        <v>458</v>
      </c>
      <c r="J19" s="11" t="s">
        <v>334</v>
      </c>
      <c r="K19" s="96"/>
      <c r="L19" s="96"/>
      <c r="M19" s="11" t="s">
        <v>459</v>
      </c>
      <c r="N19" s="96"/>
      <c r="O19" s="96"/>
      <c r="P19" s="96"/>
      <c r="Q19" s="96"/>
      <c r="U19" s="116" t="s">
        <v>413</v>
      </c>
    </row>
    <row r="20" ht="18" customHeight="1" spans="1:21">
      <c r="A20" s="115" t="s">
        <v>460</v>
      </c>
      <c r="B20" s="10" t="s">
        <v>461</v>
      </c>
      <c r="C20" s="11" t="s">
        <v>381</v>
      </c>
      <c r="D20" s="11" t="s">
        <v>382</v>
      </c>
      <c r="E20" s="10" t="s">
        <v>462</v>
      </c>
      <c r="F20" s="11" t="s">
        <v>64</v>
      </c>
      <c r="G20" s="10"/>
      <c r="I20" s="11" t="s">
        <v>463</v>
      </c>
      <c r="J20" s="11" t="s">
        <v>464</v>
      </c>
      <c r="K20" s="96"/>
      <c r="L20" s="96"/>
      <c r="M20" s="11" t="s">
        <v>465</v>
      </c>
      <c r="N20" s="96"/>
      <c r="O20" s="96"/>
      <c r="P20" s="96"/>
      <c r="Q20" s="96"/>
      <c r="U20" s="116" t="s">
        <v>413</v>
      </c>
    </row>
    <row r="21" ht="18" customHeight="1" spans="1:21">
      <c r="A21" s="115" t="s">
        <v>466</v>
      </c>
      <c r="B21" s="10" t="s">
        <v>343</v>
      </c>
      <c r="C21" s="11" t="s">
        <v>381</v>
      </c>
      <c r="D21" s="11" t="s">
        <v>435</v>
      </c>
      <c r="E21" s="10" t="s">
        <v>343</v>
      </c>
      <c r="F21" s="11" t="s">
        <v>64</v>
      </c>
      <c r="G21" s="10"/>
      <c r="I21" s="11" t="s">
        <v>467</v>
      </c>
      <c r="J21" s="11" t="s">
        <v>385</v>
      </c>
      <c r="K21" s="96"/>
      <c r="L21" s="96"/>
      <c r="M21" s="11" t="s">
        <v>468</v>
      </c>
      <c r="N21" s="96"/>
      <c r="O21" s="96"/>
      <c r="P21" s="96"/>
      <c r="Q21" s="96"/>
      <c r="U21" s="116" t="s">
        <v>413</v>
      </c>
    </row>
    <row r="22" ht="18" customHeight="1" spans="1:21">
      <c r="A22" s="115" t="s">
        <v>469</v>
      </c>
      <c r="B22" s="10" t="s">
        <v>470</v>
      </c>
      <c r="C22" s="11" t="s">
        <v>381</v>
      </c>
      <c r="D22" s="11" t="s">
        <v>382</v>
      </c>
      <c r="E22" s="10" t="s">
        <v>470</v>
      </c>
      <c r="F22" s="11" t="s">
        <v>64</v>
      </c>
      <c r="G22" s="10"/>
      <c r="I22" s="11" t="s">
        <v>471</v>
      </c>
      <c r="J22" s="11" t="s">
        <v>392</v>
      </c>
      <c r="K22" s="96"/>
      <c r="L22" s="96"/>
      <c r="M22" s="11" t="s">
        <v>472</v>
      </c>
      <c r="N22" s="96"/>
      <c r="O22" s="96"/>
      <c r="P22" s="96"/>
      <c r="Q22" s="96"/>
      <c r="U22" s="116" t="s">
        <v>413</v>
      </c>
    </row>
    <row r="23" ht="18" customHeight="1" spans="1:21">
      <c r="A23" s="115" t="s">
        <v>473</v>
      </c>
      <c r="B23" s="10" t="s">
        <v>474</v>
      </c>
      <c r="C23" s="11" t="s">
        <v>381</v>
      </c>
      <c r="D23" s="11" t="s">
        <v>382</v>
      </c>
      <c r="E23" s="10" t="s">
        <v>474</v>
      </c>
      <c r="F23" s="11" t="s">
        <v>64</v>
      </c>
      <c r="G23" s="10"/>
      <c r="I23" s="11" t="s">
        <v>475</v>
      </c>
      <c r="J23" s="11" t="s">
        <v>338</v>
      </c>
      <c r="K23" s="96"/>
      <c r="L23" s="96"/>
      <c r="M23" s="11" t="s">
        <v>476</v>
      </c>
      <c r="N23" s="96"/>
      <c r="O23" s="96"/>
      <c r="P23" s="96"/>
      <c r="Q23" s="96"/>
      <c r="U23" s="116" t="s">
        <v>413</v>
      </c>
    </row>
    <row r="24" ht="18" customHeight="1" spans="1:21">
      <c r="A24" s="115" t="s">
        <v>477</v>
      </c>
      <c r="B24" s="10" t="s">
        <v>478</v>
      </c>
      <c r="C24" s="11" t="s">
        <v>381</v>
      </c>
      <c r="D24" s="11" t="s">
        <v>435</v>
      </c>
      <c r="E24" s="10" t="s">
        <v>474</v>
      </c>
      <c r="F24" s="11" t="s">
        <v>64</v>
      </c>
      <c r="G24" s="10"/>
      <c r="I24" s="11" t="s">
        <v>479</v>
      </c>
      <c r="J24" s="11" t="s">
        <v>340</v>
      </c>
      <c r="K24" s="96"/>
      <c r="L24" s="96"/>
      <c r="M24" s="11" t="s">
        <v>480</v>
      </c>
      <c r="N24" s="96"/>
      <c r="O24" s="96"/>
      <c r="P24" s="96"/>
      <c r="Q24" s="96"/>
      <c r="U24" s="116" t="s">
        <v>299</v>
      </c>
    </row>
    <row r="25" ht="18" customHeight="1" spans="1:21">
      <c r="A25" s="115" t="s">
        <v>481</v>
      </c>
      <c r="B25" s="10" t="s">
        <v>482</v>
      </c>
      <c r="C25" s="11" t="s">
        <v>381</v>
      </c>
      <c r="D25" s="11" t="s">
        <v>382</v>
      </c>
      <c r="E25" s="10" t="s">
        <v>482</v>
      </c>
      <c r="F25" s="11" t="s">
        <v>64</v>
      </c>
      <c r="G25" s="10"/>
      <c r="I25" s="11" t="s">
        <v>483</v>
      </c>
      <c r="J25" s="11" t="s">
        <v>342</v>
      </c>
      <c r="K25" s="96"/>
      <c r="L25" s="96"/>
      <c r="M25" s="11" t="s">
        <v>484</v>
      </c>
      <c r="N25" s="96"/>
      <c r="O25" s="96"/>
      <c r="P25" s="96"/>
      <c r="Q25" s="96"/>
      <c r="U25" s="116" t="s">
        <v>413</v>
      </c>
    </row>
    <row r="26" ht="18" customHeight="1" spans="1:21">
      <c r="A26" s="115" t="s">
        <v>485</v>
      </c>
      <c r="B26" s="10" t="s">
        <v>349</v>
      </c>
      <c r="C26" s="11" t="s">
        <v>486</v>
      </c>
      <c r="D26" s="11" t="s">
        <v>435</v>
      </c>
      <c r="E26" s="10" t="s">
        <v>349</v>
      </c>
      <c r="F26" s="11" t="s">
        <v>64</v>
      </c>
      <c r="G26" s="10"/>
      <c r="I26" s="11" t="s">
        <v>487</v>
      </c>
      <c r="J26" s="11" t="s">
        <v>345</v>
      </c>
      <c r="K26" s="96"/>
      <c r="L26" s="96"/>
      <c r="M26" s="11" t="s">
        <v>488</v>
      </c>
      <c r="N26" s="96"/>
      <c r="O26" s="96"/>
      <c r="P26" s="96"/>
      <c r="Q26" s="96"/>
      <c r="U26" s="116" t="s">
        <v>413</v>
      </c>
    </row>
    <row r="27" ht="18" customHeight="1" spans="1:21">
      <c r="A27" s="115" t="s">
        <v>489</v>
      </c>
      <c r="B27" s="10" t="s">
        <v>490</v>
      </c>
      <c r="C27" s="11" t="s">
        <v>486</v>
      </c>
      <c r="D27" s="11" t="s">
        <v>435</v>
      </c>
      <c r="E27" s="10" t="s">
        <v>490</v>
      </c>
      <c r="F27" s="11" t="s">
        <v>64</v>
      </c>
      <c r="G27" s="10"/>
      <c r="I27" s="11"/>
      <c r="J27" s="11" t="s">
        <v>348</v>
      </c>
      <c r="K27" s="96"/>
      <c r="L27" s="96"/>
      <c r="M27" s="11" t="s">
        <v>491</v>
      </c>
      <c r="N27" s="96"/>
      <c r="O27" s="96"/>
      <c r="P27" s="96"/>
      <c r="Q27" s="96"/>
      <c r="U27" s="116" t="s">
        <v>492</v>
      </c>
    </row>
    <row r="28" ht="18" customHeight="1" spans="1:21">
      <c r="A28" s="115" t="s">
        <v>493</v>
      </c>
      <c r="B28" s="10" t="s">
        <v>290</v>
      </c>
      <c r="C28" s="11" t="s">
        <v>486</v>
      </c>
      <c r="D28" s="11" t="s">
        <v>435</v>
      </c>
      <c r="E28" s="10" t="s">
        <v>290</v>
      </c>
      <c r="F28" s="11" t="s">
        <v>64</v>
      </c>
      <c r="G28" s="10"/>
      <c r="I28" s="11"/>
      <c r="J28" s="11" t="s">
        <v>351</v>
      </c>
      <c r="K28" s="96"/>
      <c r="L28" s="96"/>
      <c r="M28" s="11" t="s">
        <v>494</v>
      </c>
      <c r="N28" s="96"/>
      <c r="O28" s="96"/>
      <c r="P28" s="96"/>
      <c r="Q28" s="96"/>
      <c r="U28" s="116" t="s">
        <v>413</v>
      </c>
    </row>
    <row r="29" ht="18" customHeight="1" spans="1:21">
      <c r="A29" s="115" t="s">
        <v>495</v>
      </c>
      <c r="B29" s="10" t="s">
        <v>496</v>
      </c>
      <c r="C29" s="11" t="s">
        <v>486</v>
      </c>
      <c r="D29" s="11" t="s">
        <v>435</v>
      </c>
      <c r="E29" s="10" t="s">
        <v>497</v>
      </c>
      <c r="F29" s="11" t="s">
        <v>64</v>
      </c>
      <c r="G29" s="10"/>
      <c r="I29" s="11"/>
      <c r="J29" s="11" t="s">
        <v>353</v>
      </c>
      <c r="K29" s="96"/>
      <c r="L29" s="96"/>
      <c r="M29" s="11" t="s">
        <v>498</v>
      </c>
      <c r="N29" s="96"/>
      <c r="O29" s="96"/>
      <c r="P29" s="96"/>
      <c r="Q29" s="96"/>
      <c r="U29" s="116" t="s">
        <v>413</v>
      </c>
    </row>
    <row r="30" ht="18" customHeight="1" spans="1:21">
      <c r="A30" s="115" t="s">
        <v>499</v>
      </c>
      <c r="B30" s="10" t="s">
        <v>500</v>
      </c>
      <c r="C30" s="11" t="s">
        <v>486</v>
      </c>
      <c r="D30" s="11" t="s">
        <v>435</v>
      </c>
      <c r="E30" s="10" t="s">
        <v>500</v>
      </c>
      <c r="F30" s="11" t="s">
        <v>64</v>
      </c>
      <c r="G30" s="10"/>
      <c r="I30" s="11"/>
      <c r="J30" s="11" t="s">
        <v>356</v>
      </c>
      <c r="K30" s="96"/>
      <c r="L30" s="96"/>
      <c r="M30" s="11" t="s">
        <v>501</v>
      </c>
      <c r="N30" s="96"/>
      <c r="O30" s="96"/>
      <c r="P30" s="96"/>
      <c r="Q30" s="96"/>
      <c r="U30" s="116" t="s">
        <v>413</v>
      </c>
    </row>
    <row r="31" ht="18" customHeight="1" spans="1:21">
      <c r="A31" s="115" t="s">
        <v>502</v>
      </c>
      <c r="B31" s="10" t="s">
        <v>503</v>
      </c>
      <c r="C31" s="11" t="s">
        <v>486</v>
      </c>
      <c r="D31" s="11" t="s">
        <v>435</v>
      </c>
      <c r="E31" s="10" t="s">
        <v>504</v>
      </c>
      <c r="F31" s="11" t="s">
        <v>64</v>
      </c>
      <c r="G31" s="10"/>
      <c r="I31" s="11"/>
      <c r="J31" s="11"/>
      <c r="K31" s="96"/>
      <c r="L31" s="96"/>
      <c r="M31" s="11" t="s">
        <v>505</v>
      </c>
      <c r="N31" s="96"/>
      <c r="O31" s="96"/>
      <c r="P31" s="96"/>
      <c r="Q31" s="96"/>
      <c r="U31" s="116" t="s">
        <v>413</v>
      </c>
    </row>
    <row r="32" ht="18" customHeight="1" spans="1:21">
      <c r="A32" s="115" t="s">
        <v>506</v>
      </c>
      <c r="B32" s="10" t="s">
        <v>507</v>
      </c>
      <c r="C32" s="11" t="s">
        <v>486</v>
      </c>
      <c r="D32" s="11" t="s">
        <v>382</v>
      </c>
      <c r="E32" s="10" t="s">
        <v>504</v>
      </c>
      <c r="F32" s="11" t="s">
        <v>64</v>
      </c>
      <c r="G32" s="10"/>
      <c r="I32" s="11"/>
      <c r="J32" s="11"/>
      <c r="K32" s="96"/>
      <c r="L32" s="96"/>
      <c r="M32" s="11" t="s">
        <v>508</v>
      </c>
      <c r="N32" s="96"/>
      <c r="O32" s="96"/>
      <c r="P32" s="96"/>
      <c r="Q32" s="96"/>
      <c r="U32" s="116" t="s">
        <v>413</v>
      </c>
    </row>
    <row r="33" ht="18" customHeight="1" spans="1:21">
      <c r="A33" s="115" t="s">
        <v>509</v>
      </c>
      <c r="B33" s="10" t="s">
        <v>346</v>
      </c>
      <c r="C33" s="11" t="s">
        <v>486</v>
      </c>
      <c r="D33" s="11" t="s">
        <v>382</v>
      </c>
      <c r="E33" s="10" t="s">
        <v>504</v>
      </c>
      <c r="F33" s="11" t="s">
        <v>64</v>
      </c>
      <c r="G33" s="10"/>
      <c r="I33" s="11"/>
      <c r="J33" s="96"/>
      <c r="K33" s="96"/>
      <c r="L33" s="96"/>
      <c r="M33" s="11" t="s">
        <v>510</v>
      </c>
      <c r="N33" s="96"/>
      <c r="O33" s="96"/>
      <c r="P33" s="96"/>
      <c r="Q33" s="96"/>
      <c r="U33" s="116" t="s">
        <v>413</v>
      </c>
    </row>
    <row r="34" ht="18" customHeight="1" spans="1:21">
      <c r="A34" s="115" t="s">
        <v>511</v>
      </c>
      <c r="B34" s="10" t="s">
        <v>512</v>
      </c>
      <c r="C34" s="11" t="s">
        <v>486</v>
      </c>
      <c r="D34" s="11" t="s">
        <v>435</v>
      </c>
      <c r="E34" s="10" t="s">
        <v>504</v>
      </c>
      <c r="F34" s="11" t="s">
        <v>64</v>
      </c>
      <c r="G34" s="10"/>
      <c r="I34" s="11"/>
      <c r="J34" s="96"/>
      <c r="K34" s="96"/>
      <c r="L34" s="96"/>
      <c r="M34" s="11" t="s">
        <v>513</v>
      </c>
      <c r="N34" s="96"/>
      <c r="O34" s="96"/>
      <c r="P34" s="96"/>
      <c r="Q34" s="96"/>
      <c r="U34" s="116" t="s">
        <v>413</v>
      </c>
    </row>
    <row r="35" ht="18" customHeight="1" spans="1:21">
      <c r="A35" s="115" t="s">
        <v>514</v>
      </c>
      <c r="B35" s="10" t="s">
        <v>515</v>
      </c>
      <c r="C35" s="11" t="s">
        <v>486</v>
      </c>
      <c r="D35" s="11" t="s">
        <v>435</v>
      </c>
      <c r="E35" s="10" t="s">
        <v>504</v>
      </c>
      <c r="F35" s="11" t="s">
        <v>64</v>
      </c>
      <c r="G35" s="10"/>
      <c r="I35" s="11"/>
      <c r="J35" s="96"/>
      <c r="K35" s="96"/>
      <c r="L35" s="96"/>
      <c r="M35" s="11" t="s">
        <v>516</v>
      </c>
      <c r="N35" s="96"/>
      <c r="O35" s="96"/>
      <c r="P35" s="96"/>
      <c r="Q35" s="96"/>
      <c r="U35" s="116" t="s">
        <v>413</v>
      </c>
    </row>
    <row r="36" ht="18" customHeight="1" spans="1:21">
      <c r="A36" s="115" t="s">
        <v>517</v>
      </c>
      <c r="B36" s="10" t="s">
        <v>518</v>
      </c>
      <c r="C36" s="11" t="s">
        <v>486</v>
      </c>
      <c r="D36" s="11" t="s">
        <v>435</v>
      </c>
      <c r="E36" s="10" t="s">
        <v>504</v>
      </c>
      <c r="F36" s="11" t="s">
        <v>64</v>
      </c>
      <c r="G36" s="10"/>
      <c r="I36" s="11"/>
      <c r="J36" s="96"/>
      <c r="K36" s="96"/>
      <c r="L36" s="96"/>
      <c r="M36" s="11" t="s">
        <v>519</v>
      </c>
      <c r="N36" s="96"/>
      <c r="O36" s="96"/>
      <c r="P36" s="96"/>
      <c r="Q36" s="96"/>
      <c r="U36" s="116" t="s">
        <v>492</v>
      </c>
    </row>
    <row r="37" ht="18" customHeight="1" spans="1:21">
      <c r="A37" s="115" t="s">
        <v>520</v>
      </c>
      <c r="B37" s="10" t="s">
        <v>521</v>
      </c>
      <c r="C37" s="11" t="s">
        <v>486</v>
      </c>
      <c r="D37" s="11" t="s">
        <v>435</v>
      </c>
      <c r="E37" s="10" t="s">
        <v>504</v>
      </c>
      <c r="F37" s="11" t="s">
        <v>64</v>
      </c>
      <c r="G37" s="10"/>
      <c r="I37" s="11"/>
      <c r="J37" s="96"/>
      <c r="K37" s="96"/>
      <c r="L37" s="96"/>
      <c r="M37" s="11" t="s">
        <v>522</v>
      </c>
      <c r="N37" s="96"/>
      <c r="O37" s="96"/>
      <c r="P37" s="96"/>
      <c r="Q37" s="96"/>
      <c r="U37" s="116" t="s">
        <v>413</v>
      </c>
    </row>
    <row r="38" ht="18" customHeight="1" spans="1:21">
      <c r="A38" s="115" t="s">
        <v>523</v>
      </c>
      <c r="B38" s="10" t="s">
        <v>524</v>
      </c>
      <c r="C38" s="11" t="s">
        <v>486</v>
      </c>
      <c r="D38" s="11" t="s">
        <v>435</v>
      </c>
      <c r="E38" s="10" t="s">
        <v>504</v>
      </c>
      <c r="F38" s="11" t="s">
        <v>64</v>
      </c>
      <c r="G38" s="10"/>
      <c r="I38" s="11"/>
      <c r="J38" s="96"/>
      <c r="K38" s="96"/>
      <c r="L38" s="96"/>
      <c r="M38" s="11" t="s">
        <v>525</v>
      </c>
      <c r="N38" s="96"/>
      <c r="O38" s="96"/>
      <c r="P38" s="96"/>
      <c r="Q38" s="96"/>
      <c r="U38" s="116" t="s">
        <v>413</v>
      </c>
    </row>
    <row r="39" ht="18" customHeight="1" spans="1:21">
      <c r="A39" s="115" t="s">
        <v>526</v>
      </c>
      <c r="B39" s="10" t="s">
        <v>527</v>
      </c>
      <c r="C39" s="11" t="s">
        <v>486</v>
      </c>
      <c r="D39" s="11" t="s">
        <v>435</v>
      </c>
      <c r="E39" s="10" t="s">
        <v>504</v>
      </c>
      <c r="F39" s="11" t="s">
        <v>64</v>
      </c>
      <c r="G39" s="10"/>
      <c r="I39" s="11"/>
      <c r="J39" s="96"/>
      <c r="K39" s="96"/>
      <c r="L39" s="96"/>
      <c r="M39" s="96" t="s">
        <v>528</v>
      </c>
      <c r="N39" s="96"/>
      <c r="O39" s="96"/>
      <c r="P39" s="96"/>
      <c r="Q39" s="96"/>
      <c r="U39" s="116" t="s">
        <v>413</v>
      </c>
    </row>
    <row r="40" ht="18" customHeight="1" spans="1:21">
      <c r="A40" s="115" t="s">
        <v>529</v>
      </c>
      <c r="B40" s="10" t="s">
        <v>530</v>
      </c>
      <c r="C40" s="11" t="s">
        <v>486</v>
      </c>
      <c r="D40" s="11" t="s">
        <v>435</v>
      </c>
      <c r="E40" s="10" t="s">
        <v>504</v>
      </c>
      <c r="F40" s="11" t="s">
        <v>64</v>
      </c>
      <c r="G40" s="10"/>
      <c r="I40" s="11"/>
      <c r="J40" s="96"/>
      <c r="K40" s="96"/>
      <c r="L40" s="96"/>
      <c r="M40" s="96" t="s">
        <v>531</v>
      </c>
      <c r="N40" s="96"/>
      <c r="O40" s="96"/>
      <c r="P40" s="96"/>
      <c r="Q40" s="96"/>
      <c r="U40" s="116" t="s">
        <v>413</v>
      </c>
    </row>
    <row r="41" ht="18" customHeight="1" spans="1:21">
      <c r="A41" s="115" t="s">
        <v>532</v>
      </c>
      <c r="B41" s="10" t="s">
        <v>533</v>
      </c>
      <c r="C41" s="11" t="s">
        <v>486</v>
      </c>
      <c r="D41" s="11" t="s">
        <v>435</v>
      </c>
      <c r="E41" s="10" t="s">
        <v>533</v>
      </c>
      <c r="F41" s="11" t="s">
        <v>64</v>
      </c>
      <c r="G41" s="10"/>
      <c r="I41" s="11"/>
      <c r="J41" s="96"/>
      <c r="K41" s="96"/>
      <c r="L41" s="96"/>
      <c r="M41" s="96" t="s">
        <v>534</v>
      </c>
      <c r="N41" s="96"/>
      <c r="O41" s="96"/>
      <c r="P41" s="96"/>
      <c r="Q41" s="96"/>
      <c r="U41" s="116" t="s">
        <v>413</v>
      </c>
    </row>
    <row r="42" ht="18" customHeight="1" spans="1:21">
      <c r="A42" s="115" t="s">
        <v>535</v>
      </c>
      <c r="B42" s="10" t="s">
        <v>536</v>
      </c>
      <c r="C42" s="11" t="s">
        <v>486</v>
      </c>
      <c r="D42" s="11" t="s">
        <v>435</v>
      </c>
      <c r="E42" s="10" t="s">
        <v>536</v>
      </c>
      <c r="F42" s="11" t="s">
        <v>64</v>
      </c>
      <c r="G42" s="10"/>
      <c r="I42" s="11"/>
      <c r="J42" s="96"/>
      <c r="K42" s="96"/>
      <c r="L42" s="96"/>
      <c r="M42" s="96" t="s">
        <v>537</v>
      </c>
      <c r="N42" s="96"/>
      <c r="O42" s="96"/>
      <c r="P42" s="96"/>
      <c r="Q42" s="96"/>
      <c r="U42" s="116" t="s">
        <v>413</v>
      </c>
    </row>
    <row r="43" ht="18" customHeight="1" spans="1:21">
      <c r="A43" s="115" t="s">
        <v>538</v>
      </c>
      <c r="B43" s="10" t="s">
        <v>358</v>
      </c>
      <c r="C43" s="11" t="s">
        <v>486</v>
      </c>
      <c r="D43" s="11" t="s">
        <v>435</v>
      </c>
      <c r="E43" s="10" t="s">
        <v>358</v>
      </c>
      <c r="F43" s="11" t="s">
        <v>64</v>
      </c>
      <c r="G43" s="10"/>
      <c r="I43" s="11"/>
      <c r="J43" s="96"/>
      <c r="K43" s="96"/>
      <c r="L43" s="96"/>
      <c r="M43" s="96" t="s">
        <v>539</v>
      </c>
      <c r="N43" s="96"/>
      <c r="O43" s="96"/>
      <c r="P43" s="96"/>
      <c r="Q43" s="96"/>
      <c r="U43" s="116" t="s">
        <v>413</v>
      </c>
    </row>
    <row r="44" ht="18" customHeight="1" spans="1:21">
      <c r="A44" s="115" t="s">
        <v>540</v>
      </c>
      <c r="B44" s="10" t="s">
        <v>541</v>
      </c>
      <c r="C44" s="11" t="s">
        <v>486</v>
      </c>
      <c r="D44" s="11" t="s">
        <v>435</v>
      </c>
      <c r="E44" s="10" t="s">
        <v>541</v>
      </c>
      <c r="F44" s="11" t="s">
        <v>64</v>
      </c>
      <c r="G44" s="10"/>
      <c r="I44" s="11"/>
      <c r="J44" s="96"/>
      <c r="K44" s="96"/>
      <c r="L44" s="96"/>
      <c r="M44" s="96" t="s">
        <v>542</v>
      </c>
      <c r="N44" s="96"/>
      <c r="O44" s="96"/>
      <c r="P44" s="96"/>
      <c r="Q44" s="96"/>
      <c r="U44" s="116" t="s">
        <v>413</v>
      </c>
    </row>
    <row r="45" ht="18" customHeight="1" spans="1:21">
      <c r="A45" s="115" t="s">
        <v>543</v>
      </c>
      <c r="B45" s="10" t="s">
        <v>544</v>
      </c>
      <c r="C45" s="11" t="s">
        <v>486</v>
      </c>
      <c r="D45" s="11" t="s">
        <v>435</v>
      </c>
      <c r="E45" s="10" t="s">
        <v>544</v>
      </c>
      <c r="F45" s="11" t="s">
        <v>64</v>
      </c>
      <c r="G45" s="10"/>
      <c r="I45" s="11"/>
      <c r="J45" s="96"/>
      <c r="K45" s="96"/>
      <c r="L45" s="96"/>
      <c r="M45" s="96" t="s">
        <v>342</v>
      </c>
      <c r="N45" s="96"/>
      <c r="O45" s="96"/>
      <c r="P45" s="96"/>
      <c r="Q45" s="96"/>
      <c r="U45" s="116" t="s">
        <v>413</v>
      </c>
    </row>
    <row r="46" ht="18" customHeight="1" spans="1:21">
      <c r="A46" s="115" t="s">
        <v>545</v>
      </c>
      <c r="B46" s="10" t="s">
        <v>546</v>
      </c>
      <c r="C46" s="11" t="s">
        <v>486</v>
      </c>
      <c r="D46" s="11" t="s">
        <v>435</v>
      </c>
      <c r="E46" s="10" t="s">
        <v>546</v>
      </c>
      <c r="F46" s="11" t="s">
        <v>64</v>
      </c>
      <c r="G46" s="10"/>
      <c r="I46" s="11"/>
      <c r="J46" s="96"/>
      <c r="K46" s="96"/>
      <c r="L46" s="96"/>
      <c r="M46" s="96" t="s">
        <v>547</v>
      </c>
      <c r="N46" s="96"/>
      <c r="O46" s="96"/>
      <c r="P46" s="96"/>
      <c r="Q46" s="96"/>
      <c r="U46" s="116" t="s">
        <v>548</v>
      </c>
    </row>
    <row r="47" ht="18" customHeight="1" spans="1:21">
      <c r="A47" s="115" t="s">
        <v>549</v>
      </c>
      <c r="B47" s="10" t="s">
        <v>354</v>
      </c>
      <c r="C47" s="11" t="s">
        <v>550</v>
      </c>
      <c r="D47" s="11" t="s">
        <v>435</v>
      </c>
      <c r="E47" s="10" t="s">
        <v>354</v>
      </c>
      <c r="F47" s="11" t="s">
        <v>64</v>
      </c>
      <c r="G47" s="10"/>
      <c r="I47" s="11"/>
      <c r="J47" s="96"/>
      <c r="K47" s="96"/>
      <c r="L47" s="96"/>
      <c r="M47" s="96" t="s">
        <v>551</v>
      </c>
      <c r="N47" s="96"/>
      <c r="O47" s="96"/>
      <c r="P47" s="96"/>
      <c r="Q47" s="96"/>
      <c r="U47" s="116" t="s">
        <v>548</v>
      </c>
    </row>
    <row r="48" ht="18" customHeight="1" spans="1:21">
      <c r="A48" s="115" t="s">
        <v>552</v>
      </c>
      <c r="B48" s="10" t="s">
        <v>553</v>
      </c>
      <c r="C48" s="11" t="s">
        <v>550</v>
      </c>
      <c r="D48" s="11" t="s">
        <v>435</v>
      </c>
      <c r="E48" s="10" t="s">
        <v>553</v>
      </c>
      <c r="F48" s="11" t="s">
        <v>64</v>
      </c>
      <c r="G48" s="10"/>
      <c r="I48" s="11"/>
      <c r="J48" s="96"/>
      <c r="K48" s="96"/>
      <c r="L48" s="96"/>
      <c r="M48" s="96" t="s">
        <v>554</v>
      </c>
      <c r="N48" s="96"/>
      <c r="O48" s="96"/>
      <c r="P48" s="96"/>
      <c r="Q48" s="96"/>
      <c r="U48" s="116" t="s">
        <v>548</v>
      </c>
    </row>
    <row r="49" ht="18" customHeight="1" spans="1:21">
      <c r="A49" s="115" t="s">
        <v>555</v>
      </c>
      <c r="B49" s="10" t="s">
        <v>556</v>
      </c>
      <c r="C49" s="11" t="s">
        <v>550</v>
      </c>
      <c r="D49" s="11" t="s">
        <v>435</v>
      </c>
      <c r="E49" s="10" t="s">
        <v>556</v>
      </c>
      <c r="F49" s="11" t="s">
        <v>64</v>
      </c>
      <c r="G49" s="10"/>
      <c r="I49" s="11"/>
      <c r="J49" s="96"/>
      <c r="K49" s="96"/>
      <c r="L49" s="96"/>
      <c r="M49" s="96" t="s">
        <v>557</v>
      </c>
      <c r="N49" s="96"/>
      <c r="O49" s="96"/>
      <c r="P49" s="96"/>
      <c r="Q49" s="96"/>
      <c r="U49" s="116" t="s">
        <v>557</v>
      </c>
    </row>
    <row r="50" ht="18" customHeight="1" spans="1:21">
      <c r="A50" s="115" t="s">
        <v>558</v>
      </c>
      <c r="B50" s="10" t="s">
        <v>559</v>
      </c>
      <c r="C50" s="11" t="s">
        <v>550</v>
      </c>
      <c r="D50" s="11" t="s">
        <v>435</v>
      </c>
      <c r="E50" s="10" t="s">
        <v>560</v>
      </c>
      <c r="F50" s="11" t="s">
        <v>64</v>
      </c>
      <c r="G50" s="10"/>
      <c r="I50" s="11"/>
      <c r="J50" s="96"/>
      <c r="K50" s="96"/>
      <c r="L50" s="96"/>
      <c r="M50" s="96" t="s">
        <v>561</v>
      </c>
      <c r="N50" s="96"/>
      <c r="O50" s="96"/>
      <c r="P50" s="96"/>
      <c r="Q50" s="96"/>
      <c r="U50" s="116" t="s">
        <v>299</v>
      </c>
    </row>
    <row r="51" ht="18" customHeight="1" spans="1:21">
      <c r="A51" s="115" t="s">
        <v>562</v>
      </c>
      <c r="B51" s="10" t="s">
        <v>563</v>
      </c>
      <c r="C51" s="11" t="s">
        <v>550</v>
      </c>
      <c r="D51" s="11" t="s">
        <v>435</v>
      </c>
      <c r="E51" s="10" t="s">
        <v>560</v>
      </c>
      <c r="F51" s="11" t="s">
        <v>64</v>
      </c>
      <c r="G51" s="10"/>
      <c r="I51" s="11"/>
      <c r="J51" s="96"/>
      <c r="K51" s="96"/>
      <c r="L51" s="96"/>
      <c r="M51" s="96" t="s">
        <v>356</v>
      </c>
      <c r="N51" s="96"/>
      <c r="O51" s="96"/>
      <c r="P51" s="96"/>
      <c r="Q51" s="96"/>
      <c r="U51" s="116" t="s">
        <v>413</v>
      </c>
    </row>
    <row r="52" ht="18" customHeight="1" spans="1:21">
      <c r="A52" s="115" t="s">
        <v>564</v>
      </c>
      <c r="B52" s="10" t="s">
        <v>565</v>
      </c>
      <c r="C52" s="11" t="s">
        <v>566</v>
      </c>
      <c r="D52" s="11" t="s">
        <v>435</v>
      </c>
      <c r="E52" s="10" t="s">
        <v>567</v>
      </c>
      <c r="F52" s="11" t="s">
        <v>568</v>
      </c>
      <c r="G52" s="10"/>
      <c r="I52" s="11"/>
      <c r="J52" s="96"/>
      <c r="K52" s="96"/>
      <c r="L52" s="96"/>
      <c r="M52" s="96" t="s">
        <v>569</v>
      </c>
      <c r="N52" s="96"/>
      <c r="O52" s="96"/>
      <c r="P52" s="96"/>
      <c r="Q52" s="96"/>
    </row>
    <row r="53" ht="18" customHeight="1" spans="1:21">
      <c r="A53" s="115" t="s">
        <v>570</v>
      </c>
      <c r="B53" s="10" t="s">
        <v>255</v>
      </c>
      <c r="C53" s="11" t="s">
        <v>566</v>
      </c>
      <c r="D53" s="11" t="s">
        <v>435</v>
      </c>
      <c r="E53" s="10" t="s">
        <v>567</v>
      </c>
      <c r="F53" s="11" t="s">
        <v>568</v>
      </c>
      <c r="G53" s="10"/>
      <c r="I53" s="11"/>
      <c r="J53" s="96"/>
      <c r="K53" s="96"/>
      <c r="L53" s="96"/>
      <c r="M53" s="96" t="s">
        <v>571</v>
      </c>
      <c r="N53" s="96"/>
      <c r="O53" s="96"/>
      <c r="P53" s="96"/>
      <c r="Q53" s="96"/>
    </row>
    <row r="54" ht="18" customHeight="1" spans="1:21">
      <c r="A54" s="115" t="s">
        <v>572</v>
      </c>
      <c r="B54" s="10" t="s">
        <v>261</v>
      </c>
      <c r="C54" s="11" t="s">
        <v>566</v>
      </c>
      <c r="D54" s="11" t="s">
        <v>435</v>
      </c>
      <c r="E54" s="10" t="s">
        <v>567</v>
      </c>
      <c r="F54" s="11" t="s">
        <v>568</v>
      </c>
      <c r="G54" s="10"/>
      <c r="I54" s="11"/>
      <c r="J54" s="96"/>
      <c r="K54" s="96"/>
      <c r="L54" s="96"/>
      <c r="M54" s="96"/>
      <c r="N54" s="96"/>
      <c r="O54" s="96"/>
      <c r="P54" s="96"/>
      <c r="Q54" s="96"/>
    </row>
    <row r="55" ht="18" customHeight="1" spans="1:21">
      <c r="A55" s="115" t="s">
        <v>573</v>
      </c>
      <c r="B55" s="10" t="s">
        <v>264</v>
      </c>
      <c r="C55" s="11" t="s">
        <v>566</v>
      </c>
      <c r="D55" s="11" t="s">
        <v>435</v>
      </c>
      <c r="E55" s="10" t="s">
        <v>567</v>
      </c>
      <c r="F55" s="11" t="s">
        <v>568</v>
      </c>
      <c r="G55" s="10"/>
      <c r="I55" s="11"/>
      <c r="J55" s="96"/>
      <c r="K55" s="96"/>
      <c r="L55" s="96"/>
      <c r="M55" s="96"/>
      <c r="N55" s="96"/>
      <c r="O55" s="96"/>
      <c r="P55" s="96"/>
      <c r="Q55" s="96"/>
    </row>
    <row r="56" ht="18" customHeight="1" spans="1:21">
      <c r="A56" s="115" t="s">
        <v>574</v>
      </c>
      <c r="B56" s="10" t="s">
        <v>575</v>
      </c>
      <c r="C56" s="11" t="s">
        <v>566</v>
      </c>
      <c r="D56" s="11" t="s">
        <v>435</v>
      </c>
      <c r="E56" s="10" t="s">
        <v>567</v>
      </c>
      <c r="F56" s="11" t="s">
        <v>568</v>
      </c>
      <c r="G56" s="10"/>
      <c r="I56" s="11"/>
      <c r="J56" s="96"/>
      <c r="K56" s="96"/>
      <c r="L56" s="96"/>
      <c r="M56" s="96"/>
      <c r="N56" s="96"/>
      <c r="O56" s="96"/>
      <c r="P56" s="96"/>
      <c r="Q56" s="96"/>
    </row>
    <row r="57" ht="18" customHeight="1" spans="1:21">
      <c r="A57" s="115" t="s">
        <v>576</v>
      </c>
      <c r="B57" s="10" t="s">
        <v>276</v>
      </c>
      <c r="C57" s="11" t="s">
        <v>566</v>
      </c>
      <c r="D57" s="11" t="s">
        <v>435</v>
      </c>
      <c r="E57" s="10" t="s">
        <v>567</v>
      </c>
      <c r="F57" s="11" t="s">
        <v>568</v>
      </c>
      <c r="G57" s="10"/>
      <c r="I57" s="11"/>
      <c r="J57" s="96"/>
      <c r="K57" s="96"/>
      <c r="L57" s="96"/>
      <c r="M57" s="96"/>
      <c r="N57" s="96"/>
      <c r="O57" s="96"/>
      <c r="P57" s="96"/>
      <c r="Q57" s="96"/>
    </row>
    <row r="58" ht="18" customHeight="1" spans="1:21">
      <c r="A58" s="115" t="s">
        <v>577</v>
      </c>
      <c r="B58" s="10" t="s">
        <v>578</v>
      </c>
      <c r="C58" s="11" t="s">
        <v>566</v>
      </c>
      <c r="D58" s="11" t="s">
        <v>435</v>
      </c>
      <c r="E58" s="10" t="s">
        <v>567</v>
      </c>
      <c r="F58" s="11" t="s">
        <v>568</v>
      </c>
      <c r="G58" s="10"/>
      <c r="I58" s="11"/>
      <c r="J58" s="96"/>
      <c r="K58" s="96"/>
      <c r="L58" s="96"/>
      <c r="M58" s="96"/>
      <c r="N58" s="96"/>
      <c r="O58" s="96"/>
      <c r="P58" s="96"/>
      <c r="Q58" s="96"/>
    </row>
    <row r="59" ht="18" customHeight="1" spans="1:21">
      <c r="A59" s="115" t="s">
        <v>579</v>
      </c>
      <c r="B59" s="10" t="s">
        <v>580</v>
      </c>
      <c r="C59" s="11" t="s">
        <v>566</v>
      </c>
      <c r="D59" s="11" t="s">
        <v>435</v>
      </c>
      <c r="E59" s="10" t="s">
        <v>580</v>
      </c>
      <c r="F59" s="11" t="s">
        <v>568</v>
      </c>
      <c r="G59" s="10"/>
      <c r="I59" s="11"/>
      <c r="J59" s="96"/>
      <c r="K59" s="96"/>
      <c r="L59" s="96"/>
      <c r="M59" s="96"/>
      <c r="N59" s="96"/>
      <c r="O59" s="96"/>
      <c r="P59" s="96"/>
      <c r="Q59" s="96"/>
    </row>
    <row r="60" ht="18" customHeight="1" spans="1:21">
      <c r="A60" s="115" t="s">
        <v>581</v>
      </c>
      <c r="B60" s="10" t="s">
        <v>582</v>
      </c>
      <c r="C60" s="11" t="s">
        <v>566</v>
      </c>
      <c r="D60" s="11" t="s">
        <v>435</v>
      </c>
      <c r="E60" s="10" t="s">
        <v>582</v>
      </c>
      <c r="F60" s="11" t="s">
        <v>568</v>
      </c>
      <c r="G60" s="10"/>
      <c r="I60" s="11"/>
      <c r="J60" s="96"/>
      <c r="K60" s="96"/>
      <c r="L60" s="96"/>
      <c r="M60" s="96"/>
      <c r="N60" s="96"/>
      <c r="O60" s="96"/>
      <c r="P60" s="96"/>
      <c r="Q60" s="96"/>
    </row>
    <row r="61" ht="18" customHeight="1" spans="1:21">
      <c r="A61" s="115" t="s">
        <v>583</v>
      </c>
      <c r="B61" s="10" t="s">
        <v>299</v>
      </c>
      <c r="C61" s="11" t="s">
        <v>566</v>
      </c>
      <c r="D61" s="11" t="s">
        <v>382</v>
      </c>
      <c r="E61" s="10" t="s">
        <v>584</v>
      </c>
      <c r="F61" s="11" t="s">
        <v>585</v>
      </c>
      <c r="G61" s="10"/>
      <c r="I61" s="11"/>
      <c r="J61" s="96"/>
      <c r="K61" s="96"/>
      <c r="L61" s="96"/>
      <c r="M61" s="96"/>
      <c r="N61" s="96"/>
      <c r="O61" s="96"/>
      <c r="P61" s="96"/>
      <c r="Q61" s="96"/>
    </row>
    <row r="62" ht="18" customHeight="1" spans="1:21">
      <c r="A62" s="115" t="s">
        <v>586</v>
      </c>
      <c r="B62" s="10" t="s">
        <v>587</v>
      </c>
      <c r="C62" s="11" t="s">
        <v>566</v>
      </c>
      <c r="D62" s="11" t="s">
        <v>382</v>
      </c>
      <c r="E62" s="10" t="s">
        <v>584</v>
      </c>
      <c r="F62" s="11" t="s">
        <v>585</v>
      </c>
      <c r="G62" s="10"/>
      <c r="I62" s="11"/>
      <c r="J62" s="96"/>
      <c r="K62" s="96"/>
      <c r="L62" s="96"/>
      <c r="M62" s="96"/>
      <c r="N62" s="96"/>
      <c r="O62" s="96"/>
      <c r="P62" s="96"/>
      <c r="Q62" s="96"/>
    </row>
    <row r="63" ht="18" customHeight="1" spans="1:21">
      <c r="A63" s="115" t="s">
        <v>588</v>
      </c>
      <c r="B63" s="10" t="s">
        <v>557</v>
      </c>
      <c r="C63" s="11" t="s">
        <v>566</v>
      </c>
      <c r="D63" s="11" t="s">
        <v>382</v>
      </c>
      <c r="E63" s="10" t="s">
        <v>557</v>
      </c>
      <c r="F63" s="11" t="s">
        <v>585</v>
      </c>
      <c r="G63" s="10"/>
      <c r="I63" s="11"/>
      <c r="J63" s="96"/>
      <c r="K63" s="96"/>
      <c r="L63" s="96"/>
      <c r="M63" s="96"/>
      <c r="N63" s="96"/>
      <c r="O63" s="96"/>
      <c r="P63" s="96"/>
      <c r="Q63" s="96"/>
    </row>
    <row r="64" ht="18" customHeight="1" spans="1:21">
      <c r="A64" s="115" t="s">
        <v>589</v>
      </c>
      <c r="B64" s="10" t="s">
        <v>492</v>
      </c>
      <c r="C64" s="11" t="s">
        <v>566</v>
      </c>
      <c r="D64" s="11" t="s">
        <v>382</v>
      </c>
      <c r="E64" s="10" t="s">
        <v>492</v>
      </c>
      <c r="F64" s="11" t="s">
        <v>585</v>
      </c>
      <c r="G64" s="10"/>
      <c r="I64" s="11"/>
      <c r="J64" s="96"/>
      <c r="K64" s="96"/>
      <c r="L64" s="96"/>
      <c r="M64" s="96"/>
      <c r="N64" s="96"/>
      <c r="O64" s="96"/>
      <c r="P64" s="96"/>
      <c r="Q64" s="96"/>
    </row>
    <row r="65" ht="18" customHeight="1" spans="1:17">
      <c r="A65" s="115" t="s">
        <v>590</v>
      </c>
      <c r="B65" s="10" t="s">
        <v>413</v>
      </c>
      <c r="C65" s="11" t="s">
        <v>566</v>
      </c>
      <c r="D65" s="11" t="s">
        <v>382</v>
      </c>
      <c r="E65" s="10" t="s">
        <v>413</v>
      </c>
      <c r="F65" s="11" t="s">
        <v>585</v>
      </c>
      <c r="G65" s="10"/>
      <c r="I65" s="11"/>
      <c r="J65" s="96"/>
      <c r="K65" s="96"/>
      <c r="L65" s="96"/>
      <c r="M65" s="96"/>
      <c r="N65" s="96"/>
      <c r="O65" s="96"/>
      <c r="P65" s="96"/>
      <c r="Q65" s="96"/>
    </row>
    <row r="66" ht="18" customHeight="1" spans="1:17">
      <c r="A66" s="115" t="s">
        <v>591</v>
      </c>
      <c r="B66" s="10" t="s">
        <v>548</v>
      </c>
      <c r="C66" s="11" t="s">
        <v>566</v>
      </c>
      <c r="D66" s="11" t="s">
        <v>382</v>
      </c>
      <c r="E66" s="10" t="s">
        <v>548</v>
      </c>
      <c r="F66" s="11" t="s">
        <v>585</v>
      </c>
      <c r="G66" s="10"/>
      <c r="I66" s="11"/>
      <c r="J66" s="96"/>
      <c r="K66" s="96"/>
      <c r="L66" s="96"/>
      <c r="M66" s="96"/>
      <c r="N66" s="96"/>
      <c r="O66" s="96"/>
      <c r="P66" s="96"/>
      <c r="Q66" s="96"/>
    </row>
    <row r="67" ht="18" customHeight="1" spans="1:17">
      <c r="A67" s="115" t="s">
        <v>592</v>
      </c>
      <c r="B67" s="10" t="s">
        <v>593</v>
      </c>
      <c r="C67" s="11" t="s">
        <v>566</v>
      </c>
      <c r="D67" s="11" t="s">
        <v>382</v>
      </c>
      <c r="E67" s="10" t="s">
        <v>593</v>
      </c>
      <c r="F67" s="11" t="s">
        <v>585</v>
      </c>
      <c r="G67" s="10"/>
      <c r="I67" s="11"/>
      <c r="J67" s="96"/>
      <c r="K67" s="96"/>
      <c r="L67" s="96"/>
      <c r="M67" s="96"/>
      <c r="N67" s="96"/>
      <c r="O67" s="96"/>
      <c r="P67" s="96"/>
      <c r="Q67" s="96"/>
    </row>
    <row r="68" ht="18" customHeight="1" spans="1:17">
      <c r="A68" s="115" t="s">
        <v>594</v>
      </c>
      <c r="B68" s="10" t="s">
        <v>595</v>
      </c>
      <c r="C68" s="11" t="s">
        <v>566</v>
      </c>
      <c r="D68" s="11" t="s">
        <v>382</v>
      </c>
      <c r="E68" s="10" t="s">
        <v>595</v>
      </c>
      <c r="F68" s="11" t="s">
        <v>585</v>
      </c>
      <c r="G68" s="10"/>
      <c r="I68" s="11"/>
      <c r="J68" s="96"/>
      <c r="K68" s="96"/>
      <c r="L68" s="96"/>
      <c r="M68" s="96"/>
      <c r="N68" s="96"/>
      <c r="O68" s="96"/>
      <c r="P68" s="96"/>
      <c r="Q68" s="96"/>
    </row>
    <row r="69" ht="18" customHeight="1" spans="1:17">
      <c r="A69" s="115"/>
      <c r="B69" s="10"/>
      <c r="C69" s="11"/>
      <c r="D69" s="11"/>
      <c r="E69" s="10"/>
      <c r="F69" s="11"/>
      <c r="G69" s="10"/>
      <c r="I69" s="11"/>
      <c r="J69" s="96"/>
      <c r="K69" s="96"/>
      <c r="L69" s="96"/>
      <c r="M69" s="96"/>
      <c r="N69" s="96"/>
      <c r="O69" s="96"/>
      <c r="P69" s="96"/>
      <c r="Q69" s="96"/>
    </row>
    <row r="70" ht="18" customHeight="1" spans="1:17">
      <c r="A70" s="115"/>
      <c r="B70" s="10"/>
      <c r="C70" s="11"/>
      <c r="D70" s="11"/>
      <c r="E70" s="10"/>
      <c r="F70" s="11"/>
      <c r="G70" s="10"/>
      <c r="I70" s="11"/>
      <c r="J70" s="96"/>
      <c r="K70" s="96"/>
      <c r="L70" s="96"/>
      <c r="M70" s="96"/>
      <c r="N70" s="96"/>
      <c r="O70" s="96"/>
      <c r="P70" s="96"/>
      <c r="Q70" s="96"/>
    </row>
    <row r="71" ht="18" customHeight="1" spans="1:17">
      <c r="A71" s="115"/>
      <c r="B71" s="10"/>
      <c r="C71" s="11"/>
      <c r="D71" s="11"/>
      <c r="E71" s="10"/>
      <c r="F71" s="11"/>
      <c r="G71" s="10"/>
      <c r="I71" s="11"/>
      <c r="J71" s="96"/>
      <c r="K71" s="96"/>
      <c r="L71" s="96"/>
      <c r="M71" s="96"/>
      <c r="N71" s="96"/>
      <c r="O71" s="96"/>
      <c r="P71" s="96"/>
      <c r="Q71" s="96"/>
    </row>
    <row r="72" ht="18" customHeight="1" spans="1:17">
      <c r="A72" s="115"/>
      <c r="B72" s="10"/>
      <c r="C72" s="11"/>
      <c r="D72" s="11"/>
      <c r="E72" s="10"/>
      <c r="F72" s="11"/>
      <c r="G72" s="10"/>
      <c r="I72" s="11"/>
      <c r="J72" s="96"/>
      <c r="K72" s="96"/>
      <c r="L72" s="96"/>
      <c r="M72" s="96"/>
      <c r="N72" s="96"/>
      <c r="O72" s="96"/>
      <c r="P72" s="96"/>
      <c r="Q72" s="96"/>
    </row>
    <row r="73" ht="18" customHeight="1" spans="1:17">
      <c r="A73" s="115"/>
      <c r="B73" s="10"/>
      <c r="C73" s="11"/>
      <c r="D73" s="11"/>
      <c r="E73" s="10"/>
      <c r="F73" s="11"/>
      <c r="G73" s="10"/>
      <c r="I73" s="11"/>
      <c r="J73" s="96"/>
      <c r="K73" s="96"/>
      <c r="L73" s="96"/>
      <c r="M73" s="96"/>
      <c r="N73" s="96"/>
      <c r="O73" s="96"/>
      <c r="P73" s="96"/>
      <c r="Q73" s="96"/>
    </row>
    <row r="74" ht="18" customHeight="1" spans="1:17">
      <c r="A74" s="115"/>
      <c r="B74" s="10"/>
      <c r="C74" s="11"/>
      <c r="D74" s="11"/>
      <c r="E74" s="10"/>
      <c r="F74" s="11"/>
      <c r="G74" s="10"/>
      <c r="I74" s="11"/>
      <c r="J74" s="96"/>
      <c r="K74" s="96"/>
      <c r="L74" s="96"/>
      <c r="M74" s="96"/>
      <c r="N74" s="96"/>
      <c r="O74" s="96"/>
      <c r="P74" s="96"/>
      <c r="Q74" s="96"/>
    </row>
    <row r="75" ht="18" customHeight="1" spans="1:17">
      <c r="A75" s="115"/>
      <c r="B75" s="10"/>
      <c r="C75" s="11"/>
      <c r="D75" s="11"/>
      <c r="E75" s="10"/>
      <c r="F75" s="11"/>
      <c r="G75" s="10"/>
      <c r="I75" s="11"/>
      <c r="J75" s="96"/>
      <c r="K75" s="96"/>
      <c r="L75" s="96"/>
      <c r="M75" s="96"/>
      <c r="N75" s="96"/>
      <c r="O75" s="96"/>
      <c r="P75" s="96"/>
      <c r="Q75" s="96"/>
    </row>
    <row r="76" ht="18" customHeight="1" spans="1:17">
      <c r="A76" s="115"/>
      <c r="B76" s="10"/>
      <c r="C76" s="11"/>
      <c r="D76" s="11"/>
      <c r="E76" s="10"/>
      <c r="F76" s="11"/>
      <c r="G76" s="10"/>
      <c r="I76" s="11"/>
      <c r="J76" s="96"/>
      <c r="K76" s="96"/>
      <c r="L76" s="96"/>
      <c r="M76" s="96"/>
      <c r="N76" s="96"/>
      <c r="O76" s="96"/>
      <c r="P76" s="96"/>
      <c r="Q76" s="96"/>
    </row>
    <row r="77" ht="18" customHeight="1" spans="1:17">
      <c r="A77" s="115"/>
      <c r="B77" s="10"/>
      <c r="C77" s="11"/>
      <c r="D77" s="11"/>
      <c r="E77" s="10"/>
      <c r="F77" s="11"/>
      <c r="G77" s="10"/>
      <c r="I77" s="11"/>
      <c r="J77" s="96"/>
      <c r="K77" s="96"/>
      <c r="L77" s="96"/>
      <c r="M77" s="96"/>
      <c r="N77" s="96"/>
      <c r="O77" s="96"/>
      <c r="P77" s="96"/>
      <c r="Q77" s="96"/>
    </row>
    <row r="78" ht="18" customHeight="1" spans="1:17">
      <c r="A78" s="115"/>
      <c r="B78" s="10"/>
      <c r="C78" s="11"/>
      <c r="D78" s="11"/>
      <c r="E78" s="10"/>
      <c r="F78" s="11"/>
      <c r="G78" s="10"/>
      <c r="I78" s="11"/>
      <c r="J78" s="96"/>
      <c r="K78" s="96"/>
      <c r="L78" s="96"/>
      <c r="M78" s="96"/>
      <c r="N78" s="96"/>
      <c r="O78" s="96"/>
      <c r="P78" s="96"/>
      <c r="Q78" s="96"/>
    </row>
    <row r="79" ht="18" customHeight="1" spans="1:17">
      <c r="A79" s="115"/>
      <c r="B79" s="10"/>
      <c r="C79" s="11"/>
      <c r="D79" s="11"/>
      <c r="E79" s="10"/>
      <c r="F79" s="11"/>
      <c r="G79" s="10"/>
      <c r="I79" s="11"/>
      <c r="J79" s="96"/>
      <c r="K79" s="96"/>
      <c r="L79" s="96"/>
      <c r="M79" s="96"/>
      <c r="N79" s="96"/>
      <c r="O79" s="96"/>
      <c r="P79" s="96"/>
      <c r="Q79" s="96"/>
    </row>
    <row r="80" ht="18" customHeight="1" spans="1:17">
      <c r="A80" s="115"/>
      <c r="B80" s="10"/>
      <c r="C80" s="11"/>
      <c r="D80" s="11"/>
      <c r="E80" s="10"/>
      <c r="F80" s="11"/>
      <c r="G80" s="10"/>
      <c r="I80" s="11"/>
      <c r="J80" s="96"/>
      <c r="K80" s="96"/>
      <c r="L80" s="96"/>
      <c r="M80" s="96"/>
      <c r="N80" s="96"/>
      <c r="O80" s="96"/>
      <c r="P80" s="96"/>
      <c r="Q80" s="96"/>
    </row>
    <row r="81" ht="18" customHeight="1" spans="1:17">
      <c r="A81" s="115"/>
      <c r="B81" s="10"/>
      <c r="C81" s="11"/>
      <c r="D81" s="11"/>
      <c r="E81" s="10"/>
      <c r="F81" s="11"/>
      <c r="G81" s="10"/>
      <c r="I81" s="11"/>
      <c r="J81" s="96"/>
      <c r="K81" s="96"/>
      <c r="L81" s="96"/>
      <c r="M81" s="96"/>
      <c r="N81" s="96"/>
      <c r="O81" s="96"/>
      <c r="P81" s="96"/>
      <c r="Q81" s="96"/>
    </row>
    <row r="82" spans="1:17">
      <c r="I82" s="11"/>
      <c r="J82" s="96"/>
      <c r="K82" s="96"/>
      <c r="L82" s="96"/>
      <c r="M82" s="96"/>
      <c r="N82" s="96"/>
      <c r="O82" s="96"/>
      <c r="P82" s="96"/>
      <c r="Q82" s="96"/>
    </row>
    <row r="83" spans="1:17">
      <c r="I83" s="11"/>
      <c r="J83" s="96"/>
      <c r="K83" s="96"/>
      <c r="L83" s="96"/>
      <c r="M83" s="96"/>
      <c r="N83" s="96"/>
      <c r="O83" s="96"/>
      <c r="P83" s="96"/>
      <c r="Q83" s="96"/>
    </row>
    <row r="84" spans="1:17">
      <c r="I84" s="11"/>
      <c r="J84" s="96"/>
      <c r="K84" s="96"/>
      <c r="L84" s="96"/>
      <c r="M84" s="96"/>
      <c r="N84" s="96"/>
      <c r="O84" s="96"/>
      <c r="P84" s="96"/>
      <c r="Q84" s="96"/>
    </row>
    <row r="85" spans="1:17">
      <c r="I85" s="11"/>
      <c r="J85" s="96"/>
      <c r="K85" s="96"/>
      <c r="L85" s="96"/>
      <c r="M85" s="96"/>
      <c r="N85" s="96"/>
      <c r="O85" s="96"/>
      <c r="P85" s="96"/>
      <c r="Q85" s="96"/>
    </row>
    <row r="86" spans="1:17">
      <c r="I86" s="11"/>
      <c r="J86" s="96"/>
      <c r="K86" s="96"/>
      <c r="L86" s="96"/>
      <c r="M86" s="96"/>
      <c r="N86" s="96"/>
      <c r="O86" s="96"/>
      <c r="P86" s="96"/>
      <c r="Q86" s="96"/>
    </row>
    <row r="87" spans="1:17">
      <c r="I87" s="11"/>
      <c r="J87" s="96"/>
      <c r="K87" s="96"/>
      <c r="L87" s="96"/>
      <c r="M87" s="96"/>
      <c r="N87" s="96"/>
      <c r="O87" s="96"/>
      <c r="P87" s="96"/>
      <c r="Q87" s="96"/>
    </row>
    <row r="88" spans="1:17">
      <c r="I88" s="11"/>
      <c r="J88" s="96"/>
      <c r="K88" s="96"/>
      <c r="L88" s="96"/>
      <c r="M88" s="96"/>
      <c r="N88" s="96"/>
      <c r="O88" s="96"/>
      <c r="P88" s="96"/>
      <c r="Q88" s="96"/>
    </row>
    <row r="89" spans="1:17">
      <c r="I89" s="11"/>
      <c r="J89" s="96"/>
      <c r="K89" s="96"/>
      <c r="L89" s="96"/>
      <c r="M89" s="96"/>
      <c r="N89" s="96"/>
      <c r="O89" s="96"/>
      <c r="P89" s="96"/>
      <c r="Q89" s="96"/>
    </row>
    <row r="90" spans="1:17">
      <c r="I90" s="11"/>
      <c r="J90" s="96"/>
      <c r="K90" s="96"/>
      <c r="L90" s="96"/>
      <c r="M90" s="96"/>
      <c r="N90" s="96"/>
      <c r="O90" s="96"/>
      <c r="P90" s="96"/>
      <c r="Q90" s="96"/>
    </row>
    <row r="91" spans="1:17">
      <c r="I91" s="11"/>
      <c r="J91" s="96"/>
      <c r="K91" s="96"/>
      <c r="L91" s="96"/>
      <c r="M91" s="96"/>
      <c r="N91" s="96"/>
      <c r="O91" s="96"/>
      <c r="P91" s="96"/>
      <c r="Q91" s="96"/>
    </row>
    <row r="92" spans="1:17">
      <c r="I92" s="11"/>
      <c r="J92" s="96"/>
      <c r="K92" s="96"/>
      <c r="L92" s="96"/>
      <c r="M92" s="96"/>
      <c r="N92" s="96"/>
      <c r="O92" s="96"/>
      <c r="P92" s="96"/>
      <c r="Q92" s="96"/>
    </row>
    <row r="93" spans="1:17">
      <c r="I93" s="11"/>
      <c r="J93" s="96"/>
      <c r="K93" s="96"/>
      <c r="L93" s="96"/>
      <c r="M93" s="96"/>
      <c r="N93" s="96"/>
      <c r="O93" s="96"/>
      <c r="P93" s="96"/>
      <c r="Q93" s="96"/>
    </row>
    <row r="94" spans="1:17">
      <c r="I94" s="11"/>
      <c r="J94" s="96"/>
      <c r="K94" s="96"/>
      <c r="L94" s="96"/>
      <c r="M94" s="96"/>
      <c r="N94" s="96"/>
      <c r="O94" s="96"/>
      <c r="P94" s="96"/>
      <c r="Q94" s="96"/>
    </row>
    <row r="95" spans="1:17">
      <c r="I95" s="11"/>
      <c r="J95" s="96"/>
      <c r="K95" s="96"/>
      <c r="L95" s="96"/>
      <c r="M95" s="96"/>
      <c r="N95" s="96"/>
      <c r="O95" s="96"/>
      <c r="P95" s="96"/>
      <c r="Q95" s="96"/>
    </row>
    <row r="96" spans="1:17">
      <c r="I96" s="11"/>
      <c r="J96" s="96"/>
      <c r="K96" s="96"/>
      <c r="L96" s="96"/>
      <c r="M96" s="96"/>
      <c r="N96" s="96"/>
      <c r="O96" s="96"/>
      <c r="P96" s="96"/>
      <c r="Q96" s="96"/>
    </row>
    <row r="97" spans="9:17">
      <c r="I97" s="11"/>
      <c r="J97" s="96"/>
      <c r="K97" s="96"/>
      <c r="L97" s="96"/>
      <c r="M97" s="96"/>
      <c r="N97" s="96"/>
      <c r="O97" s="96"/>
      <c r="P97" s="96"/>
      <c r="Q97" s="96"/>
    </row>
    <row r="98" spans="9:17">
      <c r="I98" s="11"/>
      <c r="J98" s="96"/>
      <c r="K98" s="96"/>
      <c r="L98" s="96"/>
      <c r="M98" s="96"/>
      <c r="N98" s="96"/>
      <c r="O98" s="96"/>
      <c r="P98" s="96"/>
      <c r="Q98" s="96"/>
    </row>
    <row r="99" spans="9:17">
      <c r="I99" s="11"/>
      <c r="J99" s="96"/>
      <c r="K99" s="96"/>
      <c r="L99" s="96"/>
      <c r="M99" s="96"/>
      <c r="N99" s="96"/>
      <c r="O99" s="96"/>
      <c r="P99" s="96"/>
      <c r="Q99" s="96"/>
    </row>
    <row r="100" spans="9:17">
      <c r="I100" s="11"/>
      <c r="J100" s="96"/>
      <c r="K100" s="96"/>
      <c r="L100" s="96"/>
      <c r="M100" s="96"/>
      <c r="N100" s="96"/>
      <c r="O100" s="96"/>
      <c r="P100" s="96"/>
      <c r="Q100" s="96"/>
    </row>
    <row r="101" spans="9:17">
      <c r="I101" s="11"/>
      <c r="J101" s="96"/>
      <c r="K101" s="96"/>
      <c r="L101" s="96"/>
      <c r="M101" s="96"/>
      <c r="N101" s="96"/>
      <c r="O101" s="96"/>
      <c r="P101" s="96"/>
      <c r="Q101" s="96"/>
    </row>
    <row r="102" spans="9:17">
      <c r="I102" s="11"/>
      <c r="J102" s="96"/>
      <c r="K102" s="96"/>
      <c r="L102" s="96"/>
      <c r="M102" s="96"/>
      <c r="N102" s="96"/>
      <c r="O102" s="96"/>
      <c r="P102" s="96"/>
      <c r="Q102" s="96"/>
    </row>
    <row r="103" spans="9:17">
      <c r="I103" s="11"/>
      <c r="J103" s="96"/>
      <c r="K103" s="96"/>
      <c r="L103" s="96"/>
      <c r="M103" s="96"/>
      <c r="N103" s="96"/>
      <c r="O103" s="96"/>
      <c r="P103" s="96"/>
      <c r="Q103" s="96"/>
    </row>
    <row r="104" spans="9:17">
      <c r="I104" s="11"/>
      <c r="J104" s="96"/>
      <c r="K104" s="96"/>
      <c r="L104" s="96"/>
      <c r="M104" s="96"/>
      <c r="N104" s="96"/>
      <c r="O104" s="96"/>
      <c r="P104" s="96"/>
      <c r="Q104" s="96"/>
    </row>
    <row r="105" spans="9:17">
      <c r="I105" s="11"/>
      <c r="J105" s="96"/>
      <c r="K105" s="96"/>
      <c r="L105" s="96"/>
      <c r="M105" s="96"/>
      <c r="N105" s="96"/>
      <c r="O105" s="96"/>
      <c r="P105" s="96"/>
      <c r="Q105" s="96"/>
    </row>
    <row r="106" spans="9:17">
      <c r="I106" s="11"/>
      <c r="J106" s="96"/>
      <c r="K106" s="96"/>
      <c r="L106" s="96"/>
      <c r="M106" s="96"/>
      <c r="N106" s="96"/>
      <c r="O106" s="96"/>
      <c r="P106" s="96"/>
      <c r="Q106" s="96"/>
    </row>
    <row r="107" spans="9:17">
      <c r="I107" s="11"/>
      <c r="J107" s="96"/>
      <c r="K107" s="96"/>
      <c r="L107" s="96"/>
      <c r="M107" s="96"/>
      <c r="N107" s="96"/>
      <c r="O107" s="96"/>
      <c r="P107" s="96"/>
      <c r="Q107" s="96"/>
    </row>
    <row r="108" spans="9:17">
      <c r="I108" s="11"/>
      <c r="J108" s="96"/>
      <c r="K108" s="96"/>
      <c r="L108" s="96"/>
      <c r="M108" s="96"/>
      <c r="N108" s="96"/>
      <c r="O108" s="96"/>
      <c r="P108" s="96"/>
      <c r="Q108" s="96"/>
    </row>
    <row r="109" spans="9:17">
      <c r="I109" s="11"/>
      <c r="J109" s="96"/>
      <c r="K109" s="96"/>
      <c r="L109" s="96"/>
      <c r="M109" s="96"/>
      <c r="N109" s="96"/>
      <c r="O109" s="96"/>
      <c r="P109" s="96"/>
      <c r="Q109" s="96"/>
    </row>
    <row r="110" spans="9:17">
      <c r="I110" s="11"/>
      <c r="J110" s="96"/>
      <c r="K110" s="96"/>
      <c r="L110" s="96"/>
      <c r="M110" s="96"/>
      <c r="N110" s="96"/>
      <c r="O110" s="96"/>
      <c r="P110" s="96"/>
      <c r="Q110" s="96"/>
    </row>
    <row r="111" spans="9:17">
      <c r="I111" s="11"/>
      <c r="J111" s="96"/>
      <c r="K111" s="96"/>
      <c r="L111" s="96"/>
      <c r="M111" s="96"/>
      <c r="N111" s="96"/>
      <c r="O111" s="96"/>
      <c r="P111" s="96"/>
      <c r="Q111" s="96"/>
    </row>
    <row r="112" spans="9:17">
      <c r="I112" s="11"/>
      <c r="J112" s="96"/>
      <c r="K112" s="96"/>
      <c r="L112" s="96"/>
      <c r="M112" s="96"/>
      <c r="N112" s="96"/>
      <c r="O112" s="96"/>
      <c r="P112" s="96"/>
      <c r="Q112" s="96"/>
    </row>
    <row r="113" spans="9:17">
      <c r="I113" s="11"/>
      <c r="J113" s="96"/>
      <c r="K113" s="96"/>
      <c r="L113" s="96"/>
      <c r="M113" s="96"/>
      <c r="N113" s="96"/>
      <c r="O113" s="96"/>
      <c r="P113" s="96"/>
      <c r="Q113" s="96"/>
    </row>
    <row r="114" spans="9:17">
      <c r="I114" s="96"/>
      <c r="J114" s="96"/>
      <c r="K114" s="96"/>
      <c r="L114" s="96"/>
      <c r="M114" s="96"/>
      <c r="N114" s="96"/>
      <c r="O114" s="96"/>
      <c r="P114" s="96"/>
      <c r="Q114" s="96"/>
    </row>
    <row r="115" spans="9:17">
      <c r="I115" s="96"/>
      <c r="J115" s="96"/>
      <c r="K115" s="96"/>
      <c r="L115" s="96"/>
      <c r="M115" s="96"/>
      <c r="N115" s="96"/>
      <c r="O115" s="96"/>
      <c r="P115" s="96"/>
      <c r="Q115" s="96"/>
    </row>
    <row r="116" spans="9:17">
      <c r="I116" s="96"/>
      <c r="J116" s="96"/>
      <c r="K116" s="96"/>
      <c r="L116" s="96"/>
      <c r="M116" s="96"/>
      <c r="N116" s="96"/>
      <c r="O116" s="96"/>
      <c r="P116" s="96"/>
      <c r="Q116" s="96"/>
    </row>
    <row r="117" spans="9:17">
      <c r="I117" s="96"/>
      <c r="J117" s="96"/>
      <c r="K117" s="96"/>
      <c r="L117" s="96"/>
      <c r="M117" s="96"/>
      <c r="N117" s="96"/>
      <c r="O117" s="96"/>
      <c r="P117" s="96"/>
      <c r="Q117" s="96"/>
    </row>
    <row r="118" spans="9:17">
      <c r="I118" s="96"/>
      <c r="J118" s="96"/>
      <c r="K118" s="96"/>
      <c r="L118" s="96"/>
      <c r="M118" s="96"/>
      <c r="N118" s="96"/>
      <c r="O118" s="96"/>
      <c r="P118" s="96"/>
      <c r="Q118" s="96"/>
    </row>
    <row r="119" spans="9:17">
      <c r="I119" s="96"/>
      <c r="J119" s="96"/>
      <c r="K119" s="96"/>
      <c r="L119" s="96"/>
      <c r="M119" s="96"/>
      <c r="N119" s="96"/>
      <c r="O119" s="96"/>
      <c r="P119" s="96"/>
      <c r="Q119" s="96"/>
    </row>
    <row r="120" spans="9:17">
      <c r="I120" s="96"/>
      <c r="J120" s="96"/>
      <c r="K120" s="96"/>
      <c r="L120" s="96"/>
      <c r="M120" s="96"/>
      <c r="N120" s="96"/>
      <c r="O120" s="96"/>
      <c r="P120" s="96"/>
      <c r="Q120" s="96"/>
    </row>
    <row r="121" spans="9:17">
      <c r="I121" s="96"/>
      <c r="J121" s="96"/>
      <c r="K121" s="96"/>
      <c r="L121" s="96"/>
      <c r="M121" s="96"/>
      <c r="N121" s="96"/>
      <c r="O121" s="96"/>
      <c r="P121" s="96"/>
      <c r="Q121" s="96"/>
    </row>
    <row r="122" spans="9:17">
      <c r="I122" s="96"/>
      <c r="J122" s="96"/>
      <c r="K122" s="96"/>
      <c r="L122" s="96"/>
      <c r="M122" s="96"/>
      <c r="N122" s="96"/>
      <c r="O122" s="96"/>
      <c r="P122" s="96"/>
      <c r="Q122" s="96"/>
    </row>
    <row r="123" spans="9:17">
      <c r="I123" s="96"/>
      <c r="J123" s="96"/>
      <c r="K123" s="96"/>
      <c r="L123" s="96"/>
      <c r="M123" s="96"/>
      <c r="N123" s="96"/>
      <c r="O123" s="96"/>
      <c r="P123" s="96"/>
      <c r="Q123" s="96"/>
    </row>
    <row r="124" spans="9:17">
      <c r="I124" s="96"/>
      <c r="J124" s="96"/>
      <c r="K124" s="96"/>
      <c r="L124" s="96"/>
      <c r="M124" s="96"/>
      <c r="N124" s="96"/>
      <c r="O124" s="96"/>
      <c r="P124" s="96"/>
      <c r="Q124" s="96"/>
    </row>
    <row r="125" spans="9:17">
      <c r="I125" s="96"/>
      <c r="J125" s="96"/>
      <c r="K125" s="96"/>
      <c r="L125" s="96"/>
      <c r="M125" s="96"/>
      <c r="N125" s="96"/>
      <c r="O125" s="96"/>
      <c r="P125" s="96"/>
      <c r="Q125" s="96"/>
    </row>
    <row r="126" spans="9:17">
      <c r="I126" s="96"/>
      <c r="J126" s="96"/>
      <c r="K126" s="96"/>
      <c r="L126" s="96"/>
      <c r="M126" s="96"/>
      <c r="N126" s="96"/>
      <c r="O126" s="96"/>
      <c r="P126" s="96"/>
      <c r="Q126" s="96"/>
    </row>
    <row r="127" spans="9:17">
      <c r="I127" s="96"/>
      <c r="J127" s="96"/>
      <c r="K127" s="96"/>
      <c r="L127" s="96"/>
      <c r="M127" s="96"/>
      <c r="N127" s="96"/>
      <c r="O127" s="96"/>
      <c r="P127" s="96"/>
      <c r="Q127" s="96"/>
    </row>
    <row r="128" spans="9:17">
      <c r="I128" s="96"/>
      <c r="J128" s="96"/>
      <c r="K128" s="96"/>
      <c r="L128" s="96"/>
      <c r="M128" s="96"/>
      <c r="N128" s="96"/>
      <c r="O128" s="96"/>
      <c r="P128" s="96"/>
      <c r="Q128" s="96"/>
    </row>
    <row r="129" spans="9:17">
      <c r="I129" s="96"/>
      <c r="J129" s="96"/>
      <c r="K129" s="96"/>
      <c r="L129" s="96"/>
      <c r="M129" s="96"/>
      <c r="N129" s="96"/>
      <c r="O129" s="96"/>
      <c r="P129" s="96"/>
      <c r="Q129" s="96"/>
    </row>
    <row r="130" spans="9:17">
      <c r="I130" s="96"/>
      <c r="J130" s="96"/>
      <c r="K130" s="96"/>
      <c r="L130" s="96"/>
      <c r="M130" s="96"/>
      <c r="N130" s="96"/>
      <c r="O130" s="96"/>
      <c r="P130" s="96"/>
      <c r="Q130" s="96"/>
    </row>
    <row r="131" spans="9:17">
      <c r="I131" s="96"/>
      <c r="J131" s="96"/>
      <c r="K131" s="96"/>
      <c r="L131" s="96"/>
      <c r="M131" s="96"/>
      <c r="N131" s="96"/>
      <c r="O131" s="96"/>
      <c r="P131" s="96"/>
      <c r="Q131" s="96"/>
    </row>
    <row r="132" spans="9:17">
      <c r="I132" s="96"/>
      <c r="J132" s="96"/>
      <c r="K132" s="96"/>
      <c r="L132" s="96"/>
      <c r="M132" s="96"/>
      <c r="N132" s="96"/>
      <c r="O132" s="96"/>
      <c r="P132" s="96"/>
      <c r="Q132" s="96"/>
    </row>
    <row r="133" spans="9:17">
      <c r="I133" s="96"/>
      <c r="J133" s="96"/>
      <c r="K133" s="96"/>
      <c r="L133" s="96"/>
      <c r="M133" s="96"/>
      <c r="N133" s="96"/>
      <c r="O133" s="96"/>
      <c r="P133" s="96"/>
      <c r="Q133" s="96"/>
    </row>
    <row r="134" spans="9:17">
      <c r="I134" s="96"/>
      <c r="J134" s="96"/>
      <c r="K134" s="96"/>
      <c r="L134" s="96"/>
      <c r="M134" s="96"/>
      <c r="N134" s="96"/>
      <c r="O134" s="96"/>
      <c r="P134" s="96"/>
      <c r="Q134" s="96"/>
    </row>
    <row r="135" spans="9:17">
      <c r="I135" s="96"/>
      <c r="J135" s="96"/>
      <c r="K135" s="96"/>
      <c r="L135" s="96"/>
      <c r="M135" s="96"/>
      <c r="N135" s="96"/>
      <c r="O135" s="96"/>
      <c r="P135" s="96"/>
      <c r="Q135" s="96"/>
    </row>
    <row r="136" spans="9:17">
      <c r="I136" s="96"/>
      <c r="J136" s="96"/>
      <c r="K136" s="96"/>
      <c r="L136" s="96"/>
      <c r="M136" s="96"/>
      <c r="N136" s="96"/>
      <c r="O136" s="96"/>
      <c r="P136" s="96"/>
      <c r="Q136" s="96"/>
    </row>
    <row r="137" spans="9:17">
      <c r="I137" s="96"/>
      <c r="J137" s="96"/>
      <c r="K137" s="96"/>
      <c r="L137" s="96"/>
      <c r="M137" s="96"/>
      <c r="N137" s="96"/>
      <c r="O137" s="96"/>
      <c r="P137" s="96"/>
      <c r="Q137" s="96"/>
    </row>
    <row r="138" spans="9:17">
      <c r="I138" s="96"/>
      <c r="J138" s="96"/>
      <c r="K138" s="96"/>
      <c r="L138" s="96"/>
      <c r="M138" s="96"/>
      <c r="N138" s="96"/>
      <c r="O138" s="96"/>
      <c r="P138" s="96"/>
      <c r="Q138" s="96"/>
    </row>
    <row r="139" spans="9:17">
      <c r="I139" s="96"/>
      <c r="J139" s="96"/>
      <c r="K139" s="96"/>
      <c r="L139" s="96"/>
      <c r="M139" s="96"/>
      <c r="N139" s="96"/>
      <c r="O139" s="96"/>
      <c r="P139" s="96"/>
      <c r="Q139" s="96"/>
    </row>
    <row r="140" spans="9:17">
      <c r="I140" s="96"/>
      <c r="J140" s="96"/>
      <c r="K140" s="96"/>
      <c r="L140" s="96"/>
      <c r="M140" s="96"/>
      <c r="N140" s="96"/>
      <c r="O140" s="96"/>
      <c r="P140" s="96"/>
      <c r="Q140" s="96"/>
    </row>
  </sheetData>
  <autoFilter xmlns:etc="http://www.wps.cn/officeDocument/2017/etCustomData" ref="A3:G81" etc:filterBottomFollowUsedRange="0">
    <extLst/>
  </autoFilter>
  <mergeCells count="2">
    <mergeCell ref="A1:G1"/>
    <mergeCell ref="A2:G2"/>
  </mergeCells>
  <pageMargins left="0.3" right="0.3" top="0.4" bottom="0.4" header="0.5" footer="0.5"/>
  <pageSetup paperSize="9" fitToHeight="0" orientation="landscape"/>
  <headerFooter>
    <oddFooter>&amp;L&amp;A&amp;R第 &amp;P 页 / 共 &amp;N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82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I5" sqref="I5"/>
    </sheetView>
  </sheetViews>
  <sheetFormatPr defaultColWidth="9" defaultRowHeight="13.5"/>
  <cols>
    <col min="1" max="1" width="13" customWidth="1"/>
    <col min="2" max="2" width="28" customWidth="1"/>
    <col min="3" max="3" width="11" customWidth="1"/>
    <col min="4" max="5" width="16" customWidth="1"/>
    <col min="6" max="6" width="26" customWidth="1"/>
    <col min="8" max="8" width="20" customWidth="1"/>
    <col min="9" max="9" width="16" customWidth="1"/>
  </cols>
  <sheetData>
    <row r="1" ht="30" customHeight="1" spans="1:9">
      <c r="A1" s="2" t="s">
        <v>596</v>
      </c>
    </row>
    <row r="2" ht="18" customHeight="1" spans="1:9">
      <c r="A2" s="31" t="s">
        <v>597</v>
      </c>
    </row>
    <row r="3" ht="34" customHeight="1" spans="1:9">
      <c r="A3" s="9" t="s">
        <v>365</v>
      </c>
      <c r="B3" s="9" t="s">
        <v>366</v>
      </c>
      <c r="C3" s="9" t="s">
        <v>367</v>
      </c>
      <c r="D3" s="9" t="s">
        <v>598</v>
      </c>
      <c r="E3" s="9" t="s">
        <v>599</v>
      </c>
      <c r="F3" s="9" t="s">
        <v>172</v>
      </c>
      <c r="H3" s="9" t="s">
        <v>372</v>
      </c>
      <c r="I3" s="9" t="s">
        <v>27</v>
      </c>
    </row>
    <row r="4" ht="18" customHeight="1" spans="1:9">
      <c r="A4" s="25" t="str">
        <f>IF($B4="","",IFERROR(INDEX(科目表!$A$4:$A$81,MATCH($B4,科目表!$B$4:$B$81,0)),""))</f>
        <v>1001</v>
      </c>
      <c r="B4" s="10" t="s">
        <v>380</v>
      </c>
      <c r="C4" s="26" t="str">
        <f>IF($B4="","",IFERROR(INDEX(科目表!$C$4:$C$81,MATCH($B4,科目表!$B$4:$B$81,0)),""))</f>
        <v>资产</v>
      </c>
      <c r="D4" s="112"/>
      <c r="E4" s="112">
        <v>0</v>
      </c>
      <c r="F4" s="10"/>
      <c r="H4" s="11" t="s">
        <v>380</v>
      </c>
      <c r="I4" s="113"/>
    </row>
    <row r="5" ht="18" customHeight="1" spans="1:9">
      <c r="A5" s="25" t="str">
        <f>IF($B5="","",IFERROR(INDEX(科目表!$A$4:$A$81,MATCH($B5,科目表!$B$4:$B$81,0)),""))</f>
        <v>1002</v>
      </c>
      <c r="B5" s="10" t="s">
        <v>389</v>
      </c>
      <c r="C5" s="26" t="str">
        <f>IF($B5="","",IFERROR(INDEX(科目表!$C$4:$C$81,MATCH($B5,科目表!$B$4:$B$81,0)),""))</f>
        <v>资产</v>
      </c>
      <c r="D5" s="112"/>
      <c r="E5" s="112">
        <v>0</v>
      </c>
      <c r="F5" s="10"/>
      <c r="H5" s="11" t="s">
        <v>391</v>
      </c>
      <c r="I5" s="113"/>
    </row>
    <row r="6" ht="18" customHeight="1" spans="1:9">
      <c r="A6" s="25" t="str">
        <f>IF($B6="","",IFERROR(INDEX(科目表!$A$4:$A$81,MATCH($B6,科目表!$B$4:$B$81,0)),""))</f>
        <v>1012</v>
      </c>
      <c r="B6" s="10" t="s">
        <v>397</v>
      </c>
      <c r="C6" s="26" t="str">
        <f>IF($B6="","",IFERROR(INDEX(科目表!$C$4:$C$81,MATCH($B6,科目表!$B$4:$B$81,0)),""))</f>
        <v>资产</v>
      </c>
      <c r="D6" s="112"/>
      <c r="E6" s="112"/>
      <c r="F6" s="10"/>
      <c r="H6" s="11" t="s">
        <v>399</v>
      </c>
      <c r="I6" s="113">
        <v>0</v>
      </c>
    </row>
    <row r="7" ht="18" customHeight="1" spans="1:9">
      <c r="A7" s="25" t="str">
        <f>IF($B7="","",IFERROR(INDEX(科目表!$A$4:$A$81,MATCH($B7,科目表!$B$4:$B$81,0)),""))</f>
        <v>1121</v>
      </c>
      <c r="B7" s="10" t="s">
        <v>404</v>
      </c>
      <c r="C7" s="26" t="str">
        <f>IF($B7="","",IFERROR(INDEX(科目表!$C$4:$C$81,MATCH($B7,科目表!$B$4:$B$81,0)),""))</f>
        <v>资产</v>
      </c>
      <c r="D7" s="112"/>
      <c r="E7" s="112"/>
      <c r="F7" s="10"/>
      <c r="H7" s="11" t="s">
        <v>401</v>
      </c>
      <c r="I7" s="113">
        <v>0</v>
      </c>
    </row>
    <row r="8" ht="18" customHeight="1" spans="1:9">
      <c r="A8" s="25" t="str">
        <f>IF($B8="","",IFERROR(INDEX(科目表!$A$4:$A$81,MATCH($B8,科目表!$B$4:$B$81,0)),""))</f>
        <v>1122</v>
      </c>
      <c r="B8" s="10" t="s">
        <v>254</v>
      </c>
      <c r="C8" s="26" t="str">
        <f>IF($B8="","",IFERROR(INDEX(科目表!$C$4:$C$81,MATCH($B8,科目表!$B$4:$B$81,0)),""))</f>
        <v>资产</v>
      </c>
      <c r="D8" s="112"/>
      <c r="E8" s="112">
        <v>0</v>
      </c>
      <c r="F8" s="10"/>
      <c r="H8" s="11" t="s">
        <v>406</v>
      </c>
      <c r="I8" s="113">
        <v>0</v>
      </c>
    </row>
    <row r="9" ht="18" customHeight="1" spans="1:9">
      <c r="A9" s="25" t="str">
        <f>IF($B9="","",IFERROR(INDEX(科目表!$A$4:$A$81,MATCH($B9,科目表!$B$4:$B$81,0)),""))</f>
        <v>1123</v>
      </c>
      <c r="B9" s="10" t="s">
        <v>415</v>
      </c>
      <c r="C9" s="26" t="str">
        <f>IF($B9="","",IFERROR(INDEX(科目表!$C$4:$C$81,MATCH($B9,科目表!$B$4:$B$81,0)),""))</f>
        <v>资产</v>
      </c>
      <c r="D9" s="112"/>
      <c r="E9" s="112"/>
      <c r="F9" s="10"/>
      <c r="H9" s="11" t="s">
        <v>411</v>
      </c>
      <c r="I9" s="113">
        <v>0</v>
      </c>
    </row>
    <row r="10" ht="18" customHeight="1" spans="1:9">
      <c r="A10" s="25" t="str">
        <f>IF($B10="","",IFERROR(INDEX(科目表!$A$4:$A$81,MATCH($B10,科目表!$B$4:$B$81,0)),""))</f>
        <v>1131</v>
      </c>
      <c r="B10" s="10" t="s">
        <v>421</v>
      </c>
      <c r="C10" s="26" t="str">
        <f>IF($B10="","",IFERROR(INDEX(科目表!$C$4:$C$81,MATCH($B10,科目表!$B$4:$B$81,0)),""))</f>
        <v>资产</v>
      </c>
      <c r="D10" s="112"/>
      <c r="E10" s="112"/>
      <c r="F10" s="10"/>
    </row>
    <row r="11" ht="18" customHeight="1" spans="1:9">
      <c r="A11" s="25" t="str">
        <f>IF($B11="","",IFERROR(INDEX(科目表!$A$4:$A$81,MATCH($B11,科目表!$B$4:$B$81,0)),""))</f>
        <v>1132</v>
      </c>
      <c r="B11" s="10" t="s">
        <v>427</v>
      </c>
      <c r="C11" s="26" t="str">
        <f>IF($B11="","",IFERROR(INDEX(科目表!$C$4:$C$81,MATCH($B11,科目表!$B$4:$B$81,0)),""))</f>
        <v>资产</v>
      </c>
      <c r="D11" s="112"/>
      <c r="E11" s="112"/>
      <c r="F11" s="10"/>
    </row>
    <row r="12" ht="18" customHeight="1" spans="1:9">
      <c r="A12" s="25" t="str">
        <f>IF($B12="","",IFERROR(INDEX(科目表!$A$4:$A$81,MATCH($B12,科目表!$B$4:$B$81,0)),""))</f>
        <v>1221</v>
      </c>
      <c r="B12" s="10" t="s">
        <v>357</v>
      </c>
      <c r="C12" s="26" t="str">
        <f>IF($B12="","",IFERROR(INDEX(科目表!$C$4:$C$81,MATCH($B12,科目表!$B$4:$B$81,0)),""))</f>
        <v>资产</v>
      </c>
      <c r="D12" s="112"/>
      <c r="E12" s="112"/>
      <c r="F12" s="10"/>
    </row>
    <row r="13" ht="18" customHeight="1" spans="1:9">
      <c r="A13" s="25" t="str">
        <f>IF($B13="","",IFERROR(INDEX(科目表!$A$4:$A$81,MATCH($B13,科目表!$B$4:$B$81,0)),""))</f>
        <v>1231</v>
      </c>
      <c r="B13" s="10" t="s">
        <v>434</v>
      </c>
      <c r="C13" s="26" t="str">
        <f>IF($B13="","",IFERROR(INDEX(科目表!$C$4:$C$81,MATCH($B13,科目表!$B$4:$B$81,0)),""))</f>
        <v>资产</v>
      </c>
      <c r="D13" s="112"/>
      <c r="E13" s="112"/>
      <c r="F13" s="10"/>
    </row>
    <row r="14" ht="18" customHeight="1" spans="1:9">
      <c r="A14" s="25" t="str">
        <f>IF($B14="","",IFERROR(INDEX(科目表!$A$4:$A$81,MATCH($B14,科目表!$B$4:$B$81,0)),""))</f>
        <v>1401</v>
      </c>
      <c r="B14" s="10" t="s">
        <v>439</v>
      </c>
      <c r="C14" s="26" t="str">
        <f>IF($B14="","",IFERROR(INDEX(科目表!$C$4:$C$81,MATCH($B14,科目表!$B$4:$B$81,0)),""))</f>
        <v>资产</v>
      </c>
      <c r="D14" s="112"/>
      <c r="E14" s="112"/>
      <c r="F14" s="10"/>
    </row>
    <row r="15" ht="18" customHeight="1" spans="1:9">
      <c r="A15" s="25" t="str">
        <f>IF($B15="","",IFERROR(INDEX(科目表!$A$4:$A$81,MATCH($B15,科目表!$B$4:$B$81,0)),""))</f>
        <v>1403</v>
      </c>
      <c r="B15" s="10" t="s">
        <v>293</v>
      </c>
      <c r="C15" s="26" t="str">
        <f>IF($B15="","",IFERROR(INDEX(科目表!$C$4:$C$81,MATCH($B15,科目表!$B$4:$B$81,0)),""))</f>
        <v>资产</v>
      </c>
      <c r="D15" s="112"/>
      <c r="E15" s="112">
        <v>0</v>
      </c>
      <c r="F15" s="10"/>
    </row>
    <row r="16" ht="18" customHeight="1" spans="1:9">
      <c r="A16" s="25" t="str">
        <f>IF($B16="","",IFERROR(INDEX(科目表!$A$4:$A$81,MATCH($B16,科目表!$B$4:$B$81,0)),""))</f>
        <v>1405</v>
      </c>
      <c r="B16" s="10" t="s">
        <v>289</v>
      </c>
      <c r="C16" s="26" t="str">
        <f>IF($B16="","",IFERROR(INDEX(科目表!$C$4:$C$81,MATCH($B16,科目表!$B$4:$B$81,0)),""))</f>
        <v>资产</v>
      </c>
      <c r="D16" s="112"/>
      <c r="E16" s="112"/>
      <c r="F16" s="10"/>
    </row>
    <row r="17" ht="18" customHeight="1" spans="1:6">
      <c r="A17" s="25" t="str">
        <f>IF($B17="","",IFERROR(INDEX(科目表!$A$4:$A$81,MATCH($B17,科目表!$B$4:$B$81,0)),""))</f>
        <v>1406</v>
      </c>
      <c r="B17" s="10" t="s">
        <v>450</v>
      </c>
      <c r="C17" s="26" t="str">
        <f>IF($B17="","",IFERROR(INDEX(科目表!$C$4:$C$81,MATCH($B17,科目表!$B$4:$B$81,0)),""))</f>
        <v>资产</v>
      </c>
      <c r="D17" s="112"/>
      <c r="E17" s="112"/>
      <c r="F17" s="10"/>
    </row>
    <row r="18" ht="18" customHeight="1" spans="1:6">
      <c r="A18" s="25" t="str">
        <f>IF($B18="","",IFERROR(INDEX(科目表!$A$4:$A$81,MATCH($B18,科目表!$B$4:$B$81,0)),""))</f>
        <v>1407</v>
      </c>
      <c r="B18" s="10" t="s">
        <v>295</v>
      </c>
      <c r="C18" s="26" t="str">
        <f>IF($B18="","",IFERROR(INDEX(科目表!$C$4:$C$81,MATCH($B18,科目表!$B$4:$B$81,0)),""))</f>
        <v>资产</v>
      </c>
      <c r="D18" s="112"/>
      <c r="E18" s="112">
        <v>0</v>
      </c>
      <c r="F18" s="10"/>
    </row>
    <row r="19" ht="18" customHeight="1" spans="1:6">
      <c r="A19" s="25" t="str">
        <f>IF($B19="","",IFERROR(INDEX(科目表!$A$4:$A$81,MATCH($B19,科目表!$B$4:$B$81,0)),""))</f>
        <v>1471</v>
      </c>
      <c r="B19" s="10" t="s">
        <v>457</v>
      </c>
      <c r="C19" s="26" t="str">
        <f>IF($B19="","",IFERROR(INDEX(科目表!$C$4:$C$81,MATCH($B19,科目表!$B$4:$B$81,0)),""))</f>
        <v>资产</v>
      </c>
      <c r="D19" s="112"/>
      <c r="E19" s="112"/>
      <c r="F19" s="10"/>
    </row>
    <row r="20" ht="18" customHeight="1" spans="1:6">
      <c r="A20" s="25" t="str">
        <f>IF($B20="","",IFERROR(INDEX(科目表!$A$4:$A$81,MATCH($B20,科目表!$B$4:$B$81,0)),""))</f>
        <v>1601</v>
      </c>
      <c r="B20" s="10" t="s">
        <v>461</v>
      </c>
      <c r="C20" s="26" t="str">
        <f>IF($B20="","",IFERROR(INDEX(科目表!$C$4:$C$81,MATCH($B20,科目表!$B$4:$B$81,0)),""))</f>
        <v>资产</v>
      </c>
      <c r="D20" s="112"/>
      <c r="E20" s="112">
        <v>0</v>
      </c>
      <c r="F20" s="10"/>
    </row>
    <row r="21" ht="18" customHeight="1" spans="1:6">
      <c r="A21" s="25" t="str">
        <f>IF($B21="","",IFERROR(INDEX(科目表!$A$4:$A$81,MATCH($B21,科目表!$B$4:$B$81,0)),""))</f>
        <v>1602</v>
      </c>
      <c r="B21" s="10" t="s">
        <v>343</v>
      </c>
      <c r="C21" s="26" t="str">
        <f>IF($B21="","",IFERROR(INDEX(科目表!$C$4:$C$81,MATCH($B21,科目表!$B$4:$B$81,0)),""))</f>
        <v>资产</v>
      </c>
      <c r="D21" s="112">
        <v>0</v>
      </c>
      <c r="E21" s="112"/>
      <c r="F21" s="10"/>
    </row>
    <row r="22" ht="18" customHeight="1" spans="1:6">
      <c r="A22" s="25" t="str">
        <f>IF($B22="","",IFERROR(INDEX(科目表!$A$4:$A$81,MATCH($B22,科目表!$B$4:$B$81,0)),""))</f>
        <v>1604</v>
      </c>
      <c r="B22" s="10" t="s">
        <v>470</v>
      </c>
      <c r="C22" s="26" t="str">
        <f>IF($B22="","",IFERROR(INDEX(科目表!$C$4:$C$81,MATCH($B22,科目表!$B$4:$B$81,0)),""))</f>
        <v>资产</v>
      </c>
      <c r="D22" s="112"/>
      <c r="E22" s="112"/>
      <c r="F22" s="10"/>
    </row>
    <row r="23" ht="18" customHeight="1" spans="1:6">
      <c r="A23" s="25" t="str">
        <f>IF($B23="","",IFERROR(INDEX(科目表!$A$4:$A$81,MATCH($B23,科目表!$B$4:$B$81,0)),""))</f>
        <v>1701</v>
      </c>
      <c r="B23" s="10" t="s">
        <v>474</v>
      </c>
      <c r="C23" s="26" t="str">
        <f>IF($B23="","",IFERROR(INDEX(科目表!$C$4:$C$81,MATCH($B23,科目表!$B$4:$B$81,0)),""))</f>
        <v>资产</v>
      </c>
      <c r="D23" s="112"/>
      <c r="E23" s="112"/>
      <c r="F23" s="10"/>
    </row>
    <row r="24" ht="18" customHeight="1" spans="1:6">
      <c r="A24" s="25" t="str">
        <f>IF($B24="","",IFERROR(INDEX(科目表!$A$4:$A$81,MATCH($B24,科目表!$B$4:$B$81,0)),""))</f>
        <v>1702</v>
      </c>
      <c r="B24" s="10" t="s">
        <v>478</v>
      </c>
      <c r="C24" s="26" t="str">
        <f>IF($B24="","",IFERROR(INDEX(科目表!$C$4:$C$81,MATCH($B24,科目表!$B$4:$B$81,0)),""))</f>
        <v>资产</v>
      </c>
      <c r="D24" s="112"/>
      <c r="E24" s="112"/>
      <c r="F24" s="10"/>
    </row>
    <row r="25" ht="18" customHeight="1" spans="1:6">
      <c r="A25" s="25" t="str">
        <f>IF($B25="","",IFERROR(INDEX(科目表!$A$4:$A$81,MATCH($B25,科目表!$B$4:$B$81,0)),""))</f>
        <v>1801</v>
      </c>
      <c r="B25" s="10" t="s">
        <v>482</v>
      </c>
      <c r="C25" s="26" t="str">
        <f>IF($B25="","",IFERROR(INDEX(科目表!$C$4:$C$81,MATCH($B25,科目表!$B$4:$B$81,0)),""))</f>
        <v>资产</v>
      </c>
      <c r="D25" s="112"/>
      <c r="E25" s="112"/>
      <c r="F25" s="10"/>
    </row>
    <row r="26" ht="18" customHeight="1" spans="1:6">
      <c r="A26" s="25" t="str">
        <f>IF($B26="","",IFERROR(INDEX(科目表!$A$4:$A$81,MATCH($B26,科目表!$B$4:$B$81,0)),""))</f>
        <v>2001</v>
      </c>
      <c r="B26" s="10" t="s">
        <v>349</v>
      </c>
      <c r="C26" s="26" t="str">
        <f>IF($B26="","",IFERROR(INDEX(科目表!$C$4:$C$81,MATCH($B26,科目表!$B$4:$B$81,0)),""))</f>
        <v>负债</v>
      </c>
      <c r="D26" s="112"/>
      <c r="E26" s="112"/>
      <c r="F26" s="10"/>
    </row>
    <row r="27" ht="18" customHeight="1" spans="1:6">
      <c r="A27" s="25" t="str">
        <f>IF($B27="","",IFERROR(INDEX(科目表!$A$4:$A$81,MATCH($B27,科目表!$B$4:$B$81,0)),""))</f>
        <v>2201</v>
      </c>
      <c r="B27" s="10" t="s">
        <v>490</v>
      </c>
      <c r="C27" s="26" t="str">
        <f>IF($B27="","",IFERROR(INDEX(科目表!$C$4:$C$81,MATCH($B27,科目表!$B$4:$B$81,0)),""))</f>
        <v>负债</v>
      </c>
      <c r="D27" s="112"/>
      <c r="E27" s="112"/>
      <c r="F27" s="10"/>
    </row>
    <row r="28" ht="18" customHeight="1" spans="1:6">
      <c r="A28" s="25" t="str">
        <f>IF($B28="","",IFERROR(INDEX(科目表!$A$4:$A$81,MATCH($B28,科目表!$B$4:$B$81,0)),""))</f>
        <v>2202</v>
      </c>
      <c r="B28" s="10" t="s">
        <v>290</v>
      </c>
      <c r="C28" s="26" t="str">
        <f>IF($B28="","",IFERROR(INDEX(科目表!$C$4:$C$81,MATCH($B28,科目表!$B$4:$B$81,0)),""))</f>
        <v>负债</v>
      </c>
      <c r="D28" s="112">
        <v>0</v>
      </c>
      <c r="E28" s="112"/>
      <c r="F28" s="10"/>
    </row>
    <row r="29" ht="18" customHeight="1" spans="1:6">
      <c r="A29" s="25" t="str">
        <f>IF($B29="","",IFERROR(INDEX(科目表!$A$4:$A$81,MATCH($B29,科目表!$B$4:$B$81,0)),""))</f>
        <v>2203</v>
      </c>
      <c r="B29" s="10" t="s">
        <v>496</v>
      </c>
      <c r="C29" s="26" t="str">
        <f>IF($B29="","",IFERROR(INDEX(科目表!$C$4:$C$81,MATCH($B29,科目表!$B$4:$B$81,0)),""))</f>
        <v>负债</v>
      </c>
      <c r="D29" s="112"/>
      <c r="E29" s="112"/>
      <c r="F29" s="10"/>
    </row>
    <row r="30" ht="18" customHeight="1" spans="1:6">
      <c r="A30" s="25" t="str">
        <f>IF($B30="","",IFERROR(INDEX(科目表!$A$4:$A$81,MATCH($B30,科目表!$B$4:$B$81,0)),""))</f>
        <v>2211</v>
      </c>
      <c r="B30" s="10" t="s">
        <v>500</v>
      </c>
      <c r="C30" s="26" t="str">
        <f>IF($B30="","",IFERROR(INDEX(科目表!$C$4:$C$81,MATCH($B30,科目表!$B$4:$B$81,0)),""))</f>
        <v>负债</v>
      </c>
      <c r="D30" s="112"/>
      <c r="E30" s="112"/>
      <c r="F30" s="10"/>
    </row>
    <row r="31" ht="18" customHeight="1" spans="1:6">
      <c r="A31" s="25" t="str">
        <f>IF($B31="","",IFERROR(INDEX(科目表!$A$4:$A$81,MATCH($B31,科目表!$B$4:$B$81,0)),""))</f>
        <v>222101</v>
      </c>
      <c r="B31" s="10" t="s">
        <v>503</v>
      </c>
      <c r="C31" s="26" t="str">
        <f>IF($B31="","",IFERROR(INDEX(科目表!$C$4:$C$81,MATCH($B31,科目表!$B$4:$B$81,0)),""))</f>
        <v>负债</v>
      </c>
      <c r="D31" s="112"/>
      <c r="E31" s="112"/>
      <c r="F31" s="10"/>
    </row>
    <row r="32" ht="18" customHeight="1" spans="1:6">
      <c r="A32" s="25" t="str">
        <f>IF($B32="","",IFERROR(INDEX(科目表!$A$4:$A$81,MATCH($B32,科目表!$B$4:$B$81,0)),""))</f>
        <v>222102</v>
      </c>
      <c r="B32" s="10" t="s">
        <v>507</v>
      </c>
      <c r="C32" s="26" t="str">
        <f>IF($B32="","",IFERROR(INDEX(科目表!$C$4:$C$81,MATCH($B32,科目表!$B$4:$B$81,0)),""))</f>
        <v>负债</v>
      </c>
      <c r="D32" s="112"/>
      <c r="E32" s="112"/>
      <c r="F32" s="10"/>
    </row>
    <row r="33" ht="18" customHeight="1" spans="1:6">
      <c r="A33" s="25" t="str">
        <f>IF($B33="","",IFERROR(INDEX(科目表!$A$4:$A$81,MATCH($B33,科目表!$B$4:$B$81,0)),""))</f>
        <v>222103</v>
      </c>
      <c r="B33" s="10" t="s">
        <v>346</v>
      </c>
      <c r="C33" s="26" t="str">
        <f>IF($B33="","",IFERROR(INDEX(科目表!$C$4:$C$81,MATCH($B33,科目表!$B$4:$B$81,0)),""))</f>
        <v>负债</v>
      </c>
      <c r="D33" s="112"/>
      <c r="E33" s="112"/>
      <c r="F33" s="10"/>
    </row>
    <row r="34" ht="18" customHeight="1" spans="1:6">
      <c r="A34" s="25" t="str">
        <f>IF($B34="","",IFERROR(INDEX(科目表!$A$4:$A$81,MATCH($B34,科目表!$B$4:$B$81,0)),""))</f>
        <v>222104</v>
      </c>
      <c r="B34" s="10" t="s">
        <v>512</v>
      </c>
      <c r="C34" s="26" t="str">
        <f>IF($B34="","",IFERROR(INDEX(科目表!$C$4:$C$81,MATCH($B34,科目表!$B$4:$B$81,0)),""))</f>
        <v>负债</v>
      </c>
      <c r="D34" s="112"/>
      <c r="E34" s="112"/>
      <c r="F34" s="10"/>
    </row>
    <row r="35" ht="18" customHeight="1" spans="1:6">
      <c r="A35" s="25" t="str">
        <f>IF($B35="","",IFERROR(INDEX(科目表!$A$4:$A$81,MATCH($B35,科目表!$B$4:$B$81,0)),""))</f>
        <v>222105</v>
      </c>
      <c r="B35" s="10" t="s">
        <v>515</v>
      </c>
      <c r="C35" s="26" t="str">
        <f>IF($B35="","",IFERROR(INDEX(科目表!$C$4:$C$81,MATCH($B35,科目表!$B$4:$B$81,0)),""))</f>
        <v>负债</v>
      </c>
      <c r="D35" s="112"/>
      <c r="E35" s="112"/>
      <c r="F35" s="10"/>
    </row>
    <row r="36" ht="18" customHeight="1" spans="1:6">
      <c r="A36" s="25" t="str">
        <f>IF($B36="","",IFERROR(INDEX(科目表!$A$4:$A$81,MATCH($B36,科目表!$B$4:$B$81,0)),""))</f>
        <v>222106</v>
      </c>
      <c r="B36" s="10" t="s">
        <v>518</v>
      </c>
      <c r="C36" s="26" t="str">
        <f>IF($B36="","",IFERROR(INDEX(科目表!$C$4:$C$81,MATCH($B36,科目表!$B$4:$B$81,0)),""))</f>
        <v>负债</v>
      </c>
      <c r="D36" s="112"/>
      <c r="E36" s="112"/>
      <c r="F36" s="10"/>
    </row>
    <row r="37" ht="18" customHeight="1" spans="1:6">
      <c r="A37" s="25" t="str">
        <f>IF($B37="","",IFERROR(INDEX(科目表!$A$4:$A$81,MATCH($B37,科目表!$B$4:$B$81,0)),""))</f>
        <v>222107</v>
      </c>
      <c r="B37" s="10" t="s">
        <v>521</v>
      </c>
      <c r="C37" s="26" t="str">
        <f>IF($B37="","",IFERROR(INDEX(科目表!$C$4:$C$81,MATCH($B37,科目表!$B$4:$B$81,0)),""))</f>
        <v>负债</v>
      </c>
      <c r="D37" s="112"/>
      <c r="E37" s="112"/>
      <c r="F37" s="10"/>
    </row>
    <row r="38" ht="18" customHeight="1" spans="1:6">
      <c r="A38" s="25" t="str">
        <f>IF($B38="","",IFERROR(INDEX(科目表!$A$4:$A$81,MATCH($B38,科目表!$B$4:$B$81,0)),""))</f>
        <v>222108</v>
      </c>
      <c r="B38" s="10" t="s">
        <v>524</v>
      </c>
      <c r="C38" s="26" t="str">
        <f>IF($B38="","",IFERROR(INDEX(科目表!$C$4:$C$81,MATCH($B38,科目表!$B$4:$B$81,0)),""))</f>
        <v>负债</v>
      </c>
      <c r="D38" s="112"/>
      <c r="E38" s="112"/>
      <c r="F38" s="10"/>
    </row>
    <row r="39" ht="18" customHeight="1" spans="1:6">
      <c r="A39" s="25" t="str">
        <f>IF($B39="","",IFERROR(INDEX(科目表!$A$4:$A$81,MATCH($B39,科目表!$B$4:$B$81,0)),""))</f>
        <v>222109</v>
      </c>
      <c r="B39" s="10" t="s">
        <v>527</v>
      </c>
      <c r="C39" s="26" t="str">
        <f>IF($B39="","",IFERROR(INDEX(科目表!$C$4:$C$81,MATCH($B39,科目表!$B$4:$B$81,0)),""))</f>
        <v>负债</v>
      </c>
      <c r="D39" s="112"/>
      <c r="E39" s="112"/>
      <c r="F39" s="10"/>
    </row>
    <row r="40" ht="18" customHeight="1" spans="1:6">
      <c r="A40" s="25" t="str">
        <f>IF($B40="","",IFERROR(INDEX(科目表!$A$4:$A$81,MATCH($B40,科目表!$B$4:$B$81,0)),""))</f>
        <v>222110</v>
      </c>
      <c r="B40" s="10" t="s">
        <v>530</v>
      </c>
      <c r="C40" s="26" t="str">
        <f>IF($B40="","",IFERROR(INDEX(科目表!$C$4:$C$81,MATCH($B40,科目表!$B$4:$B$81,0)),""))</f>
        <v>负债</v>
      </c>
      <c r="D40" s="112"/>
      <c r="E40" s="112"/>
      <c r="F40" s="10"/>
    </row>
    <row r="41" ht="18" customHeight="1" spans="1:6">
      <c r="A41" s="25" t="str">
        <f>IF($B41="","",IFERROR(INDEX(科目表!$A$4:$A$81,MATCH($B41,科目表!$B$4:$B$81,0)),""))</f>
        <v>2231</v>
      </c>
      <c r="B41" s="10" t="s">
        <v>533</v>
      </c>
      <c r="C41" s="26" t="str">
        <f>IF($B41="","",IFERROR(INDEX(科目表!$C$4:$C$81,MATCH($B41,科目表!$B$4:$B$81,0)),""))</f>
        <v>负债</v>
      </c>
      <c r="D41" s="112"/>
      <c r="E41" s="112"/>
      <c r="F41" s="10"/>
    </row>
    <row r="42" ht="18" customHeight="1" spans="1:6">
      <c r="A42" s="25" t="str">
        <f>IF($B42="","",IFERROR(INDEX(科目表!$A$4:$A$81,MATCH($B42,科目表!$B$4:$B$81,0)),""))</f>
        <v>2232</v>
      </c>
      <c r="B42" s="10" t="s">
        <v>536</v>
      </c>
      <c r="C42" s="26" t="str">
        <f>IF($B42="","",IFERROR(INDEX(科目表!$C$4:$C$81,MATCH($B42,科目表!$B$4:$B$81,0)),""))</f>
        <v>负债</v>
      </c>
      <c r="D42" s="112"/>
      <c r="E42" s="112"/>
      <c r="F42" s="10"/>
    </row>
    <row r="43" ht="18" customHeight="1" spans="1:6">
      <c r="A43" s="25" t="str">
        <f>IF($B43="","",IFERROR(INDEX(科目表!$A$4:$A$81,MATCH($B43,科目表!$B$4:$B$81,0)),""))</f>
        <v>2241</v>
      </c>
      <c r="B43" s="10" t="s">
        <v>358</v>
      </c>
      <c r="C43" s="26" t="str">
        <f>IF($B43="","",IFERROR(INDEX(科目表!$C$4:$C$81,MATCH($B43,科目表!$B$4:$B$81,0)),""))</f>
        <v>负债</v>
      </c>
      <c r="D43" s="112"/>
      <c r="E43" s="112"/>
      <c r="F43" s="10"/>
    </row>
    <row r="44" ht="18" customHeight="1" spans="1:6">
      <c r="A44" s="25" t="str">
        <f>IF($B44="","",IFERROR(INDEX(科目表!$A$4:$A$81,MATCH($B44,科目表!$B$4:$B$81,0)),""))</f>
        <v>2401</v>
      </c>
      <c r="B44" s="10" t="s">
        <v>541</v>
      </c>
      <c r="C44" s="26" t="str">
        <f>IF($B44="","",IFERROR(INDEX(科目表!$C$4:$C$81,MATCH($B44,科目表!$B$4:$B$81,0)),""))</f>
        <v>负债</v>
      </c>
      <c r="D44" s="112"/>
      <c r="E44" s="112"/>
      <c r="F44" s="10"/>
    </row>
    <row r="45" ht="18" customHeight="1" spans="1:6">
      <c r="A45" s="25" t="str">
        <f>IF($B45="","",IFERROR(INDEX(科目表!$A$4:$A$81,MATCH($B45,科目表!$B$4:$B$81,0)),""))</f>
        <v>2501</v>
      </c>
      <c r="B45" s="10" t="s">
        <v>544</v>
      </c>
      <c r="C45" s="26" t="str">
        <f>IF($B45="","",IFERROR(INDEX(科目表!$C$4:$C$81,MATCH($B45,科目表!$B$4:$B$81,0)),""))</f>
        <v>负债</v>
      </c>
      <c r="D45" s="112"/>
      <c r="E45" s="112"/>
      <c r="F45" s="10"/>
    </row>
    <row r="46" ht="18" customHeight="1" spans="1:6">
      <c r="A46" s="25" t="str">
        <f>IF($B46="","",IFERROR(INDEX(科目表!$A$4:$A$81,MATCH($B46,科目表!$B$4:$B$81,0)),""))</f>
        <v>2701</v>
      </c>
      <c r="B46" s="10" t="s">
        <v>546</v>
      </c>
      <c r="C46" s="26" t="str">
        <f>IF($B46="","",IFERROR(INDEX(科目表!$C$4:$C$81,MATCH($B46,科目表!$B$4:$B$81,0)),""))</f>
        <v>负债</v>
      </c>
      <c r="D46" s="112"/>
      <c r="E46" s="112"/>
      <c r="F46" s="10"/>
    </row>
    <row r="47" ht="18" customHeight="1" spans="1:6">
      <c r="A47" s="25" t="str">
        <f>IF($B47="","",IFERROR(INDEX(科目表!$A$4:$A$81,MATCH($B47,科目表!$B$4:$B$81,0)),""))</f>
        <v>3001</v>
      </c>
      <c r="B47" s="10" t="s">
        <v>354</v>
      </c>
      <c r="C47" s="26" t="str">
        <f>IF($B47="","",IFERROR(INDEX(科目表!$C$4:$C$81,MATCH($B47,科目表!$B$4:$B$81,0)),""))</f>
        <v>权益</v>
      </c>
      <c r="D47" s="112">
        <v>0</v>
      </c>
      <c r="E47" s="112"/>
      <c r="F47" s="10"/>
    </row>
    <row r="48" ht="18" customHeight="1" spans="1:6">
      <c r="A48" s="25" t="str">
        <f>IF($B48="","",IFERROR(INDEX(科目表!$A$4:$A$81,MATCH($B48,科目表!$B$4:$B$81,0)),""))</f>
        <v>3002</v>
      </c>
      <c r="B48" s="10" t="s">
        <v>553</v>
      </c>
      <c r="C48" s="26" t="str">
        <f>IF($B48="","",IFERROR(INDEX(科目表!$C$4:$C$81,MATCH($B48,科目表!$B$4:$B$81,0)),""))</f>
        <v>权益</v>
      </c>
      <c r="D48" s="112"/>
      <c r="E48" s="112"/>
      <c r="F48" s="10"/>
    </row>
    <row r="49" ht="18" customHeight="1" spans="1:6">
      <c r="A49" s="25" t="str">
        <f>IF($B49="","",IFERROR(INDEX(科目表!$A$4:$A$81,MATCH($B49,科目表!$B$4:$B$81,0)),""))</f>
        <v>3101</v>
      </c>
      <c r="B49" s="10" t="s">
        <v>556</v>
      </c>
      <c r="C49" s="26" t="str">
        <f>IF($B49="","",IFERROR(INDEX(科目表!$C$4:$C$81,MATCH($B49,科目表!$B$4:$B$81,0)),""))</f>
        <v>权益</v>
      </c>
      <c r="D49" s="112"/>
      <c r="E49" s="112"/>
      <c r="F49" s="10"/>
    </row>
    <row r="50" ht="18" customHeight="1" spans="1:6">
      <c r="A50" s="25" t="str">
        <f>IF($B50="","",IFERROR(INDEX(科目表!$A$4:$A$81,MATCH($B50,科目表!$B$4:$B$81,0)),""))</f>
        <v>3103</v>
      </c>
      <c r="B50" s="10" t="s">
        <v>559</v>
      </c>
      <c r="C50" s="26" t="str">
        <f>IF($B50="","",IFERROR(INDEX(科目表!$C$4:$C$81,MATCH($B50,科目表!$B$4:$B$81,0)),""))</f>
        <v>权益</v>
      </c>
      <c r="D50" s="112"/>
      <c r="E50" s="112"/>
      <c r="F50" s="10"/>
    </row>
    <row r="51" ht="18" customHeight="1" spans="1:6">
      <c r="A51" s="25" t="str">
        <f>IF($B51="","",IFERROR(INDEX(科目表!$A$4:$A$81,MATCH($B51,科目表!$B$4:$B$81,0)),""))</f>
        <v>3104</v>
      </c>
      <c r="B51" s="10" t="s">
        <v>563</v>
      </c>
      <c r="C51" s="26" t="str">
        <f>IF($B51="","",IFERROR(INDEX(科目表!$C$4:$C$81,MATCH($B51,科目表!$B$4:$B$81,0)),""))</f>
        <v>权益</v>
      </c>
      <c r="D51" s="112">
        <v>0</v>
      </c>
      <c r="E51" s="112"/>
      <c r="F51" s="10"/>
    </row>
    <row r="52" ht="18" customHeight="1" spans="1:6">
      <c r="A52" s="25" t="str">
        <f>IF($B52="","",IFERROR(INDEX(科目表!$A$4:$A$81,MATCH($B52,科目表!$B$4:$B$81,0)),""))</f>
        <v>5001</v>
      </c>
      <c r="B52" s="10" t="s">
        <v>565</v>
      </c>
      <c r="C52" s="26" t="str">
        <f>IF($B52="","",IFERROR(INDEX(科目表!$C$4:$C$81,MATCH($B52,科目表!$B$4:$B$81,0)),""))</f>
        <v>损益</v>
      </c>
      <c r="D52" s="112"/>
      <c r="E52" s="112"/>
      <c r="F52" s="10"/>
    </row>
    <row r="53" ht="18" customHeight="1" spans="1:6">
      <c r="A53" s="25" t="str">
        <f>IF($B53="","",IFERROR(INDEX(科目表!$A$4:$A$81,MATCH($B53,科目表!$B$4:$B$81,0)),""))</f>
        <v>5002</v>
      </c>
      <c r="B53" s="10" t="s">
        <v>255</v>
      </c>
      <c r="C53" s="26" t="str">
        <f>IF($B53="","",IFERROR(INDEX(科目表!$C$4:$C$81,MATCH($B53,科目表!$B$4:$B$81,0)),""))</f>
        <v>损益</v>
      </c>
      <c r="D53" s="112"/>
      <c r="E53" s="112"/>
      <c r="F53" s="10"/>
    </row>
    <row r="54" ht="18" customHeight="1" spans="1:6">
      <c r="A54" s="25" t="str">
        <f>IF($B54="","",IFERROR(INDEX(科目表!$A$4:$A$81,MATCH($B54,科目表!$B$4:$B$81,0)),""))</f>
        <v>5003</v>
      </c>
      <c r="B54" s="10" t="s">
        <v>261</v>
      </c>
      <c r="C54" s="26" t="str">
        <f>IF($B54="","",IFERROR(INDEX(科目表!$C$4:$C$81,MATCH($B54,科目表!$B$4:$B$81,0)),""))</f>
        <v>损益</v>
      </c>
      <c r="D54" s="112"/>
      <c r="E54" s="112"/>
      <c r="F54" s="10"/>
    </row>
    <row r="55" ht="18" customHeight="1" spans="1:6">
      <c r="A55" s="25" t="str">
        <f>IF($B55="","",IFERROR(INDEX(科目表!$A$4:$A$81,MATCH($B55,科目表!$B$4:$B$81,0)),""))</f>
        <v>5004</v>
      </c>
      <c r="B55" s="10" t="s">
        <v>264</v>
      </c>
      <c r="C55" s="26" t="str">
        <f>IF($B55="","",IFERROR(INDEX(科目表!$C$4:$C$81,MATCH($B55,科目表!$B$4:$B$81,0)),""))</f>
        <v>损益</v>
      </c>
      <c r="D55" s="112"/>
      <c r="E55" s="112"/>
      <c r="F55" s="10"/>
    </row>
    <row r="56" ht="18" customHeight="1" spans="1:6">
      <c r="A56" s="25" t="str">
        <f>IF($B56="","",IFERROR(INDEX(科目表!$A$4:$A$81,MATCH($B56,科目表!$B$4:$B$81,0)),""))</f>
        <v>5051</v>
      </c>
      <c r="B56" s="10" t="s">
        <v>575</v>
      </c>
      <c r="C56" s="26" t="str">
        <f>IF($B56="","",IFERROR(INDEX(科目表!$C$4:$C$81,MATCH($B56,科目表!$B$4:$B$81,0)),""))</f>
        <v>损益</v>
      </c>
      <c r="D56" s="112"/>
      <c r="E56" s="112"/>
      <c r="F56" s="10"/>
    </row>
    <row r="57" ht="18" customHeight="1" spans="1:6">
      <c r="A57" s="25" t="str">
        <f>IF($B57="","",IFERROR(INDEX(科目表!$A$4:$A$81,MATCH($B57,科目表!$B$4:$B$81,0)),""))</f>
        <v>5052</v>
      </c>
      <c r="B57" s="10" t="s">
        <v>276</v>
      </c>
      <c r="C57" s="26" t="str">
        <f>IF($B57="","",IFERROR(INDEX(科目表!$C$4:$C$81,MATCH($B57,科目表!$B$4:$B$81,0)),""))</f>
        <v>损益</v>
      </c>
      <c r="D57" s="112"/>
      <c r="E57" s="112"/>
      <c r="F57" s="10"/>
    </row>
    <row r="58" ht="18" customHeight="1" spans="1:6">
      <c r="A58" s="25" t="str">
        <f>IF($B58="","",IFERROR(INDEX(科目表!$A$4:$A$81,MATCH($B58,科目表!$B$4:$B$81,0)),""))</f>
        <v>5053</v>
      </c>
      <c r="B58" s="10" t="s">
        <v>578</v>
      </c>
      <c r="C58" s="26" t="str">
        <f>IF($B58="","",IFERROR(INDEX(科目表!$C$4:$C$81,MATCH($B58,科目表!$B$4:$B$81,0)),""))</f>
        <v>损益</v>
      </c>
      <c r="D58" s="112"/>
      <c r="E58" s="112"/>
      <c r="F58" s="10"/>
    </row>
    <row r="59" ht="18" customHeight="1" spans="1:6">
      <c r="A59" s="25" t="str">
        <f>IF($B59="","",IFERROR(INDEX(科目表!$A$4:$A$81,MATCH($B59,科目表!$B$4:$B$81,0)),""))</f>
        <v>5111</v>
      </c>
      <c r="B59" s="10" t="s">
        <v>580</v>
      </c>
      <c r="C59" s="26" t="str">
        <f>IF($B59="","",IFERROR(INDEX(科目表!$C$4:$C$81,MATCH($B59,科目表!$B$4:$B$81,0)),""))</f>
        <v>损益</v>
      </c>
      <c r="D59" s="112"/>
      <c r="E59" s="112"/>
      <c r="F59" s="10"/>
    </row>
    <row r="60" ht="18" customHeight="1" spans="1:6">
      <c r="A60" s="25" t="str">
        <f>IF($B60="","",IFERROR(INDEX(科目表!$A$4:$A$81,MATCH($B60,科目表!$B$4:$B$81,0)),""))</f>
        <v>5301</v>
      </c>
      <c r="B60" s="10" t="s">
        <v>582</v>
      </c>
      <c r="C60" s="26" t="str">
        <f>IF($B60="","",IFERROR(INDEX(科目表!$C$4:$C$81,MATCH($B60,科目表!$B$4:$B$81,0)),""))</f>
        <v>损益</v>
      </c>
      <c r="D60" s="112"/>
      <c r="E60" s="112"/>
      <c r="F60" s="10"/>
    </row>
    <row r="61" ht="18" customHeight="1" spans="1:6">
      <c r="A61" s="25" t="str">
        <f>IF($B61="","",IFERROR(INDEX(科目表!$A$4:$A$81,MATCH($B61,科目表!$B$4:$B$81,0)),""))</f>
        <v>5401</v>
      </c>
      <c r="B61" s="10" t="s">
        <v>299</v>
      </c>
      <c r="C61" s="26" t="str">
        <f>IF($B61="","",IFERROR(INDEX(科目表!$C$4:$C$81,MATCH($B61,科目表!$B$4:$B$81,0)),""))</f>
        <v>损益</v>
      </c>
      <c r="D61" s="112"/>
      <c r="E61" s="112"/>
      <c r="F61" s="10"/>
    </row>
    <row r="62" ht="18" customHeight="1" spans="1:6">
      <c r="A62" s="25" t="str">
        <f>IF($B62="","",IFERROR(INDEX(科目表!$A$4:$A$81,MATCH($B62,科目表!$B$4:$B$81,0)),""))</f>
        <v>5402</v>
      </c>
      <c r="B62" s="10" t="s">
        <v>587</v>
      </c>
      <c r="C62" s="26" t="str">
        <f>IF($B62="","",IFERROR(INDEX(科目表!$C$4:$C$81,MATCH($B62,科目表!$B$4:$B$81,0)),""))</f>
        <v>损益</v>
      </c>
      <c r="D62" s="112"/>
      <c r="E62" s="112"/>
      <c r="F62" s="10"/>
    </row>
    <row r="63" ht="18" customHeight="1" spans="1:6">
      <c r="A63" s="25" t="str">
        <f>IF($B63="","",IFERROR(INDEX(科目表!$A$4:$A$81,MATCH($B63,科目表!$B$4:$B$81,0)),""))</f>
        <v>5403</v>
      </c>
      <c r="B63" s="10" t="s">
        <v>557</v>
      </c>
      <c r="C63" s="26" t="str">
        <f>IF($B63="","",IFERROR(INDEX(科目表!$C$4:$C$81,MATCH($B63,科目表!$B$4:$B$81,0)),""))</f>
        <v>损益</v>
      </c>
      <c r="D63" s="112"/>
      <c r="E63" s="112"/>
      <c r="F63" s="10"/>
    </row>
    <row r="64" ht="18" customHeight="1" spans="1:6">
      <c r="A64" s="25" t="str">
        <f>IF($B64="","",IFERROR(INDEX(科目表!$A$4:$A$81,MATCH($B64,科目表!$B$4:$B$81,0)),""))</f>
        <v>5601</v>
      </c>
      <c r="B64" s="10" t="s">
        <v>492</v>
      </c>
      <c r="C64" s="26" t="str">
        <f>IF($B64="","",IFERROR(INDEX(科目表!$C$4:$C$81,MATCH($B64,科目表!$B$4:$B$81,0)),""))</f>
        <v>损益</v>
      </c>
      <c r="D64" s="112"/>
      <c r="E64" s="112"/>
      <c r="F64" s="10"/>
    </row>
    <row r="65" ht="18" customHeight="1" spans="1:6">
      <c r="A65" s="25" t="str">
        <f>IF($B65="","",IFERROR(INDEX(科目表!$A$4:$A$81,MATCH($B65,科目表!$B$4:$B$81,0)),""))</f>
        <v>5602</v>
      </c>
      <c r="B65" s="10" t="s">
        <v>413</v>
      </c>
      <c r="C65" s="26" t="str">
        <f>IF($B65="","",IFERROR(INDEX(科目表!$C$4:$C$81,MATCH($B65,科目表!$B$4:$B$81,0)),""))</f>
        <v>损益</v>
      </c>
      <c r="D65" s="112"/>
      <c r="E65" s="112"/>
      <c r="F65" s="10"/>
    </row>
    <row r="66" ht="18" customHeight="1" spans="1:6">
      <c r="A66" s="25" t="str">
        <f>IF($B66="","",IFERROR(INDEX(科目表!$A$4:$A$81,MATCH($B66,科目表!$B$4:$B$81,0)),""))</f>
        <v>5603</v>
      </c>
      <c r="B66" s="10" t="s">
        <v>548</v>
      </c>
      <c r="C66" s="26" t="str">
        <f>IF($B66="","",IFERROR(INDEX(科目表!$C$4:$C$81,MATCH($B66,科目表!$B$4:$B$81,0)),""))</f>
        <v>损益</v>
      </c>
      <c r="D66" s="112"/>
      <c r="E66" s="112"/>
      <c r="F66" s="10"/>
    </row>
    <row r="67" ht="18" customHeight="1" spans="1:6">
      <c r="A67" s="25" t="str">
        <f>IF($B67="","",IFERROR(INDEX(科目表!$A$4:$A$81,MATCH($B67,科目表!$B$4:$B$81,0)),""))</f>
        <v>5711</v>
      </c>
      <c r="B67" s="10" t="s">
        <v>593</v>
      </c>
      <c r="C67" s="26" t="str">
        <f>IF($B67="","",IFERROR(INDEX(科目表!$C$4:$C$81,MATCH($B67,科目表!$B$4:$B$81,0)),""))</f>
        <v>损益</v>
      </c>
      <c r="D67" s="112"/>
      <c r="E67" s="112"/>
      <c r="F67" s="10"/>
    </row>
    <row r="68" ht="18" customHeight="1" spans="1:6">
      <c r="A68" s="25" t="str">
        <f>IF($B68="","",IFERROR(INDEX(科目表!$A$4:$A$81,MATCH($B68,科目表!$B$4:$B$81,0)),""))</f>
        <v>5801</v>
      </c>
      <c r="B68" s="10" t="s">
        <v>595</v>
      </c>
      <c r="C68" s="26" t="str">
        <f>IF($B68="","",IFERROR(INDEX(科目表!$C$4:$C$81,MATCH($B68,科目表!$B$4:$B$81,0)),""))</f>
        <v>损益</v>
      </c>
      <c r="D68" s="112"/>
      <c r="E68" s="112"/>
      <c r="F68" s="10"/>
    </row>
    <row r="69" ht="18" customHeight="1" spans="1:6">
      <c r="A69" s="25" t="str">
        <f>IF($B69="","",IFERROR(INDEX(科目表!$A$4:$A$81,MATCH($B69,科目表!$B$4:$B$81,0)),""))</f>
        <v/>
      </c>
      <c r="B69" s="10"/>
      <c r="C69" s="26" t="str">
        <f>IF($B69="","",IFERROR(INDEX(科目表!$C$4:$C$81,MATCH($B69,科目表!$B$4:$B$81,0)),""))</f>
        <v/>
      </c>
      <c r="D69" s="112"/>
      <c r="E69" s="112"/>
      <c r="F69" s="10"/>
    </row>
    <row r="70" ht="18" customHeight="1" spans="1:6">
      <c r="A70" s="25" t="str">
        <f>IF($B70="","",IFERROR(INDEX(科目表!$A$4:$A$81,MATCH($B70,科目表!$B$4:$B$81,0)),""))</f>
        <v/>
      </c>
      <c r="B70" s="10"/>
      <c r="C70" s="26" t="str">
        <f>IF($B70="","",IFERROR(INDEX(科目表!$C$4:$C$81,MATCH($B70,科目表!$B$4:$B$81,0)),""))</f>
        <v/>
      </c>
      <c r="D70" s="112"/>
      <c r="E70" s="112"/>
      <c r="F70" s="10"/>
    </row>
    <row r="71" ht="18" customHeight="1" spans="1:6">
      <c r="A71" s="25" t="str">
        <f>IF($B71="","",IFERROR(INDEX(科目表!$A$4:$A$81,MATCH($B71,科目表!$B$4:$B$81,0)),""))</f>
        <v/>
      </c>
      <c r="B71" s="10"/>
      <c r="C71" s="26" t="str">
        <f>IF($B71="","",IFERROR(INDEX(科目表!$C$4:$C$81,MATCH($B71,科目表!$B$4:$B$81,0)),""))</f>
        <v/>
      </c>
      <c r="D71" s="112"/>
      <c r="E71" s="112"/>
      <c r="F71" s="10"/>
    </row>
    <row r="72" ht="18" customHeight="1" spans="1:6">
      <c r="A72" s="25" t="str">
        <f>IF($B72="","",IFERROR(INDEX(科目表!$A$4:$A$81,MATCH($B72,科目表!$B$4:$B$81,0)),""))</f>
        <v/>
      </c>
      <c r="B72" s="10"/>
      <c r="C72" s="26" t="str">
        <f>IF($B72="","",IFERROR(INDEX(科目表!$C$4:$C$81,MATCH($B72,科目表!$B$4:$B$81,0)),""))</f>
        <v/>
      </c>
      <c r="D72" s="112"/>
      <c r="E72" s="112"/>
      <c r="F72" s="10"/>
    </row>
    <row r="73" ht="18" customHeight="1" spans="1:6">
      <c r="A73" s="25" t="str">
        <f>IF($B73="","",IFERROR(INDEX(科目表!$A$4:$A$81,MATCH($B73,科目表!$B$4:$B$81,0)),""))</f>
        <v/>
      </c>
      <c r="B73" s="10"/>
      <c r="C73" s="26" t="str">
        <f>IF($B73="","",IFERROR(INDEX(科目表!$C$4:$C$81,MATCH($B73,科目表!$B$4:$B$81,0)),""))</f>
        <v/>
      </c>
      <c r="D73" s="112"/>
      <c r="E73" s="112"/>
      <c r="F73" s="10"/>
    </row>
    <row r="74" ht="18" customHeight="1" spans="1:6">
      <c r="A74" s="25" t="str">
        <f>IF($B74="","",IFERROR(INDEX(科目表!$A$4:$A$81,MATCH($B74,科目表!$B$4:$B$81,0)),""))</f>
        <v/>
      </c>
      <c r="B74" s="10"/>
      <c r="C74" s="26" t="str">
        <f>IF($B74="","",IFERROR(INDEX(科目表!$C$4:$C$81,MATCH($B74,科目表!$B$4:$B$81,0)),""))</f>
        <v/>
      </c>
      <c r="D74" s="112"/>
      <c r="E74" s="112"/>
      <c r="F74" s="10"/>
    </row>
    <row r="75" ht="18" customHeight="1" spans="1:6">
      <c r="A75" s="25" t="str">
        <f>IF($B75="","",IFERROR(INDEX(科目表!$A$4:$A$81,MATCH($B75,科目表!$B$4:$B$81,0)),""))</f>
        <v/>
      </c>
      <c r="B75" s="10"/>
      <c r="C75" s="26" t="str">
        <f>IF($B75="","",IFERROR(INDEX(科目表!$C$4:$C$81,MATCH($B75,科目表!$B$4:$B$81,0)),""))</f>
        <v/>
      </c>
      <c r="D75" s="112"/>
      <c r="E75" s="112"/>
      <c r="F75" s="10"/>
    </row>
    <row r="76" ht="18" customHeight="1" spans="1:6">
      <c r="A76" s="25" t="str">
        <f>IF($B76="","",IFERROR(INDEX(科目表!$A$4:$A$81,MATCH($B76,科目表!$B$4:$B$81,0)),""))</f>
        <v/>
      </c>
      <c r="B76" s="10"/>
      <c r="C76" s="26" t="str">
        <f>IF($B76="","",IFERROR(INDEX(科目表!$C$4:$C$81,MATCH($B76,科目表!$B$4:$B$81,0)),""))</f>
        <v/>
      </c>
      <c r="D76" s="112"/>
      <c r="E76" s="112"/>
      <c r="F76" s="10"/>
    </row>
    <row r="77" ht="18" customHeight="1" spans="1:6">
      <c r="A77" s="25" t="str">
        <f>IF($B77="","",IFERROR(INDEX(科目表!$A$4:$A$81,MATCH($B77,科目表!$B$4:$B$81,0)),""))</f>
        <v/>
      </c>
      <c r="B77" s="10"/>
      <c r="C77" s="26" t="str">
        <f>IF($B77="","",IFERROR(INDEX(科目表!$C$4:$C$81,MATCH($B77,科目表!$B$4:$B$81,0)),""))</f>
        <v/>
      </c>
      <c r="D77" s="112"/>
      <c r="E77" s="112"/>
      <c r="F77" s="10"/>
    </row>
    <row r="78" ht="18" customHeight="1" spans="1:6">
      <c r="A78" s="25" t="str">
        <f>IF($B78="","",IFERROR(INDEX(科目表!$A$4:$A$81,MATCH($B78,科目表!$B$4:$B$81,0)),""))</f>
        <v/>
      </c>
      <c r="B78" s="10"/>
      <c r="C78" s="26" t="str">
        <f>IF($B78="","",IFERROR(INDEX(科目表!$C$4:$C$81,MATCH($B78,科目表!$B$4:$B$81,0)),""))</f>
        <v/>
      </c>
      <c r="D78" s="112"/>
      <c r="E78" s="112"/>
      <c r="F78" s="10"/>
    </row>
    <row r="79" ht="18" customHeight="1" spans="1:6">
      <c r="A79" s="25" t="str">
        <f>IF($B79="","",IFERROR(INDEX(科目表!$A$4:$A$81,MATCH($B79,科目表!$B$4:$B$81,0)),""))</f>
        <v/>
      </c>
      <c r="B79" s="10"/>
      <c r="C79" s="26" t="str">
        <f>IF($B79="","",IFERROR(INDEX(科目表!$C$4:$C$81,MATCH($B79,科目表!$B$4:$B$81,0)),""))</f>
        <v/>
      </c>
      <c r="D79" s="112"/>
      <c r="E79" s="112"/>
      <c r="F79" s="10"/>
    </row>
    <row r="80" ht="18" customHeight="1" spans="1:6">
      <c r="A80" s="25" t="str">
        <f>IF($B80="","",IFERROR(INDEX(科目表!$A$4:$A$81,MATCH($B80,科目表!$B$4:$B$81,0)),""))</f>
        <v/>
      </c>
      <c r="B80" s="10"/>
      <c r="C80" s="26" t="str">
        <f>IF($B80="","",IFERROR(INDEX(科目表!$C$4:$C$81,MATCH($B80,科目表!$B$4:$B$81,0)),""))</f>
        <v/>
      </c>
      <c r="D80" s="112"/>
      <c r="E80" s="112"/>
      <c r="F80" s="10"/>
    </row>
    <row r="81" ht="18" customHeight="1" spans="1:6">
      <c r="A81" s="25" t="str">
        <f>IF($B81="","",IFERROR(INDEX(科目表!$A$4:$A$81,MATCH($B81,科目表!$B$4:$B$81,0)),""))</f>
        <v/>
      </c>
      <c r="B81" s="10"/>
      <c r="C81" s="26" t="str">
        <f>IF($B81="","",IFERROR(INDEX(科目表!$C$4:$C$81,MATCH($B81,科目表!$B$4:$B$81,0)),""))</f>
        <v/>
      </c>
      <c r="D81" s="112"/>
      <c r="E81" s="112"/>
      <c r="F81" s="10"/>
    </row>
    <row r="82" ht="16.5" customHeight="1" spans="1:6">
      <c r="A82" s="28"/>
      <c r="B82" s="29" t="s">
        <v>220</v>
      </c>
      <c r="C82" s="28"/>
      <c r="D82" s="30">
        <f>ROUND(SUM(D4:D81),2)</f>
        <v>0</v>
      </c>
      <c r="E82" s="30">
        <f>ROUND(SUM(E4:E81),2)</f>
        <v>0</v>
      </c>
      <c r="F82" s="28" t="str">
        <f>IF(ROUND(D82-E82,2)=0,"✔ 借贷平衡","✘ 差额 "&amp;TEXT(D82-E82,"#,##0.00"))</f>
        <v>✔ 借贷平衡</v>
      </c>
    </row>
  </sheetData>
  <mergeCells count="2">
    <mergeCell ref="A1:F1"/>
    <mergeCell ref="A2:F2"/>
  </mergeCells>
  <dataValidations count="1">
    <dataValidation type="list" allowBlank="1" sqref="B4:B81">
      <formula1>科目表!$B$4:$B$81</formula1>
    </dataValidation>
  </dataValidations>
  <pageMargins left="0.3" right="0.3" top="0.4" bottom="0.4" header="0.5" footer="0.5"/>
  <pageSetup paperSize="9" fitToHeight="0" orientation="landscape"/>
  <headerFooter>
    <oddFooter>&amp;L&amp;A&amp;R第 &amp;P 页 / 共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Y603"/>
  <sheetViews>
    <sheetView showGridLines="0" workbookViewId="0">
      <pane xSplit="3" ySplit="3" topLeftCell="Q4" activePane="bottomRight" state="frozen"/>
      <selection/>
      <selection pane="topRight"/>
      <selection pane="bottomLeft"/>
      <selection pane="bottomRight" activeCell="B4" sqref="B4:I10"/>
    </sheetView>
  </sheetViews>
  <sheetFormatPr defaultColWidth="9" defaultRowHeight="13.5"/>
  <cols>
    <col min="1" max="1" width="6" customWidth="1"/>
    <col min="2" max="2" width="12" customWidth="1"/>
    <col min="3" max="3" width="15" customWidth="1"/>
    <col min="4" max="4" width="20" customWidth="1"/>
    <col min="5" max="9" width="13" customWidth="1"/>
    <col min="10" max="10" width="14" customWidth="1"/>
    <col min="11" max="11" width="15" customWidth="1"/>
    <col min="12" max="12" width="16" customWidth="1"/>
    <col min="13" max="13" width="14" customWidth="1"/>
    <col min="14" max="14" width="11" customWidth="1"/>
    <col min="15" max="16" width="20" customWidth="1"/>
    <col min="17" max="17" width="24" customWidth="1"/>
    <col min="18" max="19" width="13" customWidth="1"/>
    <col min="20" max="20" width="18" customWidth="1"/>
    <col min="21" max="21" width="22" customWidth="1"/>
    <col min="22" max="22" width="12" customWidth="1"/>
    <col min="23" max="23" width="18" hidden="1" customWidth="1"/>
    <col min="24" max="24" width="22" hidden="1" customWidth="1"/>
    <col min="25" max="25" width="12" hidden="1" customWidth="1"/>
  </cols>
  <sheetData>
    <row r="1" ht="30" customHeight="1" spans="1:25">
      <c r="A1" s="2" t="s">
        <v>600</v>
      </c>
    </row>
    <row r="2" ht="18" customHeight="1" spans="1:25">
      <c r="A2" s="31" t="s">
        <v>601</v>
      </c>
    </row>
    <row r="3" ht="30" customHeight="1" spans="1:25">
      <c r="A3" s="73" t="s">
        <v>3</v>
      </c>
      <c r="B3" s="73" t="s">
        <v>602</v>
      </c>
      <c r="C3" s="73" t="s">
        <v>372</v>
      </c>
      <c r="D3" s="73" t="s">
        <v>603</v>
      </c>
      <c r="E3" s="73" t="s">
        <v>371</v>
      </c>
      <c r="F3" s="73" t="s">
        <v>314</v>
      </c>
      <c r="G3" s="73" t="s">
        <v>374</v>
      </c>
      <c r="H3" s="73" t="s">
        <v>604</v>
      </c>
      <c r="I3" s="73" t="s">
        <v>605</v>
      </c>
      <c r="J3" s="73" t="s">
        <v>606</v>
      </c>
      <c r="K3" s="73" t="s">
        <v>607</v>
      </c>
      <c r="L3" s="73" t="s">
        <v>172</v>
      </c>
      <c r="M3" s="73" t="s">
        <v>608</v>
      </c>
      <c r="N3" s="73" t="s">
        <v>211</v>
      </c>
      <c r="O3" s="73" t="s">
        <v>212</v>
      </c>
      <c r="P3" s="73" t="s">
        <v>213</v>
      </c>
      <c r="Q3" s="73" t="s">
        <v>214</v>
      </c>
      <c r="R3" s="73" t="s">
        <v>215</v>
      </c>
      <c r="S3" s="73" t="s">
        <v>216</v>
      </c>
      <c r="T3" s="73" t="s">
        <v>609</v>
      </c>
      <c r="U3" s="73" t="s">
        <v>610</v>
      </c>
      <c r="V3" s="73" t="s">
        <v>611</v>
      </c>
      <c r="W3" s="110"/>
      <c r="X3" s="73"/>
    </row>
    <row r="4" ht="18" customHeight="1" spans="1:25">
      <c r="A4" s="74" t="str">
        <f t="shared" ref="A4:A67" si="0">IF($C4="","",ROW()-3)</f>
        <v/>
      </c>
      <c r="B4" s="7"/>
      <c r="C4" s="43"/>
      <c r="D4" s="106"/>
      <c r="E4" s="43"/>
      <c r="F4" s="43"/>
      <c r="G4" s="43"/>
      <c r="H4" s="107"/>
      <c r="I4" s="107"/>
      <c r="J4" s="76" t="str">
        <f>IF($C4="","",ROUND(IFERROR(INDEX(期初余额!$I$4:$I$9,MATCH($C4,期初余额!$H$4:$H$9,0)),0)+SUMIFS($H$4:$H4,$C$4:$C4,$C4)-SUMIFS($I$4:$I4,$C$4:$C4,$C4),2))</f>
        <v/>
      </c>
      <c r="K4" s="111" t="str">
        <f>IF($T4&lt;&gt;"",$T4,IF($C4="","",IF(AND(N($I4)&gt;0,$G4&lt;&gt;""),IFERROR(INDEX(科目表!$U$4:$U$123,MATCH($G4,科目表!$M$4:$M$123,0)),"管理费用"),IF(N($H4)&gt;0,IFERROR(INDEX(自动规则!$C$4:$C$40,MATCH($F4,自动规则!$B$4:$B$40,0)),"其他应收款"),IFERROR(INDEX(自动规则!$D$4:$D$40,MATCH($F4,自动规则!$B$4:$B$40,0)),"其他应付款")))))</f>
        <v/>
      </c>
      <c r="L4" s="106"/>
      <c r="M4" s="75" t="str">
        <f>IF($C4="","",IFERROR(INDEX(科目表!$T$4:$T$9,MATCH($C4,科目表!$S$4:$S$9,0)),""))</f>
        <v/>
      </c>
      <c r="N4" s="75" t="str">
        <f t="shared" ref="N4:N67" si="1">IF(OR($C4="",ROUND(N($H4)+N($I4),2)=0),"",IF(N($H4)&gt;0,$M4,$K4))</f>
        <v/>
      </c>
      <c r="O4" s="76" t="str">
        <f t="shared" ref="O4:O67" si="2">IF($N4="","",ROUND(N($H4)+N($I4),2))</f>
        <v/>
      </c>
      <c r="P4" s="76" t="str">
        <f t="shared" ref="P4:P67" si="3">IF($N4="","",0)</f>
        <v/>
      </c>
      <c r="Q4" s="75" t="str">
        <f t="shared" ref="Q4:Q67" si="4">IF($N4="","",IF(N($H4)&gt;0,$K4,$M4))</f>
        <v/>
      </c>
      <c r="R4" s="76" t="str">
        <f t="shared" ref="R4:R67" si="5">IF($Q4="","",0)</f>
        <v/>
      </c>
      <c r="S4" s="76" t="str">
        <f t="shared" ref="S4:S67" si="6">IF($Q4="","",ROUND(N($H4)+N($I4),2))</f>
        <v/>
      </c>
      <c r="T4" s="43"/>
      <c r="U4" s="107"/>
      <c r="V4" s="76" t="str">
        <f t="shared" ref="V4:V67" si="7">IF($B4="","",TEXT($B4,"yyyy年m月"))</f>
        <v/>
      </c>
      <c r="W4" s="43"/>
      <c r="X4" s="43"/>
      <c r="Y4" s="74"/>
    </row>
    <row r="5" ht="18" customHeight="1" spans="1:25">
      <c r="A5" s="74" t="str">
        <f t="shared" si="0"/>
        <v/>
      </c>
      <c r="B5" s="7"/>
      <c r="C5" s="43"/>
      <c r="D5" s="106"/>
      <c r="E5" s="43"/>
      <c r="F5" s="43"/>
      <c r="G5" s="43"/>
      <c r="H5" s="107"/>
      <c r="I5" s="107"/>
      <c r="J5" s="76" t="str">
        <f>IF($C5="","",ROUND(IFERROR(INDEX(期初余额!$I$4:$I$9,MATCH($C5,期初余额!$H$4:$H$9,0)),0)+SUMIFS($H$4:$H5,$C$4:$C5,$C5)-SUMIFS($I$4:$I5,$C$4:$C5,$C5),2))</f>
        <v/>
      </c>
      <c r="K5" s="111" t="str">
        <f>IF($T5&lt;&gt;"",$T5,IF($C5="","",IF(AND(N($I5)&gt;0,$G5&lt;&gt;""),IFERROR(INDEX(科目表!$U$4:$U$123,MATCH($G5,科目表!$M$4:$M$123,0)),"管理费用"),IF(N($H5)&gt;0,IFERROR(INDEX(自动规则!$C$4:$C$40,MATCH($F5,自动规则!$B$4:$B$40,0)),"其他应收款"),IFERROR(INDEX(自动规则!$D$4:$D$40,MATCH($F5,自动规则!$B$4:$B$40,0)),"其他应付款")))))</f>
        <v/>
      </c>
      <c r="L5" s="106"/>
      <c r="M5" s="75" t="str">
        <f>IF($C5="","",IFERROR(INDEX(科目表!$T$4:$T$9,MATCH($C5,科目表!$S$4:$S$9,0)),""))</f>
        <v/>
      </c>
      <c r="N5" s="75" t="str">
        <f t="shared" si="1"/>
        <v/>
      </c>
      <c r="O5" s="76" t="str">
        <f t="shared" si="2"/>
        <v/>
      </c>
      <c r="P5" s="76" t="str">
        <f t="shared" si="3"/>
        <v/>
      </c>
      <c r="Q5" s="75" t="str">
        <f t="shared" si="4"/>
        <v/>
      </c>
      <c r="R5" s="76" t="str">
        <f t="shared" si="5"/>
        <v/>
      </c>
      <c r="S5" s="76" t="str">
        <f t="shared" si="6"/>
        <v/>
      </c>
      <c r="T5" s="43"/>
      <c r="U5" s="107"/>
      <c r="V5" s="76" t="str">
        <f t="shared" si="7"/>
        <v/>
      </c>
      <c r="W5" s="43"/>
      <c r="X5" s="43"/>
      <c r="Y5" s="74"/>
    </row>
    <row r="6" ht="18" customHeight="1" spans="1:25">
      <c r="A6" s="74" t="str">
        <f t="shared" si="0"/>
        <v/>
      </c>
      <c r="B6" s="7"/>
      <c r="C6" s="43"/>
      <c r="D6" s="106"/>
      <c r="E6" s="43"/>
      <c r="F6" s="43"/>
      <c r="G6" s="43"/>
      <c r="H6" s="107"/>
      <c r="I6" s="107"/>
      <c r="J6" s="76" t="str">
        <f>IF($C6="","",ROUND(IFERROR(INDEX(期初余额!$I$4:$I$9,MATCH($C6,期初余额!$H$4:$H$9,0)),0)+SUMIFS($H$4:$H6,$C$4:$C6,$C6)-SUMIFS($I$4:$I6,$C$4:$C6,$C6),2))</f>
        <v/>
      </c>
      <c r="K6" s="111" t="str">
        <f>IF($T6&lt;&gt;"",$T6,IF($C6="","",IF(AND(N($I6)&gt;0,$G6&lt;&gt;""),IFERROR(INDEX(科目表!$U$4:$U$123,MATCH($G6,科目表!$M$4:$M$123,0)),"管理费用"),IF(N($H6)&gt;0,IFERROR(INDEX(自动规则!$C$4:$C$40,MATCH($F6,自动规则!$B$4:$B$40,0)),"其他应收款"),IFERROR(INDEX(自动规则!$D$4:$D$40,MATCH($F6,自动规则!$B$4:$B$40,0)),"其他应付款")))))</f>
        <v/>
      </c>
      <c r="L6" s="106"/>
      <c r="M6" s="75" t="str">
        <f>IF($C6="","",IFERROR(INDEX(科目表!$T$4:$T$9,MATCH($C6,科目表!$S$4:$S$9,0)),""))</f>
        <v/>
      </c>
      <c r="N6" s="75" t="str">
        <f t="shared" si="1"/>
        <v/>
      </c>
      <c r="O6" s="76" t="str">
        <f t="shared" si="2"/>
        <v/>
      </c>
      <c r="P6" s="76" t="str">
        <f t="shared" si="3"/>
        <v/>
      </c>
      <c r="Q6" s="75" t="str">
        <f t="shared" si="4"/>
        <v/>
      </c>
      <c r="R6" s="76" t="str">
        <f t="shared" si="5"/>
        <v/>
      </c>
      <c r="S6" s="76" t="str">
        <f t="shared" si="6"/>
        <v/>
      </c>
      <c r="T6" s="43"/>
      <c r="U6" s="107"/>
      <c r="V6" s="76" t="str">
        <f t="shared" si="7"/>
        <v/>
      </c>
      <c r="W6" s="43"/>
      <c r="X6" s="43"/>
      <c r="Y6" s="74"/>
    </row>
    <row r="7" ht="18" customHeight="1" spans="1:25">
      <c r="A7" s="74" t="str">
        <f t="shared" si="0"/>
        <v/>
      </c>
      <c r="B7" s="7"/>
      <c r="C7" s="43"/>
      <c r="D7" s="106"/>
      <c r="E7" s="43"/>
      <c r="F7" s="43"/>
      <c r="G7" s="43"/>
      <c r="H7" s="107"/>
      <c r="I7" s="107"/>
      <c r="J7" s="76" t="str">
        <f>IF($C7="","",ROUND(IFERROR(INDEX(期初余额!$I$4:$I$9,MATCH($C7,期初余额!$H$4:$H$9,0)),0)+SUMIFS($H$4:$H7,$C$4:$C7,$C7)-SUMIFS($I$4:$I7,$C$4:$C7,$C7),2))</f>
        <v/>
      </c>
      <c r="K7" s="111" t="str">
        <f>IF($T7&lt;&gt;"",$T7,IF($C7="","",IF(AND(N($I7)&gt;0,$G7&lt;&gt;""),IFERROR(INDEX(科目表!$U$4:$U$123,MATCH($G7,科目表!$M$4:$M$123,0)),"管理费用"),IF(N($H7)&gt;0,IFERROR(INDEX(自动规则!$C$4:$C$40,MATCH($F7,自动规则!$B$4:$B$40,0)),"其他应收款"),IFERROR(INDEX(自动规则!$D$4:$D$40,MATCH($F7,自动规则!$B$4:$B$40,0)),"其他应付款")))))</f>
        <v/>
      </c>
      <c r="L7" s="106"/>
      <c r="M7" s="75" t="str">
        <f>IF($C7="","",IFERROR(INDEX(科目表!$T$4:$T$9,MATCH($C7,科目表!$S$4:$S$9,0)),""))</f>
        <v/>
      </c>
      <c r="N7" s="75" t="str">
        <f t="shared" si="1"/>
        <v/>
      </c>
      <c r="O7" s="76" t="str">
        <f t="shared" si="2"/>
        <v/>
      </c>
      <c r="P7" s="76" t="str">
        <f t="shared" si="3"/>
        <v/>
      </c>
      <c r="Q7" s="75" t="str">
        <f t="shared" si="4"/>
        <v/>
      </c>
      <c r="R7" s="76" t="str">
        <f t="shared" si="5"/>
        <v/>
      </c>
      <c r="S7" s="76" t="str">
        <f t="shared" si="6"/>
        <v/>
      </c>
      <c r="T7" s="43"/>
      <c r="U7" s="107"/>
      <c r="V7" s="76" t="str">
        <f t="shared" si="7"/>
        <v/>
      </c>
      <c r="W7" s="43"/>
      <c r="X7" s="43"/>
      <c r="Y7" s="74"/>
    </row>
    <row r="8" ht="18" customHeight="1" spans="1:25">
      <c r="A8" s="74" t="str">
        <f t="shared" si="0"/>
        <v/>
      </c>
      <c r="B8" s="7"/>
      <c r="C8" s="43"/>
      <c r="D8" s="106"/>
      <c r="E8" s="43"/>
      <c r="F8" s="43"/>
      <c r="G8" s="43"/>
      <c r="H8" s="107"/>
      <c r="I8" s="107"/>
      <c r="J8" s="76" t="str">
        <f>IF($C8="","",ROUND(IFERROR(INDEX(期初余额!$I$4:$I$9,MATCH($C8,期初余额!$H$4:$H$9,0)),0)+SUMIFS($H$4:$H8,$C$4:$C8,$C8)-SUMIFS($I$4:$I8,$C$4:$C8,$C8),2))</f>
        <v/>
      </c>
      <c r="K8" s="111" t="str">
        <f>IF($T8&lt;&gt;"",$T8,IF($C8="","",IF(AND(N($I8)&gt;0,$G8&lt;&gt;""),IFERROR(INDEX(科目表!$U$4:$U$123,MATCH($G8,科目表!$M$4:$M$123,0)),"管理费用"),IF(N($H8)&gt;0,IFERROR(INDEX(自动规则!$C$4:$C$40,MATCH($F8,自动规则!$B$4:$B$40,0)),"其他应收款"),IFERROR(INDEX(自动规则!$D$4:$D$40,MATCH($F8,自动规则!$B$4:$B$40,0)),"其他应付款")))))</f>
        <v/>
      </c>
      <c r="L8" s="106"/>
      <c r="M8" s="75" t="str">
        <f>IF($C8="","",IFERROR(INDEX(科目表!$T$4:$T$9,MATCH($C8,科目表!$S$4:$S$9,0)),""))</f>
        <v/>
      </c>
      <c r="N8" s="75" t="str">
        <f t="shared" si="1"/>
        <v/>
      </c>
      <c r="O8" s="76" t="str">
        <f t="shared" si="2"/>
        <v/>
      </c>
      <c r="P8" s="76" t="str">
        <f t="shared" si="3"/>
        <v/>
      </c>
      <c r="Q8" s="75" t="str">
        <f t="shared" si="4"/>
        <v/>
      </c>
      <c r="R8" s="76" t="str">
        <f t="shared" si="5"/>
        <v/>
      </c>
      <c r="S8" s="76" t="str">
        <f t="shared" si="6"/>
        <v/>
      </c>
      <c r="T8" s="43"/>
      <c r="U8" s="107"/>
      <c r="V8" s="76" t="str">
        <f t="shared" si="7"/>
        <v/>
      </c>
      <c r="W8" s="43"/>
      <c r="X8" s="43"/>
      <c r="Y8" s="74"/>
    </row>
    <row r="9" ht="18" customHeight="1" spans="1:25">
      <c r="A9" s="74" t="str">
        <f t="shared" si="0"/>
        <v/>
      </c>
      <c r="B9" s="7"/>
      <c r="C9" s="43"/>
      <c r="D9" s="106"/>
      <c r="E9" s="43"/>
      <c r="F9" s="43"/>
      <c r="G9" s="43"/>
      <c r="H9" s="107"/>
      <c r="I9" s="107"/>
      <c r="J9" s="76" t="str">
        <f>IF($C9="","",ROUND(IFERROR(INDEX(期初余额!$I$4:$I$9,MATCH($C9,期初余额!$H$4:$H$9,0)),0)+SUMIFS($H$4:$H9,$C$4:$C9,$C9)-SUMIFS($I$4:$I9,$C$4:$C9,$C9),2))</f>
        <v/>
      </c>
      <c r="K9" s="111" t="str">
        <f>IF($T9&lt;&gt;"",$T9,IF($C9="","",IF(AND(N($I9)&gt;0,$G9&lt;&gt;""),IFERROR(INDEX(科目表!$U$4:$U$123,MATCH($G9,科目表!$M$4:$M$123,0)),"管理费用"),IF(N($H9)&gt;0,IFERROR(INDEX(自动规则!$C$4:$C$40,MATCH($F9,自动规则!$B$4:$B$40,0)),"其他应收款"),IFERROR(INDEX(自动规则!$D$4:$D$40,MATCH($F9,自动规则!$B$4:$B$40,0)),"其他应付款")))))</f>
        <v/>
      </c>
      <c r="L9" s="106"/>
      <c r="M9" s="75" t="str">
        <f>IF($C9="","",IFERROR(INDEX(科目表!$T$4:$T$9,MATCH($C9,科目表!$S$4:$S$9,0)),""))</f>
        <v/>
      </c>
      <c r="N9" s="75" t="str">
        <f t="shared" si="1"/>
        <v/>
      </c>
      <c r="O9" s="76" t="str">
        <f t="shared" si="2"/>
        <v/>
      </c>
      <c r="P9" s="76" t="str">
        <f t="shared" si="3"/>
        <v/>
      </c>
      <c r="Q9" s="75" t="str">
        <f t="shared" si="4"/>
        <v/>
      </c>
      <c r="R9" s="76" t="str">
        <f t="shared" si="5"/>
        <v/>
      </c>
      <c r="S9" s="76" t="str">
        <f t="shared" si="6"/>
        <v/>
      </c>
      <c r="T9" s="43"/>
      <c r="U9" s="107"/>
      <c r="V9" s="76" t="str">
        <f t="shared" si="7"/>
        <v/>
      </c>
      <c r="W9" s="43"/>
      <c r="X9" s="43"/>
      <c r="Y9" s="74"/>
    </row>
    <row r="10" ht="18" customHeight="1" spans="1:25">
      <c r="A10" s="74" t="str">
        <f t="shared" si="0"/>
        <v/>
      </c>
      <c r="B10" s="7"/>
      <c r="C10" s="43"/>
      <c r="D10" s="106"/>
      <c r="E10" s="43"/>
      <c r="F10" s="43"/>
      <c r="G10" s="43"/>
      <c r="H10" s="107"/>
      <c r="I10" s="107"/>
      <c r="J10" s="76" t="str">
        <f>IF($C10="","",ROUND(IFERROR(INDEX(期初余额!$I$4:$I$9,MATCH($C10,期初余额!$H$4:$H$9,0)),0)+SUMIFS($H$4:$H10,$C$4:$C10,$C10)-SUMIFS($I$4:$I10,$C$4:$C10,$C10),2))</f>
        <v/>
      </c>
      <c r="K10" s="111" t="str">
        <f>IF($T10&lt;&gt;"",$T10,IF($C10="","",IF(AND(N($I10)&gt;0,$G10&lt;&gt;""),IFERROR(INDEX(科目表!$U$4:$U$123,MATCH($G10,科目表!$M$4:$M$123,0)),"管理费用"),IF(N($H10)&gt;0,IFERROR(INDEX(自动规则!$C$4:$C$40,MATCH($F10,自动规则!$B$4:$B$40,0)),"其他应收款"),IFERROR(INDEX(自动规则!$D$4:$D$40,MATCH($F10,自动规则!$B$4:$B$40,0)),"其他应付款")))))</f>
        <v/>
      </c>
      <c r="L10" s="106"/>
      <c r="M10" s="75" t="str">
        <f>IF($C10="","",IFERROR(INDEX(科目表!$T$4:$T$9,MATCH($C10,科目表!$S$4:$S$9,0)),""))</f>
        <v/>
      </c>
      <c r="N10" s="75" t="str">
        <f t="shared" si="1"/>
        <v/>
      </c>
      <c r="O10" s="76" t="str">
        <f t="shared" si="2"/>
        <v/>
      </c>
      <c r="P10" s="76" t="str">
        <f t="shared" si="3"/>
        <v/>
      </c>
      <c r="Q10" s="75" t="str">
        <f t="shared" si="4"/>
        <v/>
      </c>
      <c r="R10" s="76" t="str">
        <f t="shared" si="5"/>
        <v/>
      </c>
      <c r="S10" s="76" t="str">
        <f t="shared" si="6"/>
        <v/>
      </c>
      <c r="T10" s="43"/>
      <c r="U10" s="107"/>
      <c r="V10" s="76" t="str">
        <f t="shared" si="7"/>
        <v/>
      </c>
      <c r="W10" s="43"/>
      <c r="X10" s="43"/>
      <c r="Y10" s="74"/>
    </row>
    <row r="11" ht="18" customHeight="1" spans="1:25">
      <c r="A11" s="74" t="str">
        <f t="shared" si="0"/>
        <v/>
      </c>
      <c r="B11" s="7"/>
      <c r="C11" s="43"/>
      <c r="D11" s="106"/>
      <c r="E11" s="43"/>
      <c r="F11" s="43"/>
      <c r="G11" s="43"/>
      <c r="H11" s="107"/>
      <c r="I11" s="107"/>
      <c r="J11" s="76" t="str">
        <f>IF($C11="","",ROUND(IFERROR(INDEX(期初余额!$I$4:$I$9,MATCH($C11,期初余额!$H$4:$H$9,0)),0)+SUMIFS($H$4:$H11,$C$4:$C11,$C11)-SUMIFS($I$4:$I11,$C$4:$C11,$C11),2))</f>
        <v/>
      </c>
      <c r="K11" s="111" t="str">
        <f>IF($T11&lt;&gt;"",$T11,IF($C11="","",IF(AND(N($I11)&gt;0,$G11&lt;&gt;""),IFERROR(INDEX(科目表!$U$4:$U$123,MATCH($G11,科目表!$M$4:$M$123,0)),"管理费用"),IF(N($H11)&gt;0,IFERROR(INDEX(自动规则!$C$4:$C$40,MATCH($F11,自动规则!$B$4:$B$40,0)),"其他应收款"),IFERROR(INDEX(自动规则!$D$4:$D$40,MATCH($F11,自动规则!$B$4:$B$40,0)),"其他应付款")))))</f>
        <v/>
      </c>
      <c r="L11" s="106"/>
      <c r="M11" s="75" t="str">
        <f>IF($C11="","",IFERROR(INDEX(科目表!$T$4:$T$9,MATCH($C11,科目表!$S$4:$S$9,0)),""))</f>
        <v/>
      </c>
      <c r="N11" s="75" t="str">
        <f t="shared" si="1"/>
        <v/>
      </c>
      <c r="O11" s="76" t="str">
        <f t="shared" si="2"/>
        <v/>
      </c>
      <c r="P11" s="76" t="str">
        <f t="shared" si="3"/>
        <v/>
      </c>
      <c r="Q11" s="75" t="str">
        <f t="shared" si="4"/>
        <v/>
      </c>
      <c r="R11" s="76" t="str">
        <f t="shared" si="5"/>
        <v/>
      </c>
      <c r="S11" s="76" t="str">
        <f t="shared" si="6"/>
        <v/>
      </c>
      <c r="T11" s="43"/>
      <c r="U11" s="107"/>
      <c r="V11" s="76" t="str">
        <f t="shared" si="7"/>
        <v/>
      </c>
      <c r="W11" s="43"/>
      <c r="X11" s="43"/>
      <c r="Y11" s="74"/>
    </row>
    <row r="12" ht="18" customHeight="1" spans="1:25">
      <c r="A12" s="74" t="str">
        <f t="shared" si="0"/>
        <v/>
      </c>
      <c r="B12" s="7"/>
      <c r="C12" s="43"/>
      <c r="D12" s="106"/>
      <c r="E12" s="43"/>
      <c r="F12" s="43"/>
      <c r="G12" s="43"/>
      <c r="H12" s="107"/>
      <c r="I12" s="107"/>
      <c r="J12" s="76" t="str">
        <f>IF($C12="","",ROUND(IFERROR(INDEX(期初余额!$I$4:$I$9,MATCH($C12,期初余额!$H$4:$H$9,0)),0)+SUMIFS($H$4:$H12,$C$4:$C12,$C12)-SUMIFS($I$4:$I12,$C$4:$C12,$C12),2))</f>
        <v/>
      </c>
      <c r="K12" s="111" t="str">
        <f>IF($T12&lt;&gt;"",$T12,IF($C12="","",IF(AND(N($I12)&gt;0,$G12&lt;&gt;""),IFERROR(INDEX(科目表!$U$4:$U$123,MATCH($G12,科目表!$M$4:$M$123,0)),"管理费用"),IF(N($H12)&gt;0,IFERROR(INDEX(自动规则!$C$4:$C$40,MATCH($F12,自动规则!$B$4:$B$40,0)),"其他应收款"),IFERROR(INDEX(自动规则!$D$4:$D$40,MATCH($F12,自动规则!$B$4:$B$40,0)),"其他应付款")))))</f>
        <v/>
      </c>
      <c r="L12" s="106"/>
      <c r="M12" s="75" t="str">
        <f>IF($C12="","",IFERROR(INDEX(科目表!$T$4:$T$9,MATCH($C12,科目表!$S$4:$S$9,0)),""))</f>
        <v/>
      </c>
      <c r="N12" s="75" t="str">
        <f t="shared" si="1"/>
        <v/>
      </c>
      <c r="O12" s="76" t="str">
        <f t="shared" si="2"/>
        <v/>
      </c>
      <c r="P12" s="76" t="str">
        <f t="shared" si="3"/>
        <v/>
      </c>
      <c r="Q12" s="75" t="str">
        <f t="shared" si="4"/>
        <v/>
      </c>
      <c r="R12" s="76" t="str">
        <f t="shared" si="5"/>
        <v/>
      </c>
      <c r="S12" s="76" t="str">
        <f t="shared" si="6"/>
        <v/>
      </c>
      <c r="T12" s="43"/>
      <c r="U12" s="107"/>
      <c r="V12" s="76" t="str">
        <f t="shared" si="7"/>
        <v/>
      </c>
      <c r="W12" s="43"/>
      <c r="X12" s="43"/>
      <c r="Y12" s="74"/>
    </row>
    <row r="13" ht="18" customHeight="1" spans="1:25">
      <c r="A13" s="74" t="str">
        <f t="shared" si="0"/>
        <v/>
      </c>
      <c r="B13" s="7"/>
      <c r="C13" s="43"/>
      <c r="D13" s="106"/>
      <c r="E13" s="43"/>
      <c r="F13" s="43"/>
      <c r="G13" s="43"/>
      <c r="H13" s="107"/>
      <c r="I13" s="107"/>
      <c r="J13" s="76" t="str">
        <f>IF($C13="","",ROUND(IFERROR(INDEX(期初余额!$I$4:$I$9,MATCH($C13,期初余额!$H$4:$H$9,0)),0)+SUMIFS($H$4:$H13,$C$4:$C13,$C13)-SUMIFS($I$4:$I13,$C$4:$C13,$C13),2))</f>
        <v/>
      </c>
      <c r="K13" s="111" t="str">
        <f>IF($T13&lt;&gt;"",$T13,IF($C13="","",IF(AND(N($I13)&gt;0,$G13&lt;&gt;""),IFERROR(INDEX(科目表!$U$4:$U$123,MATCH($G13,科目表!$M$4:$M$123,0)),"管理费用"),IF(N($H13)&gt;0,IFERROR(INDEX(自动规则!$C$4:$C$40,MATCH($F13,自动规则!$B$4:$B$40,0)),"其他应收款"),IFERROR(INDEX(自动规则!$D$4:$D$40,MATCH($F13,自动规则!$B$4:$B$40,0)),"其他应付款")))))</f>
        <v/>
      </c>
      <c r="L13" s="106"/>
      <c r="M13" s="75" t="str">
        <f>IF($C13="","",IFERROR(INDEX(科目表!$T$4:$T$9,MATCH($C13,科目表!$S$4:$S$9,0)),""))</f>
        <v/>
      </c>
      <c r="N13" s="75" t="str">
        <f t="shared" si="1"/>
        <v/>
      </c>
      <c r="O13" s="76" t="str">
        <f t="shared" si="2"/>
        <v/>
      </c>
      <c r="P13" s="76" t="str">
        <f t="shared" si="3"/>
        <v/>
      </c>
      <c r="Q13" s="75" t="str">
        <f t="shared" si="4"/>
        <v/>
      </c>
      <c r="R13" s="76" t="str">
        <f t="shared" si="5"/>
        <v/>
      </c>
      <c r="S13" s="76" t="str">
        <f t="shared" si="6"/>
        <v/>
      </c>
      <c r="T13" s="43"/>
      <c r="U13" s="107"/>
      <c r="V13" s="76" t="str">
        <f t="shared" si="7"/>
        <v/>
      </c>
      <c r="W13" s="43"/>
      <c r="X13" s="43"/>
      <c r="Y13" s="74"/>
    </row>
    <row r="14" ht="18" customHeight="1" spans="1:25">
      <c r="A14" s="74" t="str">
        <f t="shared" si="0"/>
        <v/>
      </c>
      <c r="B14" s="7"/>
      <c r="C14" s="43"/>
      <c r="D14" s="106"/>
      <c r="E14" s="43"/>
      <c r="F14" s="43"/>
      <c r="G14" s="43"/>
      <c r="H14" s="107"/>
      <c r="I14" s="107"/>
      <c r="J14" s="76" t="str">
        <f>IF($C14="","",ROUND(IFERROR(INDEX(期初余额!$I$4:$I$9,MATCH($C14,期初余额!$H$4:$H$9,0)),0)+SUMIFS($H$4:$H14,$C$4:$C14,$C14)-SUMIFS($I$4:$I14,$C$4:$C14,$C14),2))</f>
        <v/>
      </c>
      <c r="K14" s="111" t="str">
        <f>IF($T14&lt;&gt;"",$T14,IF($C14="","",IF(AND(N($I14)&gt;0,$G14&lt;&gt;""),IFERROR(INDEX(科目表!$U$4:$U$123,MATCH($G14,科目表!$M$4:$M$123,0)),"管理费用"),IF(N($H14)&gt;0,IFERROR(INDEX(自动规则!$C$4:$C$40,MATCH($F14,自动规则!$B$4:$B$40,0)),"其他应收款"),IFERROR(INDEX(自动规则!$D$4:$D$40,MATCH($F14,自动规则!$B$4:$B$40,0)),"其他应付款")))))</f>
        <v/>
      </c>
      <c r="L14" s="106"/>
      <c r="M14" s="75" t="str">
        <f>IF($C14="","",IFERROR(INDEX(科目表!$T$4:$T$9,MATCH($C14,科目表!$S$4:$S$9,0)),""))</f>
        <v/>
      </c>
      <c r="N14" s="75" t="str">
        <f t="shared" si="1"/>
        <v/>
      </c>
      <c r="O14" s="76" t="str">
        <f t="shared" si="2"/>
        <v/>
      </c>
      <c r="P14" s="76" t="str">
        <f t="shared" si="3"/>
        <v/>
      </c>
      <c r="Q14" s="75" t="str">
        <f t="shared" si="4"/>
        <v/>
      </c>
      <c r="R14" s="76" t="str">
        <f t="shared" si="5"/>
        <v/>
      </c>
      <c r="S14" s="76" t="str">
        <f t="shared" si="6"/>
        <v/>
      </c>
      <c r="T14" s="43"/>
      <c r="U14" s="107"/>
      <c r="V14" s="76" t="str">
        <f t="shared" si="7"/>
        <v/>
      </c>
      <c r="W14" s="43"/>
      <c r="X14" s="43"/>
      <c r="Y14" s="74"/>
    </row>
    <row r="15" ht="18" customHeight="1" spans="1:25">
      <c r="A15" s="74" t="str">
        <f t="shared" si="0"/>
        <v/>
      </c>
      <c r="B15" s="7"/>
      <c r="C15" s="43"/>
      <c r="D15" s="106"/>
      <c r="E15" s="43"/>
      <c r="F15" s="43"/>
      <c r="G15" s="43"/>
      <c r="H15" s="107"/>
      <c r="I15" s="107"/>
      <c r="J15" s="76" t="str">
        <f>IF($C15="","",ROUND(IFERROR(INDEX(期初余额!$I$4:$I$9,MATCH($C15,期初余额!$H$4:$H$9,0)),0)+SUMIFS($H$4:$H15,$C$4:$C15,$C15)-SUMIFS($I$4:$I15,$C$4:$C15,$C15),2))</f>
        <v/>
      </c>
      <c r="K15" s="111" t="str">
        <f>IF($T15&lt;&gt;"",$T15,IF($C15="","",IF(AND(N($I15)&gt;0,$G15&lt;&gt;""),IFERROR(INDEX(科目表!$U$4:$U$123,MATCH($G15,科目表!$M$4:$M$123,0)),"管理费用"),IF(N($H15)&gt;0,IFERROR(INDEX(自动规则!$C$4:$C$40,MATCH($F15,自动规则!$B$4:$B$40,0)),"其他应收款"),IFERROR(INDEX(自动规则!$D$4:$D$40,MATCH($F15,自动规则!$B$4:$B$40,0)),"其他应付款")))))</f>
        <v/>
      </c>
      <c r="L15" s="106"/>
      <c r="M15" s="75" t="str">
        <f>IF($C15="","",IFERROR(INDEX(科目表!$T$4:$T$9,MATCH($C15,科目表!$S$4:$S$9,0)),""))</f>
        <v/>
      </c>
      <c r="N15" s="75" t="str">
        <f t="shared" si="1"/>
        <v/>
      </c>
      <c r="O15" s="76" t="str">
        <f t="shared" si="2"/>
        <v/>
      </c>
      <c r="P15" s="76" t="str">
        <f t="shared" si="3"/>
        <v/>
      </c>
      <c r="Q15" s="75" t="str">
        <f t="shared" si="4"/>
        <v/>
      </c>
      <c r="R15" s="76" t="str">
        <f t="shared" si="5"/>
        <v/>
      </c>
      <c r="S15" s="76" t="str">
        <f t="shared" si="6"/>
        <v/>
      </c>
      <c r="T15" s="43"/>
      <c r="U15" s="107"/>
      <c r="V15" s="76" t="str">
        <f t="shared" si="7"/>
        <v/>
      </c>
      <c r="W15" s="43"/>
      <c r="X15" s="43"/>
      <c r="Y15" s="74"/>
    </row>
    <row r="16" ht="18" customHeight="1" spans="1:25">
      <c r="A16" s="74" t="str">
        <f t="shared" si="0"/>
        <v/>
      </c>
      <c r="B16" s="7"/>
      <c r="C16" s="43"/>
      <c r="D16" s="106"/>
      <c r="E16" s="43"/>
      <c r="F16" s="43"/>
      <c r="G16" s="43"/>
      <c r="H16" s="107"/>
      <c r="I16" s="107"/>
      <c r="J16" s="76" t="str">
        <f>IF($C16="","",ROUND(IFERROR(INDEX(期初余额!$I$4:$I$9,MATCH($C16,期初余额!$H$4:$H$9,0)),0)+SUMIFS($H$4:$H16,$C$4:$C16,$C16)-SUMIFS($I$4:$I16,$C$4:$C16,$C16),2))</f>
        <v/>
      </c>
      <c r="K16" s="111" t="str">
        <f>IF($T16&lt;&gt;"",$T16,IF($C16="","",IF(AND(N($I16)&gt;0,$G16&lt;&gt;""),IFERROR(INDEX(科目表!$U$4:$U$123,MATCH($G16,科目表!$M$4:$M$123,0)),"管理费用"),IF(N($H16)&gt;0,IFERROR(INDEX(自动规则!$C$4:$C$40,MATCH($F16,自动规则!$B$4:$B$40,0)),"其他应收款"),IFERROR(INDEX(自动规则!$D$4:$D$40,MATCH($F16,自动规则!$B$4:$B$40,0)),"其他应付款")))))</f>
        <v/>
      </c>
      <c r="L16" s="106"/>
      <c r="M16" s="75" t="str">
        <f>IF($C16="","",IFERROR(INDEX(科目表!$T$4:$T$9,MATCH($C16,科目表!$S$4:$S$9,0)),""))</f>
        <v/>
      </c>
      <c r="N16" s="75" t="str">
        <f t="shared" si="1"/>
        <v/>
      </c>
      <c r="O16" s="76" t="str">
        <f t="shared" si="2"/>
        <v/>
      </c>
      <c r="P16" s="76" t="str">
        <f t="shared" si="3"/>
        <v/>
      </c>
      <c r="Q16" s="75" t="str">
        <f t="shared" si="4"/>
        <v/>
      </c>
      <c r="R16" s="76" t="str">
        <f t="shared" si="5"/>
        <v/>
      </c>
      <c r="S16" s="76" t="str">
        <f t="shared" si="6"/>
        <v/>
      </c>
      <c r="T16" s="43"/>
      <c r="U16" s="107"/>
      <c r="V16" s="76" t="str">
        <f t="shared" si="7"/>
        <v/>
      </c>
      <c r="W16" s="43"/>
      <c r="X16" s="43"/>
      <c r="Y16" s="74"/>
    </row>
    <row r="17" ht="18" customHeight="1" spans="1:25">
      <c r="A17" s="74" t="str">
        <f t="shared" si="0"/>
        <v/>
      </c>
      <c r="B17" s="7"/>
      <c r="C17" s="43"/>
      <c r="D17" s="106"/>
      <c r="E17" s="43"/>
      <c r="F17" s="43"/>
      <c r="G17" s="43"/>
      <c r="H17" s="107"/>
      <c r="I17" s="107"/>
      <c r="J17" s="76" t="str">
        <f>IF($C17="","",ROUND(IFERROR(INDEX(期初余额!$I$4:$I$9,MATCH($C17,期初余额!$H$4:$H$9,0)),0)+SUMIFS($H$4:$H17,$C$4:$C17,$C17)-SUMIFS($I$4:$I17,$C$4:$C17,$C17),2))</f>
        <v/>
      </c>
      <c r="K17" s="111" t="str">
        <f>IF($T17&lt;&gt;"",$T17,IF($C17="","",IF(AND(N($I17)&gt;0,$G17&lt;&gt;""),IFERROR(INDEX(科目表!$U$4:$U$123,MATCH($G17,科目表!$M$4:$M$123,0)),"管理费用"),IF(N($H17)&gt;0,IFERROR(INDEX(自动规则!$C$4:$C$40,MATCH($F17,自动规则!$B$4:$B$40,0)),"其他应收款"),IFERROR(INDEX(自动规则!$D$4:$D$40,MATCH($F17,自动规则!$B$4:$B$40,0)),"其他应付款")))))</f>
        <v/>
      </c>
      <c r="L17" s="106"/>
      <c r="M17" s="75" t="str">
        <f>IF($C17="","",IFERROR(INDEX(科目表!$T$4:$T$9,MATCH($C17,科目表!$S$4:$S$9,0)),""))</f>
        <v/>
      </c>
      <c r="N17" s="75" t="str">
        <f t="shared" si="1"/>
        <v/>
      </c>
      <c r="O17" s="76" t="str">
        <f t="shared" si="2"/>
        <v/>
      </c>
      <c r="P17" s="76" t="str">
        <f t="shared" si="3"/>
        <v/>
      </c>
      <c r="Q17" s="75" t="str">
        <f t="shared" si="4"/>
        <v/>
      </c>
      <c r="R17" s="76" t="str">
        <f t="shared" si="5"/>
        <v/>
      </c>
      <c r="S17" s="76" t="str">
        <f t="shared" si="6"/>
        <v/>
      </c>
      <c r="T17" s="43"/>
      <c r="U17" s="107"/>
      <c r="V17" s="76" t="str">
        <f t="shared" si="7"/>
        <v/>
      </c>
      <c r="W17" s="43"/>
      <c r="X17" s="43"/>
      <c r="Y17" s="74"/>
    </row>
    <row r="18" ht="18" customHeight="1" spans="1:25">
      <c r="A18" s="74" t="str">
        <f t="shared" si="0"/>
        <v/>
      </c>
      <c r="B18" s="7"/>
      <c r="C18" s="43"/>
      <c r="D18" s="106"/>
      <c r="E18" s="43"/>
      <c r="F18" s="43"/>
      <c r="G18" s="43"/>
      <c r="H18" s="107"/>
      <c r="I18" s="107"/>
      <c r="J18" s="76" t="str">
        <f>IF($C18="","",ROUND(IFERROR(INDEX(期初余额!$I$4:$I$9,MATCH($C18,期初余额!$H$4:$H$9,0)),0)+SUMIFS($H$4:$H18,$C$4:$C18,$C18)-SUMIFS($I$4:$I18,$C$4:$C18,$C18),2))</f>
        <v/>
      </c>
      <c r="K18" s="111" t="str">
        <f>IF($T18&lt;&gt;"",$T18,IF($C18="","",IF(AND(N($I18)&gt;0,$G18&lt;&gt;""),IFERROR(INDEX(科目表!$U$4:$U$123,MATCH($G18,科目表!$M$4:$M$123,0)),"管理费用"),IF(N($H18)&gt;0,IFERROR(INDEX(自动规则!$C$4:$C$40,MATCH($F18,自动规则!$B$4:$B$40,0)),"其他应收款"),IFERROR(INDEX(自动规则!$D$4:$D$40,MATCH($F18,自动规则!$B$4:$B$40,0)),"其他应付款")))))</f>
        <v/>
      </c>
      <c r="L18" s="106"/>
      <c r="M18" s="75" t="str">
        <f>IF($C18="","",IFERROR(INDEX(科目表!$T$4:$T$9,MATCH($C18,科目表!$S$4:$S$9,0)),""))</f>
        <v/>
      </c>
      <c r="N18" s="75" t="str">
        <f t="shared" si="1"/>
        <v/>
      </c>
      <c r="O18" s="76" t="str">
        <f t="shared" si="2"/>
        <v/>
      </c>
      <c r="P18" s="76" t="str">
        <f t="shared" si="3"/>
        <v/>
      </c>
      <c r="Q18" s="75" t="str">
        <f t="shared" si="4"/>
        <v/>
      </c>
      <c r="R18" s="76" t="str">
        <f t="shared" si="5"/>
        <v/>
      </c>
      <c r="S18" s="76" t="str">
        <f t="shared" si="6"/>
        <v/>
      </c>
      <c r="T18" s="43"/>
      <c r="U18" s="107"/>
      <c r="V18" s="76" t="str">
        <f t="shared" si="7"/>
        <v/>
      </c>
      <c r="W18" s="43"/>
      <c r="X18" s="43"/>
      <c r="Y18" s="74"/>
    </row>
    <row r="19" ht="18" customHeight="1" spans="1:25">
      <c r="A19" s="74" t="str">
        <f t="shared" si="0"/>
        <v/>
      </c>
      <c r="B19" s="7"/>
      <c r="C19" s="43"/>
      <c r="D19" s="106"/>
      <c r="E19" s="43"/>
      <c r="F19" s="43"/>
      <c r="G19" s="43"/>
      <c r="H19" s="107"/>
      <c r="I19" s="107"/>
      <c r="J19" s="76" t="str">
        <f>IF($C19="","",ROUND(IFERROR(INDEX(期初余额!$I$4:$I$9,MATCH($C19,期初余额!$H$4:$H$9,0)),0)+SUMIFS($H$4:$H19,$C$4:$C19,$C19)-SUMIFS($I$4:$I19,$C$4:$C19,$C19),2))</f>
        <v/>
      </c>
      <c r="K19" s="111" t="str">
        <f>IF($T19&lt;&gt;"",$T19,IF($C19="","",IF(AND(N($I19)&gt;0,$G19&lt;&gt;""),IFERROR(INDEX(科目表!$U$4:$U$123,MATCH($G19,科目表!$M$4:$M$123,0)),"管理费用"),IF(N($H19)&gt;0,IFERROR(INDEX(自动规则!$C$4:$C$40,MATCH($F19,自动规则!$B$4:$B$40,0)),"其他应收款"),IFERROR(INDEX(自动规则!$D$4:$D$40,MATCH($F19,自动规则!$B$4:$B$40,0)),"其他应付款")))))</f>
        <v/>
      </c>
      <c r="L19" s="106"/>
      <c r="M19" s="75" t="str">
        <f>IF($C19="","",IFERROR(INDEX(科目表!$T$4:$T$9,MATCH($C19,科目表!$S$4:$S$9,0)),""))</f>
        <v/>
      </c>
      <c r="N19" s="75" t="str">
        <f t="shared" si="1"/>
        <v/>
      </c>
      <c r="O19" s="76" t="str">
        <f t="shared" si="2"/>
        <v/>
      </c>
      <c r="P19" s="76" t="str">
        <f t="shared" si="3"/>
        <v/>
      </c>
      <c r="Q19" s="75" t="str">
        <f t="shared" si="4"/>
        <v/>
      </c>
      <c r="R19" s="76" t="str">
        <f t="shared" si="5"/>
        <v/>
      </c>
      <c r="S19" s="76" t="str">
        <f t="shared" si="6"/>
        <v/>
      </c>
      <c r="T19" s="43"/>
      <c r="U19" s="107"/>
      <c r="V19" s="76" t="str">
        <f t="shared" si="7"/>
        <v/>
      </c>
      <c r="W19" s="43"/>
      <c r="X19" s="43"/>
      <c r="Y19" s="74"/>
    </row>
    <row r="20" ht="18" customHeight="1" spans="1:25">
      <c r="A20" s="74" t="str">
        <f t="shared" si="0"/>
        <v/>
      </c>
      <c r="B20" s="7"/>
      <c r="C20" s="43"/>
      <c r="D20" s="106"/>
      <c r="E20" s="43"/>
      <c r="F20" s="43"/>
      <c r="G20" s="43"/>
      <c r="H20" s="107"/>
      <c r="I20" s="107"/>
      <c r="J20" s="76" t="str">
        <f>IF($C20="","",ROUND(IFERROR(INDEX(期初余额!$I$4:$I$9,MATCH($C20,期初余额!$H$4:$H$9,0)),0)+SUMIFS($H$4:$H20,$C$4:$C20,$C20)-SUMIFS($I$4:$I20,$C$4:$C20,$C20),2))</f>
        <v/>
      </c>
      <c r="K20" s="111" t="str">
        <f>IF($T20&lt;&gt;"",$T20,IF($C20="","",IF(AND(N($I20)&gt;0,$G20&lt;&gt;""),IFERROR(INDEX(科目表!$U$4:$U$123,MATCH($G20,科目表!$M$4:$M$123,0)),"管理费用"),IF(N($H20)&gt;0,IFERROR(INDEX(自动规则!$C$4:$C$40,MATCH($F20,自动规则!$B$4:$B$40,0)),"其他应收款"),IFERROR(INDEX(自动规则!$D$4:$D$40,MATCH($F20,自动规则!$B$4:$B$40,0)),"其他应付款")))))</f>
        <v/>
      </c>
      <c r="L20" s="106"/>
      <c r="M20" s="75" t="str">
        <f>IF($C20="","",IFERROR(INDEX(科目表!$T$4:$T$9,MATCH($C20,科目表!$S$4:$S$9,0)),""))</f>
        <v/>
      </c>
      <c r="N20" s="75" t="str">
        <f t="shared" si="1"/>
        <v/>
      </c>
      <c r="O20" s="76" t="str">
        <f t="shared" si="2"/>
        <v/>
      </c>
      <c r="P20" s="76" t="str">
        <f t="shared" si="3"/>
        <v/>
      </c>
      <c r="Q20" s="75" t="str">
        <f t="shared" si="4"/>
        <v/>
      </c>
      <c r="R20" s="76" t="str">
        <f t="shared" si="5"/>
        <v/>
      </c>
      <c r="S20" s="76" t="str">
        <f t="shared" si="6"/>
        <v/>
      </c>
      <c r="T20" s="43"/>
      <c r="U20" s="107"/>
      <c r="V20" s="76" t="str">
        <f t="shared" si="7"/>
        <v/>
      </c>
      <c r="W20" s="43"/>
      <c r="X20" s="43"/>
      <c r="Y20" s="74"/>
    </row>
    <row r="21" ht="18" customHeight="1" spans="1:25">
      <c r="A21" s="74" t="str">
        <f t="shared" si="0"/>
        <v/>
      </c>
      <c r="B21" s="7"/>
      <c r="C21" s="43"/>
      <c r="D21" s="106"/>
      <c r="E21" s="43"/>
      <c r="F21" s="43"/>
      <c r="G21" s="43"/>
      <c r="H21" s="107"/>
      <c r="I21" s="107"/>
      <c r="J21" s="76" t="str">
        <f>IF($C21="","",ROUND(IFERROR(INDEX(期初余额!$I$4:$I$9,MATCH($C21,期初余额!$H$4:$H$9,0)),0)+SUMIFS($H$4:$H21,$C$4:$C21,$C21)-SUMIFS($I$4:$I21,$C$4:$C21,$C21),2))</f>
        <v/>
      </c>
      <c r="K21" s="111" t="str">
        <f>IF($T21&lt;&gt;"",$T21,IF($C21="","",IF(AND(N($I21)&gt;0,$G21&lt;&gt;""),IFERROR(INDEX(科目表!$U$4:$U$123,MATCH($G21,科目表!$M$4:$M$123,0)),"管理费用"),IF(N($H21)&gt;0,IFERROR(INDEX(自动规则!$C$4:$C$40,MATCH($F21,自动规则!$B$4:$B$40,0)),"其他应收款"),IFERROR(INDEX(自动规则!$D$4:$D$40,MATCH($F21,自动规则!$B$4:$B$40,0)),"其他应付款")))))</f>
        <v/>
      </c>
      <c r="L21" s="106"/>
      <c r="M21" s="75" t="str">
        <f>IF($C21="","",IFERROR(INDEX(科目表!$T$4:$T$9,MATCH($C21,科目表!$S$4:$S$9,0)),""))</f>
        <v/>
      </c>
      <c r="N21" s="75" t="str">
        <f t="shared" si="1"/>
        <v/>
      </c>
      <c r="O21" s="76" t="str">
        <f t="shared" si="2"/>
        <v/>
      </c>
      <c r="P21" s="76" t="str">
        <f t="shared" si="3"/>
        <v/>
      </c>
      <c r="Q21" s="75" t="str">
        <f t="shared" si="4"/>
        <v/>
      </c>
      <c r="R21" s="76" t="str">
        <f t="shared" si="5"/>
        <v/>
      </c>
      <c r="S21" s="76" t="str">
        <f t="shared" si="6"/>
        <v/>
      </c>
      <c r="T21" s="43"/>
      <c r="U21" s="107"/>
      <c r="V21" s="76" t="str">
        <f t="shared" si="7"/>
        <v/>
      </c>
      <c r="W21" s="43"/>
      <c r="X21" s="43"/>
      <c r="Y21" s="74"/>
    </row>
    <row r="22" ht="18" customHeight="1" spans="1:25">
      <c r="A22" s="74" t="str">
        <f t="shared" si="0"/>
        <v/>
      </c>
      <c r="B22" s="7"/>
      <c r="C22" s="43"/>
      <c r="D22" s="106"/>
      <c r="E22" s="43"/>
      <c r="F22" s="43"/>
      <c r="G22" s="43"/>
      <c r="H22" s="107"/>
      <c r="I22" s="107"/>
      <c r="J22" s="76" t="str">
        <f>IF($C22="","",ROUND(IFERROR(INDEX(期初余额!$I$4:$I$9,MATCH($C22,期初余额!$H$4:$H$9,0)),0)+SUMIFS($H$4:$H22,$C$4:$C22,$C22)-SUMIFS($I$4:$I22,$C$4:$C22,$C22),2))</f>
        <v/>
      </c>
      <c r="K22" s="111" t="str">
        <f>IF($T22&lt;&gt;"",$T22,IF($C22="","",IF(AND(N($I22)&gt;0,$G22&lt;&gt;""),IFERROR(INDEX(科目表!$U$4:$U$123,MATCH($G22,科目表!$M$4:$M$123,0)),"管理费用"),IF(N($H22)&gt;0,IFERROR(INDEX(自动规则!$C$4:$C$40,MATCH($F22,自动规则!$B$4:$B$40,0)),"其他应收款"),IFERROR(INDEX(自动规则!$D$4:$D$40,MATCH($F22,自动规则!$B$4:$B$40,0)),"其他应付款")))))</f>
        <v/>
      </c>
      <c r="L22" s="106"/>
      <c r="M22" s="75" t="str">
        <f>IF($C22="","",IFERROR(INDEX(科目表!$T$4:$T$9,MATCH($C22,科目表!$S$4:$S$9,0)),""))</f>
        <v/>
      </c>
      <c r="N22" s="75" t="str">
        <f t="shared" si="1"/>
        <v/>
      </c>
      <c r="O22" s="76" t="str">
        <f t="shared" si="2"/>
        <v/>
      </c>
      <c r="P22" s="76" t="str">
        <f t="shared" si="3"/>
        <v/>
      </c>
      <c r="Q22" s="75" t="str">
        <f t="shared" si="4"/>
        <v/>
      </c>
      <c r="R22" s="76" t="str">
        <f t="shared" si="5"/>
        <v/>
      </c>
      <c r="S22" s="76" t="str">
        <f t="shared" si="6"/>
        <v/>
      </c>
      <c r="T22" s="43"/>
      <c r="U22" s="107"/>
      <c r="V22" s="76" t="str">
        <f t="shared" si="7"/>
        <v/>
      </c>
      <c r="W22" s="43"/>
      <c r="X22" s="43"/>
      <c r="Y22" s="74"/>
    </row>
    <row r="23" ht="18" customHeight="1" spans="1:25">
      <c r="A23" s="74" t="str">
        <f t="shared" si="0"/>
        <v/>
      </c>
      <c r="B23" s="7"/>
      <c r="C23" s="43"/>
      <c r="D23" s="106"/>
      <c r="E23" s="43"/>
      <c r="F23" s="43"/>
      <c r="G23" s="43"/>
      <c r="H23" s="107"/>
      <c r="I23" s="107"/>
      <c r="J23" s="76" t="str">
        <f>IF($C23="","",ROUND(IFERROR(INDEX(期初余额!$I$4:$I$9,MATCH($C23,期初余额!$H$4:$H$9,0)),0)+SUMIFS($H$4:$H23,$C$4:$C23,$C23)-SUMIFS($I$4:$I23,$C$4:$C23,$C23),2))</f>
        <v/>
      </c>
      <c r="K23" s="111" t="str">
        <f>IF($T23&lt;&gt;"",$T23,IF($C23="","",IF(AND(N($I23)&gt;0,$G23&lt;&gt;""),IFERROR(INDEX(科目表!$U$4:$U$123,MATCH($G23,科目表!$M$4:$M$123,0)),"管理费用"),IF(N($H23)&gt;0,IFERROR(INDEX(自动规则!$C$4:$C$40,MATCH($F23,自动规则!$B$4:$B$40,0)),"其他应收款"),IFERROR(INDEX(自动规则!$D$4:$D$40,MATCH($F23,自动规则!$B$4:$B$40,0)),"其他应付款")))))</f>
        <v/>
      </c>
      <c r="L23" s="106"/>
      <c r="M23" s="75" t="str">
        <f>IF($C23="","",IFERROR(INDEX(科目表!$T$4:$T$9,MATCH($C23,科目表!$S$4:$S$9,0)),""))</f>
        <v/>
      </c>
      <c r="N23" s="75" t="str">
        <f t="shared" si="1"/>
        <v/>
      </c>
      <c r="O23" s="76" t="str">
        <f t="shared" si="2"/>
        <v/>
      </c>
      <c r="P23" s="76" t="str">
        <f t="shared" si="3"/>
        <v/>
      </c>
      <c r="Q23" s="75" t="str">
        <f t="shared" si="4"/>
        <v/>
      </c>
      <c r="R23" s="76" t="str">
        <f t="shared" si="5"/>
        <v/>
      </c>
      <c r="S23" s="76" t="str">
        <f t="shared" si="6"/>
        <v/>
      </c>
      <c r="T23" s="43"/>
      <c r="U23" s="107"/>
      <c r="V23" s="76" t="str">
        <f t="shared" si="7"/>
        <v/>
      </c>
      <c r="W23" s="43"/>
      <c r="X23" s="43"/>
      <c r="Y23" s="74"/>
    </row>
    <row r="24" ht="18" customHeight="1" spans="1:25">
      <c r="A24" s="74" t="str">
        <f t="shared" si="0"/>
        <v/>
      </c>
      <c r="B24" s="7"/>
      <c r="C24" s="43"/>
      <c r="D24" s="106"/>
      <c r="E24" s="43"/>
      <c r="F24" s="43"/>
      <c r="G24" s="43"/>
      <c r="H24" s="107"/>
      <c r="I24" s="107"/>
      <c r="J24" s="76" t="str">
        <f>IF($C24="","",ROUND(IFERROR(INDEX(期初余额!$I$4:$I$9,MATCH($C24,期初余额!$H$4:$H$9,0)),0)+SUMIFS($H$4:$H24,$C$4:$C24,$C24)-SUMIFS($I$4:$I24,$C$4:$C24,$C24),2))</f>
        <v/>
      </c>
      <c r="K24" s="111" t="str">
        <f>IF($T24&lt;&gt;"",$T24,IF($C24="","",IF(AND(N($I24)&gt;0,$G24&lt;&gt;""),IFERROR(INDEX(科目表!$U$4:$U$123,MATCH($G24,科目表!$M$4:$M$123,0)),"管理费用"),IF(N($H24)&gt;0,IFERROR(INDEX(自动规则!$C$4:$C$40,MATCH($F24,自动规则!$B$4:$B$40,0)),"其他应收款"),IFERROR(INDEX(自动规则!$D$4:$D$40,MATCH($F24,自动规则!$B$4:$B$40,0)),"其他应付款")))))</f>
        <v/>
      </c>
      <c r="L24" s="106"/>
      <c r="M24" s="75" t="str">
        <f>IF($C24="","",IFERROR(INDEX(科目表!$T$4:$T$9,MATCH($C24,科目表!$S$4:$S$9,0)),""))</f>
        <v/>
      </c>
      <c r="N24" s="75" t="str">
        <f t="shared" si="1"/>
        <v/>
      </c>
      <c r="O24" s="76" t="str">
        <f t="shared" si="2"/>
        <v/>
      </c>
      <c r="P24" s="76" t="str">
        <f t="shared" si="3"/>
        <v/>
      </c>
      <c r="Q24" s="75" t="str">
        <f t="shared" si="4"/>
        <v/>
      </c>
      <c r="R24" s="76" t="str">
        <f t="shared" si="5"/>
        <v/>
      </c>
      <c r="S24" s="76" t="str">
        <f t="shared" si="6"/>
        <v/>
      </c>
      <c r="T24" s="43"/>
      <c r="U24" s="107"/>
      <c r="V24" s="76" t="str">
        <f t="shared" si="7"/>
        <v/>
      </c>
      <c r="W24" s="43"/>
      <c r="X24" s="43"/>
      <c r="Y24" s="74"/>
    </row>
    <row r="25" ht="18" customHeight="1" spans="1:25">
      <c r="A25" s="74" t="str">
        <f t="shared" si="0"/>
        <v/>
      </c>
      <c r="B25" s="7"/>
      <c r="C25" s="43"/>
      <c r="D25" s="106"/>
      <c r="E25" s="43"/>
      <c r="F25" s="43"/>
      <c r="G25" s="43"/>
      <c r="H25" s="107"/>
      <c r="I25" s="107"/>
      <c r="J25" s="76" t="str">
        <f>IF($C25="","",ROUND(IFERROR(INDEX(期初余额!$I$4:$I$9,MATCH($C25,期初余额!$H$4:$H$9,0)),0)+SUMIFS($H$4:$H25,$C$4:$C25,$C25)-SUMIFS($I$4:$I25,$C$4:$C25,$C25),2))</f>
        <v/>
      </c>
      <c r="K25" s="111" t="str">
        <f>IF($T25&lt;&gt;"",$T25,IF($C25="","",IF(AND(N($I25)&gt;0,$G25&lt;&gt;""),IFERROR(INDEX(科目表!$U$4:$U$123,MATCH($G25,科目表!$M$4:$M$123,0)),"管理费用"),IF(N($H25)&gt;0,IFERROR(INDEX(自动规则!$C$4:$C$40,MATCH($F25,自动规则!$B$4:$B$40,0)),"其他应收款"),IFERROR(INDEX(自动规则!$D$4:$D$40,MATCH($F25,自动规则!$B$4:$B$40,0)),"其他应付款")))))</f>
        <v/>
      </c>
      <c r="L25" s="106"/>
      <c r="M25" s="75" t="str">
        <f>IF($C25="","",IFERROR(INDEX(科目表!$T$4:$T$9,MATCH($C25,科目表!$S$4:$S$9,0)),""))</f>
        <v/>
      </c>
      <c r="N25" s="75" t="str">
        <f t="shared" si="1"/>
        <v/>
      </c>
      <c r="O25" s="76" t="str">
        <f t="shared" si="2"/>
        <v/>
      </c>
      <c r="P25" s="76" t="str">
        <f t="shared" si="3"/>
        <v/>
      </c>
      <c r="Q25" s="75" t="str">
        <f t="shared" si="4"/>
        <v/>
      </c>
      <c r="R25" s="76" t="str">
        <f t="shared" si="5"/>
        <v/>
      </c>
      <c r="S25" s="76" t="str">
        <f t="shared" si="6"/>
        <v/>
      </c>
      <c r="T25" s="43"/>
      <c r="U25" s="107"/>
      <c r="V25" s="76" t="str">
        <f t="shared" si="7"/>
        <v/>
      </c>
      <c r="W25" s="43"/>
      <c r="X25" s="43"/>
      <c r="Y25" s="74"/>
    </row>
    <row r="26" ht="18" customHeight="1" spans="1:25">
      <c r="A26" s="74" t="str">
        <f t="shared" si="0"/>
        <v/>
      </c>
      <c r="B26" s="7"/>
      <c r="C26" s="43"/>
      <c r="D26" s="106"/>
      <c r="E26" s="43"/>
      <c r="F26" s="43"/>
      <c r="G26" s="43"/>
      <c r="H26" s="107"/>
      <c r="I26" s="107"/>
      <c r="J26" s="76" t="str">
        <f>IF($C26="","",ROUND(IFERROR(INDEX(期初余额!$I$4:$I$9,MATCH($C26,期初余额!$H$4:$H$9,0)),0)+SUMIFS($H$4:$H26,$C$4:$C26,$C26)-SUMIFS($I$4:$I26,$C$4:$C26,$C26),2))</f>
        <v/>
      </c>
      <c r="K26" s="111" t="str">
        <f>IF($T26&lt;&gt;"",$T26,IF($C26="","",IF(AND(N($I26)&gt;0,$G26&lt;&gt;""),IFERROR(INDEX(科目表!$U$4:$U$123,MATCH($G26,科目表!$M$4:$M$123,0)),"管理费用"),IF(N($H26)&gt;0,IFERROR(INDEX(自动规则!$C$4:$C$40,MATCH($F26,自动规则!$B$4:$B$40,0)),"其他应收款"),IFERROR(INDEX(自动规则!$D$4:$D$40,MATCH($F26,自动规则!$B$4:$B$40,0)),"其他应付款")))))</f>
        <v/>
      </c>
      <c r="L26" s="106"/>
      <c r="M26" s="75" t="str">
        <f>IF($C26="","",IFERROR(INDEX(科目表!$T$4:$T$9,MATCH($C26,科目表!$S$4:$S$9,0)),""))</f>
        <v/>
      </c>
      <c r="N26" s="75" t="str">
        <f t="shared" si="1"/>
        <v/>
      </c>
      <c r="O26" s="76" t="str">
        <f t="shared" si="2"/>
        <v/>
      </c>
      <c r="P26" s="76" t="str">
        <f t="shared" si="3"/>
        <v/>
      </c>
      <c r="Q26" s="75" t="str">
        <f t="shared" si="4"/>
        <v/>
      </c>
      <c r="R26" s="76" t="str">
        <f t="shared" si="5"/>
        <v/>
      </c>
      <c r="S26" s="76" t="str">
        <f t="shared" si="6"/>
        <v/>
      </c>
      <c r="T26" s="43"/>
      <c r="U26" s="107"/>
      <c r="V26" s="76" t="str">
        <f t="shared" si="7"/>
        <v/>
      </c>
      <c r="W26" s="43"/>
      <c r="X26" s="43"/>
      <c r="Y26" s="74"/>
    </row>
    <row r="27" ht="18" customHeight="1" spans="1:25">
      <c r="A27" s="74" t="str">
        <f t="shared" si="0"/>
        <v/>
      </c>
      <c r="B27" s="7"/>
      <c r="C27" s="43"/>
      <c r="D27" s="106"/>
      <c r="E27" s="43"/>
      <c r="F27" s="43"/>
      <c r="G27" s="43"/>
      <c r="H27" s="107"/>
      <c r="I27" s="107"/>
      <c r="J27" s="76" t="str">
        <f>IF($C27="","",ROUND(IFERROR(INDEX(期初余额!$I$4:$I$9,MATCH($C27,期初余额!$H$4:$H$9,0)),0)+SUMIFS($H$4:$H27,$C$4:$C27,$C27)-SUMIFS($I$4:$I27,$C$4:$C27,$C27),2))</f>
        <v/>
      </c>
      <c r="K27" s="111" t="str">
        <f>IF($T27&lt;&gt;"",$T27,IF($C27="","",IF(AND(N($I27)&gt;0,$G27&lt;&gt;""),IFERROR(INDEX(科目表!$U$4:$U$123,MATCH($G27,科目表!$M$4:$M$123,0)),"管理费用"),IF(N($H27)&gt;0,IFERROR(INDEX(自动规则!$C$4:$C$40,MATCH($F27,自动规则!$B$4:$B$40,0)),"其他应收款"),IFERROR(INDEX(自动规则!$D$4:$D$40,MATCH($F27,自动规则!$B$4:$B$40,0)),"其他应付款")))))</f>
        <v/>
      </c>
      <c r="L27" s="106"/>
      <c r="M27" s="75" t="str">
        <f>IF($C27="","",IFERROR(INDEX(科目表!$T$4:$T$9,MATCH($C27,科目表!$S$4:$S$9,0)),""))</f>
        <v/>
      </c>
      <c r="N27" s="75" t="str">
        <f t="shared" si="1"/>
        <v/>
      </c>
      <c r="O27" s="76" t="str">
        <f t="shared" si="2"/>
        <v/>
      </c>
      <c r="P27" s="76" t="str">
        <f t="shared" si="3"/>
        <v/>
      </c>
      <c r="Q27" s="75" t="str">
        <f t="shared" si="4"/>
        <v/>
      </c>
      <c r="R27" s="76" t="str">
        <f t="shared" si="5"/>
        <v/>
      </c>
      <c r="S27" s="76" t="str">
        <f t="shared" si="6"/>
        <v/>
      </c>
      <c r="T27" s="43"/>
      <c r="U27" s="107"/>
      <c r="V27" s="76" t="str">
        <f t="shared" si="7"/>
        <v/>
      </c>
      <c r="W27" s="43"/>
      <c r="X27" s="43"/>
      <c r="Y27" s="74"/>
    </row>
    <row r="28" ht="18" customHeight="1" spans="1:25">
      <c r="A28" s="74" t="str">
        <f t="shared" si="0"/>
        <v/>
      </c>
      <c r="B28" s="7"/>
      <c r="C28" s="43"/>
      <c r="D28" s="106"/>
      <c r="E28" s="43"/>
      <c r="F28" s="43"/>
      <c r="G28" s="43"/>
      <c r="H28" s="107"/>
      <c r="I28" s="107"/>
      <c r="J28" s="76" t="str">
        <f>IF($C28="","",ROUND(IFERROR(INDEX(期初余额!$I$4:$I$9,MATCH($C28,期初余额!$H$4:$H$9,0)),0)+SUMIFS($H$4:$H28,$C$4:$C28,$C28)-SUMIFS($I$4:$I28,$C$4:$C28,$C28),2))</f>
        <v/>
      </c>
      <c r="K28" s="111" t="str">
        <f>IF($T28&lt;&gt;"",$T28,IF($C28="","",IF(AND(N($I28)&gt;0,$G28&lt;&gt;""),IFERROR(INDEX(科目表!$U$4:$U$123,MATCH($G28,科目表!$M$4:$M$123,0)),"管理费用"),IF(N($H28)&gt;0,IFERROR(INDEX(自动规则!$C$4:$C$40,MATCH($F28,自动规则!$B$4:$B$40,0)),"其他应收款"),IFERROR(INDEX(自动规则!$D$4:$D$40,MATCH($F28,自动规则!$B$4:$B$40,0)),"其他应付款")))))</f>
        <v/>
      </c>
      <c r="L28" s="106"/>
      <c r="M28" s="75" t="str">
        <f>IF($C28="","",IFERROR(INDEX(科目表!$T$4:$T$9,MATCH($C28,科目表!$S$4:$S$9,0)),""))</f>
        <v/>
      </c>
      <c r="N28" s="75" t="str">
        <f t="shared" si="1"/>
        <v/>
      </c>
      <c r="O28" s="76" t="str">
        <f t="shared" si="2"/>
        <v/>
      </c>
      <c r="P28" s="76" t="str">
        <f t="shared" si="3"/>
        <v/>
      </c>
      <c r="Q28" s="75" t="str">
        <f t="shared" si="4"/>
        <v/>
      </c>
      <c r="R28" s="76" t="str">
        <f t="shared" si="5"/>
        <v/>
      </c>
      <c r="S28" s="76" t="str">
        <f t="shared" si="6"/>
        <v/>
      </c>
      <c r="T28" s="43"/>
      <c r="U28" s="107"/>
      <c r="V28" s="76" t="str">
        <f t="shared" si="7"/>
        <v/>
      </c>
      <c r="W28" s="43"/>
      <c r="X28" s="43"/>
      <c r="Y28" s="74"/>
    </row>
    <row r="29" ht="18" customHeight="1" spans="1:25">
      <c r="A29" s="74" t="str">
        <f t="shared" si="0"/>
        <v/>
      </c>
      <c r="B29" s="7"/>
      <c r="C29" s="43"/>
      <c r="D29" s="106"/>
      <c r="E29" s="43"/>
      <c r="F29" s="43"/>
      <c r="G29" s="43"/>
      <c r="H29" s="107"/>
      <c r="I29" s="107"/>
      <c r="J29" s="76" t="str">
        <f>IF($C29="","",ROUND(IFERROR(INDEX(期初余额!$I$4:$I$9,MATCH($C29,期初余额!$H$4:$H$9,0)),0)+SUMIFS($H$4:$H29,$C$4:$C29,$C29)-SUMIFS($I$4:$I29,$C$4:$C29,$C29),2))</f>
        <v/>
      </c>
      <c r="K29" s="111" t="str">
        <f>IF($T29&lt;&gt;"",$T29,IF($C29="","",IF(AND(N($I29)&gt;0,$G29&lt;&gt;""),IFERROR(INDEX(科目表!$U$4:$U$123,MATCH($G29,科目表!$M$4:$M$123,0)),"管理费用"),IF(N($H29)&gt;0,IFERROR(INDEX(自动规则!$C$4:$C$40,MATCH($F29,自动规则!$B$4:$B$40,0)),"其他应收款"),IFERROR(INDEX(自动规则!$D$4:$D$40,MATCH($F29,自动规则!$B$4:$B$40,0)),"其他应付款")))))</f>
        <v/>
      </c>
      <c r="L29" s="106"/>
      <c r="M29" s="75" t="str">
        <f>IF($C29="","",IFERROR(INDEX(科目表!$T$4:$T$9,MATCH($C29,科目表!$S$4:$S$9,0)),""))</f>
        <v/>
      </c>
      <c r="N29" s="75" t="str">
        <f t="shared" si="1"/>
        <v/>
      </c>
      <c r="O29" s="76" t="str">
        <f t="shared" si="2"/>
        <v/>
      </c>
      <c r="P29" s="76" t="str">
        <f t="shared" si="3"/>
        <v/>
      </c>
      <c r="Q29" s="75" t="str">
        <f t="shared" si="4"/>
        <v/>
      </c>
      <c r="R29" s="76" t="str">
        <f t="shared" si="5"/>
        <v/>
      </c>
      <c r="S29" s="76" t="str">
        <f t="shared" si="6"/>
        <v/>
      </c>
      <c r="T29" s="43"/>
      <c r="U29" s="107"/>
      <c r="V29" s="76" t="str">
        <f t="shared" si="7"/>
        <v/>
      </c>
      <c r="W29" s="43"/>
      <c r="X29" s="43"/>
      <c r="Y29" s="74"/>
    </row>
    <row r="30" ht="18" customHeight="1" spans="1:25">
      <c r="A30" s="74" t="str">
        <f t="shared" si="0"/>
        <v/>
      </c>
      <c r="B30" s="7"/>
      <c r="C30" s="43"/>
      <c r="D30" s="106"/>
      <c r="E30" s="43"/>
      <c r="F30" s="43"/>
      <c r="G30" s="43"/>
      <c r="H30" s="107"/>
      <c r="I30" s="107"/>
      <c r="J30" s="76" t="str">
        <f>IF($C30="","",ROUND(IFERROR(INDEX(期初余额!$I$4:$I$9,MATCH($C30,期初余额!$H$4:$H$9,0)),0)+SUMIFS($H$4:$H30,$C$4:$C30,$C30)-SUMIFS($I$4:$I30,$C$4:$C30,$C30),2))</f>
        <v/>
      </c>
      <c r="K30" s="111" t="str">
        <f>IF($T30&lt;&gt;"",$T30,IF($C30="","",IF(AND(N($I30)&gt;0,$G30&lt;&gt;""),IFERROR(INDEX(科目表!$U$4:$U$123,MATCH($G30,科目表!$M$4:$M$123,0)),"管理费用"),IF(N($H30)&gt;0,IFERROR(INDEX(自动规则!$C$4:$C$40,MATCH($F30,自动规则!$B$4:$B$40,0)),"其他应收款"),IFERROR(INDEX(自动规则!$D$4:$D$40,MATCH($F30,自动规则!$B$4:$B$40,0)),"其他应付款")))))</f>
        <v/>
      </c>
      <c r="L30" s="106"/>
      <c r="M30" s="75" t="str">
        <f>IF($C30="","",IFERROR(INDEX(科目表!$T$4:$T$9,MATCH($C30,科目表!$S$4:$S$9,0)),""))</f>
        <v/>
      </c>
      <c r="N30" s="75" t="str">
        <f t="shared" si="1"/>
        <v/>
      </c>
      <c r="O30" s="76" t="str">
        <f t="shared" si="2"/>
        <v/>
      </c>
      <c r="P30" s="76" t="str">
        <f t="shared" si="3"/>
        <v/>
      </c>
      <c r="Q30" s="75" t="str">
        <f t="shared" si="4"/>
        <v/>
      </c>
      <c r="R30" s="76" t="str">
        <f t="shared" si="5"/>
        <v/>
      </c>
      <c r="S30" s="76" t="str">
        <f t="shared" si="6"/>
        <v/>
      </c>
      <c r="T30" s="43"/>
      <c r="U30" s="107"/>
      <c r="V30" s="76" t="str">
        <f t="shared" si="7"/>
        <v/>
      </c>
      <c r="W30" s="43"/>
      <c r="X30" s="43"/>
      <c r="Y30" s="74"/>
    </row>
    <row r="31" ht="18" customHeight="1" spans="1:25">
      <c r="A31" s="74" t="str">
        <f t="shared" si="0"/>
        <v/>
      </c>
      <c r="B31" s="7"/>
      <c r="C31" s="43"/>
      <c r="D31" s="106"/>
      <c r="E31" s="43"/>
      <c r="F31" s="43"/>
      <c r="G31" s="43"/>
      <c r="H31" s="107"/>
      <c r="I31" s="107"/>
      <c r="J31" s="76" t="str">
        <f>IF($C31="","",ROUND(IFERROR(INDEX(期初余额!$I$4:$I$9,MATCH($C31,期初余额!$H$4:$H$9,0)),0)+SUMIFS($H$4:$H31,$C$4:$C31,$C31)-SUMIFS($I$4:$I31,$C$4:$C31,$C31),2))</f>
        <v/>
      </c>
      <c r="K31" s="111" t="str">
        <f>IF($T31&lt;&gt;"",$T31,IF($C31="","",IF(AND(N($I31)&gt;0,$G31&lt;&gt;""),IFERROR(INDEX(科目表!$U$4:$U$123,MATCH($G31,科目表!$M$4:$M$123,0)),"管理费用"),IF(N($H31)&gt;0,IFERROR(INDEX(自动规则!$C$4:$C$40,MATCH($F31,自动规则!$B$4:$B$40,0)),"其他应收款"),IFERROR(INDEX(自动规则!$D$4:$D$40,MATCH($F31,自动规则!$B$4:$B$40,0)),"其他应付款")))))</f>
        <v/>
      </c>
      <c r="L31" s="106"/>
      <c r="M31" s="75" t="str">
        <f>IF($C31="","",IFERROR(INDEX(科目表!$T$4:$T$9,MATCH($C31,科目表!$S$4:$S$9,0)),""))</f>
        <v/>
      </c>
      <c r="N31" s="75" t="str">
        <f t="shared" si="1"/>
        <v/>
      </c>
      <c r="O31" s="76" t="str">
        <f t="shared" si="2"/>
        <v/>
      </c>
      <c r="P31" s="76" t="str">
        <f t="shared" si="3"/>
        <v/>
      </c>
      <c r="Q31" s="75" t="str">
        <f t="shared" si="4"/>
        <v/>
      </c>
      <c r="R31" s="76" t="str">
        <f t="shared" si="5"/>
        <v/>
      </c>
      <c r="S31" s="76" t="str">
        <f t="shared" si="6"/>
        <v/>
      </c>
      <c r="T31" s="43"/>
      <c r="U31" s="107"/>
      <c r="V31" s="76" t="str">
        <f t="shared" si="7"/>
        <v/>
      </c>
      <c r="W31" s="43"/>
      <c r="X31" s="43"/>
      <c r="Y31" s="74"/>
    </row>
    <row r="32" ht="18" customHeight="1" spans="1:25">
      <c r="A32" s="74" t="str">
        <f t="shared" si="0"/>
        <v/>
      </c>
      <c r="B32" s="7"/>
      <c r="C32" s="43"/>
      <c r="D32" s="106"/>
      <c r="E32" s="43"/>
      <c r="F32" s="43"/>
      <c r="G32" s="43"/>
      <c r="H32" s="107"/>
      <c r="I32" s="107"/>
      <c r="J32" s="76" t="str">
        <f>IF($C32="","",ROUND(IFERROR(INDEX(期初余额!$I$4:$I$9,MATCH($C32,期初余额!$H$4:$H$9,0)),0)+SUMIFS($H$4:$H32,$C$4:$C32,$C32)-SUMIFS($I$4:$I32,$C$4:$C32,$C32),2))</f>
        <v/>
      </c>
      <c r="K32" s="111" t="str">
        <f>IF($T32&lt;&gt;"",$T32,IF($C32="","",IF(AND(N($I32)&gt;0,$G32&lt;&gt;""),IFERROR(INDEX(科目表!$U$4:$U$123,MATCH($G32,科目表!$M$4:$M$123,0)),"管理费用"),IF(N($H32)&gt;0,IFERROR(INDEX(自动规则!$C$4:$C$40,MATCH($F32,自动规则!$B$4:$B$40,0)),"其他应收款"),IFERROR(INDEX(自动规则!$D$4:$D$40,MATCH($F32,自动规则!$B$4:$B$40,0)),"其他应付款")))))</f>
        <v/>
      </c>
      <c r="L32" s="106"/>
      <c r="M32" s="75" t="str">
        <f>IF($C32="","",IFERROR(INDEX(科目表!$T$4:$T$9,MATCH($C32,科目表!$S$4:$S$9,0)),""))</f>
        <v/>
      </c>
      <c r="N32" s="75" t="str">
        <f t="shared" si="1"/>
        <v/>
      </c>
      <c r="O32" s="76" t="str">
        <f t="shared" si="2"/>
        <v/>
      </c>
      <c r="P32" s="76" t="str">
        <f t="shared" si="3"/>
        <v/>
      </c>
      <c r="Q32" s="75" t="str">
        <f t="shared" si="4"/>
        <v/>
      </c>
      <c r="R32" s="76" t="str">
        <f t="shared" si="5"/>
        <v/>
      </c>
      <c r="S32" s="76" t="str">
        <f t="shared" si="6"/>
        <v/>
      </c>
      <c r="T32" s="43"/>
      <c r="U32" s="107"/>
      <c r="V32" s="76" t="str">
        <f t="shared" si="7"/>
        <v/>
      </c>
      <c r="W32" s="43"/>
      <c r="X32" s="43"/>
      <c r="Y32" s="74"/>
    </row>
    <row r="33" ht="18" customHeight="1" spans="1:25">
      <c r="A33" s="74" t="str">
        <f t="shared" si="0"/>
        <v/>
      </c>
      <c r="B33" s="7"/>
      <c r="C33" s="43"/>
      <c r="D33" s="106"/>
      <c r="E33" s="43"/>
      <c r="F33" s="43"/>
      <c r="G33" s="43"/>
      <c r="H33" s="107"/>
      <c r="I33" s="107"/>
      <c r="J33" s="76" t="str">
        <f>IF($C33="","",ROUND(IFERROR(INDEX(期初余额!$I$4:$I$9,MATCH($C33,期初余额!$H$4:$H$9,0)),0)+SUMIFS($H$4:$H33,$C$4:$C33,$C33)-SUMIFS($I$4:$I33,$C$4:$C33,$C33),2))</f>
        <v/>
      </c>
      <c r="K33" s="111" t="str">
        <f>IF($T33&lt;&gt;"",$T33,IF($C33="","",IF(AND(N($I33)&gt;0,$G33&lt;&gt;""),IFERROR(INDEX(科目表!$U$4:$U$123,MATCH($G33,科目表!$M$4:$M$123,0)),"管理费用"),IF(N($H33)&gt;0,IFERROR(INDEX(自动规则!$C$4:$C$40,MATCH($F33,自动规则!$B$4:$B$40,0)),"其他应收款"),IFERROR(INDEX(自动规则!$D$4:$D$40,MATCH($F33,自动规则!$B$4:$B$40,0)),"其他应付款")))))</f>
        <v/>
      </c>
      <c r="L33" s="106"/>
      <c r="M33" s="75" t="str">
        <f>IF($C33="","",IFERROR(INDEX(科目表!$T$4:$T$9,MATCH($C33,科目表!$S$4:$S$9,0)),""))</f>
        <v/>
      </c>
      <c r="N33" s="75" t="str">
        <f t="shared" si="1"/>
        <v/>
      </c>
      <c r="O33" s="76" t="str">
        <f t="shared" si="2"/>
        <v/>
      </c>
      <c r="P33" s="76" t="str">
        <f t="shared" si="3"/>
        <v/>
      </c>
      <c r="Q33" s="75" t="str">
        <f t="shared" si="4"/>
        <v/>
      </c>
      <c r="R33" s="76" t="str">
        <f t="shared" si="5"/>
        <v/>
      </c>
      <c r="S33" s="76" t="str">
        <f t="shared" si="6"/>
        <v/>
      </c>
      <c r="T33" s="43"/>
      <c r="U33" s="107"/>
      <c r="V33" s="76" t="str">
        <f t="shared" si="7"/>
        <v/>
      </c>
      <c r="W33" s="43"/>
      <c r="X33" s="43"/>
      <c r="Y33" s="74"/>
    </row>
    <row r="34" ht="18" customHeight="1" spans="1:25">
      <c r="A34" s="74" t="str">
        <f t="shared" si="0"/>
        <v/>
      </c>
      <c r="B34" s="7"/>
      <c r="C34" s="43"/>
      <c r="D34" s="106"/>
      <c r="E34" s="43"/>
      <c r="F34" s="43"/>
      <c r="G34" s="43"/>
      <c r="H34" s="107"/>
      <c r="I34" s="107"/>
      <c r="J34" s="76" t="str">
        <f>IF($C34="","",ROUND(IFERROR(INDEX(期初余额!$I$4:$I$9,MATCH($C34,期初余额!$H$4:$H$9,0)),0)+SUMIFS($H$4:$H34,$C$4:$C34,$C34)-SUMIFS($I$4:$I34,$C$4:$C34,$C34),2))</f>
        <v/>
      </c>
      <c r="K34" s="111" t="str">
        <f>IF($T34&lt;&gt;"",$T34,IF($C34="","",IF(AND(N($I34)&gt;0,$G34&lt;&gt;""),IFERROR(INDEX(科目表!$U$4:$U$123,MATCH($G34,科目表!$M$4:$M$123,0)),"管理费用"),IF(N($H34)&gt;0,IFERROR(INDEX(自动规则!$C$4:$C$40,MATCH($F34,自动规则!$B$4:$B$40,0)),"其他应收款"),IFERROR(INDEX(自动规则!$D$4:$D$40,MATCH($F34,自动规则!$B$4:$B$40,0)),"其他应付款")))))</f>
        <v/>
      </c>
      <c r="L34" s="106"/>
      <c r="M34" s="75" t="str">
        <f>IF($C34="","",IFERROR(INDEX(科目表!$T$4:$T$9,MATCH($C34,科目表!$S$4:$S$9,0)),""))</f>
        <v/>
      </c>
      <c r="N34" s="75" t="str">
        <f t="shared" si="1"/>
        <v/>
      </c>
      <c r="O34" s="76" t="str">
        <f t="shared" si="2"/>
        <v/>
      </c>
      <c r="P34" s="76" t="str">
        <f t="shared" si="3"/>
        <v/>
      </c>
      <c r="Q34" s="75" t="str">
        <f t="shared" si="4"/>
        <v/>
      </c>
      <c r="R34" s="76" t="str">
        <f t="shared" si="5"/>
        <v/>
      </c>
      <c r="S34" s="76" t="str">
        <f t="shared" si="6"/>
        <v/>
      </c>
      <c r="T34" s="43"/>
      <c r="U34" s="107"/>
      <c r="V34" s="76" t="str">
        <f t="shared" si="7"/>
        <v/>
      </c>
      <c r="W34" s="43"/>
      <c r="X34" s="43"/>
      <c r="Y34" s="74"/>
    </row>
    <row r="35" ht="18" customHeight="1" spans="1:25">
      <c r="A35" s="74" t="str">
        <f t="shared" si="0"/>
        <v/>
      </c>
      <c r="B35" s="7"/>
      <c r="C35" s="43"/>
      <c r="D35" s="106"/>
      <c r="E35" s="43"/>
      <c r="F35" s="43"/>
      <c r="G35" s="43"/>
      <c r="H35" s="107"/>
      <c r="I35" s="107"/>
      <c r="J35" s="76" t="str">
        <f>IF($C35="","",ROUND(IFERROR(INDEX(期初余额!$I$4:$I$9,MATCH($C35,期初余额!$H$4:$H$9,0)),0)+SUMIFS($H$4:$H35,$C$4:$C35,$C35)-SUMIFS($I$4:$I35,$C$4:$C35,$C35),2))</f>
        <v/>
      </c>
      <c r="K35" s="111" t="str">
        <f>IF($T35&lt;&gt;"",$T35,IF($C35="","",IF(AND(N($I35)&gt;0,$G35&lt;&gt;""),IFERROR(INDEX(科目表!$U$4:$U$123,MATCH($G35,科目表!$M$4:$M$123,0)),"管理费用"),IF(N($H35)&gt;0,IFERROR(INDEX(自动规则!$C$4:$C$40,MATCH($F35,自动规则!$B$4:$B$40,0)),"其他应收款"),IFERROR(INDEX(自动规则!$D$4:$D$40,MATCH($F35,自动规则!$B$4:$B$40,0)),"其他应付款")))))</f>
        <v/>
      </c>
      <c r="L35" s="106"/>
      <c r="M35" s="75" t="str">
        <f>IF($C35="","",IFERROR(INDEX(科目表!$T$4:$T$9,MATCH($C35,科目表!$S$4:$S$9,0)),""))</f>
        <v/>
      </c>
      <c r="N35" s="75" t="str">
        <f t="shared" si="1"/>
        <v/>
      </c>
      <c r="O35" s="76" t="str">
        <f t="shared" si="2"/>
        <v/>
      </c>
      <c r="P35" s="76" t="str">
        <f t="shared" si="3"/>
        <v/>
      </c>
      <c r="Q35" s="75" t="str">
        <f t="shared" si="4"/>
        <v/>
      </c>
      <c r="R35" s="76" t="str">
        <f t="shared" si="5"/>
        <v/>
      </c>
      <c r="S35" s="76" t="str">
        <f t="shared" si="6"/>
        <v/>
      </c>
      <c r="T35" s="43"/>
      <c r="U35" s="107"/>
      <c r="V35" s="76" t="str">
        <f t="shared" si="7"/>
        <v/>
      </c>
      <c r="W35" s="43"/>
      <c r="X35" s="43"/>
      <c r="Y35" s="74"/>
    </row>
    <row r="36" ht="18" customHeight="1" spans="1:25">
      <c r="A36" s="74" t="str">
        <f t="shared" si="0"/>
        <v/>
      </c>
      <c r="B36" s="7"/>
      <c r="C36" s="43"/>
      <c r="D36" s="106"/>
      <c r="E36" s="43"/>
      <c r="F36" s="43"/>
      <c r="G36" s="43"/>
      <c r="H36" s="107"/>
      <c r="I36" s="107"/>
      <c r="J36" s="76" t="str">
        <f>IF($C36="","",ROUND(IFERROR(INDEX(期初余额!$I$4:$I$9,MATCH($C36,期初余额!$H$4:$H$9,0)),0)+SUMIFS($H$4:$H36,$C$4:$C36,$C36)-SUMIFS($I$4:$I36,$C$4:$C36,$C36),2))</f>
        <v/>
      </c>
      <c r="K36" s="111" t="str">
        <f>IF($T36&lt;&gt;"",$T36,IF($C36="","",IF(AND(N($I36)&gt;0,$G36&lt;&gt;""),IFERROR(INDEX(科目表!$U$4:$U$123,MATCH($G36,科目表!$M$4:$M$123,0)),"管理费用"),IF(N($H36)&gt;0,IFERROR(INDEX(自动规则!$C$4:$C$40,MATCH($F36,自动规则!$B$4:$B$40,0)),"其他应收款"),IFERROR(INDEX(自动规则!$D$4:$D$40,MATCH($F36,自动规则!$B$4:$B$40,0)),"其他应付款")))))</f>
        <v/>
      </c>
      <c r="L36" s="106"/>
      <c r="M36" s="75" t="str">
        <f>IF($C36="","",IFERROR(INDEX(科目表!$T$4:$T$9,MATCH($C36,科目表!$S$4:$S$9,0)),""))</f>
        <v/>
      </c>
      <c r="N36" s="75" t="str">
        <f t="shared" si="1"/>
        <v/>
      </c>
      <c r="O36" s="76" t="str">
        <f t="shared" si="2"/>
        <v/>
      </c>
      <c r="P36" s="76" t="str">
        <f t="shared" si="3"/>
        <v/>
      </c>
      <c r="Q36" s="75" t="str">
        <f t="shared" si="4"/>
        <v/>
      </c>
      <c r="R36" s="76" t="str">
        <f t="shared" si="5"/>
        <v/>
      </c>
      <c r="S36" s="76" t="str">
        <f t="shared" si="6"/>
        <v/>
      </c>
      <c r="T36" s="43"/>
      <c r="U36" s="107"/>
      <c r="V36" s="76" t="str">
        <f t="shared" si="7"/>
        <v/>
      </c>
      <c r="W36" s="43"/>
      <c r="X36" s="43"/>
      <c r="Y36" s="74"/>
    </row>
    <row r="37" ht="18" customHeight="1" spans="1:25">
      <c r="A37" s="74" t="str">
        <f t="shared" si="0"/>
        <v/>
      </c>
      <c r="B37" s="7"/>
      <c r="C37" s="43"/>
      <c r="D37" s="106"/>
      <c r="E37" s="43"/>
      <c r="F37" s="43"/>
      <c r="G37" s="43"/>
      <c r="H37" s="107"/>
      <c r="I37" s="107"/>
      <c r="J37" s="76" t="str">
        <f>IF($C37="","",ROUND(IFERROR(INDEX(期初余额!$I$4:$I$9,MATCH($C37,期初余额!$H$4:$H$9,0)),0)+SUMIFS($H$4:$H37,$C$4:$C37,$C37)-SUMIFS($I$4:$I37,$C$4:$C37,$C37),2))</f>
        <v/>
      </c>
      <c r="K37" s="111" t="str">
        <f>IF($T37&lt;&gt;"",$T37,IF($C37="","",IF(AND(N($I37)&gt;0,$G37&lt;&gt;""),IFERROR(INDEX(科目表!$U$4:$U$123,MATCH($G37,科目表!$M$4:$M$123,0)),"管理费用"),IF(N($H37)&gt;0,IFERROR(INDEX(自动规则!$C$4:$C$40,MATCH($F37,自动规则!$B$4:$B$40,0)),"其他应收款"),IFERROR(INDEX(自动规则!$D$4:$D$40,MATCH($F37,自动规则!$B$4:$B$40,0)),"其他应付款")))))</f>
        <v/>
      </c>
      <c r="L37" s="106"/>
      <c r="M37" s="75" t="str">
        <f>IF($C37="","",IFERROR(INDEX(科目表!$T$4:$T$9,MATCH($C37,科目表!$S$4:$S$9,0)),""))</f>
        <v/>
      </c>
      <c r="N37" s="75" t="str">
        <f t="shared" si="1"/>
        <v/>
      </c>
      <c r="O37" s="76" t="str">
        <f t="shared" si="2"/>
        <v/>
      </c>
      <c r="P37" s="76" t="str">
        <f t="shared" si="3"/>
        <v/>
      </c>
      <c r="Q37" s="75" t="str">
        <f t="shared" si="4"/>
        <v/>
      </c>
      <c r="R37" s="76" t="str">
        <f t="shared" si="5"/>
        <v/>
      </c>
      <c r="S37" s="76" t="str">
        <f t="shared" si="6"/>
        <v/>
      </c>
      <c r="T37" s="43"/>
      <c r="U37" s="107"/>
      <c r="V37" s="76" t="str">
        <f t="shared" si="7"/>
        <v/>
      </c>
      <c r="W37" s="43"/>
      <c r="X37" s="43"/>
      <c r="Y37" s="74"/>
    </row>
    <row r="38" ht="18" customHeight="1" spans="1:25">
      <c r="A38" s="74" t="str">
        <f t="shared" si="0"/>
        <v/>
      </c>
      <c r="B38" s="7"/>
      <c r="C38" s="43"/>
      <c r="D38" s="106"/>
      <c r="E38" s="43"/>
      <c r="F38" s="43"/>
      <c r="G38" s="43"/>
      <c r="H38" s="107"/>
      <c r="I38" s="107"/>
      <c r="J38" s="76" t="str">
        <f>IF($C38="","",ROUND(IFERROR(INDEX(期初余额!$I$4:$I$9,MATCH($C38,期初余额!$H$4:$H$9,0)),0)+SUMIFS($H$4:$H38,$C$4:$C38,$C38)-SUMIFS($I$4:$I38,$C$4:$C38,$C38),2))</f>
        <v/>
      </c>
      <c r="K38" s="111" t="str">
        <f>IF($T38&lt;&gt;"",$T38,IF($C38="","",IF(AND(N($I38)&gt;0,$G38&lt;&gt;""),IFERROR(INDEX(科目表!$U$4:$U$123,MATCH($G38,科目表!$M$4:$M$123,0)),"管理费用"),IF(N($H38)&gt;0,IFERROR(INDEX(自动规则!$C$4:$C$40,MATCH($F38,自动规则!$B$4:$B$40,0)),"其他应收款"),IFERROR(INDEX(自动规则!$D$4:$D$40,MATCH($F38,自动规则!$B$4:$B$40,0)),"其他应付款")))))</f>
        <v/>
      </c>
      <c r="L38" s="106"/>
      <c r="M38" s="75" t="str">
        <f>IF($C38="","",IFERROR(INDEX(科目表!$T$4:$T$9,MATCH($C38,科目表!$S$4:$S$9,0)),""))</f>
        <v/>
      </c>
      <c r="N38" s="75" t="str">
        <f t="shared" si="1"/>
        <v/>
      </c>
      <c r="O38" s="76" t="str">
        <f t="shared" si="2"/>
        <v/>
      </c>
      <c r="P38" s="76" t="str">
        <f t="shared" si="3"/>
        <v/>
      </c>
      <c r="Q38" s="75" t="str">
        <f t="shared" si="4"/>
        <v/>
      </c>
      <c r="R38" s="76" t="str">
        <f t="shared" si="5"/>
        <v/>
      </c>
      <c r="S38" s="76" t="str">
        <f t="shared" si="6"/>
        <v/>
      </c>
      <c r="T38" s="43"/>
      <c r="U38" s="107"/>
      <c r="V38" s="76" t="str">
        <f t="shared" si="7"/>
        <v/>
      </c>
      <c r="W38" s="43"/>
      <c r="X38" s="43"/>
      <c r="Y38" s="74"/>
    </row>
    <row r="39" ht="18" customHeight="1" spans="1:25">
      <c r="A39" s="74" t="str">
        <f t="shared" si="0"/>
        <v/>
      </c>
      <c r="B39" s="7"/>
      <c r="C39" s="43"/>
      <c r="D39" s="106"/>
      <c r="E39" s="43"/>
      <c r="F39" s="43"/>
      <c r="G39" s="43"/>
      <c r="H39" s="107"/>
      <c r="I39" s="107"/>
      <c r="J39" s="76" t="str">
        <f>IF($C39="","",ROUND(IFERROR(INDEX(期初余额!$I$4:$I$9,MATCH($C39,期初余额!$H$4:$H$9,0)),0)+SUMIFS($H$4:$H39,$C$4:$C39,$C39)-SUMIFS($I$4:$I39,$C$4:$C39,$C39),2))</f>
        <v/>
      </c>
      <c r="K39" s="111" t="str">
        <f>IF($T39&lt;&gt;"",$T39,IF($C39="","",IF(AND(N($I39)&gt;0,$G39&lt;&gt;""),IFERROR(INDEX(科目表!$U$4:$U$123,MATCH($G39,科目表!$M$4:$M$123,0)),"管理费用"),IF(N($H39)&gt;0,IFERROR(INDEX(自动规则!$C$4:$C$40,MATCH($F39,自动规则!$B$4:$B$40,0)),"其他应收款"),IFERROR(INDEX(自动规则!$D$4:$D$40,MATCH($F39,自动规则!$B$4:$B$40,0)),"其他应付款")))))</f>
        <v/>
      </c>
      <c r="L39" s="106"/>
      <c r="M39" s="75" t="str">
        <f>IF($C39="","",IFERROR(INDEX(科目表!$T$4:$T$9,MATCH($C39,科目表!$S$4:$S$9,0)),""))</f>
        <v/>
      </c>
      <c r="N39" s="75" t="str">
        <f t="shared" si="1"/>
        <v/>
      </c>
      <c r="O39" s="76" t="str">
        <f t="shared" si="2"/>
        <v/>
      </c>
      <c r="P39" s="76" t="str">
        <f t="shared" si="3"/>
        <v/>
      </c>
      <c r="Q39" s="75" t="str">
        <f t="shared" si="4"/>
        <v/>
      </c>
      <c r="R39" s="76" t="str">
        <f t="shared" si="5"/>
        <v/>
      </c>
      <c r="S39" s="76" t="str">
        <f t="shared" si="6"/>
        <v/>
      </c>
      <c r="T39" s="43"/>
      <c r="U39" s="107"/>
      <c r="V39" s="76" t="str">
        <f t="shared" si="7"/>
        <v/>
      </c>
      <c r="W39" s="43"/>
      <c r="X39" s="43"/>
      <c r="Y39" s="74"/>
    </row>
    <row r="40" ht="18" customHeight="1" spans="1:25">
      <c r="A40" s="74" t="str">
        <f t="shared" si="0"/>
        <v/>
      </c>
      <c r="B40" s="7"/>
      <c r="C40" s="43"/>
      <c r="D40" s="106"/>
      <c r="E40" s="43"/>
      <c r="F40" s="43"/>
      <c r="G40" s="43"/>
      <c r="H40" s="107"/>
      <c r="I40" s="107"/>
      <c r="J40" s="76" t="str">
        <f>IF($C40="","",ROUND(IFERROR(INDEX(期初余额!$I$4:$I$9,MATCH($C40,期初余额!$H$4:$H$9,0)),0)+SUMIFS($H$4:$H40,$C$4:$C40,$C40)-SUMIFS($I$4:$I40,$C$4:$C40,$C40),2))</f>
        <v/>
      </c>
      <c r="K40" s="111" t="str">
        <f>IF($T40&lt;&gt;"",$T40,IF($C40="","",IF(AND(N($I40)&gt;0,$G40&lt;&gt;""),IFERROR(INDEX(科目表!$U$4:$U$123,MATCH($G40,科目表!$M$4:$M$123,0)),"管理费用"),IF(N($H40)&gt;0,IFERROR(INDEX(自动规则!$C$4:$C$40,MATCH($F40,自动规则!$B$4:$B$40,0)),"其他应收款"),IFERROR(INDEX(自动规则!$D$4:$D$40,MATCH($F40,自动规则!$B$4:$B$40,0)),"其他应付款")))))</f>
        <v/>
      </c>
      <c r="L40" s="106"/>
      <c r="M40" s="75" t="str">
        <f>IF($C40="","",IFERROR(INDEX(科目表!$T$4:$T$9,MATCH($C40,科目表!$S$4:$S$9,0)),""))</f>
        <v/>
      </c>
      <c r="N40" s="75" t="str">
        <f t="shared" si="1"/>
        <v/>
      </c>
      <c r="O40" s="76" t="str">
        <f t="shared" si="2"/>
        <v/>
      </c>
      <c r="P40" s="76" t="str">
        <f t="shared" si="3"/>
        <v/>
      </c>
      <c r="Q40" s="75" t="str">
        <f t="shared" si="4"/>
        <v/>
      </c>
      <c r="R40" s="76" t="str">
        <f t="shared" si="5"/>
        <v/>
      </c>
      <c r="S40" s="76" t="str">
        <f t="shared" si="6"/>
        <v/>
      </c>
      <c r="T40" s="43"/>
      <c r="U40" s="107"/>
      <c r="V40" s="76" t="str">
        <f t="shared" si="7"/>
        <v/>
      </c>
      <c r="W40" s="43"/>
      <c r="X40" s="43"/>
      <c r="Y40" s="74"/>
    </row>
    <row r="41" ht="18" customHeight="1" spans="1:25">
      <c r="A41" s="74" t="str">
        <f t="shared" si="0"/>
        <v/>
      </c>
      <c r="B41" s="7"/>
      <c r="C41" s="43"/>
      <c r="D41" s="106"/>
      <c r="E41" s="43"/>
      <c r="F41" s="43"/>
      <c r="G41" s="43"/>
      <c r="H41" s="107"/>
      <c r="I41" s="107"/>
      <c r="J41" s="76" t="str">
        <f>IF($C41="","",ROUND(IFERROR(INDEX(期初余额!$I$4:$I$9,MATCH($C41,期初余额!$H$4:$H$9,0)),0)+SUMIFS($H$4:$H41,$C$4:$C41,$C41)-SUMIFS($I$4:$I41,$C$4:$C41,$C41),2))</f>
        <v/>
      </c>
      <c r="K41" s="111" t="str">
        <f>IF($T41&lt;&gt;"",$T41,IF($C41="","",IF(AND(N($I41)&gt;0,$G41&lt;&gt;""),IFERROR(INDEX(科目表!$U$4:$U$123,MATCH($G41,科目表!$M$4:$M$123,0)),"管理费用"),IF(N($H41)&gt;0,IFERROR(INDEX(自动规则!$C$4:$C$40,MATCH($F41,自动规则!$B$4:$B$40,0)),"其他应收款"),IFERROR(INDEX(自动规则!$D$4:$D$40,MATCH($F41,自动规则!$B$4:$B$40,0)),"其他应付款")))))</f>
        <v/>
      </c>
      <c r="L41" s="106"/>
      <c r="M41" s="75" t="str">
        <f>IF($C41="","",IFERROR(INDEX(科目表!$T$4:$T$9,MATCH($C41,科目表!$S$4:$S$9,0)),""))</f>
        <v/>
      </c>
      <c r="N41" s="75" t="str">
        <f t="shared" si="1"/>
        <v/>
      </c>
      <c r="O41" s="76" t="str">
        <f t="shared" si="2"/>
        <v/>
      </c>
      <c r="P41" s="76" t="str">
        <f t="shared" si="3"/>
        <v/>
      </c>
      <c r="Q41" s="75" t="str">
        <f t="shared" si="4"/>
        <v/>
      </c>
      <c r="R41" s="76" t="str">
        <f t="shared" si="5"/>
        <v/>
      </c>
      <c r="S41" s="76" t="str">
        <f t="shared" si="6"/>
        <v/>
      </c>
      <c r="T41" s="43"/>
      <c r="U41" s="107"/>
      <c r="V41" s="76" t="str">
        <f t="shared" si="7"/>
        <v/>
      </c>
      <c r="W41" s="43"/>
      <c r="X41" s="43"/>
      <c r="Y41" s="74"/>
    </row>
    <row r="42" ht="18" customHeight="1" spans="1:25">
      <c r="A42" s="74" t="str">
        <f t="shared" si="0"/>
        <v/>
      </c>
      <c r="B42" s="7"/>
      <c r="C42" s="43"/>
      <c r="D42" s="106"/>
      <c r="E42" s="43"/>
      <c r="F42" s="43"/>
      <c r="G42" s="43"/>
      <c r="H42" s="107"/>
      <c r="I42" s="107"/>
      <c r="J42" s="76" t="str">
        <f>IF($C42="","",ROUND(IFERROR(INDEX(期初余额!$I$4:$I$9,MATCH($C42,期初余额!$H$4:$H$9,0)),0)+SUMIFS($H$4:$H42,$C$4:$C42,$C42)-SUMIFS($I$4:$I42,$C$4:$C42,$C42),2))</f>
        <v/>
      </c>
      <c r="K42" s="111" t="str">
        <f>IF($T42&lt;&gt;"",$T42,IF($C42="","",IF(AND(N($I42)&gt;0,$G42&lt;&gt;""),IFERROR(INDEX(科目表!$U$4:$U$123,MATCH($G42,科目表!$M$4:$M$123,0)),"管理费用"),IF(N($H42)&gt;0,IFERROR(INDEX(自动规则!$C$4:$C$40,MATCH($F42,自动规则!$B$4:$B$40,0)),"其他应收款"),IFERROR(INDEX(自动规则!$D$4:$D$40,MATCH($F42,自动规则!$B$4:$B$40,0)),"其他应付款")))))</f>
        <v/>
      </c>
      <c r="L42" s="106"/>
      <c r="M42" s="75" t="str">
        <f>IF($C42="","",IFERROR(INDEX(科目表!$T$4:$T$9,MATCH($C42,科目表!$S$4:$S$9,0)),""))</f>
        <v/>
      </c>
      <c r="N42" s="75" t="str">
        <f t="shared" si="1"/>
        <v/>
      </c>
      <c r="O42" s="76" t="str">
        <f t="shared" si="2"/>
        <v/>
      </c>
      <c r="P42" s="76" t="str">
        <f t="shared" si="3"/>
        <v/>
      </c>
      <c r="Q42" s="75" t="str">
        <f t="shared" si="4"/>
        <v/>
      </c>
      <c r="R42" s="76" t="str">
        <f t="shared" si="5"/>
        <v/>
      </c>
      <c r="S42" s="76" t="str">
        <f t="shared" si="6"/>
        <v/>
      </c>
      <c r="T42" s="43"/>
      <c r="U42" s="107"/>
      <c r="V42" s="76" t="str">
        <f t="shared" si="7"/>
        <v/>
      </c>
      <c r="W42" s="43"/>
      <c r="X42" s="43"/>
      <c r="Y42" s="74"/>
    </row>
    <row r="43" ht="18" customHeight="1" spans="1:25">
      <c r="A43" s="74" t="str">
        <f t="shared" si="0"/>
        <v/>
      </c>
      <c r="B43" s="7"/>
      <c r="C43" s="43"/>
      <c r="D43" s="106"/>
      <c r="E43" s="43"/>
      <c r="F43" s="43"/>
      <c r="G43" s="43"/>
      <c r="H43" s="107"/>
      <c r="I43" s="107"/>
      <c r="J43" s="76" t="str">
        <f>IF($C43="","",ROUND(IFERROR(INDEX(期初余额!$I$4:$I$9,MATCH($C43,期初余额!$H$4:$H$9,0)),0)+SUMIFS($H$4:$H43,$C$4:$C43,$C43)-SUMIFS($I$4:$I43,$C$4:$C43,$C43),2))</f>
        <v/>
      </c>
      <c r="K43" s="111" t="str">
        <f>IF($T43&lt;&gt;"",$T43,IF($C43="","",IF(AND(N($I43)&gt;0,$G43&lt;&gt;""),IFERROR(INDEX(科目表!$U$4:$U$123,MATCH($G43,科目表!$M$4:$M$123,0)),"管理费用"),IF(N($H43)&gt;0,IFERROR(INDEX(自动规则!$C$4:$C$40,MATCH($F43,自动规则!$B$4:$B$40,0)),"其他应收款"),IFERROR(INDEX(自动规则!$D$4:$D$40,MATCH($F43,自动规则!$B$4:$B$40,0)),"其他应付款")))))</f>
        <v/>
      </c>
      <c r="L43" s="106"/>
      <c r="M43" s="75" t="str">
        <f>IF($C43="","",IFERROR(INDEX(科目表!$T$4:$T$9,MATCH($C43,科目表!$S$4:$S$9,0)),""))</f>
        <v/>
      </c>
      <c r="N43" s="75" t="str">
        <f t="shared" si="1"/>
        <v/>
      </c>
      <c r="O43" s="76" t="str">
        <f t="shared" si="2"/>
        <v/>
      </c>
      <c r="P43" s="76" t="str">
        <f t="shared" si="3"/>
        <v/>
      </c>
      <c r="Q43" s="75" t="str">
        <f t="shared" si="4"/>
        <v/>
      </c>
      <c r="R43" s="76" t="str">
        <f t="shared" si="5"/>
        <v/>
      </c>
      <c r="S43" s="76" t="str">
        <f t="shared" si="6"/>
        <v/>
      </c>
      <c r="T43" s="43"/>
      <c r="U43" s="107"/>
      <c r="V43" s="76" t="str">
        <f t="shared" si="7"/>
        <v/>
      </c>
      <c r="W43" s="43"/>
      <c r="X43" s="43"/>
      <c r="Y43" s="74"/>
    </row>
    <row r="44" ht="18" customHeight="1" spans="1:25">
      <c r="A44" s="74" t="str">
        <f t="shared" si="0"/>
        <v/>
      </c>
      <c r="B44" s="7"/>
      <c r="C44" s="43"/>
      <c r="D44" s="106"/>
      <c r="E44" s="43"/>
      <c r="F44" s="43"/>
      <c r="G44" s="43"/>
      <c r="H44" s="107"/>
      <c r="I44" s="107"/>
      <c r="J44" s="76" t="str">
        <f>IF($C44="","",ROUND(IFERROR(INDEX(期初余额!$I$4:$I$9,MATCH($C44,期初余额!$H$4:$H$9,0)),0)+SUMIFS($H$4:$H44,$C$4:$C44,$C44)-SUMIFS($I$4:$I44,$C$4:$C44,$C44),2))</f>
        <v/>
      </c>
      <c r="K44" s="111" t="str">
        <f>IF($T44&lt;&gt;"",$T44,IF($C44="","",IF(AND(N($I44)&gt;0,$G44&lt;&gt;""),IFERROR(INDEX(科目表!$U$4:$U$123,MATCH($G44,科目表!$M$4:$M$123,0)),"管理费用"),IF(N($H44)&gt;0,IFERROR(INDEX(自动规则!$C$4:$C$40,MATCH($F44,自动规则!$B$4:$B$40,0)),"其他应收款"),IFERROR(INDEX(自动规则!$D$4:$D$40,MATCH($F44,自动规则!$B$4:$B$40,0)),"其他应付款")))))</f>
        <v/>
      </c>
      <c r="L44" s="106"/>
      <c r="M44" s="75" t="str">
        <f>IF($C44="","",IFERROR(INDEX(科目表!$T$4:$T$9,MATCH($C44,科目表!$S$4:$S$9,0)),""))</f>
        <v/>
      </c>
      <c r="N44" s="75" t="str">
        <f t="shared" si="1"/>
        <v/>
      </c>
      <c r="O44" s="76" t="str">
        <f t="shared" si="2"/>
        <v/>
      </c>
      <c r="P44" s="76" t="str">
        <f t="shared" si="3"/>
        <v/>
      </c>
      <c r="Q44" s="75" t="str">
        <f t="shared" si="4"/>
        <v/>
      </c>
      <c r="R44" s="76" t="str">
        <f t="shared" si="5"/>
        <v/>
      </c>
      <c r="S44" s="76" t="str">
        <f t="shared" si="6"/>
        <v/>
      </c>
      <c r="T44" s="43"/>
      <c r="U44" s="107"/>
      <c r="V44" s="76" t="str">
        <f t="shared" si="7"/>
        <v/>
      </c>
      <c r="W44" s="43"/>
      <c r="X44" s="43"/>
      <c r="Y44" s="74"/>
    </row>
    <row r="45" ht="18" customHeight="1" spans="1:25">
      <c r="A45" s="74" t="str">
        <f t="shared" si="0"/>
        <v/>
      </c>
      <c r="B45" s="7"/>
      <c r="C45" s="43"/>
      <c r="D45" s="106"/>
      <c r="E45" s="43"/>
      <c r="F45" s="43"/>
      <c r="G45" s="43"/>
      <c r="H45" s="107"/>
      <c r="I45" s="107"/>
      <c r="J45" s="76" t="str">
        <f>IF($C45="","",ROUND(IFERROR(INDEX(期初余额!$I$4:$I$9,MATCH($C45,期初余额!$H$4:$H$9,0)),0)+SUMIFS($H$4:$H45,$C$4:$C45,$C45)-SUMIFS($I$4:$I45,$C$4:$C45,$C45),2))</f>
        <v/>
      </c>
      <c r="K45" s="111" t="str">
        <f>IF($T45&lt;&gt;"",$T45,IF($C45="","",IF(AND(N($I45)&gt;0,$G45&lt;&gt;""),IFERROR(INDEX(科目表!$U$4:$U$123,MATCH($G45,科目表!$M$4:$M$123,0)),"管理费用"),IF(N($H45)&gt;0,IFERROR(INDEX(自动规则!$C$4:$C$40,MATCH($F45,自动规则!$B$4:$B$40,0)),"其他应收款"),IFERROR(INDEX(自动规则!$D$4:$D$40,MATCH($F45,自动规则!$B$4:$B$40,0)),"其他应付款")))))</f>
        <v/>
      </c>
      <c r="L45" s="106"/>
      <c r="M45" s="75" t="str">
        <f>IF($C45="","",IFERROR(INDEX(科目表!$T$4:$T$9,MATCH($C45,科目表!$S$4:$S$9,0)),""))</f>
        <v/>
      </c>
      <c r="N45" s="75" t="str">
        <f t="shared" si="1"/>
        <v/>
      </c>
      <c r="O45" s="76" t="str">
        <f t="shared" si="2"/>
        <v/>
      </c>
      <c r="P45" s="76" t="str">
        <f t="shared" si="3"/>
        <v/>
      </c>
      <c r="Q45" s="75" t="str">
        <f t="shared" si="4"/>
        <v/>
      </c>
      <c r="R45" s="76" t="str">
        <f t="shared" si="5"/>
        <v/>
      </c>
      <c r="S45" s="76" t="str">
        <f t="shared" si="6"/>
        <v/>
      </c>
      <c r="T45" s="43"/>
      <c r="U45" s="107"/>
      <c r="V45" s="76" t="str">
        <f t="shared" si="7"/>
        <v/>
      </c>
      <c r="W45" s="43"/>
      <c r="X45" s="43"/>
      <c r="Y45" s="74"/>
    </row>
    <row r="46" ht="18" customHeight="1" spans="1:25">
      <c r="A46" s="74" t="str">
        <f t="shared" si="0"/>
        <v/>
      </c>
      <c r="B46" s="7"/>
      <c r="C46" s="43"/>
      <c r="D46" s="106"/>
      <c r="E46" s="43"/>
      <c r="F46" s="43"/>
      <c r="G46" s="43"/>
      <c r="H46" s="107"/>
      <c r="I46" s="107"/>
      <c r="J46" s="76" t="str">
        <f>IF($C46="","",ROUND(IFERROR(INDEX(期初余额!$I$4:$I$9,MATCH($C46,期初余额!$H$4:$H$9,0)),0)+SUMIFS($H$4:$H46,$C$4:$C46,$C46)-SUMIFS($I$4:$I46,$C$4:$C46,$C46),2))</f>
        <v/>
      </c>
      <c r="K46" s="111" t="str">
        <f>IF($T46&lt;&gt;"",$T46,IF($C46="","",IF(AND(N($I46)&gt;0,$G46&lt;&gt;""),IFERROR(INDEX(科目表!$U$4:$U$123,MATCH($G46,科目表!$M$4:$M$123,0)),"管理费用"),IF(N($H46)&gt;0,IFERROR(INDEX(自动规则!$C$4:$C$40,MATCH($F46,自动规则!$B$4:$B$40,0)),"其他应收款"),IFERROR(INDEX(自动规则!$D$4:$D$40,MATCH($F46,自动规则!$B$4:$B$40,0)),"其他应付款")))))</f>
        <v/>
      </c>
      <c r="L46" s="106"/>
      <c r="M46" s="75" t="str">
        <f>IF($C46="","",IFERROR(INDEX(科目表!$T$4:$T$9,MATCH($C46,科目表!$S$4:$S$9,0)),""))</f>
        <v/>
      </c>
      <c r="N46" s="75" t="str">
        <f t="shared" si="1"/>
        <v/>
      </c>
      <c r="O46" s="76" t="str">
        <f t="shared" si="2"/>
        <v/>
      </c>
      <c r="P46" s="76" t="str">
        <f t="shared" si="3"/>
        <v/>
      </c>
      <c r="Q46" s="75" t="str">
        <f t="shared" si="4"/>
        <v/>
      </c>
      <c r="R46" s="76" t="str">
        <f t="shared" si="5"/>
        <v/>
      </c>
      <c r="S46" s="76" t="str">
        <f t="shared" si="6"/>
        <v/>
      </c>
      <c r="T46" s="43"/>
      <c r="U46" s="107"/>
      <c r="V46" s="76" t="str">
        <f t="shared" si="7"/>
        <v/>
      </c>
      <c r="W46" s="43"/>
      <c r="X46" s="43"/>
      <c r="Y46" s="74"/>
    </row>
    <row r="47" ht="18" customHeight="1" spans="1:25">
      <c r="A47" s="74" t="str">
        <f t="shared" si="0"/>
        <v/>
      </c>
      <c r="B47" s="7"/>
      <c r="C47" s="43"/>
      <c r="D47" s="106"/>
      <c r="E47" s="43"/>
      <c r="F47" s="43"/>
      <c r="G47" s="43"/>
      <c r="H47" s="107"/>
      <c r="I47" s="107"/>
      <c r="J47" s="76" t="str">
        <f>IF($C47="","",ROUND(IFERROR(INDEX(期初余额!$I$4:$I$9,MATCH($C47,期初余额!$H$4:$H$9,0)),0)+SUMIFS($H$4:$H47,$C$4:$C47,$C47)-SUMIFS($I$4:$I47,$C$4:$C47,$C47),2))</f>
        <v/>
      </c>
      <c r="K47" s="111" t="str">
        <f>IF($T47&lt;&gt;"",$T47,IF($C47="","",IF(AND(N($I47)&gt;0,$G47&lt;&gt;""),IFERROR(INDEX(科目表!$U$4:$U$123,MATCH($G47,科目表!$M$4:$M$123,0)),"管理费用"),IF(N($H47)&gt;0,IFERROR(INDEX(自动规则!$C$4:$C$40,MATCH($F47,自动规则!$B$4:$B$40,0)),"其他应收款"),IFERROR(INDEX(自动规则!$D$4:$D$40,MATCH($F47,自动规则!$B$4:$B$40,0)),"其他应付款")))))</f>
        <v/>
      </c>
      <c r="L47" s="106"/>
      <c r="M47" s="75" t="str">
        <f>IF($C47="","",IFERROR(INDEX(科目表!$T$4:$T$9,MATCH($C47,科目表!$S$4:$S$9,0)),""))</f>
        <v/>
      </c>
      <c r="N47" s="75" t="str">
        <f t="shared" si="1"/>
        <v/>
      </c>
      <c r="O47" s="76" t="str">
        <f t="shared" si="2"/>
        <v/>
      </c>
      <c r="P47" s="76" t="str">
        <f t="shared" si="3"/>
        <v/>
      </c>
      <c r="Q47" s="75" t="str">
        <f t="shared" si="4"/>
        <v/>
      </c>
      <c r="R47" s="76" t="str">
        <f t="shared" si="5"/>
        <v/>
      </c>
      <c r="S47" s="76" t="str">
        <f t="shared" si="6"/>
        <v/>
      </c>
      <c r="T47" s="43"/>
      <c r="U47" s="107"/>
      <c r="V47" s="76" t="str">
        <f t="shared" si="7"/>
        <v/>
      </c>
      <c r="W47" s="43"/>
      <c r="X47" s="43"/>
      <c r="Y47" s="74"/>
    </row>
    <row r="48" ht="18" customHeight="1" spans="1:25">
      <c r="A48" s="74" t="str">
        <f t="shared" si="0"/>
        <v/>
      </c>
      <c r="B48" s="7"/>
      <c r="C48" s="43"/>
      <c r="D48" s="106"/>
      <c r="E48" s="43"/>
      <c r="F48" s="43"/>
      <c r="G48" s="43"/>
      <c r="H48" s="107"/>
      <c r="I48" s="107"/>
      <c r="J48" s="76" t="str">
        <f>IF($C48="","",ROUND(IFERROR(INDEX(期初余额!$I$4:$I$9,MATCH($C48,期初余额!$H$4:$H$9,0)),0)+SUMIFS($H$4:$H48,$C$4:$C48,$C48)-SUMIFS($I$4:$I48,$C$4:$C48,$C48),2))</f>
        <v/>
      </c>
      <c r="K48" s="111" t="str">
        <f>IF($T48&lt;&gt;"",$T48,IF($C48="","",IF(AND(N($I48)&gt;0,$G48&lt;&gt;""),IFERROR(INDEX(科目表!$U$4:$U$123,MATCH($G48,科目表!$M$4:$M$123,0)),"管理费用"),IF(N($H48)&gt;0,IFERROR(INDEX(自动规则!$C$4:$C$40,MATCH($F48,自动规则!$B$4:$B$40,0)),"其他应收款"),IFERROR(INDEX(自动规则!$D$4:$D$40,MATCH($F48,自动规则!$B$4:$B$40,0)),"其他应付款")))))</f>
        <v/>
      </c>
      <c r="L48" s="106"/>
      <c r="M48" s="75" t="str">
        <f>IF($C48="","",IFERROR(INDEX(科目表!$T$4:$T$9,MATCH($C48,科目表!$S$4:$S$9,0)),""))</f>
        <v/>
      </c>
      <c r="N48" s="75" t="str">
        <f t="shared" si="1"/>
        <v/>
      </c>
      <c r="O48" s="76" t="str">
        <f t="shared" si="2"/>
        <v/>
      </c>
      <c r="P48" s="76" t="str">
        <f t="shared" si="3"/>
        <v/>
      </c>
      <c r="Q48" s="75" t="str">
        <f t="shared" si="4"/>
        <v/>
      </c>
      <c r="R48" s="76" t="str">
        <f t="shared" si="5"/>
        <v/>
      </c>
      <c r="S48" s="76" t="str">
        <f t="shared" si="6"/>
        <v/>
      </c>
      <c r="T48" s="43"/>
      <c r="U48" s="107"/>
      <c r="V48" s="76" t="str">
        <f t="shared" si="7"/>
        <v/>
      </c>
      <c r="W48" s="43"/>
      <c r="X48" s="43"/>
      <c r="Y48" s="74"/>
    </row>
    <row r="49" ht="18" customHeight="1" spans="1:25">
      <c r="A49" s="74" t="str">
        <f t="shared" si="0"/>
        <v/>
      </c>
      <c r="B49" s="7"/>
      <c r="C49" s="43"/>
      <c r="D49" s="106"/>
      <c r="E49" s="43"/>
      <c r="F49" s="43"/>
      <c r="G49" s="43"/>
      <c r="H49" s="107"/>
      <c r="I49" s="107"/>
      <c r="J49" s="76" t="str">
        <f>IF($C49="","",ROUND(IFERROR(INDEX(期初余额!$I$4:$I$9,MATCH($C49,期初余额!$H$4:$H$9,0)),0)+SUMIFS($H$4:$H49,$C$4:$C49,$C49)-SUMIFS($I$4:$I49,$C$4:$C49,$C49),2))</f>
        <v/>
      </c>
      <c r="K49" s="111" t="str">
        <f>IF($T49&lt;&gt;"",$T49,IF($C49="","",IF(AND(N($I49)&gt;0,$G49&lt;&gt;""),IFERROR(INDEX(科目表!$U$4:$U$123,MATCH($G49,科目表!$M$4:$M$123,0)),"管理费用"),IF(N($H49)&gt;0,IFERROR(INDEX(自动规则!$C$4:$C$40,MATCH($F49,自动规则!$B$4:$B$40,0)),"其他应收款"),IFERROR(INDEX(自动规则!$D$4:$D$40,MATCH($F49,自动规则!$B$4:$B$40,0)),"其他应付款")))))</f>
        <v/>
      </c>
      <c r="L49" s="106"/>
      <c r="M49" s="75" t="str">
        <f>IF($C49="","",IFERROR(INDEX(科目表!$T$4:$T$9,MATCH($C49,科目表!$S$4:$S$9,0)),""))</f>
        <v/>
      </c>
      <c r="N49" s="75" t="str">
        <f t="shared" si="1"/>
        <v/>
      </c>
      <c r="O49" s="76" t="str">
        <f t="shared" si="2"/>
        <v/>
      </c>
      <c r="P49" s="76" t="str">
        <f t="shared" si="3"/>
        <v/>
      </c>
      <c r="Q49" s="75" t="str">
        <f t="shared" si="4"/>
        <v/>
      </c>
      <c r="R49" s="76" t="str">
        <f t="shared" si="5"/>
        <v/>
      </c>
      <c r="S49" s="76" t="str">
        <f t="shared" si="6"/>
        <v/>
      </c>
      <c r="T49" s="43"/>
      <c r="U49" s="107"/>
      <c r="V49" s="76" t="str">
        <f t="shared" si="7"/>
        <v/>
      </c>
      <c r="W49" s="43"/>
      <c r="X49" s="43"/>
      <c r="Y49" s="74"/>
    </row>
    <row r="50" ht="18" customHeight="1" spans="1:25">
      <c r="A50" s="74" t="str">
        <f t="shared" si="0"/>
        <v/>
      </c>
      <c r="B50" s="7"/>
      <c r="C50" s="43"/>
      <c r="D50" s="106"/>
      <c r="E50" s="43"/>
      <c r="F50" s="43"/>
      <c r="G50" s="43"/>
      <c r="H50" s="107"/>
      <c r="I50" s="107"/>
      <c r="J50" s="76" t="str">
        <f>IF($C50="","",ROUND(IFERROR(INDEX(期初余额!$I$4:$I$9,MATCH($C50,期初余额!$H$4:$H$9,0)),0)+SUMIFS($H$4:$H50,$C$4:$C50,$C50)-SUMIFS($I$4:$I50,$C$4:$C50,$C50),2))</f>
        <v/>
      </c>
      <c r="K50" s="111" t="str">
        <f>IF($T50&lt;&gt;"",$T50,IF($C50="","",IF(AND(N($I50)&gt;0,$G50&lt;&gt;""),IFERROR(INDEX(科目表!$U$4:$U$123,MATCH($G50,科目表!$M$4:$M$123,0)),"管理费用"),IF(N($H50)&gt;0,IFERROR(INDEX(自动规则!$C$4:$C$40,MATCH($F50,自动规则!$B$4:$B$40,0)),"其他应收款"),IFERROR(INDEX(自动规则!$D$4:$D$40,MATCH($F50,自动规则!$B$4:$B$40,0)),"其他应付款")))))</f>
        <v/>
      </c>
      <c r="L50" s="106"/>
      <c r="M50" s="75" t="str">
        <f>IF($C50="","",IFERROR(INDEX(科目表!$T$4:$T$9,MATCH($C50,科目表!$S$4:$S$9,0)),""))</f>
        <v/>
      </c>
      <c r="N50" s="75" t="str">
        <f t="shared" si="1"/>
        <v/>
      </c>
      <c r="O50" s="76" t="str">
        <f t="shared" si="2"/>
        <v/>
      </c>
      <c r="P50" s="76" t="str">
        <f t="shared" si="3"/>
        <v/>
      </c>
      <c r="Q50" s="75" t="str">
        <f t="shared" si="4"/>
        <v/>
      </c>
      <c r="R50" s="76" t="str">
        <f t="shared" si="5"/>
        <v/>
      </c>
      <c r="S50" s="76" t="str">
        <f t="shared" si="6"/>
        <v/>
      </c>
      <c r="T50" s="43"/>
      <c r="U50" s="107"/>
      <c r="V50" s="76" t="str">
        <f t="shared" si="7"/>
        <v/>
      </c>
      <c r="W50" s="43"/>
      <c r="X50" s="43"/>
      <c r="Y50" s="74"/>
    </row>
    <row r="51" ht="18" customHeight="1" spans="1:25">
      <c r="A51" s="74" t="str">
        <f t="shared" si="0"/>
        <v/>
      </c>
      <c r="B51" s="7"/>
      <c r="C51" s="43"/>
      <c r="D51" s="106"/>
      <c r="E51" s="43"/>
      <c r="F51" s="43"/>
      <c r="G51" s="43"/>
      <c r="H51" s="107"/>
      <c r="I51" s="107"/>
      <c r="J51" s="76" t="str">
        <f>IF($C51="","",ROUND(IFERROR(INDEX(期初余额!$I$4:$I$9,MATCH($C51,期初余额!$H$4:$H$9,0)),0)+SUMIFS($H$4:$H51,$C$4:$C51,$C51)-SUMIFS($I$4:$I51,$C$4:$C51,$C51),2))</f>
        <v/>
      </c>
      <c r="K51" s="111" t="str">
        <f>IF($T51&lt;&gt;"",$T51,IF($C51="","",IF(AND(N($I51)&gt;0,$G51&lt;&gt;""),IFERROR(INDEX(科目表!$U$4:$U$123,MATCH($G51,科目表!$M$4:$M$123,0)),"管理费用"),IF(N($H51)&gt;0,IFERROR(INDEX(自动规则!$C$4:$C$40,MATCH($F51,自动规则!$B$4:$B$40,0)),"其他应收款"),IFERROR(INDEX(自动规则!$D$4:$D$40,MATCH($F51,自动规则!$B$4:$B$40,0)),"其他应付款")))))</f>
        <v/>
      </c>
      <c r="L51" s="106"/>
      <c r="M51" s="75" t="str">
        <f>IF($C51="","",IFERROR(INDEX(科目表!$T$4:$T$9,MATCH($C51,科目表!$S$4:$S$9,0)),""))</f>
        <v/>
      </c>
      <c r="N51" s="75" t="str">
        <f t="shared" si="1"/>
        <v/>
      </c>
      <c r="O51" s="76" t="str">
        <f t="shared" si="2"/>
        <v/>
      </c>
      <c r="P51" s="76" t="str">
        <f t="shared" si="3"/>
        <v/>
      </c>
      <c r="Q51" s="75" t="str">
        <f t="shared" si="4"/>
        <v/>
      </c>
      <c r="R51" s="76" t="str">
        <f t="shared" si="5"/>
        <v/>
      </c>
      <c r="S51" s="76" t="str">
        <f t="shared" si="6"/>
        <v/>
      </c>
      <c r="T51" s="43"/>
      <c r="U51" s="107"/>
      <c r="V51" s="76" t="str">
        <f t="shared" si="7"/>
        <v/>
      </c>
      <c r="W51" s="43"/>
      <c r="X51" s="43"/>
      <c r="Y51" s="74"/>
    </row>
    <row r="52" ht="18" customHeight="1" spans="1:25">
      <c r="A52" s="74" t="str">
        <f t="shared" si="0"/>
        <v/>
      </c>
      <c r="B52" s="7"/>
      <c r="C52" s="43"/>
      <c r="D52" s="106"/>
      <c r="E52" s="43"/>
      <c r="F52" s="43"/>
      <c r="G52" s="43"/>
      <c r="H52" s="107"/>
      <c r="I52" s="107"/>
      <c r="J52" s="76" t="str">
        <f>IF($C52="","",ROUND(IFERROR(INDEX(期初余额!$I$4:$I$9,MATCH($C52,期初余额!$H$4:$H$9,0)),0)+SUMIFS($H$4:$H52,$C$4:$C52,$C52)-SUMIFS($I$4:$I52,$C$4:$C52,$C52),2))</f>
        <v/>
      </c>
      <c r="K52" s="111" t="str">
        <f>IF($T52&lt;&gt;"",$T52,IF($C52="","",IF(AND(N($I52)&gt;0,$G52&lt;&gt;""),IFERROR(INDEX(科目表!$U$4:$U$123,MATCH($G52,科目表!$M$4:$M$123,0)),"管理费用"),IF(N($H52)&gt;0,IFERROR(INDEX(自动规则!$C$4:$C$40,MATCH($F52,自动规则!$B$4:$B$40,0)),"其他应收款"),IFERROR(INDEX(自动规则!$D$4:$D$40,MATCH($F52,自动规则!$B$4:$B$40,0)),"其他应付款")))))</f>
        <v/>
      </c>
      <c r="L52" s="106"/>
      <c r="M52" s="75" t="str">
        <f>IF($C52="","",IFERROR(INDEX(科目表!$T$4:$T$9,MATCH($C52,科目表!$S$4:$S$9,0)),""))</f>
        <v/>
      </c>
      <c r="N52" s="75" t="str">
        <f t="shared" si="1"/>
        <v/>
      </c>
      <c r="O52" s="76" t="str">
        <f t="shared" si="2"/>
        <v/>
      </c>
      <c r="P52" s="76" t="str">
        <f t="shared" si="3"/>
        <v/>
      </c>
      <c r="Q52" s="75" t="str">
        <f t="shared" si="4"/>
        <v/>
      </c>
      <c r="R52" s="76" t="str">
        <f t="shared" si="5"/>
        <v/>
      </c>
      <c r="S52" s="76" t="str">
        <f t="shared" si="6"/>
        <v/>
      </c>
      <c r="T52" s="43"/>
      <c r="U52" s="107"/>
      <c r="V52" s="76" t="str">
        <f t="shared" si="7"/>
        <v/>
      </c>
      <c r="W52" s="43"/>
      <c r="X52" s="43"/>
      <c r="Y52" s="74"/>
    </row>
    <row r="53" ht="18" customHeight="1" spans="1:25">
      <c r="A53" s="74" t="str">
        <f t="shared" si="0"/>
        <v/>
      </c>
      <c r="B53" s="7"/>
      <c r="C53" s="43"/>
      <c r="D53" s="106"/>
      <c r="E53" s="43"/>
      <c r="F53" s="43"/>
      <c r="G53" s="43"/>
      <c r="H53" s="107"/>
      <c r="I53" s="107"/>
      <c r="J53" s="76" t="str">
        <f>IF($C53="","",ROUND(IFERROR(INDEX(期初余额!$I$4:$I$9,MATCH($C53,期初余额!$H$4:$H$9,0)),0)+SUMIFS($H$4:$H53,$C$4:$C53,$C53)-SUMIFS($I$4:$I53,$C$4:$C53,$C53),2))</f>
        <v/>
      </c>
      <c r="K53" s="111" t="str">
        <f>IF($T53&lt;&gt;"",$T53,IF($C53="","",IF(AND(N($I53)&gt;0,$G53&lt;&gt;""),IFERROR(INDEX(科目表!$U$4:$U$123,MATCH($G53,科目表!$M$4:$M$123,0)),"管理费用"),IF(N($H53)&gt;0,IFERROR(INDEX(自动规则!$C$4:$C$40,MATCH($F53,自动规则!$B$4:$B$40,0)),"其他应收款"),IFERROR(INDEX(自动规则!$D$4:$D$40,MATCH($F53,自动规则!$B$4:$B$40,0)),"其他应付款")))))</f>
        <v/>
      </c>
      <c r="L53" s="106"/>
      <c r="M53" s="75" t="str">
        <f>IF($C53="","",IFERROR(INDEX(科目表!$T$4:$T$9,MATCH($C53,科目表!$S$4:$S$9,0)),""))</f>
        <v/>
      </c>
      <c r="N53" s="75" t="str">
        <f t="shared" si="1"/>
        <v/>
      </c>
      <c r="O53" s="76" t="str">
        <f t="shared" si="2"/>
        <v/>
      </c>
      <c r="P53" s="76" t="str">
        <f t="shared" si="3"/>
        <v/>
      </c>
      <c r="Q53" s="75" t="str">
        <f t="shared" si="4"/>
        <v/>
      </c>
      <c r="R53" s="76" t="str">
        <f t="shared" si="5"/>
        <v/>
      </c>
      <c r="S53" s="76" t="str">
        <f t="shared" si="6"/>
        <v/>
      </c>
      <c r="T53" s="43"/>
      <c r="U53" s="107"/>
      <c r="V53" s="76" t="str">
        <f t="shared" si="7"/>
        <v/>
      </c>
      <c r="W53" s="43"/>
      <c r="X53" s="43"/>
      <c r="Y53" s="74"/>
    </row>
    <row r="54" ht="18" customHeight="1" spans="1:25">
      <c r="A54" s="74" t="str">
        <f t="shared" si="0"/>
        <v/>
      </c>
      <c r="B54" s="7"/>
      <c r="C54" s="43"/>
      <c r="D54" s="106"/>
      <c r="E54" s="43"/>
      <c r="F54" s="43"/>
      <c r="G54" s="43"/>
      <c r="H54" s="107"/>
      <c r="I54" s="107"/>
      <c r="J54" s="76" t="str">
        <f>IF($C54="","",ROUND(IFERROR(INDEX(期初余额!$I$4:$I$9,MATCH($C54,期初余额!$H$4:$H$9,0)),0)+SUMIFS($H$4:$H54,$C$4:$C54,$C54)-SUMIFS($I$4:$I54,$C$4:$C54,$C54),2))</f>
        <v/>
      </c>
      <c r="K54" s="111" t="str">
        <f>IF($T54&lt;&gt;"",$T54,IF($C54="","",IF(AND(N($I54)&gt;0,$G54&lt;&gt;""),IFERROR(INDEX(科目表!$U$4:$U$123,MATCH($G54,科目表!$M$4:$M$123,0)),"管理费用"),IF(N($H54)&gt;0,IFERROR(INDEX(自动规则!$C$4:$C$40,MATCH($F54,自动规则!$B$4:$B$40,0)),"其他应收款"),IFERROR(INDEX(自动规则!$D$4:$D$40,MATCH($F54,自动规则!$B$4:$B$40,0)),"其他应付款")))))</f>
        <v/>
      </c>
      <c r="L54" s="106"/>
      <c r="M54" s="75" t="str">
        <f>IF($C54="","",IFERROR(INDEX(科目表!$T$4:$T$9,MATCH($C54,科目表!$S$4:$S$9,0)),""))</f>
        <v/>
      </c>
      <c r="N54" s="75" t="str">
        <f t="shared" si="1"/>
        <v/>
      </c>
      <c r="O54" s="76" t="str">
        <f t="shared" si="2"/>
        <v/>
      </c>
      <c r="P54" s="76" t="str">
        <f t="shared" si="3"/>
        <v/>
      </c>
      <c r="Q54" s="75" t="str">
        <f t="shared" si="4"/>
        <v/>
      </c>
      <c r="R54" s="76" t="str">
        <f t="shared" si="5"/>
        <v/>
      </c>
      <c r="S54" s="76" t="str">
        <f t="shared" si="6"/>
        <v/>
      </c>
      <c r="T54" s="43"/>
      <c r="U54" s="107"/>
      <c r="V54" s="76" t="str">
        <f t="shared" si="7"/>
        <v/>
      </c>
      <c r="W54" s="43"/>
      <c r="X54" s="43"/>
      <c r="Y54" s="74"/>
    </row>
    <row r="55" ht="18" customHeight="1" spans="1:25">
      <c r="A55" s="74" t="str">
        <f t="shared" si="0"/>
        <v/>
      </c>
      <c r="B55" s="7"/>
      <c r="C55" s="43"/>
      <c r="D55" s="106"/>
      <c r="E55" s="43"/>
      <c r="F55" s="43"/>
      <c r="G55" s="43"/>
      <c r="H55" s="107"/>
      <c r="I55" s="107"/>
      <c r="J55" s="76" t="str">
        <f>IF($C55="","",ROUND(IFERROR(INDEX(期初余额!$I$4:$I$9,MATCH($C55,期初余额!$H$4:$H$9,0)),0)+SUMIFS($H$4:$H55,$C$4:$C55,$C55)-SUMIFS($I$4:$I55,$C$4:$C55,$C55),2))</f>
        <v/>
      </c>
      <c r="K55" s="111" t="str">
        <f>IF($T55&lt;&gt;"",$T55,IF($C55="","",IF(AND(N($I55)&gt;0,$G55&lt;&gt;""),IFERROR(INDEX(科目表!$U$4:$U$123,MATCH($G55,科目表!$M$4:$M$123,0)),"管理费用"),IF(N($H55)&gt;0,IFERROR(INDEX(自动规则!$C$4:$C$40,MATCH($F55,自动规则!$B$4:$B$40,0)),"其他应收款"),IFERROR(INDEX(自动规则!$D$4:$D$40,MATCH($F55,自动规则!$B$4:$B$40,0)),"其他应付款")))))</f>
        <v/>
      </c>
      <c r="L55" s="106"/>
      <c r="M55" s="75" t="str">
        <f>IF($C55="","",IFERROR(INDEX(科目表!$T$4:$T$9,MATCH($C55,科目表!$S$4:$S$9,0)),""))</f>
        <v/>
      </c>
      <c r="N55" s="75" t="str">
        <f t="shared" si="1"/>
        <v/>
      </c>
      <c r="O55" s="76" t="str">
        <f t="shared" si="2"/>
        <v/>
      </c>
      <c r="P55" s="76" t="str">
        <f t="shared" si="3"/>
        <v/>
      </c>
      <c r="Q55" s="75" t="str">
        <f t="shared" si="4"/>
        <v/>
      </c>
      <c r="R55" s="76" t="str">
        <f t="shared" si="5"/>
        <v/>
      </c>
      <c r="S55" s="76" t="str">
        <f t="shared" si="6"/>
        <v/>
      </c>
      <c r="T55" s="43"/>
      <c r="U55" s="107"/>
      <c r="V55" s="76" t="str">
        <f t="shared" si="7"/>
        <v/>
      </c>
      <c r="W55" s="43"/>
      <c r="X55" s="43"/>
      <c r="Y55" s="74"/>
    </row>
    <row r="56" ht="18" customHeight="1" spans="1:25">
      <c r="A56" s="74" t="str">
        <f t="shared" si="0"/>
        <v/>
      </c>
      <c r="B56" s="7"/>
      <c r="C56" s="43"/>
      <c r="D56" s="106"/>
      <c r="E56" s="43"/>
      <c r="F56" s="43"/>
      <c r="G56" s="43"/>
      <c r="H56" s="107"/>
      <c r="I56" s="107"/>
      <c r="J56" s="76" t="str">
        <f>IF($C56="","",ROUND(IFERROR(INDEX(期初余额!$I$4:$I$9,MATCH($C56,期初余额!$H$4:$H$9,0)),0)+SUMIFS($H$4:$H56,$C$4:$C56,$C56)-SUMIFS($I$4:$I56,$C$4:$C56,$C56),2))</f>
        <v/>
      </c>
      <c r="K56" s="111" t="str">
        <f>IF($T56&lt;&gt;"",$T56,IF($C56="","",IF(AND(N($I56)&gt;0,$G56&lt;&gt;""),IFERROR(INDEX(科目表!$U$4:$U$123,MATCH($G56,科目表!$M$4:$M$123,0)),"管理费用"),IF(N($H56)&gt;0,IFERROR(INDEX(自动规则!$C$4:$C$40,MATCH($F56,自动规则!$B$4:$B$40,0)),"其他应收款"),IFERROR(INDEX(自动规则!$D$4:$D$40,MATCH($F56,自动规则!$B$4:$B$40,0)),"其他应付款")))))</f>
        <v/>
      </c>
      <c r="L56" s="106"/>
      <c r="M56" s="75" t="str">
        <f>IF($C56="","",IFERROR(INDEX(科目表!$T$4:$T$9,MATCH($C56,科目表!$S$4:$S$9,0)),""))</f>
        <v/>
      </c>
      <c r="N56" s="75" t="str">
        <f t="shared" si="1"/>
        <v/>
      </c>
      <c r="O56" s="76" t="str">
        <f t="shared" si="2"/>
        <v/>
      </c>
      <c r="P56" s="76" t="str">
        <f t="shared" si="3"/>
        <v/>
      </c>
      <c r="Q56" s="75" t="str">
        <f t="shared" si="4"/>
        <v/>
      </c>
      <c r="R56" s="76" t="str">
        <f t="shared" si="5"/>
        <v/>
      </c>
      <c r="S56" s="76" t="str">
        <f t="shared" si="6"/>
        <v/>
      </c>
      <c r="T56" s="43"/>
      <c r="U56" s="107"/>
      <c r="V56" s="76" t="str">
        <f t="shared" si="7"/>
        <v/>
      </c>
      <c r="W56" s="43"/>
      <c r="X56" s="43"/>
      <c r="Y56" s="74"/>
    </row>
    <row r="57" ht="18" customHeight="1" spans="1:25">
      <c r="A57" s="74" t="str">
        <f t="shared" si="0"/>
        <v/>
      </c>
      <c r="B57" s="7"/>
      <c r="C57" s="43"/>
      <c r="D57" s="106"/>
      <c r="E57" s="43"/>
      <c r="F57" s="43"/>
      <c r="G57" s="43"/>
      <c r="H57" s="107"/>
      <c r="I57" s="107"/>
      <c r="J57" s="76" t="str">
        <f>IF($C57="","",ROUND(IFERROR(INDEX(期初余额!$I$4:$I$9,MATCH($C57,期初余额!$H$4:$H$9,0)),0)+SUMIFS($H$4:$H57,$C$4:$C57,$C57)-SUMIFS($I$4:$I57,$C$4:$C57,$C57),2))</f>
        <v/>
      </c>
      <c r="K57" s="111" t="str">
        <f>IF($T57&lt;&gt;"",$T57,IF($C57="","",IF(AND(N($I57)&gt;0,$G57&lt;&gt;""),IFERROR(INDEX(科目表!$U$4:$U$123,MATCH($G57,科目表!$M$4:$M$123,0)),"管理费用"),IF(N($H57)&gt;0,IFERROR(INDEX(自动规则!$C$4:$C$40,MATCH($F57,自动规则!$B$4:$B$40,0)),"其他应收款"),IFERROR(INDEX(自动规则!$D$4:$D$40,MATCH($F57,自动规则!$B$4:$B$40,0)),"其他应付款")))))</f>
        <v/>
      </c>
      <c r="L57" s="106"/>
      <c r="M57" s="75" t="str">
        <f>IF($C57="","",IFERROR(INDEX(科目表!$T$4:$T$9,MATCH($C57,科目表!$S$4:$S$9,0)),""))</f>
        <v/>
      </c>
      <c r="N57" s="75" t="str">
        <f t="shared" si="1"/>
        <v/>
      </c>
      <c r="O57" s="76" t="str">
        <f t="shared" si="2"/>
        <v/>
      </c>
      <c r="P57" s="76" t="str">
        <f t="shared" si="3"/>
        <v/>
      </c>
      <c r="Q57" s="75" t="str">
        <f t="shared" si="4"/>
        <v/>
      </c>
      <c r="R57" s="76" t="str">
        <f t="shared" si="5"/>
        <v/>
      </c>
      <c r="S57" s="76" t="str">
        <f t="shared" si="6"/>
        <v/>
      </c>
      <c r="T57" s="43"/>
      <c r="U57" s="107"/>
      <c r="V57" s="76" t="str">
        <f t="shared" si="7"/>
        <v/>
      </c>
      <c r="W57" s="43"/>
      <c r="X57" s="43"/>
      <c r="Y57" s="74"/>
    </row>
    <row r="58" ht="18" customHeight="1" spans="1:25">
      <c r="A58" s="74" t="str">
        <f t="shared" si="0"/>
        <v/>
      </c>
      <c r="B58" s="7"/>
      <c r="C58" s="43"/>
      <c r="D58" s="106"/>
      <c r="E58" s="43"/>
      <c r="F58" s="43"/>
      <c r="G58" s="43"/>
      <c r="H58" s="107"/>
      <c r="I58" s="107"/>
      <c r="J58" s="76" t="str">
        <f>IF($C58="","",ROUND(IFERROR(INDEX(期初余额!$I$4:$I$9,MATCH($C58,期初余额!$H$4:$H$9,0)),0)+SUMIFS($H$4:$H58,$C$4:$C58,$C58)-SUMIFS($I$4:$I58,$C$4:$C58,$C58),2))</f>
        <v/>
      </c>
      <c r="K58" s="111" t="str">
        <f>IF($T58&lt;&gt;"",$T58,IF($C58="","",IF(AND(N($I58)&gt;0,$G58&lt;&gt;""),IFERROR(INDEX(科目表!$U$4:$U$123,MATCH($G58,科目表!$M$4:$M$123,0)),"管理费用"),IF(N($H58)&gt;0,IFERROR(INDEX(自动规则!$C$4:$C$40,MATCH($F58,自动规则!$B$4:$B$40,0)),"其他应收款"),IFERROR(INDEX(自动规则!$D$4:$D$40,MATCH($F58,自动规则!$B$4:$B$40,0)),"其他应付款")))))</f>
        <v/>
      </c>
      <c r="L58" s="106"/>
      <c r="M58" s="75" t="str">
        <f>IF($C58="","",IFERROR(INDEX(科目表!$T$4:$T$9,MATCH($C58,科目表!$S$4:$S$9,0)),""))</f>
        <v/>
      </c>
      <c r="N58" s="75" t="str">
        <f t="shared" si="1"/>
        <v/>
      </c>
      <c r="O58" s="76" t="str">
        <f t="shared" si="2"/>
        <v/>
      </c>
      <c r="P58" s="76" t="str">
        <f t="shared" si="3"/>
        <v/>
      </c>
      <c r="Q58" s="75" t="str">
        <f t="shared" si="4"/>
        <v/>
      </c>
      <c r="R58" s="76" t="str">
        <f t="shared" si="5"/>
        <v/>
      </c>
      <c r="S58" s="76" t="str">
        <f t="shared" si="6"/>
        <v/>
      </c>
      <c r="T58" s="43"/>
      <c r="U58" s="107"/>
      <c r="V58" s="76" t="str">
        <f t="shared" si="7"/>
        <v/>
      </c>
      <c r="W58" s="43"/>
      <c r="X58" s="43"/>
      <c r="Y58" s="74"/>
    </row>
    <row r="59" ht="18" customHeight="1" spans="1:25">
      <c r="A59" s="74" t="str">
        <f t="shared" si="0"/>
        <v/>
      </c>
      <c r="B59" s="7"/>
      <c r="C59" s="43"/>
      <c r="D59" s="106"/>
      <c r="E59" s="43"/>
      <c r="F59" s="43"/>
      <c r="G59" s="43"/>
      <c r="H59" s="107"/>
      <c r="I59" s="107"/>
      <c r="J59" s="76" t="str">
        <f>IF($C59="","",ROUND(IFERROR(INDEX(期初余额!$I$4:$I$9,MATCH($C59,期初余额!$H$4:$H$9,0)),0)+SUMIFS($H$4:$H59,$C$4:$C59,$C59)-SUMIFS($I$4:$I59,$C$4:$C59,$C59),2))</f>
        <v/>
      </c>
      <c r="K59" s="111" t="str">
        <f>IF($T59&lt;&gt;"",$T59,IF($C59="","",IF(AND(N($I59)&gt;0,$G59&lt;&gt;""),IFERROR(INDEX(科目表!$U$4:$U$123,MATCH($G59,科目表!$M$4:$M$123,0)),"管理费用"),IF(N($H59)&gt;0,IFERROR(INDEX(自动规则!$C$4:$C$40,MATCH($F59,自动规则!$B$4:$B$40,0)),"其他应收款"),IFERROR(INDEX(自动规则!$D$4:$D$40,MATCH($F59,自动规则!$B$4:$B$40,0)),"其他应付款")))))</f>
        <v/>
      </c>
      <c r="L59" s="106"/>
      <c r="M59" s="75" t="str">
        <f>IF($C59="","",IFERROR(INDEX(科目表!$T$4:$T$9,MATCH($C59,科目表!$S$4:$S$9,0)),""))</f>
        <v/>
      </c>
      <c r="N59" s="75" t="str">
        <f t="shared" si="1"/>
        <v/>
      </c>
      <c r="O59" s="76" t="str">
        <f t="shared" si="2"/>
        <v/>
      </c>
      <c r="P59" s="76" t="str">
        <f t="shared" si="3"/>
        <v/>
      </c>
      <c r="Q59" s="75" t="str">
        <f t="shared" si="4"/>
        <v/>
      </c>
      <c r="R59" s="76" t="str">
        <f t="shared" si="5"/>
        <v/>
      </c>
      <c r="S59" s="76" t="str">
        <f t="shared" si="6"/>
        <v/>
      </c>
      <c r="T59" s="43"/>
      <c r="U59" s="107"/>
      <c r="V59" s="76" t="str">
        <f t="shared" si="7"/>
        <v/>
      </c>
      <c r="W59" s="43"/>
      <c r="X59" s="43"/>
      <c r="Y59" s="74"/>
    </row>
    <row r="60" ht="18" customHeight="1" spans="1:25">
      <c r="A60" s="74" t="str">
        <f t="shared" si="0"/>
        <v/>
      </c>
      <c r="B60" s="7"/>
      <c r="C60" s="43"/>
      <c r="D60" s="106"/>
      <c r="E60" s="43"/>
      <c r="F60" s="43"/>
      <c r="G60" s="43"/>
      <c r="H60" s="107"/>
      <c r="I60" s="107"/>
      <c r="J60" s="76" t="str">
        <f>IF($C60="","",ROUND(IFERROR(INDEX(期初余额!$I$4:$I$9,MATCH($C60,期初余额!$H$4:$H$9,0)),0)+SUMIFS($H$4:$H60,$C$4:$C60,$C60)-SUMIFS($I$4:$I60,$C$4:$C60,$C60),2))</f>
        <v/>
      </c>
      <c r="K60" s="111" t="str">
        <f>IF($T60&lt;&gt;"",$T60,IF($C60="","",IF(AND(N($I60)&gt;0,$G60&lt;&gt;""),IFERROR(INDEX(科目表!$U$4:$U$123,MATCH($G60,科目表!$M$4:$M$123,0)),"管理费用"),IF(N($H60)&gt;0,IFERROR(INDEX(自动规则!$C$4:$C$40,MATCH($F60,自动规则!$B$4:$B$40,0)),"其他应收款"),IFERROR(INDEX(自动规则!$D$4:$D$40,MATCH($F60,自动规则!$B$4:$B$40,0)),"其他应付款")))))</f>
        <v/>
      </c>
      <c r="L60" s="106"/>
      <c r="M60" s="75" t="str">
        <f>IF($C60="","",IFERROR(INDEX(科目表!$T$4:$T$9,MATCH($C60,科目表!$S$4:$S$9,0)),""))</f>
        <v/>
      </c>
      <c r="N60" s="75" t="str">
        <f t="shared" si="1"/>
        <v/>
      </c>
      <c r="O60" s="76" t="str">
        <f t="shared" si="2"/>
        <v/>
      </c>
      <c r="P60" s="76" t="str">
        <f t="shared" si="3"/>
        <v/>
      </c>
      <c r="Q60" s="75" t="str">
        <f t="shared" si="4"/>
        <v/>
      </c>
      <c r="R60" s="76" t="str">
        <f t="shared" si="5"/>
        <v/>
      </c>
      <c r="S60" s="76" t="str">
        <f t="shared" si="6"/>
        <v/>
      </c>
      <c r="T60" s="43"/>
      <c r="U60" s="107"/>
      <c r="V60" s="76" t="str">
        <f t="shared" si="7"/>
        <v/>
      </c>
      <c r="W60" s="43"/>
      <c r="X60" s="43"/>
      <c r="Y60" s="74"/>
    </row>
    <row r="61" ht="18" customHeight="1" spans="1:25">
      <c r="A61" s="74" t="str">
        <f t="shared" si="0"/>
        <v/>
      </c>
      <c r="B61" s="7"/>
      <c r="C61" s="43"/>
      <c r="D61" s="106"/>
      <c r="E61" s="43"/>
      <c r="F61" s="43"/>
      <c r="G61" s="43"/>
      <c r="H61" s="107"/>
      <c r="I61" s="107"/>
      <c r="J61" s="76" t="str">
        <f>IF($C61="","",ROUND(IFERROR(INDEX(期初余额!$I$4:$I$9,MATCH($C61,期初余额!$H$4:$H$9,0)),0)+SUMIFS($H$4:$H61,$C$4:$C61,$C61)-SUMIFS($I$4:$I61,$C$4:$C61,$C61),2))</f>
        <v/>
      </c>
      <c r="K61" s="111" t="str">
        <f>IF($T61&lt;&gt;"",$T61,IF($C61="","",IF(AND(N($I61)&gt;0,$G61&lt;&gt;""),IFERROR(INDEX(科目表!$U$4:$U$123,MATCH($G61,科目表!$M$4:$M$123,0)),"管理费用"),IF(N($H61)&gt;0,IFERROR(INDEX(自动规则!$C$4:$C$40,MATCH($F61,自动规则!$B$4:$B$40,0)),"其他应收款"),IFERROR(INDEX(自动规则!$D$4:$D$40,MATCH($F61,自动规则!$B$4:$B$40,0)),"其他应付款")))))</f>
        <v/>
      </c>
      <c r="L61" s="106"/>
      <c r="M61" s="75" t="str">
        <f>IF($C61="","",IFERROR(INDEX(科目表!$T$4:$T$9,MATCH($C61,科目表!$S$4:$S$9,0)),""))</f>
        <v/>
      </c>
      <c r="N61" s="75" t="str">
        <f t="shared" si="1"/>
        <v/>
      </c>
      <c r="O61" s="76" t="str">
        <f t="shared" si="2"/>
        <v/>
      </c>
      <c r="P61" s="76" t="str">
        <f t="shared" si="3"/>
        <v/>
      </c>
      <c r="Q61" s="75" t="str">
        <f t="shared" si="4"/>
        <v/>
      </c>
      <c r="R61" s="76" t="str">
        <f t="shared" si="5"/>
        <v/>
      </c>
      <c r="S61" s="76" t="str">
        <f t="shared" si="6"/>
        <v/>
      </c>
      <c r="T61" s="43"/>
      <c r="U61" s="107"/>
      <c r="V61" s="76" t="str">
        <f t="shared" si="7"/>
        <v/>
      </c>
      <c r="W61" s="43"/>
      <c r="X61" s="43"/>
      <c r="Y61" s="74"/>
    </row>
    <row r="62" ht="18" customHeight="1" spans="1:25">
      <c r="A62" s="74" t="str">
        <f t="shared" si="0"/>
        <v/>
      </c>
      <c r="B62" s="7"/>
      <c r="C62" s="43"/>
      <c r="D62" s="106"/>
      <c r="E62" s="43"/>
      <c r="F62" s="43"/>
      <c r="G62" s="43"/>
      <c r="H62" s="107"/>
      <c r="I62" s="107"/>
      <c r="J62" s="76" t="str">
        <f>IF($C62="","",ROUND(IFERROR(INDEX(期初余额!$I$4:$I$9,MATCH($C62,期初余额!$H$4:$H$9,0)),0)+SUMIFS($H$4:$H62,$C$4:$C62,$C62)-SUMIFS($I$4:$I62,$C$4:$C62,$C62),2))</f>
        <v/>
      </c>
      <c r="K62" s="111" t="str">
        <f>IF($T62&lt;&gt;"",$T62,IF($C62="","",IF(AND(N($I62)&gt;0,$G62&lt;&gt;""),IFERROR(INDEX(科目表!$U$4:$U$123,MATCH($G62,科目表!$M$4:$M$123,0)),"管理费用"),IF(N($H62)&gt;0,IFERROR(INDEX(自动规则!$C$4:$C$40,MATCH($F62,自动规则!$B$4:$B$40,0)),"其他应收款"),IFERROR(INDEX(自动规则!$D$4:$D$40,MATCH($F62,自动规则!$B$4:$B$40,0)),"其他应付款")))))</f>
        <v/>
      </c>
      <c r="L62" s="106"/>
      <c r="M62" s="75" t="str">
        <f>IF($C62="","",IFERROR(INDEX(科目表!$T$4:$T$9,MATCH($C62,科目表!$S$4:$S$9,0)),""))</f>
        <v/>
      </c>
      <c r="N62" s="75" t="str">
        <f t="shared" si="1"/>
        <v/>
      </c>
      <c r="O62" s="76" t="str">
        <f t="shared" si="2"/>
        <v/>
      </c>
      <c r="P62" s="76" t="str">
        <f t="shared" si="3"/>
        <v/>
      </c>
      <c r="Q62" s="75" t="str">
        <f t="shared" si="4"/>
        <v/>
      </c>
      <c r="R62" s="76" t="str">
        <f t="shared" si="5"/>
        <v/>
      </c>
      <c r="S62" s="76" t="str">
        <f t="shared" si="6"/>
        <v/>
      </c>
      <c r="T62" s="43"/>
      <c r="U62" s="107"/>
      <c r="V62" s="76" t="str">
        <f t="shared" si="7"/>
        <v/>
      </c>
      <c r="W62" s="43"/>
      <c r="X62" s="43"/>
      <c r="Y62" s="74"/>
    </row>
    <row r="63" ht="18" customHeight="1" spans="1:25">
      <c r="A63" s="74" t="str">
        <f t="shared" si="0"/>
        <v/>
      </c>
      <c r="B63" s="7"/>
      <c r="C63" s="43"/>
      <c r="D63" s="106"/>
      <c r="E63" s="43"/>
      <c r="F63" s="43"/>
      <c r="G63" s="43"/>
      <c r="H63" s="107"/>
      <c r="I63" s="107"/>
      <c r="J63" s="76" t="str">
        <f>IF($C63="","",ROUND(IFERROR(INDEX(期初余额!$I$4:$I$9,MATCH($C63,期初余额!$H$4:$H$9,0)),0)+SUMIFS($H$4:$H63,$C$4:$C63,$C63)-SUMIFS($I$4:$I63,$C$4:$C63,$C63),2))</f>
        <v/>
      </c>
      <c r="K63" s="111" t="str">
        <f>IF($T63&lt;&gt;"",$T63,IF($C63="","",IF(AND(N($I63)&gt;0,$G63&lt;&gt;""),IFERROR(INDEX(科目表!$U$4:$U$123,MATCH($G63,科目表!$M$4:$M$123,0)),"管理费用"),IF(N($H63)&gt;0,IFERROR(INDEX(自动规则!$C$4:$C$40,MATCH($F63,自动规则!$B$4:$B$40,0)),"其他应收款"),IFERROR(INDEX(自动规则!$D$4:$D$40,MATCH($F63,自动规则!$B$4:$B$40,0)),"其他应付款")))))</f>
        <v/>
      </c>
      <c r="L63" s="106"/>
      <c r="M63" s="75" t="str">
        <f>IF($C63="","",IFERROR(INDEX(科目表!$T$4:$T$9,MATCH($C63,科目表!$S$4:$S$9,0)),""))</f>
        <v/>
      </c>
      <c r="N63" s="75" t="str">
        <f t="shared" si="1"/>
        <v/>
      </c>
      <c r="O63" s="76" t="str">
        <f t="shared" si="2"/>
        <v/>
      </c>
      <c r="P63" s="76" t="str">
        <f t="shared" si="3"/>
        <v/>
      </c>
      <c r="Q63" s="75" t="str">
        <f t="shared" si="4"/>
        <v/>
      </c>
      <c r="R63" s="76" t="str">
        <f t="shared" si="5"/>
        <v/>
      </c>
      <c r="S63" s="76" t="str">
        <f t="shared" si="6"/>
        <v/>
      </c>
      <c r="T63" s="43"/>
      <c r="U63" s="107"/>
      <c r="V63" s="76" t="str">
        <f t="shared" si="7"/>
        <v/>
      </c>
      <c r="W63" s="43"/>
      <c r="X63" s="43"/>
      <c r="Y63" s="74"/>
    </row>
    <row r="64" ht="18" customHeight="1" spans="1:25">
      <c r="A64" s="74" t="str">
        <f t="shared" si="0"/>
        <v/>
      </c>
      <c r="B64" s="7"/>
      <c r="C64" s="43"/>
      <c r="D64" s="106"/>
      <c r="E64" s="43"/>
      <c r="F64" s="43"/>
      <c r="G64" s="43"/>
      <c r="H64" s="107"/>
      <c r="I64" s="107"/>
      <c r="J64" s="76" t="str">
        <f>IF($C64="","",ROUND(IFERROR(INDEX(期初余额!$I$4:$I$9,MATCH($C64,期初余额!$H$4:$H$9,0)),0)+SUMIFS($H$4:$H64,$C$4:$C64,$C64)-SUMIFS($I$4:$I64,$C$4:$C64,$C64),2))</f>
        <v/>
      </c>
      <c r="K64" s="111" t="str">
        <f>IF($T64&lt;&gt;"",$T64,IF($C64="","",IF(AND(N($I64)&gt;0,$G64&lt;&gt;""),IFERROR(INDEX(科目表!$U$4:$U$123,MATCH($G64,科目表!$M$4:$M$123,0)),"管理费用"),IF(N($H64)&gt;0,IFERROR(INDEX(自动规则!$C$4:$C$40,MATCH($F64,自动规则!$B$4:$B$40,0)),"其他应收款"),IFERROR(INDEX(自动规则!$D$4:$D$40,MATCH($F64,自动规则!$B$4:$B$40,0)),"其他应付款")))))</f>
        <v/>
      </c>
      <c r="L64" s="106"/>
      <c r="M64" s="75" t="str">
        <f>IF($C64="","",IFERROR(INDEX(科目表!$T$4:$T$9,MATCH($C64,科目表!$S$4:$S$9,0)),""))</f>
        <v/>
      </c>
      <c r="N64" s="75" t="str">
        <f t="shared" si="1"/>
        <v/>
      </c>
      <c r="O64" s="76" t="str">
        <f t="shared" si="2"/>
        <v/>
      </c>
      <c r="P64" s="76" t="str">
        <f t="shared" si="3"/>
        <v/>
      </c>
      <c r="Q64" s="75" t="str">
        <f t="shared" si="4"/>
        <v/>
      </c>
      <c r="R64" s="76" t="str">
        <f t="shared" si="5"/>
        <v/>
      </c>
      <c r="S64" s="76" t="str">
        <f t="shared" si="6"/>
        <v/>
      </c>
      <c r="T64" s="43"/>
      <c r="U64" s="107"/>
      <c r="V64" s="76" t="str">
        <f t="shared" si="7"/>
        <v/>
      </c>
      <c r="W64" s="43"/>
      <c r="X64" s="43"/>
      <c r="Y64" s="74"/>
    </row>
    <row r="65" ht="18" customHeight="1" spans="1:25">
      <c r="A65" s="74" t="str">
        <f t="shared" si="0"/>
        <v/>
      </c>
      <c r="B65" s="7"/>
      <c r="C65" s="43"/>
      <c r="D65" s="106"/>
      <c r="E65" s="43"/>
      <c r="F65" s="43"/>
      <c r="G65" s="43"/>
      <c r="H65" s="107"/>
      <c r="I65" s="107"/>
      <c r="J65" s="76" t="str">
        <f>IF($C65="","",ROUND(IFERROR(INDEX(期初余额!$I$4:$I$9,MATCH($C65,期初余额!$H$4:$H$9,0)),0)+SUMIFS($H$4:$H65,$C$4:$C65,$C65)-SUMIFS($I$4:$I65,$C$4:$C65,$C65),2))</f>
        <v/>
      </c>
      <c r="K65" s="111" t="str">
        <f>IF($T65&lt;&gt;"",$T65,IF($C65="","",IF(AND(N($I65)&gt;0,$G65&lt;&gt;""),IFERROR(INDEX(科目表!$U$4:$U$123,MATCH($G65,科目表!$M$4:$M$123,0)),"管理费用"),IF(N($H65)&gt;0,IFERROR(INDEX(自动规则!$C$4:$C$40,MATCH($F65,自动规则!$B$4:$B$40,0)),"其他应收款"),IFERROR(INDEX(自动规则!$D$4:$D$40,MATCH($F65,自动规则!$B$4:$B$40,0)),"其他应付款")))))</f>
        <v/>
      </c>
      <c r="L65" s="106"/>
      <c r="M65" s="75" t="str">
        <f>IF($C65="","",IFERROR(INDEX(科目表!$T$4:$T$9,MATCH($C65,科目表!$S$4:$S$9,0)),""))</f>
        <v/>
      </c>
      <c r="N65" s="75" t="str">
        <f t="shared" si="1"/>
        <v/>
      </c>
      <c r="O65" s="76" t="str">
        <f t="shared" si="2"/>
        <v/>
      </c>
      <c r="P65" s="76" t="str">
        <f t="shared" si="3"/>
        <v/>
      </c>
      <c r="Q65" s="75" t="str">
        <f t="shared" si="4"/>
        <v/>
      </c>
      <c r="R65" s="76" t="str">
        <f t="shared" si="5"/>
        <v/>
      </c>
      <c r="S65" s="76" t="str">
        <f t="shared" si="6"/>
        <v/>
      </c>
      <c r="T65" s="43"/>
      <c r="U65" s="107"/>
      <c r="V65" s="76" t="str">
        <f t="shared" si="7"/>
        <v/>
      </c>
      <c r="W65" s="43"/>
      <c r="X65" s="43"/>
      <c r="Y65" s="74"/>
    </row>
    <row r="66" ht="18" customHeight="1" spans="1:25">
      <c r="A66" s="74" t="str">
        <f t="shared" si="0"/>
        <v/>
      </c>
      <c r="B66" s="7"/>
      <c r="C66" s="43"/>
      <c r="D66" s="106"/>
      <c r="E66" s="43"/>
      <c r="F66" s="43"/>
      <c r="G66" s="43"/>
      <c r="H66" s="107"/>
      <c r="I66" s="107"/>
      <c r="J66" s="76" t="str">
        <f>IF($C66="","",ROUND(IFERROR(INDEX(期初余额!$I$4:$I$9,MATCH($C66,期初余额!$H$4:$H$9,0)),0)+SUMIFS($H$4:$H66,$C$4:$C66,$C66)-SUMIFS($I$4:$I66,$C$4:$C66,$C66),2))</f>
        <v/>
      </c>
      <c r="K66" s="111" t="str">
        <f>IF($T66&lt;&gt;"",$T66,IF($C66="","",IF(AND(N($I66)&gt;0,$G66&lt;&gt;""),IFERROR(INDEX(科目表!$U$4:$U$123,MATCH($G66,科目表!$M$4:$M$123,0)),"管理费用"),IF(N($H66)&gt;0,IFERROR(INDEX(自动规则!$C$4:$C$40,MATCH($F66,自动规则!$B$4:$B$40,0)),"其他应收款"),IFERROR(INDEX(自动规则!$D$4:$D$40,MATCH($F66,自动规则!$B$4:$B$40,0)),"其他应付款")))))</f>
        <v/>
      </c>
      <c r="L66" s="106"/>
      <c r="M66" s="75" t="str">
        <f>IF($C66="","",IFERROR(INDEX(科目表!$T$4:$T$9,MATCH($C66,科目表!$S$4:$S$9,0)),""))</f>
        <v/>
      </c>
      <c r="N66" s="75" t="str">
        <f t="shared" si="1"/>
        <v/>
      </c>
      <c r="O66" s="76" t="str">
        <f t="shared" si="2"/>
        <v/>
      </c>
      <c r="P66" s="76" t="str">
        <f t="shared" si="3"/>
        <v/>
      </c>
      <c r="Q66" s="75" t="str">
        <f t="shared" si="4"/>
        <v/>
      </c>
      <c r="R66" s="76" t="str">
        <f t="shared" si="5"/>
        <v/>
      </c>
      <c r="S66" s="76" t="str">
        <f t="shared" si="6"/>
        <v/>
      </c>
      <c r="T66" s="43"/>
      <c r="U66" s="107"/>
      <c r="V66" s="76" t="str">
        <f t="shared" si="7"/>
        <v/>
      </c>
      <c r="W66" s="43"/>
      <c r="X66" s="43"/>
      <c r="Y66" s="74"/>
    </row>
    <row r="67" ht="18" customHeight="1" spans="1:25">
      <c r="A67" s="74" t="str">
        <f t="shared" si="0"/>
        <v/>
      </c>
      <c r="B67" s="7"/>
      <c r="C67" s="43"/>
      <c r="D67" s="106"/>
      <c r="E67" s="43"/>
      <c r="F67" s="43"/>
      <c r="G67" s="43"/>
      <c r="H67" s="107"/>
      <c r="I67" s="107"/>
      <c r="J67" s="76" t="str">
        <f>IF($C67="","",ROUND(IFERROR(INDEX(期初余额!$I$4:$I$9,MATCH($C67,期初余额!$H$4:$H$9,0)),0)+SUMIFS($H$4:$H67,$C$4:$C67,$C67)-SUMIFS($I$4:$I67,$C$4:$C67,$C67),2))</f>
        <v/>
      </c>
      <c r="K67" s="111" t="str">
        <f>IF($T67&lt;&gt;"",$T67,IF($C67="","",IF(AND(N($I67)&gt;0,$G67&lt;&gt;""),IFERROR(INDEX(科目表!$U$4:$U$123,MATCH($G67,科目表!$M$4:$M$123,0)),"管理费用"),IF(N($H67)&gt;0,IFERROR(INDEX(自动规则!$C$4:$C$40,MATCH($F67,自动规则!$B$4:$B$40,0)),"其他应收款"),IFERROR(INDEX(自动规则!$D$4:$D$40,MATCH($F67,自动规则!$B$4:$B$40,0)),"其他应付款")))))</f>
        <v/>
      </c>
      <c r="L67" s="106"/>
      <c r="M67" s="75" t="str">
        <f>IF($C67="","",IFERROR(INDEX(科目表!$T$4:$T$9,MATCH($C67,科目表!$S$4:$S$9,0)),""))</f>
        <v/>
      </c>
      <c r="N67" s="75" t="str">
        <f t="shared" si="1"/>
        <v/>
      </c>
      <c r="O67" s="76" t="str">
        <f t="shared" si="2"/>
        <v/>
      </c>
      <c r="P67" s="76" t="str">
        <f t="shared" si="3"/>
        <v/>
      </c>
      <c r="Q67" s="75" t="str">
        <f t="shared" si="4"/>
        <v/>
      </c>
      <c r="R67" s="76" t="str">
        <f t="shared" si="5"/>
        <v/>
      </c>
      <c r="S67" s="76" t="str">
        <f t="shared" si="6"/>
        <v/>
      </c>
      <c r="T67" s="43"/>
      <c r="U67" s="107"/>
      <c r="V67" s="76" t="str">
        <f t="shared" si="7"/>
        <v/>
      </c>
      <c r="W67" s="43"/>
      <c r="X67" s="43"/>
      <c r="Y67" s="74"/>
    </row>
    <row r="68" ht="18" customHeight="1" spans="1:25">
      <c r="A68" s="74" t="str">
        <f t="shared" ref="A68:A131" si="8">IF($C68="","",ROW()-3)</f>
        <v/>
      </c>
      <c r="B68" s="7"/>
      <c r="C68" s="43"/>
      <c r="D68" s="106"/>
      <c r="E68" s="43"/>
      <c r="F68" s="43"/>
      <c r="G68" s="43"/>
      <c r="H68" s="107"/>
      <c r="I68" s="107"/>
      <c r="J68" s="76" t="str">
        <f>IF($C68="","",ROUND(IFERROR(INDEX(期初余额!$I$4:$I$9,MATCH($C68,期初余额!$H$4:$H$9,0)),0)+SUMIFS($H$4:$H68,$C$4:$C68,$C68)-SUMIFS($I$4:$I68,$C$4:$C68,$C68),2))</f>
        <v/>
      </c>
      <c r="K68" s="111" t="str">
        <f>IF($T68&lt;&gt;"",$T68,IF($C68="","",IF(AND(N($I68)&gt;0,$G68&lt;&gt;""),IFERROR(INDEX(科目表!$U$4:$U$123,MATCH($G68,科目表!$M$4:$M$123,0)),"管理费用"),IF(N($H68)&gt;0,IFERROR(INDEX(自动规则!$C$4:$C$40,MATCH($F68,自动规则!$B$4:$B$40,0)),"其他应收款"),IFERROR(INDEX(自动规则!$D$4:$D$40,MATCH($F68,自动规则!$B$4:$B$40,0)),"其他应付款")))))</f>
        <v/>
      </c>
      <c r="L68" s="106"/>
      <c r="M68" s="75" t="str">
        <f>IF($C68="","",IFERROR(INDEX(科目表!$T$4:$T$9,MATCH($C68,科目表!$S$4:$S$9,0)),""))</f>
        <v/>
      </c>
      <c r="N68" s="75" t="str">
        <f t="shared" ref="N68:N131" si="9">IF(OR($C68="",ROUND(N($H68)+N($I68),2)=0),"",IF(N($H68)&gt;0,$M68,$K68))</f>
        <v/>
      </c>
      <c r="O68" s="76" t="str">
        <f t="shared" ref="O68:O131" si="10">IF($N68="","",ROUND(N($H68)+N($I68),2))</f>
        <v/>
      </c>
      <c r="P68" s="76" t="str">
        <f t="shared" ref="P68:P131" si="11">IF($N68="","",0)</f>
        <v/>
      </c>
      <c r="Q68" s="75" t="str">
        <f t="shared" ref="Q68:Q131" si="12">IF($N68="","",IF(N($H68)&gt;0,$K68,$M68))</f>
        <v/>
      </c>
      <c r="R68" s="76" t="str">
        <f t="shared" ref="R68:R131" si="13">IF($Q68="","",0)</f>
        <v/>
      </c>
      <c r="S68" s="76" t="str">
        <f t="shared" ref="S68:S131" si="14">IF($Q68="","",ROUND(N($H68)+N($I68),2))</f>
        <v/>
      </c>
      <c r="T68" s="43"/>
      <c r="U68" s="107"/>
      <c r="V68" s="76" t="str">
        <f t="shared" ref="V68:V131" si="15">IF($B68="","",TEXT($B68,"yyyy年m月"))</f>
        <v/>
      </c>
      <c r="W68" s="43"/>
      <c r="X68" s="43"/>
      <c r="Y68" s="74"/>
    </row>
    <row r="69" ht="18" customHeight="1" spans="1:25">
      <c r="A69" s="74" t="str">
        <f t="shared" si="8"/>
        <v/>
      </c>
      <c r="B69" s="7"/>
      <c r="C69" s="43"/>
      <c r="D69" s="106"/>
      <c r="E69" s="43"/>
      <c r="F69" s="43"/>
      <c r="G69" s="43"/>
      <c r="H69" s="107"/>
      <c r="I69" s="107"/>
      <c r="J69" s="76" t="str">
        <f>IF($C69="","",ROUND(IFERROR(INDEX(期初余额!$I$4:$I$9,MATCH($C69,期初余额!$H$4:$H$9,0)),0)+SUMIFS($H$4:$H69,$C$4:$C69,$C69)-SUMIFS($I$4:$I69,$C$4:$C69,$C69),2))</f>
        <v/>
      </c>
      <c r="K69" s="111" t="str">
        <f>IF($T69&lt;&gt;"",$T69,IF($C69="","",IF(AND(N($I69)&gt;0,$G69&lt;&gt;""),IFERROR(INDEX(科目表!$U$4:$U$123,MATCH($G69,科目表!$M$4:$M$123,0)),"管理费用"),IF(N($H69)&gt;0,IFERROR(INDEX(自动规则!$C$4:$C$40,MATCH($F69,自动规则!$B$4:$B$40,0)),"其他应收款"),IFERROR(INDEX(自动规则!$D$4:$D$40,MATCH($F69,自动规则!$B$4:$B$40,0)),"其他应付款")))))</f>
        <v/>
      </c>
      <c r="L69" s="106"/>
      <c r="M69" s="75" t="str">
        <f>IF($C69="","",IFERROR(INDEX(科目表!$T$4:$T$9,MATCH($C69,科目表!$S$4:$S$9,0)),""))</f>
        <v/>
      </c>
      <c r="N69" s="75" t="str">
        <f t="shared" si="9"/>
        <v/>
      </c>
      <c r="O69" s="76" t="str">
        <f t="shared" si="10"/>
        <v/>
      </c>
      <c r="P69" s="76" t="str">
        <f t="shared" si="11"/>
        <v/>
      </c>
      <c r="Q69" s="75" t="str">
        <f t="shared" si="12"/>
        <v/>
      </c>
      <c r="R69" s="76" t="str">
        <f t="shared" si="13"/>
        <v/>
      </c>
      <c r="S69" s="76" t="str">
        <f t="shared" si="14"/>
        <v/>
      </c>
      <c r="T69" s="43"/>
      <c r="U69" s="107"/>
      <c r="V69" s="76" t="str">
        <f t="shared" si="15"/>
        <v/>
      </c>
      <c r="W69" s="43"/>
      <c r="X69" s="43"/>
      <c r="Y69" s="74"/>
    </row>
    <row r="70" ht="18" customHeight="1" spans="1:25">
      <c r="A70" s="74" t="str">
        <f t="shared" si="8"/>
        <v/>
      </c>
      <c r="B70" s="7"/>
      <c r="C70" s="43"/>
      <c r="D70" s="106"/>
      <c r="E70" s="43"/>
      <c r="F70" s="43"/>
      <c r="G70" s="43"/>
      <c r="H70" s="107"/>
      <c r="I70" s="107"/>
      <c r="J70" s="76" t="str">
        <f>IF($C70="","",ROUND(IFERROR(INDEX(期初余额!$I$4:$I$9,MATCH($C70,期初余额!$H$4:$H$9,0)),0)+SUMIFS($H$4:$H70,$C$4:$C70,$C70)-SUMIFS($I$4:$I70,$C$4:$C70,$C70),2))</f>
        <v/>
      </c>
      <c r="K70" s="111" t="str">
        <f>IF($T70&lt;&gt;"",$T70,IF($C70="","",IF(AND(N($I70)&gt;0,$G70&lt;&gt;""),IFERROR(INDEX(科目表!$U$4:$U$123,MATCH($G70,科目表!$M$4:$M$123,0)),"管理费用"),IF(N($H70)&gt;0,IFERROR(INDEX(自动规则!$C$4:$C$40,MATCH($F70,自动规则!$B$4:$B$40,0)),"其他应收款"),IFERROR(INDEX(自动规则!$D$4:$D$40,MATCH($F70,自动规则!$B$4:$B$40,0)),"其他应付款")))))</f>
        <v/>
      </c>
      <c r="L70" s="106"/>
      <c r="M70" s="75" t="str">
        <f>IF($C70="","",IFERROR(INDEX(科目表!$T$4:$T$9,MATCH($C70,科目表!$S$4:$S$9,0)),""))</f>
        <v/>
      </c>
      <c r="N70" s="75" t="str">
        <f t="shared" si="9"/>
        <v/>
      </c>
      <c r="O70" s="76" t="str">
        <f t="shared" si="10"/>
        <v/>
      </c>
      <c r="P70" s="76" t="str">
        <f t="shared" si="11"/>
        <v/>
      </c>
      <c r="Q70" s="75" t="str">
        <f t="shared" si="12"/>
        <v/>
      </c>
      <c r="R70" s="76" t="str">
        <f t="shared" si="13"/>
        <v/>
      </c>
      <c r="S70" s="76" t="str">
        <f t="shared" si="14"/>
        <v/>
      </c>
      <c r="T70" s="43"/>
      <c r="U70" s="107"/>
      <c r="V70" s="76" t="str">
        <f t="shared" si="15"/>
        <v/>
      </c>
      <c r="W70" s="43"/>
      <c r="X70" s="43"/>
      <c r="Y70" s="74"/>
    </row>
    <row r="71" ht="18" customHeight="1" spans="1:25">
      <c r="A71" s="74" t="str">
        <f t="shared" si="8"/>
        <v/>
      </c>
      <c r="B71" s="7"/>
      <c r="C71" s="43"/>
      <c r="D71" s="106"/>
      <c r="E71" s="43"/>
      <c r="F71" s="43"/>
      <c r="G71" s="43"/>
      <c r="H71" s="107"/>
      <c r="I71" s="107"/>
      <c r="J71" s="76" t="str">
        <f>IF($C71="","",ROUND(IFERROR(INDEX(期初余额!$I$4:$I$9,MATCH($C71,期初余额!$H$4:$H$9,0)),0)+SUMIFS($H$4:$H71,$C$4:$C71,$C71)-SUMIFS($I$4:$I71,$C$4:$C71,$C71),2))</f>
        <v/>
      </c>
      <c r="K71" s="111" t="str">
        <f>IF($T71&lt;&gt;"",$T71,IF($C71="","",IF(AND(N($I71)&gt;0,$G71&lt;&gt;""),IFERROR(INDEX(科目表!$U$4:$U$123,MATCH($G71,科目表!$M$4:$M$123,0)),"管理费用"),IF(N($H71)&gt;0,IFERROR(INDEX(自动规则!$C$4:$C$40,MATCH($F71,自动规则!$B$4:$B$40,0)),"其他应收款"),IFERROR(INDEX(自动规则!$D$4:$D$40,MATCH($F71,自动规则!$B$4:$B$40,0)),"其他应付款")))))</f>
        <v/>
      </c>
      <c r="L71" s="106"/>
      <c r="M71" s="75" t="str">
        <f>IF($C71="","",IFERROR(INDEX(科目表!$T$4:$T$9,MATCH($C71,科目表!$S$4:$S$9,0)),""))</f>
        <v/>
      </c>
      <c r="N71" s="75" t="str">
        <f t="shared" si="9"/>
        <v/>
      </c>
      <c r="O71" s="76" t="str">
        <f t="shared" si="10"/>
        <v/>
      </c>
      <c r="P71" s="76" t="str">
        <f t="shared" si="11"/>
        <v/>
      </c>
      <c r="Q71" s="75" t="str">
        <f t="shared" si="12"/>
        <v/>
      </c>
      <c r="R71" s="76" t="str">
        <f t="shared" si="13"/>
        <v/>
      </c>
      <c r="S71" s="76" t="str">
        <f t="shared" si="14"/>
        <v/>
      </c>
      <c r="T71" s="43"/>
      <c r="U71" s="107"/>
      <c r="V71" s="76" t="str">
        <f t="shared" si="15"/>
        <v/>
      </c>
      <c r="W71" s="43"/>
      <c r="X71" s="43"/>
      <c r="Y71" s="74"/>
    </row>
    <row r="72" ht="18" customHeight="1" spans="1:25">
      <c r="A72" s="74" t="str">
        <f t="shared" si="8"/>
        <v/>
      </c>
      <c r="B72" s="7"/>
      <c r="C72" s="43"/>
      <c r="D72" s="106"/>
      <c r="E72" s="43"/>
      <c r="F72" s="43"/>
      <c r="G72" s="43"/>
      <c r="H72" s="107"/>
      <c r="I72" s="107"/>
      <c r="J72" s="76" t="str">
        <f>IF($C72="","",ROUND(IFERROR(INDEX(期初余额!$I$4:$I$9,MATCH($C72,期初余额!$H$4:$H$9,0)),0)+SUMIFS($H$4:$H72,$C$4:$C72,$C72)-SUMIFS($I$4:$I72,$C$4:$C72,$C72),2))</f>
        <v/>
      </c>
      <c r="K72" s="111" t="str">
        <f>IF($T72&lt;&gt;"",$T72,IF($C72="","",IF(AND(N($I72)&gt;0,$G72&lt;&gt;""),IFERROR(INDEX(科目表!$U$4:$U$123,MATCH($G72,科目表!$M$4:$M$123,0)),"管理费用"),IF(N($H72)&gt;0,IFERROR(INDEX(自动规则!$C$4:$C$40,MATCH($F72,自动规则!$B$4:$B$40,0)),"其他应收款"),IFERROR(INDEX(自动规则!$D$4:$D$40,MATCH($F72,自动规则!$B$4:$B$40,0)),"其他应付款")))))</f>
        <v/>
      </c>
      <c r="L72" s="106"/>
      <c r="M72" s="75" t="str">
        <f>IF($C72="","",IFERROR(INDEX(科目表!$T$4:$T$9,MATCH($C72,科目表!$S$4:$S$9,0)),""))</f>
        <v/>
      </c>
      <c r="N72" s="75" t="str">
        <f t="shared" si="9"/>
        <v/>
      </c>
      <c r="O72" s="76" t="str">
        <f t="shared" si="10"/>
        <v/>
      </c>
      <c r="P72" s="76" t="str">
        <f t="shared" si="11"/>
        <v/>
      </c>
      <c r="Q72" s="75" t="str">
        <f t="shared" si="12"/>
        <v/>
      </c>
      <c r="R72" s="76" t="str">
        <f t="shared" si="13"/>
        <v/>
      </c>
      <c r="S72" s="76" t="str">
        <f t="shared" si="14"/>
        <v/>
      </c>
      <c r="T72" s="43"/>
      <c r="U72" s="107"/>
      <c r="V72" s="76" t="str">
        <f t="shared" si="15"/>
        <v/>
      </c>
      <c r="W72" s="43"/>
      <c r="X72" s="43"/>
      <c r="Y72" s="74"/>
    </row>
    <row r="73" ht="18" customHeight="1" spans="1:25">
      <c r="A73" s="74" t="str">
        <f t="shared" si="8"/>
        <v/>
      </c>
      <c r="B73" s="7"/>
      <c r="C73" s="43"/>
      <c r="D73" s="106"/>
      <c r="E73" s="43"/>
      <c r="F73" s="43"/>
      <c r="G73" s="43"/>
      <c r="H73" s="107"/>
      <c r="I73" s="107"/>
      <c r="J73" s="76" t="str">
        <f>IF($C73="","",ROUND(IFERROR(INDEX(期初余额!$I$4:$I$9,MATCH($C73,期初余额!$H$4:$H$9,0)),0)+SUMIFS($H$4:$H73,$C$4:$C73,$C73)-SUMIFS($I$4:$I73,$C$4:$C73,$C73),2))</f>
        <v/>
      </c>
      <c r="K73" s="111" t="str">
        <f>IF($T73&lt;&gt;"",$T73,IF($C73="","",IF(AND(N($I73)&gt;0,$G73&lt;&gt;""),IFERROR(INDEX(科目表!$U$4:$U$123,MATCH($G73,科目表!$M$4:$M$123,0)),"管理费用"),IF(N($H73)&gt;0,IFERROR(INDEX(自动规则!$C$4:$C$40,MATCH($F73,自动规则!$B$4:$B$40,0)),"其他应收款"),IFERROR(INDEX(自动规则!$D$4:$D$40,MATCH($F73,自动规则!$B$4:$B$40,0)),"其他应付款")))))</f>
        <v/>
      </c>
      <c r="L73" s="106"/>
      <c r="M73" s="75" t="str">
        <f>IF($C73="","",IFERROR(INDEX(科目表!$T$4:$T$9,MATCH($C73,科目表!$S$4:$S$9,0)),""))</f>
        <v/>
      </c>
      <c r="N73" s="75" t="str">
        <f t="shared" si="9"/>
        <v/>
      </c>
      <c r="O73" s="76" t="str">
        <f t="shared" si="10"/>
        <v/>
      </c>
      <c r="P73" s="76" t="str">
        <f t="shared" si="11"/>
        <v/>
      </c>
      <c r="Q73" s="75" t="str">
        <f t="shared" si="12"/>
        <v/>
      </c>
      <c r="R73" s="76" t="str">
        <f t="shared" si="13"/>
        <v/>
      </c>
      <c r="S73" s="76" t="str">
        <f t="shared" si="14"/>
        <v/>
      </c>
      <c r="T73" s="43"/>
      <c r="U73" s="107"/>
      <c r="V73" s="76" t="str">
        <f t="shared" si="15"/>
        <v/>
      </c>
      <c r="W73" s="43"/>
      <c r="X73" s="43"/>
      <c r="Y73" s="74"/>
    </row>
    <row r="74" ht="18" customHeight="1" spans="1:25">
      <c r="A74" s="74" t="str">
        <f t="shared" si="8"/>
        <v/>
      </c>
      <c r="B74" s="7"/>
      <c r="C74" s="43"/>
      <c r="D74" s="106"/>
      <c r="E74" s="43"/>
      <c r="F74" s="43"/>
      <c r="G74" s="43"/>
      <c r="H74" s="107"/>
      <c r="I74" s="107"/>
      <c r="J74" s="76" t="str">
        <f>IF($C74="","",ROUND(IFERROR(INDEX(期初余额!$I$4:$I$9,MATCH($C74,期初余额!$H$4:$H$9,0)),0)+SUMIFS($H$4:$H74,$C$4:$C74,$C74)-SUMIFS($I$4:$I74,$C$4:$C74,$C74),2))</f>
        <v/>
      </c>
      <c r="K74" s="111" t="str">
        <f>IF($T74&lt;&gt;"",$T74,IF($C74="","",IF(AND(N($I74)&gt;0,$G74&lt;&gt;""),IFERROR(INDEX(科目表!$U$4:$U$123,MATCH($G74,科目表!$M$4:$M$123,0)),"管理费用"),IF(N($H74)&gt;0,IFERROR(INDEX(自动规则!$C$4:$C$40,MATCH($F74,自动规则!$B$4:$B$40,0)),"其他应收款"),IFERROR(INDEX(自动规则!$D$4:$D$40,MATCH($F74,自动规则!$B$4:$B$40,0)),"其他应付款")))))</f>
        <v/>
      </c>
      <c r="L74" s="106"/>
      <c r="M74" s="75" t="str">
        <f>IF($C74="","",IFERROR(INDEX(科目表!$T$4:$T$9,MATCH($C74,科目表!$S$4:$S$9,0)),""))</f>
        <v/>
      </c>
      <c r="N74" s="75" t="str">
        <f t="shared" si="9"/>
        <v/>
      </c>
      <c r="O74" s="76" t="str">
        <f t="shared" si="10"/>
        <v/>
      </c>
      <c r="P74" s="76" t="str">
        <f t="shared" si="11"/>
        <v/>
      </c>
      <c r="Q74" s="75" t="str">
        <f t="shared" si="12"/>
        <v/>
      </c>
      <c r="R74" s="76" t="str">
        <f t="shared" si="13"/>
        <v/>
      </c>
      <c r="S74" s="76" t="str">
        <f t="shared" si="14"/>
        <v/>
      </c>
      <c r="T74" s="43"/>
      <c r="U74" s="107"/>
      <c r="V74" s="76" t="str">
        <f t="shared" si="15"/>
        <v/>
      </c>
      <c r="W74" s="43"/>
      <c r="X74" s="43"/>
      <c r="Y74" s="74"/>
    </row>
    <row r="75" ht="18" customHeight="1" spans="1:25">
      <c r="A75" s="74" t="str">
        <f t="shared" si="8"/>
        <v/>
      </c>
      <c r="B75" s="7"/>
      <c r="C75" s="43"/>
      <c r="D75" s="106"/>
      <c r="E75" s="43"/>
      <c r="F75" s="43"/>
      <c r="G75" s="43"/>
      <c r="H75" s="107"/>
      <c r="I75" s="107"/>
      <c r="J75" s="76" t="str">
        <f>IF($C75="","",ROUND(IFERROR(INDEX(期初余额!$I$4:$I$9,MATCH($C75,期初余额!$H$4:$H$9,0)),0)+SUMIFS($H$4:$H75,$C$4:$C75,$C75)-SUMIFS($I$4:$I75,$C$4:$C75,$C75),2))</f>
        <v/>
      </c>
      <c r="K75" s="111" t="str">
        <f>IF($T75&lt;&gt;"",$T75,IF($C75="","",IF(AND(N($I75)&gt;0,$G75&lt;&gt;""),IFERROR(INDEX(科目表!$U$4:$U$123,MATCH($G75,科目表!$M$4:$M$123,0)),"管理费用"),IF(N($H75)&gt;0,IFERROR(INDEX(自动规则!$C$4:$C$40,MATCH($F75,自动规则!$B$4:$B$40,0)),"其他应收款"),IFERROR(INDEX(自动规则!$D$4:$D$40,MATCH($F75,自动规则!$B$4:$B$40,0)),"其他应付款")))))</f>
        <v/>
      </c>
      <c r="L75" s="106"/>
      <c r="M75" s="75" t="str">
        <f>IF($C75="","",IFERROR(INDEX(科目表!$T$4:$T$9,MATCH($C75,科目表!$S$4:$S$9,0)),""))</f>
        <v/>
      </c>
      <c r="N75" s="75" t="str">
        <f t="shared" si="9"/>
        <v/>
      </c>
      <c r="O75" s="76" t="str">
        <f t="shared" si="10"/>
        <v/>
      </c>
      <c r="P75" s="76" t="str">
        <f t="shared" si="11"/>
        <v/>
      </c>
      <c r="Q75" s="75" t="str">
        <f t="shared" si="12"/>
        <v/>
      </c>
      <c r="R75" s="76" t="str">
        <f t="shared" si="13"/>
        <v/>
      </c>
      <c r="S75" s="76" t="str">
        <f t="shared" si="14"/>
        <v/>
      </c>
      <c r="T75" s="43"/>
      <c r="U75" s="107"/>
      <c r="V75" s="76" t="str">
        <f t="shared" si="15"/>
        <v/>
      </c>
      <c r="W75" s="43"/>
      <c r="X75" s="43"/>
      <c r="Y75" s="74"/>
    </row>
    <row r="76" ht="18" customHeight="1" spans="1:25">
      <c r="A76" s="74" t="str">
        <f t="shared" si="8"/>
        <v/>
      </c>
      <c r="B76" s="7"/>
      <c r="C76" s="43"/>
      <c r="D76" s="106"/>
      <c r="E76" s="43"/>
      <c r="F76" s="43"/>
      <c r="G76" s="43"/>
      <c r="H76" s="107"/>
      <c r="I76" s="107"/>
      <c r="J76" s="76" t="str">
        <f>IF($C76="","",ROUND(IFERROR(INDEX(期初余额!$I$4:$I$9,MATCH($C76,期初余额!$H$4:$H$9,0)),0)+SUMIFS($H$4:$H76,$C$4:$C76,$C76)-SUMIFS($I$4:$I76,$C$4:$C76,$C76),2))</f>
        <v/>
      </c>
      <c r="K76" s="111" t="str">
        <f>IF($T76&lt;&gt;"",$T76,IF($C76="","",IF(AND(N($I76)&gt;0,$G76&lt;&gt;""),IFERROR(INDEX(科目表!$U$4:$U$123,MATCH($G76,科目表!$M$4:$M$123,0)),"管理费用"),IF(N($H76)&gt;0,IFERROR(INDEX(自动规则!$C$4:$C$40,MATCH($F76,自动规则!$B$4:$B$40,0)),"其他应收款"),IFERROR(INDEX(自动规则!$D$4:$D$40,MATCH($F76,自动规则!$B$4:$B$40,0)),"其他应付款")))))</f>
        <v/>
      </c>
      <c r="L76" s="106"/>
      <c r="M76" s="75" t="str">
        <f>IF($C76="","",IFERROR(INDEX(科目表!$T$4:$T$9,MATCH($C76,科目表!$S$4:$S$9,0)),""))</f>
        <v/>
      </c>
      <c r="N76" s="75" t="str">
        <f t="shared" si="9"/>
        <v/>
      </c>
      <c r="O76" s="76" t="str">
        <f t="shared" si="10"/>
        <v/>
      </c>
      <c r="P76" s="76" t="str">
        <f t="shared" si="11"/>
        <v/>
      </c>
      <c r="Q76" s="75" t="str">
        <f t="shared" si="12"/>
        <v/>
      </c>
      <c r="R76" s="76" t="str">
        <f t="shared" si="13"/>
        <v/>
      </c>
      <c r="S76" s="76" t="str">
        <f t="shared" si="14"/>
        <v/>
      </c>
      <c r="T76" s="43"/>
      <c r="U76" s="107"/>
      <c r="V76" s="76" t="str">
        <f t="shared" si="15"/>
        <v/>
      </c>
      <c r="W76" s="43"/>
      <c r="X76" s="43"/>
      <c r="Y76" s="74"/>
    </row>
    <row r="77" ht="18" customHeight="1" spans="1:25">
      <c r="A77" s="74" t="str">
        <f t="shared" si="8"/>
        <v/>
      </c>
      <c r="B77" s="7"/>
      <c r="C77" s="43"/>
      <c r="D77" s="106"/>
      <c r="E77" s="43"/>
      <c r="F77" s="43"/>
      <c r="G77" s="43"/>
      <c r="H77" s="107"/>
      <c r="I77" s="107"/>
      <c r="J77" s="76" t="str">
        <f>IF($C77="","",ROUND(IFERROR(INDEX(期初余额!$I$4:$I$9,MATCH($C77,期初余额!$H$4:$H$9,0)),0)+SUMIFS($H$4:$H77,$C$4:$C77,$C77)-SUMIFS($I$4:$I77,$C$4:$C77,$C77),2))</f>
        <v/>
      </c>
      <c r="K77" s="111" t="str">
        <f>IF($T77&lt;&gt;"",$T77,IF($C77="","",IF(AND(N($I77)&gt;0,$G77&lt;&gt;""),IFERROR(INDEX(科目表!$U$4:$U$123,MATCH($G77,科目表!$M$4:$M$123,0)),"管理费用"),IF(N($H77)&gt;0,IFERROR(INDEX(自动规则!$C$4:$C$40,MATCH($F77,自动规则!$B$4:$B$40,0)),"其他应收款"),IFERROR(INDEX(自动规则!$D$4:$D$40,MATCH($F77,自动规则!$B$4:$B$40,0)),"其他应付款")))))</f>
        <v/>
      </c>
      <c r="L77" s="106"/>
      <c r="M77" s="75" t="str">
        <f>IF($C77="","",IFERROR(INDEX(科目表!$T$4:$T$9,MATCH($C77,科目表!$S$4:$S$9,0)),""))</f>
        <v/>
      </c>
      <c r="N77" s="75" t="str">
        <f t="shared" si="9"/>
        <v/>
      </c>
      <c r="O77" s="76" t="str">
        <f t="shared" si="10"/>
        <v/>
      </c>
      <c r="P77" s="76" t="str">
        <f t="shared" si="11"/>
        <v/>
      </c>
      <c r="Q77" s="75" t="str">
        <f t="shared" si="12"/>
        <v/>
      </c>
      <c r="R77" s="76" t="str">
        <f t="shared" si="13"/>
        <v/>
      </c>
      <c r="S77" s="76" t="str">
        <f t="shared" si="14"/>
        <v/>
      </c>
      <c r="T77" s="43"/>
      <c r="U77" s="107"/>
      <c r="V77" s="76" t="str">
        <f t="shared" si="15"/>
        <v/>
      </c>
      <c r="W77" s="43"/>
      <c r="X77" s="43"/>
      <c r="Y77" s="74"/>
    </row>
    <row r="78" ht="18" customHeight="1" spans="1:25">
      <c r="A78" s="74" t="str">
        <f t="shared" si="8"/>
        <v/>
      </c>
      <c r="B78" s="7"/>
      <c r="C78" s="43"/>
      <c r="D78" s="106"/>
      <c r="E78" s="43"/>
      <c r="F78" s="43"/>
      <c r="G78" s="43"/>
      <c r="H78" s="107"/>
      <c r="I78" s="107"/>
      <c r="J78" s="76" t="str">
        <f>IF($C78="","",ROUND(IFERROR(INDEX(期初余额!$I$4:$I$9,MATCH($C78,期初余额!$H$4:$H$9,0)),0)+SUMIFS($H$4:$H78,$C$4:$C78,$C78)-SUMIFS($I$4:$I78,$C$4:$C78,$C78),2))</f>
        <v/>
      </c>
      <c r="K78" s="111" t="str">
        <f>IF($T78&lt;&gt;"",$T78,IF($C78="","",IF(AND(N($I78)&gt;0,$G78&lt;&gt;""),IFERROR(INDEX(科目表!$U$4:$U$123,MATCH($G78,科目表!$M$4:$M$123,0)),"管理费用"),IF(N($H78)&gt;0,IFERROR(INDEX(自动规则!$C$4:$C$40,MATCH($F78,自动规则!$B$4:$B$40,0)),"其他应收款"),IFERROR(INDEX(自动规则!$D$4:$D$40,MATCH($F78,自动规则!$B$4:$B$40,0)),"其他应付款")))))</f>
        <v/>
      </c>
      <c r="L78" s="106"/>
      <c r="M78" s="75" t="str">
        <f>IF($C78="","",IFERROR(INDEX(科目表!$T$4:$T$9,MATCH($C78,科目表!$S$4:$S$9,0)),""))</f>
        <v/>
      </c>
      <c r="N78" s="75" t="str">
        <f t="shared" si="9"/>
        <v/>
      </c>
      <c r="O78" s="76" t="str">
        <f t="shared" si="10"/>
        <v/>
      </c>
      <c r="P78" s="76" t="str">
        <f t="shared" si="11"/>
        <v/>
      </c>
      <c r="Q78" s="75" t="str">
        <f t="shared" si="12"/>
        <v/>
      </c>
      <c r="R78" s="76" t="str">
        <f t="shared" si="13"/>
        <v/>
      </c>
      <c r="S78" s="76" t="str">
        <f t="shared" si="14"/>
        <v/>
      </c>
      <c r="T78" s="43"/>
      <c r="U78" s="107"/>
      <c r="V78" s="76" t="str">
        <f t="shared" si="15"/>
        <v/>
      </c>
      <c r="W78" s="43"/>
      <c r="X78" s="43"/>
      <c r="Y78" s="74"/>
    </row>
    <row r="79" ht="18" customHeight="1" spans="1:25">
      <c r="A79" s="74" t="str">
        <f t="shared" si="8"/>
        <v/>
      </c>
      <c r="B79" s="7"/>
      <c r="C79" s="43"/>
      <c r="D79" s="106"/>
      <c r="E79" s="43"/>
      <c r="F79" s="43"/>
      <c r="G79" s="43"/>
      <c r="H79" s="107"/>
      <c r="I79" s="107"/>
      <c r="J79" s="76" t="str">
        <f>IF($C79="","",ROUND(IFERROR(INDEX(期初余额!$I$4:$I$9,MATCH($C79,期初余额!$H$4:$H$9,0)),0)+SUMIFS($H$4:$H79,$C$4:$C79,$C79)-SUMIFS($I$4:$I79,$C$4:$C79,$C79),2))</f>
        <v/>
      </c>
      <c r="K79" s="111" t="str">
        <f>IF($T79&lt;&gt;"",$T79,IF($C79="","",IF(AND(N($I79)&gt;0,$G79&lt;&gt;""),IFERROR(INDEX(科目表!$U$4:$U$123,MATCH($G79,科目表!$M$4:$M$123,0)),"管理费用"),IF(N($H79)&gt;0,IFERROR(INDEX(自动规则!$C$4:$C$40,MATCH($F79,自动规则!$B$4:$B$40,0)),"其他应收款"),IFERROR(INDEX(自动规则!$D$4:$D$40,MATCH($F79,自动规则!$B$4:$B$40,0)),"其他应付款")))))</f>
        <v/>
      </c>
      <c r="L79" s="106"/>
      <c r="M79" s="75" t="str">
        <f>IF($C79="","",IFERROR(INDEX(科目表!$T$4:$T$9,MATCH($C79,科目表!$S$4:$S$9,0)),""))</f>
        <v/>
      </c>
      <c r="N79" s="75" t="str">
        <f t="shared" si="9"/>
        <v/>
      </c>
      <c r="O79" s="76" t="str">
        <f t="shared" si="10"/>
        <v/>
      </c>
      <c r="P79" s="76" t="str">
        <f t="shared" si="11"/>
        <v/>
      </c>
      <c r="Q79" s="75" t="str">
        <f t="shared" si="12"/>
        <v/>
      </c>
      <c r="R79" s="76" t="str">
        <f t="shared" si="13"/>
        <v/>
      </c>
      <c r="S79" s="76" t="str">
        <f t="shared" si="14"/>
        <v/>
      </c>
      <c r="T79" s="43"/>
      <c r="U79" s="107"/>
      <c r="V79" s="76" t="str">
        <f t="shared" si="15"/>
        <v/>
      </c>
      <c r="W79" s="43"/>
      <c r="X79" s="43"/>
      <c r="Y79" s="74"/>
    </row>
    <row r="80" ht="18" customHeight="1" spans="1:25">
      <c r="A80" s="74" t="str">
        <f t="shared" si="8"/>
        <v/>
      </c>
      <c r="B80" s="7"/>
      <c r="C80" s="43"/>
      <c r="D80" s="106"/>
      <c r="E80" s="43"/>
      <c r="F80" s="43"/>
      <c r="G80" s="43"/>
      <c r="H80" s="107"/>
      <c r="I80" s="107"/>
      <c r="J80" s="76" t="str">
        <f>IF($C80="","",ROUND(IFERROR(INDEX(期初余额!$I$4:$I$9,MATCH($C80,期初余额!$H$4:$H$9,0)),0)+SUMIFS($H$4:$H80,$C$4:$C80,$C80)-SUMIFS($I$4:$I80,$C$4:$C80,$C80),2))</f>
        <v/>
      </c>
      <c r="K80" s="111" t="str">
        <f>IF($T80&lt;&gt;"",$T80,IF($C80="","",IF(AND(N($I80)&gt;0,$G80&lt;&gt;""),IFERROR(INDEX(科目表!$U$4:$U$123,MATCH($G80,科目表!$M$4:$M$123,0)),"管理费用"),IF(N($H80)&gt;0,IFERROR(INDEX(自动规则!$C$4:$C$40,MATCH($F80,自动规则!$B$4:$B$40,0)),"其他应收款"),IFERROR(INDEX(自动规则!$D$4:$D$40,MATCH($F80,自动规则!$B$4:$B$40,0)),"其他应付款")))))</f>
        <v/>
      </c>
      <c r="L80" s="106"/>
      <c r="M80" s="75" t="str">
        <f>IF($C80="","",IFERROR(INDEX(科目表!$T$4:$T$9,MATCH($C80,科目表!$S$4:$S$9,0)),""))</f>
        <v/>
      </c>
      <c r="N80" s="75" t="str">
        <f t="shared" si="9"/>
        <v/>
      </c>
      <c r="O80" s="76" t="str">
        <f t="shared" si="10"/>
        <v/>
      </c>
      <c r="P80" s="76" t="str">
        <f t="shared" si="11"/>
        <v/>
      </c>
      <c r="Q80" s="75" t="str">
        <f t="shared" si="12"/>
        <v/>
      </c>
      <c r="R80" s="76" t="str">
        <f t="shared" si="13"/>
        <v/>
      </c>
      <c r="S80" s="76" t="str">
        <f t="shared" si="14"/>
        <v/>
      </c>
      <c r="T80" s="43"/>
      <c r="U80" s="107"/>
      <c r="V80" s="76" t="str">
        <f t="shared" si="15"/>
        <v/>
      </c>
      <c r="W80" s="43"/>
      <c r="X80" s="43"/>
      <c r="Y80" s="74"/>
    </row>
    <row r="81" ht="18" customHeight="1" spans="1:25">
      <c r="A81" s="74" t="str">
        <f t="shared" si="8"/>
        <v/>
      </c>
      <c r="B81" s="7"/>
      <c r="C81" s="43"/>
      <c r="D81" s="106"/>
      <c r="E81" s="43"/>
      <c r="F81" s="43"/>
      <c r="G81" s="43"/>
      <c r="H81" s="107"/>
      <c r="I81" s="107"/>
      <c r="J81" s="76" t="str">
        <f>IF($C81="","",ROUND(IFERROR(INDEX(期初余额!$I$4:$I$9,MATCH($C81,期初余额!$H$4:$H$9,0)),0)+SUMIFS($H$4:$H81,$C$4:$C81,$C81)-SUMIFS($I$4:$I81,$C$4:$C81,$C81),2))</f>
        <v/>
      </c>
      <c r="K81" s="111" t="str">
        <f>IF($T81&lt;&gt;"",$T81,IF($C81="","",IF(AND(N($I81)&gt;0,$G81&lt;&gt;""),IFERROR(INDEX(科目表!$U$4:$U$123,MATCH($G81,科目表!$M$4:$M$123,0)),"管理费用"),IF(N($H81)&gt;0,IFERROR(INDEX(自动规则!$C$4:$C$40,MATCH($F81,自动规则!$B$4:$B$40,0)),"其他应收款"),IFERROR(INDEX(自动规则!$D$4:$D$40,MATCH($F81,自动规则!$B$4:$B$40,0)),"其他应付款")))))</f>
        <v/>
      </c>
      <c r="L81" s="106"/>
      <c r="M81" s="75" t="str">
        <f>IF($C81="","",IFERROR(INDEX(科目表!$T$4:$T$9,MATCH($C81,科目表!$S$4:$S$9,0)),""))</f>
        <v/>
      </c>
      <c r="N81" s="75" t="str">
        <f t="shared" si="9"/>
        <v/>
      </c>
      <c r="O81" s="76" t="str">
        <f t="shared" si="10"/>
        <v/>
      </c>
      <c r="P81" s="76" t="str">
        <f t="shared" si="11"/>
        <v/>
      </c>
      <c r="Q81" s="75" t="str">
        <f t="shared" si="12"/>
        <v/>
      </c>
      <c r="R81" s="76" t="str">
        <f t="shared" si="13"/>
        <v/>
      </c>
      <c r="S81" s="76" t="str">
        <f t="shared" si="14"/>
        <v/>
      </c>
      <c r="T81" s="43"/>
      <c r="U81" s="107"/>
      <c r="V81" s="76" t="str">
        <f t="shared" si="15"/>
        <v/>
      </c>
      <c r="W81" s="43"/>
      <c r="X81" s="43"/>
      <c r="Y81" s="74"/>
    </row>
    <row r="82" ht="18" customHeight="1" spans="1:25">
      <c r="A82" s="74" t="str">
        <f t="shared" si="8"/>
        <v/>
      </c>
      <c r="B82" s="7"/>
      <c r="C82" s="43"/>
      <c r="D82" s="106"/>
      <c r="E82" s="43"/>
      <c r="F82" s="43"/>
      <c r="G82" s="43"/>
      <c r="H82" s="107"/>
      <c r="I82" s="107"/>
      <c r="J82" s="76" t="str">
        <f>IF($C82="","",ROUND(IFERROR(INDEX(期初余额!$I$4:$I$9,MATCH($C82,期初余额!$H$4:$H$9,0)),0)+SUMIFS($H$4:$H82,$C$4:$C82,$C82)-SUMIFS($I$4:$I82,$C$4:$C82,$C82),2))</f>
        <v/>
      </c>
      <c r="K82" s="111" t="str">
        <f>IF($T82&lt;&gt;"",$T82,IF($C82="","",IF(AND(N($I82)&gt;0,$G82&lt;&gt;""),IFERROR(INDEX(科目表!$U$4:$U$123,MATCH($G82,科目表!$M$4:$M$123,0)),"管理费用"),IF(N($H82)&gt;0,IFERROR(INDEX(自动规则!$C$4:$C$40,MATCH($F82,自动规则!$B$4:$B$40,0)),"其他应收款"),IFERROR(INDEX(自动规则!$D$4:$D$40,MATCH($F82,自动规则!$B$4:$B$40,0)),"其他应付款")))))</f>
        <v/>
      </c>
      <c r="L82" s="106"/>
      <c r="M82" s="75" t="str">
        <f>IF($C82="","",IFERROR(INDEX(科目表!$T$4:$T$9,MATCH($C82,科目表!$S$4:$S$9,0)),""))</f>
        <v/>
      </c>
      <c r="N82" s="75" t="str">
        <f t="shared" si="9"/>
        <v/>
      </c>
      <c r="O82" s="76" t="str">
        <f t="shared" si="10"/>
        <v/>
      </c>
      <c r="P82" s="76" t="str">
        <f t="shared" si="11"/>
        <v/>
      </c>
      <c r="Q82" s="75" t="str">
        <f t="shared" si="12"/>
        <v/>
      </c>
      <c r="R82" s="76" t="str">
        <f t="shared" si="13"/>
        <v/>
      </c>
      <c r="S82" s="76" t="str">
        <f t="shared" si="14"/>
        <v/>
      </c>
      <c r="T82" s="43"/>
      <c r="U82" s="107"/>
      <c r="V82" s="76" t="str">
        <f t="shared" si="15"/>
        <v/>
      </c>
      <c r="W82" s="43"/>
      <c r="X82" s="43"/>
      <c r="Y82" s="74"/>
    </row>
    <row r="83" ht="18" customHeight="1" spans="1:25">
      <c r="A83" s="74" t="str">
        <f t="shared" si="8"/>
        <v/>
      </c>
      <c r="B83" s="7"/>
      <c r="C83" s="43"/>
      <c r="D83" s="106"/>
      <c r="E83" s="43"/>
      <c r="F83" s="43"/>
      <c r="G83" s="43"/>
      <c r="H83" s="107"/>
      <c r="I83" s="107"/>
      <c r="J83" s="76" t="str">
        <f>IF($C83="","",ROUND(IFERROR(INDEX(期初余额!$I$4:$I$9,MATCH($C83,期初余额!$H$4:$H$9,0)),0)+SUMIFS($H$4:$H83,$C$4:$C83,$C83)-SUMIFS($I$4:$I83,$C$4:$C83,$C83),2))</f>
        <v/>
      </c>
      <c r="K83" s="111" t="str">
        <f>IF($T83&lt;&gt;"",$T83,IF($C83="","",IF(AND(N($I83)&gt;0,$G83&lt;&gt;""),IFERROR(INDEX(科目表!$U$4:$U$123,MATCH($G83,科目表!$M$4:$M$123,0)),"管理费用"),IF(N($H83)&gt;0,IFERROR(INDEX(自动规则!$C$4:$C$40,MATCH($F83,自动规则!$B$4:$B$40,0)),"其他应收款"),IFERROR(INDEX(自动规则!$D$4:$D$40,MATCH($F83,自动规则!$B$4:$B$40,0)),"其他应付款")))))</f>
        <v/>
      </c>
      <c r="L83" s="106"/>
      <c r="M83" s="75" t="str">
        <f>IF($C83="","",IFERROR(INDEX(科目表!$T$4:$T$9,MATCH($C83,科目表!$S$4:$S$9,0)),""))</f>
        <v/>
      </c>
      <c r="N83" s="75" t="str">
        <f t="shared" si="9"/>
        <v/>
      </c>
      <c r="O83" s="76" t="str">
        <f t="shared" si="10"/>
        <v/>
      </c>
      <c r="P83" s="76" t="str">
        <f t="shared" si="11"/>
        <v/>
      </c>
      <c r="Q83" s="75" t="str">
        <f t="shared" si="12"/>
        <v/>
      </c>
      <c r="R83" s="76" t="str">
        <f t="shared" si="13"/>
        <v/>
      </c>
      <c r="S83" s="76" t="str">
        <f t="shared" si="14"/>
        <v/>
      </c>
      <c r="T83" s="43"/>
      <c r="U83" s="107"/>
      <c r="V83" s="76" t="str">
        <f t="shared" si="15"/>
        <v/>
      </c>
      <c r="W83" s="43"/>
      <c r="X83" s="43"/>
      <c r="Y83" s="74"/>
    </row>
    <row r="84" ht="18" customHeight="1" spans="1:25">
      <c r="A84" s="74" t="str">
        <f t="shared" si="8"/>
        <v/>
      </c>
      <c r="B84" s="7"/>
      <c r="C84" s="43"/>
      <c r="D84" s="106"/>
      <c r="E84" s="43"/>
      <c r="F84" s="43"/>
      <c r="G84" s="43"/>
      <c r="H84" s="107"/>
      <c r="I84" s="107"/>
      <c r="J84" s="76" t="str">
        <f>IF($C84="","",ROUND(IFERROR(INDEX(期初余额!$I$4:$I$9,MATCH($C84,期初余额!$H$4:$H$9,0)),0)+SUMIFS($H$4:$H84,$C$4:$C84,$C84)-SUMIFS($I$4:$I84,$C$4:$C84,$C84),2))</f>
        <v/>
      </c>
      <c r="K84" s="111" t="str">
        <f>IF($T84&lt;&gt;"",$T84,IF($C84="","",IF(AND(N($I84)&gt;0,$G84&lt;&gt;""),IFERROR(INDEX(科目表!$U$4:$U$123,MATCH($G84,科目表!$M$4:$M$123,0)),"管理费用"),IF(N($H84)&gt;0,IFERROR(INDEX(自动规则!$C$4:$C$40,MATCH($F84,自动规则!$B$4:$B$40,0)),"其他应收款"),IFERROR(INDEX(自动规则!$D$4:$D$40,MATCH($F84,自动规则!$B$4:$B$40,0)),"其他应付款")))))</f>
        <v/>
      </c>
      <c r="L84" s="106"/>
      <c r="M84" s="75" t="str">
        <f>IF($C84="","",IFERROR(INDEX(科目表!$T$4:$T$9,MATCH($C84,科目表!$S$4:$S$9,0)),""))</f>
        <v/>
      </c>
      <c r="N84" s="75" t="str">
        <f t="shared" si="9"/>
        <v/>
      </c>
      <c r="O84" s="76" t="str">
        <f t="shared" si="10"/>
        <v/>
      </c>
      <c r="P84" s="76" t="str">
        <f t="shared" si="11"/>
        <v/>
      </c>
      <c r="Q84" s="75" t="str">
        <f t="shared" si="12"/>
        <v/>
      </c>
      <c r="R84" s="76" t="str">
        <f t="shared" si="13"/>
        <v/>
      </c>
      <c r="S84" s="76" t="str">
        <f t="shared" si="14"/>
        <v/>
      </c>
      <c r="T84" s="43"/>
      <c r="U84" s="107"/>
      <c r="V84" s="76" t="str">
        <f t="shared" si="15"/>
        <v/>
      </c>
      <c r="W84" s="43"/>
      <c r="X84" s="43"/>
      <c r="Y84" s="74"/>
    </row>
    <row r="85" ht="18" customHeight="1" spans="1:25">
      <c r="A85" s="74" t="str">
        <f t="shared" si="8"/>
        <v/>
      </c>
      <c r="B85" s="7"/>
      <c r="C85" s="43"/>
      <c r="D85" s="106"/>
      <c r="E85" s="43"/>
      <c r="F85" s="43"/>
      <c r="G85" s="43"/>
      <c r="H85" s="107"/>
      <c r="I85" s="107"/>
      <c r="J85" s="76" t="str">
        <f>IF($C85="","",ROUND(IFERROR(INDEX(期初余额!$I$4:$I$9,MATCH($C85,期初余额!$H$4:$H$9,0)),0)+SUMIFS($H$4:$H85,$C$4:$C85,$C85)-SUMIFS($I$4:$I85,$C$4:$C85,$C85),2))</f>
        <v/>
      </c>
      <c r="K85" s="111" t="str">
        <f>IF($T85&lt;&gt;"",$T85,IF($C85="","",IF(AND(N($I85)&gt;0,$G85&lt;&gt;""),IFERROR(INDEX(科目表!$U$4:$U$123,MATCH($G85,科目表!$M$4:$M$123,0)),"管理费用"),IF(N($H85)&gt;0,IFERROR(INDEX(自动规则!$C$4:$C$40,MATCH($F85,自动规则!$B$4:$B$40,0)),"其他应收款"),IFERROR(INDEX(自动规则!$D$4:$D$40,MATCH($F85,自动规则!$B$4:$B$40,0)),"其他应付款")))))</f>
        <v/>
      </c>
      <c r="L85" s="106"/>
      <c r="M85" s="75" t="str">
        <f>IF($C85="","",IFERROR(INDEX(科目表!$T$4:$T$9,MATCH($C85,科目表!$S$4:$S$9,0)),""))</f>
        <v/>
      </c>
      <c r="N85" s="75" t="str">
        <f t="shared" si="9"/>
        <v/>
      </c>
      <c r="O85" s="76" t="str">
        <f t="shared" si="10"/>
        <v/>
      </c>
      <c r="P85" s="76" t="str">
        <f t="shared" si="11"/>
        <v/>
      </c>
      <c r="Q85" s="75" t="str">
        <f t="shared" si="12"/>
        <v/>
      </c>
      <c r="R85" s="76" t="str">
        <f t="shared" si="13"/>
        <v/>
      </c>
      <c r="S85" s="76" t="str">
        <f t="shared" si="14"/>
        <v/>
      </c>
      <c r="T85" s="43"/>
      <c r="U85" s="107"/>
      <c r="V85" s="76" t="str">
        <f t="shared" si="15"/>
        <v/>
      </c>
      <c r="W85" s="43"/>
      <c r="X85" s="43"/>
      <c r="Y85" s="74"/>
    </row>
    <row r="86" ht="18" customHeight="1" spans="1:25">
      <c r="A86" s="74" t="str">
        <f t="shared" si="8"/>
        <v/>
      </c>
      <c r="B86" s="7"/>
      <c r="C86" s="43"/>
      <c r="D86" s="106"/>
      <c r="E86" s="43"/>
      <c r="F86" s="43"/>
      <c r="G86" s="43"/>
      <c r="H86" s="107"/>
      <c r="I86" s="107"/>
      <c r="J86" s="76" t="str">
        <f>IF($C86="","",ROUND(IFERROR(INDEX(期初余额!$I$4:$I$9,MATCH($C86,期初余额!$H$4:$H$9,0)),0)+SUMIFS($H$4:$H86,$C$4:$C86,$C86)-SUMIFS($I$4:$I86,$C$4:$C86,$C86),2))</f>
        <v/>
      </c>
      <c r="K86" s="111" t="str">
        <f>IF($T86&lt;&gt;"",$T86,IF($C86="","",IF(AND(N($I86)&gt;0,$G86&lt;&gt;""),IFERROR(INDEX(科目表!$U$4:$U$123,MATCH($G86,科目表!$M$4:$M$123,0)),"管理费用"),IF(N($H86)&gt;0,IFERROR(INDEX(自动规则!$C$4:$C$40,MATCH($F86,自动规则!$B$4:$B$40,0)),"其他应收款"),IFERROR(INDEX(自动规则!$D$4:$D$40,MATCH($F86,自动规则!$B$4:$B$40,0)),"其他应付款")))))</f>
        <v/>
      </c>
      <c r="L86" s="106"/>
      <c r="M86" s="75" t="str">
        <f>IF($C86="","",IFERROR(INDEX(科目表!$T$4:$T$9,MATCH($C86,科目表!$S$4:$S$9,0)),""))</f>
        <v/>
      </c>
      <c r="N86" s="75" t="str">
        <f t="shared" si="9"/>
        <v/>
      </c>
      <c r="O86" s="76" t="str">
        <f t="shared" si="10"/>
        <v/>
      </c>
      <c r="P86" s="76" t="str">
        <f t="shared" si="11"/>
        <v/>
      </c>
      <c r="Q86" s="75" t="str">
        <f t="shared" si="12"/>
        <v/>
      </c>
      <c r="R86" s="76" t="str">
        <f t="shared" si="13"/>
        <v/>
      </c>
      <c r="S86" s="76" t="str">
        <f t="shared" si="14"/>
        <v/>
      </c>
      <c r="T86" s="43"/>
      <c r="U86" s="107"/>
      <c r="V86" s="76" t="str">
        <f t="shared" si="15"/>
        <v/>
      </c>
      <c r="W86" s="43"/>
      <c r="X86" s="43"/>
      <c r="Y86" s="74"/>
    </row>
    <row r="87" ht="18" customHeight="1" spans="1:25">
      <c r="A87" s="74" t="str">
        <f t="shared" si="8"/>
        <v/>
      </c>
      <c r="B87" s="7"/>
      <c r="C87" s="43"/>
      <c r="D87" s="106"/>
      <c r="E87" s="43"/>
      <c r="F87" s="43"/>
      <c r="G87" s="43"/>
      <c r="H87" s="107"/>
      <c r="I87" s="107"/>
      <c r="J87" s="76" t="str">
        <f>IF($C87="","",ROUND(IFERROR(INDEX(期初余额!$I$4:$I$9,MATCH($C87,期初余额!$H$4:$H$9,0)),0)+SUMIFS($H$4:$H87,$C$4:$C87,$C87)-SUMIFS($I$4:$I87,$C$4:$C87,$C87),2))</f>
        <v/>
      </c>
      <c r="K87" s="111" t="str">
        <f>IF($T87&lt;&gt;"",$T87,IF($C87="","",IF(AND(N($I87)&gt;0,$G87&lt;&gt;""),IFERROR(INDEX(科目表!$U$4:$U$123,MATCH($G87,科目表!$M$4:$M$123,0)),"管理费用"),IF(N($H87)&gt;0,IFERROR(INDEX(自动规则!$C$4:$C$40,MATCH($F87,自动规则!$B$4:$B$40,0)),"其他应收款"),IFERROR(INDEX(自动规则!$D$4:$D$40,MATCH($F87,自动规则!$B$4:$B$40,0)),"其他应付款")))))</f>
        <v/>
      </c>
      <c r="L87" s="106"/>
      <c r="M87" s="75" t="str">
        <f>IF($C87="","",IFERROR(INDEX(科目表!$T$4:$T$9,MATCH($C87,科目表!$S$4:$S$9,0)),""))</f>
        <v/>
      </c>
      <c r="N87" s="75" t="str">
        <f t="shared" si="9"/>
        <v/>
      </c>
      <c r="O87" s="76" t="str">
        <f t="shared" si="10"/>
        <v/>
      </c>
      <c r="P87" s="76" t="str">
        <f t="shared" si="11"/>
        <v/>
      </c>
      <c r="Q87" s="75" t="str">
        <f t="shared" si="12"/>
        <v/>
      </c>
      <c r="R87" s="76" t="str">
        <f t="shared" si="13"/>
        <v/>
      </c>
      <c r="S87" s="76" t="str">
        <f t="shared" si="14"/>
        <v/>
      </c>
      <c r="T87" s="43"/>
      <c r="U87" s="107"/>
      <c r="V87" s="76" t="str">
        <f t="shared" si="15"/>
        <v/>
      </c>
      <c r="W87" s="43"/>
      <c r="X87" s="43"/>
      <c r="Y87" s="74"/>
    </row>
    <row r="88" ht="18" customHeight="1" spans="1:25">
      <c r="A88" s="74" t="str">
        <f t="shared" si="8"/>
        <v/>
      </c>
      <c r="B88" s="7"/>
      <c r="C88" s="43"/>
      <c r="D88" s="106"/>
      <c r="E88" s="43"/>
      <c r="F88" s="43"/>
      <c r="G88" s="43"/>
      <c r="H88" s="107"/>
      <c r="I88" s="107"/>
      <c r="J88" s="76" t="str">
        <f>IF($C88="","",ROUND(IFERROR(INDEX(期初余额!$I$4:$I$9,MATCH($C88,期初余额!$H$4:$H$9,0)),0)+SUMIFS($H$4:$H88,$C$4:$C88,$C88)-SUMIFS($I$4:$I88,$C$4:$C88,$C88),2))</f>
        <v/>
      </c>
      <c r="K88" s="111" t="str">
        <f>IF($T88&lt;&gt;"",$T88,IF($C88="","",IF(AND(N($I88)&gt;0,$G88&lt;&gt;""),IFERROR(INDEX(科目表!$U$4:$U$123,MATCH($G88,科目表!$M$4:$M$123,0)),"管理费用"),IF(N($H88)&gt;0,IFERROR(INDEX(自动规则!$C$4:$C$40,MATCH($F88,自动规则!$B$4:$B$40,0)),"其他应收款"),IFERROR(INDEX(自动规则!$D$4:$D$40,MATCH($F88,自动规则!$B$4:$B$40,0)),"其他应付款")))))</f>
        <v/>
      </c>
      <c r="L88" s="106"/>
      <c r="M88" s="75" t="str">
        <f>IF($C88="","",IFERROR(INDEX(科目表!$T$4:$T$9,MATCH($C88,科目表!$S$4:$S$9,0)),""))</f>
        <v/>
      </c>
      <c r="N88" s="75" t="str">
        <f t="shared" si="9"/>
        <v/>
      </c>
      <c r="O88" s="76" t="str">
        <f t="shared" si="10"/>
        <v/>
      </c>
      <c r="P88" s="76" t="str">
        <f t="shared" si="11"/>
        <v/>
      </c>
      <c r="Q88" s="75" t="str">
        <f t="shared" si="12"/>
        <v/>
      </c>
      <c r="R88" s="76" t="str">
        <f t="shared" si="13"/>
        <v/>
      </c>
      <c r="S88" s="76" t="str">
        <f t="shared" si="14"/>
        <v/>
      </c>
      <c r="T88" s="43"/>
      <c r="U88" s="107"/>
      <c r="V88" s="76" t="str">
        <f t="shared" si="15"/>
        <v/>
      </c>
      <c r="W88" s="43"/>
      <c r="X88" s="43"/>
      <c r="Y88" s="74"/>
    </row>
    <row r="89" ht="18" customHeight="1" spans="1:25">
      <c r="A89" s="74" t="str">
        <f t="shared" si="8"/>
        <v/>
      </c>
      <c r="B89" s="7"/>
      <c r="C89" s="43"/>
      <c r="D89" s="106"/>
      <c r="E89" s="43"/>
      <c r="F89" s="43"/>
      <c r="G89" s="43"/>
      <c r="H89" s="107"/>
      <c r="I89" s="107"/>
      <c r="J89" s="76" t="str">
        <f>IF($C89="","",ROUND(IFERROR(INDEX(期初余额!$I$4:$I$9,MATCH($C89,期初余额!$H$4:$H$9,0)),0)+SUMIFS($H$4:$H89,$C$4:$C89,$C89)-SUMIFS($I$4:$I89,$C$4:$C89,$C89),2))</f>
        <v/>
      </c>
      <c r="K89" s="111" t="str">
        <f>IF($T89&lt;&gt;"",$T89,IF($C89="","",IF(AND(N($I89)&gt;0,$G89&lt;&gt;""),IFERROR(INDEX(科目表!$U$4:$U$123,MATCH($G89,科目表!$M$4:$M$123,0)),"管理费用"),IF(N($H89)&gt;0,IFERROR(INDEX(自动规则!$C$4:$C$40,MATCH($F89,自动规则!$B$4:$B$40,0)),"其他应收款"),IFERROR(INDEX(自动规则!$D$4:$D$40,MATCH($F89,自动规则!$B$4:$B$40,0)),"其他应付款")))))</f>
        <v/>
      </c>
      <c r="L89" s="106"/>
      <c r="M89" s="75" t="str">
        <f>IF($C89="","",IFERROR(INDEX(科目表!$T$4:$T$9,MATCH($C89,科目表!$S$4:$S$9,0)),""))</f>
        <v/>
      </c>
      <c r="N89" s="75" t="str">
        <f t="shared" si="9"/>
        <v/>
      </c>
      <c r="O89" s="76" t="str">
        <f t="shared" si="10"/>
        <v/>
      </c>
      <c r="P89" s="76" t="str">
        <f t="shared" si="11"/>
        <v/>
      </c>
      <c r="Q89" s="75" t="str">
        <f t="shared" si="12"/>
        <v/>
      </c>
      <c r="R89" s="76" t="str">
        <f t="shared" si="13"/>
        <v/>
      </c>
      <c r="S89" s="76" t="str">
        <f t="shared" si="14"/>
        <v/>
      </c>
      <c r="T89" s="43"/>
      <c r="U89" s="107"/>
      <c r="V89" s="76" t="str">
        <f t="shared" si="15"/>
        <v/>
      </c>
      <c r="W89" s="43"/>
      <c r="X89" s="43"/>
      <c r="Y89" s="74"/>
    </row>
    <row r="90" ht="18" customHeight="1" spans="1:25">
      <c r="A90" s="74" t="str">
        <f t="shared" si="8"/>
        <v/>
      </c>
      <c r="B90" s="7"/>
      <c r="C90" s="43"/>
      <c r="D90" s="106"/>
      <c r="E90" s="43"/>
      <c r="F90" s="43"/>
      <c r="G90" s="43"/>
      <c r="H90" s="107"/>
      <c r="I90" s="107"/>
      <c r="J90" s="76" t="str">
        <f>IF($C90="","",ROUND(IFERROR(INDEX(期初余额!$I$4:$I$9,MATCH($C90,期初余额!$H$4:$H$9,0)),0)+SUMIFS($H$4:$H90,$C$4:$C90,$C90)-SUMIFS($I$4:$I90,$C$4:$C90,$C90),2))</f>
        <v/>
      </c>
      <c r="K90" s="111" t="str">
        <f>IF($T90&lt;&gt;"",$T90,IF($C90="","",IF(AND(N($I90)&gt;0,$G90&lt;&gt;""),IFERROR(INDEX(科目表!$U$4:$U$123,MATCH($G90,科目表!$M$4:$M$123,0)),"管理费用"),IF(N($H90)&gt;0,IFERROR(INDEX(自动规则!$C$4:$C$40,MATCH($F90,自动规则!$B$4:$B$40,0)),"其他应收款"),IFERROR(INDEX(自动规则!$D$4:$D$40,MATCH($F90,自动规则!$B$4:$B$40,0)),"其他应付款")))))</f>
        <v/>
      </c>
      <c r="L90" s="106"/>
      <c r="M90" s="75" t="str">
        <f>IF($C90="","",IFERROR(INDEX(科目表!$T$4:$T$9,MATCH($C90,科目表!$S$4:$S$9,0)),""))</f>
        <v/>
      </c>
      <c r="N90" s="75" t="str">
        <f t="shared" si="9"/>
        <v/>
      </c>
      <c r="O90" s="76" t="str">
        <f t="shared" si="10"/>
        <v/>
      </c>
      <c r="P90" s="76" t="str">
        <f t="shared" si="11"/>
        <v/>
      </c>
      <c r="Q90" s="75" t="str">
        <f t="shared" si="12"/>
        <v/>
      </c>
      <c r="R90" s="76" t="str">
        <f t="shared" si="13"/>
        <v/>
      </c>
      <c r="S90" s="76" t="str">
        <f t="shared" si="14"/>
        <v/>
      </c>
      <c r="T90" s="43"/>
      <c r="U90" s="107"/>
      <c r="V90" s="76" t="str">
        <f t="shared" si="15"/>
        <v/>
      </c>
      <c r="W90" s="43"/>
      <c r="X90" s="43"/>
      <c r="Y90" s="74"/>
    </row>
    <row r="91" ht="18" customHeight="1" spans="1:25">
      <c r="A91" s="74" t="str">
        <f t="shared" si="8"/>
        <v/>
      </c>
      <c r="B91" s="7"/>
      <c r="C91" s="43"/>
      <c r="D91" s="106"/>
      <c r="E91" s="43"/>
      <c r="F91" s="43"/>
      <c r="G91" s="43"/>
      <c r="H91" s="107"/>
      <c r="I91" s="107"/>
      <c r="J91" s="76" t="str">
        <f>IF($C91="","",ROUND(IFERROR(INDEX(期初余额!$I$4:$I$9,MATCH($C91,期初余额!$H$4:$H$9,0)),0)+SUMIFS($H$4:$H91,$C$4:$C91,$C91)-SUMIFS($I$4:$I91,$C$4:$C91,$C91),2))</f>
        <v/>
      </c>
      <c r="K91" s="111" t="str">
        <f>IF($T91&lt;&gt;"",$T91,IF($C91="","",IF(AND(N($I91)&gt;0,$G91&lt;&gt;""),IFERROR(INDEX(科目表!$U$4:$U$123,MATCH($G91,科目表!$M$4:$M$123,0)),"管理费用"),IF(N($H91)&gt;0,IFERROR(INDEX(自动规则!$C$4:$C$40,MATCH($F91,自动规则!$B$4:$B$40,0)),"其他应收款"),IFERROR(INDEX(自动规则!$D$4:$D$40,MATCH($F91,自动规则!$B$4:$B$40,0)),"其他应付款")))))</f>
        <v/>
      </c>
      <c r="L91" s="106"/>
      <c r="M91" s="75" t="str">
        <f>IF($C91="","",IFERROR(INDEX(科目表!$T$4:$T$9,MATCH($C91,科目表!$S$4:$S$9,0)),""))</f>
        <v/>
      </c>
      <c r="N91" s="75" t="str">
        <f t="shared" si="9"/>
        <v/>
      </c>
      <c r="O91" s="76" t="str">
        <f t="shared" si="10"/>
        <v/>
      </c>
      <c r="P91" s="76" t="str">
        <f t="shared" si="11"/>
        <v/>
      </c>
      <c r="Q91" s="75" t="str">
        <f t="shared" si="12"/>
        <v/>
      </c>
      <c r="R91" s="76" t="str">
        <f t="shared" si="13"/>
        <v/>
      </c>
      <c r="S91" s="76" t="str">
        <f t="shared" si="14"/>
        <v/>
      </c>
      <c r="T91" s="43"/>
      <c r="U91" s="107"/>
      <c r="V91" s="76" t="str">
        <f t="shared" si="15"/>
        <v/>
      </c>
      <c r="W91" s="43"/>
      <c r="X91" s="43"/>
      <c r="Y91" s="74"/>
    </row>
    <row r="92" ht="18" customHeight="1" spans="1:25">
      <c r="A92" s="74" t="str">
        <f t="shared" si="8"/>
        <v/>
      </c>
      <c r="B92" s="7"/>
      <c r="C92" s="43"/>
      <c r="D92" s="106"/>
      <c r="E92" s="43"/>
      <c r="F92" s="43"/>
      <c r="G92" s="43"/>
      <c r="H92" s="107"/>
      <c r="I92" s="107"/>
      <c r="J92" s="76" t="str">
        <f>IF($C92="","",ROUND(IFERROR(INDEX(期初余额!$I$4:$I$9,MATCH($C92,期初余额!$H$4:$H$9,0)),0)+SUMIFS($H$4:$H92,$C$4:$C92,$C92)-SUMIFS($I$4:$I92,$C$4:$C92,$C92),2))</f>
        <v/>
      </c>
      <c r="K92" s="111" t="str">
        <f>IF($T92&lt;&gt;"",$T92,IF($C92="","",IF(AND(N($I92)&gt;0,$G92&lt;&gt;""),IFERROR(INDEX(科目表!$U$4:$U$123,MATCH($G92,科目表!$M$4:$M$123,0)),"管理费用"),IF(N($H92)&gt;0,IFERROR(INDEX(自动规则!$C$4:$C$40,MATCH($F92,自动规则!$B$4:$B$40,0)),"其他应收款"),IFERROR(INDEX(自动规则!$D$4:$D$40,MATCH($F92,自动规则!$B$4:$B$40,0)),"其他应付款")))))</f>
        <v/>
      </c>
      <c r="L92" s="106"/>
      <c r="M92" s="75" t="str">
        <f>IF($C92="","",IFERROR(INDEX(科目表!$T$4:$T$9,MATCH($C92,科目表!$S$4:$S$9,0)),""))</f>
        <v/>
      </c>
      <c r="N92" s="75" t="str">
        <f t="shared" si="9"/>
        <v/>
      </c>
      <c r="O92" s="76" t="str">
        <f t="shared" si="10"/>
        <v/>
      </c>
      <c r="P92" s="76" t="str">
        <f t="shared" si="11"/>
        <v/>
      </c>
      <c r="Q92" s="75" t="str">
        <f t="shared" si="12"/>
        <v/>
      </c>
      <c r="R92" s="76" t="str">
        <f t="shared" si="13"/>
        <v/>
      </c>
      <c r="S92" s="76" t="str">
        <f t="shared" si="14"/>
        <v/>
      </c>
      <c r="T92" s="43"/>
      <c r="U92" s="107"/>
      <c r="V92" s="76" t="str">
        <f t="shared" si="15"/>
        <v/>
      </c>
      <c r="W92" s="43"/>
      <c r="X92" s="43"/>
      <c r="Y92" s="74"/>
    </row>
    <row r="93" ht="18" customHeight="1" spans="1:25">
      <c r="A93" s="74" t="str">
        <f t="shared" si="8"/>
        <v/>
      </c>
      <c r="B93" s="7"/>
      <c r="C93" s="43"/>
      <c r="D93" s="106"/>
      <c r="E93" s="43"/>
      <c r="F93" s="43"/>
      <c r="G93" s="43"/>
      <c r="H93" s="107"/>
      <c r="I93" s="107"/>
      <c r="J93" s="76" t="str">
        <f>IF($C93="","",ROUND(IFERROR(INDEX(期初余额!$I$4:$I$9,MATCH($C93,期初余额!$H$4:$H$9,0)),0)+SUMIFS($H$4:$H93,$C$4:$C93,$C93)-SUMIFS($I$4:$I93,$C$4:$C93,$C93),2))</f>
        <v/>
      </c>
      <c r="K93" s="111" t="str">
        <f>IF($T93&lt;&gt;"",$T93,IF($C93="","",IF(AND(N($I93)&gt;0,$G93&lt;&gt;""),IFERROR(INDEX(科目表!$U$4:$U$123,MATCH($G93,科目表!$M$4:$M$123,0)),"管理费用"),IF(N($H93)&gt;0,IFERROR(INDEX(自动规则!$C$4:$C$40,MATCH($F93,自动规则!$B$4:$B$40,0)),"其他应收款"),IFERROR(INDEX(自动规则!$D$4:$D$40,MATCH($F93,自动规则!$B$4:$B$40,0)),"其他应付款")))))</f>
        <v/>
      </c>
      <c r="L93" s="106"/>
      <c r="M93" s="75" t="str">
        <f>IF($C93="","",IFERROR(INDEX(科目表!$T$4:$T$9,MATCH($C93,科目表!$S$4:$S$9,0)),""))</f>
        <v/>
      </c>
      <c r="N93" s="75" t="str">
        <f t="shared" si="9"/>
        <v/>
      </c>
      <c r="O93" s="76" t="str">
        <f t="shared" si="10"/>
        <v/>
      </c>
      <c r="P93" s="76" t="str">
        <f t="shared" si="11"/>
        <v/>
      </c>
      <c r="Q93" s="75" t="str">
        <f t="shared" si="12"/>
        <v/>
      </c>
      <c r="R93" s="76" t="str">
        <f t="shared" si="13"/>
        <v/>
      </c>
      <c r="S93" s="76" t="str">
        <f t="shared" si="14"/>
        <v/>
      </c>
      <c r="T93" s="43"/>
      <c r="U93" s="107"/>
      <c r="V93" s="76" t="str">
        <f t="shared" si="15"/>
        <v/>
      </c>
      <c r="W93" s="43"/>
      <c r="X93" s="43"/>
      <c r="Y93" s="74"/>
    </row>
    <row r="94" ht="18" customHeight="1" spans="1:25">
      <c r="A94" s="74" t="str">
        <f t="shared" si="8"/>
        <v/>
      </c>
      <c r="B94" s="7"/>
      <c r="C94" s="43"/>
      <c r="D94" s="106"/>
      <c r="E94" s="43"/>
      <c r="F94" s="43"/>
      <c r="G94" s="43"/>
      <c r="H94" s="107"/>
      <c r="I94" s="107"/>
      <c r="J94" s="76" t="str">
        <f>IF($C94="","",ROUND(IFERROR(INDEX(期初余额!$I$4:$I$9,MATCH($C94,期初余额!$H$4:$H$9,0)),0)+SUMIFS($H$4:$H94,$C$4:$C94,$C94)-SUMIFS($I$4:$I94,$C$4:$C94,$C94),2))</f>
        <v/>
      </c>
      <c r="K94" s="111" t="str">
        <f>IF($T94&lt;&gt;"",$T94,IF($C94="","",IF(AND(N($I94)&gt;0,$G94&lt;&gt;""),IFERROR(INDEX(科目表!$U$4:$U$123,MATCH($G94,科目表!$M$4:$M$123,0)),"管理费用"),IF(N($H94)&gt;0,IFERROR(INDEX(自动规则!$C$4:$C$40,MATCH($F94,自动规则!$B$4:$B$40,0)),"其他应收款"),IFERROR(INDEX(自动规则!$D$4:$D$40,MATCH($F94,自动规则!$B$4:$B$40,0)),"其他应付款")))))</f>
        <v/>
      </c>
      <c r="L94" s="106"/>
      <c r="M94" s="75" t="str">
        <f>IF($C94="","",IFERROR(INDEX(科目表!$T$4:$T$9,MATCH($C94,科目表!$S$4:$S$9,0)),""))</f>
        <v/>
      </c>
      <c r="N94" s="75" t="str">
        <f t="shared" si="9"/>
        <v/>
      </c>
      <c r="O94" s="76" t="str">
        <f t="shared" si="10"/>
        <v/>
      </c>
      <c r="P94" s="76" t="str">
        <f t="shared" si="11"/>
        <v/>
      </c>
      <c r="Q94" s="75" t="str">
        <f t="shared" si="12"/>
        <v/>
      </c>
      <c r="R94" s="76" t="str">
        <f t="shared" si="13"/>
        <v/>
      </c>
      <c r="S94" s="76" t="str">
        <f t="shared" si="14"/>
        <v/>
      </c>
      <c r="T94" s="43"/>
      <c r="U94" s="107"/>
      <c r="V94" s="76" t="str">
        <f t="shared" si="15"/>
        <v/>
      </c>
      <c r="W94" s="43"/>
      <c r="X94" s="43"/>
      <c r="Y94" s="74"/>
    </row>
    <row r="95" ht="18" customHeight="1" spans="1:25">
      <c r="A95" s="74" t="str">
        <f t="shared" si="8"/>
        <v/>
      </c>
      <c r="B95" s="7"/>
      <c r="C95" s="43"/>
      <c r="D95" s="106"/>
      <c r="E95" s="43"/>
      <c r="F95" s="43"/>
      <c r="G95" s="43"/>
      <c r="H95" s="107"/>
      <c r="I95" s="107"/>
      <c r="J95" s="76" t="str">
        <f>IF($C95="","",ROUND(IFERROR(INDEX(期初余额!$I$4:$I$9,MATCH($C95,期初余额!$H$4:$H$9,0)),0)+SUMIFS($H$4:$H95,$C$4:$C95,$C95)-SUMIFS($I$4:$I95,$C$4:$C95,$C95),2))</f>
        <v/>
      </c>
      <c r="K95" s="111" t="str">
        <f>IF($T95&lt;&gt;"",$T95,IF($C95="","",IF(AND(N($I95)&gt;0,$G95&lt;&gt;""),IFERROR(INDEX(科目表!$U$4:$U$123,MATCH($G95,科目表!$M$4:$M$123,0)),"管理费用"),IF(N($H95)&gt;0,IFERROR(INDEX(自动规则!$C$4:$C$40,MATCH($F95,自动规则!$B$4:$B$40,0)),"其他应收款"),IFERROR(INDEX(自动规则!$D$4:$D$40,MATCH($F95,自动规则!$B$4:$B$40,0)),"其他应付款")))))</f>
        <v/>
      </c>
      <c r="L95" s="106"/>
      <c r="M95" s="75" t="str">
        <f>IF($C95="","",IFERROR(INDEX(科目表!$T$4:$T$9,MATCH($C95,科目表!$S$4:$S$9,0)),""))</f>
        <v/>
      </c>
      <c r="N95" s="75" t="str">
        <f t="shared" si="9"/>
        <v/>
      </c>
      <c r="O95" s="76" t="str">
        <f t="shared" si="10"/>
        <v/>
      </c>
      <c r="P95" s="76" t="str">
        <f t="shared" si="11"/>
        <v/>
      </c>
      <c r="Q95" s="75" t="str">
        <f t="shared" si="12"/>
        <v/>
      </c>
      <c r="R95" s="76" t="str">
        <f t="shared" si="13"/>
        <v/>
      </c>
      <c r="S95" s="76" t="str">
        <f t="shared" si="14"/>
        <v/>
      </c>
      <c r="T95" s="43"/>
      <c r="U95" s="107"/>
      <c r="V95" s="76" t="str">
        <f t="shared" si="15"/>
        <v/>
      </c>
      <c r="W95" s="43"/>
      <c r="X95" s="43"/>
      <c r="Y95" s="74"/>
    </row>
    <row r="96" ht="18" customHeight="1" spans="1:25">
      <c r="A96" s="74" t="str">
        <f t="shared" si="8"/>
        <v/>
      </c>
      <c r="B96" s="7"/>
      <c r="C96" s="43"/>
      <c r="D96" s="106"/>
      <c r="E96" s="43"/>
      <c r="F96" s="43"/>
      <c r="G96" s="43"/>
      <c r="H96" s="107"/>
      <c r="I96" s="107"/>
      <c r="J96" s="76" t="str">
        <f>IF($C96="","",ROUND(IFERROR(INDEX(期初余额!$I$4:$I$9,MATCH($C96,期初余额!$H$4:$H$9,0)),0)+SUMIFS($H$4:$H96,$C$4:$C96,$C96)-SUMIFS($I$4:$I96,$C$4:$C96,$C96),2))</f>
        <v/>
      </c>
      <c r="K96" s="111" t="str">
        <f>IF($T96&lt;&gt;"",$T96,IF($C96="","",IF(AND(N($I96)&gt;0,$G96&lt;&gt;""),IFERROR(INDEX(科目表!$U$4:$U$123,MATCH($G96,科目表!$M$4:$M$123,0)),"管理费用"),IF(N($H96)&gt;0,IFERROR(INDEX(自动规则!$C$4:$C$40,MATCH($F96,自动规则!$B$4:$B$40,0)),"其他应收款"),IFERROR(INDEX(自动规则!$D$4:$D$40,MATCH($F96,自动规则!$B$4:$B$40,0)),"其他应付款")))))</f>
        <v/>
      </c>
      <c r="L96" s="106"/>
      <c r="M96" s="75" t="str">
        <f>IF($C96="","",IFERROR(INDEX(科目表!$T$4:$T$9,MATCH($C96,科目表!$S$4:$S$9,0)),""))</f>
        <v/>
      </c>
      <c r="N96" s="75" t="str">
        <f t="shared" si="9"/>
        <v/>
      </c>
      <c r="O96" s="76" t="str">
        <f t="shared" si="10"/>
        <v/>
      </c>
      <c r="P96" s="76" t="str">
        <f t="shared" si="11"/>
        <v/>
      </c>
      <c r="Q96" s="75" t="str">
        <f t="shared" si="12"/>
        <v/>
      </c>
      <c r="R96" s="76" t="str">
        <f t="shared" si="13"/>
        <v/>
      </c>
      <c r="S96" s="76" t="str">
        <f t="shared" si="14"/>
        <v/>
      </c>
      <c r="T96" s="43"/>
      <c r="U96" s="107"/>
      <c r="V96" s="76" t="str">
        <f t="shared" si="15"/>
        <v/>
      </c>
      <c r="W96" s="43"/>
      <c r="X96" s="43"/>
      <c r="Y96" s="74"/>
    </row>
    <row r="97" ht="18" customHeight="1" spans="1:25">
      <c r="A97" s="74" t="str">
        <f t="shared" si="8"/>
        <v/>
      </c>
      <c r="B97" s="7"/>
      <c r="C97" s="43"/>
      <c r="D97" s="106"/>
      <c r="E97" s="43"/>
      <c r="F97" s="43"/>
      <c r="G97" s="43"/>
      <c r="H97" s="107"/>
      <c r="I97" s="107"/>
      <c r="J97" s="76" t="str">
        <f>IF($C97="","",ROUND(IFERROR(INDEX(期初余额!$I$4:$I$9,MATCH($C97,期初余额!$H$4:$H$9,0)),0)+SUMIFS($H$4:$H97,$C$4:$C97,$C97)-SUMIFS($I$4:$I97,$C$4:$C97,$C97),2))</f>
        <v/>
      </c>
      <c r="K97" s="111" t="str">
        <f>IF($T97&lt;&gt;"",$T97,IF($C97="","",IF(AND(N($I97)&gt;0,$G97&lt;&gt;""),IFERROR(INDEX(科目表!$U$4:$U$123,MATCH($G97,科目表!$M$4:$M$123,0)),"管理费用"),IF(N($H97)&gt;0,IFERROR(INDEX(自动规则!$C$4:$C$40,MATCH($F97,自动规则!$B$4:$B$40,0)),"其他应收款"),IFERROR(INDEX(自动规则!$D$4:$D$40,MATCH($F97,自动规则!$B$4:$B$40,0)),"其他应付款")))))</f>
        <v/>
      </c>
      <c r="L97" s="106"/>
      <c r="M97" s="75" t="str">
        <f>IF($C97="","",IFERROR(INDEX(科目表!$T$4:$T$9,MATCH($C97,科目表!$S$4:$S$9,0)),""))</f>
        <v/>
      </c>
      <c r="N97" s="75" t="str">
        <f t="shared" si="9"/>
        <v/>
      </c>
      <c r="O97" s="76" t="str">
        <f t="shared" si="10"/>
        <v/>
      </c>
      <c r="P97" s="76" t="str">
        <f t="shared" si="11"/>
        <v/>
      </c>
      <c r="Q97" s="75" t="str">
        <f t="shared" si="12"/>
        <v/>
      </c>
      <c r="R97" s="76" t="str">
        <f t="shared" si="13"/>
        <v/>
      </c>
      <c r="S97" s="76" t="str">
        <f t="shared" si="14"/>
        <v/>
      </c>
      <c r="T97" s="43"/>
      <c r="U97" s="107"/>
      <c r="V97" s="76" t="str">
        <f t="shared" si="15"/>
        <v/>
      </c>
      <c r="W97" s="43"/>
      <c r="X97" s="43"/>
      <c r="Y97" s="74"/>
    </row>
    <row r="98" ht="18" customHeight="1" spans="1:25">
      <c r="A98" s="74" t="str">
        <f t="shared" si="8"/>
        <v/>
      </c>
      <c r="B98" s="7"/>
      <c r="C98" s="43"/>
      <c r="D98" s="106"/>
      <c r="E98" s="43"/>
      <c r="F98" s="43"/>
      <c r="G98" s="43"/>
      <c r="H98" s="107"/>
      <c r="I98" s="107"/>
      <c r="J98" s="76" t="str">
        <f>IF($C98="","",ROUND(IFERROR(INDEX(期初余额!$I$4:$I$9,MATCH($C98,期初余额!$H$4:$H$9,0)),0)+SUMIFS($H$4:$H98,$C$4:$C98,$C98)-SUMIFS($I$4:$I98,$C$4:$C98,$C98),2))</f>
        <v/>
      </c>
      <c r="K98" s="111" t="str">
        <f>IF($T98&lt;&gt;"",$T98,IF($C98="","",IF(AND(N($I98)&gt;0,$G98&lt;&gt;""),IFERROR(INDEX(科目表!$U$4:$U$123,MATCH($G98,科目表!$M$4:$M$123,0)),"管理费用"),IF(N($H98)&gt;0,IFERROR(INDEX(自动规则!$C$4:$C$40,MATCH($F98,自动规则!$B$4:$B$40,0)),"其他应收款"),IFERROR(INDEX(自动规则!$D$4:$D$40,MATCH($F98,自动规则!$B$4:$B$40,0)),"其他应付款")))))</f>
        <v/>
      </c>
      <c r="L98" s="106"/>
      <c r="M98" s="75" t="str">
        <f>IF($C98="","",IFERROR(INDEX(科目表!$T$4:$T$9,MATCH($C98,科目表!$S$4:$S$9,0)),""))</f>
        <v/>
      </c>
      <c r="N98" s="75" t="str">
        <f t="shared" si="9"/>
        <v/>
      </c>
      <c r="O98" s="76" t="str">
        <f t="shared" si="10"/>
        <v/>
      </c>
      <c r="P98" s="76" t="str">
        <f t="shared" si="11"/>
        <v/>
      </c>
      <c r="Q98" s="75" t="str">
        <f t="shared" si="12"/>
        <v/>
      </c>
      <c r="R98" s="76" t="str">
        <f t="shared" si="13"/>
        <v/>
      </c>
      <c r="S98" s="76" t="str">
        <f t="shared" si="14"/>
        <v/>
      </c>
      <c r="T98" s="43"/>
      <c r="U98" s="107"/>
      <c r="V98" s="76" t="str">
        <f t="shared" si="15"/>
        <v/>
      </c>
      <c r="W98" s="43"/>
      <c r="X98" s="43"/>
      <c r="Y98" s="74"/>
    </row>
    <row r="99" ht="18" customHeight="1" spans="1:25">
      <c r="A99" s="74" t="str">
        <f t="shared" si="8"/>
        <v/>
      </c>
      <c r="B99" s="7"/>
      <c r="C99" s="43"/>
      <c r="D99" s="106"/>
      <c r="E99" s="43"/>
      <c r="F99" s="43"/>
      <c r="G99" s="43"/>
      <c r="H99" s="107"/>
      <c r="I99" s="107"/>
      <c r="J99" s="76" t="str">
        <f>IF($C99="","",ROUND(IFERROR(INDEX(期初余额!$I$4:$I$9,MATCH($C99,期初余额!$H$4:$H$9,0)),0)+SUMIFS($H$4:$H99,$C$4:$C99,$C99)-SUMIFS($I$4:$I99,$C$4:$C99,$C99),2))</f>
        <v/>
      </c>
      <c r="K99" s="111" t="str">
        <f>IF($T99&lt;&gt;"",$T99,IF($C99="","",IF(AND(N($I99)&gt;0,$G99&lt;&gt;""),IFERROR(INDEX(科目表!$U$4:$U$123,MATCH($G99,科目表!$M$4:$M$123,0)),"管理费用"),IF(N($H99)&gt;0,IFERROR(INDEX(自动规则!$C$4:$C$40,MATCH($F99,自动规则!$B$4:$B$40,0)),"其他应收款"),IFERROR(INDEX(自动规则!$D$4:$D$40,MATCH($F99,自动规则!$B$4:$B$40,0)),"其他应付款")))))</f>
        <v/>
      </c>
      <c r="L99" s="106"/>
      <c r="M99" s="75" t="str">
        <f>IF($C99="","",IFERROR(INDEX(科目表!$T$4:$T$9,MATCH($C99,科目表!$S$4:$S$9,0)),""))</f>
        <v/>
      </c>
      <c r="N99" s="75" t="str">
        <f t="shared" si="9"/>
        <v/>
      </c>
      <c r="O99" s="76" t="str">
        <f t="shared" si="10"/>
        <v/>
      </c>
      <c r="P99" s="76" t="str">
        <f t="shared" si="11"/>
        <v/>
      </c>
      <c r="Q99" s="75" t="str">
        <f t="shared" si="12"/>
        <v/>
      </c>
      <c r="R99" s="76" t="str">
        <f t="shared" si="13"/>
        <v/>
      </c>
      <c r="S99" s="76" t="str">
        <f t="shared" si="14"/>
        <v/>
      </c>
      <c r="T99" s="43"/>
      <c r="U99" s="107"/>
      <c r="V99" s="76" t="str">
        <f t="shared" si="15"/>
        <v/>
      </c>
      <c r="W99" s="43"/>
      <c r="X99" s="43"/>
      <c r="Y99" s="74"/>
    </row>
    <row r="100" ht="18" customHeight="1" spans="1:25">
      <c r="A100" s="74" t="str">
        <f t="shared" si="8"/>
        <v/>
      </c>
      <c r="B100" s="7"/>
      <c r="C100" s="43"/>
      <c r="D100" s="106"/>
      <c r="E100" s="43"/>
      <c r="F100" s="43"/>
      <c r="G100" s="43"/>
      <c r="H100" s="107"/>
      <c r="I100" s="107"/>
      <c r="J100" s="76" t="str">
        <f>IF($C100="","",ROUND(IFERROR(INDEX(期初余额!$I$4:$I$9,MATCH($C100,期初余额!$H$4:$H$9,0)),0)+SUMIFS($H$4:$H100,$C$4:$C100,$C100)-SUMIFS($I$4:$I100,$C$4:$C100,$C100),2))</f>
        <v/>
      </c>
      <c r="K100" s="111" t="str">
        <f>IF($T100&lt;&gt;"",$T100,IF($C100="","",IF(AND(N($I100)&gt;0,$G100&lt;&gt;""),IFERROR(INDEX(科目表!$U$4:$U$123,MATCH($G100,科目表!$M$4:$M$123,0)),"管理费用"),IF(N($H100)&gt;0,IFERROR(INDEX(自动规则!$C$4:$C$40,MATCH($F100,自动规则!$B$4:$B$40,0)),"其他应收款"),IFERROR(INDEX(自动规则!$D$4:$D$40,MATCH($F100,自动规则!$B$4:$B$40,0)),"其他应付款")))))</f>
        <v/>
      </c>
      <c r="L100" s="106"/>
      <c r="M100" s="75" t="str">
        <f>IF($C100="","",IFERROR(INDEX(科目表!$T$4:$T$9,MATCH($C100,科目表!$S$4:$S$9,0)),""))</f>
        <v/>
      </c>
      <c r="N100" s="75" t="str">
        <f t="shared" si="9"/>
        <v/>
      </c>
      <c r="O100" s="76" t="str">
        <f t="shared" si="10"/>
        <v/>
      </c>
      <c r="P100" s="76" t="str">
        <f t="shared" si="11"/>
        <v/>
      </c>
      <c r="Q100" s="75" t="str">
        <f t="shared" si="12"/>
        <v/>
      </c>
      <c r="R100" s="76" t="str">
        <f t="shared" si="13"/>
        <v/>
      </c>
      <c r="S100" s="76" t="str">
        <f t="shared" si="14"/>
        <v/>
      </c>
      <c r="T100" s="43"/>
      <c r="U100" s="107"/>
      <c r="V100" s="76" t="str">
        <f t="shared" si="15"/>
        <v/>
      </c>
      <c r="W100" s="43"/>
      <c r="X100" s="43"/>
      <c r="Y100" s="74"/>
    </row>
    <row r="101" ht="18" customHeight="1" spans="1:25">
      <c r="A101" s="74" t="str">
        <f t="shared" si="8"/>
        <v/>
      </c>
      <c r="B101" s="7"/>
      <c r="C101" s="43"/>
      <c r="D101" s="106"/>
      <c r="E101" s="43"/>
      <c r="F101" s="43"/>
      <c r="G101" s="43"/>
      <c r="H101" s="107"/>
      <c r="I101" s="107"/>
      <c r="J101" s="76" t="str">
        <f>IF($C101="","",ROUND(IFERROR(INDEX(期初余额!$I$4:$I$9,MATCH($C101,期初余额!$H$4:$H$9,0)),0)+SUMIFS($H$4:$H101,$C$4:$C101,$C101)-SUMIFS($I$4:$I101,$C$4:$C101,$C101),2))</f>
        <v/>
      </c>
      <c r="K101" s="111" t="str">
        <f>IF($T101&lt;&gt;"",$T101,IF($C101="","",IF(AND(N($I101)&gt;0,$G101&lt;&gt;""),IFERROR(INDEX(科目表!$U$4:$U$123,MATCH($G101,科目表!$M$4:$M$123,0)),"管理费用"),IF(N($H101)&gt;0,IFERROR(INDEX(自动规则!$C$4:$C$40,MATCH($F101,自动规则!$B$4:$B$40,0)),"其他应收款"),IFERROR(INDEX(自动规则!$D$4:$D$40,MATCH($F101,自动规则!$B$4:$B$40,0)),"其他应付款")))))</f>
        <v/>
      </c>
      <c r="L101" s="106"/>
      <c r="M101" s="75" t="str">
        <f>IF($C101="","",IFERROR(INDEX(科目表!$T$4:$T$9,MATCH($C101,科目表!$S$4:$S$9,0)),""))</f>
        <v/>
      </c>
      <c r="N101" s="75" t="str">
        <f t="shared" si="9"/>
        <v/>
      </c>
      <c r="O101" s="76" t="str">
        <f t="shared" si="10"/>
        <v/>
      </c>
      <c r="P101" s="76" t="str">
        <f t="shared" si="11"/>
        <v/>
      </c>
      <c r="Q101" s="75" t="str">
        <f t="shared" si="12"/>
        <v/>
      </c>
      <c r="R101" s="76" t="str">
        <f t="shared" si="13"/>
        <v/>
      </c>
      <c r="S101" s="76" t="str">
        <f t="shared" si="14"/>
        <v/>
      </c>
      <c r="T101" s="43"/>
      <c r="U101" s="107"/>
      <c r="V101" s="76" t="str">
        <f t="shared" si="15"/>
        <v/>
      </c>
      <c r="W101" s="43"/>
      <c r="X101" s="43"/>
      <c r="Y101" s="74"/>
    </row>
    <row r="102" ht="18" customHeight="1" spans="1:25">
      <c r="A102" s="74" t="str">
        <f t="shared" si="8"/>
        <v/>
      </c>
      <c r="B102" s="7"/>
      <c r="C102" s="43"/>
      <c r="D102" s="106"/>
      <c r="E102" s="43"/>
      <c r="F102" s="43"/>
      <c r="G102" s="43"/>
      <c r="H102" s="107"/>
      <c r="I102" s="107"/>
      <c r="J102" s="76" t="str">
        <f>IF($C102="","",ROUND(IFERROR(INDEX(期初余额!$I$4:$I$9,MATCH($C102,期初余额!$H$4:$H$9,0)),0)+SUMIFS($H$4:$H102,$C$4:$C102,$C102)-SUMIFS($I$4:$I102,$C$4:$C102,$C102),2))</f>
        <v/>
      </c>
      <c r="K102" s="111" t="str">
        <f>IF($T102&lt;&gt;"",$T102,IF($C102="","",IF(AND(N($I102)&gt;0,$G102&lt;&gt;""),IFERROR(INDEX(科目表!$U$4:$U$123,MATCH($G102,科目表!$M$4:$M$123,0)),"管理费用"),IF(N($H102)&gt;0,IFERROR(INDEX(自动规则!$C$4:$C$40,MATCH($F102,自动规则!$B$4:$B$40,0)),"其他应收款"),IFERROR(INDEX(自动规则!$D$4:$D$40,MATCH($F102,自动规则!$B$4:$B$40,0)),"其他应付款")))))</f>
        <v/>
      </c>
      <c r="L102" s="106"/>
      <c r="M102" s="75" t="str">
        <f>IF($C102="","",IFERROR(INDEX(科目表!$T$4:$T$9,MATCH($C102,科目表!$S$4:$S$9,0)),""))</f>
        <v/>
      </c>
      <c r="N102" s="75" t="str">
        <f t="shared" si="9"/>
        <v/>
      </c>
      <c r="O102" s="76" t="str">
        <f t="shared" si="10"/>
        <v/>
      </c>
      <c r="P102" s="76" t="str">
        <f t="shared" si="11"/>
        <v/>
      </c>
      <c r="Q102" s="75" t="str">
        <f t="shared" si="12"/>
        <v/>
      </c>
      <c r="R102" s="76" t="str">
        <f t="shared" si="13"/>
        <v/>
      </c>
      <c r="S102" s="76" t="str">
        <f t="shared" si="14"/>
        <v/>
      </c>
      <c r="T102" s="43"/>
      <c r="U102" s="107"/>
      <c r="V102" s="76" t="str">
        <f t="shared" si="15"/>
        <v/>
      </c>
      <c r="W102" s="43"/>
      <c r="X102" s="43"/>
      <c r="Y102" s="74"/>
    </row>
    <row r="103" ht="18" customHeight="1" spans="1:25">
      <c r="A103" s="74" t="str">
        <f t="shared" si="8"/>
        <v/>
      </c>
      <c r="B103" s="7"/>
      <c r="C103" s="43"/>
      <c r="D103" s="106"/>
      <c r="E103" s="43"/>
      <c r="F103" s="43"/>
      <c r="G103" s="43"/>
      <c r="H103" s="107"/>
      <c r="I103" s="107"/>
      <c r="J103" s="76" t="str">
        <f>IF($C103="","",ROUND(IFERROR(INDEX(期初余额!$I$4:$I$9,MATCH($C103,期初余额!$H$4:$H$9,0)),0)+SUMIFS($H$4:$H103,$C$4:$C103,$C103)-SUMIFS($I$4:$I103,$C$4:$C103,$C103),2))</f>
        <v/>
      </c>
      <c r="K103" s="111" t="str">
        <f>IF($T103&lt;&gt;"",$T103,IF($C103="","",IF(AND(N($I103)&gt;0,$G103&lt;&gt;""),IFERROR(INDEX(科目表!$U$4:$U$123,MATCH($G103,科目表!$M$4:$M$123,0)),"管理费用"),IF(N($H103)&gt;0,IFERROR(INDEX(自动规则!$C$4:$C$40,MATCH($F103,自动规则!$B$4:$B$40,0)),"其他应收款"),IFERROR(INDEX(自动规则!$D$4:$D$40,MATCH($F103,自动规则!$B$4:$B$40,0)),"其他应付款")))))</f>
        <v/>
      </c>
      <c r="L103" s="106"/>
      <c r="M103" s="75" t="str">
        <f>IF($C103="","",IFERROR(INDEX(科目表!$T$4:$T$9,MATCH($C103,科目表!$S$4:$S$9,0)),""))</f>
        <v/>
      </c>
      <c r="N103" s="75" t="str">
        <f t="shared" si="9"/>
        <v/>
      </c>
      <c r="O103" s="76" t="str">
        <f t="shared" si="10"/>
        <v/>
      </c>
      <c r="P103" s="76" t="str">
        <f t="shared" si="11"/>
        <v/>
      </c>
      <c r="Q103" s="75" t="str">
        <f t="shared" si="12"/>
        <v/>
      </c>
      <c r="R103" s="76" t="str">
        <f t="shared" si="13"/>
        <v/>
      </c>
      <c r="S103" s="76" t="str">
        <f t="shared" si="14"/>
        <v/>
      </c>
      <c r="T103" s="43"/>
      <c r="U103" s="107"/>
      <c r="V103" s="76" t="str">
        <f t="shared" si="15"/>
        <v/>
      </c>
      <c r="W103" s="43"/>
      <c r="X103" s="43"/>
      <c r="Y103" s="74"/>
    </row>
    <row r="104" ht="18" customHeight="1" spans="1:25">
      <c r="A104" s="74" t="str">
        <f t="shared" si="8"/>
        <v/>
      </c>
      <c r="B104" s="7"/>
      <c r="C104" s="43"/>
      <c r="D104" s="106"/>
      <c r="E104" s="43"/>
      <c r="F104" s="43"/>
      <c r="G104" s="43"/>
      <c r="H104" s="107"/>
      <c r="I104" s="107"/>
      <c r="J104" s="76" t="str">
        <f>IF($C104="","",ROUND(IFERROR(INDEX(期初余额!$I$4:$I$9,MATCH($C104,期初余额!$H$4:$H$9,0)),0)+SUMIFS($H$4:$H104,$C$4:$C104,$C104)-SUMIFS($I$4:$I104,$C$4:$C104,$C104),2))</f>
        <v/>
      </c>
      <c r="K104" s="111" t="str">
        <f>IF($T104&lt;&gt;"",$T104,IF($C104="","",IF(AND(N($I104)&gt;0,$G104&lt;&gt;""),IFERROR(INDEX(科目表!$U$4:$U$123,MATCH($G104,科目表!$M$4:$M$123,0)),"管理费用"),IF(N($H104)&gt;0,IFERROR(INDEX(自动规则!$C$4:$C$40,MATCH($F104,自动规则!$B$4:$B$40,0)),"其他应收款"),IFERROR(INDEX(自动规则!$D$4:$D$40,MATCH($F104,自动规则!$B$4:$B$40,0)),"其他应付款")))))</f>
        <v/>
      </c>
      <c r="L104" s="106"/>
      <c r="M104" s="75" t="str">
        <f>IF($C104="","",IFERROR(INDEX(科目表!$T$4:$T$9,MATCH($C104,科目表!$S$4:$S$9,0)),""))</f>
        <v/>
      </c>
      <c r="N104" s="75" t="str">
        <f t="shared" si="9"/>
        <v/>
      </c>
      <c r="O104" s="76" t="str">
        <f t="shared" si="10"/>
        <v/>
      </c>
      <c r="P104" s="76" t="str">
        <f t="shared" si="11"/>
        <v/>
      </c>
      <c r="Q104" s="75" t="str">
        <f t="shared" si="12"/>
        <v/>
      </c>
      <c r="R104" s="76" t="str">
        <f t="shared" si="13"/>
        <v/>
      </c>
      <c r="S104" s="76" t="str">
        <f t="shared" si="14"/>
        <v/>
      </c>
      <c r="T104" s="43"/>
      <c r="U104" s="107"/>
      <c r="V104" s="76" t="str">
        <f t="shared" si="15"/>
        <v/>
      </c>
      <c r="W104" s="43"/>
      <c r="X104" s="43"/>
      <c r="Y104" s="74"/>
    </row>
    <row r="105" ht="18" customHeight="1" spans="1:25">
      <c r="A105" s="74" t="str">
        <f t="shared" si="8"/>
        <v/>
      </c>
      <c r="B105" s="7"/>
      <c r="C105" s="43"/>
      <c r="D105" s="106"/>
      <c r="E105" s="43"/>
      <c r="F105" s="43"/>
      <c r="G105" s="43"/>
      <c r="H105" s="107"/>
      <c r="I105" s="107"/>
      <c r="J105" s="76" t="str">
        <f>IF($C105="","",ROUND(IFERROR(INDEX(期初余额!$I$4:$I$9,MATCH($C105,期初余额!$H$4:$H$9,0)),0)+SUMIFS($H$4:$H105,$C$4:$C105,$C105)-SUMIFS($I$4:$I105,$C$4:$C105,$C105),2))</f>
        <v/>
      </c>
      <c r="K105" s="111" t="str">
        <f>IF($T105&lt;&gt;"",$T105,IF($C105="","",IF(AND(N($I105)&gt;0,$G105&lt;&gt;""),IFERROR(INDEX(科目表!$U$4:$U$123,MATCH($G105,科目表!$M$4:$M$123,0)),"管理费用"),IF(N($H105)&gt;0,IFERROR(INDEX(自动规则!$C$4:$C$40,MATCH($F105,自动规则!$B$4:$B$40,0)),"其他应收款"),IFERROR(INDEX(自动规则!$D$4:$D$40,MATCH($F105,自动规则!$B$4:$B$40,0)),"其他应付款")))))</f>
        <v/>
      </c>
      <c r="L105" s="106"/>
      <c r="M105" s="75" t="str">
        <f>IF($C105="","",IFERROR(INDEX(科目表!$T$4:$T$9,MATCH($C105,科目表!$S$4:$S$9,0)),""))</f>
        <v/>
      </c>
      <c r="N105" s="75" t="str">
        <f t="shared" si="9"/>
        <v/>
      </c>
      <c r="O105" s="76" t="str">
        <f t="shared" si="10"/>
        <v/>
      </c>
      <c r="P105" s="76" t="str">
        <f t="shared" si="11"/>
        <v/>
      </c>
      <c r="Q105" s="75" t="str">
        <f t="shared" si="12"/>
        <v/>
      </c>
      <c r="R105" s="76" t="str">
        <f t="shared" si="13"/>
        <v/>
      </c>
      <c r="S105" s="76" t="str">
        <f t="shared" si="14"/>
        <v/>
      </c>
      <c r="T105" s="43"/>
      <c r="U105" s="107"/>
      <c r="V105" s="76" t="str">
        <f t="shared" si="15"/>
        <v/>
      </c>
      <c r="W105" s="43"/>
      <c r="X105" s="43"/>
      <c r="Y105" s="74"/>
    </row>
    <row r="106" ht="18" customHeight="1" spans="1:25">
      <c r="A106" s="74" t="str">
        <f t="shared" si="8"/>
        <v/>
      </c>
      <c r="B106" s="7"/>
      <c r="C106" s="43"/>
      <c r="D106" s="106"/>
      <c r="E106" s="43"/>
      <c r="F106" s="43"/>
      <c r="G106" s="43"/>
      <c r="H106" s="107"/>
      <c r="I106" s="107"/>
      <c r="J106" s="76" t="str">
        <f>IF($C106="","",ROUND(IFERROR(INDEX(期初余额!$I$4:$I$9,MATCH($C106,期初余额!$H$4:$H$9,0)),0)+SUMIFS($H$4:$H106,$C$4:$C106,$C106)-SUMIFS($I$4:$I106,$C$4:$C106,$C106),2))</f>
        <v/>
      </c>
      <c r="K106" s="111" t="str">
        <f>IF($T106&lt;&gt;"",$T106,IF($C106="","",IF(AND(N($I106)&gt;0,$G106&lt;&gt;""),IFERROR(INDEX(科目表!$U$4:$U$123,MATCH($G106,科目表!$M$4:$M$123,0)),"管理费用"),IF(N($H106)&gt;0,IFERROR(INDEX(自动规则!$C$4:$C$40,MATCH($F106,自动规则!$B$4:$B$40,0)),"其他应收款"),IFERROR(INDEX(自动规则!$D$4:$D$40,MATCH($F106,自动规则!$B$4:$B$40,0)),"其他应付款")))))</f>
        <v/>
      </c>
      <c r="L106" s="106"/>
      <c r="M106" s="75" t="str">
        <f>IF($C106="","",IFERROR(INDEX(科目表!$T$4:$T$9,MATCH($C106,科目表!$S$4:$S$9,0)),""))</f>
        <v/>
      </c>
      <c r="N106" s="75" t="str">
        <f t="shared" si="9"/>
        <v/>
      </c>
      <c r="O106" s="76" t="str">
        <f t="shared" si="10"/>
        <v/>
      </c>
      <c r="P106" s="76" t="str">
        <f t="shared" si="11"/>
        <v/>
      </c>
      <c r="Q106" s="75" t="str">
        <f t="shared" si="12"/>
        <v/>
      </c>
      <c r="R106" s="76" t="str">
        <f t="shared" si="13"/>
        <v/>
      </c>
      <c r="S106" s="76" t="str">
        <f t="shared" si="14"/>
        <v/>
      </c>
      <c r="T106" s="43"/>
      <c r="U106" s="107"/>
      <c r="V106" s="76" t="str">
        <f t="shared" si="15"/>
        <v/>
      </c>
      <c r="W106" s="43"/>
      <c r="X106" s="43"/>
      <c r="Y106" s="74"/>
    </row>
    <row r="107" ht="18" customHeight="1" spans="1:25">
      <c r="A107" s="74" t="str">
        <f t="shared" si="8"/>
        <v/>
      </c>
      <c r="B107" s="7"/>
      <c r="C107" s="43"/>
      <c r="D107" s="106"/>
      <c r="E107" s="43"/>
      <c r="F107" s="43"/>
      <c r="G107" s="43"/>
      <c r="H107" s="107"/>
      <c r="I107" s="107"/>
      <c r="J107" s="76" t="str">
        <f>IF($C107="","",ROUND(IFERROR(INDEX(期初余额!$I$4:$I$9,MATCH($C107,期初余额!$H$4:$H$9,0)),0)+SUMIFS($H$4:$H107,$C$4:$C107,$C107)-SUMIFS($I$4:$I107,$C$4:$C107,$C107),2))</f>
        <v/>
      </c>
      <c r="K107" s="111" t="str">
        <f>IF($T107&lt;&gt;"",$T107,IF($C107="","",IF(AND(N($I107)&gt;0,$G107&lt;&gt;""),IFERROR(INDEX(科目表!$U$4:$U$123,MATCH($G107,科目表!$M$4:$M$123,0)),"管理费用"),IF(N($H107)&gt;0,IFERROR(INDEX(自动规则!$C$4:$C$40,MATCH($F107,自动规则!$B$4:$B$40,0)),"其他应收款"),IFERROR(INDEX(自动规则!$D$4:$D$40,MATCH($F107,自动规则!$B$4:$B$40,0)),"其他应付款")))))</f>
        <v/>
      </c>
      <c r="L107" s="106"/>
      <c r="M107" s="75" t="str">
        <f>IF($C107="","",IFERROR(INDEX(科目表!$T$4:$T$9,MATCH($C107,科目表!$S$4:$S$9,0)),""))</f>
        <v/>
      </c>
      <c r="N107" s="75" t="str">
        <f t="shared" si="9"/>
        <v/>
      </c>
      <c r="O107" s="76" t="str">
        <f t="shared" si="10"/>
        <v/>
      </c>
      <c r="P107" s="76" t="str">
        <f t="shared" si="11"/>
        <v/>
      </c>
      <c r="Q107" s="75" t="str">
        <f t="shared" si="12"/>
        <v/>
      </c>
      <c r="R107" s="76" t="str">
        <f t="shared" si="13"/>
        <v/>
      </c>
      <c r="S107" s="76" t="str">
        <f t="shared" si="14"/>
        <v/>
      </c>
      <c r="T107" s="43"/>
      <c r="U107" s="107"/>
      <c r="V107" s="76" t="str">
        <f t="shared" si="15"/>
        <v/>
      </c>
      <c r="W107" s="43"/>
      <c r="X107" s="43"/>
      <c r="Y107" s="74"/>
    </row>
    <row r="108" ht="18" customHeight="1" spans="1:25">
      <c r="A108" s="74" t="str">
        <f t="shared" si="8"/>
        <v/>
      </c>
      <c r="B108" s="7"/>
      <c r="C108" s="43"/>
      <c r="D108" s="106"/>
      <c r="E108" s="43"/>
      <c r="F108" s="43"/>
      <c r="G108" s="43"/>
      <c r="H108" s="107"/>
      <c r="I108" s="107"/>
      <c r="J108" s="76" t="str">
        <f>IF($C108="","",ROUND(IFERROR(INDEX(期初余额!$I$4:$I$9,MATCH($C108,期初余额!$H$4:$H$9,0)),0)+SUMIFS($H$4:$H108,$C$4:$C108,$C108)-SUMIFS($I$4:$I108,$C$4:$C108,$C108),2))</f>
        <v/>
      </c>
      <c r="K108" s="111" t="str">
        <f>IF($T108&lt;&gt;"",$T108,IF($C108="","",IF(AND(N($I108)&gt;0,$G108&lt;&gt;""),IFERROR(INDEX(科目表!$U$4:$U$123,MATCH($G108,科目表!$M$4:$M$123,0)),"管理费用"),IF(N($H108)&gt;0,IFERROR(INDEX(自动规则!$C$4:$C$40,MATCH($F108,自动规则!$B$4:$B$40,0)),"其他应收款"),IFERROR(INDEX(自动规则!$D$4:$D$40,MATCH($F108,自动规则!$B$4:$B$40,0)),"其他应付款")))))</f>
        <v/>
      </c>
      <c r="L108" s="106"/>
      <c r="M108" s="75" t="str">
        <f>IF($C108="","",IFERROR(INDEX(科目表!$T$4:$T$9,MATCH($C108,科目表!$S$4:$S$9,0)),""))</f>
        <v/>
      </c>
      <c r="N108" s="75" t="str">
        <f t="shared" si="9"/>
        <v/>
      </c>
      <c r="O108" s="76" t="str">
        <f t="shared" si="10"/>
        <v/>
      </c>
      <c r="P108" s="76" t="str">
        <f t="shared" si="11"/>
        <v/>
      </c>
      <c r="Q108" s="75" t="str">
        <f t="shared" si="12"/>
        <v/>
      </c>
      <c r="R108" s="76" t="str">
        <f t="shared" si="13"/>
        <v/>
      </c>
      <c r="S108" s="76" t="str">
        <f t="shared" si="14"/>
        <v/>
      </c>
      <c r="T108" s="43"/>
      <c r="U108" s="107"/>
      <c r="V108" s="76" t="str">
        <f t="shared" si="15"/>
        <v/>
      </c>
      <c r="W108" s="43"/>
      <c r="X108" s="43"/>
      <c r="Y108" s="74"/>
    </row>
    <row r="109" ht="18" customHeight="1" spans="1:25">
      <c r="A109" s="74" t="str">
        <f t="shared" si="8"/>
        <v/>
      </c>
      <c r="B109" s="7"/>
      <c r="C109" s="43"/>
      <c r="D109" s="106"/>
      <c r="E109" s="43"/>
      <c r="F109" s="43"/>
      <c r="G109" s="43"/>
      <c r="H109" s="107"/>
      <c r="I109" s="107"/>
      <c r="J109" s="76" t="str">
        <f>IF($C109="","",ROUND(IFERROR(INDEX(期初余额!$I$4:$I$9,MATCH($C109,期初余额!$H$4:$H$9,0)),0)+SUMIFS($H$4:$H109,$C$4:$C109,$C109)-SUMIFS($I$4:$I109,$C$4:$C109,$C109),2))</f>
        <v/>
      </c>
      <c r="K109" s="111" t="str">
        <f>IF($T109&lt;&gt;"",$T109,IF($C109="","",IF(AND(N($I109)&gt;0,$G109&lt;&gt;""),IFERROR(INDEX(科目表!$U$4:$U$123,MATCH($G109,科目表!$M$4:$M$123,0)),"管理费用"),IF(N($H109)&gt;0,IFERROR(INDEX(自动规则!$C$4:$C$40,MATCH($F109,自动规则!$B$4:$B$40,0)),"其他应收款"),IFERROR(INDEX(自动规则!$D$4:$D$40,MATCH($F109,自动规则!$B$4:$B$40,0)),"其他应付款")))))</f>
        <v/>
      </c>
      <c r="L109" s="106"/>
      <c r="M109" s="75" t="str">
        <f>IF($C109="","",IFERROR(INDEX(科目表!$T$4:$T$9,MATCH($C109,科目表!$S$4:$S$9,0)),""))</f>
        <v/>
      </c>
      <c r="N109" s="75" t="str">
        <f t="shared" si="9"/>
        <v/>
      </c>
      <c r="O109" s="76" t="str">
        <f t="shared" si="10"/>
        <v/>
      </c>
      <c r="P109" s="76" t="str">
        <f t="shared" si="11"/>
        <v/>
      </c>
      <c r="Q109" s="75" t="str">
        <f t="shared" si="12"/>
        <v/>
      </c>
      <c r="R109" s="76" t="str">
        <f t="shared" si="13"/>
        <v/>
      </c>
      <c r="S109" s="76" t="str">
        <f t="shared" si="14"/>
        <v/>
      </c>
      <c r="T109" s="43"/>
      <c r="U109" s="107"/>
      <c r="V109" s="76" t="str">
        <f t="shared" si="15"/>
        <v/>
      </c>
      <c r="W109" s="43"/>
      <c r="X109" s="43"/>
      <c r="Y109" s="74"/>
    </row>
    <row r="110" ht="18" customHeight="1" spans="1:25">
      <c r="A110" s="74" t="str">
        <f t="shared" si="8"/>
        <v/>
      </c>
      <c r="B110" s="7"/>
      <c r="C110" s="43"/>
      <c r="D110" s="106"/>
      <c r="E110" s="43"/>
      <c r="F110" s="43"/>
      <c r="G110" s="43"/>
      <c r="H110" s="107"/>
      <c r="I110" s="107"/>
      <c r="J110" s="76" t="str">
        <f>IF($C110="","",ROUND(IFERROR(INDEX(期初余额!$I$4:$I$9,MATCH($C110,期初余额!$H$4:$H$9,0)),0)+SUMIFS($H$4:$H110,$C$4:$C110,$C110)-SUMIFS($I$4:$I110,$C$4:$C110,$C110),2))</f>
        <v/>
      </c>
      <c r="K110" s="111" t="str">
        <f>IF($T110&lt;&gt;"",$T110,IF($C110="","",IF(AND(N($I110)&gt;0,$G110&lt;&gt;""),IFERROR(INDEX(科目表!$U$4:$U$123,MATCH($G110,科目表!$M$4:$M$123,0)),"管理费用"),IF(N($H110)&gt;0,IFERROR(INDEX(自动规则!$C$4:$C$40,MATCH($F110,自动规则!$B$4:$B$40,0)),"其他应收款"),IFERROR(INDEX(自动规则!$D$4:$D$40,MATCH($F110,自动规则!$B$4:$B$40,0)),"其他应付款")))))</f>
        <v/>
      </c>
      <c r="L110" s="106"/>
      <c r="M110" s="75" t="str">
        <f>IF($C110="","",IFERROR(INDEX(科目表!$T$4:$T$9,MATCH($C110,科目表!$S$4:$S$9,0)),""))</f>
        <v/>
      </c>
      <c r="N110" s="75" t="str">
        <f t="shared" si="9"/>
        <v/>
      </c>
      <c r="O110" s="76" t="str">
        <f t="shared" si="10"/>
        <v/>
      </c>
      <c r="P110" s="76" t="str">
        <f t="shared" si="11"/>
        <v/>
      </c>
      <c r="Q110" s="75" t="str">
        <f t="shared" si="12"/>
        <v/>
      </c>
      <c r="R110" s="76" t="str">
        <f t="shared" si="13"/>
        <v/>
      </c>
      <c r="S110" s="76" t="str">
        <f t="shared" si="14"/>
        <v/>
      </c>
      <c r="T110" s="43"/>
      <c r="U110" s="107"/>
      <c r="V110" s="76" t="str">
        <f t="shared" si="15"/>
        <v/>
      </c>
      <c r="W110" s="43"/>
      <c r="X110" s="43"/>
      <c r="Y110" s="74"/>
    </row>
    <row r="111" ht="18" customHeight="1" spans="1:25">
      <c r="A111" s="74" t="str">
        <f t="shared" si="8"/>
        <v/>
      </c>
      <c r="B111" s="7"/>
      <c r="C111" s="43"/>
      <c r="D111" s="106"/>
      <c r="E111" s="43"/>
      <c r="F111" s="43"/>
      <c r="G111" s="43"/>
      <c r="H111" s="107"/>
      <c r="I111" s="107"/>
      <c r="J111" s="76" t="str">
        <f>IF($C111="","",ROUND(IFERROR(INDEX(期初余额!$I$4:$I$9,MATCH($C111,期初余额!$H$4:$H$9,0)),0)+SUMIFS($H$4:$H111,$C$4:$C111,$C111)-SUMIFS($I$4:$I111,$C$4:$C111,$C111),2))</f>
        <v/>
      </c>
      <c r="K111" s="111" t="str">
        <f>IF($T111&lt;&gt;"",$T111,IF($C111="","",IF(AND(N($I111)&gt;0,$G111&lt;&gt;""),IFERROR(INDEX(科目表!$U$4:$U$123,MATCH($G111,科目表!$M$4:$M$123,0)),"管理费用"),IF(N($H111)&gt;0,IFERROR(INDEX(自动规则!$C$4:$C$40,MATCH($F111,自动规则!$B$4:$B$40,0)),"其他应收款"),IFERROR(INDEX(自动规则!$D$4:$D$40,MATCH($F111,自动规则!$B$4:$B$40,0)),"其他应付款")))))</f>
        <v/>
      </c>
      <c r="L111" s="106"/>
      <c r="M111" s="75" t="str">
        <f>IF($C111="","",IFERROR(INDEX(科目表!$T$4:$T$9,MATCH($C111,科目表!$S$4:$S$9,0)),""))</f>
        <v/>
      </c>
      <c r="N111" s="75" t="str">
        <f t="shared" si="9"/>
        <v/>
      </c>
      <c r="O111" s="76" t="str">
        <f t="shared" si="10"/>
        <v/>
      </c>
      <c r="P111" s="76" t="str">
        <f t="shared" si="11"/>
        <v/>
      </c>
      <c r="Q111" s="75" t="str">
        <f t="shared" si="12"/>
        <v/>
      </c>
      <c r="R111" s="76" t="str">
        <f t="shared" si="13"/>
        <v/>
      </c>
      <c r="S111" s="76" t="str">
        <f t="shared" si="14"/>
        <v/>
      </c>
      <c r="T111" s="43"/>
      <c r="U111" s="107"/>
      <c r="V111" s="76" t="str">
        <f t="shared" si="15"/>
        <v/>
      </c>
      <c r="W111" s="43"/>
      <c r="X111" s="43"/>
      <c r="Y111" s="74"/>
    </row>
    <row r="112" ht="18" customHeight="1" spans="1:25">
      <c r="A112" s="74" t="str">
        <f t="shared" si="8"/>
        <v/>
      </c>
      <c r="B112" s="7"/>
      <c r="C112" s="43"/>
      <c r="D112" s="106"/>
      <c r="E112" s="43"/>
      <c r="F112" s="43"/>
      <c r="G112" s="43"/>
      <c r="H112" s="107"/>
      <c r="I112" s="107"/>
      <c r="J112" s="76" t="str">
        <f>IF($C112="","",ROUND(IFERROR(INDEX(期初余额!$I$4:$I$9,MATCH($C112,期初余额!$H$4:$H$9,0)),0)+SUMIFS($H$4:$H112,$C$4:$C112,$C112)-SUMIFS($I$4:$I112,$C$4:$C112,$C112),2))</f>
        <v/>
      </c>
      <c r="K112" s="111" t="str">
        <f>IF($T112&lt;&gt;"",$T112,IF($C112="","",IF(AND(N($I112)&gt;0,$G112&lt;&gt;""),IFERROR(INDEX(科目表!$U$4:$U$123,MATCH($G112,科目表!$M$4:$M$123,0)),"管理费用"),IF(N($H112)&gt;0,IFERROR(INDEX(自动规则!$C$4:$C$40,MATCH($F112,自动规则!$B$4:$B$40,0)),"其他应收款"),IFERROR(INDEX(自动规则!$D$4:$D$40,MATCH($F112,自动规则!$B$4:$B$40,0)),"其他应付款")))))</f>
        <v/>
      </c>
      <c r="L112" s="106"/>
      <c r="M112" s="75" t="str">
        <f>IF($C112="","",IFERROR(INDEX(科目表!$T$4:$T$9,MATCH($C112,科目表!$S$4:$S$9,0)),""))</f>
        <v/>
      </c>
      <c r="N112" s="75" t="str">
        <f t="shared" si="9"/>
        <v/>
      </c>
      <c r="O112" s="76" t="str">
        <f t="shared" si="10"/>
        <v/>
      </c>
      <c r="P112" s="76" t="str">
        <f t="shared" si="11"/>
        <v/>
      </c>
      <c r="Q112" s="75" t="str">
        <f t="shared" si="12"/>
        <v/>
      </c>
      <c r="R112" s="76" t="str">
        <f t="shared" si="13"/>
        <v/>
      </c>
      <c r="S112" s="76" t="str">
        <f t="shared" si="14"/>
        <v/>
      </c>
      <c r="T112" s="43"/>
      <c r="U112" s="107"/>
      <c r="V112" s="76" t="str">
        <f t="shared" si="15"/>
        <v/>
      </c>
      <c r="W112" s="43"/>
      <c r="X112" s="43"/>
      <c r="Y112" s="74"/>
    </row>
    <row r="113" ht="18" customHeight="1" spans="1:25">
      <c r="A113" s="74" t="str">
        <f t="shared" si="8"/>
        <v/>
      </c>
      <c r="B113" s="7"/>
      <c r="C113" s="43"/>
      <c r="D113" s="106"/>
      <c r="E113" s="43"/>
      <c r="F113" s="43"/>
      <c r="G113" s="43"/>
      <c r="H113" s="107"/>
      <c r="I113" s="107"/>
      <c r="J113" s="76" t="str">
        <f>IF($C113="","",ROUND(IFERROR(INDEX(期初余额!$I$4:$I$9,MATCH($C113,期初余额!$H$4:$H$9,0)),0)+SUMIFS($H$4:$H113,$C$4:$C113,$C113)-SUMIFS($I$4:$I113,$C$4:$C113,$C113),2))</f>
        <v/>
      </c>
      <c r="K113" s="111" t="str">
        <f>IF($T113&lt;&gt;"",$T113,IF($C113="","",IF(AND(N($I113)&gt;0,$G113&lt;&gt;""),IFERROR(INDEX(科目表!$U$4:$U$123,MATCH($G113,科目表!$M$4:$M$123,0)),"管理费用"),IF(N($H113)&gt;0,IFERROR(INDEX(自动规则!$C$4:$C$40,MATCH($F113,自动规则!$B$4:$B$40,0)),"其他应收款"),IFERROR(INDEX(自动规则!$D$4:$D$40,MATCH($F113,自动规则!$B$4:$B$40,0)),"其他应付款")))))</f>
        <v/>
      </c>
      <c r="L113" s="106"/>
      <c r="M113" s="75" t="str">
        <f>IF($C113="","",IFERROR(INDEX(科目表!$T$4:$T$9,MATCH($C113,科目表!$S$4:$S$9,0)),""))</f>
        <v/>
      </c>
      <c r="N113" s="75" t="str">
        <f t="shared" si="9"/>
        <v/>
      </c>
      <c r="O113" s="76" t="str">
        <f t="shared" si="10"/>
        <v/>
      </c>
      <c r="P113" s="76" t="str">
        <f t="shared" si="11"/>
        <v/>
      </c>
      <c r="Q113" s="75" t="str">
        <f t="shared" si="12"/>
        <v/>
      </c>
      <c r="R113" s="76" t="str">
        <f t="shared" si="13"/>
        <v/>
      </c>
      <c r="S113" s="76" t="str">
        <f t="shared" si="14"/>
        <v/>
      </c>
      <c r="T113" s="43"/>
      <c r="U113" s="107"/>
      <c r="V113" s="76" t="str">
        <f t="shared" si="15"/>
        <v/>
      </c>
      <c r="W113" s="43"/>
      <c r="X113" s="43"/>
      <c r="Y113" s="74"/>
    </row>
    <row r="114" ht="18" customHeight="1" spans="1:25">
      <c r="A114" s="74" t="str">
        <f t="shared" si="8"/>
        <v/>
      </c>
      <c r="B114" s="7"/>
      <c r="C114" s="43"/>
      <c r="D114" s="106"/>
      <c r="E114" s="43"/>
      <c r="F114" s="43"/>
      <c r="G114" s="43"/>
      <c r="H114" s="107"/>
      <c r="I114" s="107"/>
      <c r="J114" s="76" t="str">
        <f>IF($C114="","",ROUND(IFERROR(INDEX(期初余额!$I$4:$I$9,MATCH($C114,期初余额!$H$4:$H$9,0)),0)+SUMIFS($H$4:$H114,$C$4:$C114,$C114)-SUMIFS($I$4:$I114,$C$4:$C114,$C114),2))</f>
        <v/>
      </c>
      <c r="K114" s="111" t="str">
        <f>IF($T114&lt;&gt;"",$T114,IF($C114="","",IF(AND(N($I114)&gt;0,$G114&lt;&gt;""),IFERROR(INDEX(科目表!$U$4:$U$123,MATCH($G114,科目表!$M$4:$M$123,0)),"管理费用"),IF(N($H114)&gt;0,IFERROR(INDEX(自动规则!$C$4:$C$40,MATCH($F114,自动规则!$B$4:$B$40,0)),"其他应收款"),IFERROR(INDEX(自动规则!$D$4:$D$40,MATCH($F114,自动规则!$B$4:$B$40,0)),"其他应付款")))))</f>
        <v/>
      </c>
      <c r="L114" s="106"/>
      <c r="M114" s="75" t="str">
        <f>IF($C114="","",IFERROR(INDEX(科目表!$T$4:$T$9,MATCH($C114,科目表!$S$4:$S$9,0)),""))</f>
        <v/>
      </c>
      <c r="N114" s="75" t="str">
        <f t="shared" si="9"/>
        <v/>
      </c>
      <c r="O114" s="76" t="str">
        <f t="shared" si="10"/>
        <v/>
      </c>
      <c r="P114" s="76" t="str">
        <f t="shared" si="11"/>
        <v/>
      </c>
      <c r="Q114" s="75" t="str">
        <f t="shared" si="12"/>
        <v/>
      </c>
      <c r="R114" s="76" t="str">
        <f t="shared" si="13"/>
        <v/>
      </c>
      <c r="S114" s="76" t="str">
        <f t="shared" si="14"/>
        <v/>
      </c>
      <c r="T114" s="43"/>
      <c r="U114" s="107"/>
      <c r="V114" s="76" t="str">
        <f t="shared" si="15"/>
        <v/>
      </c>
      <c r="W114" s="43"/>
      <c r="X114" s="43"/>
      <c r="Y114" s="74"/>
    </row>
    <row r="115" ht="18" customHeight="1" spans="1:25">
      <c r="A115" s="74" t="str">
        <f t="shared" si="8"/>
        <v/>
      </c>
      <c r="B115" s="7"/>
      <c r="C115" s="43"/>
      <c r="D115" s="106"/>
      <c r="E115" s="43"/>
      <c r="F115" s="43"/>
      <c r="G115" s="43"/>
      <c r="H115" s="107"/>
      <c r="I115" s="107"/>
      <c r="J115" s="76" t="str">
        <f>IF($C115="","",ROUND(IFERROR(INDEX(期初余额!$I$4:$I$9,MATCH($C115,期初余额!$H$4:$H$9,0)),0)+SUMIFS($H$4:$H115,$C$4:$C115,$C115)-SUMIFS($I$4:$I115,$C$4:$C115,$C115),2))</f>
        <v/>
      </c>
      <c r="K115" s="111" t="str">
        <f>IF($T115&lt;&gt;"",$T115,IF($C115="","",IF(AND(N($I115)&gt;0,$G115&lt;&gt;""),IFERROR(INDEX(科目表!$U$4:$U$123,MATCH($G115,科目表!$M$4:$M$123,0)),"管理费用"),IF(N($H115)&gt;0,IFERROR(INDEX(自动规则!$C$4:$C$40,MATCH($F115,自动规则!$B$4:$B$40,0)),"其他应收款"),IFERROR(INDEX(自动规则!$D$4:$D$40,MATCH($F115,自动规则!$B$4:$B$40,0)),"其他应付款")))))</f>
        <v/>
      </c>
      <c r="L115" s="106"/>
      <c r="M115" s="75" t="str">
        <f>IF($C115="","",IFERROR(INDEX(科目表!$T$4:$T$9,MATCH($C115,科目表!$S$4:$S$9,0)),""))</f>
        <v/>
      </c>
      <c r="N115" s="75" t="str">
        <f t="shared" si="9"/>
        <v/>
      </c>
      <c r="O115" s="76" t="str">
        <f t="shared" si="10"/>
        <v/>
      </c>
      <c r="P115" s="76" t="str">
        <f t="shared" si="11"/>
        <v/>
      </c>
      <c r="Q115" s="75" t="str">
        <f t="shared" si="12"/>
        <v/>
      </c>
      <c r="R115" s="76" t="str">
        <f t="shared" si="13"/>
        <v/>
      </c>
      <c r="S115" s="76" t="str">
        <f t="shared" si="14"/>
        <v/>
      </c>
      <c r="T115" s="43"/>
      <c r="U115" s="107"/>
      <c r="V115" s="76" t="str">
        <f t="shared" si="15"/>
        <v/>
      </c>
      <c r="W115" s="43"/>
      <c r="X115" s="43"/>
      <c r="Y115" s="74"/>
    </row>
    <row r="116" ht="18" customHeight="1" spans="1:25">
      <c r="A116" s="74" t="str">
        <f t="shared" si="8"/>
        <v/>
      </c>
      <c r="B116" s="7"/>
      <c r="C116" s="43"/>
      <c r="D116" s="106"/>
      <c r="E116" s="43"/>
      <c r="F116" s="43"/>
      <c r="G116" s="43"/>
      <c r="H116" s="107"/>
      <c r="I116" s="107"/>
      <c r="J116" s="76" t="str">
        <f>IF($C116="","",ROUND(IFERROR(INDEX(期初余额!$I$4:$I$9,MATCH($C116,期初余额!$H$4:$H$9,0)),0)+SUMIFS($H$4:$H116,$C$4:$C116,$C116)-SUMIFS($I$4:$I116,$C$4:$C116,$C116),2))</f>
        <v/>
      </c>
      <c r="K116" s="111" t="str">
        <f>IF($T116&lt;&gt;"",$T116,IF($C116="","",IF(AND(N($I116)&gt;0,$G116&lt;&gt;""),IFERROR(INDEX(科目表!$U$4:$U$123,MATCH($G116,科目表!$M$4:$M$123,0)),"管理费用"),IF(N($H116)&gt;0,IFERROR(INDEX(自动规则!$C$4:$C$40,MATCH($F116,自动规则!$B$4:$B$40,0)),"其他应收款"),IFERROR(INDEX(自动规则!$D$4:$D$40,MATCH($F116,自动规则!$B$4:$B$40,0)),"其他应付款")))))</f>
        <v/>
      </c>
      <c r="L116" s="106"/>
      <c r="M116" s="75" t="str">
        <f>IF($C116="","",IFERROR(INDEX(科目表!$T$4:$T$9,MATCH($C116,科目表!$S$4:$S$9,0)),""))</f>
        <v/>
      </c>
      <c r="N116" s="75" t="str">
        <f t="shared" si="9"/>
        <v/>
      </c>
      <c r="O116" s="76" t="str">
        <f t="shared" si="10"/>
        <v/>
      </c>
      <c r="P116" s="76" t="str">
        <f t="shared" si="11"/>
        <v/>
      </c>
      <c r="Q116" s="75" t="str">
        <f t="shared" si="12"/>
        <v/>
      </c>
      <c r="R116" s="76" t="str">
        <f t="shared" si="13"/>
        <v/>
      </c>
      <c r="S116" s="76" t="str">
        <f t="shared" si="14"/>
        <v/>
      </c>
      <c r="T116" s="43"/>
      <c r="U116" s="107"/>
      <c r="V116" s="76" t="str">
        <f t="shared" si="15"/>
        <v/>
      </c>
      <c r="W116" s="43"/>
      <c r="X116" s="43"/>
      <c r="Y116" s="74"/>
    </row>
    <row r="117" ht="18" customHeight="1" spans="1:25">
      <c r="A117" s="74" t="str">
        <f t="shared" si="8"/>
        <v/>
      </c>
      <c r="B117" s="7"/>
      <c r="C117" s="43"/>
      <c r="D117" s="106"/>
      <c r="E117" s="43"/>
      <c r="F117" s="43"/>
      <c r="G117" s="43"/>
      <c r="H117" s="107"/>
      <c r="I117" s="107"/>
      <c r="J117" s="76" t="str">
        <f>IF($C117="","",ROUND(IFERROR(INDEX(期初余额!$I$4:$I$9,MATCH($C117,期初余额!$H$4:$H$9,0)),0)+SUMIFS($H$4:$H117,$C$4:$C117,$C117)-SUMIFS($I$4:$I117,$C$4:$C117,$C117),2))</f>
        <v/>
      </c>
      <c r="K117" s="111" t="str">
        <f>IF($T117&lt;&gt;"",$T117,IF($C117="","",IF(AND(N($I117)&gt;0,$G117&lt;&gt;""),IFERROR(INDEX(科目表!$U$4:$U$123,MATCH($G117,科目表!$M$4:$M$123,0)),"管理费用"),IF(N($H117)&gt;0,IFERROR(INDEX(自动规则!$C$4:$C$40,MATCH($F117,自动规则!$B$4:$B$40,0)),"其他应收款"),IFERROR(INDEX(自动规则!$D$4:$D$40,MATCH($F117,自动规则!$B$4:$B$40,0)),"其他应付款")))))</f>
        <v/>
      </c>
      <c r="L117" s="106"/>
      <c r="M117" s="75" t="str">
        <f>IF($C117="","",IFERROR(INDEX(科目表!$T$4:$T$9,MATCH($C117,科目表!$S$4:$S$9,0)),""))</f>
        <v/>
      </c>
      <c r="N117" s="75" t="str">
        <f t="shared" si="9"/>
        <v/>
      </c>
      <c r="O117" s="76" t="str">
        <f t="shared" si="10"/>
        <v/>
      </c>
      <c r="P117" s="76" t="str">
        <f t="shared" si="11"/>
        <v/>
      </c>
      <c r="Q117" s="75" t="str">
        <f t="shared" si="12"/>
        <v/>
      </c>
      <c r="R117" s="76" t="str">
        <f t="shared" si="13"/>
        <v/>
      </c>
      <c r="S117" s="76" t="str">
        <f t="shared" si="14"/>
        <v/>
      </c>
      <c r="T117" s="43"/>
      <c r="U117" s="107"/>
      <c r="V117" s="76" t="str">
        <f t="shared" si="15"/>
        <v/>
      </c>
      <c r="W117" s="43"/>
      <c r="X117" s="43"/>
      <c r="Y117" s="74"/>
    </row>
    <row r="118" ht="18" customHeight="1" spans="1:25">
      <c r="A118" s="74" t="str">
        <f t="shared" si="8"/>
        <v/>
      </c>
      <c r="B118" s="7"/>
      <c r="C118" s="43"/>
      <c r="D118" s="106"/>
      <c r="E118" s="43"/>
      <c r="F118" s="43"/>
      <c r="G118" s="43"/>
      <c r="H118" s="107"/>
      <c r="I118" s="107"/>
      <c r="J118" s="76" t="str">
        <f>IF($C118="","",ROUND(IFERROR(INDEX(期初余额!$I$4:$I$9,MATCH($C118,期初余额!$H$4:$H$9,0)),0)+SUMIFS($H$4:$H118,$C$4:$C118,$C118)-SUMIFS($I$4:$I118,$C$4:$C118,$C118),2))</f>
        <v/>
      </c>
      <c r="K118" s="111" t="str">
        <f>IF($T118&lt;&gt;"",$T118,IF($C118="","",IF(AND(N($I118)&gt;0,$G118&lt;&gt;""),IFERROR(INDEX(科目表!$U$4:$U$123,MATCH($G118,科目表!$M$4:$M$123,0)),"管理费用"),IF(N($H118)&gt;0,IFERROR(INDEX(自动规则!$C$4:$C$40,MATCH($F118,自动规则!$B$4:$B$40,0)),"其他应收款"),IFERROR(INDEX(自动规则!$D$4:$D$40,MATCH($F118,自动规则!$B$4:$B$40,0)),"其他应付款")))))</f>
        <v/>
      </c>
      <c r="L118" s="106"/>
      <c r="M118" s="75" t="str">
        <f>IF($C118="","",IFERROR(INDEX(科目表!$T$4:$T$9,MATCH($C118,科目表!$S$4:$S$9,0)),""))</f>
        <v/>
      </c>
      <c r="N118" s="75" t="str">
        <f t="shared" si="9"/>
        <v/>
      </c>
      <c r="O118" s="76" t="str">
        <f t="shared" si="10"/>
        <v/>
      </c>
      <c r="P118" s="76" t="str">
        <f t="shared" si="11"/>
        <v/>
      </c>
      <c r="Q118" s="75" t="str">
        <f t="shared" si="12"/>
        <v/>
      </c>
      <c r="R118" s="76" t="str">
        <f t="shared" si="13"/>
        <v/>
      </c>
      <c r="S118" s="76" t="str">
        <f t="shared" si="14"/>
        <v/>
      </c>
      <c r="T118" s="43"/>
      <c r="U118" s="107"/>
      <c r="V118" s="76" t="str">
        <f t="shared" si="15"/>
        <v/>
      </c>
      <c r="W118" s="43"/>
      <c r="X118" s="43"/>
      <c r="Y118" s="74"/>
    </row>
    <row r="119" ht="18" customHeight="1" spans="1:25">
      <c r="A119" s="74" t="str">
        <f t="shared" si="8"/>
        <v/>
      </c>
      <c r="B119" s="7"/>
      <c r="C119" s="43"/>
      <c r="D119" s="106"/>
      <c r="E119" s="43"/>
      <c r="F119" s="43"/>
      <c r="G119" s="43"/>
      <c r="H119" s="107"/>
      <c r="I119" s="107"/>
      <c r="J119" s="76" t="str">
        <f>IF($C119="","",ROUND(IFERROR(INDEX(期初余额!$I$4:$I$9,MATCH($C119,期初余额!$H$4:$H$9,0)),0)+SUMIFS($H$4:$H119,$C$4:$C119,$C119)-SUMIFS($I$4:$I119,$C$4:$C119,$C119),2))</f>
        <v/>
      </c>
      <c r="K119" s="111" t="str">
        <f>IF($T119&lt;&gt;"",$T119,IF($C119="","",IF(AND(N($I119)&gt;0,$G119&lt;&gt;""),IFERROR(INDEX(科目表!$U$4:$U$123,MATCH($G119,科目表!$M$4:$M$123,0)),"管理费用"),IF(N($H119)&gt;0,IFERROR(INDEX(自动规则!$C$4:$C$40,MATCH($F119,自动规则!$B$4:$B$40,0)),"其他应收款"),IFERROR(INDEX(自动规则!$D$4:$D$40,MATCH($F119,自动规则!$B$4:$B$40,0)),"其他应付款")))))</f>
        <v/>
      </c>
      <c r="L119" s="106"/>
      <c r="M119" s="75" t="str">
        <f>IF($C119="","",IFERROR(INDEX(科目表!$T$4:$T$9,MATCH($C119,科目表!$S$4:$S$9,0)),""))</f>
        <v/>
      </c>
      <c r="N119" s="75" t="str">
        <f t="shared" si="9"/>
        <v/>
      </c>
      <c r="O119" s="76" t="str">
        <f t="shared" si="10"/>
        <v/>
      </c>
      <c r="P119" s="76" t="str">
        <f t="shared" si="11"/>
        <v/>
      </c>
      <c r="Q119" s="75" t="str">
        <f t="shared" si="12"/>
        <v/>
      </c>
      <c r="R119" s="76" t="str">
        <f t="shared" si="13"/>
        <v/>
      </c>
      <c r="S119" s="76" t="str">
        <f t="shared" si="14"/>
        <v/>
      </c>
      <c r="T119" s="43"/>
      <c r="U119" s="107"/>
      <c r="V119" s="76" t="str">
        <f t="shared" si="15"/>
        <v/>
      </c>
      <c r="W119" s="43"/>
      <c r="X119" s="43"/>
      <c r="Y119" s="74"/>
    </row>
    <row r="120" ht="18" customHeight="1" spans="1:25">
      <c r="A120" s="74" t="str">
        <f t="shared" si="8"/>
        <v/>
      </c>
      <c r="B120" s="7"/>
      <c r="C120" s="43"/>
      <c r="D120" s="106"/>
      <c r="E120" s="43"/>
      <c r="F120" s="43"/>
      <c r="G120" s="43"/>
      <c r="H120" s="107"/>
      <c r="I120" s="107"/>
      <c r="J120" s="76" t="str">
        <f>IF($C120="","",ROUND(IFERROR(INDEX(期初余额!$I$4:$I$9,MATCH($C120,期初余额!$H$4:$H$9,0)),0)+SUMIFS($H$4:$H120,$C$4:$C120,$C120)-SUMIFS($I$4:$I120,$C$4:$C120,$C120),2))</f>
        <v/>
      </c>
      <c r="K120" s="111" t="str">
        <f>IF($T120&lt;&gt;"",$T120,IF($C120="","",IF(AND(N($I120)&gt;0,$G120&lt;&gt;""),IFERROR(INDEX(科目表!$U$4:$U$123,MATCH($G120,科目表!$M$4:$M$123,0)),"管理费用"),IF(N($H120)&gt;0,IFERROR(INDEX(自动规则!$C$4:$C$40,MATCH($F120,自动规则!$B$4:$B$40,0)),"其他应收款"),IFERROR(INDEX(自动规则!$D$4:$D$40,MATCH($F120,自动规则!$B$4:$B$40,0)),"其他应付款")))))</f>
        <v/>
      </c>
      <c r="L120" s="106"/>
      <c r="M120" s="75" t="str">
        <f>IF($C120="","",IFERROR(INDEX(科目表!$T$4:$T$9,MATCH($C120,科目表!$S$4:$S$9,0)),""))</f>
        <v/>
      </c>
      <c r="N120" s="75" t="str">
        <f t="shared" si="9"/>
        <v/>
      </c>
      <c r="O120" s="76" t="str">
        <f t="shared" si="10"/>
        <v/>
      </c>
      <c r="P120" s="76" t="str">
        <f t="shared" si="11"/>
        <v/>
      </c>
      <c r="Q120" s="75" t="str">
        <f t="shared" si="12"/>
        <v/>
      </c>
      <c r="R120" s="76" t="str">
        <f t="shared" si="13"/>
        <v/>
      </c>
      <c r="S120" s="76" t="str">
        <f t="shared" si="14"/>
        <v/>
      </c>
      <c r="T120" s="43"/>
      <c r="U120" s="107"/>
      <c r="V120" s="76" t="str">
        <f t="shared" si="15"/>
        <v/>
      </c>
      <c r="W120" s="43"/>
      <c r="X120" s="43"/>
      <c r="Y120" s="74"/>
    </row>
    <row r="121" ht="18" customHeight="1" spans="1:25">
      <c r="A121" s="74" t="str">
        <f t="shared" si="8"/>
        <v/>
      </c>
      <c r="B121" s="7"/>
      <c r="C121" s="43"/>
      <c r="D121" s="106"/>
      <c r="E121" s="43"/>
      <c r="F121" s="43"/>
      <c r="G121" s="43"/>
      <c r="H121" s="107"/>
      <c r="I121" s="107"/>
      <c r="J121" s="76" t="str">
        <f>IF($C121="","",ROUND(IFERROR(INDEX(期初余额!$I$4:$I$9,MATCH($C121,期初余额!$H$4:$H$9,0)),0)+SUMIFS($H$4:$H121,$C$4:$C121,$C121)-SUMIFS($I$4:$I121,$C$4:$C121,$C121),2))</f>
        <v/>
      </c>
      <c r="K121" s="111" t="str">
        <f>IF($T121&lt;&gt;"",$T121,IF($C121="","",IF(AND(N($I121)&gt;0,$G121&lt;&gt;""),IFERROR(INDEX(科目表!$U$4:$U$123,MATCH($G121,科目表!$M$4:$M$123,0)),"管理费用"),IF(N($H121)&gt;0,IFERROR(INDEX(自动规则!$C$4:$C$40,MATCH($F121,自动规则!$B$4:$B$40,0)),"其他应收款"),IFERROR(INDEX(自动规则!$D$4:$D$40,MATCH($F121,自动规则!$B$4:$B$40,0)),"其他应付款")))))</f>
        <v/>
      </c>
      <c r="L121" s="106"/>
      <c r="M121" s="75" t="str">
        <f>IF($C121="","",IFERROR(INDEX(科目表!$T$4:$T$9,MATCH($C121,科目表!$S$4:$S$9,0)),""))</f>
        <v/>
      </c>
      <c r="N121" s="75" t="str">
        <f t="shared" si="9"/>
        <v/>
      </c>
      <c r="O121" s="76" t="str">
        <f t="shared" si="10"/>
        <v/>
      </c>
      <c r="P121" s="76" t="str">
        <f t="shared" si="11"/>
        <v/>
      </c>
      <c r="Q121" s="75" t="str">
        <f t="shared" si="12"/>
        <v/>
      </c>
      <c r="R121" s="76" t="str">
        <f t="shared" si="13"/>
        <v/>
      </c>
      <c r="S121" s="76" t="str">
        <f t="shared" si="14"/>
        <v/>
      </c>
      <c r="T121" s="43"/>
      <c r="U121" s="107"/>
      <c r="V121" s="76" t="str">
        <f t="shared" si="15"/>
        <v/>
      </c>
      <c r="W121" s="43"/>
      <c r="X121" s="43"/>
      <c r="Y121" s="74"/>
    </row>
    <row r="122" ht="18" customHeight="1" spans="1:25">
      <c r="A122" s="74" t="str">
        <f t="shared" si="8"/>
        <v/>
      </c>
      <c r="B122" s="7"/>
      <c r="C122" s="43"/>
      <c r="D122" s="106"/>
      <c r="E122" s="43"/>
      <c r="F122" s="43"/>
      <c r="G122" s="43"/>
      <c r="H122" s="107"/>
      <c r="I122" s="107"/>
      <c r="J122" s="76" t="str">
        <f>IF($C122="","",ROUND(IFERROR(INDEX(期初余额!$I$4:$I$9,MATCH($C122,期初余额!$H$4:$H$9,0)),0)+SUMIFS($H$4:$H122,$C$4:$C122,$C122)-SUMIFS($I$4:$I122,$C$4:$C122,$C122),2))</f>
        <v/>
      </c>
      <c r="K122" s="111" t="str">
        <f>IF($T122&lt;&gt;"",$T122,IF($C122="","",IF(AND(N($I122)&gt;0,$G122&lt;&gt;""),IFERROR(INDEX(科目表!$U$4:$U$123,MATCH($G122,科目表!$M$4:$M$123,0)),"管理费用"),IF(N($H122)&gt;0,IFERROR(INDEX(自动规则!$C$4:$C$40,MATCH($F122,自动规则!$B$4:$B$40,0)),"其他应收款"),IFERROR(INDEX(自动规则!$D$4:$D$40,MATCH($F122,自动规则!$B$4:$B$40,0)),"其他应付款")))))</f>
        <v/>
      </c>
      <c r="L122" s="106"/>
      <c r="M122" s="75" t="str">
        <f>IF($C122="","",IFERROR(INDEX(科目表!$T$4:$T$9,MATCH($C122,科目表!$S$4:$S$9,0)),""))</f>
        <v/>
      </c>
      <c r="N122" s="75" t="str">
        <f t="shared" si="9"/>
        <v/>
      </c>
      <c r="O122" s="76" t="str">
        <f t="shared" si="10"/>
        <v/>
      </c>
      <c r="P122" s="76" t="str">
        <f t="shared" si="11"/>
        <v/>
      </c>
      <c r="Q122" s="75" t="str">
        <f t="shared" si="12"/>
        <v/>
      </c>
      <c r="R122" s="76" t="str">
        <f t="shared" si="13"/>
        <v/>
      </c>
      <c r="S122" s="76" t="str">
        <f t="shared" si="14"/>
        <v/>
      </c>
      <c r="T122" s="43"/>
      <c r="U122" s="107"/>
      <c r="V122" s="76" t="str">
        <f t="shared" si="15"/>
        <v/>
      </c>
      <c r="W122" s="43"/>
      <c r="X122" s="43"/>
      <c r="Y122" s="74"/>
    </row>
    <row r="123" ht="18" customHeight="1" spans="1:25">
      <c r="A123" s="74" t="str">
        <f t="shared" si="8"/>
        <v/>
      </c>
      <c r="B123" s="7"/>
      <c r="C123" s="43"/>
      <c r="D123" s="106"/>
      <c r="E123" s="43"/>
      <c r="F123" s="43"/>
      <c r="G123" s="43"/>
      <c r="H123" s="107"/>
      <c r="I123" s="107"/>
      <c r="J123" s="76" t="str">
        <f>IF($C123="","",ROUND(IFERROR(INDEX(期初余额!$I$4:$I$9,MATCH($C123,期初余额!$H$4:$H$9,0)),0)+SUMIFS($H$4:$H123,$C$4:$C123,$C123)-SUMIFS($I$4:$I123,$C$4:$C123,$C123),2))</f>
        <v/>
      </c>
      <c r="K123" s="111" t="str">
        <f>IF($T123&lt;&gt;"",$T123,IF($C123="","",IF(AND(N($I123)&gt;0,$G123&lt;&gt;""),IFERROR(INDEX(科目表!$U$4:$U$123,MATCH($G123,科目表!$M$4:$M$123,0)),"管理费用"),IF(N($H123)&gt;0,IFERROR(INDEX(自动规则!$C$4:$C$40,MATCH($F123,自动规则!$B$4:$B$40,0)),"其他应收款"),IFERROR(INDEX(自动规则!$D$4:$D$40,MATCH($F123,自动规则!$B$4:$B$40,0)),"其他应付款")))))</f>
        <v/>
      </c>
      <c r="L123" s="106"/>
      <c r="M123" s="75" t="str">
        <f>IF($C123="","",IFERROR(INDEX(科目表!$T$4:$T$9,MATCH($C123,科目表!$S$4:$S$9,0)),""))</f>
        <v/>
      </c>
      <c r="N123" s="75" t="str">
        <f t="shared" si="9"/>
        <v/>
      </c>
      <c r="O123" s="76" t="str">
        <f t="shared" si="10"/>
        <v/>
      </c>
      <c r="P123" s="76" t="str">
        <f t="shared" si="11"/>
        <v/>
      </c>
      <c r="Q123" s="75" t="str">
        <f t="shared" si="12"/>
        <v/>
      </c>
      <c r="R123" s="76" t="str">
        <f t="shared" si="13"/>
        <v/>
      </c>
      <c r="S123" s="76" t="str">
        <f t="shared" si="14"/>
        <v/>
      </c>
      <c r="T123" s="43"/>
      <c r="U123" s="107"/>
      <c r="V123" s="76" t="str">
        <f t="shared" si="15"/>
        <v/>
      </c>
      <c r="W123" s="43"/>
      <c r="X123" s="43"/>
      <c r="Y123" s="74"/>
    </row>
    <row r="124" ht="18" customHeight="1" spans="1:25">
      <c r="A124" s="74" t="str">
        <f t="shared" si="8"/>
        <v/>
      </c>
      <c r="B124" s="7"/>
      <c r="C124" s="43"/>
      <c r="D124" s="106"/>
      <c r="E124" s="43"/>
      <c r="F124" s="43"/>
      <c r="G124" s="43"/>
      <c r="H124" s="107"/>
      <c r="I124" s="107"/>
      <c r="J124" s="76" t="str">
        <f>IF($C124="","",ROUND(IFERROR(INDEX(期初余额!$I$4:$I$9,MATCH($C124,期初余额!$H$4:$H$9,0)),0)+SUMIFS($H$4:$H124,$C$4:$C124,$C124)-SUMIFS($I$4:$I124,$C$4:$C124,$C124),2))</f>
        <v/>
      </c>
      <c r="K124" s="111" t="str">
        <f>IF($T124&lt;&gt;"",$T124,IF($C124="","",IF(AND(N($I124)&gt;0,$G124&lt;&gt;""),IFERROR(INDEX(科目表!$U$4:$U$123,MATCH($G124,科目表!$M$4:$M$123,0)),"管理费用"),IF(N($H124)&gt;0,IFERROR(INDEX(自动规则!$C$4:$C$40,MATCH($F124,自动规则!$B$4:$B$40,0)),"其他应收款"),IFERROR(INDEX(自动规则!$D$4:$D$40,MATCH($F124,自动规则!$B$4:$B$40,0)),"其他应付款")))))</f>
        <v/>
      </c>
      <c r="L124" s="106"/>
      <c r="M124" s="75" t="str">
        <f>IF($C124="","",IFERROR(INDEX(科目表!$T$4:$T$9,MATCH($C124,科目表!$S$4:$S$9,0)),""))</f>
        <v/>
      </c>
      <c r="N124" s="75" t="str">
        <f t="shared" si="9"/>
        <v/>
      </c>
      <c r="O124" s="76" t="str">
        <f t="shared" si="10"/>
        <v/>
      </c>
      <c r="P124" s="76" t="str">
        <f t="shared" si="11"/>
        <v/>
      </c>
      <c r="Q124" s="75" t="str">
        <f t="shared" si="12"/>
        <v/>
      </c>
      <c r="R124" s="76" t="str">
        <f t="shared" si="13"/>
        <v/>
      </c>
      <c r="S124" s="76" t="str">
        <f t="shared" si="14"/>
        <v/>
      </c>
      <c r="T124" s="43"/>
      <c r="U124" s="107"/>
      <c r="V124" s="76" t="str">
        <f t="shared" si="15"/>
        <v/>
      </c>
      <c r="W124" s="43"/>
      <c r="X124" s="43"/>
      <c r="Y124" s="74"/>
    </row>
    <row r="125" ht="18" customHeight="1" spans="1:25">
      <c r="A125" s="74" t="str">
        <f t="shared" si="8"/>
        <v/>
      </c>
      <c r="B125" s="7"/>
      <c r="C125" s="43"/>
      <c r="D125" s="106"/>
      <c r="E125" s="43"/>
      <c r="F125" s="43"/>
      <c r="G125" s="43"/>
      <c r="H125" s="107"/>
      <c r="I125" s="107"/>
      <c r="J125" s="76" t="str">
        <f>IF($C125="","",ROUND(IFERROR(INDEX(期初余额!$I$4:$I$9,MATCH($C125,期初余额!$H$4:$H$9,0)),0)+SUMIFS($H$4:$H125,$C$4:$C125,$C125)-SUMIFS($I$4:$I125,$C$4:$C125,$C125),2))</f>
        <v/>
      </c>
      <c r="K125" s="111" t="str">
        <f>IF($T125&lt;&gt;"",$T125,IF($C125="","",IF(AND(N($I125)&gt;0,$G125&lt;&gt;""),IFERROR(INDEX(科目表!$U$4:$U$123,MATCH($G125,科目表!$M$4:$M$123,0)),"管理费用"),IF(N($H125)&gt;0,IFERROR(INDEX(自动规则!$C$4:$C$40,MATCH($F125,自动规则!$B$4:$B$40,0)),"其他应收款"),IFERROR(INDEX(自动规则!$D$4:$D$40,MATCH($F125,自动规则!$B$4:$B$40,0)),"其他应付款")))))</f>
        <v/>
      </c>
      <c r="L125" s="106"/>
      <c r="M125" s="75" t="str">
        <f>IF($C125="","",IFERROR(INDEX(科目表!$T$4:$T$9,MATCH($C125,科目表!$S$4:$S$9,0)),""))</f>
        <v/>
      </c>
      <c r="N125" s="75" t="str">
        <f t="shared" si="9"/>
        <v/>
      </c>
      <c r="O125" s="76" t="str">
        <f t="shared" si="10"/>
        <v/>
      </c>
      <c r="P125" s="76" t="str">
        <f t="shared" si="11"/>
        <v/>
      </c>
      <c r="Q125" s="75" t="str">
        <f t="shared" si="12"/>
        <v/>
      </c>
      <c r="R125" s="76" t="str">
        <f t="shared" si="13"/>
        <v/>
      </c>
      <c r="S125" s="76" t="str">
        <f t="shared" si="14"/>
        <v/>
      </c>
      <c r="T125" s="43"/>
      <c r="U125" s="107"/>
      <c r="V125" s="76" t="str">
        <f t="shared" si="15"/>
        <v/>
      </c>
      <c r="W125" s="43"/>
      <c r="X125" s="43"/>
      <c r="Y125" s="74"/>
    </row>
    <row r="126" ht="18" customHeight="1" spans="1:25">
      <c r="A126" s="74" t="str">
        <f t="shared" si="8"/>
        <v/>
      </c>
      <c r="B126" s="7"/>
      <c r="C126" s="43"/>
      <c r="D126" s="106"/>
      <c r="E126" s="43"/>
      <c r="F126" s="43"/>
      <c r="G126" s="43"/>
      <c r="H126" s="107"/>
      <c r="I126" s="107"/>
      <c r="J126" s="76" t="str">
        <f>IF($C126="","",ROUND(IFERROR(INDEX(期初余额!$I$4:$I$9,MATCH($C126,期初余额!$H$4:$H$9,0)),0)+SUMIFS($H$4:$H126,$C$4:$C126,$C126)-SUMIFS($I$4:$I126,$C$4:$C126,$C126),2))</f>
        <v/>
      </c>
      <c r="K126" s="111" t="str">
        <f>IF($T126&lt;&gt;"",$T126,IF($C126="","",IF(AND(N($I126)&gt;0,$G126&lt;&gt;""),IFERROR(INDEX(科目表!$U$4:$U$123,MATCH($G126,科目表!$M$4:$M$123,0)),"管理费用"),IF(N($H126)&gt;0,IFERROR(INDEX(自动规则!$C$4:$C$40,MATCH($F126,自动规则!$B$4:$B$40,0)),"其他应收款"),IFERROR(INDEX(自动规则!$D$4:$D$40,MATCH($F126,自动规则!$B$4:$B$40,0)),"其他应付款")))))</f>
        <v/>
      </c>
      <c r="L126" s="106"/>
      <c r="M126" s="75" t="str">
        <f>IF($C126="","",IFERROR(INDEX(科目表!$T$4:$T$9,MATCH($C126,科目表!$S$4:$S$9,0)),""))</f>
        <v/>
      </c>
      <c r="N126" s="75" t="str">
        <f t="shared" si="9"/>
        <v/>
      </c>
      <c r="O126" s="76" t="str">
        <f t="shared" si="10"/>
        <v/>
      </c>
      <c r="P126" s="76" t="str">
        <f t="shared" si="11"/>
        <v/>
      </c>
      <c r="Q126" s="75" t="str">
        <f t="shared" si="12"/>
        <v/>
      </c>
      <c r="R126" s="76" t="str">
        <f t="shared" si="13"/>
        <v/>
      </c>
      <c r="S126" s="76" t="str">
        <f t="shared" si="14"/>
        <v/>
      </c>
      <c r="T126" s="43"/>
      <c r="U126" s="107"/>
      <c r="V126" s="76" t="str">
        <f t="shared" si="15"/>
        <v/>
      </c>
      <c r="W126" s="43"/>
      <c r="X126" s="43"/>
      <c r="Y126" s="74"/>
    </row>
    <row r="127" ht="18" customHeight="1" spans="1:25">
      <c r="A127" s="74" t="str">
        <f t="shared" si="8"/>
        <v/>
      </c>
      <c r="B127" s="7"/>
      <c r="C127" s="43"/>
      <c r="D127" s="106"/>
      <c r="E127" s="43"/>
      <c r="F127" s="43"/>
      <c r="G127" s="43"/>
      <c r="H127" s="107"/>
      <c r="I127" s="107"/>
      <c r="J127" s="76" t="str">
        <f>IF($C127="","",ROUND(IFERROR(INDEX(期初余额!$I$4:$I$9,MATCH($C127,期初余额!$H$4:$H$9,0)),0)+SUMIFS($H$4:$H127,$C$4:$C127,$C127)-SUMIFS($I$4:$I127,$C$4:$C127,$C127),2))</f>
        <v/>
      </c>
      <c r="K127" s="111" t="str">
        <f>IF($T127&lt;&gt;"",$T127,IF($C127="","",IF(AND(N($I127)&gt;0,$G127&lt;&gt;""),IFERROR(INDEX(科目表!$U$4:$U$123,MATCH($G127,科目表!$M$4:$M$123,0)),"管理费用"),IF(N($H127)&gt;0,IFERROR(INDEX(自动规则!$C$4:$C$40,MATCH($F127,自动规则!$B$4:$B$40,0)),"其他应收款"),IFERROR(INDEX(自动规则!$D$4:$D$40,MATCH($F127,自动规则!$B$4:$B$40,0)),"其他应付款")))))</f>
        <v/>
      </c>
      <c r="L127" s="106"/>
      <c r="M127" s="75" t="str">
        <f>IF($C127="","",IFERROR(INDEX(科目表!$T$4:$T$9,MATCH($C127,科目表!$S$4:$S$9,0)),""))</f>
        <v/>
      </c>
      <c r="N127" s="75" t="str">
        <f t="shared" si="9"/>
        <v/>
      </c>
      <c r="O127" s="76" t="str">
        <f t="shared" si="10"/>
        <v/>
      </c>
      <c r="P127" s="76" t="str">
        <f t="shared" si="11"/>
        <v/>
      </c>
      <c r="Q127" s="75" t="str">
        <f t="shared" si="12"/>
        <v/>
      </c>
      <c r="R127" s="76" t="str">
        <f t="shared" si="13"/>
        <v/>
      </c>
      <c r="S127" s="76" t="str">
        <f t="shared" si="14"/>
        <v/>
      </c>
      <c r="T127" s="43"/>
      <c r="U127" s="107"/>
      <c r="V127" s="76" t="str">
        <f t="shared" si="15"/>
        <v/>
      </c>
      <c r="W127" s="43"/>
      <c r="X127" s="43"/>
      <c r="Y127" s="74"/>
    </row>
    <row r="128" ht="18" customHeight="1" spans="1:25">
      <c r="A128" s="74" t="str">
        <f t="shared" si="8"/>
        <v/>
      </c>
      <c r="B128" s="7"/>
      <c r="C128" s="43"/>
      <c r="D128" s="106"/>
      <c r="E128" s="43"/>
      <c r="F128" s="43"/>
      <c r="G128" s="43"/>
      <c r="H128" s="107"/>
      <c r="I128" s="107"/>
      <c r="J128" s="76" t="str">
        <f>IF($C128="","",ROUND(IFERROR(INDEX(期初余额!$I$4:$I$9,MATCH($C128,期初余额!$H$4:$H$9,0)),0)+SUMIFS($H$4:$H128,$C$4:$C128,$C128)-SUMIFS($I$4:$I128,$C$4:$C128,$C128),2))</f>
        <v/>
      </c>
      <c r="K128" s="111" t="str">
        <f>IF($T128&lt;&gt;"",$T128,IF($C128="","",IF(AND(N($I128)&gt;0,$G128&lt;&gt;""),IFERROR(INDEX(科目表!$U$4:$U$123,MATCH($G128,科目表!$M$4:$M$123,0)),"管理费用"),IF(N($H128)&gt;0,IFERROR(INDEX(自动规则!$C$4:$C$40,MATCH($F128,自动规则!$B$4:$B$40,0)),"其他应收款"),IFERROR(INDEX(自动规则!$D$4:$D$40,MATCH($F128,自动规则!$B$4:$B$40,0)),"其他应付款")))))</f>
        <v/>
      </c>
      <c r="L128" s="106"/>
      <c r="M128" s="75" t="str">
        <f>IF($C128="","",IFERROR(INDEX(科目表!$T$4:$T$9,MATCH($C128,科目表!$S$4:$S$9,0)),""))</f>
        <v/>
      </c>
      <c r="N128" s="75" t="str">
        <f t="shared" si="9"/>
        <v/>
      </c>
      <c r="O128" s="76" t="str">
        <f t="shared" si="10"/>
        <v/>
      </c>
      <c r="P128" s="76" t="str">
        <f t="shared" si="11"/>
        <v/>
      </c>
      <c r="Q128" s="75" t="str">
        <f t="shared" si="12"/>
        <v/>
      </c>
      <c r="R128" s="76" t="str">
        <f t="shared" si="13"/>
        <v/>
      </c>
      <c r="S128" s="76" t="str">
        <f t="shared" si="14"/>
        <v/>
      </c>
      <c r="T128" s="43"/>
      <c r="U128" s="107"/>
      <c r="V128" s="76" t="str">
        <f t="shared" si="15"/>
        <v/>
      </c>
      <c r="W128" s="43"/>
      <c r="X128" s="43"/>
      <c r="Y128" s="74"/>
    </row>
    <row r="129" ht="18" customHeight="1" spans="1:25">
      <c r="A129" s="74" t="str">
        <f t="shared" si="8"/>
        <v/>
      </c>
      <c r="B129" s="7"/>
      <c r="C129" s="43"/>
      <c r="D129" s="106"/>
      <c r="E129" s="43"/>
      <c r="F129" s="43"/>
      <c r="G129" s="43"/>
      <c r="H129" s="107"/>
      <c r="I129" s="107"/>
      <c r="J129" s="76" t="str">
        <f>IF($C129="","",ROUND(IFERROR(INDEX(期初余额!$I$4:$I$9,MATCH($C129,期初余额!$H$4:$H$9,0)),0)+SUMIFS($H$4:$H129,$C$4:$C129,$C129)-SUMIFS($I$4:$I129,$C$4:$C129,$C129),2))</f>
        <v/>
      </c>
      <c r="K129" s="111" t="str">
        <f>IF($T129&lt;&gt;"",$T129,IF($C129="","",IF(AND(N($I129)&gt;0,$G129&lt;&gt;""),IFERROR(INDEX(科目表!$U$4:$U$123,MATCH($G129,科目表!$M$4:$M$123,0)),"管理费用"),IF(N($H129)&gt;0,IFERROR(INDEX(自动规则!$C$4:$C$40,MATCH($F129,自动规则!$B$4:$B$40,0)),"其他应收款"),IFERROR(INDEX(自动规则!$D$4:$D$40,MATCH($F129,自动规则!$B$4:$B$40,0)),"其他应付款")))))</f>
        <v/>
      </c>
      <c r="L129" s="106"/>
      <c r="M129" s="75" t="str">
        <f>IF($C129="","",IFERROR(INDEX(科目表!$T$4:$T$9,MATCH($C129,科目表!$S$4:$S$9,0)),""))</f>
        <v/>
      </c>
      <c r="N129" s="75" t="str">
        <f t="shared" si="9"/>
        <v/>
      </c>
      <c r="O129" s="76" t="str">
        <f t="shared" si="10"/>
        <v/>
      </c>
      <c r="P129" s="76" t="str">
        <f t="shared" si="11"/>
        <v/>
      </c>
      <c r="Q129" s="75" t="str">
        <f t="shared" si="12"/>
        <v/>
      </c>
      <c r="R129" s="76" t="str">
        <f t="shared" si="13"/>
        <v/>
      </c>
      <c r="S129" s="76" t="str">
        <f t="shared" si="14"/>
        <v/>
      </c>
      <c r="T129" s="43"/>
      <c r="U129" s="107"/>
      <c r="V129" s="76" t="str">
        <f t="shared" si="15"/>
        <v/>
      </c>
      <c r="W129" s="43"/>
      <c r="X129" s="43"/>
      <c r="Y129" s="74"/>
    </row>
    <row r="130" ht="18" customHeight="1" spans="1:25">
      <c r="A130" s="74" t="str">
        <f t="shared" si="8"/>
        <v/>
      </c>
      <c r="B130" s="7"/>
      <c r="C130" s="43"/>
      <c r="D130" s="106"/>
      <c r="E130" s="43"/>
      <c r="F130" s="43"/>
      <c r="G130" s="43"/>
      <c r="H130" s="107"/>
      <c r="I130" s="107"/>
      <c r="J130" s="76" t="str">
        <f>IF($C130="","",ROUND(IFERROR(INDEX(期初余额!$I$4:$I$9,MATCH($C130,期初余额!$H$4:$H$9,0)),0)+SUMIFS($H$4:$H130,$C$4:$C130,$C130)-SUMIFS($I$4:$I130,$C$4:$C130,$C130),2))</f>
        <v/>
      </c>
      <c r="K130" s="111" t="str">
        <f>IF($T130&lt;&gt;"",$T130,IF($C130="","",IF(AND(N($I130)&gt;0,$G130&lt;&gt;""),IFERROR(INDEX(科目表!$U$4:$U$123,MATCH($G130,科目表!$M$4:$M$123,0)),"管理费用"),IF(N($H130)&gt;0,IFERROR(INDEX(自动规则!$C$4:$C$40,MATCH($F130,自动规则!$B$4:$B$40,0)),"其他应收款"),IFERROR(INDEX(自动规则!$D$4:$D$40,MATCH($F130,自动规则!$B$4:$B$40,0)),"其他应付款")))))</f>
        <v/>
      </c>
      <c r="L130" s="106"/>
      <c r="M130" s="75" t="str">
        <f>IF($C130="","",IFERROR(INDEX(科目表!$T$4:$T$9,MATCH($C130,科目表!$S$4:$S$9,0)),""))</f>
        <v/>
      </c>
      <c r="N130" s="75" t="str">
        <f t="shared" si="9"/>
        <v/>
      </c>
      <c r="O130" s="76" t="str">
        <f t="shared" si="10"/>
        <v/>
      </c>
      <c r="P130" s="76" t="str">
        <f t="shared" si="11"/>
        <v/>
      </c>
      <c r="Q130" s="75" t="str">
        <f t="shared" si="12"/>
        <v/>
      </c>
      <c r="R130" s="76" t="str">
        <f t="shared" si="13"/>
        <v/>
      </c>
      <c r="S130" s="76" t="str">
        <f t="shared" si="14"/>
        <v/>
      </c>
      <c r="T130" s="43"/>
      <c r="U130" s="107"/>
      <c r="V130" s="76" t="str">
        <f t="shared" si="15"/>
        <v/>
      </c>
      <c r="W130" s="43"/>
      <c r="X130" s="43"/>
      <c r="Y130" s="74"/>
    </row>
    <row r="131" ht="18" customHeight="1" spans="1:25">
      <c r="A131" s="74" t="str">
        <f t="shared" si="8"/>
        <v/>
      </c>
      <c r="B131" s="7"/>
      <c r="C131" s="43"/>
      <c r="D131" s="106"/>
      <c r="E131" s="43"/>
      <c r="F131" s="43"/>
      <c r="G131" s="43"/>
      <c r="H131" s="107"/>
      <c r="I131" s="107"/>
      <c r="J131" s="76" t="str">
        <f>IF($C131="","",ROUND(IFERROR(INDEX(期初余额!$I$4:$I$9,MATCH($C131,期初余额!$H$4:$H$9,0)),0)+SUMIFS($H$4:$H131,$C$4:$C131,$C131)-SUMIFS($I$4:$I131,$C$4:$C131,$C131),2))</f>
        <v/>
      </c>
      <c r="K131" s="111" t="str">
        <f>IF($T131&lt;&gt;"",$T131,IF($C131="","",IF(AND(N($I131)&gt;0,$G131&lt;&gt;""),IFERROR(INDEX(科目表!$U$4:$U$123,MATCH($G131,科目表!$M$4:$M$123,0)),"管理费用"),IF(N($H131)&gt;0,IFERROR(INDEX(自动规则!$C$4:$C$40,MATCH($F131,自动规则!$B$4:$B$40,0)),"其他应收款"),IFERROR(INDEX(自动规则!$D$4:$D$40,MATCH($F131,自动规则!$B$4:$B$40,0)),"其他应付款")))))</f>
        <v/>
      </c>
      <c r="L131" s="106"/>
      <c r="M131" s="75" t="str">
        <f>IF($C131="","",IFERROR(INDEX(科目表!$T$4:$T$9,MATCH($C131,科目表!$S$4:$S$9,0)),""))</f>
        <v/>
      </c>
      <c r="N131" s="75" t="str">
        <f t="shared" si="9"/>
        <v/>
      </c>
      <c r="O131" s="76" t="str">
        <f t="shared" si="10"/>
        <v/>
      </c>
      <c r="P131" s="76" t="str">
        <f t="shared" si="11"/>
        <v/>
      </c>
      <c r="Q131" s="75" t="str">
        <f t="shared" si="12"/>
        <v/>
      </c>
      <c r="R131" s="76" t="str">
        <f t="shared" si="13"/>
        <v/>
      </c>
      <c r="S131" s="76" t="str">
        <f t="shared" si="14"/>
        <v/>
      </c>
      <c r="T131" s="43"/>
      <c r="U131" s="107"/>
      <c r="V131" s="76" t="str">
        <f t="shared" si="15"/>
        <v/>
      </c>
      <c r="W131" s="43"/>
      <c r="X131" s="43"/>
      <c r="Y131" s="74"/>
    </row>
    <row r="132" ht="18" customHeight="1" spans="1:25">
      <c r="A132" s="74" t="str">
        <f t="shared" ref="A132:A195" si="16">IF($C132="","",ROW()-3)</f>
        <v/>
      </c>
      <c r="B132" s="7"/>
      <c r="C132" s="43"/>
      <c r="D132" s="106"/>
      <c r="E132" s="43"/>
      <c r="F132" s="43"/>
      <c r="G132" s="43"/>
      <c r="H132" s="107"/>
      <c r="I132" s="107"/>
      <c r="J132" s="76" t="str">
        <f>IF($C132="","",ROUND(IFERROR(INDEX(期初余额!$I$4:$I$9,MATCH($C132,期初余额!$H$4:$H$9,0)),0)+SUMIFS($H$4:$H132,$C$4:$C132,$C132)-SUMIFS($I$4:$I132,$C$4:$C132,$C132),2))</f>
        <v/>
      </c>
      <c r="K132" s="111" t="str">
        <f>IF($T132&lt;&gt;"",$T132,IF($C132="","",IF(AND(N($I132)&gt;0,$G132&lt;&gt;""),IFERROR(INDEX(科目表!$U$4:$U$123,MATCH($G132,科目表!$M$4:$M$123,0)),"管理费用"),IF(N($H132)&gt;0,IFERROR(INDEX(自动规则!$C$4:$C$40,MATCH($F132,自动规则!$B$4:$B$40,0)),"其他应收款"),IFERROR(INDEX(自动规则!$D$4:$D$40,MATCH($F132,自动规则!$B$4:$B$40,0)),"其他应付款")))))</f>
        <v/>
      </c>
      <c r="L132" s="106"/>
      <c r="M132" s="75" t="str">
        <f>IF($C132="","",IFERROR(INDEX(科目表!$T$4:$T$9,MATCH($C132,科目表!$S$4:$S$9,0)),""))</f>
        <v/>
      </c>
      <c r="N132" s="75" t="str">
        <f t="shared" ref="N132:N195" si="17">IF(OR($C132="",ROUND(N($H132)+N($I132),2)=0),"",IF(N($H132)&gt;0,$M132,$K132))</f>
        <v/>
      </c>
      <c r="O132" s="76" t="str">
        <f t="shared" ref="O132:O195" si="18">IF($N132="","",ROUND(N($H132)+N($I132),2))</f>
        <v/>
      </c>
      <c r="P132" s="76" t="str">
        <f t="shared" ref="P132:P195" si="19">IF($N132="","",0)</f>
        <v/>
      </c>
      <c r="Q132" s="75" t="str">
        <f t="shared" ref="Q132:Q195" si="20">IF($N132="","",IF(N($H132)&gt;0,$K132,$M132))</f>
        <v/>
      </c>
      <c r="R132" s="76" t="str">
        <f t="shared" ref="R132:R195" si="21">IF($Q132="","",0)</f>
        <v/>
      </c>
      <c r="S132" s="76" t="str">
        <f t="shared" ref="S132:S195" si="22">IF($Q132="","",ROUND(N($H132)+N($I132),2))</f>
        <v/>
      </c>
      <c r="T132" s="43"/>
      <c r="U132" s="107"/>
      <c r="V132" s="76" t="str">
        <f t="shared" ref="V132:V195" si="23">IF($B132="","",TEXT($B132,"yyyy年m月"))</f>
        <v/>
      </c>
      <c r="W132" s="43"/>
      <c r="X132" s="43"/>
      <c r="Y132" s="74"/>
    </row>
    <row r="133" ht="18" customHeight="1" spans="1:25">
      <c r="A133" s="74" t="str">
        <f t="shared" si="16"/>
        <v/>
      </c>
      <c r="B133" s="7"/>
      <c r="C133" s="43"/>
      <c r="D133" s="106"/>
      <c r="E133" s="43"/>
      <c r="F133" s="43"/>
      <c r="G133" s="43"/>
      <c r="H133" s="107"/>
      <c r="I133" s="107"/>
      <c r="J133" s="76" t="str">
        <f>IF($C133="","",ROUND(IFERROR(INDEX(期初余额!$I$4:$I$9,MATCH($C133,期初余额!$H$4:$H$9,0)),0)+SUMIFS($H$4:$H133,$C$4:$C133,$C133)-SUMIFS($I$4:$I133,$C$4:$C133,$C133),2))</f>
        <v/>
      </c>
      <c r="K133" s="111" t="str">
        <f>IF($T133&lt;&gt;"",$T133,IF($C133="","",IF(AND(N($I133)&gt;0,$G133&lt;&gt;""),IFERROR(INDEX(科目表!$U$4:$U$123,MATCH($G133,科目表!$M$4:$M$123,0)),"管理费用"),IF(N($H133)&gt;0,IFERROR(INDEX(自动规则!$C$4:$C$40,MATCH($F133,自动规则!$B$4:$B$40,0)),"其他应收款"),IFERROR(INDEX(自动规则!$D$4:$D$40,MATCH($F133,自动规则!$B$4:$B$40,0)),"其他应付款")))))</f>
        <v/>
      </c>
      <c r="L133" s="106"/>
      <c r="M133" s="75" t="str">
        <f>IF($C133="","",IFERROR(INDEX(科目表!$T$4:$T$9,MATCH($C133,科目表!$S$4:$S$9,0)),""))</f>
        <v/>
      </c>
      <c r="N133" s="75" t="str">
        <f t="shared" si="17"/>
        <v/>
      </c>
      <c r="O133" s="76" t="str">
        <f t="shared" si="18"/>
        <v/>
      </c>
      <c r="P133" s="76" t="str">
        <f t="shared" si="19"/>
        <v/>
      </c>
      <c r="Q133" s="75" t="str">
        <f t="shared" si="20"/>
        <v/>
      </c>
      <c r="R133" s="76" t="str">
        <f t="shared" si="21"/>
        <v/>
      </c>
      <c r="S133" s="76" t="str">
        <f t="shared" si="22"/>
        <v/>
      </c>
      <c r="T133" s="43"/>
      <c r="U133" s="107"/>
      <c r="V133" s="76" t="str">
        <f t="shared" si="23"/>
        <v/>
      </c>
      <c r="W133" s="43"/>
      <c r="X133" s="43"/>
      <c r="Y133" s="74"/>
    </row>
    <row r="134" ht="18" customHeight="1" spans="1:25">
      <c r="A134" s="74" t="str">
        <f t="shared" si="16"/>
        <v/>
      </c>
      <c r="B134" s="7"/>
      <c r="C134" s="43"/>
      <c r="D134" s="106"/>
      <c r="E134" s="43"/>
      <c r="F134" s="43"/>
      <c r="G134" s="43"/>
      <c r="H134" s="107"/>
      <c r="I134" s="107"/>
      <c r="J134" s="76" t="str">
        <f>IF($C134="","",ROUND(IFERROR(INDEX(期初余额!$I$4:$I$9,MATCH($C134,期初余额!$H$4:$H$9,0)),0)+SUMIFS($H$4:$H134,$C$4:$C134,$C134)-SUMIFS($I$4:$I134,$C$4:$C134,$C134),2))</f>
        <v/>
      </c>
      <c r="K134" s="111" t="str">
        <f>IF($T134&lt;&gt;"",$T134,IF($C134="","",IF(AND(N($I134)&gt;0,$G134&lt;&gt;""),IFERROR(INDEX(科目表!$U$4:$U$123,MATCH($G134,科目表!$M$4:$M$123,0)),"管理费用"),IF(N($H134)&gt;0,IFERROR(INDEX(自动规则!$C$4:$C$40,MATCH($F134,自动规则!$B$4:$B$40,0)),"其他应收款"),IFERROR(INDEX(自动规则!$D$4:$D$40,MATCH($F134,自动规则!$B$4:$B$40,0)),"其他应付款")))))</f>
        <v/>
      </c>
      <c r="L134" s="106"/>
      <c r="M134" s="75" t="str">
        <f>IF($C134="","",IFERROR(INDEX(科目表!$T$4:$T$9,MATCH($C134,科目表!$S$4:$S$9,0)),""))</f>
        <v/>
      </c>
      <c r="N134" s="75" t="str">
        <f t="shared" si="17"/>
        <v/>
      </c>
      <c r="O134" s="76" t="str">
        <f t="shared" si="18"/>
        <v/>
      </c>
      <c r="P134" s="76" t="str">
        <f t="shared" si="19"/>
        <v/>
      </c>
      <c r="Q134" s="75" t="str">
        <f t="shared" si="20"/>
        <v/>
      </c>
      <c r="R134" s="76" t="str">
        <f t="shared" si="21"/>
        <v/>
      </c>
      <c r="S134" s="76" t="str">
        <f t="shared" si="22"/>
        <v/>
      </c>
      <c r="T134" s="43"/>
      <c r="U134" s="107"/>
      <c r="V134" s="76" t="str">
        <f t="shared" si="23"/>
        <v/>
      </c>
      <c r="W134" s="43"/>
      <c r="X134" s="43"/>
      <c r="Y134" s="74"/>
    </row>
    <row r="135" ht="18" customHeight="1" spans="1:25">
      <c r="A135" s="74" t="str">
        <f t="shared" si="16"/>
        <v/>
      </c>
      <c r="B135" s="7"/>
      <c r="C135" s="43"/>
      <c r="D135" s="106"/>
      <c r="E135" s="43"/>
      <c r="F135" s="43"/>
      <c r="G135" s="43"/>
      <c r="H135" s="107"/>
      <c r="I135" s="107"/>
      <c r="J135" s="76" t="str">
        <f>IF($C135="","",ROUND(IFERROR(INDEX(期初余额!$I$4:$I$9,MATCH($C135,期初余额!$H$4:$H$9,0)),0)+SUMIFS($H$4:$H135,$C$4:$C135,$C135)-SUMIFS($I$4:$I135,$C$4:$C135,$C135),2))</f>
        <v/>
      </c>
      <c r="K135" s="111" t="str">
        <f>IF($T135&lt;&gt;"",$T135,IF($C135="","",IF(AND(N($I135)&gt;0,$G135&lt;&gt;""),IFERROR(INDEX(科目表!$U$4:$U$123,MATCH($G135,科目表!$M$4:$M$123,0)),"管理费用"),IF(N($H135)&gt;0,IFERROR(INDEX(自动规则!$C$4:$C$40,MATCH($F135,自动规则!$B$4:$B$40,0)),"其他应收款"),IFERROR(INDEX(自动规则!$D$4:$D$40,MATCH($F135,自动规则!$B$4:$B$40,0)),"其他应付款")))))</f>
        <v/>
      </c>
      <c r="L135" s="106"/>
      <c r="M135" s="75" t="str">
        <f>IF($C135="","",IFERROR(INDEX(科目表!$T$4:$T$9,MATCH($C135,科目表!$S$4:$S$9,0)),""))</f>
        <v/>
      </c>
      <c r="N135" s="75" t="str">
        <f t="shared" si="17"/>
        <v/>
      </c>
      <c r="O135" s="76" t="str">
        <f t="shared" si="18"/>
        <v/>
      </c>
      <c r="P135" s="76" t="str">
        <f t="shared" si="19"/>
        <v/>
      </c>
      <c r="Q135" s="75" t="str">
        <f t="shared" si="20"/>
        <v/>
      </c>
      <c r="R135" s="76" t="str">
        <f t="shared" si="21"/>
        <v/>
      </c>
      <c r="S135" s="76" t="str">
        <f t="shared" si="22"/>
        <v/>
      </c>
      <c r="T135" s="43"/>
      <c r="U135" s="107"/>
      <c r="V135" s="76" t="str">
        <f t="shared" si="23"/>
        <v/>
      </c>
      <c r="W135" s="43"/>
      <c r="X135" s="43"/>
      <c r="Y135" s="74"/>
    </row>
    <row r="136" ht="18" customHeight="1" spans="1:25">
      <c r="A136" s="74" t="str">
        <f t="shared" si="16"/>
        <v/>
      </c>
      <c r="B136" s="7"/>
      <c r="C136" s="43"/>
      <c r="D136" s="106"/>
      <c r="E136" s="43"/>
      <c r="F136" s="43"/>
      <c r="G136" s="43"/>
      <c r="H136" s="107"/>
      <c r="I136" s="107"/>
      <c r="J136" s="76" t="str">
        <f>IF($C136="","",ROUND(IFERROR(INDEX(期初余额!$I$4:$I$9,MATCH($C136,期初余额!$H$4:$H$9,0)),0)+SUMIFS($H$4:$H136,$C$4:$C136,$C136)-SUMIFS($I$4:$I136,$C$4:$C136,$C136),2))</f>
        <v/>
      </c>
      <c r="K136" s="111" t="str">
        <f>IF($T136&lt;&gt;"",$T136,IF($C136="","",IF(AND(N($I136)&gt;0,$G136&lt;&gt;""),IFERROR(INDEX(科目表!$U$4:$U$123,MATCH($G136,科目表!$M$4:$M$123,0)),"管理费用"),IF(N($H136)&gt;0,IFERROR(INDEX(自动规则!$C$4:$C$40,MATCH($F136,自动规则!$B$4:$B$40,0)),"其他应收款"),IFERROR(INDEX(自动规则!$D$4:$D$40,MATCH($F136,自动规则!$B$4:$B$40,0)),"其他应付款")))))</f>
        <v/>
      </c>
      <c r="L136" s="106"/>
      <c r="M136" s="75" t="str">
        <f>IF($C136="","",IFERROR(INDEX(科目表!$T$4:$T$9,MATCH($C136,科目表!$S$4:$S$9,0)),""))</f>
        <v/>
      </c>
      <c r="N136" s="75" t="str">
        <f t="shared" si="17"/>
        <v/>
      </c>
      <c r="O136" s="76" t="str">
        <f t="shared" si="18"/>
        <v/>
      </c>
      <c r="P136" s="76" t="str">
        <f t="shared" si="19"/>
        <v/>
      </c>
      <c r="Q136" s="75" t="str">
        <f t="shared" si="20"/>
        <v/>
      </c>
      <c r="R136" s="76" t="str">
        <f t="shared" si="21"/>
        <v/>
      </c>
      <c r="S136" s="76" t="str">
        <f t="shared" si="22"/>
        <v/>
      </c>
      <c r="T136" s="43"/>
      <c r="U136" s="107"/>
      <c r="V136" s="76" t="str">
        <f t="shared" si="23"/>
        <v/>
      </c>
      <c r="W136" s="43"/>
      <c r="X136" s="43"/>
      <c r="Y136" s="74"/>
    </row>
    <row r="137" ht="18" customHeight="1" spans="1:25">
      <c r="A137" s="74" t="str">
        <f t="shared" si="16"/>
        <v/>
      </c>
      <c r="B137" s="7"/>
      <c r="C137" s="43"/>
      <c r="D137" s="106"/>
      <c r="E137" s="43"/>
      <c r="F137" s="43"/>
      <c r="G137" s="43"/>
      <c r="H137" s="107"/>
      <c r="I137" s="107"/>
      <c r="J137" s="76" t="str">
        <f>IF($C137="","",ROUND(IFERROR(INDEX(期初余额!$I$4:$I$9,MATCH($C137,期初余额!$H$4:$H$9,0)),0)+SUMIFS($H$4:$H137,$C$4:$C137,$C137)-SUMIFS($I$4:$I137,$C$4:$C137,$C137),2))</f>
        <v/>
      </c>
      <c r="K137" s="111" t="str">
        <f>IF($T137&lt;&gt;"",$T137,IF($C137="","",IF(AND(N($I137)&gt;0,$G137&lt;&gt;""),IFERROR(INDEX(科目表!$U$4:$U$123,MATCH($G137,科目表!$M$4:$M$123,0)),"管理费用"),IF(N($H137)&gt;0,IFERROR(INDEX(自动规则!$C$4:$C$40,MATCH($F137,自动规则!$B$4:$B$40,0)),"其他应收款"),IFERROR(INDEX(自动规则!$D$4:$D$40,MATCH($F137,自动规则!$B$4:$B$40,0)),"其他应付款")))))</f>
        <v/>
      </c>
      <c r="L137" s="106"/>
      <c r="M137" s="75" t="str">
        <f>IF($C137="","",IFERROR(INDEX(科目表!$T$4:$T$9,MATCH($C137,科目表!$S$4:$S$9,0)),""))</f>
        <v/>
      </c>
      <c r="N137" s="75" t="str">
        <f t="shared" si="17"/>
        <v/>
      </c>
      <c r="O137" s="76" t="str">
        <f t="shared" si="18"/>
        <v/>
      </c>
      <c r="P137" s="76" t="str">
        <f t="shared" si="19"/>
        <v/>
      </c>
      <c r="Q137" s="75" t="str">
        <f t="shared" si="20"/>
        <v/>
      </c>
      <c r="R137" s="76" t="str">
        <f t="shared" si="21"/>
        <v/>
      </c>
      <c r="S137" s="76" t="str">
        <f t="shared" si="22"/>
        <v/>
      </c>
      <c r="T137" s="43"/>
      <c r="U137" s="107"/>
      <c r="V137" s="76" t="str">
        <f t="shared" si="23"/>
        <v/>
      </c>
      <c r="W137" s="43"/>
      <c r="X137" s="43"/>
      <c r="Y137" s="74"/>
    </row>
    <row r="138" ht="18" customHeight="1" spans="1:25">
      <c r="A138" s="74" t="str">
        <f t="shared" si="16"/>
        <v/>
      </c>
      <c r="B138" s="7"/>
      <c r="C138" s="43"/>
      <c r="D138" s="106"/>
      <c r="E138" s="43"/>
      <c r="F138" s="43"/>
      <c r="G138" s="43"/>
      <c r="H138" s="107"/>
      <c r="I138" s="107"/>
      <c r="J138" s="76" t="str">
        <f>IF($C138="","",ROUND(IFERROR(INDEX(期初余额!$I$4:$I$9,MATCH($C138,期初余额!$H$4:$H$9,0)),0)+SUMIFS($H$4:$H138,$C$4:$C138,$C138)-SUMIFS($I$4:$I138,$C$4:$C138,$C138),2))</f>
        <v/>
      </c>
      <c r="K138" s="111" t="str">
        <f>IF($T138&lt;&gt;"",$T138,IF($C138="","",IF(AND(N($I138)&gt;0,$G138&lt;&gt;""),IFERROR(INDEX(科目表!$U$4:$U$123,MATCH($G138,科目表!$M$4:$M$123,0)),"管理费用"),IF(N($H138)&gt;0,IFERROR(INDEX(自动规则!$C$4:$C$40,MATCH($F138,自动规则!$B$4:$B$40,0)),"其他应收款"),IFERROR(INDEX(自动规则!$D$4:$D$40,MATCH($F138,自动规则!$B$4:$B$40,0)),"其他应付款")))))</f>
        <v/>
      </c>
      <c r="L138" s="106"/>
      <c r="M138" s="75" t="str">
        <f>IF($C138="","",IFERROR(INDEX(科目表!$T$4:$T$9,MATCH($C138,科目表!$S$4:$S$9,0)),""))</f>
        <v/>
      </c>
      <c r="N138" s="75" t="str">
        <f t="shared" si="17"/>
        <v/>
      </c>
      <c r="O138" s="76" t="str">
        <f t="shared" si="18"/>
        <v/>
      </c>
      <c r="P138" s="76" t="str">
        <f t="shared" si="19"/>
        <v/>
      </c>
      <c r="Q138" s="75" t="str">
        <f t="shared" si="20"/>
        <v/>
      </c>
      <c r="R138" s="76" t="str">
        <f t="shared" si="21"/>
        <v/>
      </c>
      <c r="S138" s="76" t="str">
        <f t="shared" si="22"/>
        <v/>
      </c>
      <c r="T138" s="43"/>
      <c r="U138" s="107"/>
      <c r="V138" s="76" t="str">
        <f t="shared" si="23"/>
        <v/>
      </c>
      <c r="W138" s="43"/>
      <c r="X138" s="43"/>
      <c r="Y138" s="74"/>
    </row>
    <row r="139" ht="18" customHeight="1" spans="1:25">
      <c r="A139" s="74" t="str">
        <f t="shared" si="16"/>
        <v/>
      </c>
      <c r="B139" s="7"/>
      <c r="C139" s="43"/>
      <c r="D139" s="106"/>
      <c r="E139" s="43"/>
      <c r="F139" s="43"/>
      <c r="G139" s="43"/>
      <c r="H139" s="107"/>
      <c r="I139" s="107"/>
      <c r="J139" s="76" t="str">
        <f>IF($C139="","",ROUND(IFERROR(INDEX(期初余额!$I$4:$I$9,MATCH($C139,期初余额!$H$4:$H$9,0)),0)+SUMIFS($H$4:$H139,$C$4:$C139,$C139)-SUMIFS($I$4:$I139,$C$4:$C139,$C139),2))</f>
        <v/>
      </c>
      <c r="K139" s="111" t="str">
        <f>IF($T139&lt;&gt;"",$T139,IF($C139="","",IF(AND(N($I139)&gt;0,$G139&lt;&gt;""),IFERROR(INDEX(科目表!$U$4:$U$123,MATCH($G139,科目表!$M$4:$M$123,0)),"管理费用"),IF(N($H139)&gt;0,IFERROR(INDEX(自动规则!$C$4:$C$40,MATCH($F139,自动规则!$B$4:$B$40,0)),"其他应收款"),IFERROR(INDEX(自动规则!$D$4:$D$40,MATCH($F139,自动规则!$B$4:$B$40,0)),"其他应付款")))))</f>
        <v/>
      </c>
      <c r="L139" s="106"/>
      <c r="M139" s="75" t="str">
        <f>IF($C139="","",IFERROR(INDEX(科目表!$T$4:$T$9,MATCH($C139,科目表!$S$4:$S$9,0)),""))</f>
        <v/>
      </c>
      <c r="N139" s="75" t="str">
        <f t="shared" si="17"/>
        <v/>
      </c>
      <c r="O139" s="76" t="str">
        <f t="shared" si="18"/>
        <v/>
      </c>
      <c r="P139" s="76" t="str">
        <f t="shared" si="19"/>
        <v/>
      </c>
      <c r="Q139" s="75" t="str">
        <f t="shared" si="20"/>
        <v/>
      </c>
      <c r="R139" s="76" t="str">
        <f t="shared" si="21"/>
        <v/>
      </c>
      <c r="S139" s="76" t="str">
        <f t="shared" si="22"/>
        <v/>
      </c>
      <c r="T139" s="43"/>
      <c r="U139" s="107"/>
      <c r="V139" s="76" t="str">
        <f t="shared" si="23"/>
        <v/>
      </c>
      <c r="W139" s="43"/>
      <c r="X139" s="43"/>
      <c r="Y139" s="74"/>
    </row>
    <row r="140" ht="18" customHeight="1" spans="1:25">
      <c r="A140" s="74" t="str">
        <f t="shared" si="16"/>
        <v/>
      </c>
      <c r="B140" s="7"/>
      <c r="C140" s="43"/>
      <c r="D140" s="106"/>
      <c r="E140" s="43"/>
      <c r="F140" s="43"/>
      <c r="G140" s="43"/>
      <c r="H140" s="107"/>
      <c r="I140" s="107"/>
      <c r="J140" s="76" t="str">
        <f>IF($C140="","",ROUND(IFERROR(INDEX(期初余额!$I$4:$I$9,MATCH($C140,期初余额!$H$4:$H$9,0)),0)+SUMIFS($H$4:$H140,$C$4:$C140,$C140)-SUMIFS($I$4:$I140,$C$4:$C140,$C140),2))</f>
        <v/>
      </c>
      <c r="K140" s="111" t="str">
        <f>IF($T140&lt;&gt;"",$T140,IF($C140="","",IF(AND(N($I140)&gt;0,$G140&lt;&gt;""),IFERROR(INDEX(科目表!$U$4:$U$123,MATCH($G140,科目表!$M$4:$M$123,0)),"管理费用"),IF(N($H140)&gt;0,IFERROR(INDEX(自动规则!$C$4:$C$40,MATCH($F140,自动规则!$B$4:$B$40,0)),"其他应收款"),IFERROR(INDEX(自动规则!$D$4:$D$40,MATCH($F140,自动规则!$B$4:$B$40,0)),"其他应付款")))))</f>
        <v/>
      </c>
      <c r="L140" s="106"/>
      <c r="M140" s="75" t="str">
        <f>IF($C140="","",IFERROR(INDEX(科目表!$T$4:$T$9,MATCH($C140,科目表!$S$4:$S$9,0)),""))</f>
        <v/>
      </c>
      <c r="N140" s="75" t="str">
        <f t="shared" si="17"/>
        <v/>
      </c>
      <c r="O140" s="76" t="str">
        <f t="shared" si="18"/>
        <v/>
      </c>
      <c r="P140" s="76" t="str">
        <f t="shared" si="19"/>
        <v/>
      </c>
      <c r="Q140" s="75" t="str">
        <f t="shared" si="20"/>
        <v/>
      </c>
      <c r="R140" s="76" t="str">
        <f t="shared" si="21"/>
        <v/>
      </c>
      <c r="S140" s="76" t="str">
        <f t="shared" si="22"/>
        <v/>
      </c>
      <c r="T140" s="43"/>
      <c r="U140" s="107"/>
      <c r="V140" s="76" t="str">
        <f t="shared" si="23"/>
        <v/>
      </c>
      <c r="W140" s="43"/>
      <c r="X140" s="43"/>
      <c r="Y140" s="74"/>
    </row>
    <row r="141" ht="18" customHeight="1" spans="1:25">
      <c r="A141" s="74" t="str">
        <f t="shared" si="16"/>
        <v/>
      </c>
      <c r="B141" s="7"/>
      <c r="C141" s="43"/>
      <c r="D141" s="106"/>
      <c r="E141" s="43"/>
      <c r="F141" s="43"/>
      <c r="G141" s="43"/>
      <c r="H141" s="107"/>
      <c r="I141" s="107"/>
      <c r="J141" s="76" t="str">
        <f>IF($C141="","",ROUND(IFERROR(INDEX(期初余额!$I$4:$I$9,MATCH($C141,期初余额!$H$4:$H$9,0)),0)+SUMIFS($H$4:$H141,$C$4:$C141,$C141)-SUMIFS($I$4:$I141,$C$4:$C141,$C141),2))</f>
        <v/>
      </c>
      <c r="K141" s="111" t="str">
        <f>IF($T141&lt;&gt;"",$T141,IF($C141="","",IF(AND(N($I141)&gt;0,$G141&lt;&gt;""),IFERROR(INDEX(科目表!$U$4:$U$123,MATCH($G141,科目表!$M$4:$M$123,0)),"管理费用"),IF(N($H141)&gt;0,IFERROR(INDEX(自动规则!$C$4:$C$40,MATCH($F141,自动规则!$B$4:$B$40,0)),"其他应收款"),IFERROR(INDEX(自动规则!$D$4:$D$40,MATCH($F141,自动规则!$B$4:$B$40,0)),"其他应付款")))))</f>
        <v/>
      </c>
      <c r="L141" s="106"/>
      <c r="M141" s="75" t="str">
        <f>IF($C141="","",IFERROR(INDEX(科目表!$T$4:$T$9,MATCH($C141,科目表!$S$4:$S$9,0)),""))</f>
        <v/>
      </c>
      <c r="N141" s="75" t="str">
        <f t="shared" si="17"/>
        <v/>
      </c>
      <c r="O141" s="76" t="str">
        <f t="shared" si="18"/>
        <v/>
      </c>
      <c r="P141" s="76" t="str">
        <f t="shared" si="19"/>
        <v/>
      </c>
      <c r="Q141" s="75" t="str">
        <f t="shared" si="20"/>
        <v/>
      </c>
      <c r="R141" s="76" t="str">
        <f t="shared" si="21"/>
        <v/>
      </c>
      <c r="S141" s="76" t="str">
        <f t="shared" si="22"/>
        <v/>
      </c>
      <c r="T141" s="43"/>
      <c r="U141" s="107"/>
      <c r="V141" s="76" t="str">
        <f t="shared" si="23"/>
        <v/>
      </c>
      <c r="W141" s="43"/>
      <c r="X141" s="43"/>
      <c r="Y141" s="74"/>
    </row>
    <row r="142" ht="18" customHeight="1" spans="1:25">
      <c r="A142" s="74" t="str">
        <f t="shared" si="16"/>
        <v/>
      </c>
      <c r="B142" s="7"/>
      <c r="C142" s="43"/>
      <c r="D142" s="106"/>
      <c r="E142" s="43"/>
      <c r="F142" s="43"/>
      <c r="G142" s="43"/>
      <c r="H142" s="107"/>
      <c r="I142" s="107"/>
      <c r="J142" s="76" t="str">
        <f>IF($C142="","",ROUND(IFERROR(INDEX(期初余额!$I$4:$I$9,MATCH($C142,期初余额!$H$4:$H$9,0)),0)+SUMIFS($H$4:$H142,$C$4:$C142,$C142)-SUMIFS($I$4:$I142,$C$4:$C142,$C142),2))</f>
        <v/>
      </c>
      <c r="K142" s="111" t="str">
        <f>IF($T142&lt;&gt;"",$T142,IF($C142="","",IF(AND(N($I142)&gt;0,$G142&lt;&gt;""),IFERROR(INDEX(科目表!$U$4:$U$123,MATCH($G142,科目表!$M$4:$M$123,0)),"管理费用"),IF(N($H142)&gt;0,IFERROR(INDEX(自动规则!$C$4:$C$40,MATCH($F142,自动规则!$B$4:$B$40,0)),"其他应收款"),IFERROR(INDEX(自动规则!$D$4:$D$40,MATCH($F142,自动规则!$B$4:$B$40,0)),"其他应付款")))))</f>
        <v/>
      </c>
      <c r="L142" s="106"/>
      <c r="M142" s="75" t="str">
        <f>IF($C142="","",IFERROR(INDEX(科目表!$T$4:$T$9,MATCH($C142,科目表!$S$4:$S$9,0)),""))</f>
        <v/>
      </c>
      <c r="N142" s="75" t="str">
        <f t="shared" si="17"/>
        <v/>
      </c>
      <c r="O142" s="76" t="str">
        <f t="shared" si="18"/>
        <v/>
      </c>
      <c r="P142" s="76" t="str">
        <f t="shared" si="19"/>
        <v/>
      </c>
      <c r="Q142" s="75" t="str">
        <f t="shared" si="20"/>
        <v/>
      </c>
      <c r="R142" s="76" t="str">
        <f t="shared" si="21"/>
        <v/>
      </c>
      <c r="S142" s="76" t="str">
        <f t="shared" si="22"/>
        <v/>
      </c>
      <c r="T142" s="43"/>
      <c r="U142" s="107"/>
      <c r="V142" s="76" t="str">
        <f t="shared" si="23"/>
        <v/>
      </c>
      <c r="W142" s="43"/>
      <c r="X142" s="43"/>
      <c r="Y142" s="74"/>
    </row>
    <row r="143" ht="18" customHeight="1" spans="1:25">
      <c r="A143" s="74" t="str">
        <f t="shared" si="16"/>
        <v/>
      </c>
      <c r="B143" s="7"/>
      <c r="C143" s="43"/>
      <c r="D143" s="106"/>
      <c r="E143" s="43"/>
      <c r="F143" s="43"/>
      <c r="G143" s="43"/>
      <c r="H143" s="107"/>
      <c r="I143" s="107"/>
      <c r="J143" s="76" t="str">
        <f>IF($C143="","",ROUND(IFERROR(INDEX(期初余额!$I$4:$I$9,MATCH($C143,期初余额!$H$4:$H$9,0)),0)+SUMIFS($H$4:$H143,$C$4:$C143,$C143)-SUMIFS($I$4:$I143,$C$4:$C143,$C143),2))</f>
        <v/>
      </c>
      <c r="K143" s="111" t="str">
        <f>IF($T143&lt;&gt;"",$T143,IF($C143="","",IF(AND(N($I143)&gt;0,$G143&lt;&gt;""),IFERROR(INDEX(科目表!$U$4:$U$123,MATCH($G143,科目表!$M$4:$M$123,0)),"管理费用"),IF(N($H143)&gt;0,IFERROR(INDEX(自动规则!$C$4:$C$40,MATCH($F143,自动规则!$B$4:$B$40,0)),"其他应收款"),IFERROR(INDEX(自动规则!$D$4:$D$40,MATCH($F143,自动规则!$B$4:$B$40,0)),"其他应付款")))))</f>
        <v/>
      </c>
      <c r="L143" s="106"/>
      <c r="M143" s="75" t="str">
        <f>IF($C143="","",IFERROR(INDEX(科目表!$T$4:$T$9,MATCH($C143,科目表!$S$4:$S$9,0)),""))</f>
        <v/>
      </c>
      <c r="N143" s="75" t="str">
        <f t="shared" si="17"/>
        <v/>
      </c>
      <c r="O143" s="76" t="str">
        <f t="shared" si="18"/>
        <v/>
      </c>
      <c r="P143" s="76" t="str">
        <f t="shared" si="19"/>
        <v/>
      </c>
      <c r="Q143" s="75" t="str">
        <f t="shared" si="20"/>
        <v/>
      </c>
      <c r="R143" s="76" t="str">
        <f t="shared" si="21"/>
        <v/>
      </c>
      <c r="S143" s="76" t="str">
        <f t="shared" si="22"/>
        <v/>
      </c>
      <c r="T143" s="43"/>
      <c r="U143" s="107"/>
      <c r="V143" s="76" t="str">
        <f t="shared" si="23"/>
        <v/>
      </c>
      <c r="W143" s="43"/>
      <c r="X143" s="43"/>
      <c r="Y143" s="74"/>
    </row>
    <row r="144" ht="18" customHeight="1" spans="1:25">
      <c r="A144" s="74" t="str">
        <f t="shared" si="16"/>
        <v/>
      </c>
      <c r="B144" s="7"/>
      <c r="C144" s="43"/>
      <c r="D144" s="106"/>
      <c r="E144" s="43"/>
      <c r="F144" s="43"/>
      <c r="G144" s="43"/>
      <c r="H144" s="107"/>
      <c r="I144" s="107"/>
      <c r="J144" s="76" t="str">
        <f>IF($C144="","",ROUND(IFERROR(INDEX(期初余额!$I$4:$I$9,MATCH($C144,期初余额!$H$4:$H$9,0)),0)+SUMIFS($H$4:$H144,$C$4:$C144,$C144)-SUMIFS($I$4:$I144,$C$4:$C144,$C144),2))</f>
        <v/>
      </c>
      <c r="K144" s="111" t="str">
        <f>IF($T144&lt;&gt;"",$T144,IF($C144="","",IF(AND(N($I144)&gt;0,$G144&lt;&gt;""),IFERROR(INDEX(科目表!$U$4:$U$123,MATCH($G144,科目表!$M$4:$M$123,0)),"管理费用"),IF(N($H144)&gt;0,IFERROR(INDEX(自动规则!$C$4:$C$40,MATCH($F144,自动规则!$B$4:$B$40,0)),"其他应收款"),IFERROR(INDEX(自动规则!$D$4:$D$40,MATCH($F144,自动规则!$B$4:$B$40,0)),"其他应付款")))))</f>
        <v/>
      </c>
      <c r="L144" s="106"/>
      <c r="M144" s="75" t="str">
        <f>IF($C144="","",IFERROR(INDEX(科目表!$T$4:$T$9,MATCH($C144,科目表!$S$4:$S$9,0)),""))</f>
        <v/>
      </c>
      <c r="N144" s="75" t="str">
        <f t="shared" si="17"/>
        <v/>
      </c>
      <c r="O144" s="76" t="str">
        <f t="shared" si="18"/>
        <v/>
      </c>
      <c r="P144" s="76" t="str">
        <f t="shared" si="19"/>
        <v/>
      </c>
      <c r="Q144" s="75" t="str">
        <f t="shared" si="20"/>
        <v/>
      </c>
      <c r="R144" s="76" t="str">
        <f t="shared" si="21"/>
        <v/>
      </c>
      <c r="S144" s="76" t="str">
        <f t="shared" si="22"/>
        <v/>
      </c>
      <c r="T144" s="43"/>
      <c r="U144" s="107"/>
      <c r="V144" s="76" t="str">
        <f t="shared" si="23"/>
        <v/>
      </c>
      <c r="W144" s="43"/>
      <c r="X144" s="43"/>
      <c r="Y144" s="74"/>
    </row>
    <row r="145" ht="18" customHeight="1" spans="1:25">
      <c r="A145" s="74" t="str">
        <f t="shared" si="16"/>
        <v/>
      </c>
      <c r="B145" s="7"/>
      <c r="C145" s="43"/>
      <c r="D145" s="106"/>
      <c r="E145" s="43"/>
      <c r="F145" s="43"/>
      <c r="G145" s="43"/>
      <c r="H145" s="107"/>
      <c r="I145" s="107"/>
      <c r="J145" s="76" t="str">
        <f>IF($C145="","",ROUND(IFERROR(INDEX(期初余额!$I$4:$I$9,MATCH($C145,期初余额!$H$4:$H$9,0)),0)+SUMIFS($H$4:$H145,$C$4:$C145,$C145)-SUMIFS($I$4:$I145,$C$4:$C145,$C145),2))</f>
        <v/>
      </c>
      <c r="K145" s="111" t="str">
        <f>IF($T145&lt;&gt;"",$T145,IF($C145="","",IF(AND(N($I145)&gt;0,$G145&lt;&gt;""),IFERROR(INDEX(科目表!$U$4:$U$123,MATCH($G145,科目表!$M$4:$M$123,0)),"管理费用"),IF(N($H145)&gt;0,IFERROR(INDEX(自动规则!$C$4:$C$40,MATCH($F145,自动规则!$B$4:$B$40,0)),"其他应收款"),IFERROR(INDEX(自动规则!$D$4:$D$40,MATCH($F145,自动规则!$B$4:$B$40,0)),"其他应付款")))))</f>
        <v/>
      </c>
      <c r="L145" s="106"/>
      <c r="M145" s="75" t="str">
        <f>IF($C145="","",IFERROR(INDEX(科目表!$T$4:$T$9,MATCH($C145,科目表!$S$4:$S$9,0)),""))</f>
        <v/>
      </c>
      <c r="N145" s="75" t="str">
        <f t="shared" si="17"/>
        <v/>
      </c>
      <c r="O145" s="76" t="str">
        <f t="shared" si="18"/>
        <v/>
      </c>
      <c r="P145" s="76" t="str">
        <f t="shared" si="19"/>
        <v/>
      </c>
      <c r="Q145" s="75" t="str">
        <f t="shared" si="20"/>
        <v/>
      </c>
      <c r="R145" s="76" t="str">
        <f t="shared" si="21"/>
        <v/>
      </c>
      <c r="S145" s="76" t="str">
        <f t="shared" si="22"/>
        <v/>
      </c>
      <c r="T145" s="43"/>
      <c r="U145" s="107"/>
      <c r="V145" s="76" t="str">
        <f t="shared" si="23"/>
        <v/>
      </c>
      <c r="W145" s="43"/>
      <c r="X145" s="43"/>
      <c r="Y145" s="74"/>
    </row>
    <row r="146" ht="18" customHeight="1" spans="1:25">
      <c r="A146" s="74" t="str">
        <f t="shared" si="16"/>
        <v/>
      </c>
      <c r="B146" s="7"/>
      <c r="C146" s="43"/>
      <c r="D146" s="106"/>
      <c r="E146" s="43"/>
      <c r="F146" s="43"/>
      <c r="G146" s="43"/>
      <c r="H146" s="107"/>
      <c r="I146" s="107"/>
      <c r="J146" s="76" t="str">
        <f>IF($C146="","",ROUND(IFERROR(INDEX(期初余额!$I$4:$I$9,MATCH($C146,期初余额!$H$4:$H$9,0)),0)+SUMIFS($H$4:$H146,$C$4:$C146,$C146)-SUMIFS($I$4:$I146,$C$4:$C146,$C146),2))</f>
        <v/>
      </c>
      <c r="K146" s="111" t="str">
        <f>IF($T146&lt;&gt;"",$T146,IF($C146="","",IF(AND(N($I146)&gt;0,$G146&lt;&gt;""),IFERROR(INDEX(科目表!$U$4:$U$123,MATCH($G146,科目表!$M$4:$M$123,0)),"管理费用"),IF(N($H146)&gt;0,IFERROR(INDEX(自动规则!$C$4:$C$40,MATCH($F146,自动规则!$B$4:$B$40,0)),"其他应收款"),IFERROR(INDEX(自动规则!$D$4:$D$40,MATCH($F146,自动规则!$B$4:$B$40,0)),"其他应付款")))))</f>
        <v/>
      </c>
      <c r="L146" s="106"/>
      <c r="M146" s="75" t="str">
        <f>IF($C146="","",IFERROR(INDEX(科目表!$T$4:$T$9,MATCH($C146,科目表!$S$4:$S$9,0)),""))</f>
        <v/>
      </c>
      <c r="N146" s="75" t="str">
        <f t="shared" si="17"/>
        <v/>
      </c>
      <c r="O146" s="76" t="str">
        <f t="shared" si="18"/>
        <v/>
      </c>
      <c r="P146" s="76" t="str">
        <f t="shared" si="19"/>
        <v/>
      </c>
      <c r="Q146" s="75" t="str">
        <f t="shared" si="20"/>
        <v/>
      </c>
      <c r="R146" s="76" t="str">
        <f t="shared" si="21"/>
        <v/>
      </c>
      <c r="S146" s="76" t="str">
        <f t="shared" si="22"/>
        <v/>
      </c>
      <c r="T146" s="43"/>
      <c r="U146" s="107"/>
      <c r="V146" s="76" t="str">
        <f t="shared" si="23"/>
        <v/>
      </c>
      <c r="W146" s="43"/>
      <c r="X146" s="43"/>
      <c r="Y146" s="74"/>
    </row>
    <row r="147" ht="18" customHeight="1" spans="1:25">
      <c r="A147" s="74" t="str">
        <f t="shared" si="16"/>
        <v/>
      </c>
      <c r="B147" s="7"/>
      <c r="C147" s="43"/>
      <c r="D147" s="106"/>
      <c r="E147" s="43"/>
      <c r="F147" s="43"/>
      <c r="G147" s="43"/>
      <c r="H147" s="107"/>
      <c r="I147" s="107"/>
      <c r="J147" s="76" t="str">
        <f>IF($C147="","",ROUND(IFERROR(INDEX(期初余额!$I$4:$I$9,MATCH($C147,期初余额!$H$4:$H$9,0)),0)+SUMIFS($H$4:$H147,$C$4:$C147,$C147)-SUMIFS($I$4:$I147,$C$4:$C147,$C147),2))</f>
        <v/>
      </c>
      <c r="K147" s="111" t="str">
        <f>IF($T147&lt;&gt;"",$T147,IF($C147="","",IF(AND(N($I147)&gt;0,$G147&lt;&gt;""),IFERROR(INDEX(科目表!$U$4:$U$123,MATCH($G147,科目表!$M$4:$M$123,0)),"管理费用"),IF(N($H147)&gt;0,IFERROR(INDEX(自动规则!$C$4:$C$40,MATCH($F147,自动规则!$B$4:$B$40,0)),"其他应收款"),IFERROR(INDEX(自动规则!$D$4:$D$40,MATCH($F147,自动规则!$B$4:$B$40,0)),"其他应付款")))))</f>
        <v/>
      </c>
      <c r="L147" s="106"/>
      <c r="M147" s="75" t="str">
        <f>IF($C147="","",IFERROR(INDEX(科目表!$T$4:$T$9,MATCH($C147,科目表!$S$4:$S$9,0)),""))</f>
        <v/>
      </c>
      <c r="N147" s="75" t="str">
        <f t="shared" si="17"/>
        <v/>
      </c>
      <c r="O147" s="76" t="str">
        <f t="shared" si="18"/>
        <v/>
      </c>
      <c r="P147" s="76" t="str">
        <f t="shared" si="19"/>
        <v/>
      </c>
      <c r="Q147" s="75" t="str">
        <f t="shared" si="20"/>
        <v/>
      </c>
      <c r="R147" s="76" t="str">
        <f t="shared" si="21"/>
        <v/>
      </c>
      <c r="S147" s="76" t="str">
        <f t="shared" si="22"/>
        <v/>
      </c>
      <c r="T147" s="43"/>
      <c r="U147" s="107"/>
      <c r="V147" s="76" t="str">
        <f t="shared" si="23"/>
        <v/>
      </c>
      <c r="W147" s="43"/>
      <c r="X147" s="43"/>
      <c r="Y147" s="74"/>
    </row>
    <row r="148" ht="18" customHeight="1" spans="1:25">
      <c r="A148" s="74" t="str">
        <f t="shared" si="16"/>
        <v/>
      </c>
      <c r="B148" s="7"/>
      <c r="C148" s="43"/>
      <c r="D148" s="106"/>
      <c r="E148" s="43"/>
      <c r="F148" s="43"/>
      <c r="G148" s="43"/>
      <c r="H148" s="107"/>
      <c r="I148" s="107"/>
      <c r="J148" s="76" t="str">
        <f>IF($C148="","",ROUND(IFERROR(INDEX(期初余额!$I$4:$I$9,MATCH($C148,期初余额!$H$4:$H$9,0)),0)+SUMIFS($H$4:$H148,$C$4:$C148,$C148)-SUMIFS($I$4:$I148,$C$4:$C148,$C148),2))</f>
        <v/>
      </c>
      <c r="K148" s="111" t="str">
        <f>IF($T148&lt;&gt;"",$T148,IF($C148="","",IF(AND(N($I148)&gt;0,$G148&lt;&gt;""),IFERROR(INDEX(科目表!$U$4:$U$123,MATCH($G148,科目表!$M$4:$M$123,0)),"管理费用"),IF(N($H148)&gt;0,IFERROR(INDEX(自动规则!$C$4:$C$40,MATCH($F148,自动规则!$B$4:$B$40,0)),"其他应收款"),IFERROR(INDEX(自动规则!$D$4:$D$40,MATCH($F148,自动规则!$B$4:$B$40,0)),"其他应付款")))))</f>
        <v/>
      </c>
      <c r="L148" s="106"/>
      <c r="M148" s="75" t="str">
        <f>IF($C148="","",IFERROR(INDEX(科目表!$T$4:$T$9,MATCH($C148,科目表!$S$4:$S$9,0)),""))</f>
        <v/>
      </c>
      <c r="N148" s="75" t="str">
        <f t="shared" si="17"/>
        <v/>
      </c>
      <c r="O148" s="76" t="str">
        <f t="shared" si="18"/>
        <v/>
      </c>
      <c r="P148" s="76" t="str">
        <f t="shared" si="19"/>
        <v/>
      </c>
      <c r="Q148" s="75" t="str">
        <f t="shared" si="20"/>
        <v/>
      </c>
      <c r="R148" s="76" t="str">
        <f t="shared" si="21"/>
        <v/>
      </c>
      <c r="S148" s="76" t="str">
        <f t="shared" si="22"/>
        <v/>
      </c>
      <c r="T148" s="43"/>
      <c r="U148" s="107"/>
      <c r="V148" s="76" t="str">
        <f t="shared" si="23"/>
        <v/>
      </c>
      <c r="W148" s="43"/>
      <c r="X148" s="43"/>
      <c r="Y148" s="74"/>
    </row>
    <row r="149" ht="18" customHeight="1" spans="1:25">
      <c r="A149" s="74" t="str">
        <f t="shared" si="16"/>
        <v/>
      </c>
      <c r="B149" s="7"/>
      <c r="C149" s="43"/>
      <c r="D149" s="106"/>
      <c r="E149" s="43"/>
      <c r="F149" s="43"/>
      <c r="G149" s="43"/>
      <c r="H149" s="107"/>
      <c r="I149" s="107"/>
      <c r="J149" s="76" t="str">
        <f>IF($C149="","",ROUND(IFERROR(INDEX(期初余额!$I$4:$I$9,MATCH($C149,期初余额!$H$4:$H$9,0)),0)+SUMIFS($H$4:$H149,$C$4:$C149,$C149)-SUMIFS($I$4:$I149,$C$4:$C149,$C149),2))</f>
        <v/>
      </c>
      <c r="K149" s="111" t="str">
        <f>IF($T149&lt;&gt;"",$T149,IF($C149="","",IF(AND(N($I149)&gt;0,$G149&lt;&gt;""),IFERROR(INDEX(科目表!$U$4:$U$123,MATCH($G149,科目表!$M$4:$M$123,0)),"管理费用"),IF(N($H149)&gt;0,IFERROR(INDEX(自动规则!$C$4:$C$40,MATCH($F149,自动规则!$B$4:$B$40,0)),"其他应收款"),IFERROR(INDEX(自动规则!$D$4:$D$40,MATCH($F149,自动规则!$B$4:$B$40,0)),"其他应付款")))))</f>
        <v/>
      </c>
      <c r="L149" s="106"/>
      <c r="M149" s="75" t="str">
        <f>IF($C149="","",IFERROR(INDEX(科目表!$T$4:$T$9,MATCH($C149,科目表!$S$4:$S$9,0)),""))</f>
        <v/>
      </c>
      <c r="N149" s="75" t="str">
        <f t="shared" si="17"/>
        <v/>
      </c>
      <c r="O149" s="76" t="str">
        <f t="shared" si="18"/>
        <v/>
      </c>
      <c r="P149" s="76" t="str">
        <f t="shared" si="19"/>
        <v/>
      </c>
      <c r="Q149" s="75" t="str">
        <f t="shared" si="20"/>
        <v/>
      </c>
      <c r="R149" s="76" t="str">
        <f t="shared" si="21"/>
        <v/>
      </c>
      <c r="S149" s="76" t="str">
        <f t="shared" si="22"/>
        <v/>
      </c>
      <c r="T149" s="43"/>
      <c r="U149" s="107"/>
      <c r="V149" s="76" t="str">
        <f t="shared" si="23"/>
        <v/>
      </c>
      <c r="W149" s="43"/>
      <c r="X149" s="43"/>
      <c r="Y149" s="74"/>
    </row>
    <row r="150" ht="18" customHeight="1" spans="1:25">
      <c r="A150" s="74" t="str">
        <f t="shared" si="16"/>
        <v/>
      </c>
      <c r="B150" s="7"/>
      <c r="C150" s="43"/>
      <c r="D150" s="106"/>
      <c r="E150" s="43"/>
      <c r="F150" s="43"/>
      <c r="G150" s="43"/>
      <c r="H150" s="107"/>
      <c r="I150" s="107"/>
      <c r="J150" s="76" t="str">
        <f>IF($C150="","",ROUND(IFERROR(INDEX(期初余额!$I$4:$I$9,MATCH($C150,期初余额!$H$4:$H$9,0)),0)+SUMIFS($H$4:$H150,$C$4:$C150,$C150)-SUMIFS($I$4:$I150,$C$4:$C150,$C150),2))</f>
        <v/>
      </c>
      <c r="K150" s="111" t="str">
        <f>IF($T150&lt;&gt;"",$T150,IF($C150="","",IF(AND(N($I150)&gt;0,$G150&lt;&gt;""),IFERROR(INDEX(科目表!$U$4:$U$123,MATCH($G150,科目表!$M$4:$M$123,0)),"管理费用"),IF(N($H150)&gt;0,IFERROR(INDEX(自动规则!$C$4:$C$40,MATCH($F150,自动规则!$B$4:$B$40,0)),"其他应收款"),IFERROR(INDEX(自动规则!$D$4:$D$40,MATCH($F150,自动规则!$B$4:$B$40,0)),"其他应付款")))))</f>
        <v/>
      </c>
      <c r="L150" s="106"/>
      <c r="M150" s="75" t="str">
        <f>IF($C150="","",IFERROR(INDEX(科目表!$T$4:$T$9,MATCH($C150,科目表!$S$4:$S$9,0)),""))</f>
        <v/>
      </c>
      <c r="N150" s="75" t="str">
        <f t="shared" si="17"/>
        <v/>
      </c>
      <c r="O150" s="76" t="str">
        <f t="shared" si="18"/>
        <v/>
      </c>
      <c r="P150" s="76" t="str">
        <f t="shared" si="19"/>
        <v/>
      </c>
      <c r="Q150" s="75" t="str">
        <f t="shared" si="20"/>
        <v/>
      </c>
      <c r="R150" s="76" t="str">
        <f t="shared" si="21"/>
        <v/>
      </c>
      <c r="S150" s="76" t="str">
        <f t="shared" si="22"/>
        <v/>
      </c>
      <c r="T150" s="43"/>
      <c r="U150" s="107"/>
      <c r="V150" s="76" t="str">
        <f t="shared" si="23"/>
        <v/>
      </c>
      <c r="W150" s="43"/>
      <c r="X150" s="43"/>
      <c r="Y150" s="74"/>
    </row>
    <row r="151" ht="18" customHeight="1" spans="1:25">
      <c r="A151" s="74" t="str">
        <f t="shared" si="16"/>
        <v/>
      </c>
      <c r="B151" s="7"/>
      <c r="C151" s="43"/>
      <c r="D151" s="106"/>
      <c r="E151" s="43"/>
      <c r="F151" s="43"/>
      <c r="G151" s="43"/>
      <c r="H151" s="107"/>
      <c r="I151" s="107"/>
      <c r="J151" s="76" t="str">
        <f>IF($C151="","",ROUND(IFERROR(INDEX(期初余额!$I$4:$I$9,MATCH($C151,期初余额!$H$4:$H$9,0)),0)+SUMIFS($H$4:$H151,$C$4:$C151,$C151)-SUMIFS($I$4:$I151,$C$4:$C151,$C151),2))</f>
        <v/>
      </c>
      <c r="K151" s="111" t="str">
        <f>IF($T151&lt;&gt;"",$T151,IF($C151="","",IF(AND(N($I151)&gt;0,$G151&lt;&gt;""),IFERROR(INDEX(科目表!$U$4:$U$123,MATCH($G151,科目表!$M$4:$M$123,0)),"管理费用"),IF(N($H151)&gt;0,IFERROR(INDEX(自动规则!$C$4:$C$40,MATCH($F151,自动规则!$B$4:$B$40,0)),"其他应收款"),IFERROR(INDEX(自动规则!$D$4:$D$40,MATCH($F151,自动规则!$B$4:$B$40,0)),"其他应付款")))))</f>
        <v/>
      </c>
      <c r="L151" s="106"/>
      <c r="M151" s="75" t="str">
        <f>IF($C151="","",IFERROR(INDEX(科目表!$T$4:$T$9,MATCH($C151,科目表!$S$4:$S$9,0)),""))</f>
        <v/>
      </c>
      <c r="N151" s="75" t="str">
        <f t="shared" si="17"/>
        <v/>
      </c>
      <c r="O151" s="76" t="str">
        <f t="shared" si="18"/>
        <v/>
      </c>
      <c r="P151" s="76" t="str">
        <f t="shared" si="19"/>
        <v/>
      </c>
      <c r="Q151" s="75" t="str">
        <f t="shared" si="20"/>
        <v/>
      </c>
      <c r="R151" s="76" t="str">
        <f t="shared" si="21"/>
        <v/>
      </c>
      <c r="S151" s="76" t="str">
        <f t="shared" si="22"/>
        <v/>
      </c>
      <c r="T151" s="43"/>
      <c r="U151" s="107"/>
      <c r="V151" s="76" t="str">
        <f t="shared" si="23"/>
        <v/>
      </c>
      <c r="W151" s="43"/>
      <c r="X151" s="43"/>
      <c r="Y151" s="74"/>
    </row>
    <row r="152" ht="18" customHeight="1" spans="1:25">
      <c r="A152" s="74" t="str">
        <f t="shared" si="16"/>
        <v/>
      </c>
      <c r="B152" s="7"/>
      <c r="C152" s="43"/>
      <c r="D152" s="106"/>
      <c r="E152" s="43"/>
      <c r="F152" s="43"/>
      <c r="G152" s="43"/>
      <c r="H152" s="107"/>
      <c r="I152" s="107"/>
      <c r="J152" s="76" t="str">
        <f>IF($C152="","",ROUND(IFERROR(INDEX(期初余额!$I$4:$I$9,MATCH($C152,期初余额!$H$4:$H$9,0)),0)+SUMIFS($H$4:$H152,$C$4:$C152,$C152)-SUMIFS($I$4:$I152,$C$4:$C152,$C152),2))</f>
        <v/>
      </c>
      <c r="K152" s="111" t="str">
        <f>IF($T152&lt;&gt;"",$T152,IF($C152="","",IF(AND(N($I152)&gt;0,$G152&lt;&gt;""),IFERROR(INDEX(科目表!$U$4:$U$123,MATCH($G152,科目表!$M$4:$M$123,0)),"管理费用"),IF(N($H152)&gt;0,IFERROR(INDEX(自动规则!$C$4:$C$40,MATCH($F152,自动规则!$B$4:$B$40,0)),"其他应收款"),IFERROR(INDEX(自动规则!$D$4:$D$40,MATCH($F152,自动规则!$B$4:$B$40,0)),"其他应付款")))))</f>
        <v/>
      </c>
      <c r="L152" s="106"/>
      <c r="M152" s="75" t="str">
        <f>IF($C152="","",IFERROR(INDEX(科目表!$T$4:$T$9,MATCH($C152,科目表!$S$4:$S$9,0)),""))</f>
        <v/>
      </c>
      <c r="N152" s="75" t="str">
        <f t="shared" si="17"/>
        <v/>
      </c>
      <c r="O152" s="76" t="str">
        <f t="shared" si="18"/>
        <v/>
      </c>
      <c r="P152" s="76" t="str">
        <f t="shared" si="19"/>
        <v/>
      </c>
      <c r="Q152" s="75" t="str">
        <f t="shared" si="20"/>
        <v/>
      </c>
      <c r="R152" s="76" t="str">
        <f t="shared" si="21"/>
        <v/>
      </c>
      <c r="S152" s="76" t="str">
        <f t="shared" si="22"/>
        <v/>
      </c>
      <c r="T152" s="43"/>
      <c r="U152" s="107"/>
      <c r="V152" s="76" t="str">
        <f t="shared" si="23"/>
        <v/>
      </c>
      <c r="W152" s="43"/>
      <c r="X152" s="43"/>
      <c r="Y152" s="74"/>
    </row>
    <row r="153" ht="18" customHeight="1" spans="1:25">
      <c r="A153" s="74" t="str">
        <f t="shared" si="16"/>
        <v/>
      </c>
      <c r="B153" s="7"/>
      <c r="C153" s="43"/>
      <c r="D153" s="106"/>
      <c r="E153" s="43"/>
      <c r="F153" s="43"/>
      <c r="G153" s="43"/>
      <c r="H153" s="107"/>
      <c r="I153" s="107"/>
      <c r="J153" s="76" t="str">
        <f>IF($C153="","",ROUND(IFERROR(INDEX(期初余额!$I$4:$I$9,MATCH($C153,期初余额!$H$4:$H$9,0)),0)+SUMIFS($H$4:$H153,$C$4:$C153,$C153)-SUMIFS($I$4:$I153,$C$4:$C153,$C153),2))</f>
        <v/>
      </c>
      <c r="K153" s="111" t="str">
        <f>IF($T153&lt;&gt;"",$T153,IF($C153="","",IF(AND(N($I153)&gt;0,$G153&lt;&gt;""),IFERROR(INDEX(科目表!$U$4:$U$123,MATCH($G153,科目表!$M$4:$M$123,0)),"管理费用"),IF(N($H153)&gt;0,IFERROR(INDEX(自动规则!$C$4:$C$40,MATCH($F153,自动规则!$B$4:$B$40,0)),"其他应收款"),IFERROR(INDEX(自动规则!$D$4:$D$40,MATCH($F153,自动规则!$B$4:$B$40,0)),"其他应付款")))))</f>
        <v/>
      </c>
      <c r="L153" s="106"/>
      <c r="M153" s="75" t="str">
        <f>IF($C153="","",IFERROR(INDEX(科目表!$T$4:$T$9,MATCH($C153,科目表!$S$4:$S$9,0)),""))</f>
        <v/>
      </c>
      <c r="N153" s="75" t="str">
        <f t="shared" si="17"/>
        <v/>
      </c>
      <c r="O153" s="76" t="str">
        <f t="shared" si="18"/>
        <v/>
      </c>
      <c r="P153" s="76" t="str">
        <f t="shared" si="19"/>
        <v/>
      </c>
      <c r="Q153" s="75" t="str">
        <f t="shared" si="20"/>
        <v/>
      </c>
      <c r="R153" s="76" t="str">
        <f t="shared" si="21"/>
        <v/>
      </c>
      <c r="S153" s="76" t="str">
        <f t="shared" si="22"/>
        <v/>
      </c>
      <c r="T153" s="43"/>
      <c r="U153" s="107"/>
      <c r="V153" s="76" t="str">
        <f t="shared" si="23"/>
        <v/>
      </c>
      <c r="W153" s="43"/>
      <c r="X153" s="43"/>
      <c r="Y153" s="74"/>
    </row>
    <row r="154" ht="18" customHeight="1" spans="1:25">
      <c r="A154" s="74" t="str">
        <f t="shared" si="16"/>
        <v/>
      </c>
      <c r="B154" s="7"/>
      <c r="C154" s="43"/>
      <c r="D154" s="106"/>
      <c r="E154" s="43"/>
      <c r="F154" s="43"/>
      <c r="G154" s="43"/>
      <c r="H154" s="107"/>
      <c r="I154" s="107"/>
      <c r="J154" s="76" t="str">
        <f>IF($C154="","",ROUND(IFERROR(INDEX(期初余额!$I$4:$I$9,MATCH($C154,期初余额!$H$4:$H$9,0)),0)+SUMIFS($H$4:$H154,$C$4:$C154,$C154)-SUMIFS($I$4:$I154,$C$4:$C154,$C154),2))</f>
        <v/>
      </c>
      <c r="K154" s="111" t="str">
        <f>IF($T154&lt;&gt;"",$T154,IF($C154="","",IF(AND(N($I154)&gt;0,$G154&lt;&gt;""),IFERROR(INDEX(科目表!$U$4:$U$123,MATCH($G154,科目表!$M$4:$M$123,0)),"管理费用"),IF(N($H154)&gt;0,IFERROR(INDEX(自动规则!$C$4:$C$40,MATCH($F154,自动规则!$B$4:$B$40,0)),"其他应收款"),IFERROR(INDEX(自动规则!$D$4:$D$40,MATCH($F154,自动规则!$B$4:$B$40,0)),"其他应付款")))))</f>
        <v/>
      </c>
      <c r="L154" s="106"/>
      <c r="M154" s="75" t="str">
        <f>IF($C154="","",IFERROR(INDEX(科目表!$T$4:$T$9,MATCH($C154,科目表!$S$4:$S$9,0)),""))</f>
        <v/>
      </c>
      <c r="N154" s="75" t="str">
        <f t="shared" si="17"/>
        <v/>
      </c>
      <c r="O154" s="76" t="str">
        <f t="shared" si="18"/>
        <v/>
      </c>
      <c r="P154" s="76" t="str">
        <f t="shared" si="19"/>
        <v/>
      </c>
      <c r="Q154" s="75" t="str">
        <f t="shared" si="20"/>
        <v/>
      </c>
      <c r="R154" s="76" t="str">
        <f t="shared" si="21"/>
        <v/>
      </c>
      <c r="S154" s="76" t="str">
        <f t="shared" si="22"/>
        <v/>
      </c>
      <c r="T154" s="43"/>
      <c r="U154" s="107"/>
      <c r="V154" s="76" t="str">
        <f t="shared" si="23"/>
        <v/>
      </c>
      <c r="W154" s="43"/>
      <c r="X154" s="43"/>
      <c r="Y154" s="74"/>
    </row>
    <row r="155" ht="18" customHeight="1" spans="1:25">
      <c r="A155" s="74" t="str">
        <f t="shared" si="16"/>
        <v/>
      </c>
      <c r="B155" s="7"/>
      <c r="C155" s="43"/>
      <c r="D155" s="106"/>
      <c r="E155" s="43"/>
      <c r="F155" s="43"/>
      <c r="G155" s="43"/>
      <c r="H155" s="107"/>
      <c r="I155" s="107"/>
      <c r="J155" s="76" t="str">
        <f>IF($C155="","",ROUND(IFERROR(INDEX(期初余额!$I$4:$I$9,MATCH($C155,期初余额!$H$4:$H$9,0)),0)+SUMIFS($H$4:$H155,$C$4:$C155,$C155)-SUMIFS($I$4:$I155,$C$4:$C155,$C155),2))</f>
        <v/>
      </c>
      <c r="K155" s="111" t="str">
        <f>IF($T155&lt;&gt;"",$T155,IF($C155="","",IF(AND(N($I155)&gt;0,$G155&lt;&gt;""),IFERROR(INDEX(科目表!$U$4:$U$123,MATCH($G155,科目表!$M$4:$M$123,0)),"管理费用"),IF(N($H155)&gt;0,IFERROR(INDEX(自动规则!$C$4:$C$40,MATCH($F155,自动规则!$B$4:$B$40,0)),"其他应收款"),IFERROR(INDEX(自动规则!$D$4:$D$40,MATCH($F155,自动规则!$B$4:$B$40,0)),"其他应付款")))))</f>
        <v/>
      </c>
      <c r="L155" s="106"/>
      <c r="M155" s="75" t="str">
        <f>IF($C155="","",IFERROR(INDEX(科目表!$T$4:$T$9,MATCH($C155,科目表!$S$4:$S$9,0)),""))</f>
        <v/>
      </c>
      <c r="N155" s="75" t="str">
        <f t="shared" si="17"/>
        <v/>
      </c>
      <c r="O155" s="76" t="str">
        <f t="shared" si="18"/>
        <v/>
      </c>
      <c r="P155" s="76" t="str">
        <f t="shared" si="19"/>
        <v/>
      </c>
      <c r="Q155" s="75" t="str">
        <f t="shared" si="20"/>
        <v/>
      </c>
      <c r="R155" s="76" t="str">
        <f t="shared" si="21"/>
        <v/>
      </c>
      <c r="S155" s="76" t="str">
        <f t="shared" si="22"/>
        <v/>
      </c>
      <c r="T155" s="43"/>
      <c r="U155" s="107"/>
      <c r="V155" s="76" t="str">
        <f t="shared" si="23"/>
        <v/>
      </c>
      <c r="W155" s="43"/>
      <c r="X155" s="43"/>
      <c r="Y155" s="74"/>
    </row>
    <row r="156" ht="18" customHeight="1" spans="1:25">
      <c r="A156" s="74" t="str">
        <f t="shared" si="16"/>
        <v/>
      </c>
      <c r="B156" s="7"/>
      <c r="C156" s="43"/>
      <c r="D156" s="106"/>
      <c r="E156" s="43"/>
      <c r="F156" s="43"/>
      <c r="G156" s="43"/>
      <c r="H156" s="107"/>
      <c r="I156" s="107"/>
      <c r="J156" s="76" t="str">
        <f>IF($C156="","",ROUND(IFERROR(INDEX(期初余额!$I$4:$I$9,MATCH($C156,期初余额!$H$4:$H$9,0)),0)+SUMIFS($H$4:$H156,$C$4:$C156,$C156)-SUMIFS($I$4:$I156,$C$4:$C156,$C156),2))</f>
        <v/>
      </c>
      <c r="K156" s="111" t="str">
        <f>IF($T156&lt;&gt;"",$T156,IF($C156="","",IF(AND(N($I156)&gt;0,$G156&lt;&gt;""),IFERROR(INDEX(科目表!$U$4:$U$123,MATCH($G156,科目表!$M$4:$M$123,0)),"管理费用"),IF(N($H156)&gt;0,IFERROR(INDEX(自动规则!$C$4:$C$40,MATCH($F156,自动规则!$B$4:$B$40,0)),"其他应收款"),IFERROR(INDEX(自动规则!$D$4:$D$40,MATCH($F156,自动规则!$B$4:$B$40,0)),"其他应付款")))))</f>
        <v/>
      </c>
      <c r="L156" s="106"/>
      <c r="M156" s="75" t="str">
        <f>IF($C156="","",IFERROR(INDEX(科目表!$T$4:$T$9,MATCH($C156,科目表!$S$4:$S$9,0)),""))</f>
        <v/>
      </c>
      <c r="N156" s="75" t="str">
        <f t="shared" si="17"/>
        <v/>
      </c>
      <c r="O156" s="76" t="str">
        <f t="shared" si="18"/>
        <v/>
      </c>
      <c r="P156" s="76" t="str">
        <f t="shared" si="19"/>
        <v/>
      </c>
      <c r="Q156" s="75" t="str">
        <f t="shared" si="20"/>
        <v/>
      </c>
      <c r="R156" s="76" t="str">
        <f t="shared" si="21"/>
        <v/>
      </c>
      <c r="S156" s="76" t="str">
        <f t="shared" si="22"/>
        <v/>
      </c>
      <c r="T156" s="43"/>
      <c r="U156" s="107"/>
      <c r="V156" s="76" t="str">
        <f t="shared" si="23"/>
        <v/>
      </c>
      <c r="W156" s="43"/>
      <c r="X156" s="43"/>
      <c r="Y156" s="74"/>
    </row>
    <row r="157" ht="18" customHeight="1" spans="1:25">
      <c r="A157" s="74" t="str">
        <f t="shared" si="16"/>
        <v/>
      </c>
      <c r="B157" s="7"/>
      <c r="C157" s="43"/>
      <c r="D157" s="106"/>
      <c r="E157" s="43"/>
      <c r="F157" s="43"/>
      <c r="G157" s="43"/>
      <c r="H157" s="107"/>
      <c r="I157" s="107"/>
      <c r="J157" s="76" t="str">
        <f>IF($C157="","",ROUND(IFERROR(INDEX(期初余额!$I$4:$I$9,MATCH($C157,期初余额!$H$4:$H$9,0)),0)+SUMIFS($H$4:$H157,$C$4:$C157,$C157)-SUMIFS($I$4:$I157,$C$4:$C157,$C157),2))</f>
        <v/>
      </c>
      <c r="K157" s="111" t="str">
        <f>IF($T157&lt;&gt;"",$T157,IF($C157="","",IF(AND(N($I157)&gt;0,$G157&lt;&gt;""),IFERROR(INDEX(科目表!$U$4:$U$123,MATCH($G157,科目表!$M$4:$M$123,0)),"管理费用"),IF(N($H157)&gt;0,IFERROR(INDEX(自动规则!$C$4:$C$40,MATCH($F157,自动规则!$B$4:$B$40,0)),"其他应收款"),IFERROR(INDEX(自动规则!$D$4:$D$40,MATCH($F157,自动规则!$B$4:$B$40,0)),"其他应付款")))))</f>
        <v/>
      </c>
      <c r="L157" s="106"/>
      <c r="M157" s="75" t="str">
        <f>IF($C157="","",IFERROR(INDEX(科目表!$T$4:$T$9,MATCH($C157,科目表!$S$4:$S$9,0)),""))</f>
        <v/>
      </c>
      <c r="N157" s="75" t="str">
        <f t="shared" si="17"/>
        <v/>
      </c>
      <c r="O157" s="76" t="str">
        <f t="shared" si="18"/>
        <v/>
      </c>
      <c r="P157" s="76" t="str">
        <f t="shared" si="19"/>
        <v/>
      </c>
      <c r="Q157" s="75" t="str">
        <f t="shared" si="20"/>
        <v/>
      </c>
      <c r="R157" s="76" t="str">
        <f t="shared" si="21"/>
        <v/>
      </c>
      <c r="S157" s="76" t="str">
        <f t="shared" si="22"/>
        <v/>
      </c>
      <c r="T157" s="43"/>
      <c r="U157" s="107"/>
      <c r="V157" s="76" t="str">
        <f t="shared" si="23"/>
        <v/>
      </c>
      <c r="W157" s="43"/>
      <c r="X157" s="43"/>
      <c r="Y157" s="74"/>
    </row>
    <row r="158" ht="18" customHeight="1" spans="1:25">
      <c r="A158" s="74" t="str">
        <f t="shared" si="16"/>
        <v/>
      </c>
      <c r="B158" s="7"/>
      <c r="C158" s="43"/>
      <c r="D158" s="106"/>
      <c r="E158" s="43"/>
      <c r="F158" s="43"/>
      <c r="G158" s="43"/>
      <c r="H158" s="107"/>
      <c r="I158" s="107"/>
      <c r="J158" s="76" t="str">
        <f>IF($C158="","",ROUND(IFERROR(INDEX(期初余额!$I$4:$I$9,MATCH($C158,期初余额!$H$4:$H$9,0)),0)+SUMIFS($H$4:$H158,$C$4:$C158,$C158)-SUMIFS($I$4:$I158,$C$4:$C158,$C158),2))</f>
        <v/>
      </c>
      <c r="K158" s="111" t="str">
        <f>IF($T158&lt;&gt;"",$T158,IF($C158="","",IF(AND(N($I158)&gt;0,$G158&lt;&gt;""),IFERROR(INDEX(科目表!$U$4:$U$123,MATCH($G158,科目表!$M$4:$M$123,0)),"管理费用"),IF(N($H158)&gt;0,IFERROR(INDEX(自动规则!$C$4:$C$40,MATCH($F158,自动规则!$B$4:$B$40,0)),"其他应收款"),IFERROR(INDEX(自动规则!$D$4:$D$40,MATCH($F158,自动规则!$B$4:$B$40,0)),"其他应付款")))))</f>
        <v/>
      </c>
      <c r="L158" s="106"/>
      <c r="M158" s="75" t="str">
        <f>IF($C158="","",IFERROR(INDEX(科目表!$T$4:$T$9,MATCH($C158,科目表!$S$4:$S$9,0)),""))</f>
        <v/>
      </c>
      <c r="N158" s="75" t="str">
        <f t="shared" si="17"/>
        <v/>
      </c>
      <c r="O158" s="76" t="str">
        <f t="shared" si="18"/>
        <v/>
      </c>
      <c r="P158" s="76" t="str">
        <f t="shared" si="19"/>
        <v/>
      </c>
      <c r="Q158" s="75" t="str">
        <f t="shared" si="20"/>
        <v/>
      </c>
      <c r="R158" s="76" t="str">
        <f t="shared" si="21"/>
        <v/>
      </c>
      <c r="S158" s="76" t="str">
        <f t="shared" si="22"/>
        <v/>
      </c>
      <c r="T158" s="43"/>
      <c r="U158" s="107"/>
      <c r="V158" s="76" t="str">
        <f t="shared" si="23"/>
        <v/>
      </c>
      <c r="W158" s="43"/>
      <c r="X158" s="43"/>
      <c r="Y158" s="74"/>
    </row>
    <row r="159" ht="18" customHeight="1" spans="1:25">
      <c r="A159" s="74" t="str">
        <f t="shared" si="16"/>
        <v/>
      </c>
      <c r="B159" s="7"/>
      <c r="C159" s="43"/>
      <c r="D159" s="106"/>
      <c r="E159" s="43"/>
      <c r="F159" s="43"/>
      <c r="G159" s="43"/>
      <c r="H159" s="107"/>
      <c r="I159" s="107"/>
      <c r="J159" s="76" t="str">
        <f>IF($C159="","",ROUND(IFERROR(INDEX(期初余额!$I$4:$I$9,MATCH($C159,期初余额!$H$4:$H$9,0)),0)+SUMIFS($H$4:$H159,$C$4:$C159,$C159)-SUMIFS($I$4:$I159,$C$4:$C159,$C159),2))</f>
        <v/>
      </c>
      <c r="K159" s="111" t="str">
        <f>IF($T159&lt;&gt;"",$T159,IF($C159="","",IF(AND(N($I159)&gt;0,$G159&lt;&gt;""),IFERROR(INDEX(科目表!$U$4:$U$123,MATCH($G159,科目表!$M$4:$M$123,0)),"管理费用"),IF(N($H159)&gt;0,IFERROR(INDEX(自动规则!$C$4:$C$40,MATCH($F159,自动规则!$B$4:$B$40,0)),"其他应收款"),IFERROR(INDEX(自动规则!$D$4:$D$40,MATCH($F159,自动规则!$B$4:$B$40,0)),"其他应付款")))))</f>
        <v/>
      </c>
      <c r="L159" s="106"/>
      <c r="M159" s="75" t="str">
        <f>IF($C159="","",IFERROR(INDEX(科目表!$T$4:$T$9,MATCH($C159,科目表!$S$4:$S$9,0)),""))</f>
        <v/>
      </c>
      <c r="N159" s="75" t="str">
        <f t="shared" si="17"/>
        <v/>
      </c>
      <c r="O159" s="76" t="str">
        <f t="shared" si="18"/>
        <v/>
      </c>
      <c r="P159" s="76" t="str">
        <f t="shared" si="19"/>
        <v/>
      </c>
      <c r="Q159" s="75" t="str">
        <f t="shared" si="20"/>
        <v/>
      </c>
      <c r="R159" s="76" t="str">
        <f t="shared" si="21"/>
        <v/>
      </c>
      <c r="S159" s="76" t="str">
        <f t="shared" si="22"/>
        <v/>
      </c>
      <c r="T159" s="43"/>
      <c r="U159" s="107"/>
      <c r="V159" s="76" t="str">
        <f t="shared" si="23"/>
        <v/>
      </c>
      <c r="W159" s="43"/>
      <c r="X159" s="43"/>
      <c r="Y159" s="74"/>
    </row>
    <row r="160" ht="18" customHeight="1" spans="1:25">
      <c r="A160" s="74" t="str">
        <f t="shared" si="16"/>
        <v/>
      </c>
      <c r="B160" s="7"/>
      <c r="C160" s="43"/>
      <c r="D160" s="106"/>
      <c r="E160" s="43"/>
      <c r="F160" s="43"/>
      <c r="G160" s="43"/>
      <c r="H160" s="107"/>
      <c r="I160" s="107"/>
      <c r="J160" s="76" t="str">
        <f>IF($C160="","",ROUND(IFERROR(INDEX(期初余额!$I$4:$I$9,MATCH($C160,期初余额!$H$4:$H$9,0)),0)+SUMIFS($H$4:$H160,$C$4:$C160,$C160)-SUMIFS($I$4:$I160,$C$4:$C160,$C160),2))</f>
        <v/>
      </c>
      <c r="K160" s="111" t="str">
        <f>IF($T160&lt;&gt;"",$T160,IF($C160="","",IF(AND(N($I160)&gt;0,$G160&lt;&gt;""),IFERROR(INDEX(科目表!$U$4:$U$123,MATCH($G160,科目表!$M$4:$M$123,0)),"管理费用"),IF(N($H160)&gt;0,IFERROR(INDEX(自动规则!$C$4:$C$40,MATCH($F160,自动规则!$B$4:$B$40,0)),"其他应收款"),IFERROR(INDEX(自动规则!$D$4:$D$40,MATCH($F160,自动规则!$B$4:$B$40,0)),"其他应付款")))))</f>
        <v/>
      </c>
      <c r="L160" s="106"/>
      <c r="M160" s="75" t="str">
        <f>IF($C160="","",IFERROR(INDEX(科目表!$T$4:$T$9,MATCH($C160,科目表!$S$4:$S$9,0)),""))</f>
        <v/>
      </c>
      <c r="N160" s="75" t="str">
        <f t="shared" si="17"/>
        <v/>
      </c>
      <c r="O160" s="76" t="str">
        <f t="shared" si="18"/>
        <v/>
      </c>
      <c r="P160" s="76" t="str">
        <f t="shared" si="19"/>
        <v/>
      </c>
      <c r="Q160" s="75" t="str">
        <f t="shared" si="20"/>
        <v/>
      </c>
      <c r="R160" s="76" t="str">
        <f t="shared" si="21"/>
        <v/>
      </c>
      <c r="S160" s="76" t="str">
        <f t="shared" si="22"/>
        <v/>
      </c>
      <c r="T160" s="43"/>
      <c r="U160" s="107"/>
      <c r="V160" s="76" t="str">
        <f t="shared" si="23"/>
        <v/>
      </c>
      <c r="W160" s="43"/>
      <c r="X160" s="43"/>
      <c r="Y160" s="74"/>
    </row>
    <row r="161" ht="18" customHeight="1" spans="1:25">
      <c r="A161" s="74" t="str">
        <f t="shared" si="16"/>
        <v/>
      </c>
      <c r="B161" s="7"/>
      <c r="C161" s="43"/>
      <c r="D161" s="106"/>
      <c r="E161" s="43"/>
      <c r="F161" s="43"/>
      <c r="G161" s="43"/>
      <c r="H161" s="107"/>
      <c r="I161" s="107"/>
      <c r="J161" s="76" t="str">
        <f>IF($C161="","",ROUND(IFERROR(INDEX(期初余额!$I$4:$I$9,MATCH($C161,期初余额!$H$4:$H$9,0)),0)+SUMIFS($H$4:$H161,$C$4:$C161,$C161)-SUMIFS($I$4:$I161,$C$4:$C161,$C161),2))</f>
        <v/>
      </c>
      <c r="K161" s="111" t="str">
        <f>IF($T161&lt;&gt;"",$T161,IF($C161="","",IF(AND(N($I161)&gt;0,$G161&lt;&gt;""),IFERROR(INDEX(科目表!$U$4:$U$123,MATCH($G161,科目表!$M$4:$M$123,0)),"管理费用"),IF(N($H161)&gt;0,IFERROR(INDEX(自动规则!$C$4:$C$40,MATCH($F161,自动规则!$B$4:$B$40,0)),"其他应收款"),IFERROR(INDEX(自动规则!$D$4:$D$40,MATCH($F161,自动规则!$B$4:$B$40,0)),"其他应付款")))))</f>
        <v/>
      </c>
      <c r="L161" s="106"/>
      <c r="M161" s="75" t="str">
        <f>IF($C161="","",IFERROR(INDEX(科目表!$T$4:$T$9,MATCH($C161,科目表!$S$4:$S$9,0)),""))</f>
        <v/>
      </c>
      <c r="N161" s="75" t="str">
        <f t="shared" si="17"/>
        <v/>
      </c>
      <c r="O161" s="76" t="str">
        <f t="shared" si="18"/>
        <v/>
      </c>
      <c r="P161" s="76" t="str">
        <f t="shared" si="19"/>
        <v/>
      </c>
      <c r="Q161" s="75" t="str">
        <f t="shared" si="20"/>
        <v/>
      </c>
      <c r="R161" s="76" t="str">
        <f t="shared" si="21"/>
        <v/>
      </c>
      <c r="S161" s="76" t="str">
        <f t="shared" si="22"/>
        <v/>
      </c>
      <c r="T161" s="43"/>
      <c r="U161" s="107"/>
      <c r="V161" s="76" t="str">
        <f t="shared" si="23"/>
        <v/>
      </c>
      <c r="W161" s="43"/>
      <c r="X161" s="43"/>
      <c r="Y161" s="74"/>
    </row>
    <row r="162" ht="18" customHeight="1" spans="1:25">
      <c r="A162" s="74" t="str">
        <f t="shared" si="16"/>
        <v/>
      </c>
      <c r="B162" s="7"/>
      <c r="C162" s="43"/>
      <c r="D162" s="106"/>
      <c r="E162" s="43"/>
      <c r="F162" s="43"/>
      <c r="G162" s="43"/>
      <c r="H162" s="107"/>
      <c r="I162" s="107"/>
      <c r="J162" s="76" t="str">
        <f>IF($C162="","",ROUND(IFERROR(INDEX(期初余额!$I$4:$I$9,MATCH($C162,期初余额!$H$4:$H$9,0)),0)+SUMIFS($H$4:$H162,$C$4:$C162,$C162)-SUMIFS($I$4:$I162,$C$4:$C162,$C162),2))</f>
        <v/>
      </c>
      <c r="K162" s="111" t="str">
        <f>IF($T162&lt;&gt;"",$T162,IF($C162="","",IF(AND(N($I162)&gt;0,$G162&lt;&gt;""),IFERROR(INDEX(科目表!$U$4:$U$123,MATCH($G162,科目表!$M$4:$M$123,0)),"管理费用"),IF(N($H162)&gt;0,IFERROR(INDEX(自动规则!$C$4:$C$40,MATCH($F162,自动规则!$B$4:$B$40,0)),"其他应收款"),IFERROR(INDEX(自动规则!$D$4:$D$40,MATCH($F162,自动规则!$B$4:$B$40,0)),"其他应付款")))))</f>
        <v/>
      </c>
      <c r="L162" s="106"/>
      <c r="M162" s="75" t="str">
        <f>IF($C162="","",IFERROR(INDEX(科目表!$T$4:$T$9,MATCH($C162,科目表!$S$4:$S$9,0)),""))</f>
        <v/>
      </c>
      <c r="N162" s="75" t="str">
        <f t="shared" si="17"/>
        <v/>
      </c>
      <c r="O162" s="76" t="str">
        <f t="shared" si="18"/>
        <v/>
      </c>
      <c r="P162" s="76" t="str">
        <f t="shared" si="19"/>
        <v/>
      </c>
      <c r="Q162" s="75" t="str">
        <f t="shared" si="20"/>
        <v/>
      </c>
      <c r="R162" s="76" t="str">
        <f t="shared" si="21"/>
        <v/>
      </c>
      <c r="S162" s="76" t="str">
        <f t="shared" si="22"/>
        <v/>
      </c>
      <c r="T162" s="43"/>
      <c r="U162" s="107"/>
      <c r="V162" s="76" t="str">
        <f t="shared" si="23"/>
        <v/>
      </c>
      <c r="W162" s="43"/>
      <c r="X162" s="43"/>
      <c r="Y162" s="74"/>
    </row>
    <row r="163" ht="18" customHeight="1" spans="1:25">
      <c r="A163" s="74" t="str">
        <f t="shared" si="16"/>
        <v/>
      </c>
      <c r="B163" s="7"/>
      <c r="C163" s="43"/>
      <c r="D163" s="106"/>
      <c r="E163" s="43"/>
      <c r="F163" s="43"/>
      <c r="G163" s="43"/>
      <c r="H163" s="107"/>
      <c r="I163" s="107"/>
      <c r="J163" s="76" t="str">
        <f>IF($C163="","",ROUND(IFERROR(INDEX(期初余额!$I$4:$I$9,MATCH($C163,期初余额!$H$4:$H$9,0)),0)+SUMIFS($H$4:$H163,$C$4:$C163,$C163)-SUMIFS($I$4:$I163,$C$4:$C163,$C163),2))</f>
        <v/>
      </c>
      <c r="K163" s="111" t="str">
        <f>IF($T163&lt;&gt;"",$T163,IF($C163="","",IF(AND(N($I163)&gt;0,$G163&lt;&gt;""),IFERROR(INDEX(科目表!$U$4:$U$123,MATCH($G163,科目表!$M$4:$M$123,0)),"管理费用"),IF(N($H163)&gt;0,IFERROR(INDEX(自动规则!$C$4:$C$40,MATCH($F163,自动规则!$B$4:$B$40,0)),"其他应收款"),IFERROR(INDEX(自动规则!$D$4:$D$40,MATCH($F163,自动规则!$B$4:$B$40,0)),"其他应付款")))))</f>
        <v/>
      </c>
      <c r="L163" s="106"/>
      <c r="M163" s="75" t="str">
        <f>IF($C163="","",IFERROR(INDEX(科目表!$T$4:$T$9,MATCH($C163,科目表!$S$4:$S$9,0)),""))</f>
        <v/>
      </c>
      <c r="N163" s="75" t="str">
        <f t="shared" si="17"/>
        <v/>
      </c>
      <c r="O163" s="76" t="str">
        <f t="shared" si="18"/>
        <v/>
      </c>
      <c r="P163" s="76" t="str">
        <f t="shared" si="19"/>
        <v/>
      </c>
      <c r="Q163" s="75" t="str">
        <f t="shared" si="20"/>
        <v/>
      </c>
      <c r="R163" s="76" t="str">
        <f t="shared" si="21"/>
        <v/>
      </c>
      <c r="S163" s="76" t="str">
        <f t="shared" si="22"/>
        <v/>
      </c>
      <c r="T163" s="43"/>
      <c r="U163" s="107"/>
      <c r="V163" s="76" t="str">
        <f t="shared" si="23"/>
        <v/>
      </c>
      <c r="W163" s="43"/>
      <c r="X163" s="43"/>
      <c r="Y163" s="74"/>
    </row>
    <row r="164" ht="18" customHeight="1" spans="1:25">
      <c r="A164" s="74" t="str">
        <f t="shared" si="16"/>
        <v/>
      </c>
      <c r="B164" s="7"/>
      <c r="C164" s="43"/>
      <c r="D164" s="106"/>
      <c r="E164" s="43"/>
      <c r="F164" s="43"/>
      <c r="G164" s="43"/>
      <c r="H164" s="107"/>
      <c r="I164" s="107"/>
      <c r="J164" s="76" t="str">
        <f>IF($C164="","",ROUND(IFERROR(INDEX(期初余额!$I$4:$I$9,MATCH($C164,期初余额!$H$4:$H$9,0)),0)+SUMIFS($H$4:$H164,$C$4:$C164,$C164)-SUMIFS($I$4:$I164,$C$4:$C164,$C164),2))</f>
        <v/>
      </c>
      <c r="K164" s="111" t="str">
        <f>IF($T164&lt;&gt;"",$T164,IF($C164="","",IF(AND(N($I164)&gt;0,$G164&lt;&gt;""),IFERROR(INDEX(科目表!$U$4:$U$123,MATCH($G164,科目表!$M$4:$M$123,0)),"管理费用"),IF(N($H164)&gt;0,IFERROR(INDEX(自动规则!$C$4:$C$40,MATCH($F164,自动规则!$B$4:$B$40,0)),"其他应收款"),IFERROR(INDEX(自动规则!$D$4:$D$40,MATCH($F164,自动规则!$B$4:$B$40,0)),"其他应付款")))))</f>
        <v/>
      </c>
      <c r="L164" s="106"/>
      <c r="M164" s="75" t="str">
        <f>IF($C164="","",IFERROR(INDEX(科目表!$T$4:$T$9,MATCH($C164,科目表!$S$4:$S$9,0)),""))</f>
        <v/>
      </c>
      <c r="N164" s="75" t="str">
        <f t="shared" si="17"/>
        <v/>
      </c>
      <c r="O164" s="76" t="str">
        <f t="shared" si="18"/>
        <v/>
      </c>
      <c r="P164" s="76" t="str">
        <f t="shared" si="19"/>
        <v/>
      </c>
      <c r="Q164" s="75" t="str">
        <f t="shared" si="20"/>
        <v/>
      </c>
      <c r="R164" s="76" t="str">
        <f t="shared" si="21"/>
        <v/>
      </c>
      <c r="S164" s="76" t="str">
        <f t="shared" si="22"/>
        <v/>
      </c>
      <c r="T164" s="43"/>
      <c r="U164" s="107"/>
      <c r="V164" s="76" t="str">
        <f t="shared" si="23"/>
        <v/>
      </c>
      <c r="W164" s="43"/>
      <c r="X164" s="43"/>
      <c r="Y164" s="74"/>
    </row>
    <row r="165" ht="18" customHeight="1" spans="1:25">
      <c r="A165" s="74" t="str">
        <f t="shared" si="16"/>
        <v/>
      </c>
      <c r="B165" s="7"/>
      <c r="C165" s="43"/>
      <c r="D165" s="106"/>
      <c r="E165" s="43"/>
      <c r="F165" s="43"/>
      <c r="G165" s="43"/>
      <c r="H165" s="107"/>
      <c r="I165" s="107"/>
      <c r="J165" s="76" t="str">
        <f>IF($C165="","",ROUND(IFERROR(INDEX(期初余额!$I$4:$I$9,MATCH($C165,期初余额!$H$4:$H$9,0)),0)+SUMIFS($H$4:$H165,$C$4:$C165,$C165)-SUMIFS($I$4:$I165,$C$4:$C165,$C165),2))</f>
        <v/>
      </c>
      <c r="K165" s="111" t="str">
        <f>IF($T165&lt;&gt;"",$T165,IF($C165="","",IF(AND(N($I165)&gt;0,$G165&lt;&gt;""),IFERROR(INDEX(科目表!$U$4:$U$123,MATCH($G165,科目表!$M$4:$M$123,0)),"管理费用"),IF(N($H165)&gt;0,IFERROR(INDEX(自动规则!$C$4:$C$40,MATCH($F165,自动规则!$B$4:$B$40,0)),"其他应收款"),IFERROR(INDEX(自动规则!$D$4:$D$40,MATCH($F165,自动规则!$B$4:$B$40,0)),"其他应付款")))))</f>
        <v/>
      </c>
      <c r="L165" s="106"/>
      <c r="M165" s="75" t="str">
        <f>IF($C165="","",IFERROR(INDEX(科目表!$T$4:$T$9,MATCH($C165,科目表!$S$4:$S$9,0)),""))</f>
        <v/>
      </c>
      <c r="N165" s="75" t="str">
        <f t="shared" si="17"/>
        <v/>
      </c>
      <c r="O165" s="76" t="str">
        <f t="shared" si="18"/>
        <v/>
      </c>
      <c r="P165" s="76" t="str">
        <f t="shared" si="19"/>
        <v/>
      </c>
      <c r="Q165" s="75" t="str">
        <f t="shared" si="20"/>
        <v/>
      </c>
      <c r="R165" s="76" t="str">
        <f t="shared" si="21"/>
        <v/>
      </c>
      <c r="S165" s="76" t="str">
        <f t="shared" si="22"/>
        <v/>
      </c>
      <c r="T165" s="43"/>
      <c r="U165" s="107"/>
      <c r="V165" s="76" t="str">
        <f t="shared" si="23"/>
        <v/>
      </c>
      <c r="W165" s="43"/>
      <c r="X165" s="43"/>
      <c r="Y165" s="74"/>
    </row>
    <row r="166" ht="18" customHeight="1" spans="1:25">
      <c r="A166" s="74" t="str">
        <f t="shared" si="16"/>
        <v/>
      </c>
      <c r="B166" s="7"/>
      <c r="C166" s="43"/>
      <c r="D166" s="106"/>
      <c r="E166" s="43"/>
      <c r="F166" s="43"/>
      <c r="G166" s="43"/>
      <c r="H166" s="107"/>
      <c r="I166" s="107"/>
      <c r="J166" s="76" t="str">
        <f>IF($C166="","",ROUND(IFERROR(INDEX(期初余额!$I$4:$I$9,MATCH($C166,期初余额!$H$4:$H$9,0)),0)+SUMIFS($H$4:$H166,$C$4:$C166,$C166)-SUMIFS($I$4:$I166,$C$4:$C166,$C166),2))</f>
        <v/>
      </c>
      <c r="K166" s="111" t="str">
        <f>IF($T166&lt;&gt;"",$T166,IF($C166="","",IF(AND(N($I166)&gt;0,$G166&lt;&gt;""),IFERROR(INDEX(科目表!$U$4:$U$123,MATCH($G166,科目表!$M$4:$M$123,0)),"管理费用"),IF(N($H166)&gt;0,IFERROR(INDEX(自动规则!$C$4:$C$40,MATCH($F166,自动规则!$B$4:$B$40,0)),"其他应收款"),IFERROR(INDEX(自动规则!$D$4:$D$40,MATCH($F166,自动规则!$B$4:$B$40,0)),"其他应付款")))))</f>
        <v/>
      </c>
      <c r="L166" s="106"/>
      <c r="M166" s="75" t="str">
        <f>IF($C166="","",IFERROR(INDEX(科目表!$T$4:$T$9,MATCH($C166,科目表!$S$4:$S$9,0)),""))</f>
        <v/>
      </c>
      <c r="N166" s="75" t="str">
        <f t="shared" si="17"/>
        <v/>
      </c>
      <c r="O166" s="76" t="str">
        <f t="shared" si="18"/>
        <v/>
      </c>
      <c r="P166" s="76" t="str">
        <f t="shared" si="19"/>
        <v/>
      </c>
      <c r="Q166" s="75" t="str">
        <f t="shared" si="20"/>
        <v/>
      </c>
      <c r="R166" s="76" t="str">
        <f t="shared" si="21"/>
        <v/>
      </c>
      <c r="S166" s="76" t="str">
        <f t="shared" si="22"/>
        <v/>
      </c>
      <c r="T166" s="43"/>
      <c r="U166" s="107"/>
      <c r="V166" s="76" t="str">
        <f t="shared" si="23"/>
        <v/>
      </c>
      <c r="W166" s="43"/>
      <c r="X166" s="43"/>
      <c r="Y166" s="74"/>
    </row>
    <row r="167" ht="18" customHeight="1" spans="1:25">
      <c r="A167" s="74" t="str">
        <f t="shared" si="16"/>
        <v/>
      </c>
      <c r="B167" s="7"/>
      <c r="C167" s="43"/>
      <c r="D167" s="106"/>
      <c r="E167" s="43"/>
      <c r="F167" s="43"/>
      <c r="G167" s="43"/>
      <c r="H167" s="107"/>
      <c r="I167" s="107"/>
      <c r="J167" s="76" t="str">
        <f>IF($C167="","",ROUND(IFERROR(INDEX(期初余额!$I$4:$I$9,MATCH($C167,期初余额!$H$4:$H$9,0)),0)+SUMIFS($H$4:$H167,$C$4:$C167,$C167)-SUMIFS($I$4:$I167,$C$4:$C167,$C167),2))</f>
        <v/>
      </c>
      <c r="K167" s="111" t="str">
        <f>IF($T167&lt;&gt;"",$T167,IF($C167="","",IF(AND(N($I167)&gt;0,$G167&lt;&gt;""),IFERROR(INDEX(科目表!$U$4:$U$123,MATCH($G167,科目表!$M$4:$M$123,0)),"管理费用"),IF(N($H167)&gt;0,IFERROR(INDEX(自动规则!$C$4:$C$40,MATCH($F167,自动规则!$B$4:$B$40,0)),"其他应收款"),IFERROR(INDEX(自动规则!$D$4:$D$40,MATCH($F167,自动规则!$B$4:$B$40,0)),"其他应付款")))))</f>
        <v/>
      </c>
      <c r="L167" s="106"/>
      <c r="M167" s="75" t="str">
        <f>IF($C167="","",IFERROR(INDEX(科目表!$T$4:$T$9,MATCH($C167,科目表!$S$4:$S$9,0)),""))</f>
        <v/>
      </c>
      <c r="N167" s="75" t="str">
        <f t="shared" si="17"/>
        <v/>
      </c>
      <c r="O167" s="76" t="str">
        <f t="shared" si="18"/>
        <v/>
      </c>
      <c r="P167" s="76" t="str">
        <f t="shared" si="19"/>
        <v/>
      </c>
      <c r="Q167" s="75" t="str">
        <f t="shared" si="20"/>
        <v/>
      </c>
      <c r="R167" s="76" t="str">
        <f t="shared" si="21"/>
        <v/>
      </c>
      <c r="S167" s="76" t="str">
        <f t="shared" si="22"/>
        <v/>
      </c>
      <c r="T167" s="43"/>
      <c r="U167" s="107"/>
      <c r="V167" s="76" t="str">
        <f t="shared" si="23"/>
        <v/>
      </c>
      <c r="W167" s="43"/>
      <c r="X167" s="43"/>
      <c r="Y167" s="74"/>
    </row>
    <row r="168" ht="18" customHeight="1" spans="1:25">
      <c r="A168" s="74" t="str">
        <f t="shared" si="16"/>
        <v/>
      </c>
      <c r="B168" s="7"/>
      <c r="C168" s="43"/>
      <c r="D168" s="106"/>
      <c r="E168" s="43"/>
      <c r="F168" s="43"/>
      <c r="G168" s="43"/>
      <c r="H168" s="107"/>
      <c r="I168" s="107"/>
      <c r="J168" s="76" t="str">
        <f>IF($C168="","",ROUND(IFERROR(INDEX(期初余额!$I$4:$I$9,MATCH($C168,期初余额!$H$4:$H$9,0)),0)+SUMIFS($H$4:$H168,$C$4:$C168,$C168)-SUMIFS($I$4:$I168,$C$4:$C168,$C168),2))</f>
        <v/>
      </c>
      <c r="K168" s="111" t="str">
        <f>IF($T168&lt;&gt;"",$T168,IF($C168="","",IF(AND(N($I168)&gt;0,$G168&lt;&gt;""),IFERROR(INDEX(科目表!$U$4:$U$123,MATCH($G168,科目表!$M$4:$M$123,0)),"管理费用"),IF(N($H168)&gt;0,IFERROR(INDEX(自动规则!$C$4:$C$40,MATCH($F168,自动规则!$B$4:$B$40,0)),"其他应收款"),IFERROR(INDEX(自动规则!$D$4:$D$40,MATCH($F168,自动规则!$B$4:$B$40,0)),"其他应付款")))))</f>
        <v/>
      </c>
      <c r="L168" s="106"/>
      <c r="M168" s="75" t="str">
        <f>IF($C168="","",IFERROR(INDEX(科目表!$T$4:$T$9,MATCH($C168,科目表!$S$4:$S$9,0)),""))</f>
        <v/>
      </c>
      <c r="N168" s="75" t="str">
        <f t="shared" si="17"/>
        <v/>
      </c>
      <c r="O168" s="76" t="str">
        <f t="shared" si="18"/>
        <v/>
      </c>
      <c r="P168" s="76" t="str">
        <f t="shared" si="19"/>
        <v/>
      </c>
      <c r="Q168" s="75" t="str">
        <f t="shared" si="20"/>
        <v/>
      </c>
      <c r="R168" s="76" t="str">
        <f t="shared" si="21"/>
        <v/>
      </c>
      <c r="S168" s="76" t="str">
        <f t="shared" si="22"/>
        <v/>
      </c>
      <c r="T168" s="43"/>
      <c r="U168" s="107"/>
      <c r="V168" s="76" t="str">
        <f t="shared" si="23"/>
        <v/>
      </c>
      <c r="W168" s="43"/>
      <c r="X168" s="43"/>
      <c r="Y168" s="74"/>
    </row>
    <row r="169" ht="18" customHeight="1" spans="1:25">
      <c r="A169" s="74" t="str">
        <f t="shared" si="16"/>
        <v/>
      </c>
      <c r="B169" s="7"/>
      <c r="C169" s="43"/>
      <c r="D169" s="106"/>
      <c r="E169" s="43"/>
      <c r="F169" s="43"/>
      <c r="G169" s="43"/>
      <c r="H169" s="107"/>
      <c r="I169" s="107"/>
      <c r="J169" s="76" t="str">
        <f>IF($C169="","",ROUND(IFERROR(INDEX(期初余额!$I$4:$I$9,MATCH($C169,期初余额!$H$4:$H$9,0)),0)+SUMIFS($H$4:$H169,$C$4:$C169,$C169)-SUMIFS($I$4:$I169,$C$4:$C169,$C169),2))</f>
        <v/>
      </c>
      <c r="K169" s="111" t="str">
        <f>IF($T169&lt;&gt;"",$T169,IF($C169="","",IF(AND(N($I169)&gt;0,$G169&lt;&gt;""),IFERROR(INDEX(科目表!$U$4:$U$123,MATCH($G169,科目表!$M$4:$M$123,0)),"管理费用"),IF(N($H169)&gt;0,IFERROR(INDEX(自动规则!$C$4:$C$40,MATCH($F169,自动规则!$B$4:$B$40,0)),"其他应收款"),IFERROR(INDEX(自动规则!$D$4:$D$40,MATCH($F169,自动规则!$B$4:$B$40,0)),"其他应付款")))))</f>
        <v/>
      </c>
      <c r="L169" s="106"/>
      <c r="M169" s="75" t="str">
        <f>IF($C169="","",IFERROR(INDEX(科目表!$T$4:$T$9,MATCH($C169,科目表!$S$4:$S$9,0)),""))</f>
        <v/>
      </c>
      <c r="N169" s="75" t="str">
        <f t="shared" si="17"/>
        <v/>
      </c>
      <c r="O169" s="76" t="str">
        <f t="shared" si="18"/>
        <v/>
      </c>
      <c r="P169" s="76" t="str">
        <f t="shared" si="19"/>
        <v/>
      </c>
      <c r="Q169" s="75" t="str">
        <f t="shared" si="20"/>
        <v/>
      </c>
      <c r="R169" s="76" t="str">
        <f t="shared" si="21"/>
        <v/>
      </c>
      <c r="S169" s="76" t="str">
        <f t="shared" si="22"/>
        <v/>
      </c>
      <c r="T169" s="43"/>
      <c r="U169" s="107"/>
      <c r="V169" s="76" t="str">
        <f t="shared" si="23"/>
        <v/>
      </c>
      <c r="W169" s="43"/>
      <c r="X169" s="43"/>
      <c r="Y169" s="74"/>
    </row>
    <row r="170" ht="18" customHeight="1" spans="1:25">
      <c r="A170" s="74" t="str">
        <f t="shared" si="16"/>
        <v/>
      </c>
      <c r="B170" s="7"/>
      <c r="C170" s="43"/>
      <c r="D170" s="106"/>
      <c r="E170" s="43"/>
      <c r="F170" s="43"/>
      <c r="G170" s="43"/>
      <c r="H170" s="107"/>
      <c r="I170" s="107"/>
      <c r="J170" s="76" t="str">
        <f>IF($C170="","",ROUND(IFERROR(INDEX(期初余额!$I$4:$I$9,MATCH($C170,期初余额!$H$4:$H$9,0)),0)+SUMIFS($H$4:$H170,$C$4:$C170,$C170)-SUMIFS($I$4:$I170,$C$4:$C170,$C170),2))</f>
        <v/>
      </c>
      <c r="K170" s="111" t="str">
        <f>IF($T170&lt;&gt;"",$T170,IF($C170="","",IF(AND(N($I170)&gt;0,$G170&lt;&gt;""),IFERROR(INDEX(科目表!$U$4:$U$123,MATCH($G170,科目表!$M$4:$M$123,0)),"管理费用"),IF(N($H170)&gt;0,IFERROR(INDEX(自动规则!$C$4:$C$40,MATCH($F170,自动规则!$B$4:$B$40,0)),"其他应收款"),IFERROR(INDEX(自动规则!$D$4:$D$40,MATCH($F170,自动规则!$B$4:$B$40,0)),"其他应付款")))))</f>
        <v/>
      </c>
      <c r="L170" s="106"/>
      <c r="M170" s="75" t="str">
        <f>IF($C170="","",IFERROR(INDEX(科目表!$T$4:$T$9,MATCH($C170,科目表!$S$4:$S$9,0)),""))</f>
        <v/>
      </c>
      <c r="N170" s="75" t="str">
        <f t="shared" si="17"/>
        <v/>
      </c>
      <c r="O170" s="76" t="str">
        <f t="shared" si="18"/>
        <v/>
      </c>
      <c r="P170" s="76" t="str">
        <f t="shared" si="19"/>
        <v/>
      </c>
      <c r="Q170" s="75" t="str">
        <f t="shared" si="20"/>
        <v/>
      </c>
      <c r="R170" s="76" t="str">
        <f t="shared" si="21"/>
        <v/>
      </c>
      <c r="S170" s="76" t="str">
        <f t="shared" si="22"/>
        <v/>
      </c>
      <c r="T170" s="43"/>
      <c r="U170" s="107"/>
      <c r="V170" s="76" t="str">
        <f t="shared" si="23"/>
        <v/>
      </c>
      <c r="W170" s="43"/>
      <c r="X170" s="43"/>
      <c r="Y170" s="74"/>
    </row>
    <row r="171" ht="18" customHeight="1" spans="1:25">
      <c r="A171" s="74" t="str">
        <f t="shared" si="16"/>
        <v/>
      </c>
      <c r="B171" s="7"/>
      <c r="C171" s="43"/>
      <c r="D171" s="106"/>
      <c r="E171" s="43"/>
      <c r="F171" s="43"/>
      <c r="G171" s="43"/>
      <c r="H171" s="107"/>
      <c r="I171" s="107"/>
      <c r="J171" s="76" t="str">
        <f>IF($C171="","",ROUND(IFERROR(INDEX(期初余额!$I$4:$I$9,MATCH($C171,期初余额!$H$4:$H$9,0)),0)+SUMIFS($H$4:$H171,$C$4:$C171,$C171)-SUMIFS($I$4:$I171,$C$4:$C171,$C171),2))</f>
        <v/>
      </c>
      <c r="K171" s="111" t="str">
        <f>IF($T171&lt;&gt;"",$T171,IF($C171="","",IF(AND(N($I171)&gt;0,$G171&lt;&gt;""),IFERROR(INDEX(科目表!$U$4:$U$123,MATCH($G171,科目表!$M$4:$M$123,0)),"管理费用"),IF(N($H171)&gt;0,IFERROR(INDEX(自动规则!$C$4:$C$40,MATCH($F171,自动规则!$B$4:$B$40,0)),"其他应收款"),IFERROR(INDEX(自动规则!$D$4:$D$40,MATCH($F171,自动规则!$B$4:$B$40,0)),"其他应付款")))))</f>
        <v/>
      </c>
      <c r="L171" s="106"/>
      <c r="M171" s="75" t="str">
        <f>IF($C171="","",IFERROR(INDEX(科目表!$T$4:$T$9,MATCH($C171,科目表!$S$4:$S$9,0)),""))</f>
        <v/>
      </c>
      <c r="N171" s="75" t="str">
        <f t="shared" si="17"/>
        <v/>
      </c>
      <c r="O171" s="76" t="str">
        <f t="shared" si="18"/>
        <v/>
      </c>
      <c r="P171" s="76" t="str">
        <f t="shared" si="19"/>
        <v/>
      </c>
      <c r="Q171" s="75" t="str">
        <f t="shared" si="20"/>
        <v/>
      </c>
      <c r="R171" s="76" t="str">
        <f t="shared" si="21"/>
        <v/>
      </c>
      <c r="S171" s="76" t="str">
        <f t="shared" si="22"/>
        <v/>
      </c>
      <c r="T171" s="43"/>
      <c r="U171" s="107"/>
      <c r="V171" s="76" t="str">
        <f t="shared" si="23"/>
        <v/>
      </c>
      <c r="W171" s="43"/>
      <c r="X171" s="43"/>
      <c r="Y171" s="74"/>
    </row>
    <row r="172" ht="18" customHeight="1" spans="1:25">
      <c r="A172" s="74" t="str">
        <f t="shared" si="16"/>
        <v/>
      </c>
      <c r="B172" s="7"/>
      <c r="C172" s="43"/>
      <c r="D172" s="106"/>
      <c r="E172" s="43"/>
      <c r="F172" s="43"/>
      <c r="G172" s="43"/>
      <c r="H172" s="107"/>
      <c r="I172" s="107"/>
      <c r="J172" s="76" t="str">
        <f>IF($C172="","",ROUND(IFERROR(INDEX(期初余额!$I$4:$I$9,MATCH($C172,期初余额!$H$4:$H$9,0)),0)+SUMIFS($H$4:$H172,$C$4:$C172,$C172)-SUMIFS($I$4:$I172,$C$4:$C172,$C172),2))</f>
        <v/>
      </c>
      <c r="K172" s="111" t="str">
        <f>IF($T172&lt;&gt;"",$T172,IF($C172="","",IF(AND(N($I172)&gt;0,$G172&lt;&gt;""),IFERROR(INDEX(科目表!$U$4:$U$123,MATCH($G172,科目表!$M$4:$M$123,0)),"管理费用"),IF(N($H172)&gt;0,IFERROR(INDEX(自动规则!$C$4:$C$40,MATCH($F172,自动规则!$B$4:$B$40,0)),"其他应收款"),IFERROR(INDEX(自动规则!$D$4:$D$40,MATCH($F172,自动规则!$B$4:$B$40,0)),"其他应付款")))))</f>
        <v/>
      </c>
      <c r="L172" s="106"/>
      <c r="M172" s="75" t="str">
        <f>IF($C172="","",IFERROR(INDEX(科目表!$T$4:$T$9,MATCH($C172,科目表!$S$4:$S$9,0)),""))</f>
        <v/>
      </c>
      <c r="N172" s="75" t="str">
        <f t="shared" si="17"/>
        <v/>
      </c>
      <c r="O172" s="76" t="str">
        <f t="shared" si="18"/>
        <v/>
      </c>
      <c r="P172" s="76" t="str">
        <f t="shared" si="19"/>
        <v/>
      </c>
      <c r="Q172" s="75" t="str">
        <f t="shared" si="20"/>
        <v/>
      </c>
      <c r="R172" s="76" t="str">
        <f t="shared" si="21"/>
        <v/>
      </c>
      <c r="S172" s="76" t="str">
        <f t="shared" si="22"/>
        <v/>
      </c>
      <c r="T172" s="43"/>
      <c r="U172" s="107"/>
      <c r="V172" s="76" t="str">
        <f t="shared" si="23"/>
        <v/>
      </c>
      <c r="W172" s="43"/>
      <c r="X172" s="43"/>
      <c r="Y172" s="74"/>
    </row>
    <row r="173" ht="18" customHeight="1" spans="1:25">
      <c r="A173" s="74" t="str">
        <f t="shared" si="16"/>
        <v/>
      </c>
      <c r="B173" s="7"/>
      <c r="C173" s="43"/>
      <c r="D173" s="106"/>
      <c r="E173" s="43"/>
      <c r="F173" s="43"/>
      <c r="G173" s="43"/>
      <c r="H173" s="107"/>
      <c r="I173" s="107"/>
      <c r="J173" s="76" t="str">
        <f>IF($C173="","",ROUND(IFERROR(INDEX(期初余额!$I$4:$I$9,MATCH($C173,期初余额!$H$4:$H$9,0)),0)+SUMIFS($H$4:$H173,$C$4:$C173,$C173)-SUMIFS($I$4:$I173,$C$4:$C173,$C173),2))</f>
        <v/>
      </c>
      <c r="K173" s="111" t="str">
        <f>IF($T173&lt;&gt;"",$T173,IF($C173="","",IF(AND(N($I173)&gt;0,$G173&lt;&gt;""),IFERROR(INDEX(科目表!$U$4:$U$123,MATCH($G173,科目表!$M$4:$M$123,0)),"管理费用"),IF(N($H173)&gt;0,IFERROR(INDEX(自动规则!$C$4:$C$40,MATCH($F173,自动规则!$B$4:$B$40,0)),"其他应收款"),IFERROR(INDEX(自动规则!$D$4:$D$40,MATCH($F173,自动规则!$B$4:$B$40,0)),"其他应付款")))))</f>
        <v/>
      </c>
      <c r="L173" s="106"/>
      <c r="M173" s="75" t="str">
        <f>IF($C173="","",IFERROR(INDEX(科目表!$T$4:$T$9,MATCH($C173,科目表!$S$4:$S$9,0)),""))</f>
        <v/>
      </c>
      <c r="N173" s="75" t="str">
        <f t="shared" si="17"/>
        <v/>
      </c>
      <c r="O173" s="76" t="str">
        <f t="shared" si="18"/>
        <v/>
      </c>
      <c r="P173" s="76" t="str">
        <f t="shared" si="19"/>
        <v/>
      </c>
      <c r="Q173" s="75" t="str">
        <f t="shared" si="20"/>
        <v/>
      </c>
      <c r="R173" s="76" t="str">
        <f t="shared" si="21"/>
        <v/>
      </c>
      <c r="S173" s="76" t="str">
        <f t="shared" si="22"/>
        <v/>
      </c>
      <c r="T173" s="43"/>
      <c r="U173" s="107"/>
      <c r="V173" s="76" t="str">
        <f t="shared" si="23"/>
        <v/>
      </c>
      <c r="W173" s="43"/>
      <c r="X173" s="43"/>
      <c r="Y173" s="74"/>
    </row>
    <row r="174" ht="18" customHeight="1" spans="1:25">
      <c r="A174" s="74" t="str">
        <f t="shared" si="16"/>
        <v/>
      </c>
      <c r="B174" s="7"/>
      <c r="C174" s="43"/>
      <c r="D174" s="106"/>
      <c r="E174" s="43"/>
      <c r="F174" s="43"/>
      <c r="G174" s="43"/>
      <c r="H174" s="107"/>
      <c r="I174" s="107"/>
      <c r="J174" s="76" t="str">
        <f>IF($C174="","",ROUND(IFERROR(INDEX(期初余额!$I$4:$I$9,MATCH($C174,期初余额!$H$4:$H$9,0)),0)+SUMIFS($H$4:$H174,$C$4:$C174,$C174)-SUMIFS($I$4:$I174,$C$4:$C174,$C174),2))</f>
        <v/>
      </c>
      <c r="K174" s="111" t="str">
        <f>IF($T174&lt;&gt;"",$T174,IF($C174="","",IF(AND(N($I174)&gt;0,$G174&lt;&gt;""),IFERROR(INDEX(科目表!$U$4:$U$123,MATCH($G174,科目表!$M$4:$M$123,0)),"管理费用"),IF(N($H174)&gt;0,IFERROR(INDEX(自动规则!$C$4:$C$40,MATCH($F174,自动规则!$B$4:$B$40,0)),"其他应收款"),IFERROR(INDEX(自动规则!$D$4:$D$40,MATCH($F174,自动规则!$B$4:$B$40,0)),"其他应付款")))))</f>
        <v/>
      </c>
      <c r="L174" s="106"/>
      <c r="M174" s="75" t="str">
        <f>IF($C174="","",IFERROR(INDEX(科目表!$T$4:$T$9,MATCH($C174,科目表!$S$4:$S$9,0)),""))</f>
        <v/>
      </c>
      <c r="N174" s="75" t="str">
        <f t="shared" si="17"/>
        <v/>
      </c>
      <c r="O174" s="76" t="str">
        <f t="shared" si="18"/>
        <v/>
      </c>
      <c r="P174" s="76" t="str">
        <f t="shared" si="19"/>
        <v/>
      </c>
      <c r="Q174" s="75" t="str">
        <f t="shared" si="20"/>
        <v/>
      </c>
      <c r="R174" s="76" t="str">
        <f t="shared" si="21"/>
        <v/>
      </c>
      <c r="S174" s="76" t="str">
        <f t="shared" si="22"/>
        <v/>
      </c>
      <c r="T174" s="43"/>
      <c r="U174" s="107"/>
      <c r="V174" s="76" t="str">
        <f t="shared" si="23"/>
        <v/>
      </c>
      <c r="W174" s="43"/>
      <c r="X174" s="43"/>
      <c r="Y174" s="74"/>
    </row>
    <row r="175" ht="18" customHeight="1" spans="1:25">
      <c r="A175" s="74" t="str">
        <f t="shared" si="16"/>
        <v/>
      </c>
      <c r="B175" s="7"/>
      <c r="C175" s="43"/>
      <c r="D175" s="106"/>
      <c r="E175" s="43"/>
      <c r="F175" s="43"/>
      <c r="G175" s="43"/>
      <c r="H175" s="107"/>
      <c r="I175" s="107"/>
      <c r="J175" s="76" t="str">
        <f>IF($C175="","",ROUND(IFERROR(INDEX(期初余额!$I$4:$I$9,MATCH($C175,期初余额!$H$4:$H$9,0)),0)+SUMIFS($H$4:$H175,$C$4:$C175,$C175)-SUMIFS($I$4:$I175,$C$4:$C175,$C175),2))</f>
        <v/>
      </c>
      <c r="K175" s="111" t="str">
        <f>IF($T175&lt;&gt;"",$T175,IF($C175="","",IF(AND(N($I175)&gt;0,$G175&lt;&gt;""),IFERROR(INDEX(科目表!$U$4:$U$123,MATCH($G175,科目表!$M$4:$M$123,0)),"管理费用"),IF(N($H175)&gt;0,IFERROR(INDEX(自动规则!$C$4:$C$40,MATCH($F175,自动规则!$B$4:$B$40,0)),"其他应收款"),IFERROR(INDEX(自动规则!$D$4:$D$40,MATCH($F175,自动规则!$B$4:$B$40,0)),"其他应付款")))))</f>
        <v/>
      </c>
      <c r="L175" s="106"/>
      <c r="M175" s="75" t="str">
        <f>IF($C175="","",IFERROR(INDEX(科目表!$T$4:$T$9,MATCH($C175,科目表!$S$4:$S$9,0)),""))</f>
        <v/>
      </c>
      <c r="N175" s="75" t="str">
        <f t="shared" si="17"/>
        <v/>
      </c>
      <c r="O175" s="76" t="str">
        <f t="shared" si="18"/>
        <v/>
      </c>
      <c r="P175" s="76" t="str">
        <f t="shared" si="19"/>
        <v/>
      </c>
      <c r="Q175" s="75" t="str">
        <f t="shared" si="20"/>
        <v/>
      </c>
      <c r="R175" s="76" t="str">
        <f t="shared" si="21"/>
        <v/>
      </c>
      <c r="S175" s="76" t="str">
        <f t="shared" si="22"/>
        <v/>
      </c>
      <c r="T175" s="43"/>
      <c r="U175" s="107"/>
      <c r="V175" s="76" t="str">
        <f t="shared" si="23"/>
        <v/>
      </c>
      <c r="W175" s="43"/>
      <c r="X175" s="43"/>
      <c r="Y175" s="74"/>
    </row>
    <row r="176" ht="18" customHeight="1" spans="1:25">
      <c r="A176" s="74" t="str">
        <f t="shared" si="16"/>
        <v/>
      </c>
      <c r="B176" s="7"/>
      <c r="C176" s="43"/>
      <c r="D176" s="106"/>
      <c r="E176" s="43"/>
      <c r="F176" s="43"/>
      <c r="G176" s="43"/>
      <c r="H176" s="107"/>
      <c r="I176" s="107"/>
      <c r="J176" s="76" t="str">
        <f>IF($C176="","",ROUND(IFERROR(INDEX(期初余额!$I$4:$I$9,MATCH($C176,期初余额!$H$4:$H$9,0)),0)+SUMIFS($H$4:$H176,$C$4:$C176,$C176)-SUMIFS($I$4:$I176,$C$4:$C176,$C176),2))</f>
        <v/>
      </c>
      <c r="K176" s="111" t="str">
        <f>IF($T176&lt;&gt;"",$T176,IF($C176="","",IF(AND(N($I176)&gt;0,$G176&lt;&gt;""),IFERROR(INDEX(科目表!$U$4:$U$123,MATCH($G176,科目表!$M$4:$M$123,0)),"管理费用"),IF(N($H176)&gt;0,IFERROR(INDEX(自动规则!$C$4:$C$40,MATCH($F176,自动规则!$B$4:$B$40,0)),"其他应收款"),IFERROR(INDEX(自动规则!$D$4:$D$40,MATCH($F176,自动规则!$B$4:$B$40,0)),"其他应付款")))))</f>
        <v/>
      </c>
      <c r="L176" s="106"/>
      <c r="M176" s="75" t="str">
        <f>IF($C176="","",IFERROR(INDEX(科目表!$T$4:$T$9,MATCH($C176,科目表!$S$4:$S$9,0)),""))</f>
        <v/>
      </c>
      <c r="N176" s="75" t="str">
        <f t="shared" si="17"/>
        <v/>
      </c>
      <c r="O176" s="76" t="str">
        <f t="shared" si="18"/>
        <v/>
      </c>
      <c r="P176" s="76" t="str">
        <f t="shared" si="19"/>
        <v/>
      </c>
      <c r="Q176" s="75" t="str">
        <f t="shared" si="20"/>
        <v/>
      </c>
      <c r="R176" s="76" t="str">
        <f t="shared" si="21"/>
        <v/>
      </c>
      <c r="S176" s="76" t="str">
        <f t="shared" si="22"/>
        <v/>
      </c>
      <c r="T176" s="43"/>
      <c r="U176" s="107"/>
      <c r="V176" s="76" t="str">
        <f t="shared" si="23"/>
        <v/>
      </c>
      <c r="W176" s="43"/>
      <c r="X176" s="43"/>
      <c r="Y176" s="74"/>
    </row>
    <row r="177" ht="18" customHeight="1" spans="1:25">
      <c r="A177" s="74" t="str">
        <f t="shared" si="16"/>
        <v/>
      </c>
      <c r="B177" s="7"/>
      <c r="C177" s="43"/>
      <c r="D177" s="106"/>
      <c r="E177" s="43"/>
      <c r="F177" s="43"/>
      <c r="G177" s="43"/>
      <c r="H177" s="107"/>
      <c r="I177" s="107"/>
      <c r="J177" s="76" t="str">
        <f>IF($C177="","",ROUND(IFERROR(INDEX(期初余额!$I$4:$I$9,MATCH($C177,期初余额!$H$4:$H$9,0)),0)+SUMIFS($H$4:$H177,$C$4:$C177,$C177)-SUMIFS($I$4:$I177,$C$4:$C177,$C177),2))</f>
        <v/>
      </c>
      <c r="K177" s="111" t="str">
        <f>IF($T177&lt;&gt;"",$T177,IF($C177="","",IF(AND(N($I177)&gt;0,$G177&lt;&gt;""),IFERROR(INDEX(科目表!$U$4:$U$123,MATCH($G177,科目表!$M$4:$M$123,0)),"管理费用"),IF(N($H177)&gt;0,IFERROR(INDEX(自动规则!$C$4:$C$40,MATCH($F177,自动规则!$B$4:$B$40,0)),"其他应收款"),IFERROR(INDEX(自动规则!$D$4:$D$40,MATCH($F177,自动规则!$B$4:$B$40,0)),"其他应付款")))))</f>
        <v/>
      </c>
      <c r="L177" s="106"/>
      <c r="M177" s="75" t="str">
        <f>IF($C177="","",IFERROR(INDEX(科目表!$T$4:$T$9,MATCH($C177,科目表!$S$4:$S$9,0)),""))</f>
        <v/>
      </c>
      <c r="N177" s="75" t="str">
        <f t="shared" si="17"/>
        <v/>
      </c>
      <c r="O177" s="76" t="str">
        <f t="shared" si="18"/>
        <v/>
      </c>
      <c r="P177" s="76" t="str">
        <f t="shared" si="19"/>
        <v/>
      </c>
      <c r="Q177" s="75" t="str">
        <f t="shared" si="20"/>
        <v/>
      </c>
      <c r="R177" s="76" t="str">
        <f t="shared" si="21"/>
        <v/>
      </c>
      <c r="S177" s="76" t="str">
        <f t="shared" si="22"/>
        <v/>
      </c>
      <c r="T177" s="43"/>
      <c r="U177" s="107"/>
      <c r="V177" s="76" t="str">
        <f t="shared" si="23"/>
        <v/>
      </c>
      <c r="W177" s="43"/>
      <c r="X177" s="43"/>
      <c r="Y177" s="74"/>
    </row>
    <row r="178" ht="18" customHeight="1" spans="1:25">
      <c r="A178" s="74" t="str">
        <f t="shared" si="16"/>
        <v/>
      </c>
      <c r="B178" s="7"/>
      <c r="C178" s="43"/>
      <c r="D178" s="106"/>
      <c r="E178" s="43"/>
      <c r="F178" s="43"/>
      <c r="G178" s="43"/>
      <c r="H178" s="107"/>
      <c r="I178" s="107"/>
      <c r="J178" s="76" t="str">
        <f>IF($C178="","",ROUND(IFERROR(INDEX(期初余额!$I$4:$I$9,MATCH($C178,期初余额!$H$4:$H$9,0)),0)+SUMIFS($H$4:$H178,$C$4:$C178,$C178)-SUMIFS($I$4:$I178,$C$4:$C178,$C178),2))</f>
        <v/>
      </c>
      <c r="K178" s="111" t="str">
        <f>IF($T178&lt;&gt;"",$T178,IF($C178="","",IF(AND(N($I178)&gt;0,$G178&lt;&gt;""),IFERROR(INDEX(科目表!$U$4:$U$123,MATCH($G178,科目表!$M$4:$M$123,0)),"管理费用"),IF(N($H178)&gt;0,IFERROR(INDEX(自动规则!$C$4:$C$40,MATCH($F178,自动规则!$B$4:$B$40,0)),"其他应收款"),IFERROR(INDEX(自动规则!$D$4:$D$40,MATCH($F178,自动规则!$B$4:$B$40,0)),"其他应付款")))))</f>
        <v/>
      </c>
      <c r="L178" s="106"/>
      <c r="M178" s="75" t="str">
        <f>IF($C178="","",IFERROR(INDEX(科目表!$T$4:$T$9,MATCH($C178,科目表!$S$4:$S$9,0)),""))</f>
        <v/>
      </c>
      <c r="N178" s="75" t="str">
        <f t="shared" si="17"/>
        <v/>
      </c>
      <c r="O178" s="76" t="str">
        <f t="shared" si="18"/>
        <v/>
      </c>
      <c r="P178" s="76" t="str">
        <f t="shared" si="19"/>
        <v/>
      </c>
      <c r="Q178" s="75" t="str">
        <f t="shared" si="20"/>
        <v/>
      </c>
      <c r="R178" s="76" t="str">
        <f t="shared" si="21"/>
        <v/>
      </c>
      <c r="S178" s="76" t="str">
        <f t="shared" si="22"/>
        <v/>
      </c>
      <c r="T178" s="43"/>
      <c r="U178" s="107"/>
      <c r="V178" s="76" t="str">
        <f t="shared" si="23"/>
        <v/>
      </c>
      <c r="W178" s="43"/>
      <c r="X178" s="43"/>
      <c r="Y178" s="74"/>
    </row>
    <row r="179" ht="18" customHeight="1" spans="1:25">
      <c r="A179" s="74" t="str">
        <f t="shared" si="16"/>
        <v/>
      </c>
      <c r="B179" s="7"/>
      <c r="C179" s="43"/>
      <c r="D179" s="106"/>
      <c r="E179" s="43"/>
      <c r="F179" s="43"/>
      <c r="G179" s="43"/>
      <c r="H179" s="107"/>
      <c r="I179" s="107"/>
      <c r="J179" s="76" t="str">
        <f>IF($C179="","",ROUND(IFERROR(INDEX(期初余额!$I$4:$I$9,MATCH($C179,期初余额!$H$4:$H$9,0)),0)+SUMIFS($H$4:$H179,$C$4:$C179,$C179)-SUMIFS($I$4:$I179,$C$4:$C179,$C179),2))</f>
        <v/>
      </c>
      <c r="K179" s="111" t="str">
        <f>IF($T179&lt;&gt;"",$T179,IF($C179="","",IF(AND(N($I179)&gt;0,$G179&lt;&gt;""),IFERROR(INDEX(科目表!$U$4:$U$123,MATCH($G179,科目表!$M$4:$M$123,0)),"管理费用"),IF(N($H179)&gt;0,IFERROR(INDEX(自动规则!$C$4:$C$40,MATCH($F179,自动规则!$B$4:$B$40,0)),"其他应收款"),IFERROR(INDEX(自动规则!$D$4:$D$40,MATCH($F179,自动规则!$B$4:$B$40,0)),"其他应付款")))))</f>
        <v/>
      </c>
      <c r="L179" s="106"/>
      <c r="M179" s="75" t="str">
        <f>IF($C179="","",IFERROR(INDEX(科目表!$T$4:$T$9,MATCH($C179,科目表!$S$4:$S$9,0)),""))</f>
        <v/>
      </c>
      <c r="N179" s="75" t="str">
        <f t="shared" si="17"/>
        <v/>
      </c>
      <c r="O179" s="76" t="str">
        <f t="shared" si="18"/>
        <v/>
      </c>
      <c r="P179" s="76" t="str">
        <f t="shared" si="19"/>
        <v/>
      </c>
      <c r="Q179" s="75" t="str">
        <f t="shared" si="20"/>
        <v/>
      </c>
      <c r="R179" s="76" t="str">
        <f t="shared" si="21"/>
        <v/>
      </c>
      <c r="S179" s="76" t="str">
        <f t="shared" si="22"/>
        <v/>
      </c>
      <c r="T179" s="43"/>
      <c r="U179" s="107"/>
      <c r="V179" s="76" t="str">
        <f t="shared" si="23"/>
        <v/>
      </c>
      <c r="W179" s="43"/>
      <c r="X179" s="43"/>
      <c r="Y179" s="74"/>
    </row>
    <row r="180" ht="18" customHeight="1" spans="1:25">
      <c r="A180" s="74" t="str">
        <f t="shared" si="16"/>
        <v/>
      </c>
      <c r="B180" s="7"/>
      <c r="C180" s="43"/>
      <c r="D180" s="106"/>
      <c r="E180" s="43"/>
      <c r="F180" s="43"/>
      <c r="G180" s="43"/>
      <c r="H180" s="107"/>
      <c r="I180" s="107"/>
      <c r="J180" s="76" t="str">
        <f>IF($C180="","",ROUND(IFERROR(INDEX(期初余额!$I$4:$I$9,MATCH($C180,期初余额!$H$4:$H$9,0)),0)+SUMIFS($H$4:$H180,$C$4:$C180,$C180)-SUMIFS($I$4:$I180,$C$4:$C180,$C180),2))</f>
        <v/>
      </c>
      <c r="K180" s="111" t="str">
        <f>IF($T180&lt;&gt;"",$T180,IF($C180="","",IF(AND(N($I180)&gt;0,$G180&lt;&gt;""),IFERROR(INDEX(科目表!$U$4:$U$123,MATCH($G180,科目表!$M$4:$M$123,0)),"管理费用"),IF(N($H180)&gt;0,IFERROR(INDEX(自动规则!$C$4:$C$40,MATCH($F180,自动规则!$B$4:$B$40,0)),"其他应收款"),IFERROR(INDEX(自动规则!$D$4:$D$40,MATCH($F180,自动规则!$B$4:$B$40,0)),"其他应付款")))))</f>
        <v/>
      </c>
      <c r="L180" s="106"/>
      <c r="M180" s="75" t="str">
        <f>IF($C180="","",IFERROR(INDEX(科目表!$T$4:$T$9,MATCH($C180,科目表!$S$4:$S$9,0)),""))</f>
        <v/>
      </c>
      <c r="N180" s="75" t="str">
        <f t="shared" si="17"/>
        <v/>
      </c>
      <c r="O180" s="76" t="str">
        <f t="shared" si="18"/>
        <v/>
      </c>
      <c r="P180" s="76" t="str">
        <f t="shared" si="19"/>
        <v/>
      </c>
      <c r="Q180" s="75" t="str">
        <f t="shared" si="20"/>
        <v/>
      </c>
      <c r="R180" s="76" t="str">
        <f t="shared" si="21"/>
        <v/>
      </c>
      <c r="S180" s="76" t="str">
        <f t="shared" si="22"/>
        <v/>
      </c>
      <c r="T180" s="43"/>
      <c r="U180" s="107"/>
      <c r="V180" s="76" t="str">
        <f t="shared" si="23"/>
        <v/>
      </c>
      <c r="W180" s="43"/>
      <c r="X180" s="43"/>
      <c r="Y180" s="74"/>
    </row>
    <row r="181" ht="18" customHeight="1" spans="1:25">
      <c r="A181" s="74" t="str">
        <f t="shared" si="16"/>
        <v/>
      </c>
      <c r="B181" s="7"/>
      <c r="C181" s="43"/>
      <c r="D181" s="106"/>
      <c r="E181" s="43"/>
      <c r="F181" s="43"/>
      <c r="G181" s="43"/>
      <c r="H181" s="107"/>
      <c r="I181" s="107"/>
      <c r="J181" s="76" t="str">
        <f>IF($C181="","",ROUND(IFERROR(INDEX(期初余额!$I$4:$I$9,MATCH($C181,期初余额!$H$4:$H$9,0)),0)+SUMIFS($H$4:$H181,$C$4:$C181,$C181)-SUMIFS($I$4:$I181,$C$4:$C181,$C181),2))</f>
        <v/>
      </c>
      <c r="K181" s="111" t="str">
        <f>IF($T181&lt;&gt;"",$T181,IF($C181="","",IF(AND(N($I181)&gt;0,$G181&lt;&gt;""),IFERROR(INDEX(科目表!$U$4:$U$123,MATCH($G181,科目表!$M$4:$M$123,0)),"管理费用"),IF(N($H181)&gt;0,IFERROR(INDEX(自动规则!$C$4:$C$40,MATCH($F181,自动规则!$B$4:$B$40,0)),"其他应收款"),IFERROR(INDEX(自动规则!$D$4:$D$40,MATCH($F181,自动规则!$B$4:$B$40,0)),"其他应付款")))))</f>
        <v/>
      </c>
      <c r="L181" s="106"/>
      <c r="M181" s="75" t="str">
        <f>IF($C181="","",IFERROR(INDEX(科目表!$T$4:$T$9,MATCH($C181,科目表!$S$4:$S$9,0)),""))</f>
        <v/>
      </c>
      <c r="N181" s="75" t="str">
        <f t="shared" si="17"/>
        <v/>
      </c>
      <c r="O181" s="76" t="str">
        <f t="shared" si="18"/>
        <v/>
      </c>
      <c r="P181" s="76" t="str">
        <f t="shared" si="19"/>
        <v/>
      </c>
      <c r="Q181" s="75" t="str">
        <f t="shared" si="20"/>
        <v/>
      </c>
      <c r="R181" s="76" t="str">
        <f t="shared" si="21"/>
        <v/>
      </c>
      <c r="S181" s="76" t="str">
        <f t="shared" si="22"/>
        <v/>
      </c>
      <c r="T181" s="43"/>
      <c r="U181" s="107"/>
      <c r="V181" s="76" t="str">
        <f t="shared" si="23"/>
        <v/>
      </c>
      <c r="W181" s="43"/>
      <c r="X181" s="43"/>
      <c r="Y181" s="74"/>
    </row>
    <row r="182" ht="18" customHeight="1" spans="1:25">
      <c r="A182" s="74" t="str">
        <f t="shared" si="16"/>
        <v/>
      </c>
      <c r="B182" s="7"/>
      <c r="C182" s="43"/>
      <c r="D182" s="106"/>
      <c r="E182" s="43"/>
      <c r="F182" s="43"/>
      <c r="G182" s="43"/>
      <c r="H182" s="107"/>
      <c r="I182" s="107"/>
      <c r="J182" s="76" t="str">
        <f>IF($C182="","",ROUND(IFERROR(INDEX(期初余额!$I$4:$I$9,MATCH($C182,期初余额!$H$4:$H$9,0)),0)+SUMIFS($H$4:$H182,$C$4:$C182,$C182)-SUMIFS($I$4:$I182,$C$4:$C182,$C182),2))</f>
        <v/>
      </c>
      <c r="K182" s="111" t="str">
        <f>IF($T182&lt;&gt;"",$T182,IF($C182="","",IF(AND(N($I182)&gt;0,$G182&lt;&gt;""),IFERROR(INDEX(科目表!$U$4:$U$123,MATCH($G182,科目表!$M$4:$M$123,0)),"管理费用"),IF(N($H182)&gt;0,IFERROR(INDEX(自动规则!$C$4:$C$40,MATCH($F182,自动规则!$B$4:$B$40,0)),"其他应收款"),IFERROR(INDEX(自动规则!$D$4:$D$40,MATCH($F182,自动规则!$B$4:$B$40,0)),"其他应付款")))))</f>
        <v/>
      </c>
      <c r="L182" s="106"/>
      <c r="M182" s="75" t="str">
        <f>IF($C182="","",IFERROR(INDEX(科目表!$T$4:$T$9,MATCH($C182,科目表!$S$4:$S$9,0)),""))</f>
        <v/>
      </c>
      <c r="N182" s="75" t="str">
        <f t="shared" si="17"/>
        <v/>
      </c>
      <c r="O182" s="76" t="str">
        <f t="shared" si="18"/>
        <v/>
      </c>
      <c r="P182" s="76" t="str">
        <f t="shared" si="19"/>
        <v/>
      </c>
      <c r="Q182" s="75" t="str">
        <f t="shared" si="20"/>
        <v/>
      </c>
      <c r="R182" s="76" t="str">
        <f t="shared" si="21"/>
        <v/>
      </c>
      <c r="S182" s="76" t="str">
        <f t="shared" si="22"/>
        <v/>
      </c>
      <c r="T182" s="43"/>
      <c r="U182" s="107"/>
      <c r="V182" s="76" t="str">
        <f t="shared" si="23"/>
        <v/>
      </c>
      <c r="W182" s="43"/>
      <c r="X182" s="43"/>
      <c r="Y182" s="74"/>
    </row>
    <row r="183" ht="18" customHeight="1" spans="1:25">
      <c r="A183" s="74" t="str">
        <f t="shared" si="16"/>
        <v/>
      </c>
      <c r="B183" s="7"/>
      <c r="C183" s="43"/>
      <c r="D183" s="106"/>
      <c r="E183" s="43"/>
      <c r="F183" s="43"/>
      <c r="G183" s="43"/>
      <c r="H183" s="107"/>
      <c r="I183" s="107"/>
      <c r="J183" s="76" t="str">
        <f>IF($C183="","",ROUND(IFERROR(INDEX(期初余额!$I$4:$I$9,MATCH($C183,期初余额!$H$4:$H$9,0)),0)+SUMIFS($H$4:$H183,$C$4:$C183,$C183)-SUMIFS($I$4:$I183,$C$4:$C183,$C183),2))</f>
        <v/>
      </c>
      <c r="K183" s="111" t="str">
        <f>IF($T183&lt;&gt;"",$T183,IF($C183="","",IF(AND(N($I183)&gt;0,$G183&lt;&gt;""),IFERROR(INDEX(科目表!$U$4:$U$123,MATCH($G183,科目表!$M$4:$M$123,0)),"管理费用"),IF(N($H183)&gt;0,IFERROR(INDEX(自动规则!$C$4:$C$40,MATCH($F183,自动规则!$B$4:$B$40,0)),"其他应收款"),IFERROR(INDEX(自动规则!$D$4:$D$40,MATCH($F183,自动规则!$B$4:$B$40,0)),"其他应付款")))))</f>
        <v/>
      </c>
      <c r="L183" s="106"/>
      <c r="M183" s="75" t="str">
        <f>IF($C183="","",IFERROR(INDEX(科目表!$T$4:$T$9,MATCH($C183,科目表!$S$4:$S$9,0)),""))</f>
        <v/>
      </c>
      <c r="N183" s="75" t="str">
        <f t="shared" si="17"/>
        <v/>
      </c>
      <c r="O183" s="76" t="str">
        <f t="shared" si="18"/>
        <v/>
      </c>
      <c r="P183" s="76" t="str">
        <f t="shared" si="19"/>
        <v/>
      </c>
      <c r="Q183" s="75" t="str">
        <f t="shared" si="20"/>
        <v/>
      </c>
      <c r="R183" s="76" t="str">
        <f t="shared" si="21"/>
        <v/>
      </c>
      <c r="S183" s="76" t="str">
        <f t="shared" si="22"/>
        <v/>
      </c>
      <c r="T183" s="43"/>
      <c r="U183" s="107"/>
      <c r="V183" s="76" t="str">
        <f t="shared" si="23"/>
        <v/>
      </c>
      <c r="W183" s="43"/>
      <c r="X183" s="43"/>
      <c r="Y183" s="74"/>
    </row>
    <row r="184" ht="18" customHeight="1" spans="1:25">
      <c r="A184" s="74" t="str">
        <f t="shared" si="16"/>
        <v/>
      </c>
      <c r="B184" s="7"/>
      <c r="C184" s="43"/>
      <c r="D184" s="106"/>
      <c r="E184" s="43"/>
      <c r="F184" s="43"/>
      <c r="G184" s="43"/>
      <c r="H184" s="107"/>
      <c r="I184" s="107"/>
      <c r="J184" s="76" t="str">
        <f>IF($C184="","",ROUND(IFERROR(INDEX(期初余额!$I$4:$I$9,MATCH($C184,期初余额!$H$4:$H$9,0)),0)+SUMIFS($H$4:$H184,$C$4:$C184,$C184)-SUMIFS($I$4:$I184,$C$4:$C184,$C184),2))</f>
        <v/>
      </c>
      <c r="K184" s="111" t="str">
        <f>IF($T184&lt;&gt;"",$T184,IF($C184="","",IF(AND(N($I184)&gt;0,$G184&lt;&gt;""),IFERROR(INDEX(科目表!$U$4:$U$123,MATCH($G184,科目表!$M$4:$M$123,0)),"管理费用"),IF(N($H184)&gt;0,IFERROR(INDEX(自动规则!$C$4:$C$40,MATCH($F184,自动规则!$B$4:$B$40,0)),"其他应收款"),IFERROR(INDEX(自动规则!$D$4:$D$40,MATCH($F184,自动规则!$B$4:$B$40,0)),"其他应付款")))))</f>
        <v/>
      </c>
      <c r="L184" s="106"/>
      <c r="M184" s="75" t="str">
        <f>IF($C184="","",IFERROR(INDEX(科目表!$T$4:$T$9,MATCH($C184,科目表!$S$4:$S$9,0)),""))</f>
        <v/>
      </c>
      <c r="N184" s="75" t="str">
        <f t="shared" si="17"/>
        <v/>
      </c>
      <c r="O184" s="76" t="str">
        <f t="shared" si="18"/>
        <v/>
      </c>
      <c r="P184" s="76" t="str">
        <f t="shared" si="19"/>
        <v/>
      </c>
      <c r="Q184" s="75" t="str">
        <f t="shared" si="20"/>
        <v/>
      </c>
      <c r="R184" s="76" t="str">
        <f t="shared" si="21"/>
        <v/>
      </c>
      <c r="S184" s="76" t="str">
        <f t="shared" si="22"/>
        <v/>
      </c>
      <c r="T184" s="43"/>
      <c r="U184" s="107"/>
      <c r="V184" s="76" t="str">
        <f t="shared" si="23"/>
        <v/>
      </c>
      <c r="W184" s="43"/>
      <c r="X184" s="43"/>
      <c r="Y184" s="74"/>
    </row>
    <row r="185" ht="18" customHeight="1" spans="1:25">
      <c r="A185" s="74" t="str">
        <f t="shared" si="16"/>
        <v/>
      </c>
      <c r="B185" s="7"/>
      <c r="C185" s="43"/>
      <c r="D185" s="106"/>
      <c r="E185" s="43"/>
      <c r="F185" s="43"/>
      <c r="G185" s="43"/>
      <c r="H185" s="107"/>
      <c r="I185" s="107"/>
      <c r="J185" s="76" t="str">
        <f>IF($C185="","",ROUND(IFERROR(INDEX(期初余额!$I$4:$I$9,MATCH($C185,期初余额!$H$4:$H$9,0)),0)+SUMIFS($H$4:$H185,$C$4:$C185,$C185)-SUMIFS($I$4:$I185,$C$4:$C185,$C185),2))</f>
        <v/>
      </c>
      <c r="K185" s="111" t="str">
        <f>IF($T185&lt;&gt;"",$T185,IF($C185="","",IF(AND(N($I185)&gt;0,$G185&lt;&gt;""),IFERROR(INDEX(科目表!$U$4:$U$123,MATCH($G185,科目表!$M$4:$M$123,0)),"管理费用"),IF(N($H185)&gt;0,IFERROR(INDEX(自动规则!$C$4:$C$40,MATCH($F185,自动规则!$B$4:$B$40,0)),"其他应收款"),IFERROR(INDEX(自动规则!$D$4:$D$40,MATCH($F185,自动规则!$B$4:$B$40,0)),"其他应付款")))))</f>
        <v/>
      </c>
      <c r="L185" s="106"/>
      <c r="M185" s="75" t="str">
        <f>IF($C185="","",IFERROR(INDEX(科目表!$T$4:$T$9,MATCH($C185,科目表!$S$4:$S$9,0)),""))</f>
        <v/>
      </c>
      <c r="N185" s="75" t="str">
        <f t="shared" si="17"/>
        <v/>
      </c>
      <c r="O185" s="76" t="str">
        <f t="shared" si="18"/>
        <v/>
      </c>
      <c r="P185" s="76" t="str">
        <f t="shared" si="19"/>
        <v/>
      </c>
      <c r="Q185" s="75" t="str">
        <f t="shared" si="20"/>
        <v/>
      </c>
      <c r="R185" s="76" t="str">
        <f t="shared" si="21"/>
        <v/>
      </c>
      <c r="S185" s="76" t="str">
        <f t="shared" si="22"/>
        <v/>
      </c>
      <c r="T185" s="43"/>
      <c r="U185" s="107"/>
      <c r="V185" s="76" t="str">
        <f t="shared" si="23"/>
        <v/>
      </c>
      <c r="W185" s="43"/>
      <c r="X185" s="43"/>
      <c r="Y185" s="74"/>
    </row>
    <row r="186" ht="18" customHeight="1" spans="1:25">
      <c r="A186" s="74" t="str">
        <f t="shared" si="16"/>
        <v/>
      </c>
      <c r="B186" s="7"/>
      <c r="C186" s="43"/>
      <c r="D186" s="106"/>
      <c r="E186" s="43"/>
      <c r="F186" s="43"/>
      <c r="G186" s="43"/>
      <c r="H186" s="107"/>
      <c r="I186" s="107"/>
      <c r="J186" s="76" t="str">
        <f>IF($C186="","",ROUND(IFERROR(INDEX(期初余额!$I$4:$I$9,MATCH($C186,期初余额!$H$4:$H$9,0)),0)+SUMIFS($H$4:$H186,$C$4:$C186,$C186)-SUMIFS($I$4:$I186,$C$4:$C186,$C186),2))</f>
        <v/>
      </c>
      <c r="K186" s="111" t="str">
        <f>IF($T186&lt;&gt;"",$T186,IF($C186="","",IF(AND(N($I186)&gt;0,$G186&lt;&gt;""),IFERROR(INDEX(科目表!$U$4:$U$123,MATCH($G186,科目表!$M$4:$M$123,0)),"管理费用"),IF(N($H186)&gt;0,IFERROR(INDEX(自动规则!$C$4:$C$40,MATCH($F186,自动规则!$B$4:$B$40,0)),"其他应收款"),IFERROR(INDEX(自动规则!$D$4:$D$40,MATCH($F186,自动规则!$B$4:$B$40,0)),"其他应付款")))))</f>
        <v/>
      </c>
      <c r="L186" s="106"/>
      <c r="M186" s="75" t="str">
        <f>IF($C186="","",IFERROR(INDEX(科目表!$T$4:$T$9,MATCH($C186,科目表!$S$4:$S$9,0)),""))</f>
        <v/>
      </c>
      <c r="N186" s="75" t="str">
        <f t="shared" si="17"/>
        <v/>
      </c>
      <c r="O186" s="76" t="str">
        <f t="shared" si="18"/>
        <v/>
      </c>
      <c r="P186" s="76" t="str">
        <f t="shared" si="19"/>
        <v/>
      </c>
      <c r="Q186" s="75" t="str">
        <f t="shared" si="20"/>
        <v/>
      </c>
      <c r="R186" s="76" t="str">
        <f t="shared" si="21"/>
        <v/>
      </c>
      <c r="S186" s="76" t="str">
        <f t="shared" si="22"/>
        <v/>
      </c>
      <c r="T186" s="43"/>
      <c r="U186" s="107"/>
      <c r="V186" s="76" t="str">
        <f t="shared" si="23"/>
        <v/>
      </c>
      <c r="W186" s="43"/>
      <c r="X186" s="43"/>
      <c r="Y186" s="74"/>
    </row>
    <row r="187" ht="18" customHeight="1" spans="1:25">
      <c r="A187" s="74" t="str">
        <f t="shared" si="16"/>
        <v/>
      </c>
      <c r="B187" s="7"/>
      <c r="C187" s="43"/>
      <c r="D187" s="106"/>
      <c r="E187" s="43"/>
      <c r="F187" s="43"/>
      <c r="G187" s="43"/>
      <c r="H187" s="107"/>
      <c r="I187" s="107"/>
      <c r="J187" s="76" t="str">
        <f>IF($C187="","",ROUND(IFERROR(INDEX(期初余额!$I$4:$I$9,MATCH($C187,期初余额!$H$4:$H$9,0)),0)+SUMIFS($H$4:$H187,$C$4:$C187,$C187)-SUMIFS($I$4:$I187,$C$4:$C187,$C187),2))</f>
        <v/>
      </c>
      <c r="K187" s="111" t="str">
        <f>IF($T187&lt;&gt;"",$T187,IF($C187="","",IF(AND(N($I187)&gt;0,$G187&lt;&gt;""),IFERROR(INDEX(科目表!$U$4:$U$123,MATCH($G187,科目表!$M$4:$M$123,0)),"管理费用"),IF(N($H187)&gt;0,IFERROR(INDEX(自动规则!$C$4:$C$40,MATCH($F187,自动规则!$B$4:$B$40,0)),"其他应收款"),IFERROR(INDEX(自动规则!$D$4:$D$40,MATCH($F187,自动规则!$B$4:$B$40,0)),"其他应付款")))))</f>
        <v/>
      </c>
      <c r="L187" s="106"/>
      <c r="M187" s="75" t="str">
        <f>IF($C187="","",IFERROR(INDEX(科目表!$T$4:$T$9,MATCH($C187,科目表!$S$4:$S$9,0)),""))</f>
        <v/>
      </c>
      <c r="N187" s="75" t="str">
        <f t="shared" si="17"/>
        <v/>
      </c>
      <c r="O187" s="76" t="str">
        <f t="shared" si="18"/>
        <v/>
      </c>
      <c r="P187" s="76" t="str">
        <f t="shared" si="19"/>
        <v/>
      </c>
      <c r="Q187" s="75" t="str">
        <f t="shared" si="20"/>
        <v/>
      </c>
      <c r="R187" s="76" t="str">
        <f t="shared" si="21"/>
        <v/>
      </c>
      <c r="S187" s="76" t="str">
        <f t="shared" si="22"/>
        <v/>
      </c>
      <c r="T187" s="43"/>
      <c r="U187" s="107"/>
      <c r="V187" s="76" t="str">
        <f t="shared" si="23"/>
        <v/>
      </c>
      <c r="W187" s="43"/>
      <c r="X187" s="43"/>
      <c r="Y187" s="74"/>
    </row>
    <row r="188" ht="18" customHeight="1" spans="1:25">
      <c r="A188" s="74" t="str">
        <f t="shared" si="16"/>
        <v/>
      </c>
      <c r="B188" s="7"/>
      <c r="C188" s="43"/>
      <c r="D188" s="106"/>
      <c r="E188" s="43"/>
      <c r="F188" s="43"/>
      <c r="G188" s="43"/>
      <c r="H188" s="107"/>
      <c r="I188" s="107"/>
      <c r="J188" s="76" t="str">
        <f>IF($C188="","",ROUND(IFERROR(INDEX(期初余额!$I$4:$I$9,MATCH($C188,期初余额!$H$4:$H$9,0)),0)+SUMIFS($H$4:$H188,$C$4:$C188,$C188)-SUMIFS($I$4:$I188,$C$4:$C188,$C188),2))</f>
        <v/>
      </c>
      <c r="K188" s="111" t="str">
        <f>IF($T188&lt;&gt;"",$T188,IF($C188="","",IF(AND(N($I188)&gt;0,$G188&lt;&gt;""),IFERROR(INDEX(科目表!$U$4:$U$123,MATCH($G188,科目表!$M$4:$M$123,0)),"管理费用"),IF(N($H188)&gt;0,IFERROR(INDEX(自动规则!$C$4:$C$40,MATCH($F188,自动规则!$B$4:$B$40,0)),"其他应收款"),IFERROR(INDEX(自动规则!$D$4:$D$40,MATCH($F188,自动规则!$B$4:$B$40,0)),"其他应付款")))))</f>
        <v/>
      </c>
      <c r="L188" s="106"/>
      <c r="M188" s="75" t="str">
        <f>IF($C188="","",IFERROR(INDEX(科目表!$T$4:$T$9,MATCH($C188,科目表!$S$4:$S$9,0)),""))</f>
        <v/>
      </c>
      <c r="N188" s="75" t="str">
        <f t="shared" si="17"/>
        <v/>
      </c>
      <c r="O188" s="76" t="str">
        <f t="shared" si="18"/>
        <v/>
      </c>
      <c r="P188" s="76" t="str">
        <f t="shared" si="19"/>
        <v/>
      </c>
      <c r="Q188" s="75" t="str">
        <f t="shared" si="20"/>
        <v/>
      </c>
      <c r="R188" s="76" t="str">
        <f t="shared" si="21"/>
        <v/>
      </c>
      <c r="S188" s="76" t="str">
        <f t="shared" si="22"/>
        <v/>
      </c>
      <c r="T188" s="43"/>
      <c r="U188" s="107"/>
      <c r="V188" s="76" t="str">
        <f t="shared" si="23"/>
        <v/>
      </c>
      <c r="W188" s="43"/>
      <c r="X188" s="43"/>
      <c r="Y188" s="74"/>
    </row>
    <row r="189" ht="18" customHeight="1" spans="1:25">
      <c r="A189" s="74" t="str">
        <f t="shared" si="16"/>
        <v/>
      </c>
      <c r="B189" s="7"/>
      <c r="C189" s="43"/>
      <c r="D189" s="106"/>
      <c r="E189" s="43"/>
      <c r="F189" s="43"/>
      <c r="G189" s="43"/>
      <c r="H189" s="107"/>
      <c r="I189" s="107"/>
      <c r="J189" s="76" t="str">
        <f>IF($C189="","",ROUND(IFERROR(INDEX(期初余额!$I$4:$I$9,MATCH($C189,期初余额!$H$4:$H$9,0)),0)+SUMIFS($H$4:$H189,$C$4:$C189,$C189)-SUMIFS($I$4:$I189,$C$4:$C189,$C189),2))</f>
        <v/>
      </c>
      <c r="K189" s="111" t="str">
        <f>IF($T189&lt;&gt;"",$T189,IF($C189="","",IF(AND(N($I189)&gt;0,$G189&lt;&gt;""),IFERROR(INDEX(科目表!$U$4:$U$123,MATCH($G189,科目表!$M$4:$M$123,0)),"管理费用"),IF(N($H189)&gt;0,IFERROR(INDEX(自动规则!$C$4:$C$40,MATCH($F189,自动规则!$B$4:$B$40,0)),"其他应收款"),IFERROR(INDEX(自动规则!$D$4:$D$40,MATCH($F189,自动规则!$B$4:$B$40,0)),"其他应付款")))))</f>
        <v/>
      </c>
      <c r="L189" s="106"/>
      <c r="M189" s="75" t="str">
        <f>IF($C189="","",IFERROR(INDEX(科目表!$T$4:$T$9,MATCH($C189,科目表!$S$4:$S$9,0)),""))</f>
        <v/>
      </c>
      <c r="N189" s="75" t="str">
        <f t="shared" si="17"/>
        <v/>
      </c>
      <c r="O189" s="76" t="str">
        <f t="shared" si="18"/>
        <v/>
      </c>
      <c r="P189" s="76" t="str">
        <f t="shared" si="19"/>
        <v/>
      </c>
      <c r="Q189" s="75" t="str">
        <f t="shared" si="20"/>
        <v/>
      </c>
      <c r="R189" s="76" t="str">
        <f t="shared" si="21"/>
        <v/>
      </c>
      <c r="S189" s="76" t="str">
        <f t="shared" si="22"/>
        <v/>
      </c>
      <c r="T189" s="43"/>
      <c r="U189" s="107"/>
      <c r="V189" s="76" t="str">
        <f t="shared" si="23"/>
        <v/>
      </c>
      <c r="W189" s="43"/>
      <c r="X189" s="43"/>
      <c r="Y189" s="74"/>
    </row>
    <row r="190" ht="18" customHeight="1" spans="1:25">
      <c r="A190" s="74" t="str">
        <f t="shared" si="16"/>
        <v/>
      </c>
      <c r="B190" s="7"/>
      <c r="C190" s="43"/>
      <c r="D190" s="106"/>
      <c r="E190" s="43"/>
      <c r="F190" s="43"/>
      <c r="G190" s="43"/>
      <c r="H190" s="107"/>
      <c r="I190" s="107"/>
      <c r="J190" s="76" t="str">
        <f>IF($C190="","",ROUND(IFERROR(INDEX(期初余额!$I$4:$I$9,MATCH($C190,期初余额!$H$4:$H$9,0)),0)+SUMIFS($H$4:$H190,$C$4:$C190,$C190)-SUMIFS($I$4:$I190,$C$4:$C190,$C190),2))</f>
        <v/>
      </c>
      <c r="K190" s="111" t="str">
        <f>IF($T190&lt;&gt;"",$T190,IF($C190="","",IF(AND(N($I190)&gt;0,$G190&lt;&gt;""),IFERROR(INDEX(科目表!$U$4:$U$123,MATCH($G190,科目表!$M$4:$M$123,0)),"管理费用"),IF(N($H190)&gt;0,IFERROR(INDEX(自动规则!$C$4:$C$40,MATCH($F190,自动规则!$B$4:$B$40,0)),"其他应收款"),IFERROR(INDEX(自动规则!$D$4:$D$40,MATCH($F190,自动规则!$B$4:$B$40,0)),"其他应付款")))))</f>
        <v/>
      </c>
      <c r="L190" s="106"/>
      <c r="M190" s="75" t="str">
        <f>IF($C190="","",IFERROR(INDEX(科目表!$T$4:$T$9,MATCH($C190,科目表!$S$4:$S$9,0)),""))</f>
        <v/>
      </c>
      <c r="N190" s="75" t="str">
        <f t="shared" si="17"/>
        <v/>
      </c>
      <c r="O190" s="76" t="str">
        <f t="shared" si="18"/>
        <v/>
      </c>
      <c r="P190" s="76" t="str">
        <f t="shared" si="19"/>
        <v/>
      </c>
      <c r="Q190" s="75" t="str">
        <f t="shared" si="20"/>
        <v/>
      </c>
      <c r="R190" s="76" t="str">
        <f t="shared" si="21"/>
        <v/>
      </c>
      <c r="S190" s="76" t="str">
        <f t="shared" si="22"/>
        <v/>
      </c>
      <c r="T190" s="43"/>
      <c r="U190" s="107"/>
      <c r="V190" s="76" t="str">
        <f t="shared" si="23"/>
        <v/>
      </c>
      <c r="W190" s="43"/>
      <c r="X190" s="43"/>
      <c r="Y190" s="74"/>
    </row>
    <row r="191" ht="18" customHeight="1" spans="1:25">
      <c r="A191" s="74" t="str">
        <f t="shared" si="16"/>
        <v/>
      </c>
      <c r="B191" s="7"/>
      <c r="C191" s="43"/>
      <c r="D191" s="106"/>
      <c r="E191" s="43"/>
      <c r="F191" s="43"/>
      <c r="G191" s="43"/>
      <c r="H191" s="107"/>
      <c r="I191" s="107"/>
      <c r="J191" s="76" t="str">
        <f>IF($C191="","",ROUND(IFERROR(INDEX(期初余额!$I$4:$I$9,MATCH($C191,期初余额!$H$4:$H$9,0)),0)+SUMIFS($H$4:$H191,$C$4:$C191,$C191)-SUMIFS($I$4:$I191,$C$4:$C191,$C191),2))</f>
        <v/>
      </c>
      <c r="K191" s="111" t="str">
        <f>IF($T191&lt;&gt;"",$T191,IF($C191="","",IF(AND(N($I191)&gt;0,$G191&lt;&gt;""),IFERROR(INDEX(科目表!$U$4:$U$123,MATCH($G191,科目表!$M$4:$M$123,0)),"管理费用"),IF(N($H191)&gt;0,IFERROR(INDEX(自动规则!$C$4:$C$40,MATCH($F191,自动规则!$B$4:$B$40,0)),"其他应收款"),IFERROR(INDEX(自动规则!$D$4:$D$40,MATCH($F191,自动规则!$B$4:$B$40,0)),"其他应付款")))))</f>
        <v/>
      </c>
      <c r="L191" s="106"/>
      <c r="M191" s="75" t="str">
        <f>IF($C191="","",IFERROR(INDEX(科目表!$T$4:$T$9,MATCH($C191,科目表!$S$4:$S$9,0)),""))</f>
        <v/>
      </c>
      <c r="N191" s="75" t="str">
        <f t="shared" si="17"/>
        <v/>
      </c>
      <c r="O191" s="76" t="str">
        <f t="shared" si="18"/>
        <v/>
      </c>
      <c r="P191" s="76" t="str">
        <f t="shared" si="19"/>
        <v/>
      </c>
      <c r="Q191" s="75" t="str">
        <f t="shared" si="20"/>
        <v/>
      </c>
      <c r="R191" s="76" t="str">
        <f t="shared" si="21"/>
        <v/>
      </c>
      <c r="S191" s="76" t="str">
        <f t="shared" si="22"/>
        <v/>
      </c>
      <c r="T191" s="43"/>
      <c r="U191" s="107"/>
      <c r="V191" s="76" t="str">
        <f t="shared" si="23"/>
        <v/>
      </c>
      <c r="W191" s="43"/>
      <c r="X191" s="43"/>
      <c r="Y191" s="74"/>
    </row>
    <row r="192" ht="18" customHeight="1" spans="1:25">
      <c r="A192" s="74" t="str">
        <f t="shared" si="16"/>
        <v/>
      </c>
      <c r="B192" s="7"/>
      <c r="C192" s="43"/>
      <c r="D192" s="106"/>
      <c r="E192" s="43"/>
      <c r="F192" s="43"/>
      <c r="G192" s="43"/>
      <c r="H192" s="107"/>
      <c r="I192" s="107"/>
      <c r="J192" s="76" t="str">
        <f>IF($C192="","",ROUND(IFERROR(INDEX(期初余额!$I$4:$I$9,MATCH($C192,期初余额!$H$4:$H$9,0)),0)+SUMIFS($H$4:$H192,$C$4:$C192,$C192)-SUMIFS($I$4:$I192,$C$4:$C192,$C192),2))</f>
        <v/>
      </c>
      <c r="K192" s="111" t="str">
        <f>IF($T192&lt;&gt;"",$T192,IF($C192="","",IF(AND(N($I192)&gt;0,$G192&lt;&gt;""),IFERROR(INDEX(科目表!$U$4:$U$123,MATCH($G192,科目表!$M$4:$M$123,0)),"管理费用"),IF(N($H192)&gt;0,IFERROR(INDEX(自动规则!$C$4:$C$40,MATCH($F192,自动规则!$B$4:$B$40,0)),"其他应收款"),IFERROR(INDEX(自动规则!$D$4:$D$40,MATCH($F192,自动规则!$B$4:$B$40,0)),"其他应付款")))))</f>
        <v/>
      </c>
      <c r="L192" s="106"/>
      <c r="M192" s="75" t="str">
        <f>IF($C192="","",IFERROR(INDEX(科目表!$T$4:$T$9,MATCH($C192,科目表!$S$4:$S$9,0)),""))</f>
        <v/>
      </c>
      <c r="N192" s="75" t="str">
        <f t="shared" si="17"/>
        <v/>
      </c>
      <c r="O192" s="76" t="str">
        <f t="shared" si="18"/>
        <v/>
      </c>
      <c r="P192" s="76" t="str">
        <f t="shared" si="19"/>
        <v/>
      </c>
      <c r="Q192" s="75" t="str">
        <f t="shared" si="20"/>
        <v/>
      </c>
      <c r="R192" s="76" t="str">
        <f t="shared" si="21"/>
        <v/>
      </c>
      <c r="S192" s="76" t="str">
        <f t="shared" si="22"/>
        <v/>
      </c>
      <c r="T192" s="43"/>
      <c r="U192" s="107"/>
      <c r="V192" s="76" t="str">
        <f t="shared" si="23"/>
        <v/>
      </c>
      <c r="W192" s="43"/>
      <c r="X192" s="43"/>
      <c r="Y192" s="74"/>
    </row>
    <row r="193" ht="18" customHeight="1" spans="1:25">
      <c r="A193" s="74" t="str">
        <f t="shared" si="16"/>
        <v/>
      </c>
      <c r="B193" s="7"/>
      <c r="C193" s="43"/>
      <c r="D193" s="106"/>
      <c r="E193" s="43"/>
      <c r="F193" s="43"/>
      <c r="G193" s="43"/>
      <c r="H193" s="107"/>
      <c r="I193" s="107"/>
      <c r="J193" s="76" t="str">
        <f>IF($C193="","",ROUND(IFERROR(INDEX(期初余额!$I$4:$I$9,MATCH($C193,期初余额!$H$4:$H$9,0)),0)+SUMIFS($H$4:$H193,$C$4:$C193,$C193)-SUMIFS($I$4:$I193,$C$4:$C193,$C193),2))</f>
        <v/>
      </c>
      <c r="K193" s="111" t="str">
        <f>IF($T193&lt;&gt;"",$T193,IF($C193="","",IF(AND(N($I193)&gt;0,$G193&lt;&gt;""),IFERROR(INDEX(科目表!$U$4:$U$123,MATCH($G193,科目表!$M$4:$M$123,0)),"管理费用"),IF(N($H193)&gt;0,IFERROR(INDEX(自动规则!$C$4:$C$40,MATCH($F193,自动规则!$B$4:$B$40,0)),"其他应收款"),IFERROR(INDEX(自动规则!$D$4:$D$40,MATCH($F193,自动规则!$B$4:$B$40,0)),"其他应付款")))))</f>
        <v/>
      </c>
      <c r="L193" s="106"/>
      <c r="M193" s="75" t="str">
        <f>IF($C193="","",IFERROR(INDEX(科目表!$T$4:$T$9,MATCH($C193,科目表!$S$4:$S$9,0)),""))</f>
        <v/>
      </c>
      <c r="N193" s="75" t="str">
        <f t="shared" si="17"/>
        <v/>
      </c>
      <c r="O193" s="76" t="str">
        <f t="shared" si="18"/>
        <v/>
      </c>
      <c r="P193" s="76" t="str">
        <f t="shared" si="19"/>
        <v/>
      </c>
      <c r="Q193" s="75" t="str">
        <f t="shared" si="20"/>
        <v/>
      </c>
      <c r="R193" s="76" t="str">
        <f t="shared" si="21"/>
        <v/>
      </c>
      <c r="S193" s="76" t="str">
        <f t="shared" si="22"/>
        <v/>
      </c>
      <c r="T193" s="43"/>
      <c r="U193" s="107"/>
      <c r="V193" s="76" t="str">
        <f t="shared" si="23"/>
        <v/>
      </c>
      <c r="W193" s="43"/>
      <c r="X193" s="43"/>
      <c r="Y193" s="74"/>
    </row>
    <row r="194" ht="18" customHeight="1" spans="1:25">
      <c r="A194" s="74" t="str">
        <f t="shared" si="16"/>
        <v/>
      </c>
      <c r="B194" s="7"/>
      <c r="C194" s="43"/>
      <c r="D194" s="106"/>
      <c r="E194" s="43"/>
      <c r="F194" s="43"/>
      <c r="G194" s="43"/>
      <c r="H194" s="107"/>
      <c r="I194" s="107"/>
      <c r="J194" s="76" t="str">
        <f>IF($C194="","",ROUND(IFERROR(INDEX(期初余额!$I$4:$I$9,MATCH($C194,期初余额!$H$4:$H$9,0)),0)+SUMIFS($H$4:$H194,$C$4:$C194,$C194)-SUMIFS($I$4:$I194,$C$4:$C194,$C194),2))</f>
        <v/>
      </c>
      <c r="K194" s="111" t="str">
        <f>IF($T194&lt;&gt;"",$T194,IF($C194="","",IF(AND(N($I194)&gt;0,$G194&lt;&gt;""),IFERROR(INDEX(科目表!$U$4:$U$123,MATCH($G194,科目表!$M$4:$M$123,0)),"管理费用"),IF(N($H194)&gt;0,IFERROR(INDEX(自动规则!$C$4:$C$40,MATCH($F194,自动规则!$B$4:$B$40,0)),"其他应收款"),IFERROR(INDEX(自动规则!$D$4:$D$40,MATCH($F194,自动规则!$B$4:$B$40,0)),"其他应付款")))))</f>
        <v/>
      </c>
      <c r="L194" s="106"/>
      <c r="M194" s="75" t="str">
        <f>IF($C194="","",IFERROR(INDEX(科目表!$T$4:$T$9,MATCH($C194,科目表!$S$4:$S$9,0)),""))</f>
        <v/>
      </c>
      <c r="N194" s="75" t="str">
        <f t="shared" si="17"/>
        <v/>
      </c>
      <c r="O194" s="76" t="str">
        <f t="shared" si="18"/>
        <v/>
      </c>
      <c r="P194" s="76" t="str">
        <f t="shared" si="19"/>
        <v/>
      </c>
      <c r="Q194" s="75" t="str">
        <f t="shared" si="20"/>
        <v/>
      </c>
      <c r="R194" s="76" t="str">
        <f t="shared" si="21"/>
        <v/>
      </c>
      <c r="S194" s="76" t="str">
        <f t="shared" si="22"/>
        <v/>
      </c>
      <c r="T194" s="43"/>
      <c r="U194" s="107"/>
      <c r="V194" s="76" t="str">
        <f t="shared" si="23"/>
        <v/>
      </c>
      <c r="W194" s="43"/>
      <c r="X194" s="43"/>
      <c r="Y194" s="74"/>
    </row>
    <row r="195" ht="18" customHeight="1" spans="1:25">
      <c r="A195" s="74" t="str">
        <f t="shared" si="16"/>
        <v/>
      </c>
      <c r="B195" s="7"/>
      <c r="C195" s="43"/>
      <c r="D195" s="106"/>
      <c r="E195" s="43"/>
      <c r="F195" s="43"/>
      <c r="G195" s="43"/>
      <c r="H195" s="107"/>
      <c r="I195" s="107"/>
      <c r="J195" s="76" t="str">
        <f>IF($C195="","",ROUND(IFERROR(INDEX(期初余额!$I$4:$I$9,MATCH($C195,期初余额!$H$4:$H$9,0)),0)+SUMIFS($H$4:$H195,$C$4:$C195,$C195)-SUMIFS($I$4:$I195,$C$4:$C195,$C195),2))</f>
        <v/>
      </c>
      <c r="K195" s="111" t="str">
        <f>IF($T195&lt;&gt;"",$T195,IF($C195="","",IF(AND(N($I195)&gt;0,$G195&lt;&gt;""),IFERROR(INDEX(科目表!$U$4:$U$123,MATCH($G195,科目表!$M$4:$M$123,0)),"管理费用"),IF(N($H195)&gt;0,IFERROR(INDEX(自动规则!$C$4:$C$40,MATCH($F195,自动规则!$B$4:$B$40,0)),"其他应收款"),IFERROR(INDEX(自动规则!$D$4:$D$40,MATCH($F195,自动规则!$B$4:$B$40,0)),"其他应付款")))))</f>
        <v/>
      </c>
      <c r="L195" s="106"/>
      <c r="M195" s="75" t="str">
        <f>IF($C195="","",IFERROR(INDEX(科目表!$T$4:$T$9,MATCH($C195,科目表!$S$4:$S$9,0)),""))</f>
        <v/>
      </c>
      <c r="N195" s="75" t="str">
        <f t="shared" si="17"/>
        <v/>
      </c>
      <c r="O195" s="76" t="str">
        <f t="shared" si="18"/>
        <v/>
      </c>
      <c r="P195" s="76" t="str">
        <f t="shared" si="19"/>
        <v/>
      </c>
      <c r="Q195" s="75" t="str">
        <f t="shared" si="20"/>
        <v/>
      </c>
      <c r="R195" s="76" t="str">
        <f t="shared" si="21"/>
        <v/>
      </c>
      <c r="S195" s="76" t="str">
        <f t="shared" si="22"/>
        <v/>
      </c>
      <c r="T195" s="43"/>
      <c r="U195" s="107"/>
      <c r="V195" s="76" t="str">
        <f t="shared" si="23"/>
        <v/>
      </c>
      <c r="W195" s="43"/>
      <c r="X195" s="43"/>
      <c r="Y195" s="74"/>
    </row>
    <row r="196" ht="18" customHeight="1" spans="1:25">
      <c r="A196" s="74" t="str">
        <f t="shared" ref="A196:A259" si="24">IF($C196="","",ROW()-3)</f>
        <v/>
      </c>
      <c r="B196" s="7"/>
      <c r="C196" s="43"/>
      <c r="D196" s="106"/>
      <c r="E196" s="43"/>
      <c r="F196" s="43"/>
      <c r="G196" s="43"/>
      <c r="H196" s="107"/>
      <c r="I196" s="107"/>
      <c r="J196" s="76" t="str">
        <f>IF($C196="","",ROUND(IFERROR(INDEX(期初余额!$I$4:$I$9,MATCH($C196,期初余额!$H$4:$H$9,0)),0)+SUMIFS($H$4:$H196,$C$4:$C196,$C196)-SUMIFS($I$4:$I196,$C$4:$C196,$C196),2))</f>
        <v/>
      </c>
      <c r="K196" s="111" t="str">
        <f>IF($T196&lt;&gt;"",$T196,IF($C196="","",IF(AND(N($I196)&gt;0,$G196&lt;&gt;""),IFERROR(INDEX(科目表!$U$4:$U$123,MATCH($G196,科目表!$M$4:$M$123,0)),"管理费用"),IF(N($H196)&gt;0,IFERROR(INDEX(自动规则!$C$4:$C$40,MATCH($F196,自动规则!$B$4:$B$40,0)),"其他应收款"),IFERROR(INDEX(自动规则!$D$4:$D$40,MATCH($F196,自动规则!$B$4:$B$40,0)),"其他应付款")))))</f>
        <v/>
      </c>
      <c r="L196" s="106"/>
      <c r="M196" s="75" t="str">
        <f>IF($C196="","",IFERROR(INDEX(科目表!$T$4:$T$9,MATCH($C196,科目表!$S$4:$S$9,0)),""))</f>
        <v/>
      </c>
      <c r="N196" s="75" t="str">
        <f t="shared" ref="N196:N259" si="25">IF(OR($C196="",ROUND(N($H196)+N($I196),2)=0),"",IF(N($H196)&gt;0,$M196,$K196))</f>
        <v/>
      </c>
      <c r="O196" s="76" t="str">
        <f t="shared" ref="O196:O259" si="26">IF($N196="","",ROUND(N($H196)+N($I196),2))</f>
        <v/>
      </c>
      <c r="P196" s="76" t="str">
        <f t="shared" ref="P196:P259" si="27">IF($N196="","",0)</f>
        <v/>
      </c>
      <c r="Q196" s="75" t="str">
        <f t="shared" ref="Q196:Q259" si="28">IF($N196="","",IF(N($H196)&gt;0,$K196,$M196))</f>
        <v/>
      </c>
      <c r="R196" s="76" t="str">
        <f t="shared" ref="R196:R259" si="29">IF($Q196="","",0)</f>
        <v/>
      </c>
      <c r="S196" s="76" t="str">
        <f t="shared" ref="S196:S259" si="30">IF($Q196="","",ROUND(N($H196)+N($I196),2))</f>
        <v/>
      </c>
      <c r="T196" s="43"/>
      <c r="U196" s="107"/>
      <c r="V196" s="76" t="str">
        <f t="shared" ref="V196:V259" si="31">IF($B196="","",TEXT($B196,"yyyy年m月"))</f>
        <v/>
      </c>
      <c r="W196" s="43"/>
      <c r="X196" s="43"/>
      <c r="Y196" s="74"/>
    </row>
    <row r="197" ht="18" customHeight="1" spans="1:25">
      <c r="A197" s="74" t="str">
        <f t="shared" si="24"/>
        <v/>
      </c>
      <c r="B197" s="7"/>
      <c r="C197" s="43"/>
      <c r="D197" s="106"/>
      <c r="E197" s="43"/>
      <c r="F197" s="43"/>
      <c r="G197" s="43"/>
      <c r="H197" s="107"/>
      <c r="I197" s="107"/>
      <c r="J197" s="76" t="str">
        <f>IF($C197="","",ROUND(IFERROR(INDEX(期初余额!$I$4:$I$9,MATCH($C197,期初余额!$H$4:$H$9,0)),0)+SUMIFS($H$4:$H197,$C$4:$C197,$C197)-SUMIFS($I$4:$I197,$C$4:$C197,$C197),2))</f>
        <v/>
      </c>
      <c r="K197" s="111" t="str">
        <f>IF($T197&lt;&gt;"",$T197,IF($C197="","",IF(AND(N($I197)&gt;0,$G197&lt;&gt;""),IFERROR(INDEX(科目表!$U$4:$U$123,MATCH($G197,科目表!$M$4:$M$123,0)),"管理费用"),IF(N($H197)&gt;0,IFERROR(INDEX(自动规则!$C$4:$C$40,MATCH($F197,自动规则!$B$4:$B$40,0)),"其他应收款"),IFERROR(INDEX(自动规则!$D$4:$D$40,MATCH($F197,自动规则!$B$4:$B$40,0)),"其他应付款")))))</f>
        <v/>
      </c>
      <c r="L197" s="106"/>
      <c r="M197" s="75" t="str">
        <f>IF($C197="","",IFERROR(INDEX(科目表!$T$4:$T$9,MATCH($C197,科目表!$S$4:$S$9,0)),""))</f>
        <v/>
      </c>
      <c r="N197" s="75" t="str">
        <f t="shared" si="25"/>
        <v/>
      </c>
      <c r="O197" s="76" t="str">
        <f t="shared" si="26"/>
        <v/>
      </c>
      <c r="P197" s="76" t="str">
        <f t="shared" si="27"/>
        <v/>
      </c>
      <c r="Q197" s="75" t="str">
        <f t="shared" si="28"/>
        <v/>
      </c>
      <c r="R197" s="76" t="str">
        <f t="shared" si="29"/>
        <v/>
      </c>
      <c r="S197" s="76" t="str">
        <f t="shared" si="30"/>
        <v/>
      </c>
      <c r="T197" s="43"/>
      <c r="U197" s="107"/>
      <c r="V197" s="76" t="str">
        <f t="shared" si="31"/>
        <v/>
      </c>
      <c r="W197" s="43"/>
      <c r="X197" s="43"/>
      <c r="Y197" s="74"/>
    </row>
    <row r="198" ht="18" customHeight="1" spans="1:25">
      <c r="A198" s="74" t="str">
        <f t="shared" si="24"/>
        <v/>
      </c>
      <c r="B198" s="7"/>
      <c r="C198" s="43"/>
      <c r="D198" s="106"/>
      <c r="E198" s="43"/>
      <c r="F198" s="43"/>
      <c r="G198" s="43"/>
      <c r="H198" s="107"/>
      <c r="I198" s="107"/>
      <c r="J198" s="76" t="str">
        <f>IF($C198="","",ROUND(IFERROR(INDEX(期初余额!$I$4:$I$9,MATCH($C198,期初余额!$H$4:$H$9,0)),0)+SUMIFS($H$4:$H198,$C$4:$C198,$C198)-SUMIFS($I$4:$I198,$C$4:$C198,$C198),2))</f>
        <v/>
      </c>
      <c r="K198" s="111" t="str">
        <f>IF($T198&lt;&gt;"",$T198,IF($C198="","",IF(AND(N($I198)&gt;0,$G198&lt;&gt;""),IFERROR(INDEX(科目表!$U$4:$U$123,MATCH($G198,科目表!$M$4:$M$123,0)),"管理费用"),IF(N($H198)&gt;0,IFERROR(INDEX(自动规则!$C$4:$C$40,MATCH($F198,自动规则!$B$4:$B$40,0)),"其他应收款"),IFERROR(INDEX(自动规则!$D$4:$D$40,MATCH($F198,自动规则!$B$4:$B$40,0)),"其他应付款")))))</f>
        <v/>
      </c>
      <c r="L198" s="106"/>
      <c r="M198" s="75" t="str">
        <f>IF($C198="","",IFERROR(INDEX(科目表!$T$4:$T$9,MATCH($C198,科目表!$S$4:$S$9,0)),""))</f>
        <v/>
      </c>
      <c r="N198" s="75" t="str">
        <f t="shared" si="25"/>
        <v/>
      </c>
      <c r="O198" s="76" t="str">
        <f t="shared" si="26"/>
        <v/>
      </c>
      <c r="P198" s="76" t="str">
        <f t="shared" si="27"/>
        <v/>
      </c>
      <c r="Q198" s="75" t="str">
        <f t="shared" si="28"/>
        <v/>
      </c>
      <c r="R198" s="76" t="str">
        <f t="shared" si="29"/>
        <v/>
      </c>
      <c r="S198" s="76" t="str">
        <f t="shared" si="30"/>
        <v/>
      </c>
      <c r="T198" s="43"/>
      <c r="U198" s="107"/>
      <c r="V198" s="76" t="str">
        <f t="shared" si="31"/>
        <v/>
      </c>
      <c r="W198" s="43"/>
      <c r="X198" s="43"/>
      <c r="Y198" s="74"/>
    </row>
    <row r="199" ht="18" customHeight="1" spans="1:25">
      <c r="A199" s="74" t="str">
        <f t="shared" si="24"/>
        <v/>
      </c>
      <c r="B199" s="7"/>
      <c r="C199" s="43"/>
      <c r="D199" s="106"/>
      <c r="E199" s="43"/>
      <c r="F199" s="43"/>
      <c r="G199" s="43"/>
      <c r="H199" s="107"/>
      <c r="I199" s="107"/>
      <c r="J199" s="76" t="str">
        <f>IF($C199="","",ROUND(IFERROR(INDEX(期初余额!$I$4:$I$9,MATCH($C199,期初余额!$H$4:$H$9,0)),0)+SUMIFS($H$4:$H199,$C$4:$C199,$C199)-SUMIFS($I$4:$I199,$C$4:$C199,$C199),2))</f>
        <v/>
      </c>
      <c r="K199" s="111" t="str">
        <f>IF($T199&lt;&gt;"",$T199,IF($C199="","",IF(AND(N($I199)&gt;0,$G199&lt;&gt;""),IFERROR(INDEX(科目表!$U$4:$U$123,MATCH($G199,科目表!$M$4:$M$123,0)),"管理费用"),IF(N($H199)&gt;0,IFERROR(INDEX(自动规则!$C$4:$C$40,MATCH($F199,自动规则!$B$4:$B$40,0)),"其他应收款"),IFERROR(INDEX(自动规则!$D$4:$D$40,MATCH($F199,自动规则!$B$4:$B$40,0)),"其他应付款")))))</f>
        <v/>
      </c>
      <c r="L199" s="106"/>
      <c r="M199" s="75" t="str">
        <f>IF($C199="","",IFERROR(INDEX(科目表!$T$4:$T$9,MATCH($C199,科目表!$S$4:$S$9,0)),""))</f>
        <v/>
      </c>
      <c r="N199" s="75" t="str">
        <f t="shared" si="25"/>
        <v/>
      </c>
      <c r="O199" s="76" t="str">
        <f t="shared" si="26"/>
        <v/>
      </c>
      <c r="P199" s="76" t="str">
        <f t="shared" si="27"/>
        <v/>
      </c>
      <c r="Q199" s="75" t="str">
        <f t="shared" si="28"/>
        <v/>
      </c>
      <c r="R199" s="76" t="str">
        <f t="shared" si="29"/>
        <v/>
      </c>
      <c r="S199" s="76" t="str">
        <f t="shared" si="30"/>
        <v/>
      </c>
      <c r="T199" s="43"/>
      <c r="U199" s="107"/>
      <c r="V199" s="76" t="str">
        <f t="shared" si="31"/>
        <v/>
      </c>
      <c r="W199" s="43"/>
      <c r="X199" s="43"/>
      <c r="Y199" s="74"/>
    </row>
    <row r="200" ht="18" customHeight="1" spans="1:25">
      <c r="A200" s="74" t="str">
        <f t="shared" si="24"/>
        <v/>
      </c>
      <c r="B200" s="7"/>
      <c r="C200" s="43"/>
      <c r="D200" s="106"/>
      <c r="E200" s="43"/>
      <c r="F200" s="43"/>
      <c r="G200" s="43"/>
      <c r="H200" s="107"/>
      <c r="I200" s="107"/>
      <c r="J200" s="76" t="str">
        <f>IF($C200="","",ROUND(IFERROR(INDEX(期初余额!$I$4:$I$9,MATCH($C200,期初余额!$H$4:$H$9,0)),0)+SUMIFS($H$4:$H200,$C$4:$C200,$C200)-SUMIFS($I$4:$I200,$C$4:$C200,$C200),2))</f>
        <v/>
      </c>
      <c r="K200" s="111" t="str">
        <f>IF($T200&lt;&gt;"",$T200,IF($C200="","",IF(AND(N($I200)&gt;0,$G200&lt;&gt;""),IFERROR(INDEX(科目表!$U$4:$U$123,MATCH($G200,科目表!$M$4:$M$123,0)),"管理费用"),IF(N($H200)&gt;0,IFERROR(INDEX(自动规则!$C$4:$C$40,MATCH($F200,自动规则!$B$4:$B$40,0)),"其他应收款"),IFERROR(INDEX(自动规则!$D$4:$D$40,MATCH($F200,自动规则!$B$4:$B$40,0)),"其他应付款")))))</f>
        <v/>
      </c>
      <c r="L200" s="106"/>
      <c r="M200" s="75" t="str">
        <f>IF($C200="","",IFERROR(INDEX(科目表!$T$4:$T$9,MATCH($C200,科目表!$S$4:$S$9,0)),""))</f>
        <v/>
      </c>
      <c r="N200" s="75" t="str">
        <f t="shared" si="25"/>
        <v/>
      </c>
      <c r="O200" s="76" t="str">
        <f t="shared" si="26"/>
        <v/>
      </c>
      <c r="P200" s="76" t="str">
        <f t="shared" si="27"/>
        <v/>
      </c>
      <c r="Q200" s="75" t="str">
        <f t="shared" si="28"/>
        <v/>
      </c>
      <c r="R200" s="76" t="str">
        <f t="shared" si="29"/>
        <v/>
      </c>
      <c r="S200" s="76" t="str">
        <f t="shared" si="30"/>
        <v/>
      </c>
      <c r="T200" s="43"/>
      <c r="U200" s="107"/>
      <c r="V200" s="76" t="str">
        <f t="shared" si="31"/>
        <v/>
      </c>
      <c r="W200" s="43"/>
      <c r="X200" s="43"/>
      <c r="Y200" s="74"/>
    </row>
    <row r="201" ht="18" customHeight="1" spans="1:25">
      <c r="A201" s="74" t="str">
        <f t="shared" si="24"/>
        <v/>
      </c>
      <c r="B201" s="7"/>
      <c r="C201" s="43"/>
      <c r="D201" s="106"/>
      <c r="E201" s="43"/>
      <c r="F201" s="43"/>
      <c r="G201" s="43"/>
      <c r="H201" s="107"/>
      <c r="I201" s="107"/>
      <c r="J201" s="76" t="str">
        <f>IF($C201="","",ROUND(IFERROR(INDEX(期初余额!$I$4:$I$9,MATCH($C201,期初余额!$H$4:$H$9,0)),0)+SUMIFS($H$4:$H201,$C$4:$C201,$C201)-SUMIFS($I$4:$I201,$C$4:$C201,$C201),2))</f>
        <v/>
      </c>
      <c r="K201" s="111" t="str">
        <f>IF($T201&lt;&gt;"",$T201,IF($C201="","",IF(AND(N($I201)&gt;0,$G201&lt;&gt;""),IFERROR(INDEX(科目表!$U$4:$U$123,MATCH($G201,科目表!$M$4:$M$123,0)),"管理费用"),IF(N($H201)&gt;0,IFERROR(INDEX(自动规则!$C$4:$C$40,MATCH($F201,自动规则!$B$4:$B$40,0)),"其他应收款"),IFERROR(INDEX(自动规则!$D$4:$D$40,MATCH($F201,自动规则!$B$4:$B$40,0)),"其他应付款")))))</f>
        <v/>
      </c>
      <c r="L201" s="106"/>
      <c r="M201" s="75" t="str">
        <f>IF($C201="","",IFERROR(INDEX(科目表!$T$4:$T$9,MATCH($C201,科目表!$S$4:$S$9,0)),""))</f>
        <v/>
      </c>
      <c r="N201" s="75" t="str">
        <f t="shared" si="25"/>
        <v/>
      </c>
      <c r="O201" s="76" t="str">
        <f t="shared" si="26"/>
        <v/>
      </c>
      <c r="P201" s="76" t="str">
        <f t="shared" si="27"/>
        <v/>
      </c>
      <c r="Q201" s="75" t="str">
        <f t="shared" si="28"/>
        <v/>
      </c>
      <c r="R201" s="76" t="str">
        <f t="shared" si="29"/>
        <v/>
      </c>
      <c r="S201" s="76" t="str">
        <f t="shared" si="30"/>
        <v/>
      </c>
      <c r="T201" s="43"/>
      <c r="U201" s="107"/>
      <c r="V201" s="76" t="str">
        <f t="shared" si="31"/>
        <v/>
      </c>
      <c r="W201" s="43"/>
      <c r="X201" s="43"/>
      <c r="Y201" s="74"/>
    </row>
    <row r="202" ht="18" customHeight="1" spans="1:25">
      <c r="A202" s="74" t="str">
        <f t="shared" si="24"/>
        <v/>
      </c>
      <c r="B202" s="7"/>
      <c r="C202" s="43"/>
      <c r="D202" s="106"/>
      <c r="E202" s="43"/>
      <c r="F202" s="43"/>
      <c r="G202" s="43"/>
      <c r="H202" s="107"/>
      <c r="I202" s="107"/>
      <c r="J202" s="76" t="str">
        <f>IF($C202="","",ROUND(IFERROR(INDEX(期初余额!$I$4:$I$9,MATCH($C202,期初余额!$H$4:$H$9,0)),0)+SUMIFS($H$4:$H202,$C$4:$C202,$C202)-SUMIFS($I$4:$I202,$C$4:$C202,$C202),2))</f>
        <v/>
      </c>
      <c r="K202" s="111" t="str">
        <f>IF($T202&lt;&gt;"",$T202,IF($C202="","",IF(AND(N($I202)&gt;0,$G202&lt;&gt;""),IFERROR(INDEX(科目表!$U$4:$U$123,MATCH($G202,科目表!$M$4:$M$123,0)),"管理费用"),IF(N($H202)&gt;0,IFERROR(INDEX(自动规则!$C$4:$C$40,MATCH($F202,自动规则!$B$4:$B$40,0)),"其他应收款"),IFERROR(INDEX(自动规则!$D$4:$D$40,MATCH($F202,自动规则!$B$4:$B$40,0)),"其他应付款")))))</f>
        <v/>
      </c>
      <c r="L202" s="106"/>
      <c r="M202" s="75" t="str">
        <f>IF($C202="","",IFERROR(INDEX(科目表!$T$4:$T$9,MATCH($C202,科目表!$S$4:$S$9,0)),""))</f>
        <v/>
      </c>
      <c r="N202" s="75" t="str">
        <f t="shared" si="25"/>
        <v/>
      </c>
      <c r="O202" s="76" t="str">
        <f t="shared" si="26"/>
        <v/>
      </c>
      <c r="P202" s="76" t="str">
        <f t="shared" si="27"/>
        <v/>
      </c>
      <c r="Q202" s="75" t="str">
        <f t="shared" si="28"/>
        <v/>
      </c>
      <c r="R202" s="76" t="str">
        <f t="shared" si="29"/>
        <v/>
      </c>
      <c r="S202" s="76" t="str">
        <f t="shared" si="30"/>
        <v/>
      </c>
      <c r="T202" s="43"/>
      <c r="U202" s="107"/>
      <c r="V202" s="76" t="str">
        <f t="shared" si="31"/>
        <v/>
      </c>
      <c r="W202" s="43"/>
      <c r="X202" s="43"/>
      <c r="Y202" s="74"/>
    </row>
    <row r="203" ht="18" customHeight="1" spans="1:25">
      <c r="A203" s="74" t="str">
        <f t="shared" si="24"/>
        <v/>
      </c>
      <c r="B203" s="7"/>
      <c r="C203" s="43"/>
      <c r="D203" s="106"/>
      <c r="E203" s="43"/>
      <c r="F203" s="43"/>
      <c r="G203" s="43"/>
      <c r="H203" s="107"/>
      <c r="I203" s="107"/>
      <c r="J203" s="76" t="str">
        <f>IF($C203="","",ROUND(IFERROR(INDEX(期初余额!$I$4:$I$9,MATCH($C203,期初余额!$H$4:$H$9,0)),0)+SUMIFS($H$4:$H203,$C$4:$C203,$C203)-SUMIFS($I$4:$I203,$C$4:$C203,$C203),2))</f>
        <v/>
      </c>
      <c r="K203" s="111" t="str">
        <f>IF($T203&lt;&gt;"",$T203,IF($C203="","",IF(AND(N($I203)&gt;0,$G203&lt;&gt;""),IFERROR(INDEX(科目表!$U$4:$U$123,MATCH($G203,科目表!$M$4:$M$123,0)),"管理费用"),IF(N($H203)&gt;0,IFERROR(INDEX(自动规则!$C$4:$C$40,MATCH($F203,自动规则!$B$4:$B$40,0)),"其他应收款"),IFERROR(INDEX(自动规则!$D$4:$D$40,MATCH($F203,自动规则!$B$4:$B$40,0)),"其他应付款")))))</f>
        <v/>
      </c>
      <c r="L203" s="106"/>
      <c r="M203" s="75" t="str">
        <f>IF($C203="","",IFERROR(INDEX(科目表!$T$4:$T$9,MATCH($C203,科目表!$S$4:$S$9,0)),""))</f>
        <v/>
      </c>
      <c r="N203" s="75" t="str">
        <f t="shared" si="25"/>
        <v/>
      </c>
      <c r="O203" s="76" t="str">
        <f t="shared" si="26"/>
        <v/>
      </c>
      <c r="P203" s="76" t="str">
        <f t="shared" si="27"/>
        <v/>
      </c>
      <c r="Q203" s="75" t="str">
        <f t="shared" si="28"/>
        <v/>
      </c>
      <c r="R203" s="76" t="str">
        <f t="shared" si="29"/>
        <v/>
      </c>
      <c r="S203" s="76" t="str">
        <f t="shared" si="30"/>
        <v/>
      </c>
      <c r="T203" s="43"/>
      <c r="U203" s="107"/>
      <c r="V203" s="76" t="str">
        <f t="shared" si="31"/>
        <v/>
      </c>
      <c r="W203" s="43"/>
      <c r="X203" s="43"/>
      <c r="Y203" s="74"/>
    </row>
    <row r="204" ht="18" customHeight="1" spans="1:25">
      <c r="A204" s="74" t="str">
        <f t="shared" si="24"/>
        <v/>
      </c>
      <c r="B204" s="7"/>
      <c r="C204" s="43"/>
      <c r="D204" s="106"/>
      <c r="E204" s="43"/>
      <c r="F204" s="43"/>
      <c r="G204" s="43"/>
      <c r="H204" s="107"/>
      <c r="I204" s="107"/>
      <c r="J204" s="76" t="str">
        <f>IF($C204="","",ROUND(IFERROR(INDEX(期初余额!$I$4:$I$9,MATCH($C204,期初余额!$H$4:$H$9,0)),0)+SUMIFS($H$4:$H204,$C$4:$C204,$C204)-SUMIFS($I$4:$I204,$C$4:$C204,$C204),2))</f>
        <v/>
      </c>
      <c r="K204" s="111" t="str">
        <f>IF($T204&lt;&gt;"",$T204,IF($C204="","",IF(AND(N($I204)&gt;0,$G204&lt;&gt;""),IFERROR(INDEX(科目表!$U$4:$U$123,MATCH($G204,科目表!$M$4:$M$123,0)),"管理费用"),IF(N($H204)&gt;0,IFERROR(INDEX(自动规则!$C$4:$C$40,MATCH($F204,自动规则!$B$4:$B$40,0)),"其他应收款"),IFERROR(INDEX(自动规则!$D$4:$D$40,MATCH($F204,自动规则!$B$4:$B$40,0)),"其他应付款")))))</f>
        <v/>
      </c>
      <c r="L204" s="106"/>
      <c r="M204" s="75" t="str">
        <f>IF($C204="","",IFERROR(INDEX(科目表!$T$4:$T$9,MATCH($C204,科目表!$S$4:$S$9,0)),""))</f>
        <v/>
      </c>
      <c r="N204" s="75" t="str">
        <f t="shared" si="25"/>
        <v/>
      </c>
      <c r="O204" s="76" t="str">
        <f t="shared" si="26"/>
        <v/>
      </c>
      <c r="P204" s="76" t="str">
        <f t="shared" si="27"/>
        <v/>
      </c>
      <c r="Q204" s="75" t="str">
        <f t="shared" si="28"/>
        <v/>
      </c>
      <c r="R204" s="76" t="str">
        <f t="shared" si="29"/>
        <v/>
      </c>
      <c r="S204" s="76" t="str">
        <f t="shared" si="30"/>
        <v/>
      </c>
      <c r="T204" s="43"/>
      <c r="U204" s="107"/>
      <c r="V204" s="76" t="str">
        <f t="shared" si="31"/>
        <v/>
      </c>
      <c r="W204" s="43"/>
      <c r="X204" s="43"/>
      <c r="Y204" s="74"/>
    </row>
    <row r="205" ht="18" customHeight="1" spans="1:25">
      <c r="A205" s="74" t="str">
        <f t="shared" si="24"/>
        <v/>
      </c>
      <c r="B205" s="7"/>
      <c r="C205" s="43"/>
      <c r="D205" s="106"/>
      <c r="E205" s="43"/>
      <c r="F205" s="43"/>
      <c r="G205" s="43"/>
      <c r="H205" s="107"/>
      <c r="I205" s="107"/>
      <c r="J205" s="76" t="str">
        <f>IF($C205="","",ROUND(IFERROR(INDEX(期初余额!$I$4:$I$9,MATCH($C205,期初余额!$H$4:$H$9,0)),0)+SUMIFS($H$4:$H205,$C$4:$C205,$C205)-SUMIFS($I$4:$I205,$C$4:$C205,$C205),2))</f>
        <v/>
      </c>
      <c r="K205" s="111" t="str">
        <f>IF($T205&lt;&gt;"",$T205,IF($C205="","",IF(AND(N($I205)&gt;0,$G205&lt;&gt;""),IFERROR(INDEX(科目表!$U$4:$U$123,MATCH($G205,科目表!$M$4:$M$123,0)),"管理费用"),IF(N($H205)&gt;0,IFERROR(INDEX(自动规则!$C$4:$C$40,MATCH($F205,自动规则!$B$4:$B$40,0)),"其他应收款"),IFERROR(INDEX(自动规则!$D$4:$D$40,MATCH($F205,自动规则!$B$4:$B$40,0)),"其他应付款")))))</f>
        <v/>
      </c>
      <c r="L205" s="106"/>
      <c r="M205" s="75" t="str">
        <f>IF($C205="","",IFERROR(INDEX(科目表!$T$4:$T$9,MATCH($C205,科目表!$S$4:$S$9,0)),""))</f>
        <v/>
      </c>
      <c r="N205" s="75" t="str">
        <f t="shared" si="25"/>
        <v/>
      </c>
      <c r="O205" s="76" t="str">
        <f t="shared" si="26"/>
        <v/>
      </c>
      <c r="P205" s="76" t="str">
        <f t="shared" si="27"/>
        <v/>
      </c>
      <c r="Q205" s="75" t="str">
        <f t="shared" si="28"/>
        <v/>
      </c>
      <c r="R205" s="76" t="str">
        <f t="shared" si="29"/>
        <v/>
      </c>
      <c r="S205" s="76" t="str">
        <f t="shared" si="30"/>
        <v/>
      </c>
      <c r="T205" s="43"/>
      <c r="U205" s="107"/>
      <c r="V205" s="76" t="str">
        <f t="shared" si="31"/>
        <v/>
      </c>
      <c r="W205" s="43"/>
      <c r="X205" s="43"/>
      <c r="Y205" s="74"/>
    </row>
    <row r="206" ht="18" customHeight="1" spans="1:25">
      <c r="A206" s="74" t="str">
        <f t="shared" si="24"/>
        <v/>
      </c>
      <c r="B206" s="7"/>
      <c r="C206" s="43"/>
      <c r="D206" s="106"/>
      <c r="E206" s="43"/>
      <c r="F206" s="43"/>
      <c r="G206" s="43"/>
      <c r="H206" s="107"/>
      <c r="I206" s="107"/>
      <c r="J206" s="76" t="str">
        <f>IF($C206="","",ROUND(IFERROR(INDEX(期初余额!$I$4:$I$9,MATCH($C206,期初余额!$H$4:$H$9,0)),0)+SUMIFS($H$4:$H206,$C$4:$C206,$C206)-SUMIFS($I$4:$I206,$C$4:$C206,$C206),2))</f>
        <v/>
      </c>
      <c r="K206" s="111" t="str">
        <f>IF($T206&lt;&gt;"",$T206,IF($C206="","",IF(AND(N($I206)&gt;0,$G206&lt;&gt;""),IFERROR(INDEX(科目表!$U$4:$U$123,MATCH($G206,科目表!$M$4:$M$123,0)),"管理费用"),IF(N($H206)&gt;0,IFERROR(INDEX(自动规则!$C$4:$C$40,MATCH($F206,自动规则!$B$4:$B$40,0)),"其他应收款"),IFERROR(INDEX(自动规则!$D$4:$D$40,MATCH($F206,自动规则!$B$4:$B$40,0)),"其他应付款")))))</f>
        <v/>
      </c>
      <c r="L206" s="106"/>
      <c r="M206" s="75" t="str">
        <f>IF($C206="","",IFERROR(INDEX(科目表!$T$4:$T$9,MATCH($C206,科目表!$S$4:$S$9,0)),""))</f>
        <v/>
      </c>
      <c r="N206" s="75" t="str">
        <f t="shared" si="25"/>
        <v/>
      </c>
      <c r="O206" s="76" t="str">
        <f t="shared" si="26"/>
        <v/>
      </c>
      <c r="P206" s="76" t="str">
        <f t="shared" si="27"/>
        <v/>
      </c>
      <c r="Q206" s="75" t="str">
        <f t="shared" si="28"/>
        <v/>
      </c>
      <c r="R206" s="76" t="str">
        <f t="shared" si="29"/>
        <v/>
      </c>
      <c r="S206" s="76" t="str">
        <f t="shared" si="30"/>
        <v/>
      </c>
      <c r="T206" s="43"/>
      <c r="U206" s="107"/>
      <c r="V206" s="76" t="str">
        <f t="shared" si="31"/>
        <v/>
      </c>
      <c r="W206" s="43"/>
      <c r="X206" s="43"/>
      <c r="Y206" s="74"/>
    </row>
    <row r="207" ht="18" customHeight="1" spans="1:25">
      <c r="A207" s="74" t="str">
        <f t="shared" si="24"/>
        <v/>
      </c>
      <c r="B207" s="7"/>
      <c r="C207" s="43"/>
      <c r="D207" s="106"/>
      <c r="E207" s="43"/>
      <c r="F207" s="43"/>
      <c r="G207" s="43"/>
      <c r="H207" s="107"/>
      <c r="I207" s="107"/>
      <c r="J207" s="76" t="str">
        <f>IF($C207="","",ROUND(IFERROR(INDEX(期初余额!$I$4:$I$9,MATCH($C207,期初余额!$H$4:$H$9,0)),0)+SUMIFS($H$4:$H207,$C$4:$C207,$C207)-SUMIFS($I$4:$I207,$C$4:$C207,$C207),2))</f>
        <v/>
      </c>
      <c r="K207" s="111" t="str">
        <f>IF($T207&lt;&gt;"",$T207,IF($C207="","",IF(AND(N($I207)&gt;0,$G207&lt;&gt;""),IFERROR(INDEX(科目表!$U$4:$U$123,MATCH($G207,科目表!$M$4:$M$123,0)),"管理费用"),IF(N($H207)&gt;0,IFERROR(INDEX(自动规则!$C$4:$C$40,MATCH($F207,自动规则!$B$4:$B$40,0)),"其他应收款"),IFERROR(INDEX(自动规则!$D$4:$D$40,MATCH($F207,自动规则!$B$4:$B$40,0)),"其他应付款")))))</f>
        <v/>
      </c>
      <c r="L207" s="106"/>
      <c r="M207" s="75" t="str">
        <f>IF($C207="","",IFERROR(INDEX(科目表!$T$4:$T$9,MATCH($C207,科目表!$S$4:$S$9,0)),""))</f>
        <v/>
      </c>
      <c r="N207" s="75" t="str">
        <f t="shared" si="25"/>
        <v/>
      </c>
      <c r="O207" s="76" t="str">
        <f t="shared" si="26"/>
        <v/>
      </c>
      <c r="P207" s="76" t="str">
        <f t="shared" si="27"/>
        <v/>
      </c>
      <c r="Q207" s="75" t="str">
        <f t="shared" si="28"/>
        <v/>
      </c>
      <c r="R207" s="76" t="str">
        <f t="shared" si="29"/>
        <v/>
      </c>
      <c r="S207" s="76" t="str">
        <f t="shared" si="30"/>
        <v/>
      </c>
      <c r="T207" s="43"/>
      <c r="U207" s="107"/>
      <c r="V207" s="76" t="str">
        <f t="shared" si="31"/>
        <v/>
      </c>
      <c r="W207" s="43"/>
      <c r="X207" s="43"/>
      <c r="Y207" s="74"/>
    </row>
    <row r="208" ht="18" customHeight="1" spans="1:25">
      <c r="A208" s="74" t="str">
        <f t="shared" si="24"/>
        <v/>
      </c>
      <c r="B208" s="7"/>
      <c r="C208" s="43"/>
      <c r="D208" s="106"/>
      <c r="E208" s="43"/>
      <c r="F208" s="43"/>
      <c r="G208" s="43"/>
      <c r="H208" s="107"/>
      <c r="I208" s="107"/>
      <c r="J208" s="76" t="str">
        <f>IF($C208="","",ROUND(IFERROR(INDEX(期初余额!$I$4:$I$9,MATCH($C208,期初余额!$H$4:$H$9,0)),0)+SUMIFS($H$4:$H208,$C$4:$C208,$C208)-SUMIFS($I$4:$I208,$C$4:$C208,$C208),2))</f>
        <v/>
      </c>
      <c r="K208" s="111" t="str">
        <f>IF($T208&lt;&gt;"",$T208,IF($C208="","",IF(AND(N($I208)&gt;0,$G208&lt;&gt;""),IFERROR(INDEX(科目表!$U$4:$U$123,MATCH($G208,科目表!$M$4:$M$123,0)),"管理费用"),IF(N($H208)&gt;0,IFERROR(INDEX(自动规则!$C$4:$C$40,MATCH($F208,自动规则!$B$4:$B$40,0)),"其他应收款"),IFERROR(INDEX(自动规则!$D$4:$D$40,MATCH($F208,自动规则!$B$4:$B$40,0)),"其他应付款")))))</f>
        <v/>
      </c>
      <c r="L208" s="106"/>
      <c r="M208" s="75" t="str">
        <f>IF($C208="","",IFERROR(INDEX(科目表!$T$4:$T$9,MATCH($C208,科目表!$S$4:$S$9,0)),""))</f>
        <v/>
      </c>
      <c r="N208" s="75" t="str">
        <f t="shared" si="25"/>
        <v/>
      </c>
      <c r="O208" s="76" t="str">
        <f t="shared" si="26"/>
        <v/>
      </c>
      <c r="P208" s="76" t="str">
        <f t="shared" si="27"/>
        <v/>
      </c>
      <c r="Q208" s="75" t="str">
        <f t="shared" si="28"/>
        <v/>
      </c>
      <c r="R208" s="76" t="str">
        <f t="shared" si="29"/>
        <v/>
      </c>
      <c r="S208" s="76" t="str">
        <f t="shared" si="30"/>
        <v/>
      </c>
      <c r="T208" s="43"/>
      <c r="U208" s="107"/>
      <c r="V208" s="76" t="str">
        <f t="shared" si="31"/>
        <v/>
      </c>
      <c r="W208" s="43"/>
      <c r="X208" s="43"/>
      <c r="Y208" s="74"/>
    </row>
    <row r="209" ht="18" customHeight="1" spans="1:25">
      <c r="A209" s="74" t="str">
        <f t="shared" si="24"/>
        <v/>
      </c>
      <c r="B209" s="7"/>
      <c r="C209" s="43"/>
      <c r="D209" s="106"/>
      <c r="E209" s="43"/>
      <c r="F209" s="43"/>
      <c r="G209" s="43"/>
      <c r="H209" s="107"/>
      <c r="I209" s="107"/>
      <c r="J209" s="76" t="str">
        <f>IF($C209="","",ROUND(IFERROR(INDEX(期初余额!$I$4:$I$9,MATCH($C209,期初余额!$H$4:$H$9,0)),0)+SUMIFS($H$4:$H209,$C$4:$C209,$C209)-SUMIFS($I$4:$I209,$C$4:$C209,$C209),2))</f>
        <v/>
      </c>
      <c r="K209" s="111" t="str">
        <f>IF($T209&lt;&gt;"",$T209,IF($C209="","",IF(AND(N($I209)&gt;0,$G209&lt;&gt;""),IFERROR(INDEX(科目表!$U$4:$U$123,MATCH($G209,科目表!$M$4:$M$123,0)),"管理费用"),IF(N($H209)&gt;0,IFERROR(INDEX(自动规则!$C$4:$C$40,MATCH($F209,自动规则!$B$4:$B$40,0)),"其他应收款"),IFERROR(INDEX(自动规则!$D$4:$D$40,MATCH($F209,自动规则!$B$4:$B$40,0)),"其他应付款")))))</f>
        <v/>
      </c>
      <c r="L209" s="106"/>
      <c r="M209" s="75" t="str">
        <f>IF($C209="","",IFERROR(INDEX(科目表!$T$4:$T$9,MATCH($C209,科目表!$S$4:$S$9,0)),""))</f>
        <v/>
      </c>
      <c r="N209" s="75" t="str">
        <f t="shared" si="25"/>
        <v/>
      </c>
      <c r="O209" s="76" t="str">
        <f t="shared" si="26"/>
        <v/>
      </c>
      <c r="P209" s="76" t="str">
        <f t="shared" si="27"/>
        <v/>
      </c>
      <c r="Q209" s="75" t="str">
        <f t="shared" si="28"/>
        <v/>
      </c>
      <c r="R209" s="76" t="str">
        <f t="shared" si="29"/>
        <v/>
      </c>
      <c r="S209" s="76" t="str">
        <f t="shared" si="30"/>
        <v/>
      </c>
      <c r="T209" s="43"/>
      <c r="U209" s="107"/>
      <c r="V209" s="76" t="str">
        <f t="shared" si="31"/>
        <v/>
      </c>
      <c r="W209" s="43"/>
      <c r="X209" s="43"/>
      <c r="Y209" s="74"/>
    </row>
    <row r="210" ht="18" customHeight="1" spans="1:25">
      <c r="A210" s="74" t="str">
        <f t="shared" si="24"/>
        <v/>
      </c>
      <c r="B210" s="7"/>
      <c r="C210" s="43"/>
      <c r="D210" s="106"/>
      <c r="E210" s="43"/>
      <c r="F210" s="43"/>
      <c r="G210" s="43"/>
      <c r="H210" s="107"/>
      <c r="I210" s="107"/>
      <c r="J210" s="76" t="str">
        <f>IF($C210="","",ROUND(IFERROR(INDEX(期初余额!$I$4:$I$9,MATCH($C210,期初余额!$H$4:$H$9,0)),0)+SUMIFS($H$4:$H210,$C$4:$C210,$C210)-SUMIFS($I$4:$I210,$C$4:$C210,$C210),2))</f>
        <v/>
      </c>
      <c r="K210" s="111" t="str">
        <f>IF($T210&lt;&gt;"",$T210,IF($C210="","",IF(AND(N($I210)&gt;0,$G210&lt;&gt;""),IFERROR(INDEX(科目表!$U$4:$U$123,MATCH($G210,科目表!$M$4:$M$123,0)),"管理费用"),IF(N($H210)&gt;0,IFERROR(INDEX(自动规则!$C$4:$C$40,MATCH($F210,自动规则!$B$4:$B$40,0)),"其他应收款"),IFERROR(INDEX(自动规则!$D$4:$D$40,MATCH($F210,自动规则!$B$4:$B$40,0)),"其他应付款")))))</f>
        <v/>
      </c>
      <c r="L210" s="106"/>
      <c r="M210" s="75" t="str">
        <f>IF($C210="","",IFERROR(INDEX(科目表!$T$4:$T$9,MATCH($C210,科目表!$S$4:$S$9,0)),""))</f>
        <v/>
      </c>
      <c r="N210" s="75" t="str">
        <f t="shared" si="25"/>
        <v/>
      </c>
      <c r="O210" s="76" t="str">
        <f t="shared" si="26"/>
        <v/>
      </c>
      <c r="P210" s="76" t="str">
        <f t="shared" si="27"/>
        <v/>
      </c>
      <c r="Q210" s="75" t="str">
        <f t="shared" si="28"/>
        <v/>
      </c>
      <c r="R210" s="76" t="str">
        <f t="shared" si="29"/>
        <v/>
      </c>
      <c r="S210" s="76" t="str">
        <f t="shared" si="30"/>
        <v/>
      </c>
      <c r="T210" s="43"/>
      <c r="U210" s="107"/>
      <c r="V210" s="76" t="str">
        <f t="shared" si="31"/>
        <v/>
      </c>
      <c r="W210" s="43"/>
      <c r="X210" s="43"/>
      <c r="Y210" s="74"/>
    </row>
    <row r="211" ht="18" customHeight="1" spans="1:25">
      <c r="A211" s="74" t="str">
        <f t="shared" si="24"/>
        <v/>
      </c>
      <c r="B211" s="7"/>
      <c r="C211" s="43"/>
      <c r="D211" s="106"/>
      <c r="E211" s="43"/>
      <c r="F211" s="43"/>
      <c r="G211" s="43"/>
      <c r="H211" s="107"/>
      <c r="I211" s="107"/>
      <c r="J211" s="76" t="str">
        <f>IF($C211="","",ROUND(IFERROR(INDEX(期初余额!$I$4:$I$9,MATCH($C211,期初余额!$H$4:$H$9,0)),0)+SUMIFS($H$4:$H211,$C$4:$C211,$C211)-SUMIFS($I$4:$I211,$C$4:$C211,$C211),2))</f>
        <v/>
      </c>
      <c r="K211" s="111" t="str">
        <f>IF($T211&lt;&gt;"",$T211,IF($C211="","",IF(AND(N($I211)&gt;0,$G211&lt;&gt;""),IFERROR(INDEX(科目表!$U$4:$U$123,MATCH($G211,科目表!$M$4:$M$123,0)),"管理费用"),IF(N($H211)&gt;0,IFERROR(INDEX(自动规则!$C$4:$C$40,MATCH($F211,自动规则!$B$4:$B$40,0)),"其他应收款"),IFERROR(INDEX(自动规则!$D$4:$D$40,MATCH($F211,自动规则!$B$4:$B$40,0)),"其他应付款")))))</f>
        <v/>
      </c>
      <c r="L211" s="106"/>
      <c r="M211" s="75" t="str">
        <f>IF($C211="","",IFERROR(INDEX(科目表!$T$4:$T$9,MATCH($C211,科目表!$S$4:$S$9,0)),""))</f>
        <v/>
      </c>
      <c r="N211" s="75" t="str">
        <f t="shared" si="25"/>
        <v/>
      </c>
      <c r="O211" s="76" t="str">
        <f t="shared" si="26"/>
        <v/>
      </c>
      <c r="P211" s="76" t="str">
        <f t="shared" si="27"/>
        <v/>
      </c>
      <c r="Q211" s="75" t="str">
        <f t="shared" si="28"/>
        <v/>
      </c>
      <c r="R211" s="76" t="str">
        <f t="shared" si="29"/>
        <v/>
      </c>
      <c r="S211" s="76" t="str">
        <f t="shared" si="30"/>
        <v/>
      </c>
      <c r="T211" s="43"/>
      <c r="U211" s="107"/>
      <c r="V211" s="76" t="str">
        <f t="shared" si="31"/>
        <v/>
      </c>
      <c r="W211" s="43"/>
      <c r="X211" s="43"/>
      <c r="Y211" s="74"/>
    </row>
    <row r="212" ht="18" customHeight="1" spans="1:25">
      <c r="A212" s="74" t="str">
        <f t="shared" si="24"/>
        <v/>
      </c>
      <c r="B212" s="7"/>
      <c r="C212" s="43"/>
      <c r="D212" s="106"/>
      <c r="E212" s="43"/>
      <c r="F212" s="43"/>
      <c r="G212" s="43"/>
      <c r="H212" s="107"/>
      <c r="I212" s="107"/>
      <c r="J212" s="76" t="str">
        <f>IF($C212="","",ROUND(IFERROR(INDEX(期初余额!$I$4:$I$9,MATCH($C212,期初余额!$H$4:$H$9,0)),0)+SUMIFS($H$4:$H212,$C$4:$C212,$C212)-SUMIFS($I$4:$I212,$C$4:$C212,$C212),2))</f>
        <v/>
      </c>
      <c r="K212" s="111" t="str">
        <f>IF($T212&lt;&gt;"",$T212,IF($C212="","",IF(AND(N($I212)&gt;0,$G212&lt;&gt;""),IFERROR(INDEX(科目表!$U$4:$U$123,MATCH($G212,科目表!$M$4:$M$123,0)),"管理费用"),IF(N($H212)&gt;0,IFERROR(INDEX(自动规则!$C$4:$C$40,MATCH($F212,自动规则!$B$4:$B$40,0)),"其他应收款"),IFERROR(INDEX(自动规则!$D$4:$D$40,MATCH($F212,自动规则!$B$4:$B$40,0)),"其他应付款")))))</f>
        <v/>
      </c>
      <c r="L212" s="106"/>
      <c r="M212" s="75" t="str">
        <f>IF($C212="","",IFERROR(INDEX(科目表!$T$4:$T$9,MATCH($C212,科目表!$S$4:$S$9,0)),""))</f>
        <v/>
      </c>
      <c r="N212" s="75" t="str">
        <f t="shared" si="25"/>
        <v/>
      </c>
      <c r="O212" s="76" t="str">
        <f t="shared" si="26"/>
        <v/>
      </c>
      <c r="P212" s="76" t="str">
        <f t="shared" si="27"/>
        <v/>
      </c>
      <c r="Q212" s="75" t="str">
        <f t="shared" si="28"/>
        <v/>
      </c>
      <c r="R212" s="76" t="str">
        <f t="shared" si="29"/>
        <v/>
      </c>
      <c r="S212" s="76" t="str">
        <f t="shared" si="30"/>
        <v/>
      </c>
      <c r="T212" s="43"/>
      <c r="U212" s="107"/>
      <c r="V212" s="76" t="str">
        <f t="shared" si="31"/>
        <v/>
      </c>
      <c r="W212" s="43"/>
      <c r="X212" s="43"/>
      <c r="Y212" s="74"/>
    </row>
    <row r="213" ht="18" customHeight="1" spans="1:25">
      <c r="A213" s="74" t="str">
        <f t="shared" si="24"/>
        <v/>
      </c>
      <c r="B213" s="7"/>
      <c r="C213" s="43"/>
      <c r="D213" s="106"/>
      <c r="E213" s="43"/>
      <c r="F213" s="43"/>
      <c r="G213" s="43"/>
      <c r="H213" s="107"/>
      <c r="I213" s="107"/>
      <c r="J213" s="76" t="str">
        <f>IF($C213="","",ROUND(IFERROR(INDEX(期初余额!$I$4:$I$9,MATCH($C213,期初余额!$H$4:$H$9,0)),0)+SUMIFS($H$4:$H213,$C$4:$C213,$C213)-SUMIFS($I$4:$I213,$C$4:$C213,$C213),2))</f>
        <v/>
      </c>
      <c r="K213" s="111" t="str">
        <f>IF($T213&lt;&gt;"",$T213,IF($C213="","",IF(AND(N($I213)&gt;0,$G213&lt;&gt;""),IFERROR(INDEX(科目表!$U$4:$U$123,MATCH($G213,科目表!$M$4:$M$123,0)),"管理费用"),IF(N($H213)&gt;0,IFERROR(INDEX(自动规则!$C$4:$C$40,MATCH($F213,自动规则!$B$4:$B$40,0)),"其他应收款"),IFERROR(INDEX(自动规则!$D$4:$D$40,MATCH($F213,自动规则!$B$4:$B$40,0)),"其他应付款")))))</f>
        <v/>
      </c>
      <c r="L213" s="106"/>
      <c r="M213" s="75" t="str">
        <f>IF($C213="","",IFERROR(INDEX(科目表!$T$4:$T$9,MATCH($C213,科目表!$S$4:$S$9,0)),""))</f>
        <v/>
      </c>
      <c r="N213" s="75" t="str">
        <f t="shared" si="25"/>
        <v/>
      </c>
      <c r="O213" s="76" t="str">
        <f t="shared" si="26"/>
        <v/>
      </c>
      <c r="P213" s="76" t="str">
        <f t="shared" si="27"/>
        <v/>
      </c>
      <c r="Q213" s="75" t="str">
        <f t="shared" si="28"/>
        <v/>
      </c>
      <c r="R213" s="76" t="str">
        <f t="shared" si="29"/>
        <v/>
      </c>
      <c r="S213" s="76" t="str">
        <f t="shared" si="30"/>
        <v/>
      </c>
      <c r="T213" s="43"/>
      <c r="U213" s="107"/>
      <c r="V213" s="76" t="str">
        <f t="shared" si="31"/>
        <v/>
      </c>
      <c r="W213" s="43"/>
      <c r="X213" s="43"/>
      <c r="Y213" s="74"/>
    </row>
    <row r="214" ht="18" customHeight="1" spans="1:25">
      <c r="A214" s="74" t="str">
        <f t="shared" si="24"/>
        <v/>
      </c>
      <c r="B214" s="7"/>
      <c r="C214" s="43"/>
      <c r="D214" s="106"/>
      <c r="E214" s="43"/>
      <c r="F214" s="43"/>
      <c r="G214" s="43"/>
      <c r="H214" s="107"/>
      <c r="I214" s="107"/>
      <c r="J214" s="76" t="str">
        <f>IF($C214="","",ROUND(IFERROR(INDEX(期初余额!$I$4:$I$9,MATCH($C214,期初余额!$H$4:$H$9,0)),0)+SUMIFS($H$4:$H214,$C$4:$C214,$C214)-SUMIFS($I$4:$I214,$C$4:$C214,$C214),2))</f>
        <v/>
      </c>
      <c r="K214" s="111" t="str">
        <f>IF($T214&lt;&gt;"",$T214,IF($C214="","",IF(AND(N($I214)&gt;0,$G214&lt;&gt;""),IFERROR(INDEX(科目表!$U$4:$U$123,MATCH($G214,科目表!$M$4:$M$123,0)),"管理费用"),IF(N($H214)&gt;0,IFERROR(INDEX(自动规则!$C$4:$C$40,MATCH($F214,自动规则!$B$4:$B$40,0)),"其他应收款"),IFERROR(INDEX(自动规则!$D$4:$D$40,MATCH($F214,自动规则!$B$4:$B$40,0)),"其他应付款")))))</f>
        <v/>
      </c>
      <c r="L214" s="106"/>
      <c r="M214" s="75" t="str">
        <f>IF($C214="","",IFERROR(INDEX(科目表!$T$4:$T$9,MATCH($C214,科目表!$S$4:$S$9,0)),""))</f>
        <v/>
      </c>
      <c r="N214" s="75" t="str">
        <f t="shared" si="25"/>
        <v/>
      </c>
      <c r="O214" s="76" t="str">
        <f t="shared" si="26"/>
        <v/>
      </c>
      <c r="P214" s="76" t="str">
        <f t="shared" si="27"/>
        <v/>
      </c>
      <c r="Q214" s="75" t="str">
        <f t="shared" si="28"/>
        <v/>
      </c>
      <c r="R214" s="76" t="str">
        <f t="shared" si="29"/>
        <v/>
      </c>
      <c r="S214" s="76" t="str">
        <f t="shared" si="30"/>
        <v/>
      </c>
      <c r="T214" s="43"/>
      <c r="U214" s="107"/>
      <c r="V214" s="76" t="str">
        <f t="shared" si="31"/>
        <v/>
      </c>
      <c r="W214" s="43"/>
      <c r="X214" s="43"/>
      <c r="Y214" s="74"/>
    </row>
    <row r="215" ht="18" customHeight="1" spans="1:25">
      <c r="A215" s="74" t="str">
        <f t="shared" si="24"/>
        <v/>
      </c>
      <c r="B215" s="7"/>
      <c r="C215" s="43"/>
      <c r="D215" s="106"/>
      <c r="E215" s="43"/>
      <c r="F215" s="43"/>
      <c r="G215" s="43"/>
      <c r="H215" s="107"/>
      <c r="I215" s="107"/>
      <c r="J215" s="76" t="str">
        <f>IF($C215="","",ROUND(IFERROR(INDEX(期初余额!$I$4:$I$9,MATCH($C215,期初余额!$H$4:$H$9,0)),0)+SUMIFS($H$4:$H215,$C$4:$C215,$C215)-SUMIFS($I$4:$I215,$C$4:$C215,$C215),2))</f>
        <v/>
      </c>
      <c r="K215" s="111" t="str">
        <f>IF($T215&lt;&gt;"",$T215,IF($C215="","",IF(AND(N($I215)&gt;0,$G215&lt;&gt;""),IFERROR(INDEX(科目表!$U$4:$U$123,MATCH($G215,科目表!$M$4:$M$123,0)),"管理费用"),IF(N($H215)&gt;0,IFERROR(INDEX(自动规则!$C$4:$C$40,MATCH($F215,自动规则!$B$4:$B$40,0)),"其他应收款"),IFERROR(INDEX(自动规则!$D$4:$D$40,MATCH($F215,自动规则!$B$4:$B$40,0)),"其他应付款")))))</f>
        <v/>
      </c>
      <c r="L215" s="106"/>
      <c r="M215" s="75" t="str">
        <f>IF($C215="","",IFERROR(INDEX(科目表!$T$4:$T$9,MATCH($C215,科目表!$S$4:$S$9,0)),""))</f>
        <v/>
      </c>
      <c r="N215" s="75" t="str">
        <f t="shared" si="25"/>
        <v/>
      </c>
      <c r="O215" s="76" t="str">
        <f t="shared" si="26"/>
        <v/>
      </c>
      <c r="P215" s="76" t="str">
        <f t="shared" si="27"/>
        <v/>
      </c>
      <c r="Q215" s="75" t="str">
        <f t="shared" si="28"/>
        <v/>
      </c>
      <c r="R215" s="76" t="str">
        <f t="shared" si="29"/>
        <v/>
      </c>
      <c r="S215" s="76" t="str">
        <f t="shared" si="30"/>
        <v/>
      </c>
      <c r="T215" s="43"/>
      <c r="U215" s="107"/>
      <c r="V215" s="76" t="str">
        <f t="shared" si="31"/>
        <v/>
      </c>
      <c r="W215" s="43"/>
      <c r="X215" s="43"/>
      <c r="Y215" s="74"/>
    </row>
    <row r="216" ht="18" customHeight="1" spans="1:25">
      <c r="A216" s="74" t="str">
        <f t="shared" si="24"/>
        <v/>
      </c>
      <c r="B216" s="7"/>
      <c r="C216" s="43"/>
      <c r="D216" s="106"/>
      <c r="E216" s="43"/>
      <c r="F216" s="43"/>
      <c r="G216" s="43"/>
      <c r="H216" s="107"/>
      <c r="I216" s="107"/>
      <c r="J216" s="76" t="str">
        <f>IF($C216="","",ROUND(IFERROR(INDEX(期初余额!$I$4:$I$9,MATCH($C216,期初余额!$H$4:$H$9,0)),0)+SUMIFS($H$4:$H216,$C$4:$C216,$C216)-SUMIFS($I$4:$I216,$C$4:$C216,$C216),2))</f>
        <v/>
      </c>
      <c r="K216" s="111" t="str">
        <f>IF($T216&lt;&gt;"",$T216,IF($C216="","",IF(AND(N($I216)&gt;0,$G216&lt;&gt;""),IFERROR(INDEX(科目表!$U$4:$U$123,MATCH($G216,科目表!$M$4:$M$123,0)),"管理费用"),IF(N($H216)&gt;0,IFERROR(INDEX(自动规则!$C$4:$C$40,MATCH($F216,自动规则!$B$4:$B$40,0)),"其他应收款"),IFERROR(INDEX(自动规则!$D$4:$D$40,MATCH($F216,自动规则!$B$4:$B$40,0)),"其他应付款")))))</f>
        <v/>
      </c>
      <c r="L216" s="106"/>
      <c r="M216" s="75" t="str">
        <f>IF($C216="","",IFERROR(INDEX(科目表!$T$4:$T$9,MATCH($C216,科目表!$S$4:$S$9,0)),""))</f>
        <v/>
      </c>
      <c r="N216" s="75" t="str">
        <f t="shared" si="25"/>
        <v/>
      </c>
      <c r="O216" s="76" t="str">
        <f t="shared" si="26"/>
        <v/>
      </c>
      <c r="P216" s="76" t="str">
        <f t="shared" si="27"/>
        <v/>
      </c>
      <c r="Q216" s="75" t="str">
        <f t="shared" si="28"/>
        <v/>
      </c>
      <c r="R216" s="76" t="str">
        <f t="shared" si="29"/>
        <v/>
      </c>
      <c r="S216" s="76" t="str">
        <f t="shared" si="30"/>
        <v/>
      </c>
      <c r="T216" s="43"/>
      <c r="U216" s="107"/>
      <c r="V216" s="76" t="str">
        <f t="shared" si="31"/>
        <v/>
      </c>
      <c r="W216" s="43"/>
      <c r="X216" s="43"/>
      <c r="Y216" s="74"/>
    </row>
    <row r="217" ht="18" customHeight="1" spans="1:25">
      <c r="A217" s="74" t="str">
        <f t="shared" si="24"/>
        <v/>
      </c>
      <c r="B217" s="7"/>
      <c r="C217" s="43"/>
      <c r="D217" s="106"/>
      <c r="E217" s="43"/>
      <c r="F217" s="43"/>
      <c r="G217" s="43"/>
      <c r="H217" s="107"/>
      <c r="I217" s="107"/>
      <c r="J217" s="76" t="str">
        <f>IF($C217="","",ROUND(IFERROR(INDEX(期初余额!$I$4:$I$9,MATCH($C217,期初余额!$H$4:$H$9,0)),0)+SUMIFS($H$4:$H217,$C$4:$C217,$C217)-SUMIFS($I$4:$I217,$C$4:$C217,$C217),2))</f>
        <v/>
      </c>
      <c r="K217" s="111" t="str">
        <f>IF($T217&lt;&gt;"",$T217,IF($C217="","",IF(AND(N($I217)&gt;0,$G217&lt;&gt;""),IFERROR(INDEX(科目表!$U$4:$U$123,MATCH($G217,科目表!$M$4:$M$123,0)),"管理费用"),IF(N($H217)&gt;0,IFERROR(INDEX(自动规则!$C$4:$C$40,MATCH($F217,自动规则!$B$4:$B$40,0)),"其他应收款"),IFERROR(INDEX(自动规则!$D$4:$D$40,MATCH($F217,自动规则!$B$4:$B$40,0)),"其他应付款")))))</f>
        <v/>
      </c>
      <c r="L217" s="106"/>
      <c r="M217" s="75" t="str">
        <f>IF($C217="","",IFERROR(INDEX(科目表!$T$4:$T$9,MATCH($C217,科目表!$S$4:$S$9,0)),""))</f>
        <v/>
      </c>
      <c r="N217" s="75" t="str">
        <f t="shared" si="25"/>
        <v/>
      </c>
      <c r="O217" s="76" t="str">
        <f t="shared" si="26"/>
        <v/>
      </c>
      <c r="P217" s="76" t="str">
        <f t="shared" si="27"/>
        <v/>
      </c>
      <c r="Q217" s="75" t="str">
        <f t="shared" si="28"/>
        <v/>
      </c>
      <c r="R217" s="76" t="str">
        <f t="shared" si="29"/>
        <v/>
      </c>
      <c r="S217" s="76" t="str">
        <f t="shared" si="30"/>
        <v/>
      </c>
      <c r="T217" s="43"/>
      <c r="U217" s="107"/>
      <c r="V217" s="76" t="str">
        <f t="shared" si="31"/>
        <v/>
      </c>
      <c r="W217" s="43"/>
      <c r="X217" s="43"/>
      <c r="Y217" s="74"/>
    </row>
    <row r="218" ht="18" customHeight="1" spans="1:25">
      <c r="A218" s="74" t="str">
        <f t="shared" si="24"/>
        <v/>
      </c>
      <c r="B218" s="7"/>
      <c r="C218" s="43"/>
      <c r="D218" s="106"/>
      <c r="E218" s="43"/>
      <c r="F218" s="43"/>
      <c r="G218" s="43"/>
      <c r="H218" s="107"/>
      <c r="I218" s="107"/>
      <c r="J218" s="76" t="str">
        <f>IF($C218="","",ROUND(IFERROR(INDEX(期初余额!$I$4:$I$9,MATCH($C218,期初余额!$H$4:$H$9,0)),0)+SUMIFS($H$4:$H218,$C$4:$C218,$C218)-SUMIFS($I$4:$I218,$C$4:$C218,$C218),2))</f>
        <v/>
      </c>
      <c r="K218" s="111" t="str">
        <f>IF($T218&lt;&gt;"",$T218,IF($C218="","",IF(AND(N($I218)&gt;0,$G218&lt;&gt;""),IFERROR(INDEX(科目表!$U$4:$U$123,MATCH($G218,科目表!$M$4:$M$123,0)),"管理费用"),IF(N($H218)&gt;0,IFERROR(INDEX(自动规则!$C$4:$C$40,MATCH($F218,自动规则!$B$4:$B$40,0)),"其他应收款"),IFERROR(INDEX(自动规则!$D$4:$D$40,MATCH($F218,自动规则!$B$4:$B$40,0)),"其他应付款")))))</f>
        <v/>
      </c>
      <c r="L218" s="106"/>
      <c r="M218" s="75" t="str">
        <f>IF($C218="","",IFERROR(INDEX(科目表!$T$4:$T$9,MATCH($C218,科目表!$S$4:$S$9,0)),""))</f>
        <v/>
      </c>
      <c r="N218" s="75" t="str">
        <f t="shared" si="25"/>
        <v/>
      </c>
      <c r="O218" s="76" t="str">
        <f t="shared" si="26"/>
        <v/>
      </c>
      <c r="P218" s="76" t="str">
        <f t="shared" si="27"/>
        <v/>
      </c>
      <c r="Q218" s="75" t="str">
        <f t="shared" si="28"/>
        <v/>
      </c>
      <c r="R218" s="76" t="str">
        <f t="shared" si="29"/>
        <v/>
      </c>
      <c r="S218" s="76" t="str">
        <f t="shared" si="30"/>
        <v/>
      </c>
      <c r="T218" s="43"/>
      <c r="U218" s="107"/>
      <c r="V218" s="76" t="str">
        <f t="shared" si="31"/>
        <v/>
      </c>
      <c r="W218" s="43"/>
      <c r="X218" s="43"/>
      <c r="Y218" s="74"/>
    </row>
    <row r="219" ht="18" customHeight="1" spans="1:25">
      <c r="A219" s="74" t="str">
        <f t="shared" si="24"/>
        <v/>
      </c>
      <c r="B219" s="7"/>
      <c r="C219" s="43"/>
      <c r="D219" s="106"/>
      <c r="E219" s="43"/>
      <c r="F219" s="43"/>
      <c r="G219" s="43"/>
      <c r="H219" s="107"/>
      <c r="I219" s="107"/>
      <c r="J219" s="76" t="str">
        <f>IF($C219="","",ROUND(IFERROR(INDEX(期初余额!$I$4:$I$9,MATCH($C219,期初余额!$H$4:$H$9,0)),0)+SUMIFS($H$4:$H219,$C$4:$C219,$C219)-SUMIFS($I$4:$I219,$C$4:$C219,$C219),2))</f>
        <v/>
      </c>
      <c r="K219" s="111" t="str">
        <f>IF($T219&lt;&gt;"",$T219,IF($C219="","",IF(AND(N($I219)&gt;0,$G219&lt;&gt;""),IFERROR(INDEX(科目表!$U$4:$U$123,MATCH($G219,科目表!$M$4:$M$123,0)),"管理费用"),IF(N($H219)&gt;0,IFERROR(INDEX(自动规则!$C$4:$C$40,MATCH($F219,自动规则!$B$4:$B$40,0)),"其他应收款"),IFERROR(INDEX(自动规则!$D$4:$D$40,MATCH($F219,自动规则!$B$4:$B$40,0)),"其他应付款")))))</f>
        <v/>
      </c>
      <c r="L219" s="106"/>
      <c r="M219" s="75" t="str">
        <f>IF($C219="","",IFERROR(INDEX(科目表!$T$4:$T$9,MATCH($C219,科目表!$S$4:$S$9,0)),""))</f>
        <v/>
      </c>
      <c r="N219" s="75" t="str">
        <f t="shared" si="25"/>
        <v/>
      </c>
      <c r="O219" s="76" t="str">
        <f t="shared" si="26"/>
        <v/>
      </c>
      <c r="P219" s="76" t="str">
        <f t="shared" si="27"/>
        <v/>
      </c>
      <c r="Q219" s="75" t="str">
        <f t="shared" si="28"/>
        <v/>
      </c>
      <c r="R219" s="76" t="str">
        <f t="shared" si="29"/>
        <v/>
      </c>
      <c r="S219" s="76" t="str">
        <f t="shared" si="30"/>
        <v/>
      </c>
      <c r="T219" s="43"/>
      <c r="U219" s="107"/>
      <c r="V219" s="76" t="str">
        <f t="shared" si="31"/>
        <v/>
      </c>
      <c r="W219" s="43"/>
      <c r="X219" s="43"/>
      <c r="Y219" s="74"/>
    </row>
    <row r="220" ht="18" customHeight="1" spans="1:25">
      <c r="A220" s="74" t="str">
        <f t="shared" si="24"/>
        <v/>
      </c>
      <c r="B220" s="7"/>
      <c r="C220" s="43"/>
      <c r="D220" s="106"/>
      <c r="E220" s="43"/>
      <c r="F220" s="43"/>
      <c r="G220" s="43"/>
      <c r="H220" s="107"/>
      <c r="I220" s="107"/>
      <c r="J220" s="76" t="str">
        <f>IF($C220="","",ROUND(IFERROR(INDEX(期初余额!$I$4:$I$9,MATCH($C220,期初余额!$H$4:$H$9,0)),0)+SUMIFS($H$4:$H220,$C$4:$C220,$C220)-SUMIFS($I$4:$I220,$C$4:$C220,$C220),2))</f>
        <v/>
      </c>
      <c r="K220" s="111" t="str">
        <f>IF($T220&lt;&gt;"",$T220,IF($C220="","",IF(AND(N($I220)&gt;0,$G220&lt;&gt;""),IFERROR(INDEX(科目表!$U$4:$U$123,MATCH($G220,科目表!$M$4:$M$123,0)),"管理费用"),IF(N($H220)&gt;0,IFERROR(INDEX(自动规则!$C$4:$C$40,MATCH($F220,自动规则!$B$4:$B$40,0)),"其他应收款"),IFERROR(INDEX(自动规则!$D$4:$D$40,MATCH($F220,自动规则!$B$4:$B$40,0)),"其他应付款")))))</f>
        <v/>
      </c>
      <c r="L220" s="106"/>
      <c r="M220" s="75" t="str">
        <f>IF($C220="","",IFERROR(INDEX(科目表!$T$4:$T$9,MATCH($C220,科目表!$S$4:$S$9,0)),""))</f>
        <v/>
      </c>
      <c r="N220" s="75" t="str">
        <f t="shared" si="25"/>
        <v/>
      </c>
      <c r="O220" s="76" t="str">
        <f t="shared" si="26"/>
        <v/>
      </c>
      <c r="P220" s="76" t="str">
        <f t="shared" si="27"/>
        <v/>
      </c>
      <c r="Q220" s="75" t="str">
        <f t="shared" si="28"/>
        <v/>
      </c>
      <c r="R220" s="76" t="str">
        <f t="shared" si="29"/>
        <v/>
      </c>
      <c r="S220" s="76" t="str">
        <f t="shared" si="30"/>
        <v/>
      </c>
      <c r="T220" s="43"/>
      <c r="U220" s="107"/>
      <c r="V220" s="76" t="str">
        <f t="shared" si="31"/>
        <v/>
      </c>
      <c r="W220" s="43"/>
      <c r="X220" s="43"/>
      <c r="Y220" s="74"/>
    </row>
    <row r="221" ht="18" customHeight="1" spans="1:25">
      <c r="A221" s="74" t="str">
        <f t="shared" si="24"/>
        <v/>
      </c>
      <c r="B221" s="7"/>
      <c r="C221" s="43"/>
      <c r="D221" s="106"/>
      <c r="E221" s="43"/>
      <c r="F221" s="43"/>
      <c r="G221" s="43"/>
      <c r="H221" s="107"/>
      <c r="I221" s="107"/>
      <c r="J221" s="76" t="str">
        <f>IF($C221="","",ROUND(IFERROR(INDEX(期初余额!$I$4:$I$9,MATCH($C221,期初余额!$H$4:$H$9,0)),0)+SUMIFS($H$4:$H221,$C$4:$C221,$C221)-SUMIFS($I$4:$I221,$C$4:$C221,$C221),2))</f>
        <v/>
      </c>
      <c r="K221" s="111" t="str">
        <f>IF($T221&lt;&gt;"",$T221,IF($C221="","",IF(AND(N($I221)&gt;0,$G221&lt;&gt;""),IFERROR(INDEX(科目表!$U$4:$U$123,MATCH($G221,科目表!$M$4:$M$123,0)),"管理费用"),IF(N($H221)&gt;0,IFERROR(INDEX(自动规则!$C$4:$C$40,MATCH($F221,自动规则!$B$4:$B$40,0)),"其他应收款"),IFERROR(INDEX(自动规则!$D$4:$D$40,MATCH($F221,自动规则!$B$4:$B$40,0)),"其他应付款")))))</f>
        <v/>
      </c>
      <c r="L221" s="106"/>
      <c r="M221" s="75" t="str">
        <f>IF($C221="","",IFERROR(INDEX(科目表!$T$4:$T$9,MATCH($C221,科目表!$S$4:$S$9,0)),""))</f>
        <v/>
      </c>
      <c r="N221" s="75" t="str">
        <f t="shared" si="25"/>
        <v/>
      </c>
      <c r="O221" s="76" t="str">
        <f t="shared" si="26"/>
        <v/>
      </c>
      <c r="P221" s="76" t="str">
        <f t="shared" si="27"/>
        <v/>
      </c>
      <c r="Q221" s="75" t="str">
        <f t="shared" si="28"/>
        <v/>
      </c>
      <c r="R221" s="76" t="str">
        <f t="shared" si="29"/>
        <v/>
      </c>
      <c r="S221" s="76" t="str">
        <f t="shared" si="30"/>
        <v/>
      </c>
      <c r="T221" s="43"/>
      <c r="U221" s="107"/>
      <c r="V221" s="76" t="str">
        <f t="shared" si="31"/>
        <v/>
      </c>
      <c r="W221" s="43"/>
      <c r="X221" s="43"/>
      <c r="Y221" s="74"/>
    </row>
    <row r="222" ht="18" customHeight="1" spans="1:25">
      <c r="A222" s="74" t="str">
        <f t="shared" si="24"/>
        <v/>
      </c>
      <c r="B222" s="7"/>
      <c r="C222" s="43"/>
      <c r="D222" s="106"/>
      <c r="E222" s="43"/>
      <c r="F222" s="43"/>
      <c r="G222" s="43"/>
      <c r="H222" s="107"/>
      <c r="I222" s="107"/>
      <c r="J222" s="76" t="str">
        <f>IF($C222="","",ROUND(IFERROR(INDEX(期初余额!$I$4:$I$9,MATCH($C222,期初余额!$H$4:$H$9,0)),0)+SUMIFS($H$4:$H222,$C$4:$C222,$C222)-SUMIFS($I$4:$I222,$C$4:$C222,$C222),2))</f>
        <v/>
      </c>
      <c r="K222" s="111" t="str">
        <f>IF($T222&lt;&gt;"",$T222,IF($C222="","",IF(AND(N($I222)&gt;0,$G222&lt;&gt;""),IFERROR(INDEX(科目表!$U$4:$U$123,MATCH($G222,科目表!$M$4:$M$123,0)),"管理费用"),IF(N($H222)&gt;0,IFERROR(INDEX(自动规则!$C$4:$C$40,MATCH($F222,自动规则!$B$4:$B$40,0)),"其他应收款"),IFERROR(INDEX(自动规则!$D$4:$D$40,MATCH($F222,自动规则!$B$4:$B$40,0)),"其他应付款")))))</f>
        <v/>
      </c>
      <c r="L222" s="106"/>
      <c r="M222" s="75" t="str">
        <f>IF($C222="","",IFERROR(INDEX(科目表!$T$4:$T$9,MATCH($C222,科目表!$S$4:$S$9,0)),""))</f>
        <v/>
      </c>
      <c r="N222" s="75" t="str">
        <f t="shared" si="25"/>
        <v/>
      </c>
      <c r="O222" s="76" t="str">
        <f t="shared" si="26"/>
        <v/>
      </c>
      <c r="P222" s="76" t="str">
        <f t="shared" si="27"/>
        <v/>
      </c>
      <c r="Q222" s="75" t="str">
        <f t="shared" si="28"/>
        <v/>
      </c>
      <c r="R222" s="76" t="str">
        <f t="shared" si="29"/>
        <v/>
      </c>
      <c r="S222" s="76" t="str">
        <f t="shared" si="30"/>
        <v/>
      </c>
      <c r="T222" s="43"/>
      <c r="U222" s="107"/>
      <c r="V222" s="76" t="str">
        <f t="shared" si="31"/>
        <v/>
      </c>
      <c r="W222" s="43"/>
      <c r="X222" s="43"/>
      <c r="Y222" s="74"/>
    </row>
    <row r="223" ht="18" customHeight="1" spans="1:25">
      <c r="A223" s="74" t="str">
        <f t="shared" si="24"/>
        <v/>
      </c>
      <c r="B223" s="7"/>
      <c r="C223" s="43"/>
      <c r="D223" s="106"/>
      <c r="E223" s="43"/>
      <c r="F223" s="43"/>
      <c r="G223" s="43"/>
      <c r="H223" s="107"/>
      <c r="I223" s="107"/>
      <c r="J223" s="76" t="str">
        <f>IF($C223="","",ROUND(IFERROR(INDEX(期初余额!$I$4:$I$9,MATCH($C223,期初余额!$H$4:$H$9,0)),0)+SUMIFS($H$4:$H223,$C$4:$C223,$C223)-SUMIFS($I$4:$I223,$C$4:$C223,$C223),2))</f>
        <v/>
      </c>
      <c r="K223" s="111" t="str">
        <f>IF($T223&lt;&gt;"",$T223,IF($C223="","",IF(AND(N($I223)&gt;0,$G223&lt;&gt;""),IFERROR(INDEX(科目表!$U$4:$U$123,MATCH($G223,科目表!$M$4:$M$123,0)),"管理费用"),IF(N($H223)&gt;0,IFERROR(INDEX(自动规则!$C$4:$C$40,MATCH($F223,自动规则!$B$4:$B$40,0)),"其他应收款"),IFERROR(INDEX(自动规则!$D$4:$D$40,MATCH($F223,自动规则!$B$4:$B$40,0)),"其他应付款")))))</f>
        <v/>
      </c>
      <c r="L223" s="106"/>
      <c r="M223" s="75" t="str">
        <f>IF($C223="","",IFERROR(INDEX(科目表!$T$4:$T$9,MATCH($C223,科目表!$S$4:$S$9,0)),""))</f>
        <v/>
      </c>
      <c r="N223" s="75" t="str">
        <f t="shared" si="25"/>
        <v/>
      </c>
      <c r="O223" s="76" t="str">
        <f t="shared" si="26"/>
        <v/>
      </c>
      <c r="P223" s="76" t="str">
        <f t="shared" si="27"/>
        <v/>
      </c>
      <c r="Q223" s="75" t="str">
        <f t="shared" si="28"/>
        <v/>
      </c>
      <c r="R223" s="76" t="str">
        <f t="shared" si="29"/>
        <v/>
      </c>
      <c r="S223" s="76" t="str">
        <f t="shared" si="30"/>
        <v/>
      </c>
      <c r="T223" s="43"/>
      <c r="U223" s="107"/>
      <c r="V223" s="76" t="str">
        <f t="shared" si="31"/>
        <v/>
      </c>
      <c r="W223" s="43"/>
      <c r="X223" s="43"/>
      <c r="Y223" s="74"/>
    </row>
    <row r="224" ht="18" customHeight="1" spans="1:25">
      <c r="A224" s="74" t="str">
        <f t="shared" si="24"/>
        <v/>
      </c>
      <c r="B224" s="7"/>
      <c r="C224" s="43"/>
      <c r="D224" s="106"/>
      <c r="E224" s="43"/>
      <c r="F224" s="43"/>
      <c r="G224" s="43"/>
      <c r="H224" s="107"/>
      <c r="I224" s="107"/>
      <c r="J224" s="76" t="str">
        <f>IF($C224="","",ROUND(IFERROR(INDEX(期初余额!$I$4:$I$9,MATCH($C224,期初余额!$H$4:$H$9,0)),0)+SUMIFS($H$4:$H224,$C$4:$C224,$C224)-SUMIFS($I$4:$I224,$C$4:$C224,$C224),2))</f>
        <v/>
      </c>
      <c r="K224" s="111" t="str">
        <f>IF($T224&lt;&gt;"",$T224,IF($C224="","",IF(AND(N($I224)&gt;0,$G224&lt;&gt;""),IFERROR(INDEX(科目表!$U$4:$U$123,MATCH($G224,科目表!$M$4:$M$123,0)),"管理费用"),IF(N($H224)&gt;0,IFERROR(INDEX(自动规则!$C$4:$C$40,MATCH($F224,自动规则!$B$4:$B$40,0)),"其他应收款"),IFERROR(INDEX(自动规则!$D$4:$D$40,MATCH($F224,自动规则!$B$4:$B$40,0)),"其他应付款")))))</f>
        <v/>
      </c>
      <c r="L224" s="106"/>
      <c r="M224" s="75" t="str">
        <f>IF($C224="","",IFERROR(INDEX(科目表!$T$4:$T$9,MATCH($C224,科目表!$S$4:$S$9,0)),""))</f>
        <v/>
      </c>
      <c r="N224" s="75" t="str">
        <f t="shared" si="25"/>
        <v/>
      </c>
      <c r="O224" s="76" t="str">
        <f t="shared" si="26"/>
        <v/>
      </c>
      <c r="P224" s="76" t="str">
        <f t="shared" si="27"/>
        <v/>
      </c>
      <c r="Q224" s="75" t="str">
        <f t="shared" si="28"/>
        <v/>
      </c>
      <c r="R224" s="76" t="str">
        <f t="shared" si="29"/>
        <v/>
      </c>
      <c r="S224" s="76" t="str">
        <f t="shared" si="30"/>
        <v/>
      </c>
      <c r="T224" s="43"/>
      <c r="U224" s="107"/>
      <c r="V224" s="76" t="str">
        <f t="shared" si="31"/>
        <v/>
      </c>
      <c r="W224" s="43"/>
      <c r="X224" s="43"/>
      <c r="Y224" s="74"/>
    </row>
    <row r="225" ht="18" customHeight="1" spans="1:25">
      <c r="A225" s="74" t="str">
        <f t="shared" si="24"/>
        <v/>
      </c>
      <c r="B225" s="7"/>
      <c r="C225" s="43"/>
      <c r="D225" s="106"/>
      <c r="E225" s="43"/>
      <c r="F225" s="43"/>
      <c r="G225" s="43"/>
      <c r="H225" s="107"/>
      <c r="I225" s="107"/>
      <c r="J225" s="76" t="str">
        <f>IF($C225="","",ROUND(IFERROR(INDEX(期初余额!$I$4:$I$9,MATCH($C225,期初余额!$H$4:$H$9,0)),0)+SUMIFS($H$4:$H225,$C$4:$C225,$C225)-SUMIFS($I$4:$I225,$C$4:$C225,$C225),2))</f>
        <v/>
      </c>
      <c r="K225" s="111" t="str">
        <f>IF($T225&lt;&gt;"",$T225,IF($C225="","",IF(AND(N($I225)&gt;0,$G225&lt;&gt;""),IFERROR(INDEX(科目表!$U$4:$U$123,MATCH($G225,科目表!$M$4:$M$123,0)),"管理费用"),IF(N($H225)&gt;0,IFERROR(INDEX(自动规则!$C$4:$C$40,MATCH($F225,自动规则!$B$4:$B$40,0)),"其他应收款"),IFERROR(INDEX(自动规则!$D$4:$D$40,MATCH($F225,自动规则!$B$4:$B$40,0)),"其他应付款")))))</f>
        <v/>
      </c>
      <c r="L225" s="106"/>
      <c r="M225" s="75" t="str">
        <f>IF($C225="","",IFERROR(INDEX(科目表!$T$4:$T$9,MATCH($C225,科目表!$S$4:$S$9,0)),""))</f>
        <v/>
      </c>
      <c r="N225" s="75" t="str">
        <f t="shared" si="25"/>
        <v/>
      </c>
      <c r="O225" s="76" t="str">
        <f t="shared" si="26"/>
        <v/>
      </c>
      <c r="P225" s="76" t="str">
        <f t="shared" si="27"/>
        <v/>
      </c>
      <c r="Q225" s="75" t="str">
        <f t="shared" si="28"/>
        <v/>
      </c>
      <c r="R225" s="76" t="str">
        <f t="shared" si="29"/>
        <v/>
      </c>
      <c r="S225" s="76" t="str">
        <f t="shared" si="30"/>
        <v/>
      </c>
      <c r="T225" s="43"/>
      <c r="U225" s="107"/>
      <c r="V225" s="76" t="str">
        <f t="shared" si="31"/>
        <v/>
      </c>
      <c r="W225" s="43"/>
      <c r="X225" s="43"/>
      <c r="Y225" s="74"/>
    </row>
    <row r="226" ht="18" customHeight="1" spans="1:25">
      <c r="A226" s="74" t="str">
        <f t="shared" si="24"/>
        <v/>
      </c>
      <c r="B226" s="7"/>
      <c r="C226" s="43"/>
      <c r="D226" s="106"/>
      <c r="E226" s="43"/>
      <c r="F226" s="43"/>
      <c r="G226" s="43"/>
      <c r="H226" s="107"/>
      <c r="I226" s="107"/>
      <c r="J226" s="76" t="str">
        <f>IF($C226="","",ROUND(IFERROR(INDEX(期初余额!$I$4:$I$9,MATCH($C226,期初余额!$H$4:$H$9,0)),0)+SUMIFS($H$4:$H226,$C$4:$C226,$C226)-SUMIFS($I$4:$I226,$C$4:$C226,$C226),2))</f>
        <v/>
      </c>
      <c r="K226" s="111" t="str">
        <f>IF($T226&lt;&gt;"",$T226,IF($C226="","",IF(AND(N($I226)&gt;0,$G226&lt;&gt;""),IFERROR(INDEX(科目表!$U$4:$U$123,MATCH($G226,科目表!$M$4:$M$123,0)),"管理费用"),IF(N($H226)&gt;0,IFERROR(INDEX(自动规则!$C$4:$C$40,MATCH($F226,自动规则!$B$4:$B$40,0)),"其他应收款"),IFERROR(INDEX(自动规则!$D$4:$D$40,MATCH($F226,自动规则!$B$4:$B$40,0)),"其他应付款")))))</f>
        <v/>
      </c>
      <c r="L226" s="106"/>
      <c r="M226" s="75" t="str">
        <f>IF($C226="","",IFERROR(INDEX(科目表!$T$4:$T$9,MATCH($C226,科目表!$S$4:$S$9,0)),""))</f>
        <v/>
      </c>
      <c r="N226" s="75" t="str">
        <f t="shared" si="25"/>
        <v/>
      </c>
      <c r="O226" s="76" t="str">
        <f t="shared" si="26"/>
        <v/>
      </c>
      <c r="P226" s="76" t="str">
        <f t="shared" si="27"/>
        <v/>
      </c>
      <c r="Q226" s="75" t="str">
        <f t="shared" si="28"/>
        <v/>
      </c>
      <c r="R226" s="76" t="str">
        <f t="shared" si="29"/>
        <v/>
      </c>
      <c r="S226" s="76" t="str">
        <f t="shared" si="30"/>
        <v/>
      </c>
      <c r="T226" s="43"/>
      <c r="U226" s="107"/>
      <c r="V226" s="76" t="str">
        <f t="shared" si="31"/>
        <v/>
      </c>
      <c r="W226" s="43"/>
      <c r="X226" s="43"/>
      <c r="Y226" s="74"/>
    </row>
    <row r="227" ht="18" customHeight="1" spans="1:25">
      <c r="A227" s="74" t="str">
        <f t="shared" si="24"/>
        <v/>
      </c>
      <c r="B227" s="7"/>
      <c r="C227" s="43"/>
      <c r="D227" s="106"/>
      <c r="E227" s="43"/>
      <c r="F227" s="43"/>
      <c r="G227" s="43"/>
      <c r="H227" s="107"/>
      <c r="I227" s="107"/>
      <c r="J227" s="76" t="str">
        <f>IF($C227="","",ROUND(IFERROR(INDEX(期初余额!$I$4:$I$9,MATCH($C227,期初余额!$H$4:$H$9,0)),0)+SUMIFS($H$4:$H227,$C$4:$C227,$C227)-SUMIFS($I$4:$I227,$C$4:$C227,$C227),2))</f>
        <v/>
      </c>
      <c r="K227" s="111" t="str">
        <f>IF($T227&lt;&gt;"",$T227,IF($C227="","",IF(AND(N($I227)&gt;0,$G227&lt;&gt;""),IFERROR(INDEX(科目表!$U$4:$U$123,MATCH($G227,科目表!$M$4:$M$123,0)),"管理费用"),IF(N($H227)&gt;0,IFERROR(INDEX(自动规则!$C$4:$C$40,MATCH($F227,自动规则!$B$4:$B$40,0)),"其他应收款"),IFERROR(INDEX(自动规则!$D$4:$D$40,MATCH($F227,自动规则!$B$4:$B$40,0)),"其他应付款")))))</f>
        <v/>
      </c>
      <c r="L227" s="106"/>
      <c r="M227" s="75" t="str">
        <f>IF($C227="","",IFERROR(INDEX(科目表!$T$4:$T$9,MATCH($C227,科目表!$S$4:$S$9,0)),""))</f>
        <v/>
      </c>
      <c r="N227" s="75" t="str">
        <f t="shared" si="25"/>
        <v/>
      </c>
      <c r="O227" s="76" t="str">
        <f t="shared" si="26"/>
        <v/>
      </c>
      <c r="P227" s="76" t="str">
        <f t="shared" si="27"/>
        <v/>
      </c>
      <c r="Q227" s="75" t="str">
        <f t="shared" si="28"/>
        <v/>
      </c>
      <c r="R227" s="76" t="str">
        <f t="shared" si="29"/>
        <v/>
      </c>
      <c r="S227" s="76" t="str">
        <f t="shared" si="30"/>
        <v/>
      </c>
      <c r="T227" s="43"/>
      <c r="U227" s="107"/>
      <c r="V227" s="76" t="str">
        <f t="shared" si="31"/>
        <v/>
      </c>
      <c r="W227" s="43"/>
      <c r="X227" s="43"/>
      <c r="Y227" s="74"/>
    </row>
    <row r="228" ht="18" customHeight="1" spans="1:25">
      <c r="A228" s="74" t="str">
        <f t="shared" si="24"/>
        <v/>
      </c>
      <c r="B228" s="7"/>
      <c r="C228" s="43"/>
      <c r="D228" s="106"/>
      <c r="E228" s="43"/>
      <c r="F228" s="43"/>
      <c r="G228" s="43"/>
      <c r="H228" s="107"/>
      <c r="I228" s="107"/>
      <c r="J228" s="76" t="str">
        <f>IF($C228="","",ROUND(IFERROR(INDEX(期初余额!$I$4:$I$9,MATCH($C228,期初余额!$H$4:$H$9,0)),0)+SUMIFS($H$4:$H228,$C$4:$C228,$C228)-SUMIFS($I$4:$I228,$C$4:$C228,$C228),2))</f>
        <v/>
      </c>
      <c r="K228" s="111" t="str">
        <f>IF($T228&lt;&gt;"",$T228,IF($C228="","",IF(AND(N($I228)&gt;0,$G228&lt;&gt;""),IFERROR(INDEX(科目表!$U$4:$U$123,MATCH($G228,科目表!$M$4:$M$123,0)),"管理费用"),IF(N($H228)&gt;0,IFERROR(INDEX(自动规则!$C$4:$C$40,MATCH($F228,自动规则!$B$4:$B$40,0)),"其他应收款"),IFERROR(INDEX(自动规则!$D$4:$D$40,MATCH($F228,自动规则!$B$4:$B$40,0)),"其他应付款")))))</f>
        <v/>
      </c>
      <c r="L228" s="106"/>
      <c r="M228" s="75" t="str">
        <f>IF($C228="","",IFERROR(INDEX(科目表!$T$4:$T$9,MATCH($C228,科目表!$S$4:$S$9,0)),""))</f>
        <v/>
      </c>
      <c r="N228" s="75" t="str">
        <f t="shared" si="25"/>
        <v/>
      </c>
      <c r="O228" s="76" t="str">
        <f t="shared" si="26"/>
        <v/>
      </c>
      <c r="P228" s="76" t="str">
        <f t="shared" si="27"/>
        <v/>
      </c>
      <c r="Q228" s="75" t="str">
        <f t="shared" si="28"/>
        <v/>
      </c>
      <c r="R228" s="76" t="str">
        <f t="shared" si="29"/>
        <v/>
      </c>
      <c r="S228" s="76" t="str">
        <f t="shared" si="30"/>
        <v/>
      </c>
      <c r="T228" s="43"/>
      <c r="U228" s="107"/>
      <c r="V228" s="76" t="str">
        <f t="shared" si="31"/>
        <v/>
      </c>
      <c r="W228" s="43"/>
      <c r="X228" s="43"/>
      <c r="Y228" s="74"/>
    </row>
    <row r="229" ht="18" customHeight="1" spans="1:25">
      <c r="A229" s="74" t="str">
        <f t="shared" si="24"/>
        <v/>
      </c>
      <c r="B229" s="7"/>
      <c r="C229" s="43"/>
      <c r="D229" s="106"/>
      <c r="E229" s="43"/>
      <c r="F229" s="43"/>
      <c r="G229" s="43"/>
      <c r="H229" s="107"/>
      <c r="I229" s="107"/>
      <c r="J229" s="76" t="str">
        <f>IF($C229="","",ROUND(IFERROR(INDEX(期初余额!$I$4:$I$9,MATCH($C229,期初余额!$H$4:$H$9,0)),0)+SUMIFS($H$4:$H229,$C$4:$C229,$C229)-SUMIFS($I$4:$I229,$C$4:$C229,$C229),2))</f>
        <v/>
      </c>
      <c r="K229" s="111" t="str">
        <f>IF($T229&lt;&gt;"",$T229,IF($C229="","",IF(AND(N($I229)&gt;0,$G229&lt;&gt;""),IFERROR(INDEX(科目表!$U$4:$U$123,MATCH($G229,科目表!$M$4:$M$123,0)),"管理费用"),IF(N($H229)&gt;0,IFERROR(INDEX(自动规则!$C$4:$C$40,MATCH($F229,自动规则!$B$4:$B$40,0)),"其他应收款"),IFERROR(INDEX(自动规则!$D$4:$D$40,MATCH($F229,自动规则!$B$4:$B$40,0)),"其他应付款")))))</f>
        <v/>
      </c>
      <c r="L229" s="106"/>
      <c r="M229" s="75" t="str">
        <f>IF($C229="","",IFERROR(INDEX(科目表!$T$4:$T$9,MATCH($C229,科目表!$S$4:$S$9,0)),""))</f>
        <v/>
      </c>
      <c r="N229" s="75" t="str">
        <f t="shared" si="25"/>
        <v/>
      </c>
      <c r="O229" s="76" t="str">
        <f t="shared" si="26"/>
        <v/>
      </c>
      <c r="P229" s="76" t="str">
        <f t="shared" si="27"/>
        <v/>
      </c>
      <c r="Q229" s="75" t="str">
        <f t="shared" si="28"/>
        <v/>
      </c>
      <c r="R229" s="76" t="str">
        <f t="shared" si="29"/>
        <v/>
      </c>
      <c r="S229" s="76" t="str">
        <f t="shared" si="30"/>
        <v/>
      </c>
      <c r="T229" s="43"/>
      <c r="U229" s="107"/>
      <c r="V229" s="76" t="str">
        <f t="shared" si="31"/>
        <v/>
      </c>
      <c r="W229" s="43"/>
      <c r="X229" s="43"/>
      <c r="Y229" s="74"/>
    </row>
    <row r="230" ht="18" customHeight="1" spans="1:25">
      <c r="A230" s="74" t="str">
        <f t="shared" si="24"/>
        <v/>
      </c>
      <c r="B230" s="7"/>
      <c r="C230" s="43"/>
      <c r="D230" s="106"/>
      <c r="E230" s="43"/>
      <c r="F230" s="43"/>
      <c r="G230" s="43"/>
      <c r="H230" s="107"/>
      <c r="I230" s="107"/>
      <c r="J230" s="76" t="str">
        <f>IF($C230="","",ROUND(IFERROR(INDEX(期初余额!$I$4:$I$9,MATCH($C230,期初余额!$H$4:$H$9,0)),0)+SUMIFS($H$4:$H230,$C$4:$C230,$C230)-SUMIFS($I$4:$I230,$C$4:$C230,$C230),2))</f>
        <v/>
      </c>
      <c r="K230" s="111" t="str">
        <f>IF($T230&lt;&gt;"",$T230,IF($C230="","",IF(AND(N($I230)&gt;0,$G230&lt;&gt;""),IFERROR(INDEX(科目表!$U$4:$U$123,MATCH($G230,科目表!$M$4:$M$123,0)),"管理费用"),IF(N($H230)&gt;0,IFERROR(INDEX(自动规则!$C$4:$C$40,MATCH($F230,自动规则!$B$4:$B$40,0)),"其他应收款"),IFERROR(INDEX(自动规则!$D$4:$D$40,MATCH($F230,自动规则!$B$4:$B$40,0)),"其他应付款")))))</f>
        <v/>
      </c>
      <c r="L230" s="106"/>
      <c r="M230" s="75" t="str">
        <f>IF($C230="","",IFERROR(INDEX(科目表!$T$4:$T$9,MATCH($C230,科目表!$S$4:$S$9,0)),""))</f>
        <v/>
      </c>
      <c r="N230" s="75" t="str">
        <f t="shared" si="25"/>
        <v/>
      </c>
      <c r="O230" s="76" t="str">
        <f t="shared" si="26"/>
        <v/>
      </c>
      <c r="P230" s="76" t="str">
        <f t="shared" si="27"/>
        <v/>
      </c>
      <c r="Q230" s="75" t="str">
        <f t="shared" si="28"/>
        <v/>
      </c>
      <c r="R230" s="76" t="str">
        <f t="shared" si="29"/>
        <v/>
      </c>
      <c r="S230" s="76" t="str">
        <f t="shared" si="30"/>
        <v/>
      </c>
      <c r="T230" s="43"/>
      <c r="U230" s="107"/>
      <c r="V230" s="76" t="str">
        <f t="shared" si="31"/>
        <v/>
      </c>
      <c r="W230" s="43"/>
      <c r="X230" s="43"/>
      <c r="Y230" s="74"/>
    </row>
    <row r="231" ht="18" customHeight="1" spans="1:25">
      <c r="A231" s="74" t="str">
        <f t="shared" si="24"/>
        <v/>
      </c>
      <c r="B231" s="7"/>
      <c r="C231" s="43"/>
      <c r="D231" s="106"/>
      <c r="E231" s="43"/>
      <c r="F231" s="43"/>
      <c r="G231" s="43"/>
      <c r="H231" s="107"/>
      <c r="I231" s="107"/>
      <c r="J231" s="76" t="str">
        <f>IF($C231="","",ROUND(IFERROR(INDEX(期初余额!$I$4:$I$9,MATCH($C231,期初余额!$H$4:$H$9,0)),0)+SUMIFS($H$4:$H231,$C$4:$C231,$C231)-SUMIFS($I$4:$I231,$C$4:$C231,$C231),2))</f>
        <v/>
      </c>
      <c r="K231" s="111" t="str">
        <f>IF($T231&lt;&gt;"",$T231,IF($C231="","",IF(AND(N($I231)&gt;0,$G231&lt;&gt;""),IFERROR(INDEX(科目表!$U$4:$U$123,MATCH($G231,科目表!$M$4:$M$123,0)),"管理费用"),IF(N($H231)&gt;0,IFERROR(INDEX(自动规则!$C$4:$C$40,MATCH($F231,自动规则!$B$4:$B$40,0)),"其他应收款"),IFERROR(INDEX(自动规则!$D$4:$D$40,MATCH($F231,自动规则!$B$4:$B$40,0)),"其他应付款")))))</f>
        <v/>
      </c>
      <c r="L231" s="106"/>
      <c r="M231" s="75" t="str">
        <f>IF($C231="","",IFERROR(INDEX(科目表!$T$4:$T$9,MATCH($C231,科目表!$S$4:$S$9,0)),""))</f>
        <v/>
      </c>
      <c r="N231" s="75" t="str">
        <f t="shared" si="25"/>
        <v/>
      </c>
      <c r="O231" s="76" t="str">
        <f t="shared" si="26"/>
        <v/>
      </c>
      <c r="P231" s="76" t="str">
        <f t="shared" si="27"/>
        <v/>
      </c>
      <c r="Q231" s="75" t="str">
        <f t="shared" si="28"/>
        <v/>
      </c>
      <c r="R231" s="76" t="str">
        <f t="shared" si="29"/>
        <v/>
      </c>
      <c r="S231" s="76" t="str">
        <f t="shared" si="30"/>
        <v/>
      </c>
      <c r="T231" s="43"/>
      <c r="U231" s="107"/>
      <c r="V231" s="76" t="str">
        <f t="shared" si="31"/>
        <v/>
      </c>
      <c r="W231" s="43"/>
      <c r="X231" s="43"/>
      <c r="Y231" s="74"/>
    </row>
    <row r="232" ht="18" customHeight="1" spans="1:25">
      <c r="A232" s="74" t="str">
        <f t="shared" si="24"/>
        <v/>
      </c>
      <c r="B232" s="7"/>
      <c r="C232" s="43"/>
      <c r="D232" s="106"/>
      <c r="E232" s="43"/>
      <c r="F232" s="43"/>
      <c r="G232" s="43"/>
      <c r="H232" s="107"/>
      <c r="I232" s="107"/>
      <c r="J232" s="76" t="str">
        <f>IF($C232="","",ROUND(IFERROR(INDEX(期初余额!$I$4:$I$9,MATCH($C232,期初余额!$H$4:$H$9,0)),0)+SUMIFS($H$4:$H232,$C$4:$C232,$C232)-SUMIFS($I$4:$I232,$C$4:$C232,$C232),2))</f>
        <v/>
      </c>
      <c r="K232" s="111" t="str">
        <f>IF($T232&lt;&gt;"",$T232,IF($C232="","",IF(AND(N($I232)&gt;0,$G232&lt;&gt;""),IFERROR(INDEX(科目表!$U$4:$U$123,MATCH($G232,科目表!$M$4:$M$123,0)),"管理费用"),IF(N($H232)&gt;0,IFERROR(INDEX(自动规则!$C$4:$C$40,MATCH($F232,自动规则!$B$4:$B$40,0)),"其他应收款"),IFERROR(INDEX(自动规则!$D$4:$D$40,MATCH($F232,自动规则!$B$4:$B$40,0)),"其他应付款")))))</f>
        <v/>
      </c>
      <c r="L232" s="106"/>
      <c r="M232" s="75" t="str">
        <f>IF($C232="","",IFERROR(INDEX(科目表!$T$4:$T$9,MATCH($C232,科目表!$S$4:$S$9,0)),""))</f>
        <v/>
      </c>
      <c r="N232" s="75" t="str">
        <f t="shared" si="25"/>
        <v/>
      </c>
      <c r="O232" s="76" t="str">
        <f t="shared" si="26"/>
        <v/>
      </c>
      <c r="P232" s="76" t="str">
        <f t="shared" si="27"/>
        <v/>
      </c>
      <c r="Q232" s="75" t="str">
        <f t="shared" si="28"/>
        <v/>
      </c>
      <c r="R232" s="76" t="str">
        <f t="shared" si="29"/>
        <v/>
      </c>
      <c r="S232" s="76" t="str">
        <f t="shared" si="30"/>
        <v/>
      </c>
      <c r="T232" s="43"/>
      <c r="U232" s="107"/>
      <c r="V232" s="76" t="str">
        <f t="shared" si="31"/>
        <v/>
      </c>
      <c r="W232" s="43"/>
      <c r="X232" s="43"/>
      <c r="Y232" s="74"/>
    </row>
    <row r="233" ht="18" customHeight="1" spans="1:25">
      <c r="A233" s="74" t="str">
        <f t="shared" si="24"/>
        <v/>
      </c>
      <c r="B233" s="7"/>
      <c r="C233" s="43"/>
      <c r="D233" s="106"/>
      <c r="E233" s="43"/>
      <c r="F233" s="43"/>
      <c r="G233" s="43"/>
      <c r="H233" s="107"/>
      <c r="I233" s="107"/>
      <c r="J233" s="76" t="str">
        <f>IF($C233="","",ROUND(IFERROR(INDEX(期初余额!$I$4:$I$9,MATCH($C233,期初余额!$H$4:$H$9,0)),0)+SUMIFS($H$4:$H233,$C$4:$C233,$C233)-SUMIFS($I$4:$I233,$C$4:$C233,$C233),2))</f>
        <v/>
      </c>
      <c r="K233" s="111" t="str">
        <f>IF($T233&lt;&gt;"",$T233,IF($C233="","",IF(AND(N($I233)&gt;0,$G233&lt;&gt;""),IFERROR(INDEX(科目表!$U$4:$U$123,MATCH($G233,科目表!$M$4:$M$123,0)),"管理费用"),IF(N($H233)&gt;0,IFERROR(INDEX(自动规则!$C$4:$C$40,MATCH($F233,自动规则!$B$4:$B$40,0)),"其他应收款"),IFERROR(INDEX(自动规则!$D$4:$D$40,MATCH($F233,自动规则!$B$4:$B$40,0)),"其他应付款")))))</f>
        <v/>
      </c>
      <c r="L233" s="106"/>
      <c r="M233" s="75" t="str">
        <f>IF($C233="","",IFERROR(INDEX(科目表!$T$4:$T$9,MATCH($C233,科目表!$S$4:$S$9,0)),""))</f>
        <v/>
      </c>
      <c r="N233" s="75" t="str">
        <f t="shared" si="25"/>
        <v/>
      </c>
      <c r="O233" s="76" t="str">
        <f t="shared" si="26"/>
        <v/>
      </c>
      <c r="P233" s="76" t="str">
        <f t="shared" si="27"/>
        <v/>
      </c>
      <c r="Q233" s="75" t="str">
        <f t="shared" si="28"/>
        <v/>
      </c>
      <c r="R233" s="76" t="str">
        <f t="shared" si="29"/>
        <v/>
      </c>
      <c r="S233" s="76" t="str">
        <f t="shared" si="30"/>
        <v/>
      </c>
      <c r="T233" s="43"/>
      <c r="U233" s="107"/>
      <c r="V233" s="76" t="str">
        <f t="shared" si="31"/>
        <v/>
      </c>
      <c r="W233" s="43"/>
      <c r="X233" s="43"/>
      <c r="Y233" s="74"/>
    </row>
    <row r="234" ht="18" customHeight="1" spans="1:25">
      <c r="A234" s="74" t="str">
        <f t="shared" si="24"/>
        <v/>
      </c>
      <c r="B234" s="7"/>
      <c r="C234" s="43"/>
      <c r="D234" s="106"/>
      <c r="E234" s="43"/>
      <c r="F234" s="43"/>
      <c r="G234" s="43"/>
      <c r="H234" s="107"/>
      <c r="I234" s="107"/>
      <c r="J234" s="76" t="str">
        <f>IF($C234="","",ROUND(IFERROR(INDEX(期初余额!$I$4:$I$9,MATCH($C234,期初余额!$H$4:$H$9,0)),0)+SUMIFS($H$4:$H234,$C$4:$C234,$C234)-SUMIFS($I$4:$I234,$C$4:$C234,$C234),2))</f>
        <v/>
      </c>
      <c r="K234" s="111" t="str">
        <f>IF($T234&lt;&gt;"",$T234,IF($C234="","",IF(AND(N($I234)&gt;0,$G234&lt;&gt;""),IFERROR(INDEX(科目表!$U$4:$U$123,MATCH($G234,科目表!$M$4:$M$123,0)),"管理费用"),IF(N($H234)&gt;0,IFERROR(INDEX(自动规则!$C$4:$C$40,MATCH($F234,自动规则!$B$4:$B$40,0)),"其他应收款"),IFERROR(INDEX(自动规则!$D$4:$D$40,MATCH($F234,自动规则!$B$4:$B$40,0)),"其他应付款")))))</f>
        <v/>
      </c>
      <c r="L234" s="106"/>
      <c r="M234" s="75" t="str">
        <f>IF($C234="","",IFERROR(INDEX(科目表!$T$4:$T$9,MATCH($C234,科目表!$S$4:$S$9,0)),""))</f>
        <v/>
      </c>
      <c r="N234" s="75" t="str">
        <f t="shared" si="25"/>
        <v/>
      </c>
      <c r="O234" s="76" t="str">
        <f t="shared" si="26"/>
        <v/>
      </c>
      <c r="P234" s="76" t="str">
        <f t="shared" si="27"/>
        <v/>
      </c>
      <c r="Q234" s="75" t="str">
        <f t="shared" si="28"/>
        <v/>
      </c>
      <c r="R234" s="76" t="str">
        <f t="shared" si="29"/>
        <v/>
      </c>
      <c r="S234" s="76" t="str">
        <f t="shared" si="30"/>
        <v/>
      </c>
      <c r="T234" s="43"/>
      <c r="U234" s="107"/>
      <c r="V234" s="76" t="str">
        <f t="shared" si="31"/>
        <v/>
      </c>
      <c r="W234" s="43"/>
      <c r="X234" s="43"/>
      <c r="Y234" s="74"/>
    </row>
    <row r="235" ht="18" customHeight="1" spans="1:25">
      <c r="A235" s="74" t="str">
        <f t="shared" si="24"/>
        <v/>
      </c>
      <c r="B235" s="7"/>
      <c r="C235" s="43"/>
      <c r="D235" s="106"/>
      <c r="E235" s="43"/>
      <c r="F235" s="43"/>
      <c r="G235" s="43"/>
      <c r="H235" s="107"/>
      <c r="I235" s="107"/>
      <c r="J235" s="76" t="str">
        <f>IF($C235="","",ROUND(IFERROR(INDEX(期初余额!$I$4:$I$9,MATCH($C235,期初余额!$H$4:$H$9,0)),0)+SUMIFS($H$4:$H235,$C$4:$C235,$C235)-SUMIFS($I$4:$I235,$C$4:$C235,$C235),2))</f>
        <v/>
      </c>
      <c r="K235" s="111" t="str">
        <f>IF($T235&lt;&gt;"",$T235,IF($C235="","",IF(AND(N($I235)&gt;0,$G235&lt;&gt;""),IFERROR(INDEX(科目表!$U$4:$U$123,MATCH($G235,科目表!$M$4:$M$123,0)),"管理费用"),IF(N($H235)&gt;0,IFERROR(INDEX(自动规则!$C$4:$C$40,MATCH($F235,自动规则!$B$4:$B$40,0)),"其他应收款"),IFERROR(INDEX(自动规则!$D$4:$D$40,MATCH($F235,自动规则!$B$4:$B$40,0)),"其他应付款")))))</f>
        <v/>
      </c>
      <c r="L235" s="106"/>
      <c r="M235" s="75" t="str">
        <f>IF($C235="","",IFERROR(INDEX(科目表!$T$4:$T$9,MATCH($C235,科目表!$S$4:$S$9,0)),""))</f>
        <v/>
      </c>
      <c r="N235" s="75" t="str">
        <f t="shared" si="25"/>
        <v/>
      </c>
      <c r="O235" s="76" t="str">
        <f t="shared" si="26"/>
        <v/>
      </c>
      <c r="P235" s="76" t="str">
        <f t="shared" si="27"/>
        <v/>
      </c>
      <c r="Q235" s="75" t="str">
        <f t="shared" si="28"/>
        <v/>
      </c>
      <c r="R235" s="76" t="str">
        <f t="shared" si="29"/>
        <v/>
      </c>
      <c r="S235" s="76" t="str">
        <f t="shared" si="30"/>
        <v/>
      </c>
      <c r="T235" s="43"/>
      <c r="U235" s="107"/>
      <c r="V235" s="76" t="str">
        <f t="shared" si="31"/>
        <v/>
      </c>
      <c r="W235" s="43"/>
      <c r="X235" s="43"/>
      <c r="Y235" s="74"/>
    </row>
    <row r="236" ht="18" customHeight="1" spans="1:25">
      <c r="A236" s="74" t="str">
        <f t="shared" si="24"/>
        <v/>
      </c>
      <c r="B236" s="7"/>
      <c r="C236" s="43"/>
      <c r="D236" s="106"/>
      <c r="E236" s="43"/>
      <c r="F236" s="43"/>
      <c r="G236" s="43"/>
      <c r="H236" s="107"/>
      <c r="I236" s="107"/>
      <c r="J236" s="76" t="str">
        <f>IF($C236="","",ROUND(IFERROR(INDEX(期初余额!$I$4:$I$9,MATCH($C236,期初余额!$H$4:$H$9,0)),0)+SUMIFS($H$4:$H236,$C$4:$C236,$C236)-SUMIFS($I$4:$I236,$C$4:$C236,$C236),2))</f>
        <v/>
      </c>
      <c r="K236" s="111" t="str">
        <f>IF($T236&lt;&gt;"",$T236,IF($C236="","",IF(AND(N($I236)&gt;0,$G236&lt;&gt;""),IFERROR(INDEX(科目表!$U$4:$U$123,MATCH($G236,科目表!$M$4:$M$123,0)),"管理费用"),IF(N($H236)&gt;0,IFERROR(INDEX(自动规则!$C$4:$C$40,MATCH($F236,自动规则!$B$4:$B$40,0)),"其他应收款"),IFERROR(INDEX(自动规则!$D$4:$D$40,MATCH($F236,自动规则!$B$4:$B$40,0)),"其他应付款")))))</f>
        <v/>
      </c>
      <c r="L236" s="106"/>
      <c r="M236" s="75" t="str">
        <f>IF($C236="","",IFERROR(INDEX(科目表!$T$4:$T$9,MATCH($C236,科目表!$S$4:$S$9,0)),""))</f>
        <v/>
      </c>
      <c r="N236" s="75" t="str">
        <f t="shared" si="25"/>
        <v/>
      </c>
      <c r="O236" s="76" t="str">
        <f t="shared" si="26"/>
        <v/>
      </c>
      <c r="P236" s="76" t="str">
        <f t="shared" si="27"/>
        <v/>
      </c>
      <c r="Q236" s="75" t="str">
        <f t="shared" si="28"/>
        <v/>
      </c>
      <c r="R236" s="76" t="str">
        <f t="shared" si="29"/>
        <v/>
      </c>
      <c r="S236" s="76" t="str">
        <f t="shared" si="30"/>
        <v/>
      </c>
      <c r="T236" s="43"/>
      <c r="U236" s="107"/>
      <c r="V236" s="76" t="str">
        <f t="shared" si="31"/>
        <v/>
      </c>
      <c r="W236" s="43"/>
      <c r="X236" s="43"/>
      <c r="Y236" s="74"/>
    </row>
    <row r="237" ht="18" customHeight="1" spans="1:25">
      <c r="A237" s="74" t="str">
        <f t="shared" si="24"/>
        <v/>
      </c>
      <c r="B237" s="7"/>
      <c r="C237" s="43"/>
      <c r="D237" s="106"/>
      <c r="E237" s="43"/>
      <c r="F237" s="43"/>
      <c r="G237" s="43"/>
      <c r="H237" s="107"/>
      <c r="I237" s="107"/>
      <c r="J237" s="76" t="str">
        <f>IF($C237="","",ROUND(IFERROR(INDEX(期初余额!$I$4:$I$9,MATCH($C237,期初余额!$H$4:$H$9,0)),0)+SUMIFS($H$4:$H237,$C$4:$C237,$C237)-SUMIFS($I$4:$I237,$C$4:$C237,$C237),2))</f>
        <v/>
      </c>
      <c r="K237" s="111" t="str">
        <f>IF($T237&lt;&gt;"",$T237,IF($C237="","",IF(AND(N($I237)&gt;0,$G237&lt;&gt;""),IFERROR(INDEX(科目表!$U$4:$U$123,MATCH($G237,科目表!$M$4:$M$123,0)),"管理费用"),IF(N($H237)&gt;0,IFERROR(INDEX(自动规则!$C$4:$C$40,MATCH($F237,自动规则!$B$4:$B$40,0)),"其他应收款"),IFERROR(INDEX(自动规则!$D$4:$D$40,MATCH($F237,自动规则!$B$4:$B$40,0)),"其他应付款")))))</f>
        <v/>
      </c>
      <c r="L237" s="106"/>
      <c r="M237" s="75" t="str">
        <f>IF($C237="","",IFERROR(INDEX(科目表!$T$4:$T$9,MATCH($C237,科目表!$S$4:$S$9,0)),""))</f>
        <v/>
      </c>
      <c r="N237" s="75" t="str">
        <f t="shared" si="25"/>
        <v/>
      </c>
      <c r="O237" s="76" t="str">
        <f t="shared" si="26"/>
        <v/>
      </c>
      <c r="P237" s="76" t="str">
        <f t="shared" si="27"/>
        <v/>
      </c>
      <c r="Q237" s="75" t="str">
        <f t="shared" si="28"/>
        <v/>
      </c>
      <c r="R237" s="76" t="str">
        <f t="shared" si="29"/>
        <v/>
      </c>
      <c r="S237" s="76" t="str">
        <f t="shared" si="30"/>
        <v/>
      </c>
      <c r="T237" s="43"/>
      <c r="U237" s="107"/>
      <c r="V237" s="76" t="str">
        <f t="shared" si="31"/>
        <v/>
      </c>
      <c r="W237" s="43"/>
      <c r="X237" s="43"/>
      <c r="Y237" s="74"/>
    </row>
    <row r="238" ht="18" customHeight="1" spans="1:25">
      <c r="A238" s="74" t="str">
        <f t="shared" si="24"/>
        <v/>
      </c>
      <c r="B238" s="7"/>
      <c r="C238" s="43"/>
      <c r="D238" s="106"/>
      <c r="E238" s="43"/>
      <c r="F238" s="43"/>
      <c r="G238" s="43"/>
      <c r="H238" s="107"/>
      <c r="I238" s="107"/>
      <c r="J238" s="76" t="str">
        <f>IF($C238="","",ROUND(IFERROR(INDEX(期初余额!$I$4:$I$9,MATCH($C238,期初余额!$H$4:$H$9,0)),0)+SUMIFS($H$4:$H238,$C$4:$C238,$C238)-SUMIFS($I$4:$I238,$C$4:$C238,$C238),2))</f>
        <v/>
      </c>
      <c r="K238" s="111" t="str">
        <f>IF($T238&lt;&gt;"",$T238,IF($C238="","",IF(AND(N($I238)&gt;0,$G238&lt;&gt;""),IFERROR(INDEX(科目表!$U$4:$U$123,MATCH($G238,科目表!$M$4:$M$123,0)),"管理费用"),IF(N($H238)&gt;0,IFERROR(INDEX(自动规则!$C$4:$C$40,MATCH($F238,自动规则!$B$4:$B$40,0)),"其他应收款"),IFERROR(INDEX(自动规则!$D$4:$D$40,MATCH($F238,自动规则!$B$4:$B$40,0)),"其他应付款")))))</f>
        <v/>
      </c>
      <c r="L238" s="106"/>
      <c r="M238" s="75" t="str">
        <f>IF($C238="","",IFERROR(INDEX(科目表!$T$4:$T$9,MATCH($C238,科目表!$S$4:$S$9,0)),""))</f>
        <v/>
      </c>
      <c r="N238" s="75" t="str">
        <f t="shared" si="25"/>
        <v/>
      </c>
      <c r="O238" s="76" t="str">
        <f t="shared" si="26"/>
        <v/>
      </c>
      <c r="P238" s="76" t="str">
        <f t="shared" si="27"/>
        <v/>
      </c>
      <c r="Q238" s="75" t="str">
        <f t="shared" si="28"/>
        <v/>
      </c>
      <c r="R238" s="76" t="str">
        <f t="shared" si="29"/>
        <v/>
      </c>
      <c r="S238" s="76" t="str">
        <f t="shared" si="30"/>
        <v/>
      </c>
      <c r="T238" s="43"/>
      <c r="U238" s="107"/>
      <c r="V238" s="76" t="str">
        <f t="shared" si="31"/>
        <v/>
      </c>
      <c r="W238" s="43"/>
      <c r="X238" s="43"/>
      <c r="Y238" s="74"/>
    </row>
    <row r="239" ht="18" customHeight="1" spans="1:25">
      <c r="A239" s="74" t="str">
        <f t="shared" si="24"/>
        <v/>
      </c>
      <c r="B239" s="7"/>
      <c r="C239" s="43"/>
      <c r="D239" s="106"/>
      <c r="E239" s="43"/>
      <c r="F239" s="43"/>
      <c r="G239" s="43"/>
      <c r="H239" s="107"/>
      <c r="I239" s="107"/>
      <c r="J239" s="76" t="str">
        <f>IF($C239="","",ROUND(IFERROR(INDEX(期初余额!$I$4:$I$9,MATCH($C239,期初余额!$H$4:$H$9,0)),0)+SUMIFS($H$4:$H239,$C$4:$C239,$C239)-SUMIFS($I$4:$I239,$C$4:$C239,$C239),2))</f>
        <v/>
      </c>
      <c r="K239" s="111" t="str">
        <f>IF($T239&lt;&gt;"",$T239,IF($C239="","",IF(AND(N($I239)&gt;0,$G239&lt;&gt;""),IFERROR(INDEX(科目表!$U$4:$U$123,MATCH($G239,科目表!$M$4:$M$123,0)),"管理费用"),IF(N($H239)&gt;0,IFERROR(INDEX(自动规则!$C$4:$C$40,MATCH($F239,自动规则!$B$4:$B$40,0)),"其他应收款"),IFERROR(INDEX(自动规则!$D$4:$D$40,MATCH($F239,自动规则!$B$4:$B$40,0)),"其他应付款")))))</f>
        <v/>
      </c>
      <c r="L239" s="106"/>
      <c r="M239" s="75" t="str">
        <f>IF($C239="","",IFERROR(INDEX(科目表!$T$4:$T$9,MATCH($C239,科目表!$S$4:$S$9,0)),""))</f>
        <v/>
      </c>
      <c r="N239" s="75" t="str">
        <f t="shared" si="25"/>
        <v/>
      </c>
      <c r="O239" s="76" t="str">
        <f t="shared" si="26"/>
        <v/>
      </c>
      <c r="P239" s="76" t="str">
        <f t="shared" si="27"/>
        <v/>
      </c>
      <c r="Q239" s="75" t="str">
        <f t="shared" si="28"/>
        <v/>
      </c>
      <c r="R239" s="76" t="str">
        <f t="shared" si="29"/>
        <v/>
      </c>
      <c r="S239" s="76" t="str">
        <f t="shared" si="30"/>
        <v/>
      </c>
      <c r="T239" s="43"/>
      <c r="U239" s="107"/>
      <c r="V239" s="76" t="str">
        <f t="shared" si="31"/>
        <v/>
      </c>
      <c r="W239" s="43"/>
      <c r="X239" s="43"/>
      <c r="Y239" s="74"/>
    </row>
    <row r="240" ht="18" customHeight="1" spans="1:25">
      <c r="A240" s="74" t="str">
        <f t="shared" si="24"/>
        <v/>
      </c>
      <c r="B240" s="7"/>
      <c r="C240" s="43"/>
      <c r="D240" s="106"/>
      <c r="E240" s="43"/>
      <c r="F240" s="43"/>
      <c r="G240" s="43"/>
      <c r="H240" s="107"/>
      <c r="I240" s="107"/>
      <c r="J240" s="76" t="str">
        <f>IF($C240="","",ROUND(IFERROR(INDEX(期初余额!$I$4:$I$9,MATCH($C240,期初余额!$H$4:$H$9,0)),0)+SUMIFS($H$4:$H240,$C$4:$C240,$C240)-SUMIFS($I$4:$I240,$C$4:$C240,$C240),2))</f>
        <v/>
      </c>
      <c r="K240" s="111" t="str">
        <f>IF($T240&lt;&gt;"",$T240,IF($C240="","",IF(AND(N($I240)&gt;0,$G240&lt;&gt;""),IFERROR(INDEX(科目表!$U$4:$U$123,MATCH($G240,科目表!$M$4:$M$123,0)),"管理费用"),IF(N($H240)&gt;0,IFERROR(INDEX(自动规则!$C$4:$C$40,MATCH($F240,自动规则!$B$4:$B$40,0)),"其他应收款"),IFERROR(INDEX(自动规则!$D$4:$D$40,MATCH($F240,自动规则!$B$4:$B$40,0)),"其他应付款")))))</f>
        <v/>
      </c>
      <c r="L240" s="106"/>
      <c r="M240" s="75" t="str">
        <f>IF($C240="","",IFERROR(INDEX(科目表!$T$4:$T$9,MATCH($C240,科目表!$S$4:$S$9,0)),""))</f>
        <v/>
      </c>
      <c r="N240" s="75" t="str">
        <f t="shared" si="25"/>
        <v/>
      </c>
      <c r="O240" s="76" t="str">
        <f t="shared" si="26"/>
        <v/>
      </c>
      <c r="P240" s="76" t="str">
        <f t="shared" si="27"/>
        <v/>
      </c>
      <c r="Q240" s="75" t="str">
        <f t="shared" si="28"/>
        <v/>
      </c>
      <c r="R240" s="76" t="str">
        <f t="shared" si="29"/>
        <v/>
      </c>
      <c r="S240" s="76" t="str">
        <f t="shared" si="30"/>
        <v/>
      </c>
      <c r="T240" s="43"/>
      <c r="U240" s="107"/>
      <c r="V240" s="76" t="str">
        <f t="shared" si="31"/>
        <v/>
      </c>
      <c r="W240" s="43"/>
      <c r="X240" s="43"/>
      <c r="Y240" s="74"/>
    </row>
    <row r="241" ht="18" customHeight="1" spans="1:25">
      <c r="A241" s="74" t="str">
        <f t="shared" si="24"/>
        <v/>
      </c>
      <c r="B241" s="7"/>
      <c r="C241" s="43"/>
      <c r="D241" s="106"/>
      <c r="E241" s="43"/>
      <c r="F241" s="43"/>
      <c r="G241" s="43"/>
      <c r="H241" s="107"/>
      <c r="I241" s="107"/>
      <c r="J241" s="76" t="str">
        <f>IF($C241="","",ROUND(IFERROR(INDEX(期初余额!$I$4:$I$9,MATCH($C241,期初余额!$H$4:$H$9,0)),0)+SUMIFS($H$4:$H241,$C$4:$C241,$C241)-SUMIFS($I$4:$I241,$C$4:$C241,$C241),2))</f>
        <v/>
      </c>
      <c r="K241" s="111" t="str">
        <f>IF($T241&lt;&gt;"",$T241,IF($C241="","",IF(AND(N($I241)&gt;0,$G241&lt;&gt;""),IFERROR(INDEX(科目表!$U$4:$U$123,MATCH($G241,科目表!$M$4:$M$123,0)),"管理费用"),IF(N($H241)&gt;0,IFERROR(INDEX(自动规则!$C$4:$C$40,MATCH($F241,自动规则!$B$4:$B$40,0)),"其他应收款"),IFERROR(INDEX(自动规则!$D$4:$D$40,MATCH($F241,自动规则!$B$4:$B$40,0)),"其他应付款")))))</f>
        <v/>
      </c>
      <c r="L241" s="106"/>
      <c r="M241" s="75" t="str">
        <f>IF($C241="","",IFERROR(INDEX(科目表!$T$4:$T$9,MATCH($C241,科目表!$S$4:$S$9,0)),""))</f>
        <v/>
      </c>
      <c r="N241" s="75" t="str">
        <f t="shared" si="25"/>
        <v/>
      </c>
      <c r="O241" s="76" t="str">
        <f t="shared" si="26"/>
        <v/>
      </c>
      <c r="P241" s="76" t="str">
        <f t="shared" si="27"/>
        <v/>
      </c>
      <c r="Q241" s="75" t="str">
        <f t="shared" si="28"/>
        <v/>
      </c>
      <c r="R241" s="76" t="str">
        <f t="shared" si="29"/>
        <v/>
      </c>
      <c r="S241" s="76" t="str">
        <f t="shared" si="30"/>
        <v/>
      </c>
      <c r="T241" s="43"/>
      <c r="U241" s="107"/>
      <c r="V241" s="76" t="str">
        <f t="shared" si="31"/>
        <v/>
      </c>
      <c r="W241" s="43"/>
      <c r="X241" s="43"/>
      <c r="Y241" s="74"/>
    </row>
    <row r="242" ht="18" customHeight="1" spans="1:25">
      <c r="A242" s="74" t="str">
        <f t="shared" si="24"/>
        <v/>
      </c>
      <c r="B242" s="7"/>
      <c r="C242" s="43"/>
      <c r="D242" s="106"/>
      <c r="E242" s="43"/>
      <c r="F242" s="43"/>
      <c r="G242" s="43"/>
      <c r="H242" s="107"/>
      <c r="I242" s="107"/>
      <c r="J242" s="76" t="str">
        <f>IF($C242="","",ROUND(IFERROR(INDEX(期初余额!$I$4:$I$9,MATCH($C242,期初余额!$H$4:$H$9,0)),0)+SUMIFS($H$4:$H242,$C$4:$C242,$C242)-SUMIFS($I$4:$I242,$C$4:$C242,$C242),2))</f>
        <v/>
      </c>
      <c r="K242" s="111" t="str">
        <f>IF($T242&lt;&gt;"",$T242,IF($C242="","",IF(AND(N($I242)&gt;0,$G242&lt;&gt;""),IFERROR(INDEX(科目表!$U$4:$U$123,MATCH($G242,科目表!$M$4:$M$123,0)),"管理费用"),IF(N($H242)&gt;0,IFERROR(INDEX(自动规则!$C$4:$C$40,MATCH($F242,自动规则!$B$4:$B$40,0)),"其他应收款"),IFERROR(INDEX(自动规则!$D$4:$D$40,MATCH($F242,自动规则!$B$4:$B$40,0)),"其他应付款")))))</f>
        <v/>
      </c>
      <c r="L242" s="106"/>
      <c r="M242" s="75" t="str">
        <f>IF($C242="","",IFERROR(INDEX(科目表!$T$4:$T$9,MATCH($C242,科目表!$S$4:$S$9,0)),""))</f>
        <v/>
      </c>
      <c r="N242" s="75" t="str">
        <f t="shared" si="25"/>
        <v/>
      </c>
      <c r="O242" s="76" t="str">
        <f t="shared" si="26"/>
        <v/>
      </c>
      <c r="P242" s="76" t="str">
        <f t="shared" si="27"/>
        <v/>
      </c>
      <c r="Q242" s="75" t="str">
        <f t="shared" si="28"/>
        <v/>
      </c>
      <c r="R242" s="76" t="str">
        <f t="shared" si="29"/>
        <v/>
      </c>
      <c r="S242" s="76" t="str">
        <f t="shared" si="30"/>
        <v/>
      </c>
      <c r="T242" s="43"/>
      <c r="U242" s="107"/>
      <c r="V242" s="76" t="str">
        <f t="shared" si="31"/>
        <v/>
      </c>
      <c r="W242" s="43"/>
      <c r="X242" s="43"/>
      <c r="Y242" s="74"/>
    </row>
    <row r="243" ht="18" customHeight="1" spans="1:25">
      <c r="A243" s="74" t="str">
        <f t="shared" si="24"/>
        <v/>
      </c>
      <c r="B243" s="7"/>
      <c r="C243" s="43"/>
      <c r="D243" s="106"/>
      <c r="E243" s="43"/>
      <c r="F243" s="43"/>
      <c r="G243" s="43"/>
      <c r="H243" s="107"/>
      <c r="I243" s="107"/>
      <c r="J243" s="76" t="str">
        <f>IF($C243="","",ROUND(IFERROR(INDEX(期初余额!$I$4:$I$9,MATCH($C243,期初余额!$H$4:$H$9,0)),0)+SUMIFS($H$4:$H243,$C$4:$C243,$C243)-SUMIFS($I$4:$I243,$C$4:$C243,$C243),2))</f>
        <v/>
      </c>
      <c r="K243" s="111" t="str">
        <f>IF($T243&lt;&gt;"",$T243,IF($C243="","",IF(AND(N($I243)&gt;0,$G243&lt;&gt;""),IFERROR(INDEX(科目表!$U$4:$U$123,MATCH($G243,科目表!$M$4:$M$123,0)),"管理费用"),IF(N($H243)&gt;0,IFERROR(INDEX(自动规则!$C$4:$C$40,MATCH($F243,自动规则!$B$4:$B$40,0)),"其他应收款"),IFERROR(INDEX(自动规则!$D$4:$D$40,MATCH($F243,自动规则!$B$4:$B$40,0)),"其他应付款")))))</f>
        <v/>
      </c>
      <c r="L243" s="106"/>
      <c r="M243" s="75" t="str">
        <f>IF($C243="","",IFERROR(INDEX(科目表!$T$4:$T$9,MATCH($C243,科目表!$S$4:$S$9,0)),""))</f>
        <v/>
      </c>
      <c r="N243" s="75" t="str">
        <f t="shared" si="25"/>
        <v/>
      </c>
      <c r="O243" s="76" t="str">
        <f t="shared" si="26"/>
        <v/>
      </c>
      <c r="P243" s="76" t="str">
        <f t="shared" si="27"/>
        <v/>
      </c>
      <c r="Q243" s="75" t="str">
        <f t="shared" si="28"/>
        <v/>
      </c>
      <c r="R243" s="76" t="str">
        <f t="shared" si="29"/>
        <v/>
      </c>
      <c r="S243" s="76" t="str">
        <f t="shared" si="30"/>
        <v/>
      </c>
      <c r="T243" s="43"/>
      <c r="U243" s="107"/>
      <c r="V243" s="76" t="str">
        <f t="shared" si="31"/>
        <v/>
      </c>
      <c r="W243" s="43"/>
      <c r="X243" s="43"/>
      <c r="Y243" s="74"/>
    </row>
    <row r="244" ht="18" customHeight="1" spans="1:25">
      <c r="A244" s="74" t="str">
        <f t="shared" si="24"/>
        <v/>
      </c>
      <c r="B244" s="7"/>
      <c r="C244" s="43"/>
      <c r="D244" s="106"/>
      <c r="E244" s="43"/>
      <c r="F244" s="43"/>
      <c r="G244" s="43"/>
      <c r="H244" s="107"/>
      <c r="I244" s="107"/>
      <c r="J244" s="76" t="str">
        <f>IF($C244="","",ROUND(IFERROR(INDEX(期初余额!$I$4:$I$9,MATCH($C244,期初余额!$H$4:$H$9,0)),0)+SUMIFS($H$4:$H244,$C$4:$C244,$C244)-SUMIFS($I$4:$I244,$C$4:$C244,$C244),2))</f>
        <v/>
      </c>
      <c r="K244" s="111" t="str">
        <f>IF($T244&lt;&gt;"",$T244,IF($C244="","",IF(AND(N($I244)&gt;0,$G244&lt;&gt;""),IFERROR(INDEX(科目表!$U$4:$U$123,MATCH($G244,科目表!$M$4:$M$123,0)),"管理费用"),IF(N($H244)&gt;0,IFERROR(INDEX(自动规则!$C$4:$C$40,MATCH($F244,自动规则!$B$4:$B$40,0)),"其他应收款"),IFERROR(INDEX(自动规则!$D$4:$D$40,MATCH($F244,自动规则!$B$4:$B$40,0)),"其他应付款")))))</f>
        <v/>
      </c>
      <c r="L244" s="106"/>
      <c r="M244" s="75" t="str">
        <f>IF($C244="","",IFERROR(INDEX(科目表!$T$4:$T$9,MATCH($C244,科目表!$S$4:$S$9,0)),""))</f>
        <v/>
      </c>
      <c r="N244" s="75" t="str">
        <f t="shared" si="25"/>
        <v/>
      </c>
      <c r="O244" s="76" t="str">
        <f t="shared" si="26"/>
        <v/>
      </c>
      <c r="P244" s="76" t="str">
        <f t="shared" si="27"/>
        <v/>
      </c>
      <c r="Q244" s="75" t="str">
        <f t="shared" si="28"/>
        <v/>
      </c>
      <c r="R244" s="76" t="str">
        <f t="shared" si="29"/>
        <v/>
      </c>
      <c r="S244" s="76" t="str">
        <f t="shared" si="30"/>
        <v/>
      </c>
      <c r="T244" s="43"/>
      <c r="U244" s="107"/>
      <c r="V244" s="76" t="str">
        <f t="shared" si="31"/>
        <v/>
      </c>
      <c r="W244" s="43"/>
      <c r="X244" s="43"/>
      <c r="Y244" s="74"/>
    </row>
    <row r="245" ht="18" customHeight="1" spans="1:25">
      <c r="A245" s="74" t="str">
        <f t="shared" si="24"/>
        <v/>
      </c>
      <c r="B245" s="7"/>
      <c r="C245" s="43"/>
      <c r="D245" s="106"/>
      <c r="E245" s="43"/>
      <c r="F245" s="43"/>
      <c r="G245" s="43"/>
      <c r="H245" s="107"/>
      <c r="I245" s="107"/>
      <c r="J245" s="76" t="str">
        <f>IF($C245="","",ROUND(IFERROR(INDEX(期初余额!$I$4:$I$9,MATCH($C245,期初余额!$H$4:$H$9,0)),0)+SUMIFS($H$4:$H245,$C$4:$C245,$C245)-SUMIFS($I$4:$I245,$C$4:$C245,$C245),2))</f>
        <v/>
      </c>
      <c r="K245" s="111" t="str">
        <f>IF($T245&lt;&gt;"",$T245,IF($C245="","",IF(AND(N($I245)&gt;0,$G245&lt;&gt;""),IFERROR(INDEX(科目表!$U$4:$U$123,MATCH($G245,科目表!$M$4:$M$123,0)),"管理费用"),IF(N($H245)&gt;0,IFERROR(INDEX(自动规则!$C$4:$C$40,MATCH($F245,自动规则!$B$4:$B$40,0)),"其他应收款"),IFERROR(INDEX(自动规则!$D$4:$D$40,MATCH($F245,自动规则!$B$4:$B$40,0)),"其他应付款")))))</f>
        <v/>
      </c>
      <c r="L245" s="106"/>
      <c r="M245" s="75" t="str">
        <f>IF($C245="","",IFERROR(INDEX(科目表!$T$4:$T$9,MATCH($C245,科目表!$S$4:$S$9,0)),""))</f>
        <v/>
      </c>
      <c r="N245" s="75" t="str">
        <f t="shared" si="25"/>
        <v/>
      </c>
      <c r="O245" s="76" t="str">
        <f t="shared" si="26"/>
        <v/>
      </c>
      <c r="P245" s="76" t="str">
        <f t="shared" si="27"/>
        <v/>
      </c>
      <c r="Q245" s="75" t="str">
        <f t="shared" si="28"/>
        <v/>
      </c>
      <c r="R245" s="76" t="str">
        <f t="shared" si="29"/>
        <v/>
      </c>
      <c r="S245" s="76" t="str">
        <f t="shared" si="30"/>
        <v/>
      </c>
      <c r="T245" s="43"/>
      <c r="U245" s="107"/>
      <c r="V245" s="76" t="str">
        <f t="shared" si="31"/>
        <v/>
      </c>
      <c r="W245" s="43"/>
      <c r="X245" s="43"/>
      <c r="Y245" s="74"/>
    </row>
    <row r="246" ht="18" customHeight="1" spans="1:25">
      <c r="A246" s="74" t="str">
        <f t="shared" si="24"/>
        <v/>
      </c>
      <c r="B246" s="7"/>
      <c r="C246" s="43"/>
      <c r="D246" s="106"/>
      <c r="E246" s="43"/>
      <c r="F246" s="43"/>
      <c r="G246" s="43"/>
      <c r="H246" s="107"/>
      <c r="I246" s="107"/>
      <c r="J246" s="76" t="str">
        <f>IF($C246="","",ROUND(IFERROR(INDEX(期初余额!$I$4:$I$9,MATCH($C246,期初余额!$H$4:$H$9,0)),0)+SUMIFS($H$4:$H246,$C$4:$C246,$C246)-SUMIFS($I$4:$I246,$C$4:$C246,$C246),2))</f>
        <v/>
      </c>
      <c r="K246" s="111" t="str">
        <f>IF($T246&lt;&gt;"",$T246,IF($C246="","",IF(AND(N($I246)&gt;0,$G246&lt;&gt;""),IFERROR(INDEX(科目表!$U$4:$U$123,MATCH($G246,科目表!$M$4:$M$123,0)),"管理费用"),IF(N($H246)&gt;0,IFERROR(INDEX(自动规则!$C$4:$C$40,MATCH($F246,自动规则!$B$4:$B$40,0)),"其他应收款"),IFERROR(INDEX(自动规则!$D$4:$D$40,MATCH($F246,自动规则!$B$4:$B$40,0)),"其他应付款")))))</f>
        <v/>
      </c>
      <c r="L246" s="106"/>
      <c r="M246" s="75" t="str">
        <f>IF($C246="","",IFERROR(INDEX(科目表!$T$4:$T$9,MATCH($C246,科目表!$S$4:$S$9,0)),""))</f>
        <v/>
      </c>
      <c r="N246" s="75" t="str">
        <f t="shared" si="25"/>
        <v/>
      </c>
      <c r="O246" s="76" t="str">
        <f t="shared" si="26"/>
        <v/>
      </c>
      <c r="P246" s="76" t="str">
        <f t="shared" si="27"/>
        <v/>
      </c>
      <c r="Q246" s="75" t="str">
        <f t="shared" si="28"/>
        <v/>
      </c>
      <c r="R246" s="76" t="str">
        <f t="shared" si="29"/>
        <v/>
      </c>
      <c r="S246" s="76" t="str">
        <f t="shared" si="30"/>
        <v/>
      </c>
      <c r="T246" s="43"/>
      <c r="U246" s="107"/>
      <c r="V246" s="76" t="str">
        <f t="shared" si="31"/>
        <v/>
      </c>
      <c r="W246" s="43"/>
      <c r="X246" s="43"/>
      <c r="Y246" s="74"/>
    </row>
    <row r="247" ht="18" customHeight="1" spans="1:25">
      <c r="A247" s="74" t="str">
        <f t="shared" si="24"/>
        <v/>
      </c>
      <c r="B247" s="7"/>
      <c r="C247" s="43"/>
      <c r="D247" s="106"/>
      <c r="E247" s="43"/>
      <c r="F247" s="43"/>
      <c r="G247" s="43"/>
      <c r="H247" s="107"/>
      <c r="I247" s="107"/>
      <c r="J247" s="76" t="str">
        <f>IF($C247="","",ROUND(IFERROR(INDEX(期初余额!$I$4:$I$9,MATCH($C247,期初余额!$H$4:$H$9,0)),0)+SUMIFS($H$4:$H247,$C$4:$C247,$C247)-SUMIFS($I$4:$I247,$C$4:$C247,$C247),2))</f>
        <v/>
      </c>
      <c r="K247" s="111" t="str">
        <f>IF($T247&lt;&gt;"",$T247,IF($C247="","",IF(AND(N($I247)&gt;0,$G247&lt;&gt;""),IFERROR(INDEX(科目表!$U$4:$U$123,MATCH($G247,科目表!$M$4:$M$123,0)),"管理费用"),IF(N($H247)&gt;0,IFERROR(INDEX(自动规则!$C$4:$C$40,MATCH($F247,自动规则!$B$4:$B$40,0)),"其他应收款"),IFERROR(INDEX(自动规则!$D$4:$D$40,MATCH($F247,自动规则!$B$4:$B$40,0)),"其他应付款")))))</f>
        <v/>
      </c>
      <c r="L247" s="106"/>
      <c r="M247" s="75" t="str">
        <f>IF($C247="","",IFERROR(INDEX(科目表!$T$4:$T$9,MATCH($C247,科目表!$S$4:$S$9,0)),""))</f>
        <v/>
      </c>
      <c r="N247" s="75" t="str">
        <f t="shared" si="25"/>
        <v/>
      </c>
      <c r="O247" s="76" t="str">
        <f t="shared" si="26"/>
        <v/>
      </c>
      <c r="P247" s="76" t="str">
        <f t="shared" si="27"/>
        <v/>
      </c>
      <c r="Q247" s="75" t="str">
        <f t="shared" si="28"/>
        <v/>
      </c>
      <c r="R247" s="76" t="str">
        <f t="shared" si="29"/>
        <v/>
      </c>
      <c r="S247" s="76" t="str">
        <f t="shared" si="30"/>
        <v/>
      </c>
      <c r="T247" s="43"/>
      <c r="U247" s="107"/>
      <c r="V247" s="76" t="str">
        <f t="shared" si="31"/>
        <v/>
      </c>
      <c r="W247" s="43"/>
      <c r="X247" s="43"/>
      <c r="Y247" s="74"/>
    </row>
    <row r="248" ht="18" customHeight="1" spans="1:25">
      <c r="A248" s="74" t="str">
        <f t="shared" si="24"/>
        <v/>
      </c>
      <c r="B248" s="7"/>
      <c r="C248" s="43"/>
      <c r="D248" s="106"/>
      <c r="E248" s="43"/>
      <c r="F248" s="43"/>
      <c r="G248" s="43"/>
      <c r="H248" s="107"/>
      <c r="I248" s="107"/>
      <c r="J248" s="76" t="str">
        <f>IF($C248="","",ROUND(IFERROR(INDEX(期初余额!$I$4:$I$9,MATCH($C248,期初余额!$H$4:$H$9,0)),0)+SUMIFS($H$4:$H248,$C$4:$C248,$C248)-SUMIFS($I$4:$I248,$C$4:$C248,$C248),2))</f>
        <v/>
      </c>
      <c r="K248" s="111" t="str">
        <f>IF($T248&lt;&gt;"",$T248,IF($C248="","",IF(AND(N($I248)&gt;0,$G248&lt;&gt;""),IFERROR(INDEX(科目表!$U$4:$U$123,MATCH($G248,科目表!$M$4:$M$123,0)),"管理费用"),IF(N($H248)&gt;0,IFERROR(INDEX(自动规则!$C$4:$C$40,MATCH($F248,自动规则!$B$4:$B$40,0)),"其他应收款"),IFERROR(INDEX(自动规则!$D$4:$D$40,MATCH($F248,自动规则!$B$4:$B$40,0)),"其他应付款")))))</f>
        <v/>
      </c>
      <c r="L248" s="106"/>
      <c r="M248" s="75" t="str">
        <f>IF($C248="","",IFERROR(INDEX(科目表!$T$4:$T$9,MATCH($C248,科目表!$S$4:$S$9,0)),""))</f>
        <v/>
      </c>
      <c r="N248" s="75" t="str">
        <f t="shared" si="25"/>
        <v/>
      </c>
      <c r="O248" s="76" t="str">
        <f t="shared" si="26"/>
        <v/>
      </c>
      <c r="P248" s="76" t="str">
        <f t="shared" si="27"/>
        <v/>
      </c>
      <c r="Q248" s="75" t="str">
        <f t="shared" si="28"/>
        <v/>
      </c>
      <c r="R248" s="76" t="str">
        <f t="shared" si="29"/>
        <v/>
      </c>
      <c r="S248" s="76" t="str">
        <f t="shared" si="30"/>
        <v/>
      </c>
      <c r="T248" s="43"/>
      <c r="U248" s="107"/>
      <c r="V248" s="76" t="str">
        <f t="shared" si="31"/>
        <v/>
      </c>
      <c r="W248" s="43"/>
      <c r="X248" s="43"/>
      <c r="Y248" s="74"/>
    </row>
    <row r="249" ht="18" customHeight="1" spans="1:25">
      <c r="A249" s="74" t="str">
        <f t="shared" si="24"/>
        <v/>
      </c>
      <c r="B249" s="7"/>
      <c r="C249" s="43"/>
      <c r="D249" s="106"/>
      <c r="E249" s="43"/>
      <c r="F249" s="43"/>
      <c r="G249" s="43"/>
      <c r="H249" s="107"/>
      <c r="I249" s="107"/>
      <c r="J249" s="76" t="str">
        <f>IF($C249="","",ROUND(IFERROR(INDEX(期初余额!$I$4:$I$9,MATCH($C249,期初余额!$H$4:$H$9,0)),0)+SUMIFS($H$4:$H249,$C$4:$C249,$C249)-SUMIFS($I$4:$I249,$C$4:$C249,$C249),2))</f>
        <v/>
      </c>
      <c r="K249" s="111" t="str">
        <f>IF($T249&lt;&gt;"",$T249,IF($C249="","",IF(AND(N($I249)&gt;0,$G249&lt;&gt;""),IFERROR(INDEX(科目表!$U$4:$U$123,MATCH($G249,科目表!$M$4:$M$123,0)),"管理费用"),IF(N($H249)&gt;0,IFERROR(INDEX(自动规则!$C$4:$C$40,MATCH($F249,自动规则!$B$4:$B$40,0)),"其他应收款"),IFERROR(INDEX(自动规则!$D$4:$D$40,MATCH($F249,自动规则!$B$4:$B$40,0)),"其他应付款")))))</f>
        <v/>
      </c>
      <c r="L249" s="106"/>
      <c r="M249" s="75" t="str">
        <f>IF($C249="","",IFERROR(INDEX(科目表!$T$4:$T$9,MATCH($C249,科目表!$S$4:$S$9,0)),""))</f>
        <v/>
      </c>
      <c r="N249" s="75" t="str">
        <f t="shared" si="25"/>
        <v/>
      </c>
      <c r="O249" s="76" t="str">
        <f t="shared" si="26"/>
        <v/>
      </c>
      <c r="P249" s="76" t="str">
        <f t="shared" si="27"/>
        <v/>
      </c>
      <c r="Q249" s="75" t="str">
        <f t="shared" si="28"/>
        <v/>
      </c>
      <c r="R249" s="76" t="str">
        <f t="shared" si="29"/>
        <v/>
      </c>
      <c r="S249" s="76" t="str">
        <f t="shared" si="30"/>
        <v/>
      </c>
      <c r="T249" s="43"/>
      <c r="U249" s="107"/>
      <c r="V249" s="76" t="str">
        <f t="shared" si="31"/>
        <v/>
      </c>
      <c r="W249" s="43"/>
      <c r="X249" s="43"/>
      <c r="Y249" s="74"/>
    </row>
    <row r="250" ht="18" customHeight="1" spans="1:25">
      <c r="A250" s="74" t="str">
        <f t="shared" si="24"/>
        <v/>
      </c>
      <c r="B250" s="7"/>
      <c r="C250" s="43"/>
      <c r="D250" s="106"/>
      <c r="E250" s="43"/>
      <c r="F250" s="43"/>
      <c r="G250" s="43"/>
      <c r="H250" s="107"/>
      <c r="I250" s="107"/>
      <c r="J250" s="76" t="str">
        <f>IF($C250="","",ROUND(IFERROR(INDEX(期初余额!$I$4:$I$9,MATCH($C250,期初余额!$H$4:$H$9,0)),0)+SUMIFS($H$4:$H250,$C$4:$C250,$C250)-SUMIFS($I$4:$I250,$C$4:$C250,$C250),2))</f>
        <v/>
      </c>
      <c r="K250" s="111" t="str">
        <f>IF($T250&lt;&gt;"",$T250,IF($C250="","",IF(AND(N($I250)&gt;0,$G250&lt;&gt;""),IFERROR(INDEX(科目表!$U$4:$U$123,MATCH($G250,科目表!$M$4:$M$123,0)),"管理费用"),IF(N($H250)&gt;0,IFERROR(INDEX(自动规则!$C$4:$C$40,MATCH($F250,自动规则!$B$4:$B$40,0)),"其他应收款"),IFERROR(INDEX(自动规则!$D$4:$D$40,MATCH($F250,自动规则!$B$4:$B$40,0)),"其他应付款")))))</f>
        <v/>
      </c>
      <c r="L250" s="106"/>
      <c r="M250" s="75" t="str">
        <f>IF($C250="","",IFERROR(INDEX(科目表!$T$4:$T$9,MATCH($C250,科目表!$S$4:$S$9,0)),""))</f>
        <v/>
      </c>
      <c r="N250" s="75" t="str">
        <f t="shared" si="25"/>
        <v/>
      </c>
      <c r="O250" s="76" t="str">
        <f t="shared" si="26"/>
        <v/>
      </c>
      <c r="P250" s="76" t="str">
        <f t="shared" si="27"/>
        <v/>
      </c>
      <c r="Q250" s="75" t="str">
        <f t="shared" si="28"/>
        <v/>
      </c>
      <c r="R250" s="76" t="str">
        <f t="shared" si="29"/>
        <v/>
      </c>
      <c r="S250" s="76" t="str">
        <f t="shared" si="30"/>
        <v/>
      </c>
      <c r="T250" s="43"/>
      <c r="U250" s="107"/>
      <c r="V250" s="76" t="str">
        <f t="shared" si="31"/>
        <v/>
      </c>
      <c r="W250" s="43"/>
      <c r="X250" s="43"/>
      <c r="Y250" s="74"/>
    </row>
    <row r="251" ht="18" customHeight="1" spans="1:25">
      <c r="A251" s="74" t="str">
        <f t="shared" si="24"/>
        <v/>
      </c>
      <c r="B251" s="7"/>
      <c r="C251" s="43"/>
      <c r="D251" s="106"/>
      <c r="E251" s="43"/>
      <c r="F251" s="43"/>
      <c r="G251" s="43"/>
      <c r="H251" s="107"/>
      <c r="I251" s="107"/>
      <c r="J251" s="76" t="str">
        <f>IF($C251="","",ROUND(IFERROR(INDEX(期初余额!$I$4:$I$9,MATCH($C251,期初余额!$H$4:$H$9,0)),0)+SUMIFS($H$4:$H251,$C$4:$C251,$C251)-SUMIFS($I$4:$I251,$C$4:$C251,$C251),2))</f>
        <v/>
      </c>
      <c r="K251" s="111" t="str">
        <f>IF($T251&lt;&gt;"",$T251,IF($C251="","",IF(AND(N($I251)&gt;0,$G251&lt;&gt;""),IFERROR(INDEX(科目表!$U$4:$U$123,MATCH($G251,科目表!$M$4:$M$123,0)),"管理费用"),IF(N($H251)&gt;0,IFERROR(INDEX(自动规则!$C$4:$C$40,MATCH($F251,自动规则!$B$4:$B$40,0)),"其他应收款"),IFERROR(INDEX(自动规则!$D$4:$D$40,MATCH($F251,自动规则!$B$4:$B$40,0)),"其他应付款")))))</f>
        <v/>
      </c>
      <c r="L251" s="106"/>
      <c r="M251" s="75" t="str">
        <f>IF($C251="","",IFERROR(INDEX(科目表!$T$4:$T$9,MATCH($C251,科目表!$S$4:$S$9,0)),""))</f>
        <v/>
      </c>
      <c r="N251" s="75" t="str">
        <f t="shared" si="25"/>
        <v/>
      </c>
      <c r="O251" s="76" t="str">
        <f t="shared" si="26"/>
        <v/>
      </c>
      <c r="P251" s="76" t="str">
        <f t="shared" si="27"/>
        <v/>
      </c>
      <c r="Q251" s="75" t="str">
        <f t="shared" si="28"/>
        <v/>
      </c>
      <c r="R251" s="76" t="str">
        <f t="shared" si="29"/>
        <v/>
      </c>
      <c r="S251" s="76" t="str">
        <f t="shared" si="30"/>
        <v/>
      </c>
      <c r="T251" s="43"/>
      <c r="U251" s="107"/>
      <c r="V251" s="76" t="str">
        <f t="shared" si="31"/>
        <v/>
      </c>
      <c r="W251" s="43"/>
      <c r="X251" s="43"/>
      <c r="Y251" s="74"/>
    </row>
    <row r="252" ht="18" customHeight="1" spans="1:25">
      <c r="A252" s="74" t="str">
        <f t="shared" si="24"/>
        <v/>
      </c>
      <c r="B252" s="7"/>
      <c r="C252" s="43"/>
      <c r="D252" s="106"/>
      <c r="E252" s="43"/>
      <c r="F252" s="43"/>
      <c r="G252" s="43"/>
      <c r="H252" s="107"/>
      <c r="I252" s="107"/>
      <c r="J252" s="76" t="str">
        <f>IF($C252="","",ROUND(IFERROR(INDEX(期初余额!$I$4:$I$9,MATCH($C252,期初余额!$H$4:$H$9,0)),0)+SUMIFS($H$4:$H252,$C$4:$C252,$C252)-SUMIFS($I$4:$I252,$C$4:$C252,$C252),2))</f>
        <v/>
      </c>
      <c r="K252" s="111" t="str">
        <f>IF($T252&lt;&gt;"",$T252,IF($C252="","",IF(AND(N($I252)&gt;0,$G252&lt;&gt;""),IFERROR(INDEX(科目表!$U$4:$U$123,MATCH($G252,科目表!$M$4:$M$123,0)),"管理费用"),IF(N($H252)&gt;0,IFERROR(INDEX(自动规则!$C$4:$C$40,MATCH($F252,自动规则!$B$4:$B$40,0)),"其他应收款"),IFERROR(INDEX(自动规则!$D$4:$D$40,MATCH($F252,自动规则!$B$4:$B$40,0)),"其他应付款")))))</f>
        <v/>
      </c>
      <c r="L252" s="106"/>
      <c r="M252" s="75" t="str">
        <f>IF($C252="","",IFERROR(INDEX(科目表!$T$4:$T$9,MATCH($C252,科目表!$S$4:$S$9,0)),""))</f>
        <v/>
      </c>
      <c r="N252" s="75" t="str">
        <f t="shared" si="25"/>
        <v/>
      </c>
      <c r="O252" s="76" t="str">
        <f t="shared" si="26"/>
        <v/>
      </c>
      <c r="P252" s="76" t="str">
        <f t="shared" si="27"/>
        <v/>
      </c>
      <c r="Q252" s="75" t="str">
        <f t="shared" si="28"/>
        <v/>
      </c>
      <c r="R252" s="76" t="str">
        <f t="shared" si="29"/>
        <v/>
      </c>
      <c r="S252" s="76" t="str">
        <f t="shared" si="30"/>
        <v/>
      </c>
      <c r="T252" s="43"/>
      <c r="U252" s="107"/>
      <c r="V252" s="76" t="str">
        <f t="shared" si="31"/>
        <v/>
      </c>
      <c r="W252" s="43"/>
      <c r="X252" s="43"/>
      <c r="Y252" s="74"/>
    </row>
    <row r="253" ht="18" customHeight="1" spans="1:25">
      <c r="A253" s="74" t="str">
        <f t="shared" si="24"/>
        <v/>
      </c>
      <c r="B253" s="7"/>
      <c r="C253" s="43"/>
      <c r="D253" s="106"/>
      <c r="E253" s="43"/>
      <c r="F253" s="43"/>
      <c r="G253" s="43"/>
      <c r="H253" s="107"/>
      <c r="I253" s="107"/>
      <c r="J253" s="76" t="str">
        <f>IF($C253="","",ROUND(IFERROR(INDEX(期初余额!$I$4:$I$9,MATCH($C253,期初余额!$H$4:$H$9,0)),0)+SUMIFS($H$4:$H253,$C$4:$C253,$C253)-SUMIFS($I$4:$I253,$C$4:$C253,$C253),2))</f>
        <v/>
      </c>
      <c r="K253" s="111" t="str">
        <f>IF($T253&lt;&gt;"",$T253,IF($C253="","",IF(AND(N($I253)&gt;0,$G253&lt;&gt;""),IFERROR(INDEX(科目表!$U$4:$U$123,MATCH($G253,科目表!$M$4:$M$123,0)),"管理费用"),IF(N($H253)&gt;0,IFERROR(INDEX(自动规则!$C$4:$C$40,MATCH($F253,自动规则!$B$4:$B$40,0)),"其他应收款"),IFERROR(INDEX(自动规则!$D$4:$D$40,MATCH($F253,自动规则!$B$4:$B$40,0)),"其他应付款")))))</f>
        <v/>
      </c>
      <c r="L253" s="106"/>
      <c r="M253" s="75" t="str">
        <f>IF($C253="","",IFERROR(INDEX(科目表!$T$4:$T$9,MATCH($C253,科目表!$S$4:$S$9,0)),""))</f>
        <v/>
      </c>
      <c r="N253" s="75" t="str">
        <f t="shared" si="25"/>
        <v/>
      </c>
      <c r="O253" s="76" t="str">
        <f t="shared" si="26"/>
        <v/>
      </c>
      <c r="P253" s="76" t="str">
        <f t="shared" si="27"/>
        <v/>
      </c>
      <c r="Q253" s="75" t="str">
        <f t="shared" si="28"/>
        <v/>
      </c>
      <c r="R253" s="76" t="str">
        <f t="shared" si="29"/>
        <v/>
      </c>
      <c r="S253" s="76" t="str">
        <f t="shared" si="30"/>
        <v/>
      </c>
      <c r="T253" s="43"/>
      <c r="U253" s="107"/>
      <c r="V253" s="76" t="str">
        <f t="shared" si="31"/>
        <v/>
      </c>
      <c r="W253" s="43"/>
      <c r="X253" s="43"/>
      <c r="Y253" s="74"/>
    </row>
    <row r="254" ht="18" customHeight="1" spans="1:25">
      <c r="A254" s="74" t="str">
        <f t="shared" si="24"/>
        <v/>
      </c>
      <c r="B254" s="7"/>
      <c r="C254" s="43"/>
      <c r="D254" s="106"/>
      <c r="E254" s="43"/>
      <c r="F254" s="43"/>
      <c r="G254" s="43"/>
      <c r="H254" s="107"/>
      <c r="I254" s="107"/>
      <c r="J254" s="76" t="str">
        <f>IF($C254="","",ROUND(IFERROR(INDEX(期初余额!$I$4:$I$9,MATCH($C254,期初余额!$H$4:$H$9,0)),0)+SUMIFS($H$4:$H254,$C$4:$C254,$C254)-SUMIFS($I$4:$I254,$C$4:$C254,$C254),2))</f>
        <v/>
      </c>
      <c r="K254" s="111" t="str">
        <f>IF($T254&lt;&gt;"",$T254,IF($C254="","",IF(AND(N($I254)&gt;0,$G254&lt;&gt;""),IFERROR(INDEX(科目表!$U$4:$U$123,MATCH($G254,科目表!$M$4:$M$123,0)),"管理费用"),IF(N($H254)&gt;0,IFERROR(INDEX(自动规则!$C$4:$C$40,MATCH($F254,自动规则!$B$4:$B$40,0)),"其他应收款"),IFERROR(INDEX(自动规则!$D$4:$D$40,MATCH($F254,自动规则!$B$4:$B$40,0)),"其他应付款")))))</f>
        <v/>
      </c>
      <c r="L254" s="106"/>
      <c r="M254" s="75" t="str">
        <f>IF($C254="","",IFERROR(INDEX(科目表!$T$4:$T$9,MATCH($C254,科目表!$S$4:$S$9,0)),""))</f>
        <v/>
      </c>
      <c r="N254" s="75" t="str">
        <f t="shared" si="25"/>
        <v/>
      </c>
      <c r="O254" s="76" t="str">
        <f t="shared" si="26"/>
        <v/>
      </c>
      <c r="P254" s="76" t="str">
        <f t="shared" si="27"/>
        <v/>
      </c>
      <c r="Q254" s="75" t="str">
        <f t="shared" si="28"/>
        <v/>
      </c>
      <c r="R254" s="76" t="str">
        <f t="shared" si="29"/>
        <v/>
      </c>
      <c r="S254" s="76" t="str">
        <f t="shared" si="30"/>
        <v/>
      </c>
      <c r="T254" s="43"/>
      <c r="U254" s="107"/>
      <c r="V254" s="76" t="str">
        <f t="shared" si="31"/>
        <v/>
      </c>
      <c r="W254" s="43"/>
      <c r="X254" s="43"/>
      <c r="Y254" s="74"/>
    </row>
    <row r="255" ht="18" customHeight="1" spans="1:25">
      <c r="A255" s="74" t="str">
        <f t="shared" si="24"/>
        <v/>
      </c>
      <c r="B255" s="7"/>
      <c r="C255" s="43"/>
      <c r="D255" s="106"/>
      <c r="E255" s="43"/>
      <c r="F255" s="43"/>
      <c r="G255" s="43"/>
      <c r="H255" s="107"/>
      <c r="I255" s="107"/>
      <c r="J255" s="76" t="str">
        <f>IF($C255="","",ROUND(IFERROR(INDEX(期初余额!$I$4:$I$9,MATCH($C255,期初余额!$H$4:$H$9,0)),0)+SUMIFS($H$4:$H255,$C$4:$C255,$C255)-SUMIFS($I$4:$I255,$C$4:$C255,$C255),2))</f>
        <v/>
      </c>
      <c r="K255" s="111" t="str">
        <f>IF($T255&lt;&gt;"",$T255,IF($C255="","",IF(AND(N($I255)&gt;0,$G255&lt;&gt;""),IFERROR(INDEX(科目表!$U$4:$U$123,MATCH($G255,科目表!$M$4:$M$123,0)),"管理费用"),IF(N($H255)&gt;0,IFERROR(INDEX(自动规则!$C$4:$C$40,MATCH($F255,自动规则!$B$4:$B$40,0)),"其他应收款"),IFERROR(INDEX(自动规则!$D$4:$D$40,MATCH($F255,自动规则!$B$4:$B$40,0)),"其他应付款")))))</f>
        <v/>
      </c>
      <c r="L255" s="106"/>
      <c r="M255" s="75" t="str">
        <f>IF($C255="","",IFERROR(INDEX(科目表!$T$4:$T$9,MATCH($C255,科目表!$S$4:$S$9,0)),""))</f>
        <v/>
      </c>
      <c r="N255" s="75" t="str">
        <f t="shared" si="25"/>
        <v/>
      </c>
      <c r="O255" s="76" t="str">
        <f t="shared" si="26"/>
        <v/>
      </c>
      <c r="P255" s="76" t="str">
        <f t="shared" si="27"/>
        <v/>
      </c>
      <c r="Q255" s="75" t="str">
        <f t="shared" si="28"/>
        <v/>
      </c>
      <c r="R255" s="76" t="str">
        <f t="shared" si="29"/>
        <v/>
      </c>
      <c r="S255" s="76" t="str">
        <f t="shared" si="30"/>
        <v/>
      </c>
      <c r="T255" s="43"/>
      <c r="U255" s="107"/>
      <c r="V255" s="76" t="str">
        <f t="shared" si="31"/>
        <v/>
      </c>
      <c r="W255" s="43"/>
      <c r="X255" s="43"/>
      <c r="Y255" s="74"/>
    </row>
    <row r="256" ht="18" customHeight="1" spans="1:25">
      <c r="A256" s="74" t="str">
        <f t="shared" si="24"/>
        <v/>
      </c>
      <c r="B256" s="7"/>
      <c r="C256" s="43"/>
      <c r="D256" s="106"/>
      <c r="E256" s="43"/>
      <c r="F256" s="43"/>
      <c r="G256" s="43"/>
      <c r="H256" s="107"/>
      <c r="I256" s="107"/>
      <c r="J256" s="76" t="str">
        <f>IF($C256="","",ROUND(IFERROR(INDEX(期初余额!$I$4:$I$9,MATCH($C256,期初余额!$H$4:$H$9,0)),0)+SUMIFS($H$4:$H256,$C$4:$C256,$C256)-SUMIFS($I$4:$I256,$C$4:$C256,$C256),2))</f>
        <v/>
      </c>
      <c r="K256" s="111" t="str">
        <f>IF($T256&lt;&gt;"",$T256,IF($C256="","",IF(AND(N($I256)&gt;0,$G256&lt;&gt;""),IFERROR(INDEX(科目表!$U$4:$U$123,MATCH($G256,科目表!$M$4:$M$123,0)),"管理费用"),IF(N($H256)&gt;0,IFERROR(INDEX(自动规则!$C$4:$C$40,MATCH($F256,自动规则!$B$4:$B$40,0)),"其他应收款"),IFERROR(INDEX(自动规则!$D$4:$D$40,MATCH($F256,自动规则!$B$4:$B$40,0)),"其他应付款")))))</f>
        <v/>
      </c>
      <c r="L256" s="106"/>
      <c r="M256" s="75" t="str">
        <f>IF($C256="","",IFERROR(INDEX(科目表!$T$4:$T$9,MATCH($C256,科目表!$S$4:$S$9,0)),""))</f>
        <v/>
      </c>
      <c r="N256" s="75" t="str">
        <f t="shared" si="25"/>
        <v/>
      </c>
      <c r="O256" s="76" t="str">
        <f t="shared" si="26"/>
        <v/>
      </c>
      <c r="P256" s="76" t="str">
        <f t="shared" si="27"/>
        <v/>
      </c>
      <c r="Q256" s="75" t="str">
        <f t="shared" si="28"/>
        <v/>
      </c>
      <c r="R256" s="76" t="str">
        <f t="shared" si="29"/>
        <v/>
      </c>
      <c r="S256" s="76" t="str">
        <f t="shared" si="30"/>
        <v/>
      </c>
      <c r="T256" s="43"/>
      <c r="U256" s="107"/>
      <c r="V256" s="76" t="str">
        <f t="shared" si="31"/>
        <v/>
      </c>
      <c r="W256" s="43"/>
      <c r="X256" s="43"/>
      <c r="Y256" s="74"/>
    </row>
    <row r="257" ht="18" customHeight="1" spans="1:25">
      <c r="A257" s="74" t="str">
        <f t="shared" si="24"/>
        <v/>
      </c>
      <c r="B257" s="7"/>
      <c r="C257" s="43"/>
      <c r="D257" s="106"/>
      <c r="E257" s="43"/>
      <c r="F257" s="43"/>
      <c r="G257" s="43"/>
      <c r="H257" s="107"/>
      <c r="I257" s="107"/>
      <c r="J257" s="76" t="str">
        <f>IF($C257="","",ROUND(IFERROR(INDEX(期初余额!$I$4:$I$9,MATCH($C257,期初余额!$H$4:$H$9,0)),0)+SUMIFS($H$4:$H257,$C$4:$C257,$C257)-SUMIFS($I$4:$I257,$C$4:$C257,$C257),2))</f>
        <v/>
      </c>
      <c r="K257" s="111" t="str">
        <f>IF($T257&lt;&gt;"",$T257,IF($C257="","",IF(AND(N($I257)&gt;0,$G257&lt;&gt;""),IFERROR(INDEX(科目表!$U$4:$U$123,MATCH($G257,科目表!$M$4:$M$123,0)),"管理费用"),IF(N($H257)&gt;0,IFERROR(INDEX(自动规则!$C$4:$C$40,MATCH($F257,自动规则!$B$4:$B$40,0)),"其他应收款"),IFERROR(INDEX(自动规则!$D$4:$D$40,MATCH($F257,自动规则!$B$4:$B$40,0)),"其他应付款")))))</f>
        <v/>
      </c>
      <c r="L257" s="106"/>
      <c r="M257" s="75" t="str">
        <f>IF($C257="","",IFERROR(INDEX(科目表!$T$4:$T$9,MATCH($C257,科目表!$S$4:$S$9,0)),""))</f>
        <v/>
      </c>
      <c r="N257" s="75" t="str">
        <f t="shared" si="25"/>
        <v/>
      </c>
      <c r="O257" s="76" t="str">
        <f t="shared" si="26"/>
        <v/>
      </c>
      <c r="P257" s="76" t="str">
        <f t="shared" si="27"/>
        <v/>
      </c>
      <c r="Q257" s="75" t="str">
        <f t="shared" si="28"/>
        <v/>
      </c>
      <c r="R257" s="76" t="str">
        <f t="shared" si="29"/>
        <v/>
      </c>
      <c r="S257" s="76" t="str">
        <f t="shared" si="30"/>
        <v/>
      </c>
      <c r="T257" s="43"/>
      <c r="U257" s="107"/>
      <c r="V257" s="76" t="str">
        <f t="shared" si="31"/>
        <v/>
      </c>
      <c r="W257" s="43"/>
      <c r="X257" s="43"/>
      <c r="Y257" s="74"/>
    </row>
    <row r="258" ht="18" customHeight="1" spans="1:25">
      <c r="A258" s="74" t="str">
        <f t="shared" si="24"/>
        <v/>
      </c>
      <c r="B258" s="7"/>
      <c r="C258" s="43"/>
      <c r="D258" s="106"/>
      <c r="E258" s="43"/>
      <c r="F258" s="43"/>
      <c r="G258" s="43"/>
      <c r="H258" s="107"/>
      <c r="I258" s="107"/>
      <c r="J258" s="76" t="str">
        <f>IF($C258="","",ROUND(IFERROR(INDEX(期初余额!$I$4:$I$9,MATCH($C258,期初余额!$H$4:$H$9,0)),0)+SUMIFS($H$4:$H258,$C$4:$C258,$C258)-SUMIFS($I$4:$I258,$C$4:$C258,$C258),2))</f>
        <v/>
      </c>
      <c r="K258" s="111" t="str">
        <f>IF($T258&lt;&gt;"",$T258,IF($C258="","",IF(AND(N($I258)&gt;0,$G258&lt;&gt;""),IFERROR(INDEX(科目表!$U$4:$U$123,MATCH($G258,科目表!$M$4:$M$123,0)),"管理费用"),IF(N($H258)&gt;0,IFERROR(INDEX(自动规则!$C$4:$C$40,MATCH($F258,自动规则!$B$4:$B$40,0)),"其他应收款"),IFERROR(INDEX(自动规则!$D$4:$D$40,MATCH($F258,自动规则!$B$4:$B$40,0)),"其他应付款")))))</f>
        <v/>
      </c>
      <c r="L258" s="106"/>
      <c r="M258" s="75" t="str">
        <f>IF($C258="","",IFERROR(INDEX(科目表!$T$4:$T$9,MATCH($C258,科目表!$S$4:$S$9,0)),""))</f>
        <v/>
      </c>
      <c r="N258" s="75" t="str">
        <f t="shared" si="25"/>
        <v/>
      </c>
      <c r="O258" s="76" t="str">
        <f t="shared" si="26"/>
        <v/>
      </c>
      <c r="P258" s="76" t="str">
        <f t="shared" si="27"/>
        <v/>
      </c>
      <c r="Q258" s="75" t="str">
        <f t="shared" si="28"/>
        <v/>
      </c>
      <c r="R258" s="76" t="str">
        <f t="shared" si="29"/>
        <v/>
      </c>
      <c r="S258" s="76" t="str">
        <f t="shared" si="30"/>
        <v/>
      </c>
      <c r="T258" s="43"/>
      <c r="U258" s="107"/>
      <c r="V258" s="76" t="str">
        <f t="shared" si="31"/>
        <v/>
      </c>
      <c r="W258" s="43"/>
      <c r="X258" s="43"/>
      <c r="Y258" s="74"/>
    </row>
    <row r="259" ht="18" customHeight="1" spans="1:25">
      <c r="A259" s="74" t="str">
        <f t="shared" si="24"/>
        <v/>
      </c>
      <c r="B259" s="7"/>
      <c r="C259" s="43"/>
      <c r="D259" s="106"/>
      <c r="E259" s="43"/>
      <c r="F259" s="43"/>
      <c r="G259" s="43"/>
      <c r="H259" s="107"/>
      <c r="I259" s="107"/>
      <c r="J259" s="76" t="str">
        <f>IF($C259="","",ROUND(IFERROR(INDEX(期初余额!$I$4:$I$9,MATCH($C259,期初余额!$H$4:$H$9,0)),0)+SUMIFS($H$4:$H259,$C$4:$C259,$C259)-SUMIFS($I$4:$I259,$C$4:$C259,$C259),2))</f>
        <v/>
      </c>
      <c r="K259" s="111" t="str">
        <f>IF($T259&lt;&gt;"",$T259,IF($C259="","",IF(AND(N($I259)&gt;0,$G259&lt;&gt;""),IFERROR(INDEX(科目表!$U$4:$U$123,MATCH($G259,科目表!$M$4:$M$123,0)),"管理费用"),IF(N($H259)&gt;0,IFERROR(INDEX(自动规则!$C$4:$C$40,MATCH($F259,自动规则!$B$4:$B$40,0)),"其他应收款"),IFERROR(INDEX(自动规则!$D$4:$D$40,MATCH($F259,自动规则!$B$4:$B$40,0)),"其他应付款")))))</f>
        <v/>
      </c>
      <c r="L259" s="106"/>
      <c r="M259" s="75" t="str">
        <f>IF($C259="","",IFERROR(INDEX(科目表!$T$4:$T$9,MATCH($C259,科目表!$S$4:$S$9,0)),""))</f>
        <v/>
      </c>
      <c r="N259" s="75" t="str">
        <f t="shared" si="25"/>
        <v/>
      </c>
      <c r="O259" s="76" t="str">
        <f t="shared" si="26"/>
        <v/>
      </c>
      <c r="P259" s="76" t="str">
        <f t="shared" si="27"/>
        <v/>
      </c>
      <c r="Q259" s="75" t="str">
        <f t="shared" si="28"/>
        <v/>
      </c>
      <c r="R259" s="76" t="str">
        <f t="shared" si="29"/>
        <v/>
      </c>
      <c r="S259" s="76" t="str">
        <f t="shared" si="30"/>
        <v/>
      </c>
      <c r="T259" s="43"/>
      <c r="U259" s="107"/>
      <c r="V259" s="76" t="str">
        <f t="shared" si="31"/>
        <v/>
      </c>
      <c r="W259" s="43"/>
      <c r="X259" s="43"/>
      <c r="Y259" s="74"/>
    </row>
    <row r="260" ht="18" customHeight="1" spans="1:25">
      <c r="A260" s="74" t="str">
        <f t="shared" ref="A260:A323" si="32">IF($C260="","",ROW()-3)</f>
        <v/>
      </c>
      <c r="B260" s="7"/>
      <c r="C260" s="43"/>
      <c r="D260" s="106"/>
      <c r="E260" s="43"/>
      <c r="F260" s="43"/>
      <c r="G260" s="43"/>
      <c r="H260" s="107"/>
      <c r="I260" s="107"/>
      <c r="J260" s="76" t="str">
        <f>IF($C260="","",ROUND(IFERROR(INDEX(期初余额!$I$4:$I$9,MATCH($C260,期初余额!$H$4:$H$9,0)),0)+SUMIFS($H$4:$H260,$C$4:$C260,$C260)-SUMIFS($I$4:$I260,$C$4:$C260,$C260),2))</f>
        <v/>
      </c>
      <c r="K260" s="111" t="str">
        <f>IF($T260&lt;&gt;"",$T260,IF($C260="","",IF(AND(N($I260)&gt;0,$G260&lt;&gt;""),IFERROR(INDEX(科目表!$U$4:$U$123,MATCH($G260,科目表!$M$4:$M$123,0)),"管理费用"),IF(N($H260)&gt;0,IFERROR(INDEX(自动规则!$C$4:$C$40,MATCH($F260,自动规则!$B$4:$B$40,0)),"其他应收款"),IFERROR(INDEX(自动规则!$D$4:$D$40,MATCH($F260,自动规则!$B$4:$B$40,0)),"其他应付款")))))</f>
        <v/>
      </c>
      <c r="L260" s="106"/>
      <c r="M260" s="75" t="str">
        <f>IF($C260="","",IFERROR(INDEX(科目表!$T$4:$T$9,MATCH($C260,科目表!$S$4:$S$9,0)),""))</f>
        <v/>
      </c>
      <c r="N260" s="75" t="str">
        <f t="shared" ref="N260:N323" si="33">IF(OR($C260="",ROUND(N($H260)+N($I260),2)=0),"",IF(N($H260)&gt;0,$M260,$K260))</f>
        <v/>
      </c>
      <c r="O260" s="76" t="str">
        <f t="shared" ref="O260:O323" si="34">IF($N260="","",ROUND(N($H260)+N($I260),2))</f>
        <v/>
      </c>
      <c r="P260" s="76" t="str">
        <f t="shared" ref="P260:P323" si="35">IF($N260="","",0)</f>
        <v/>
      </c>
      <c r="Q260" s="75" t="str">
        <f t="shared" ref="Q260:Q323" si="36">IF($N260="","",IF(N($H260)&gt;0,$K260,$M260))</f>
        <v/>
      </c>
      <c r="R260" s="76" t="str">
        <f t="shared" ref="R260:R323" si="37">IF($Q260="","",0)</f>
        <v/>
      </c>
      <c r="S260" s="76" t="str">
        <f t="shared" ref="S260:S323" si="38">IF($Q260="","",ROUND(N($H260)+N($I260),2))</f>
        <v/>
      </c>
      <c r="T260" s="43"/>
      <c r="U260" s="107"/>
      <c r="V260" s="76" t="str">
        <f t="shared" ref="V260:V323" si="39">IF($B260="","",TEXT($B260,"yyyy年m月"))</f>
        <v/>
      </c>
      <c r="W260" s="43"/>
      <c r="X260" s="43"/>
      <c r="Y260" s="74"/>
    </row>
    <row r="261" ht="18" customHeight="1" spans="1:25">
      <c r="A261" s="74" t="str">
        <f t="shared" si="32"/>
        <v/>
      </c>
      <c r="B261" s="7"/>
      <c r="C261" s="43"/>
      <c r="D261" s="106"/>
      <c r="E261" s="43"/>
      <c r="F261" s="43"/>
      <c r="G261" s="43"/>
      <c r="H261" s="107"/>
      <c r="I261" s="107"/>
      <c r="J261" s="76" t="str">
        <f>IF($C261="","",ROUND(IFERROR(INDEX(期初余额!$I$4:$I$9,MATCH($C261,期初余额!$H$4:$H$9,0)),0)+SUMIFS($H$4:$H261,$C$4:$C261,$C261)-SUMIFS($I$4:$I261,$C$4:$C261,$C261),2))</f>
        <v/>
      </c>
      <c r="K261" s="111" t="str">
        <f>IF($T261&lt;&gt;"",$T261,IF($C261="","",IF(AND(N($I261)&gt;0,$G261&lt;&gt;""),IFERROR(INDEX(科目表!$U$4:$U$123,MATCH($G261,科目表!$M$4:$M$123,0)),"管理费用"),IF(N($H261)&gt;0,IFERROR(INDEX(自动规则!$C$4:$C$40,MATCH($F261,自动规则!$B$4:$B$40,0)),"其他应收款"),IFERROR(INDEX(自动规则!$D$4:$D$40,MATCH($F261,自动规则!$B$4:$B$40,0)),"其他应付款")))))</f>
        <v/>
      </c>
      <c r="L261" s="106"/>
      <c r="M261" s="75" t="str">
        <f>IF($C261="","",IFERROR(INDEX(科目表!$T$4:$T$9,MATCH($C261,科目表!$S$4:$S$9,0)),""))</f>
        <v/>
      </c>
      <c r="N261" s="75" t="str">
        <f t="shared" si="33"/>
        <v/>
      </c>
      <c r="O261" s="76" t="str">
        <f t="shared" si="34"/>
        <v/>
      </c>
      <c r="P261" s="76" t="str">
        <f t="shared" si="35"/>
        <v/>
      </c>
      <c r="Q261" s="75" t="str">
        <f t="shared" si="36"/>
        <v/>
      </c>
      <c r="R261" s="76" t="str">
        <f t="shared" si="37"/>
        <v/>
      </c>
      <c r="S261" s="76" t="str">
        <f t="shared" si="38"/>
        <v/>
      </c>
      <c r="T261" s="43"/>
      <c r="U261" s="107"/>
      <c r="V261" s="76" t="str">
        <f t="shared" si="39"/>
        <v/>
      </c>
      <c r="W261" s="43"/>
      <c r="X261" s="43"/>
      <c r="Y261" s="74"/>
    </row>
    <row r="262" ht="18" customHeight="1" spans="1:25">
      <c r="A262" s="74" t="str">
        <f t="shared" si="32"/>
        <v/>
      </c>
      <c r="B262" s="7"/>
      <c r="C262" s="43"/>
      <c r="D262" s="106"/>
      <c r="E262" s="43"/>
      <c r="F262" s="43"/>
      <c r="G262" s="43"/>
      <c r="H262" s="107"/>
      <c r="I262" s="107"/>
      <c r="J262" s="76" t="str">
        <f>IF($C262="","",ROUND(IFERROR(INDEX(期初余额!$I$4:$I$9,MATCH($C262,期初余额!$H$4:$H$9,0)),0)+SUMIFS($H$4:$H262,$C$4:$C262,$C262)-SUMIFS($I$4:$I262,$C$4:$C262,$C262),2))</f>
        <v/>
      </c>
      <c r="K262" s="111" t="str">
        <f>IF($T262&lt;&gt;"",$T262,IF($C262="","",IF(AND(N($I262)&gt;0,$G262&lt;&gt;""),IFERROR(INDEX(科目表!$U$4:$U$123,MATCH($G262,科目表!$M$4:$M$123,0)),"管理费用"),IF(N($H262)&gt;0,IFERROR(INDEX(自动规则!$C$4:$C$40,MATCH($F262,自动规则!$B$4:$B$40,0)),"其他应收款"),IFERROR(INDEX(自动规则!$D$4:$D$40,MATCH($F262,自动规则!$B$4:$B$40,0)),"其他应付款")))))</f>
        <v/>
      </c>
      <c r="L262" s="106"/>
      <c r="M262" s="75" t="str">
        <f>IF($C262="","",IFERROR(INDEX(科目表!$T$4:$T$9,MATCH($C262,科目表!$S$4:$S$9,0)),""))</f>
        <v/>
      </c>
      <c r="N262" s="75" t="str">
        <f t="shared" si="33"/>
        <v/>
      </c>
      <c r="O262" s="76" t="str">
        <f t="shared" si="34"/>
        <v/>
      </c>
      <c r="P262" s="76" t="str">
        <f t="shared" si="35"/>
        <v/>
      </c>
      <c r="Q262" s="75" t="str">
        <f t="shared" si="36"/>
        <v/>
      </c>
      <c r="R262" s="76" t="str">
        <f t="shared" si="37"/>
        <v/>
      </c>
      <c r="S262" s="76" t="str">
        <f t="shared" si="38"/>
        <v/>
      </c>
      <c r="T262" s="43"/>
      <c r="U262" s="107"/>
      <c r="V262" s="76" t="str">
        <f t="shared" si="39"/>
        <v/>
      </c>
      <c r="W262" s="43"/>
      <c r="X262" s="43"/>
      <c r="Y262" s="74"/>
    </row>
    <row r="263" ht="18" customHeight="1" spans="1:25">
      <c r="A263" s="74" t="str">
        <f t="shared" si="32"/>
        <v/>
      </c>
      <c r="B263" s="7"/>
      <c r="C263" s="43"/>
      <c r="D263" s="106"/>
      <c r="E263" s="43"/>
      <c r="F263" s="43"/>
      <c r="G263" s="43"/>
      <c r="H263" s="107"/>
      <c r="I263" s="107"/>
      <c r="J263" s="76" t="str">
        <f>IF($C263="","",ROUND(IFERROR(INDEX(期初余额!$I$4:$I$9,MATCH($C263,期初余额!$H$4:$H$9,0)),0)+SUMIFS($H$4:$H263,$C$4:$C263,$C263)-SUMIFS($I$4:$I263,$C$4:$C263,$C263),2))</f>
        <v/>
      </c>
      <c r="K263" s="111" t="str">
        <f>IF($T263&lt;&gt;"",$T263,IF($C263="","",IF(AND(N($I263)&gt;0,$G263&lt;&gt;""),IFERROR(INDEX(科目表!$U$4:$U$123,MATCH($G263,科目表!$M$4:$M$123,0)),"管理费用"),IF(N($H263)&gt;0,IFERROR(INDEX(自动规则!$C$4:$C$40,MATCH($F263,自动规则!$B$4:$B$40,0)),"其他应收款"),IFERROR(INDEX(自动规则!$D$4:$D$40,MATCH($F263,自动规则!$B$4:$B$40,0)),"其他应付款")))))</f>
        <v/>
      </c>
      <c r="L263" s="106"/>
      <c r="M263" s="75" t="str">
        <f>IF($C263="","",IFERROR(INDEX(科目表!$T$4:$T$9,MATCH($C263,科目表!$S$4:$S$9,0)),""))</f>
        <v/>
      </c>
      <c r="N263" s="75" t="str">
        <f t="shared" si="33"/>
        <v/>
      </c>
      <c r="O263" s="76" t="str">
        <f t="shared" si="34"/>
        <v/>
      </c>
      <c r="P263" s="76" t="str">
        <f t="shared" si="35"/>
        <v/>
      </c>
      <c r="Q263" s="75" t="str">
        <f t="shared" si="36"/>
        <v/>
      </c>
      <c r="R263" s="76" t="str">
        <f t="shared" si="37"/>
        <v/>
      </c>
      <c r="S263" s="76" t="str">
        <f t="shared" si="38"/>
        <v/>
      </c>
      <c r="T263" s="43"/>
      <c r="U263" s="107"/>
      <c r="V263" s="76" t="str">
        <f t="shared" si="39"/>
        <v/>
      </c>
      <c r="W263" s="43"/>
      <c r="X263" s="43"/>
      <c r="Y263" s="74"/>
    </row>
    <row r="264" ht="18" customHeight="1" spans="1:25">
      <c r="A264" s="74" t="str">
        <f t="shared" si="32"/>
        <v/>
      </c>
      <c r="B264" s="7"/>
      <c r="C264" s="43"/>
      <c r="D264" s="106"/>
      <c r="E264" s="43"/>
      <c r="F264" s="43"/>
      <c r="G264" s="43"/>
      <c r="H264" s="107"/>
      <c r="I264" s="107"/>
      <c r="J264" s="76" t="str">
        <f>IF($C264="","",ROUND(IFERROR(INDEX(期初余额!$I$4:$I$9,MATCH($C264,期初余额!$H$4:$H$9,0)),0)+SUMIFS($H$4:$H264,$C$4:$C264,$C264)-SUMIFS($I$4:$I264,$C$4:$C264,$C264),2))</f>
        <v/>
      </c>
      <c r="K264" s="111" t="str">
        <f>IF($T264&lt;&gt;"",$T264,IF($C264="","",IF(AND(N($I264)&gt;0,$G264&lt;&gt;""),IFERROR(INDEX(科目表!$U$4:$U$123,MATCH($G264,科目表!$M$4:$M$123,0)),"管理费用"),IF(N($H264)&gt;0,IFERROR(INDEX(自动规则!$C$4:$C$40,MATCH($F264,自动规则!$B$4:$B$40,0)),"其他应收款"),IFERROR(INDEX(自动规则!$D$4:$D$40,MATCH($F264,自动规则!$B$4:$B$40,0)),"其他应付款")))))</f>
        <v/>
      </c>
      <c r="L264" s="106"/>
      <c r="M264" s="75" t="str">
        <f>IF($C264="","",IFERROR(INDEX(科目表!$T$4:$T$9,MATCH($C264,科目表!$S$4:$S$9,0)),""))</f>
        <v/>
      </c>
      <c r="N264" s="75" t="str">
        <f t="shared" si="33"/>
        <v/>
      </c>
      <c r="O264" s="76" t="str">
        <f t="shared" si="34"/>
        <v/>
      </c>
      <c r="P264" s="76" t="str">
        <f t="shared" si="35"/>
        <v/>
      </c>
      <c r="Q264" s="75" t="str">
        <f t="shared" si="36"/>
        <v/>
      </c>
      <c r="R264" s="76" t="str">
        <f t="shared" si="37"/>
        <v/>
      </c>
      <c r="S264" s="76" t="str">
        <f t="shared" si="38"/>
        <v/>
      </c>
      <c r="T264" s="43"/>
      <c r="U264" s="107"/>
      <c r="V264" s="76" t="str">
        <f t="shared" si="39"/>
        <v/>
      </c>
      <c r="W264" s="43"/>
      <c r="X264" s="43"/>
      <c r="Y264" s="74"/>
    </row>
    <row r="265" ht="18" customHeight="1" spans="1:25">
      <c r="A265" s="74" t="str">
        <f t="shared" si="32"/>
        <v/>
      </c>
      <c r="B265" s="7"/>
      <c r="C265" s="43"/>
      <c r="D265" s="106"/>
      <c r="E265" s="43"/>
      <c r="F265" s="43"/>
      <c r="G265" s="43"/>
      <c r="H265" s="107"/>
      <c r="I265" s="107"/>
      <c r="J265" s="76" t="str">
        <f>IF($C265="","",ROUND(IFERROR(INDEX(期初余额!$I$4:$I$9,MATCH($C265,期初余额!$H$4:$H$9,0)),0)+SUMIFS($H$4:$H265,$C$4:$C265,$C265)-SUMIFS($I$4:$I265,$C$4:$C265,$C265),2))</f>
        <v/>
      </c>
      <c r="K265" s="111" t="str">
        <f>IF($T265&lt;&gt;"",$T265,IF($C265="","",IF(AND(N($I265)&gt;0,$G265&lt;&gt;""),IFERROR(INDEX(科目表!$U$4:$U$123,MATCH($G265,科目表!$M$4:$M$123,0)),"管理费用"),IF(N($H265)&gt;0,IFERROR(INDEX(自动规则!$C$4:$C$40,MATCH($F265,自动规则!$B$4:$B$40,0)),"其他应收款"),IFERROR(INDEX(自动规则!$D$4:$D$40,MATCH($F265,自动规则!$B$4:$B$40,0)),"其他应付款")))))</f>
        <v/>
      </c>
      <c r="L265" s="106"/>
      <c r="M265" s="75" t="str">
        <f>IF($C265="","",IFERROR(INDEX(科目表!$T$4:$T$9,MATCH($C265,科目表!$S$4:$S$9,0)),""))</f>
        <v/>
      </c>
      <c r="N265" s="75" t="str">
        <f t="shared" si="33"/>
        <v/>
      </c>
      <c r="O265" s="76" t="str">
        <f t="shared" si="34"/>
        <v/>
      </c>
      <c r="P265" s="76" t="str">
        <f t="shared" si="35"/>
        <v/>
      </c>
      <c r="Q265" s="75" t="str">
        <f t="shared" si="36"/>
        <v/>
      </c>
      <c r="R265" s="76" t="str">
        <f t="shared" si="37"/>
        <v/>
      </c>
      <c r="S265" s="76" t="str">
        <f t="shared" si="38"/>
        <v/>
      </c>
      <c r="T265" s="43"/>
      <c r="U265" s="107"/>
      <c r="V265" s="76" t="str">
        <f t="shared" si="39"/>
        <v/>
      </c>
      <c r="W265" s="43"/>
      <c r="X265" s="43"/>
      <c r="Y265" s="74"/>
    </row>
    <row r="266" ht="18" customHeight="1" spans="1:25">
      <c r="A266" s="74" t="str">
        <f t="shared" si="32"/>
        <v/>
      </c>
      <c r="B266" s="7"/>
      <c r="C266" s="43"/>
      <c r="D266" s="106"/>
      <c r="E266" s="43"/>
      <c r="F266" s="43"/>
      <c r="G266" s="43"/>
      <c r="H266" s="107"/>
      <c r="I266" s="107"/>
      <c r="J266" s="76" t="str">
        <f>IF($C266="","",ROUND(IFERROR(INDEX(期初余额!$I$4:$I$9,MATCH($C266,期初余额!$H$4:$H$9,0)),0)+SUMIFS($H$4:$H266,$C$4:$C266,$C266)-SUMIFS($I$4:$I266,$C$4:$C266,$C266),2))</f>
        <v/>
      </c>
      <c r="K266" s="111" t="str">
        <f>IF($T266&lt;&gt;"",$T266,IF($C266="","",IF(AND(N($I266)&gt;0,$G266&lt;&gt;""),IFERROR(INDEX(科目表!$U$4:$U$123,MATCH($G266,科目表!$M$4:$M$123,0)),"管理费用"),IF(N($H266)&gt;0,IFERROR(INDEX(自动规则!$C$4:$C$40,MATCH($F266,自动规则!$B$4:$B$40,0)),"其他应收款"),IFERROR(INDEX(自动规则!$D$4:$D$40,MATCH($F266,自动规则!$B$4:$B$40,0)),"其他应付款")))))</f>
        <v/>
      </c>
      <c r="L266" s="106"/>
      <c r="M266" s="75" t="str">
        <f>IF($C266="","",IFERROR(INDEX(科目表!$T$4:$T$9,MATCH($C266,科目表!$S$4:$S$9,0)),""))</f>
        <v/>
      </c>
      <c r="N266" s="75" t="str">
        <f t="shared" si="33"/>
        <v/>
      </c>
      <c r="O266" s="76" t="str">
        <f t="shared" si="34"/>
        <v/>
      </c>
      <c r="P266" s="76" t="str">
        <f t="shared" si="35"/>
        <v/>
      </c>
      <c r="Q266" s="75" t="str">
        <f t="shared" si="36"/>
        <v/>
      </c>
      <c r="R266" s="76" t="str">
        <f t="shared" si="37"/>
        <v/>
      </c>
      <c r="S266" s="76" t="str">
        <f t="shared" si="38"/>
        <v/>
      </c>
      <c r="T266" s="43"/>
      <c r="U266" s="107"/>
      <c r="V266" s="76" t="str">
        <f t="shared" si="39"/>
        <v/>
      </c>
      <c r="W266" s="43"/>
      <c r="X266" s="43"/>
      <c r="Y266" s="74"/>
    </row>
    <row r="267" ht="18" customHeight="1" spans="1:25">
      <c r="A267" s="74" t="str">
        <f t="shared" si="32"/>
        <v/>
      </c>
      <c r="B267" s="7"/>
      <c r="C267" s="43"/>
      <c r="D267" s="106"/>
      <c r="E267" s="43"/>
      <c r="F267" s="43"/>
      <c r="G267" s="43"/>
      <c r="H267" s="107"/>
      <c r="I267" s="107"/>
      <c r="J267" s="76" t="str">
        <f>IF($C267="","",ROUND(IFERROR(INDEX(期初余额!$I$4:$I$9,MATCH($C267,期初余额!$H$4:$H$9,0)),0)+SUMIFS($H$4:$H267,$C$4:$C267,$C267)-SUMIFS($I$4:$I267,$C$4:$C267,$C267),2))</f>
        <v/>
      </c>
      <c r="K267" s="111" t="str">
        <f>IF($T267&lt;&gt;"",$T267,IF($C267="","",IF(AND(N($I267)&gt;0,$G267&lt;&gt;""),IFERROR(INDEX(科目表!$U$4:$U$123,MATCH($G267,科目表!$M$4:$M$123,0)),"管理费用"),IF(N($H267)&gt;0,IFERROR(INDEX(自动规则!$C$4:$C$40,MATCH($F267,自动规则!$B$4:$B$40,0)),"其他应收款"),IFERROR(INDEX(自动规则!$D$4:$D$40,MATCH($F267,自动规则!$B$4:$B$40,0)),"其他应付款")))))</f>
        <v/>
      </c>
      <c r="L267" s="106"/>
      <c r="M267" s="75" t="str">
        <f>IF($C267="","",IFERROR(INDEX(科目表!$T$4:$T$9,MATCH($C267,科目表!$S$4:$S$9,0)),""))</f>
        <v/>
      </c>
      <c r="N267" s="75" t="str">
        <f t="shared" si="33"/>
        <v/>
      </c>
      <c r="O267" s="76" t="str">
        <f t="shared" si="34"/>
        <v/>
      </c>
      <c r="P267" s="76" t="str">
        <f t="shared" si="35"/>
        <v/>
      </c>
      <c r="Q267" s="75" t="str">
        <f t="shared" si="36"/>
        <v/>
      </c>
      <c r="R267" s="76" t="str">
        <f t="shared" si="37"/>
        <v/>
      </c>
      <c r="S267" s="76" t="str">
        <f t="shared" si="38"/>
        <v/>
      </c>
      <c r="T267" s="43"/>
      <c r="U267" s="107"/>
      <c r="V267" s="76" t="str">
        <f t="shared" si="39"/>
        <v/>
      </c>
      <c r="W267" s="43"/>
      <c r="X267" s="43"/>
      <c r="Y267" s="74"/>
    </row>
    <row r="268" ht="18" customHeight="1" spans="1:25">
      <c r="A268" s="74" t="str">
        <f t="shared" si="32"/>
        <v/>
      </c>
      <c r="B268" s="7"/>
      <c r="C268" s="43"/>
      <c r="D268" s="106"/>
      <c r="E268" s="43"/>
      <c r="F268" s="43"/>
      <c r="G268" s="43"/>
      <c r="H268" s="107"/>
      <c r="I268" s="107"/>
      <c r="J268" s="76" t="str">
        <f>IF($C268="","",ROUND(IFERROR(INDEX(期初余额!$I$4:$I$9,MATCH($C268,期初余额!$H$4:$H$9,0)),0)+SUMIFS($H$4:$H268,$C$4:$C268,$C268)-SUMIFS($I$4:$I268,$C$4:$C268,$C268),2))</f>
        <v/>
      </c>
      <c r="K268" s="111" t="str">
        <f>IF($T268&lt;&gt;"",$T268,IF($C268="","",IF(AND(N($I268)&gt;0,$G268&lt;&gt;""),IFERROR(INDEX(科目表!$U$4:$U$123,MATCH($G268,科目表!$M$4:$M$123,0)),"管理费用"),IF(N($H268)&gt;0,IFERROR(INDEX(自动规则!$C$4:$C$40,MATCH($F268,自动规则!$B$4:$B$40,0)),"其他应收款"),IFERROR(INDEX(自动规则!$D$4:$D$40,MATCH($F268,自动规则!$B$4:$B$40,0)),"其他应付款")))))</f>
        <v/>
      </c>
      <c r="L268" s="106"/>
      <c r="M268" s="75" t="str">
        <f>IF($C268="","",IFERROR(INDEX(科目表!$T$4:$T$9,MATCH($C268,科目表!$S$4:$S$9,0)),""))</f>
        <v/>
      </c>
      <c r="N268" s="75" t="str">
        <f t="shared" si="33"/>
        <v/>
      </c>
      <c r="O268" s="76" t="str">
        <f t="shared" si="34"/>
        <v/>
      </c>
      <c r="P268" s="76" t="str">
        <f t="shared" si="35"/>
        <v/>
      </c>
      <c r="Q268" s="75" t="str">
        <f t="shared" si="36"/>
        <v/>
      </c>
      <c r="R268" s="76" t="str">
        <f t="shared" si="37"/>
        <v/>
      </c>
      <c r="S268" s="76" t="str">
        <f t="shared" si="38"/>
        <v/>
      </c>
      <c r="T268" s="43"/>
      <c r="U268" s="107"/>
      <c r="V268" s="76" t="str">
        <f t="shared" si="39"/>
        <v/>
      </c>
      <c r="W268" s="43"/>
      <c r="X268" s="43"/>
      <c r="Y268" s="74"/>
    </row>
    <row r="269" ht="18" customHeight="1" spans="1:25">
      <c r="A269" s="74" t="str">
        <f t="shared" si="32"/>
        <v/>
      </c>
      <c r="B269" s="7"/>
      <c r="C269" s="43"/>
      <c r="D269" s="106"/>
      <c r="E269" s="43"/>
      <c r="F269" s="43"/>
      <c r="G269" s="43"/>
      <c r="H269" s="107"/>
      <c r="I269" s="107"/>
      <c r="J269" s="76" t="str">
        <f>IF($C269="","",ROUND(IFERROR(INDEX(期初余额!$I$4:$I$9,MATCH($C269,期初余额!$H$4:$H$9,0)),0)+SUMIFS($H$4:$H269,$C$4:$C269,$C269)-SUMIFS($I$4:$I269,$C$4:$C269,$C269),2))</f>
        <v/>
      </c>
      <c r="K269" s="111" t="str">
        <f>IF($T269&lt;&gt;"",$T269,IF($C269="","",IF(AND(N($I269)&gt;0,$G269&lt;&gt;""),IFERROR(INDEX(科目表!$U$4:$U$123,MATCH($G269,科目表!$M$4:$M$123,0)),"管理费用"),IF(N($H269)&gt;0,IFERROR(INDEX(自动规则!$C$4:$C$40,MATCH($F269,自动规则!$B$4:$B$40,0)),"其他应收款"),IFERROR(INDEX(自动规则!$D$4:$D$40,MATCH($F269,自动规则!$B$4:$B$40,0)),"其他应付款")))))</f>
        <v/>
      </c>
      <c r="L269" s="106"/>
      <c r="M269" s="75" t="str">
        <f>IF($C269="","",IFERROR(INDEX(科目表!$T$4:$T$9,MATCH($C269,科目表!$S$4:$S$9,0)),""))</f>
        <v/>
      </c>
      <c r="N269" s="75" t="str">
        <f t="shared" si="33"/>
        <v/>
      </c>
      <c r="O269" s="76" t="str">
        <f t="shared" si="34"/>
        <v/>
      </c>
      <c r="P269" s="76" t="str">
        <f t="shared" si="35"/>
        <v/>
      </c>
      <c r="Q269" s="75" t="str">
        <f t="shared" si="36"/>
        <v/>
      </c>
      <c r="R269" s="76" t="str">
        <f t="shared" si="37"/>
        <v/>
      </c>
      <c r="S269" s="76" t="str">
        <f t="shared" si="38"/>
        <v/>
      </c>
      <c r="T269" s="43"/>
      <c r="U269" s="107"/>
      <c r="V269" s="76" t="str">
        <f t="shared" si="39"/>
        <v/>
      </c>
      <c r="W269" s="43"/>
      <c r="X269" s="43"/>
      <c r="Y269" s="74"/>
    </row>
    <row r="270" ht="18" customHeight="1" spans="1:25">
      <c r="A270" s="74" t="str">
        <f t="shared" si="32"/>
        <v/>
      </c>
      <c r="B270" s="7"/>
      <c r="C270" s="43"/>
      <c r="D270" s="106"/>
      <c r="E270" s="43"/>
      <c r="F270" s="43"/>
      <c r="G270" s="43"/>
      <c r="H270" s="107"/>
      <c r="I270" s="107"/>
      <c r="J270" s="76" t="str">
        <f>IF($C270="","",ROUND(IFERROR(INDEX(期初余额!$I$4:$I$9,MATCH($C270,期初余额!$H$4:$H$9,0)),0)+SUMIFS($H$4:$H270,$C$4:$C270,$C270)-SUMIFS($I$4:$I270,$C$4:$C270,$C270),2))</f>
        <v/>
      </c>
      <c r="K270" s="111" t="str">
        <f>IF($T270&lt;&gt;"",$T270,IF($C270="","",IF(AND(N($I270)&gt;0,$G270&lt;&gt;""),IFERROR(INDEX(科目表!$U$4:$U$123,MATCH($G270,科目表!$M$4:$M$123,0)),"管理费用"),IF(N($H270)&gt;0,IFERROR(INDEX(自动规则!$C$4:$C$40,MATCH($F270,自动规则!$B$4:$B$40,0)),"其他应收款"),IFERROR(INDEX(自动规则!$D$4:$D$40,MATCH($F270,自动规则!$B$4:$B$40,0)),"其他应付款")))))</f>
        <v/>
      </c>
      <c r="L270" s="106"/>
      <c r="M270" s="75" t="str">
        <f>IF($C270="","",IFERROR(INDEX(科目表!$T$4:$T$9,MATCH($C270,科目表!$S$4:$S$9,0)),""))</f>
        <v/>
      </c>
      <c r="N270" s="75" t="str">
        <f t="shared" si="33"/>
        <v/>
      </c>
      <c r="O270" s="76" t="str">
        <f t="shared" si="34"/>
        <v/>
      </c>
      <c r="P270" s="76" t="str">
        <f t="shared" si="35"/>
        <v/>
      </c>
      <c r="Q270" s="75" t="str">
        <f t="shared" si="36"/>
        <v/>
      </c>
      <c r="R270" s="76" t="str">
        <f t="shared" si="37"/>
        <v/>
      </c>
      <c r="S270" s="76" t="str">
        <f t="shared" si="38"/>
        <v/>
      </c>
      <c r="T270" s="43"/>
      <c r="U270" s="107"/>
      <c r="V270" s="76" t="str">
        <f t="shared" si="39"/>
        <v/>
      </c>
      <c r="W270" s="43"/>
      <c r="X270" s="43"/>
      <c r="Y270" s="74"/>
    </row>
    <row r="271" ht="18" customHeight="1" spans="1:25">
      <c r="A271" s="74" t="str">
        <f t="shared" si="32"/>
        <v/>
      </c>
      <c r="B271" s="7"/>
      <c r="C271" s="43"/>
      <c r="D271" s="106"/>
      <c r="E271" s="43"/>
      <c r="F271" s="43"/>
      <c r="G271" s="43"/>
      <c r="H271" s="107"/>
      <c r="I271" s="107"/>
      <c r="J271" s="76" t="str">
        <f>IF($C271="","",ROUND(IFERROR(INDEX(期初余额!$I$4:$I$9,MATCH($C271,期初余额!$H$4:$H$9,0)),0)+SUMIFS($H$4:$H271,$C$4:$C271,$C271)-SUMIFS($I$4:$I271,$C$4:$C271,$C271),2))</f>
        <v/>
      </c>
      <c r="K271" s="111" t="str">
        <f>IF($T271&lt;&gt;"",$T271,IF($C271="","",IF(AND(N($I271)&gt;0,$G271&lt;&gt;""),IFERROR(INDEX(科目表!$U$4:$U$123,MATCH($G271,科目表!$M$4:$M$123,0)),"管理费用"),IF(N($H271)&gt;0,IFERROR(INDEX(自动规则!$C$4:$C$40,MATCH($F271,自动规则!$B$4:$B$40,0)),"其他应收款"),IFERROR(INDEX(自动规则!$D$4:$D$40,MATCH($F271,自动规则!$B$4:$B$40,0)),"其他应付款")))))</f>
        <v/>
      </c>
      <c r="L271" s="106"/>
      <c r="M271" s="75" t="str">
        <f>IF($C271="","",IFERROR(INDEX(科目表!$T$4:$T$9,MATCH($C271,科目表!$S$4:$S$9,0)),""))</f>
        <v/>
      </c>
      <c r="N271" s="75" t="str">
        <f t="shared" si="33"/>
        <v/>
      </c>
      <c r="O271" s="76" t="str">
        <f t="shared" si="34"/>
        <v/>
      </c>
      <c r="P271" s="76" t="str">
        <f t="shared" si="35"/>
        <v/>
      </c>
      <c r="Q271" s="75" t="str">
        <f t="shared" si="36"/>
        <v/>
      </c>
      <c r="R271" s="76" t="str">
        <f t="shared" si="37"/>
        <v/>
      </c>
      <c r="S271" s="76" t="str">
        <f t="shared" si="38"/>
        <v/>
      </c>
      <c r="T271" s="43"/>
      <c r="U271" s="107"/>
      <c r="V271" s="76" t="str">
        <f t="shared" si="39"/>
        <v/>
      </c>
      <c r="W271" s="43"/>
      <c r="X271" s="43"/>
      <c r="Y271" s="74"/>
    </row>
    <row r="272" ht="18" customHeight="1" spans="1:25">
      <c r="A272" s="74" t="str">
        <f t="shared" si="32"/>
        <v/>
      </c>
      <c r="B272" s="7"/>
      <c r="C272" s="43"/>
      <c r="D272" s="106"/>
      <c r="E272" s="43"/>
      <c r="F272" s="43"/>
      <c r="G272" s="43"/>
      <c r="H272" s="107"/>
      <c r="I272" s="107"/>
      <c r="J272" s="76" t="str">
        <f>IF($C272="","",ROUND(IFERROR(INDEX(期初余额!$I$4:$I$9,MATCH($C272,期初余额!$H$4:$H$9,0)),0)+SUMIFS($H$4:$H272,$C$4:$C272,$C272)-SUMIFS($I$4:$I272,$C$4:$C272,$C272),2))</f>
        <v/>
      </c>
      <c r="K272" s="111" t="str">
        <f>IF($T272&lt;&gt;"",$T272,IF($C272="","",IF(AND(N($I272)&gt;0,$G272&lt;&gt;""),IFERROR(INDEX(科目表!$U$4:$U$123,MATCH($G272,科目表!$M$4:$M$123,0)),"管理费用"),IF(N($H272)&gt;0,IFERROR(INDEX(自动规则!$C$4:$C$40,MATCH($F272,自动规则!$B$4:$B$40,0)),"其他应收款"),IFERROR(INDEX(自动规则!$D$4:$D$40,MATCH($F272,自动规则!$B$4:$B$40,0)),"其他应付款")))))</f>
        <v/>
      </c>
      <c r="L272" s="106"/>
      <c r="M272" s="75" t="str">
        <f>IF($C272="","",IFERROR(INDEX(科目表!$T$4:$T$9,MATCH($C272,科目表!$S$4:$S$9,0)),""))</f>
        <v/>
      </c>
      <c r="N272" s="75" t="str">
        <f t="shared" si="33"/>
        <v/>
      </c>
      <c r="O272" s="76" t="str">
        <f t="shared" si="34"/>
        <v/>
      </c>
      <c r="P272" s="76" t="str">
        <f t="shared" si="35"/>
        <v/>
      </c>
      <c r="Q272" s="75" t="str">
        <f t="shared" si="36"/>
        <v/>
      </c>
      <c r="R272" s="76" t="str">
        <f t="shared" si="37"/>
        <v/>
      </c>
      <c r="S272" s="76" t="str">
        <f t="shared" si="38"/>
        <v/>
      </c>
      <c r="T272" s="43"/>
      <c r="U272" s="107"/>
      <c r="V272" s="76" t="str">
        <f t="shared" si="39"/>
        <v/>
      </c>
      <c r="W272" s="43"/>
      <c r="X272" s="43"/>
      <c r="Y272" s="74"/>
    </row>
    <row r="273" ht="18" customHeight="1" spans="1:25">
      <c r="A273" s="74" t="str">
        <f t="shared" si="32"/>
        <v/>
      </c>
      <c r="B273" s="7"/>
      <c r="C273" s="43"/>
      <c r="D273" s="106"/>
      <c r="E273" s="43"/>
      <c r="F273" s="43"/>
      <c r="G273" s="43"/>
      <c r="H273" s="107"/>
      <c r="I273" s="107"/>
      <c r="J273" s="76" t="str">
        <f>IF($C273="","",ROUND(IFERROR(INDEX(期初余额!$I$4:$I$9,MATCH($C273,期初余额!$H$4:$H$9,0)),0)+SUMIFS($H$4:$H273,$C$4:$C273,$C273)-SUMIFS($I$4:$I273,$C$4:$C273,$C273),2))</f>
        <v/>
      </c>
      <c r="K273" s="111" t="str">
        <f>IF($T273&lt;&gt;"",$T273,IF($C273="","",IF(AND(N($I273)&gt;0,$G273&lt;&gt;""),IFERROR(INDEX(科目表!$U$4:$U$123,MATCH($G273,科目表!$M$4:$M$123,0)),"管理费用"),IF(N($H273)&gt;0,IFERROR(INDEX(自动规则!$C$4:$C$40,MATCH($F273,自动规则!$B$4:$B$40,0)),"其他应收款"),IFERROR(INDEX(自动规则!$D$4:$D$40,MATCH($F273,自动规则!$B$4:$B$40,0)),"其他应付款")))))</f>
        <v/>
      </c>
      <c r="L273" s="106"/>
      <c r="M273" s="75" t="str">
        <f>IF($C273="","",IFERROR(INDEX(科目表!$T$4:$T$9,MATCH($C273,科目表!$S$4:$S$9,0)),""))</f>
        <v/>
      </c>
      <c r="N273" s="75" t="str">
        <f t="shared" si="33"/>
        <v/>
      </c>
      <c r="O273" s="76" t="str">
        <f t="shared" si="34"/>
        <v/>
      </c>
      <c r="P273" s="76" t="str">
        <f t="shared" si="35"/>
        <v/>
      </c>
      <c r="Q273" s="75" t="str">
        <f t="shared" si="36"/>
        <v/>
      </c>
      <c r="R273" s="76" t="str">
        <f t="shared" si="37"/>
        <v/>
      </c>
      <c r="S273" s="76" t="str">
        <f t="shared" si="38"/>
        <v/>
      </c>
      <c r="T273" s="43"/>
      <c r="U273" s="107"/>
      <c r="V273" s="76" t="str">
        <f t="shared" si="39"/>
        <v/>
      </c>
      <c r="W273" s="43"/>
      <c r="X273" s="43"/>
      <c r="Y273" s="74"/>
    </row>
    <row r="274" ht="18" customHeight="1" spans="1:25">
      <c r="A274" s="74" t="str">
        <f t="shared" si="32"/>
        <v/>
      </c>
      <c r="B274" s="7"/>
      <c r="C274" s="43"/>
      <c r="D274" s="106"/>
      <c r="E274" s="43"/>
      <c r="F274" s="43"/>
      <c r="G274" s="43"/>
      <c r="H274" s="107"/>
      <c r="I274" s="107"/>
      <c r="J274" s="76" t="str">
        <f>IF($C274="","",ROUND(IFERROR(INDEX(期初余额!$I$4:$I$9,MATCH($C274,期初余额!$H$4:$H$9,0)),0)+SUMIFS($H$4:$H274,$C$4:$C274,$C274)-SUMIFS($I$4:$I274,$C$4:$C274,$C274),2))</f>
        <v/>
      </c>
      <c r="K274" s="111" t="str">
        <f>IF($T274&lt;&gt;"",$T274,IF($C274="","",IF(AND(N($I274)&gt;0,$G274&lt;&gt;""),IFERROR(INDEX(科目表!$U$4:$U$123,MATCH($G274,科目表!$M$4:$M$123,0)),"管理费用"),IF(N($H274)&gt;0,IFERROR(INDEX(自动规则!$C$4:$C$40,MATCH($F274,自动规则!$B$4:$B$40,0)),"其他应收款"),IFERROR(INDEX(自动规则!$D$4:$D$40,MATCH($F274,自动规则!$B$4:$B$40,0)),"其他应付款")))))</f>
        <v/>
      </c>
      <c r="L274" s="106"/>
      <c r="M274" s="75" t="str">
        <f>IF($C274="","",IFERROR(INDEX(科目表!$T$4:$T$9,MATCH($C274,科目表!$S$4:$S$9,0)),""))</f>
        <v/>
      </c>
      <c r="N274" s="75" t="str">
        <f t="shared" si="33"/>
        <v/>
      </c>
      <c r="O274" s="76" t="str">
        <f t="shared" si="34"/>
        <v/>
      </c>
      <c r="P274" s="76" t="str">
        <f t="shared" si="35"/>
        <v/>
      </c>
      <c r="Q274" s="75" t="str">
        <f t="shared" si="36"/>
        <v/>
      </c>
      <c r="R274" s="76" t="str">
        <f t="shared" si="37"/>
        <v/>
      </c>
      <c r="S274" s="76" t="str">
        <f t="shared" si="38"/>
        <v/>
      </c>
      <c r="T274" s="43"/>
      <c r="U274" s="107"/>
      <c r="V274" s="76" t="str">
        <f t="shared" si="39"/>
        <v/>
      </c>
      <c r="W274" s="43"/>
      <c r="X274" s="43"/>
      <c r="Y274" s="74"/>
    </row>
    <row r="275" ht="18" customHeight="1" spans="1:25">
      <c r="A275" s="74" t="str">
        <f t="shared" si="32"/>
        <v/>
      </c>
      <c r="B275" s="7"/>
      <c r="C275" s="43"/>
      <c r="D275" s="106"/>
      <c r="E275" s="43"/>
      <c r="F275" s="43"/>
      <c r="G275" s="43"/>
      <c r="H275" s="107"/>
      <c r="I275" s="107"/>
      <c r="J275" s="76" t="str">
        <f>IF($C275="","",ROUND(IFERROR(INDEX(期初余额!$I$4:$I$9,MATCH($C275,期初余额!$H$4:$H$9,0)),0)+SUMIFS($H$4:$H275,$C$4:$C275,$C275)-SUMIFS($I$4:$I275,$C$4:$C275,$C275),2))</f>
        <v/>
      </c>
      <c r="K275" s="111" t="str">
        <f>IF($T275&lt;&gt;"",$T275,IF($C275="","",IF(AND(N($I275)&gt;0,$G275&lt;&gt;""),IFERROR(INDEX(科目表!$U$4:$U$123,MATCH($G275,科目表!$M$4:$M$123,0)),"管理费用"),IF(N($H275)&gt;0,IFERROR(INDEX(自动规则!$C$4:$C$40,MATCH($F275,自动规则!$B$4:$B$40,0)),"其他应收款"),IFERROR(INDEX(自动规则!$D$4:$D$40,MATCH($F275,自动规则!$B$4:$B$40,0)),"其他应付款")))))</f>
        <v/>
      </c>
      <c r="L275" s="106"/>
      <c r="M275" s="75" t="str">
        <f>IF($C275="","",IFERROR(INDEX(科目表!$T$4:$T$9,MATCH($C275,科目表!$S$4:$S$9,0)),""))</f>
        <v/>
      </c>
      <c r="N275" s="75" t="str">
        <f t="shared" si="33"/>
        <v/>
      </c>
      <c r="O275" s="76" t="str">
        <f t="shared" si="34"/>
        <v/>
      </c>
      <c r="P275" s="76" t="str">
        <f t="shared" si="35"/>
        <v/>
      </c>
      <c r="Q275" s="75" t="str">
        <f t="shared" si="36"/>
        <v/>
      </c>
      <c r="R275" s="76" t="str">
        <f t="shared" si="37"/>
        <v/>
      </c>
      <c r="S275" s="76" t="str">
        <f t="shared" si="38"/>
        <v/>
      </c>
      <c r="T275" s="43"/>
      <c r="U275" s="107"/>
      <c r="V275" s="76" t="str">
        <f t="shared" si="39"/>
        <v/>
      </c>
      <c r="W275" s="43"/>
      <c r="X275" s="43"/>
      <c r="Y275" s="74"/>
    </row>
    <row r="276" ht="18" customHeight="1" spans="1:25">
      <c r="A276" s="74" t="str">
        <f t="shared" si="32"/>
        <v/>
      </c>
      <c r="B276" s="7"/>
      <c r="C276" s="43"/>
      <c r="D276" s="106"/>
      <c r="E276" s="43"/>
      <c r="F276" s="43"/>
      <c r="G276" s="43"/>
      <c r="H276" s="107"/>
      <c r="I276" s="107"/>
      <c r="J276" s="76" t="str">
        <f>IF($C276="","",ROUND(IFERROR(INDEX(期初余额!$I$4:$I$9,MATCH($C276,期初余额!$H$4:$H$9,0)),0)+SUMIFS($H$4:$H276,$C$4:$C276,$C276)-SUMIFS($I$4:$I276,$C$4:$C276,$C276),2))</f>
        <v/>
      </c>
      <c r="K276" s="111" t="str">
        <f>IF($T276&lt;&gt;"",$T276,IF($C276="","",IF(AND(N($I276)&gt;0,$G276&lt;&gt;""),IFERROR(INDEX(科目表!$U$4:$U$123,MATCH($G276,科目表!$M$4:$M$123,0)),"管理费用"),IF(N($H276)&gt;0,IFERROR(INDEX(自动规则!$C$4:$C$40,MATCH($F276,自动规则!$B$4:$B$40,0)),"其他应收款"),IFERROR(INDEX(自动规则!$D$4:$D$40,MATCH($F276,自动规则!$B$4:$B$40,0)),"其他应付款")))))</f>
        <v/>
      </c>
      <c r="L276" s="106"/>
      <c r="M276" s="75" t="str">
        <f>IF($C276="","",IFERROR(INDEX(科目表!$T$4:$T$9,MATCH($C276,科目表!$S$4:$S$9,0)),""))</f>
        <v/>
      </c>
      <c r="N276" s="75" t="str">
        <f t="shared" si="33"/>
        <v/>
      </c>
      <c r="O276" s="76" t="str">
        <f t="shared" si="34"/>
        <v/>
      </c>
      <c r="P276" s="76" t="str">
        <f t="shared" si="35"/>
        <v/>
      </c>
      <c r="Q276" s="75" t="str">
        <f t="shared" si="36"/>
        <v/>
      </c>
      <c r="R276" s="76" t="str">
        <f t="shared" si="37"/>
        <v/>
      </c>
      <c r="S276" s="76" t="str">
        <f t="shared" si="38"/>
        <v/>
      </c>
      <c r="T276" s="43"/>
      <c r="U276" s="107"/>
      <c r="V276" s="76" t="str">
        <f t="shared" si="39"/>
        <v/>
      </c>
      <c r="W276" s="43"/>
      <c r="X276" s="43"/>
      <c r="Y276" s="74"/>
    </row>
    <row r="277" ht="18" customHeight="1" spans="1:25">
      <c r="A277" s="74" t="str">
        <f t="shared" si="32"/>
        <v/>
      </c>
      <c r="B277" s="7"/>
      <c r="C277" s="43"/>
      <c r="D277" s="106"/>
      <c r="E277" s="43"/>
      <c r="F277" s="43"/>
      <c r="G277" s="43"/>
      <c r="H277" s="107"/>
      <c r="I277" s="107"/>
      <c r="J277" s="76" t="str">
        <f>IF($C277="","",ROUND(IFERROR(INDEX(期初余额!$I$4:$I$9,MATCH($C277,期初余额!$H$4:$H$9,0)),0)+SUMIFS($H$4:$H277,$C$4:$C277,$C277)-SUMIFS($I$4:$I277,$C$4:$C277,$C277),2))</f>
        <v/>
      </c>
      <c r="K277" s="111" t="str">
        <f>IF($T277&lt;&gt;"",$T277,IF($C277="","",IF(AND(N($I277)&gt;0,$G277&lt;&gt;""),IFERROR(INDEX(科目表!$U$4:$U$123,MATCH($G277,科目表!$M$4:$M$123,0)),"管理费用"),IF(N($H277)&gt;0,IFERROR(INDEX(自动规则!$C$4:$C$40,MATCH($F277,自动规则!$B$4:$B$40,0)),"其他应收款"),IFERROR(INDEX(自动规则!$D$4:$D$40,MATCH($F277,自动规则!$B$4:$B$40,0)),"其他应付款")))))</f>
        <v/>
      </c>
      <c r="L277" s="106"/>
      <c r="M277" s="75" t="str">
        <f>IF($C277="","",IFERROR(INDEX(科目表!$T$4:$T$9,MATCH($C277,科目表!$S$4:$S$9,0)),""))</f>
        <v/>
      </c>
      <c r="N277" s="75" t="str">
        <f t="shared" si="33"/>
        <v/>
      </c>
      <c r="O277" s="76" t="str">
        <f t="shared" si="34"/>
        <v/>
      </c>
      <c r="P277" s="76" t="str">
        <f t="shared" si="35"/>
        <v/>
      </c>
      <c r="Q277" s="75" t="str">
        <f t="shared" si="36"/>
        <v/>
      </c>
      <c r="R277" s="76" t="str">
        <f t="shared" si="37"/>
        <v/>
      </c>
      <c r="S277" s="76" t="str">
        <f t="shared" si="38"/>
        <v/>
      </c>
      <c r="T277" s="43"/>
      <c r="U277" s="107"/>
      <c r="V277" s="76" t="str">
        <f t="shared" si="39"/>
        <v/>
      </c>
      <c r="W277" s="43"/>
      <c r="X277" s="43"/>
      <c r="Y277" s="74"/>
    </row>
    <row r="278" ht="18" customHeight="1" spans="1:25">
      <c r="A278" s="74" t="str">
        <f t="shared" si="32"/>
        <v/>
      </c>
      <c r="B278" s="7"/>
      <c r="C278" s="43"/>
      <c r="D278" s="106"/>
      <c r="E278" s="43"/>
      <c r="F278" s="43"/>
      <c r="G278" s="43"/>
      <c r="H278" s="107"/>
      <c r="I278" s="107"/>
      <c r="J278" s="76" t="str">
        <f>IF($C278="","",ROUND(IFERROR(INDEX(期初余额!$I$4:$I$9,MATCH($C278,期初余额!$H$4:$H$9,0)),0)+SUMIFS($H$4:$H278,$C$4:$C278,$C278)-SUMIFS($I$4:$I278,$C$4:$C278,$C278),2))</f>
        <v/>
      </c>
      <c r="K278" s="111" t="str">
        <f>IF($T278&lt;&gt;"",$T278,IF($C278="","",IF(AND(N($I278)&gt;0,$G278&lt;&gt;""),IFERROR(INDEX(科目表!$U$4:$U$123,MATCH($G278,科目表!$M$4:$M$123,0)),"管理费用"),IF(N($H278)&gt;0,IFERROR(INDEX(自动规则!$C$4:$C$40,MATCH($F278,自动规则!$B$4:$B$40,0)),"其他应收款"),IFERROR(INDEX(自动规则!$D$4:$D$40,MATCH($F278,自动规则!$B$4:$B$40,0)),"其他应付款")))))</f>
        <v/>
      </c>
      <c r="L278" s="106"/>
      <c r="M278" s="75" t="str">
        <f>IF($C278="","",IFERROR(INDEX(科目表!$T$4:$T$9,MATCH($C278,科目表!$S$4:$S$9,0)),""))</f>
        <v/>
      </c>
      <c r="N278" s="75" t="str">
        <f t="shared" si="33"/>
        <v/>
      </c>
      <c r="O278" s="76" t="str">
        <f t="shared" si="34"/>
        <v/>
      </c>
      <c r="P278" s="76" t="str">
        <f t="shared" si="35"/>
        <v/>
      </c>
      <c r="Q278" s="75" t="str">
        <f t="shared" si="36"/>
        <v/>
      </c>
      <c r="R278" s="76" t="str">
        <f t="shared" si="37"/>
        <v/>
      </c>
      <c r="S278" s="76" t="str">
        <f t="shared" si="38"/>
        <v/>
      </c>
      <c r="T278" s="43"/>
      <c r="U278" s="107"/>
      <c r="V278" s="76" t="str">
        <f t="shared" si="39"/>
        <v/>
      </c>
      <c r="W278" s="43"/>
      <c r="X278" s="43"/>
      <c r="Y278" s="74"/>
    </row>
    <row r="279" ht="18" customHeight="1" spans="1:25">
      <c r="A279" s="74" t="str">
        <f t="shared" si="32"/>
        <v/>
      </c>
      <c r="B279" s="7"/>
      <c r="C279" s="43"/>
      <c r="D279" s="106"/>
      <c r="E279" s="43"/>
      <c r="F279" s="43"/>
      <c r="G279" s="43"/>
      <c r="H279" s="107"/>
      <c r="I279" s="107"/>
      <c r="J279" s="76" t="str">
        <f>IF($C279="","",ROUND(IFERROR(INDEX(期初余额!$I$4:$I$9,MATCH($C279,期初余额!$H$4:$H$9,0)),0)+SUMIFS($H$4:$H279,$C$4:$C279,$C279)-SUMIFS($I$4:$I279,$C$4:$C279,$C279),2))</f>
        <v/>
      </c>
      <c r="K279" s="111" t="str">
        <f>IF($T279&lt;&gt;"",$T279,IF($C279="","",IF(AND(N($I279)&gt;0,$G279&lt;&gt;""),IFERROR(INDEX(科目表!$U$4:$U$123,MATCH($G279,科目表!$M$4:$M$123,0)),"管理费用"),IF(N($H279)&gt;0,IFERROR(INDEX(自动规则!$C$4:$C$40,MATCH($F279,自动规则!$B$4:$B$40,0)),"其他应收款"),IFERROR(INDEX(自动规则!$D$4:$D$40,MATCH($F279,自动规则!$B$4:$B$40,0)),"其他应付款")))))</f>
        <v/>
      </c>
      <c r="L279" s="106"/>
      <c r="M279" s="75" t="str">
        <f>IF($C279="","",IFERROR(INDEX(科目表!$T$4:$T$9,MATCH($C279,科目表!$S$4:$S$9,0)),""))</f>
        <v/>
      </c>
      <c r="N279" s="75" t="str">
        <f t="shared" si="33"/>
        <v/>
      </c>
      <c r="O279" s="76" t="str">
        <f t="shared" si="34"/>
        <v/>
      </c>
      <c r="P279" s="76" t="str">
        <f t="shared" si="35"/>
        <v/>
      </c>
      <c r="Q279" s="75" t="str">
        <f t="shared" si="36"/>
        <v/>
      </c>
      <c r="R279" s="76" t="str">
        <f t="shared" si="37"/>
        <v/>
      </c>
      <c r="S279" s="76" t="str">
        <f t="shared" si="38"/>
        <v/>
      </c>
      <c r="T279" s="43"/>
      <c r="U279" s="107"/>
      <c r="V279" s="76" t="str">
        <f t="shared" si="39"/>
        <v/>
      </c>
      <c r="W279" s="43"/>
      <c r="X279" s="43"/>
      <c r="Y279" s="74"/>
    </row>
    <row r="280" ht="18" customHeight="1" spans="1:25">
      <c r="A280" s="74" t="str">
        <f t="shared" si="32"/>
        <v/>
      </c>
      <c r="B280" s="7"/>
      <c r="C280" s="43"/>
      <c r="D280" s="106"/>
      <c r="E280" s="43"/>
      <c r="F280" s="43"/>
      <c r="G280" s="43"/>
      <c r="H280" s="107"/>
      <c r="I280" s="107"/>
      <c r="J280" s="76" t="str">
        <f>IF($C280="","",ROUND(IFERROR(INDEX(期初余额!$I$4:$I$9,MATCH($C280,期初余额!$H$4:$H$9,0)),0)+SUMIFS($H$4:$H280,$C$4:$C280,$C280)-SUMIFS($I$4:$I280,$C$4:$C280,$C280),2))</f>
        <v/>
      </c>
      <c r="K280" s="111" t="str">
        <f>IF($T280&lt;&gt;"",$T280,IF($C280="","",IF(AND(N($I280)&gt;0,$G280&lt;&gt;""),IFERROR(INDEX(科目表!$U$4:$U$123,MATCH($G280,科目表!$M$4:$M$123,0)),"管理费用"),IF(N($H280)&gt;0,IFERROR(INDEX(自动规则!$C$4:$C$40,MATCH($F280,自动规则!$B$4:$B$40,0)),"其他应收款"),IFERROR(INDEX(自动规则!$D$4:$D$40,MATCH($F280,自动规则!$B$4:$B$40,0)),"其他应付款")))))</f>
        <v/>
      </c>
      <c r="L280" s="106"/>
      <c r="M280" s="75" t="str">
        <f>IF($C280="","",IFERROR(INDEX(科目表!$T$4:$T$9,MATCH($C280,科目表!$S$4:$S$9,0)),""))</f>
        <v/>
      </c>
      <c r="N280" s="75" t="str">
        <f t="shared" si="33"/>
        <v/>
      </c>
      <c r="O280" s="76" t="str">
        <f t="shared" si="34"/>
        <v/>
      </c>
      <c r="P280" s="76" t="str">
        <f t="shared" si="35"/>
        <v/>
      </c>
      <c r="Q280" s="75" t="str">
        <f t="shared" si="36"/>
        <v/>
      </c>
      <c r="R280" s="76" t="str">
        <f t="shared" si="37"/>
        <v/>
      </c>
      <c r="S280" s="76" t="str">
        <f t="shared" si="38"/>
        <v/>
      </c>
      <c r="T280" s="43"/>
      <c r="U280" s="107"/>
      <c r="V280" s="76" t="str">
        <f t="shared" si="39"/>
        <v/>
      </c>
      <c r="W280" s="43"/>
      <c r="X280" s="43"/>
      <c r="Y280" s="74"/>
    </row>
    <row r="281" ht="18" customHeight="1" spans="1:25">
      <c r="A281" s="74" t="str">
        <f t="shared" si="32"/>
        <v/>
      </c>
      <c r="B281" s="7"/>
      <c r="C281" s="43"/>
      <c r="D281" s="106"/>
      <c r="E281" s="43"/>
      <c r="F281" s="43"/>
      <c r="G281" s="43"/>
      <c r="H281" s="107"/>
      <c r="I281" s="107"/>
      <c r="J281" s="76" t="str">
        <f>IF($C281="","",ROUND(IFERROR(INDEX(期初余额!$I$4:$I$9,MATCH($C281,期初余额!$H$4:$H$9,0)),0)+SUMIFS($H$4:$H281,$C$4:$C281,$C281)-SUMIFS($I$4:$I281,$C$4:$C281,$C281),2))</f>
        <v/>
      </c>
      <c r="K281" s="111" t="str">
        <f>IF($T281&lt;&gt;"",$T281,IF($C281="","",IF(AND(N($I281)&gt;0,$G281&lt;&gt;""),IFERROR(INDEX(科目表!$U$4:$U$123,MATCH($G281,科目表!$M$4:$M$123,0)),"管理费用"),IF(N($H281)&gt;0,IFERROR(INDEX(自动规则!$C$4:$C$40,MATCH($F281,自动规则!$B$4:$B$40,0)),"其他应收款"),IFERROR(INDEX(自动规则!$D$4:$D$40,MATCH($F281,自动规则!$B$4:$B$40,0)),"其他应付款")))))</f>
        <v/>
      </c>
      <c r="L281" s="106"/>
      <c r="M281" s="75" t="str">
        <f>IF($C281="","",IFERROR(INDEX(科目表!$T$4:$T$9,MATCH($C281,科目表!$S$4:$S$9,0)),""))</f>
        <v/>
      </c>
      <c r="N281" s="75" t="str">
        <f t="shared" si="33"/>
        <v/>
      </c>
      <c r="O281" s="76" t="str">
        <f t="shared" si="34"/>
        <v/>
      </c>
      <c r="P281" s="76" t="str">
        <f t="shared" si="35"/>
        <v/>
      </c>
      <c r="Q281" s="75" t="str">
        <f t="shared" si="36"/>
        <v/>
      </c>
      <c r="R281" s="76" t="str">
        <f t="shared" si="37"/>
        <v/>
      </c>
      <c r="S281" s="76" t="str">
        <f t="shared" si="38"/>
        <v/>
      </c>
      <c r="T281" s="43"/>
      <c r="U281" s="107"/>
      <c r="V281" s="76" t="str">
        <f t="shared" si="39"/>
        <v/>
      </c>
      <c r="W281" s="43"/>
      <c r="X281" s="43"/>
      <c r="Y281" s="74"/>
    </row>
    <row r="282" ht="18" customHeight="1" spans="1:25">
      <c r="A282" s="74" t="str">
        <f t="shared" si="32"/>
        <v/>
      </c>
      <c r="B282" s="7"/>
      <c r="C282" s="43"/>
      <c r="D282" s="106"/>
      <c r="E282" s="43"/>
      <c r="F282" s="43"/>
      <c r="G282" s="43"/>
      <c r="H282" s="107"/>
      <c r="I282" s="107"/>
      <c r="J282" s="76" t="str">
        <f>IF($C282="","",ROUND(IFERROR(INDEX(期初余额!$I$4:$I$9,MATCH($C282,期初余额!$H$4:$H$9,0)),0)+SUMIFS($H$4:$H282,$C$4:$C282,$C282)-SUMIFS($I$4:$I282,$C$4:$C282,$C282),2))</f>
        <v/>
      </c>
      <c r="K282" s="111" t="str">
        <f>IF($T282&lt;&gt;"",$T282,IF($C282="","",IF(AND(N($I282)&gt;0,$G282&lt;&gt;""),IFERROR(INDEX(科目表!$U$4:$U$123,MATCH($G282,科目表!$M$4:$M$123,0)),"管理费用"),IF(N($H282)&gt;0,IFERROR(INDEX(自动规则!$C$4:$C$40,MATCH($F282,自动规则!$B$4:$B$40,0)),"其他应收款"),IFERROR(INDEX(自动规则!$D$4:$D$40,MATCH($F282,自动规则!$B$4:$B$40,0)),"其他应付款")))))</f>
        <v/>
      </c>
      <c r="L282" s="106"/>
      <c r="M282" s="75" t="str">
        <f>IF($C282="","",IFERROR(INDEX(科目表!$T$4:$T$9,MATCH($C282,科目表!$S$4:$S$9,0)),""))</f>
        <v/>
      </c>
      <c r="N282" s="75" t="str">
        <f t="shared" si="33"/>
        <v/>
      </c>
      <c r="O282" s="76" t="str">
        <f t="shared" si="34"/>
        <v/>
      </c>
      <c r="P282" s="76" t="str">
        <f t="shared" si="35"/>
        <v/>
      </c>
      <c r="Q282" s="75" t="str">
        <f t="shared" si="36"/>
        <v/>
      </c>
      <c r="R282" s="76" t="str">
        <f t="shared" si="37"/>
        <v/>
      </c>
      <c r="S282" s="76" t="str">
        <f t="shared" si="38"/>
        <v/>
      </c>
      <c r="T282" s="43"/>
      <c r="U282" s="107"/>
      <c r="V282" s="76" t="str">
        <f t="shared" si="39"/>
        <v/>
      </c>
      <c r="W282" s="43"/>
      <c r="X282" s="43"/>
      <c r="Y282" s="74"/>
    </row>
    <row r="283" ht="18" customHeight="1" spans="1:25">
      <c r="A283" s="74" t="str">
        <f t="shared" si="32"/>
        <v/>
      </c>
      <c r="B283" s="7"/>
      <c r="C283" s="43"/>
      <c r="D283" s="106"/>
      <c r="E283" s="43"/>
      <c r="F283" s="43"/>
      <c r="G283" s="43"/>
      <c r="H283" s="107"/>
      <c r="I283" s="107"/>
      <c r="J283" s="76" t="str">
        <f>IF($C283="","",ROUND(IFERROR(INDEX(期初余额!$I$4:$I$9,MATCH($C283,期初余额!$H$4:$H$9,0)),0)+SUMIFS($H$4:$H283,$C$4:$C283,$C283)-SUMIFS($I$4:$I283,$C$4:$C283,$C283),2))</f>
        <v/>
      </c>
      <c r="K283" s="111" t="str">
        <f>IF($T283&lt;&gt;"",$T283,IF($C283="","",IF(AND(N($I283)&gt;0,$G283&lt;&gt;""),IFERROR(INDEX(科目表!$U$4:$U$123,MATCH($G283,科目表!$M$4:$M$123,0)),"管理费用"),IF(N($H283)&gt;0,IFERROR(INDEX(自动规则!$C$4:$C$40,MATCH($F283,自动规则!$B$4:$B$40,0)),"其他应收款"),IFERROR(INDEX(自动规则!$D$4:$D$40,MATCH($F283,自动规则!$B$4:$B$40,0)),"其他应付款")))))</f>
        <v/>
      </c>
      <c r="L283" s="106"/>
      <c r="M283" s="75" t="str">
        <f>IF($C283="","",IFERROR(INDEX(科目表!$T$4:$T$9,MATCH($C283,科目表!$S$4:$S$9,0)),""))</f>
        <v/>
      </c>
      <c r="N283" s="75" t="str">
        <f t="shared" si="33"/>
        <v/>
      </c>
      <c r="O283" s="76" t="str">
        <f t="shared" si="34"/>
        <v/>
      </c>
      <c r="P283" s="76" t="str">
        <f t="shared" si="35"/>
        <v/>
      </c>
      <c r="Q283" s="75" t="str">
        <f t="shared" si="36"/>
        <v/>
      </c>
      <c r="R283" s="76" t="str">
        <f t="shared" si="37"/>
        <v/>
      </c>
      <c r="S283" s="76" t="str">
        <f t="shared" si="38"/>
        <v/>
      </c>
      <c r="T283" s="43"/>
      <c r="U283" s="107"/>
      <c r="V283" s="76" t="str">
        <f t="shared" si="39"/>
        <v/>
      </c>
      <c r="W283" s="43"/>
      <c r="X283" s="43"/>
      <c r="Y283" s="74"/>
    </row>
    <row r="284" ht="18" customHeight="1" spans="1:25">
      <c r="A284" s="74" t="str">
        <f t="shared" si="32"/>
        <v/>
      </c>
      <c r="B284" s="7"/>
      <c r="C284" s="43"/>
      <c r="D284" s="106"/>
      <c r="E284" s="43"/>
      <c r="F284" s="43"/>
      <c r="G284" s="43"/>
      <c r="H284" s="107"/>
      <c r="I284" s="107"/>
      <c r="J284" s="76" t="str">
        <f>IF($C284="","",ROUND(IFERROR(INDEX(期初余额!$I$4:$I$9,MATCH($C284,期初余额!$H$4:$H$9,0)),0)+SUMIFS($H$4:$H284,$C$4:$C284,$C284)-SUMIFS($I$4:$I284,$C$4:$C284,$C284),2))</f>
        <v/>
      </c>
      <c r="K284" s="111" t="str">
        <f>IF($T284&lt;&gt;"",$T284,IF($C284="","",IF(AND(N($I284)&gt;0,$G284&lt;&gt;""),IFERROR(INDEX(科目表!$U$4:$U$123,MATCH($G284,科目表!$M$4:$M$123,0)),"管理费用"),IF(N($H284)&gt;0,IFERROR(INDEX(自动规则!$C$4:$C$40,MATCH($F284,自动规则!$B$4:$B$40,0)),"其他应收款"),IFERROR(INDEX(自动规则!$D$4:$D$40,MATCH($F284,自动规则!$B$4:$B$40,0)),"其他应付款")))))</f>
        <v/>
      </c>
      <c r="L284" s="106"/>
      <c r="M284" s="75" t="str">
        <f>IF($C284="","",IFERROR(INDEX(科目表!$T$4:$T$9,MATCH($C284,科目表!$S$4:$S$9,0)),""))</f>
        <v/>
      </c>
      <c r="N284" s="75" t="str">
        <f t="shared" si="33"/>
        <v/>
      </c>
      <c r="O284" s="76" t="str">
        <f t="shared" si="34"/>
        <v/>
      </c>
      <c r="P284" s="76" t="str">
        <f t="shared" si="35"/>
        <v/>
      </c>
      <c r="Q284" s="75" t="str">
        <f t="shared" si="36"/>
        <v/>
      </c>
      <c r="R284" s="76" t="str">
        <f t="shared" si="37"/>
        <v/>
      </c>
      <c r="S284" s="76" t="str">
        <f t="shared" si="38"/>
        <v/>
      </c>
      <c r="T284" s="43"/>
      <c r="U284" s="107"/>
      <c r="V284" s="76" t="str">
        <f t="shared" si="39"/>
        <v/>
      </c>
      <c r="W284" s="43"/>
      <c r="X284" s="43"/>
      <c r="Y284" s="74"/>
    </row>
    <row r="285" ht="18" customHeight="1" spans="1:25">
      <c r="A285" s="74" t="str">
        <f t="shared" si="32"/>
        <v/>
      </c>
      <c r="B285" s="7"/>
      <c r="C285" s="43"/>
      <c r="D285" s="106"/>
      <c r="E285" s="43"/>
      <c r="F285" s="43"/>
      <c r="G285" s="43"/>
      <c r="H285" s="107"/>
      <c r="I285" s="107"/>
      <c r="J285" s="76" t="str">
        <f>IF($C285="","",ROUND(IFERROR(INDEX(期初余额!$I$4:$I$9,MATCH($C285,期初余额!$H$4:$H$9,0)),0)+SUMIFS($H$4:$H285,$C$4:$C285,$C285)-SUMIFS($I$4:$I285,$C$4:$C285,$C285),2))</f>
        <v/>
      </c>
      <c r="K285" s="111" t="str">
        <f>IF($T285&lt;&gt;"",$T285,IF($C285="","",IF(AND(N($I285)&gt;0,$G285&lt;&gt;""),IFERROR(INDEX(科目表!$U$4:$U$123,MATCH($G285,科目表!$M$4:$M$123,0)),"管理费用"),IF(N($H285)&gt;0,IFERROR(INDEX(自动规则!$C$4:$C$40,MATCH($F285,自动规则!$B$4:$B$40,0)),"其他应收款"),IFERROR(INDEX(自动规则!$D$4:$D$40,MATCH($F285,自动规则!$B$4:$B$40,0)),"其他应付款")))))</f>
        <v/>
      </c>
      <c r="L285" s="106"/>
      <c r="M285" s="75" t="str">
        <f>IF($C285="","",IFERROR(INDEX(科目表!$T$4:$T$9,MATCH($C285,科目表!$S$4:$S$9,0)),""))</f>
        <v/>
      </c>
      <c r="N285" s="75" t="str">
        <f t="shared" si="33"/>
        <v/>
      </c>
      <c r="O285" s="76" t="str">
        <f t="shared" si="34"/>
        <v/>
      </c>
      <c r="P285" s="76" t="str">
        <f t="shared" si="35"/>
        <v/>
      </c>
      <c r="Q285" s="75" t="str">
        <f t="shared" si="36"/>
        <v/>
      </c>
      <c r="R285" s="76" t="str">
        <f t="shared" si="37"/>
        <v/>
      </c>
      <c r="S285" s="76" t="str">
        <f t="shared" si="38"/>
        <v/>
      </c>
      <c r="T285" s="43"/>
      <c r="U285" s="107"/>
      <c r="V285" s="76" t="str">
        <f t="shared" si="39"/>
        <v/>
      </c>
      <c r="W285" s="43"/>
      <c r="X285" s="43"/>
      <c r="Y285" s="74"/>
    </row>
    <row r="286" ht="18" customHeight="1" spans="1:25">
      <c r="A286" s="74" t="str">
        <f t="shared" si="32"/>
        <v/>
      </c>
      <c r="B286" s="7"/>
      <c r="C286" s="43"/>
      <c r="D286" s="106"/>
      <c r="E286" s="43"/>
      <c r="F286" s="43"/>
      <c r="G286" s="43"/>
      <c r="H286" s="107"/>
      <c r="I286" s="107"/>
      <c r="J286" s="76" t="str">
        <f>IF($C286="","",ROUND(IFERROR(INDEX(期初余额!$I$4:$I$9,MATCH($C286,期初余额!$H$4:$H$9,0)),0)+SUMIFS($H$4:$H286,$C$4:$C286,$C286)-SUMIFS($I$4:$I286,$C$4:$C286,$C286),2))</f>
        <v/>
      </c>
      <c r="K286" s="111" t="str">
        <f>IF($T286&lt;&gt;"",$T286,IF($C286="","",IF(AND(N($I286)&gt;0,$G286&lt;&gt;""),IFERROR(INDEX(科目表!$U$4:$U$123,MATCH($G286,科目表!$M$4:$M$123,0)),"管理费用"),IF(N($H286)&gt;0,IFERROR(INDEX(自动规则!$C$4:$C$40,MATCH($F286,自动规则!$B$4:$B$40,0)),"其他应收款"),IFERROR(INDEX(自动规则!$D$4:$D$40,MATCH($F286,自动规则!$B$4:$B$40,0)),"其他应付款")))))</f>
        <v/>
      </c>
      <c r="L286" s="106"/>
      <c r="M286" s="75" t="str">
        <f>IF($C286="","",IFERROR(INDEX(科目表!$T$4:$T$9,MATCH($C286,科目表!$S$4:$S$9,0)),""))</f>
        <v/>
      </c>
      <c r="N286" s="75" t="str">
        <f t="shared" si="33"/>
        <v/>
      </c>
      <c r="O286" s="76" t="str">
        <f t="shared" si="34"/>
        <v/>
      </c>
      <c r="P286" s="76" t="str">
        <f t="shared" si="35"/>
        <v/>
      </c>
      <c r="Q286" s="75" t="str">
        <f t="shared" si="36"/>
        <v/>
      </c>
      <c r="R286" s="76" t="str">
        <f t="shared" si="37"/>
        <v/>
      </c>
      <c r="S286" s="76" t="str">
        <f t="shared" si="38"/>
        <v/>
      </c>
      <c r="T286" s="43"/>
      <c r="U286" s="107"/>
      <c r="V286" s="76" t="str">
        <f t="shared" si="39"/>
        <v/>
      </c>
      <c r="W286" s="43"/>
      <c r="X286" s="43"/>
      <c r="Y286" s="74"/>
    </row>
    <row r="287" ht="18" customHeight="1" spans="1:25">
      <c r="A287" s="74" t="str">
        <f t="shared" si="32"/>
        <v/>
      </c>
      <c r="B287" s="7"/>
      <c r="C287" s="43"/>
      <c r="D287" s="106"/>
      <c r="E287" s="43"/>
      <c r="F287" s="43"/>
      <c r="G287" s="43"/>
      <c r="H287" s="107"/>
      <c r="I287" s="107"/>
      <c r="J287" s="76" t="str">
        <f>IF($C287="","",ROUND(IFERROR(INDEX(期初余额!$I$4:$I$9,MATCH($C287,期初余额!$H$4:$H$9,0)),0)+SUMIFS($H$4:$H287,$C$4:$C287,$C287)-SUMIFS($I$4:$I287,$C$4:$C287,$C287),2))</f>
        <v/>
      </c>
      <c r="K287" s="111" t="str">
        <f>IF($T287&lt;&gt;"",$T287,IF($C287="","",IF(AND(N($I287)&gt;0,$G287&lt;&gt;""),IFERROR(INDEX(科目表!$U$4:$U$123,MATCH($G287,科目表!$M$4:$M$123,0)),"管理费用"),IF(N($H287)&gt;0,IFERROR(INDEX(自动规则!$C$4:$C$40,MATCH($F287,自动规则!$B$4:$B$40,0)),"其他应收款"),IFERROR(INDEX(自动规则!$D$4:$D$40,MATCH($F287,自动规则!$B$4:$B$40,0)),"其他应付款")))))</f>
        <v/>
      </c>
      <c r="L287" s="106"/>
      <c r="M287" s="75" t="str">
        <f>IF($C287="","",IFERROR(INDEX(科目表!$T$4:$T$9,MATCH($C287,科目表!$S$4:$S$9,0)),""))</f>
        <v/>
      </c>
      <c r="N287" s="75" t="str">
        <f t="shared" si="33"/>
        <v/>
      </c>
      <c r="O287" s="76" t="str">
        <f t="shared" si="34"/>
        <v/>
      </c>
      <c r="P287" s="76" t="str">
        <f t="shared" si="35"/>
        <v/>
      </c>
      <c r="Q287" s="75" t="str">
        <f t="shared" si="36"/>
        <v/>
      </c>
      <c r="R287" s="76" t="str">
        <f t="shared" si="37"/>
        <v/>
      </c>
      <c r="S287" s="76" t="str">
        <f t="shared" si="38"/>
        <v/>
      </c>
      <c r="T287" s="43"/>
      <c r="U287" s="107"/>
      <c r="V287" s="76" t="str">
        <f t="shared" si="39"/>
        <v/>
      </c>
      <c r="W287" s="43"/>
      <c r="X287" s="43"/>
      <c r="Y287" s="74"/>
    </row>
    <row r="288" ht="18" customHeight="1" spans="1:25">
      <c r="A288" s="74" t="str">
        <f t="shared" si="32"/>
        <v/>
      </c>
      <c r="B288" s="7"/>
      <c r="C288" s="43"/>
      <c r="D288" s="106"/>
      <c r="E288" s="43"/>
      <c r="F288" s="43"/>
      <c r="G288" s="43"/>
      <c r="H288" s="107"/>
      <c r="I288" s="107"/>
      <c r="J288" s="76" t="str">
        <f>IF($C288="","",ROUND(IFERROR(INDEX(期初余额!$I$4:$I$9,MATCH($C288,期初余额!$H$4:$H$9,0)),0)+SUMIFS($H$4:$H288,$C$4:$C288,$C288)-SUMIFS($I$4:$I288,$C$4:$C288,$C288),2))</f>
        <v/>
      </c>
      <c r="K288" s="111" t="str">
        <f>IF($T288&lt;&gt;"",$T288,IF($C288="","",IF(AND(N($I288)&gt;0,$G288&lt;&gt;""),IFERROR(INDEX(科目表!$U$4:$U$123,MATCH($G288,科目表!$M$4:$M$123,0)),"管理费用"),IF(N($H288)&gt;0,IFERROR(INDEX(自动规则!$C$4:$C$40,MATCH($F288,自动规则!$B$4:$B$40,0)),"其他应收款"),IFERROR(INDEX(自动规则!$D$4:$D$40,MATCH($F288,自动规则!$B$4:$B$40,0)),"其他应付款")))))</f>
        <v/>
      </c>
      <c r="L288" s="106"/>
      <c r="M288" s="75" t="str">
        <f>IF($C288="","",IFERROR(INDEX(科目表!$T$4:$T$9,MATCH($C288,科目表!$S$4:$S$9,0)),""))</f>
        <v/>
      </c>
      <c r="N288" s="75" t="str">
        <f t="shared" si="33"/>
        <v/>
      </c>
      <c r="O288" s="76" t="str">
        <f t="shared" si="34"/>
        <v/>
      </c>
      <c r="P288" s="76" t="str">
        <f t="shared" si="35"/>
        <v/>
      </c>
      <c r="Q288" s="75" t="str">
        <f t="shared" si="36"/>
        <v/>
      </c>
      <c r="R288" s="76" t="str">
        <f t="shared" si="37"/>
        <v/>
      </c>
      <c r="S288" s="76" t="str">
        <f t="shared" si="38"/>
        <v/>
      </c>
      <c r="T288" s="43"/>
      <c r="U288" s="107"/>
      <c r="V288" s="76" t="str">
        <f t="shared" si="39"/>
        <v/>
      </c>
      <c r="W288" s="43"/>
      <c r="X288" s="43"/>
      <c r="Y288" s="74"/>
    </row>
    <row r="289" ht="18" customHeight="1" spans="1:25">
      <c r="A289" s="74" t="str">
        <f t="shared" si="32"/>
        <v/>
      </c>
      <c r="B289" s="7"/>
      <c r="C289" s="43"/>
      <c r="D289" s="106"/>
      <c r="E289" s="43"/>
      <c r="F289" s="43"/>
      <c r="G289" s="43"/>
      <c r="H289" s="107"/>
      <c r="I289" s="107"/>
      <c r="J289" s="76" t="str">
        <f>IF($C289="","",ROUND(IFERROR(INDEX(期初余额!$I$4:$I$9,MATCH($C289,期初余额!$H$4:$H$9,0)),0)+SUMIFS($H$4:$H289,$C$4:$C289,$C289)-SUMIFS($I$4:$I289,$C$4:$C289,$C289),2))</f>
        <v/>
      </c>
      <c r="K289" s="111" t="str">
        <f>IF($T289&lt;&gt;"",$T289,IF($C289="","",IF(AND(N($I289)&gt;0,$G289&lt;&gt;""),IFERROR(INDEX(科目表!$U$4:$U$123,MATCH($G289,科目表!$M$4:$M$123,0)),"管理费用"),IF(N($H289)&gt;0,IFERROR(INDEX(自动规则!$C$4:$C$40,MATCH($F289,自动规则!$B$4:$B$40,0)),"其他应收款"),IFERROR(INDEX(自动规则!$D$4:$D$40,MATCH($F289,自动规则!$B$4:$B$40,0)),"其他应付款")))))</f>
        <v/>
      </c>
      <c r="L289" s="106"/>
      <c r="M289" s="75" t="str">
        <f>IF($C289="","",IFERROR(INDEX(科目表!$T$4:$T$9,MATCH($C289,科目表!$S$4:$S$9,0)),""))</f>
        <v/>
      </c>
      <c r="N289" s="75" t="str">
        <f t="shared" si="33"/>
        <v/>
      </c>
      <c r="O289" s="76" t="str">
        <f t="shared" si="34"/>
        <v/>
      </c>
      <c r="P289" s="76" t="str">
        <f t="shared" si="35"/>
        <v/>
      </c>
      <c r="Q289" s="75" t="str">
        <f t="shared" si="36"/>
        <v/>
      </c>
      <c r="R289" s="76" t="str">
        <f t="shared" si="37"/>
        <v/>
      </c>
      <c r="S289" s="76" t="str">
        <f t="shared" si="38"/>
        <v/>
      </c>
      <c r="T289" s="43"/>
      <c r="U289" s="107"/>
      <c r="V289" s="76" t="str">
        <f t="shared" si="39"/>
        <v/>
      </c>
      <c r="W289" s="43"/>
      <c r="X289" s="43"/>
      <c r="Y289" s="74"/>
    </row>
    <row r="290" ht="18" customHeight="1" spans="1:25">
      <c r="A290" s="74" t="str">
        <f t="shared" si="32"/>
        <v/>
      </c>
      <c r="B290" s="7"/>
      <c r="C290" s="43"/>
      <c r="D290" s="106"/>
      <c r="E290" s="43"/>
      <c r="F290" s="43"/>
      <c r="G290" s="43"/>
      <c r="H290" s="107"/>
      <c r="I290" s="107"/>
      <c r="J290" s="76" t="str">
        <f>IF($C290="","",ROUND(IFERROR(INDEX(期初余额!$I$4:$I$9,MATCH($C290,期初余额!$H$4:$H$9,0)),0)+SUMIFS($H$4:$H290,$C$4:$C290,$C290)-SUMIFS($I$4:$I290,$C$4:$C290,$C290),2))</f>
        <v/>
      </c>
      <c r="K290" s="111" t="str">
        <f>IF($T290&lt;&gt;"",$T290,IF($C290="","",IF(AND(N($I290)&gt;0,$G290&lt;&gt;""),IFERROR(INDEX(科目表!$U$4:$U$123,MATCH($G290,科目表!$M$4:$M$123,0)),"管理费用"),IF(N($H290)&gt;0,IFERROR(INDEX(自动规则!$C$4:$C$40,MATCH($F290,自动规则!$B$4:$B$40,0)),"其他应收款"),IFERROR(INDEX(自动规则!$D$4:$D$40,MATCH($F290,自动规则!$B$4:$B$40,0)),"其他应付款")))))</f>
        <v/>
      </c>
      <c r="L290" s="106"/>
      <c r="M290" s="75" t="str">
        <f>IF($C290="","",IFERROR(INDEX(科目表!$T$4:$T$9,MATCH($C290,科目表!$S$4:$S$9,0)),""))</f>
        <v/>
      </c>
      <c r="N290" s="75" t="str">
        <f t="shared" si="33"/>
        <v/>
      </c>
      <c r="O290" s="76" t="str">
        <f t="shared" si="34"/>
        <v/>
      </c>
      <c r="P290" s="76" t="str">
        <f t="shared" si="35"/>
        <v/>
      </c>
      <c r="Q290" s="75" t="str">
        <f t="shared" si="36"/>
        <v/>
      </c>
      <c r="R290" s="76" t="str">
        <f t="shared" si="37"/>
        <v/>
      </c>
      <c r="S290" s="76" t="str">
        <f t="shared" si="38"/>
        <v/>
      </c>
      <c r="T290" s="43"/>
      <c r="U290" s="107"/>
      <c r="V290" s="76" t="str">
        <f t="shared" si="39"/>
        <v/>
      </c>
      <c r="W290" s="43"/>
      <c r="X290" s="43"/>
      <c r="Y290" s="74"/>
    </row>
    <row r="291" ht="18" customHeight="1" spans="1:25">
      <c r="A291" s="74" t="str">
        <f t="shared" si="32"/>
        <v/>
      </c>
      <c r="B291" s="7"/>
      <c r="C291" s="43"/>
      <c r="D291" s="106"/>
      <c r="E291" s="43"/>
      <c r="F291" s="43"/>
      <c r="G291" s="43"/>
      <c r="H291" s="107"/>
      <c r="I291" s="107"/>
      <c r="J291" s="76" t="str">
        <f>IF($C291="","",ROUND(IFERROR(INDEX(期初余额!$I$4:$I$9,MATCH($C291,期初余额!$H$4:$H$9,0)),0)+SUMIFS($H$4:$H291,$C$4:$C291,$C291)-SUMIFS($I$4:$I291,$C$4:$C291,$C291),2))</f>
        <v/>
      </c>
      <c r="K291" s="111" t="str">
        <f>IF($T291&lt;&gt;"",$T291,IF($C291="","",IF(AND(N($I291)&gt;0,$G291&lt;&gt;""),IFERROR(INDEX(科目表!$U$4:$U$123,MATCH($G291,科目表!$M$4:$M$123,0)),"管理费用"),IF(N($H291)&gt;0,IFERROR(INDEX(自动规则!$C$4:$C$40,MATCH($F291,自动规则!$B$4:$B$40,0)),"其他应收款"),IFERROR(INDEX(自动规则!$D$4:$D$40,MATCH($F291,自动规则!$B$4:$B$40,0)),"其他应付款")))))</f>
        <v/>
      </c>
      <c r="L291" s="106"/>
      <c r="M291" s="75" t="str">
        <f>IF($C291="","",IFERROR(INDEX(科目表!$T$4:$T$9,MATCH($C291,科目表!$S$4:$S$9,0)),""))</f>
        <v/>
      </c>
      <c r="N291" s="75" t="str">
        <f t="shared" si="33"/>
        <v/>
      </c>
      <c r="O291" s="76" t="str">
        <f t="shared" si="34"/>
        <v/>
      </c>
      <c r="P291" s="76" t="str">
        <f t="shared" si="35"/>
        <v/>
      </c>
      <c r="Q291" s="75" t="str">
        <f t="shared" si="36"/>
        <v/>
      </c>
      <c r="R291" s="76" t="str">
        <f t="shared" si="37"/>
        <v/>
      </c>
      <c r="S291" s="76" t="str">
        <f t="shared" si="38"/>
        <v/>
      </c>
      <c r="T291" s="43"/>
      <c r="U291" s="107"/>
      <c r="V291" s="76" t="str">
        <f t="shared" si="39"/>
        <v/>
      </c>
      <c r="W291" s="43"/>
      <c r="X291" s="43"/>
      <c r="Y291" s="74"/>
    </row>
    <row r="292" ht="18" customHeight="1" spans="1:25">
      <c r="A292" s="74" t="str">
        <f t="shared" si="32"/>
        <v/>
      </c>
      <c r="B292" s="7"/>
      <c r="C292" s="43"/>
      <c r="D292" s="106"/>
      <c r="E292" s="43"/>
      <c r="F292" s="43"/>
      <c r="G292" s="43"/>
      <c r="H292" s="107"/>
      <c r="I292" s="107"/>
      <c r="J292" s="76" t="str">
        <f>IF($C292="","",ROUND(IFERROR(INDEX(期初余额!$I$4:$I$9,MATCH($C292,期初余额!$H$4:$H$9,0)),0)+SUMIFS($H$4:$H292,$C$4:$C292,$C292)-SUMIFS($I$4:$I292,$C$4:$C292,$C292),2))</f>
        <v/>
      </c>
      <c r="K292" s="111" t="str">
        <f>IF($T292&lt;&gt;"",$T292,IF($C292="","",IF(AND(N($I292)&gt;0,$G292&lt;&gt;""),IFERROR(INDEX(科目表!$U$4:$U$123,MATCH($G292,科目表!$M$4:$M$123,0)),"管理费用"),IF(N($H292)&gt;0,IFERROR(INDEX(自动规则!$C$4:$C$40,MATCH($F292,自动规则!$B$4:$B$40,0)),"其他应收款"),IFERROR(INDEX(自动规则!$D$4:$D$40,MATCH($F292,自动规则!$B$4:$B$40,0)),"其他应付款")))))</f>
        <v/>
      </c>
      <c r="L292" s="106"/>
      <c r="M292" s="75" t="str">
        <f>IF($C292="","",IFERROR(INDEX(科目表!$T$4:$T$9,MATCH($C292,科目表!$S$4:$S$9,0)),""))</f>
        <v/>
      </c>
      <c r="N292" s="75" t="str">
        <f t="shared" si="33"/>
        <v/>
      </c>
      <c r="O292" s="76" t="str">
        <f t="shared" si="34"/>
        <v/>
      </c>
      <c r="P292" s="76" t="str">
        <f t="shared" si="35"/>
        <v/>
      </c>
      <c r="Q292" s="75" t="str">
        <f t="shared" si="36"/>
        <v/>
      </c>
      <c r="R292" s="76" t="str">
        <f t="shared" si="37"/>
        <v/>
      </c>
      <c r="S292" s="76" t="str">
        <f t="shared" si="38"/>
        <v/>
      </c>
      <c r="T292" s="43"/>
      <c r="U292" s="107"/>
      <c r="V292" s="76" t="str">
        <f t="shared" si="39"/>
        <v/>
      </c>
      <c r="W292" s="43"/>
      <c r="X292" s="43"/>
      <c r="Y292" s="74"/>
    </row>
    <row r="293" ht="18" customHeight="1" spans="1:25">
      <c r="A293" s="74" t="str">
        <f t="shared" si="32"/>
        <v/>
      </c>
      <c r="B293" s="7"/>
      <c r="C293" s="43"/>
      <c r="D293" s="106"/>
      <c r="E293" s="43"/>
      <c r="F293" s="43"/>
      <c r="G293" s="43"/>
      <c r="H293" s="107"/>
      <c r="I293" s="107"/>
      <c r="J293" s="76" t="str">
        <f>IF($C293="","",ROUND(IFERROR(INDEX(期初余额!$I$4:$I$9,MATCH($C293,期初余额!$H$4:$H$9,0)),0)+SUMIFS($H$4:$H293,$C$4:$C293,$C293)-SUMIFS($I$4:$I293,$C$4:$C293,$C293),2))</f>
        <v/>
      </c>
      <c r="K293" s="111" t="str">
        <f>IF($T293&lt;&gt;"",$T293,IF($C293="","",IF(AND(N($I293)&gt;0,$G293&lt;&gt;""),IFERROR(INDEX(科目表!$U$4:$U$123,MATCH($G293,科目表!$M$4:$M$123,0)),"管理费用"),IF(N($H293)&gt;0,IFERROR(INDEX(自动规则!$C$4:$C$40,MATCH($F293,自动规则!$B$4:$B$40,0)),"其他应收款"),IFERROR(INDEX(自动规则!$D$4:$D$40,MATCH($F293,自动规则!$B$4:$B$40,0)),"其他应付款")))))</f>
        <v/>
      </c>
      <c r="L293" s="106"/>
      <c r="M293" s="75" t="str">
        <f>IF($C293="","",IFERROR(INDEX(科目表!$T$4:$T$9,MATCH($C293,科目表!$S$4:$S$9,0)),""))</f>
        <v/>
      </c>
      <c r="N293" s="75" t="str">
        <f t="shared" si="33"/>
        <v/>
      </c>
      <c r="O293" s="76" t="str">
        <f t="shared" si="34"/>
        <v/>
      </c>
      <c r="P293" s="76" t="str">
        <f t="shared" si="35"/>
        <v/>
      </c>
      <c r="Q293" s="75" t="str">
        <f t="shared" si="36"/>
        <v/>
      </c>
      <c r="R293" s="76" t="str">
        <f t="shared" si="37"/>
        <v/>
      </c>
      <c r="S293" s="76" t="str">
        <f t="shared" si="38"/>
        <v/>
      </c>
      <c r="T293" s="43"/>
      <c r="U293" s="107"/>
      <c r="V293" s="76" t="str">
        <f t="shared" si="39"/>
        <v/>
      </c>
      <c r="W293" s="43"/>
      <c r="X293" s="43"/>
      <c r="Y293" s="74"/>
    </row>
    <row r="294" ht="18" customHeight="1" spans="1:25">
      <c r="A294" s="74" t="str">
        <f t="shared" si="32"/>
        <v/>
      </c>
      <c r="B294" s="7"/>
      <c r="C294" s="43"/>
      <c r="D294" s="106"/>
      <c r="E294" s="43"/>
      <c r="F294" s="43"/>
      <c r="G294" s="43"/>
      <c r="H294" s="107"/>
      <c r="I294" s="107"/>
      <c r="J294" s="76" t="str">
        <f>IF($C294="","",ROUND(IFERROR(INDEX(期初余额!$I$4:$I$9,MATCH($C294,期初余额!$H$4:$H$9,0)),0)+SUMIFS($H$4:$H294,$C$4:$C294,$C294)-SUMIFS($I$4:$I294,$C$4:$C294,$C294),2))</f>
        <v/>
      </c>
      <c r="K294" s="111" t="str">
        <f>IF($T294&lt;&gt;"",$T294,IF($C294="","",IF(AND(N($I294)&gt;0,$G294&lt;&gt;""),IFERROR(INDEX(科目表!$U$4:$U$123,MATCH($G294,科目表!$M$4:$M$123,0)),"管理费用"),IF(N($H294)&gt;0,IFERROR(INDEX(自动规则!$C$4:$C$40,MATCH($F294,自动规则!$B$4:$B$40,0)),"其他应收款"),IFERROR(INDEX(自动规则!$D$4:$D$40,MATCH($F294,自动规则!$B$4:$B$40,0)),"其他应付款")))))</f>
        <v/>
      </c>
      <c r="L294" s="106"/>
      <c r="M294" s="75" t="str">
        <f>IF($C294="","",IFERROR(INDEX(科目表!$T$4:$T$9,MATCH($C294,科目表!$S$4:$S$9,0)),""))</f>
        <v/>
      </c>
      <c r="N294" s="75" t="str">
        <f t="shared" si="33"/>
        <v/>
      </c>
      <c r="O294" s="76" t="str">
        <f t="shared" si="34"/>
        <v/>
      </c>
      <c r="P294" s="76" t="str">
        <f t="shared" si="35"/>
        <v/>
      </c>
      <c r="Q294" s="75" t="str">
        <f t="shared" si="36"/>
        <v/>
      </c>
      <c r="R294" s="76" t="str">
        <f t="shared" si="37"/>
        <v/>
      </c>
      <c r="S294" s="76" t="str">
        <f t="shared" si="38"/>
        <v/>
      </c>
      <c r="T294" s="43"/>
      <c r="U294" s="107"/>
      <c r="V294" s="76" t="str">
        <f t="shared" si="39"/>
        <v/>
      </c>
      <c r="W294" s="43"/>
      <c r="X294" s="43"/>
      <c r="Y294" s="74"/>
    </row>
    <row r="295" ht="18" customHeight="1" spans="1:25">
      <c r="A295" s="74" t="str">
        <f t="shared" si="32"/>
        <v/>
      </c>
      <c r="B295" s="7"/>
      <c r="C295" s="43"/>
      <c r="D295" s="106"/>
      <c r="E295" s="43"/>
      <c r="F295" s="43"/>
      <c r="G295" s="43"/>
      <c r="H295" s="107"/>
      <c r="I295" s="107"/>
      <c r="J295" s="76" t="str">
        <f>IF($C295="","",ROUND(IFERROR(INDEX(期初余额!$I$4:$I$9,MATCH($C295,期初余额!$H$4:$H$9,0)),0)+SUMIFS($H$4:$H295,$C$4:$C295,$C295)-SUMIFS($I$4:$I295,$C$4:$C295,$C295),2))</f>
        <v/>
      </c>
      <c r="K295" s="111" t="str">
        <f>IF($T295&lt;&gt;"",$T295,IF($C295="","",IF(AND(N($I295)&gt;0,$G295&lt;&gt;""),IFERROR(INDEX(科目表!$U$4:$U$123,MATCH($G295,科目表!$M$4:$M$123,0)),"管理费用"),IF(N($H295)&gt;0,IFERROR(INDEX(自动规则!$C$4:$C$40,MATCH($F295,自动规则!$B$4:$B$40,0)),"其他应收款"),IFERROR(INDEX(自动规则!$D$4:$D$40,MATCH($F295,自动规则!$B$4:$B$40,0)),"其他应付款")))))</f>
        <v/>
      </c>
      <c r="L295" s="106"/>
      <c r="M295" s="75" t="str">
        <f>IF($C295="","",IFERROR(INDEX(科目表!$T$4:$T$9,MATCH($C295,科目表!$S$4:$S$9,0)),""))</f>
        <v/>
      </c>
      <c r="N295" s="75" t="str">
        <f t="shared" si="33"/>
        <v/>
      </c>
      <c r="O295" s="76" t="str">
        <f t="shared" si="34"/>
        <v/>
      </c>
      <c r="P295" s="76" t="str">
        <f t="shared" si="35"/>
        <v/>
      </c>
      <c r="Q295" s="75" t="str">
        <f t="shared" si="36"/>
        <v/>
      </c>
      <c r="R295" s="76" t="str">
        <f t="shared" si="37"/>
        <v/>
      </c>
      <c r="S295" s="76" t="str">
        <f t="shared" si="38"/>
        <v/>
      </c>
      <c r="T295" s="43"/>
      <c r="U295" s="107"/>
      <c r="V295" s="76" t="str">
        <f t="shared" si="39"/>
        <v/>
      </c>
      <c r="W295" s="43"/>
      <c r="X295" s="43"/>
      <c r="Y295" s="74"/>
    </row>
    <row r="296" ht="18" customHeight="1" spans="1:25">
      <c r="A296" s="74" t="str">
        <f t="shared" si="32"/>
        <v/>
      </c>
      <c r="B296" s="7"/>
      <c r="C296" s="43"/>
      <c r="D296" s="106"/>
      <c r="E296" s="43"/>
      <c r="F296" s="43"/>
      <c r="G296" s="43"/>
      <c r="H296" s="107"/>
      <c r="I296" s="107"/>
      <c r="J296" s="76" t="str">
        <f>IF($C296="","",ROUND(IFERROR(INDEX(期初余额!$I$4:$I$9,MATCH($C296,期初余额!$H$4:$H$9,0)),0)+SUMIFS($H$4:$H296,$C$4:$C296,$C296)-SUMIFS($I$4:$I296,$C$4:$C296,$C296),2))</f>
        <v/>
      </c>
      <c r="K296" s="111" t="str">
        <f>IF($T296&lt;&gt;"",$T296,IF($C296="","",IF(AND(N($I296)&gt;0,$G296&lt;&gt;""),IFERROR(INDEX(科目表!$U$4:$U$123,MATCH($G296,科目表!$M$4:$M$123,0)),"管理费用"),IF(N($H296)&gt;0,IFERROR(INDEX(自动规则!$C$4:$C$40,MATCH($F296,自动规则!$B$4:$B$40,0)),"其他应收款"),IFERROR(INDEX(自动规则!$D$4:$D$40,MATCH($F296,自动规则!$B$4:$B$40,0)),"其他应付款")))))</f>
        <v/>
      </c>
      <c r="L296" s="106"/>
      <c r="M296" s="75" t="str">
        <f>IF($C296="","",IFERROR(INDEX(科目表!$T$4:$T$9,MATCH($C296,科目表!$S$4:$S$9,0)),""))</f>
        <v/>
      </c>
      <c r="N296" s="75" t="str">
        <f t="shared" si="33"/>
        <v/>
      </c>
      <c r="O296" s="76" t="str">
        <f t="shared" si="34"/>
        <v/>
      </c>
      <c r="P296" s="76" t="str">
        <f t="shared" si="35"/>
        <v/>
      </c>
      <c r="Q296" s="75" t="str">
        <f t="shared" si="36"/>
        <v/>
      </c>
      <c r="R296" s="76" t="str">
        <f t="shared" si="37"/>
        <v/>
      </c>
      <c r="S296" s="76" t="str">
        <f t="shared" si="38"/>
        <v/>
      </c>
      <c r="T296" s="43"/>
      <c r="U296" s="107"/>
      <c r="V296" s="76" t="str">
        <f t="shared" si="39"/>
        <v/>
      </c>
      <c r="W296" s="43"/>
      <c r="X296" s="43"/>
      <c r="Y296" s="74"/>
    </row>
    <row r="297" ht="18" customHeight="1" spans="1:25">
      <c r="A297" s="74" t="str">
        <f t="shared" si="32"/>
        <v/>
      </c>
      <c r="B297" s="7"/>
      <c r="C297" s="43"/>
      <c r="D297" s="106"/>
      <c r="E297" s="43"/>
      <c r="F297" s="43"/>
      <c r="G297" s="43"/>
      <c r="H297" s="107"/>
      <c r="I297" s="107"/>
      <c r="J297" s="76" t="str">
        <f>IF($C297="","",ROUND(IFERROR(INDEX(期初余额!$I$4:$I$9,MATCH($C297,期初余额!$H$4:$H$9,0)),0)+SUMIFS($H$4:$H297,$C$4:$C297,$C297)-SUMIFS($I$4:$I297,$C$4:$C297,$C297),2))</f>
        <v/>
      </c>
      <c r="K297" s="111" t="str">
        <f>IF($T297&lt;&gt;"",$T297,IF($C297="","",IF(AND(N($I297)&gt;0,$G297&lt;&gt;""),IFERROR(INDEX(科目表!$U$4:$U$123,MATCH($G297,科目表!$M$4:$M$123,0)),"管理费用"),IF(N($H297)&gt;0,IFERROR(INDEX(自动规则!$C$4:$C$40,MATCH($F297,自动规则!$B$4:$B$40,0)),"其他应收款"),IFERROR(INDEX(自动规则!$D$4:$D$40,MATCH($F297,自动规则!$B$4:$B$40,0)),"其他应付款")))))</f>
        <v/>
      </c>
      <c r="L297" s="106"/>
      <c r="M297" s="75" t="str">
        <f>IF($C297="","",IFERROR(INDEX(科目表!$T$4:$T$9,MATCH($C297,科目表!$S$4:$S$9,0)),""))</f>
        <v/>
      </c>
      <c r="N297" s="75" t="str">
        <f t="shared" si="33"/>
        <v/>
      </c>
      <c r="O297" s="76" t="str">
        <f t="shared" si="34"/>
        <v/>
      </c>
      <c r="P297" s="76" t="str">
        <f t="shared" si="35"/>
        <v/>
      </c>
      <c r="Q297" s="75" t="str">
        <f t="shared" si="36"/>
        <v/>
      </c>
      <c r="R297" s="76" t="str">
        <f t="shared" si="37"/>
        <v/>
      </c>
      <c r="S297" s="76" t="str">
        <f t="shared" si="38"/>
        <v/>
      </c>
      <c r="T297" s="43"/>
      <c r="U297" s="107"/>
      <c r="V297" s="76" t="str">
        <f t="shared" si="39"/>
        <v/>
      </c>
      <c r="W297" s="43"/>
      <c r="X297" s="43"/>
      <c r="Y297" s="74"/>
    </row>
    <row r="298" ht="18" customHeight="1" spans="1:25">
      <c r="A298" s="74" t="str">
        <f t="shared" si="32"/>
        <v/>
      </c>
      <c r="B298" s="7"/>
      <c r="C298" s="43"/>
      <c r="D298" s="106"/>
      <c r="E298" s="43"/>
      <c r="F298" s="43"/>
      <c r="G298" s="43"/>
      <c r="H298" s="107"/>
      <c r="I298" s="107"/>
      <c r="J298" s="76" t="str">
        <f>IF($C298="","",ROUND(IFERROR(INDEX(期初余额!$I$4:$I$9,MATCH($C298,期初余额!$H$4:$H$9,0)),0)+SUMIFS($H$4:$H298,$C$4:$C298,$C298)-SUMIFS($I$4:$I298,$C$4:$C298,$C298),2))</f>
        <v/>
      </c>
      <c r="K298" s="111" t="str">
        <f>IF($T298&lt;&gt;"",$T298,IF($C298="","",IF(AND(N($I298)&gt;0,$G298&lt;&gt;""),IFERROR(INDEX(科目表!$U$4:$U$123,MATCH($G298,科目表!$M$4:$M$123,0)),"管理费用"),IF(N($H298)&gt;0,IFERROR(INDEX(自动规则!$C$4:$C$40,MATCH($F298,自动规则!$B$4:$B$40,0)),"其他应收款"),IFERROR(INDEX(自动规则!$D$4:$D$40,MATCH($F298,自动规则!$B$4:$B$40,0)),"其他应付款")))))</f>
        <v/>
      </c>
      <c r="L298" s="106"/>
      <c r="M298" s="75" t="str">
        <f>IF($C298="","",IFERROR(INDEX(科目表!$T$4:$T$9,MATCH($C298,科目表!$S$4:$S$9,0)),""))</f>
        <v/>
      </c>
      <c r="N298" s="75" t="str">
        <f t="shared" si="33"/>
        <v/>
      </c>
      <c r="O298" s="76" t="str">
        <f t="shared" si="34"/>
        <v/>
      </c>
      <c r="P298" s="76" t="str">
        <f t="shared" si="35"/>
        <v/>
      </c>
      <c r="Q298" s="75" t="str">
        <f t="shared" si="36"/>
        <v/>
      </c>
      <c r="R298" s="76" t="str">
        <f t="shared" si="37"/>
        <v/>
      </c>
      <c r="S298" s="76" t="str">
        <f t="shared" si="38"/>
        <v/>
      </c>
      <c r="T298" s="43"/>
      <c r="U298" s="107"/>
      <c r="V298" s="76" t="str">
        <f t="shared" si="39"/>
        <v/>
      </c>
      <c r="W298" s="43"/>
      <c r="X298" s="43"/>
      <c r="Y298" s="74"/>
    </row>
    <row r="299" ht="18" customHeight="1" spans="1:25">
      <c r="A299" s="74" t="str">
        <f t="shared" si="32"/>
        <v/>
      </c>
      <c r="B299" s="7"/>
      <c r="C299" s="43"/>
      <c r="D299" s="106"/>
      <c r="E299" s="43"/>
      <c r="F299" s="43"/>
      <c r="G299" s="43"/>
      <c r="H299" s="107"/>
      <c r="I299" s="107"/>
      <c r="J299" s="76" t="str">
        <f>IF($C299="","",ROUND(IFERROR(INDEX(期初余额!$I$4:$I$9,MATCH($C299,期初余额!$H$4:$H$9,0)),0)+SUMIFS($H$4:$H299,$C$4:$C299,$C299)-SUMIFS($I$4:$I299,$C$4:$C299,$C299),2))</f>
        <v/>
      </c>
      <c r="K299" s="111" t="str">
        <f>IF($T299&lt;&gt;"",$T299,IF($C299="","",IF(AND(N($I299)&gt;0,$G299&lt;&gt;""),IFERROR(INDEX(科目表!$U$4:$U$123,MATCH($G299,科目表!$M$4:$M$123,0)),"管理费用"),IF(N($H299)&gt;0,IFERROR(INDEX(自动规则!$C$4:$C$40,MATCH($F299,自动规则!$B$4:$B$40,0)),"其他应收款"),IFERROR(INDEX(自动规则!$D$4:$D$40,MATCH($F299,自动规则!$B$4:$B$40,0)),"其他应付款")))))</f>
        <v/>
      </c>
      <c r="L299" s="106"/>
      <c r="M299" s="75" t="str">
        <f>IF($C299="","",IFERROR(INDEX(科目表!$T$4:$T$9,MATCH($C299,科目表!$S$4:$S$9,0)),""))</f>
        <v/>
      </c>
      <c r="N299" s="75" t="str">
        <f t="shared" si="33"/>
        <v/>
      </c>
      <c r="O299" s="76" t="str">
        <f t="shared" si="34"/>
        <v/>
      </c>
      <c r="P299" s="76" t="str">
        <f t="shared" si="35"/>
        <v/>
      </c>
      <c r="Q299" s="75" t="str">
        <f t="shared" si="36"/>
        <v/>
      </c>
      <c r="R299" s="76" t="str">
        <f t="shared" si="37"/>
        <v/>
      </c>
      <c r="S299" s="76" t="str">
        <f t="shared" si="38"/>
        <v/>
      </c>
      <c r="T299" s="43"/>
      <c r="U299" s="107"/>
      <c r="V299" s="76" t="str">
        <f t="shared" si="39"/>
        <v/>
      </c>
      <c r="W299" s="43"/>
      <c r="X299" s="43"/>
      <c r="Y299" s="74"/>
    </row>
    <row r="300" ht="18" customHeight="1" spans="1:25">
      <c r="A300" s="74" t="str">
        <f t="shared" si="32"/>
        <v/>
      </c>
      <c r="B300" s="7"/>
      <c r="C300" s="43"/>
      <c r="D300" s="106"/>
      <c r="E300" s="43"/>
      <c r="F300" s="43"/>
      <c r="G300" s="43"/>
      <c r="H300" s="107"/>
      <c r="I300" s="107"/>
      <c r="J300" s="76" t="str">
        <f>IF($C300="","",ROUND(IFERROR(INDEX(期初余额!$I$4:$I$9,MATCH($C300,期初余额!$H$4:$H$9,0)),0)+SUMIFS($H$4:$H300,$C$4:$C300,$C300)-SUMIFS($I$4:$I300,$C$4:$C300,$C300),2))</f>
        <v/>
      </c>
      <c r="K300" s="111" t="str">
        <f>IF($T300&lt;&gt;"",$T300,IF($C300="","",IF(AND(N($I300)&gt;0,$G300&lt;&gt;""),IFERROR(INDEX(科目表!$U$4:$U$123,MATCH($G300,科目表!$M$4:$M$123,0)),"管理费用"),IF(N($H300)&gt;0,IFERROR(INDEX(自动规则!$C$4:$C$40,MATCH($F300,自动规则!$B$4:$B$40,0)),"其他应收款"),IFERROR(INDEX(自动规则!$D$4:$D$40,MATCH($F300,自动规则!$B$4:$B$40,0)),"其他应付款")))))</f>
        <v/>
      </c>
      <c r="L300" s="106"/>
      <c r="M300" s="75" t="str">
        <f>IF($C300="","",IFERROR(INDEX(科目表!$T$4:$T$9,MATCH($C300,科目表!$S$4:$S$9,0)),""))</f>
        <v/>
      </c>
      <c r="N300" s="75" t="str">
        <f t="shared" si="33"/>
        <v/>
      </c>
      <c r="O300" s="76" t="str">
        <f t="shared" si="34"/>
        <v/>
      </c>
      <c r="P300" s="76" t="str">
        <f t="shared" si="35"/>
        <v/>
      </c>
      <c r="Q300" s="75" t="str">
        <f t="shared" si="36"/>
        <v/>
      </c>
      <c r="R300" s="76" t="str">
        <f t="shared" si="37"/>
        <v/>
      </c>
      <c r="S300" s="76" t="str">
        <f t="shared" si="38"/>
        <v/>
      </c>
      <c r="T300" s="43"/>
      <c r="U300" s="107"/>
      <c r="V300" s="76" t="str">
        <f t="shared" si="39"/>
        <v/>
      </c>
      <c r="W300" s="43"/>
      <c r="X300" s="43"/>
      <c r="Y300" s="74"/>
    </row>
    <row r="301" ht="18" customHeight="1" spans="1:25">
      <c r="A301" s="74" t="str">
        <f t="shared" si="32"/>
        <v/>
      </c>
      <c r="B301" s="7"/>
      <c r="C301" s="43"/>
      <c r="D301" s="106"/>
      <c r="E301" s="43"/>
      <c r="F301" s="43"/>
      <c r="G301" s="43"/>
      <c r="H301" s="107"/>
      <c r="I301" s="107"/>
      <c r="J301" s="76" t="str">
        <f>IF($C301="","",ROUND(IFERROR(INDEX(期初余额!$I$4:$I$9,MATCH($C301,期初余额!$H$4:$H$9,0)),0)+SUMIFS($H$4:$H301,$C$4:$C301,$C301)-SUMIFS($I$4:$I301,$C$4:$C301,$C301),2))</f>
        <v/>
      </c>
      <c r="K301" s="111" t="str">
        <f>IF($T301&lt;&gt;"",$T301,IF($C301="","",IF(AND(N($I301)&gt;0,$G301&lt;&gt;""),IFERROR(INDEX(科目表!$U$4:$U$123,MATCH($G301,科目表!$M$4:$M$123,0)),"管理费用"),IF(N($H301)&gt;0,IFERROR(INDEX(自动规则!$C$4:$C$40,MATCH($F301,自动规则!$B$4:$B$40,0)),"其他应收款"),IFERROR(INDEX(自动规则!$D$4:$D$40,MATCH($F301,自动规则!$B$4:$B$40,0)),"其他应付款")))))</f>
        <v/>
      </c>
      <c r="L301" s="106"/>
      <c r="M301" s="75" t="str">
        <f>IF($C301="","",IFERROR(INDEX(科目表!$T$4:$T$9,MATCH($C301,科目表!$S$4:$S$9,0)),""))</f>
        <v/>
      </c>
      <c r="N301" s="75" t="str">
        <f t="shared" si="33"/>
        <v/>
      </c>
      <c r="O301" s="76" t="str">
        <f t="shared" si="34"/>
        <v/>
      </c>
      <c r="P301" s="76" t="str">
        <f t="shared" si="35"/>
        <v/>
      </c>
      <c r="Q301" s="75" t="str">
        <f t="shared" si="36"/>
        <v/>
      </c>
      <c r="R301" s="76" t="str">
        <f t="shared" si="37"/>
        <v/>
      </c>
      <c r="S301" s="76" t="str">
        <f t="shared" si="38"/>
        <v/>
      </c>
      <c r="T301" s="43"/>
      <c r="U301" s="107"/>
      <c r="V301" s="76" t="str">
        <f t="shared" si="39"/>
        <v/>
      </c>
      <c r="W301" s="43"/>
      <c r="X301" s="43"/>
      <c r="Y301" s="74"/>
    </row>
    <row r="302" ht="18" customHeight="1" spans="1:25">
      <c r="A302" s="74" t="str">
        <f t="shared" si="32"/>
        <v/>
      </c>
      <c r="B302" s="7"/>
      <c r="C302" s="43"/>
      <c r="D302" s="106"/>
      <c r="E302" s="43"/>
      <c r="F302" s="43"/>
      <c r="G302" s="43"/>
      <c r="H302" s="107"/>
      <c r="I302" s="107"/>
      <c r="J302" s="76" t="str">
        <f>IF($C302="","",ROUND(IFERROR(INDEX(期初余额!$I$4:$I$9,MATCH($C302,期初余额!$H$4:$H$9,0)),0)+SUMIFS($H$4:$H302,$C$4:$C302,$C302)-SUMIFS($I$4:$I302,$C$4:$C302,$C302),2))</f>
        <v/>
      </c>
      <c r="K302" s="111" t="str">
        <f>IF($T302&lt;&gt;"",$T302,IF($C302="","",IF(AND(N($I302)&gt;0,$G302&lt;&gt;""),IFERROR(INDEX(科目表!$U$4:$U$123,MATCH($G302,科目表!$M$4:$M$123,0)),"管理费用"),IF(N($H302)&gt;0,IFERROR(INDEX(自动规则!$C$4:$C$40,MATCH($F302,自动规则!$B$4:$B$40,0)),"其他应收款"),IFERROR(INDEX(自动规则!$D$4:$D$40,MATCH($F302,自动规则!$B$4:$B$40,0)),"其他应付款")))))</f>
        <v/>
      </c>
      <c r="L302" s="106"/>
      <c r="M302" s="75" t="str">
        <f>IF($C302="","",IFERROR(INDEX(科目表!$T$4:$T$9,MATCH($C302,科目表!$S$4:$S$9,0)),""))</f>
        <v/>
      </c>
      <c r="N302" s="75" t="str">
        <f t="shared" si="33"/>
        <v/>
      </c>
      <c r="O302" s="76" t="str">
        <f t="shared" si="34"/>
        <v/>
      </c>
      <c r="P302" s="76" t="str">
        <f t="shared" si="35"/>
        <v/>
      </c>
      <c r="Q302" s="75" t="str">
        <f t="shared" si="36"/>
        <v/>
      </c>
      <c r="R302" s="76" t="str">
        <f t="shared" si="37"/>
        <v/>
      </c>
      <c r="S302" s="76" t="str">
        <f t="shared" si="38"/>
        <v/>
      </c>
      <c r="T302" s="43"/>
      <c r="U302" s="107"/>
      <c r="V302" s="76" t="str">
        <f t="shared" si="39"/>
        <v/>
      </c>
      <c r="W302" s="43"/>
      <c r="X302" s="43"/>
      <c r="Y302" s="74"/>
    </row>
    <row r="303" ht="18" customHeight="1" spans="1:25">
      <c r="A303" s="74" t="str">
        <f t="shared" si="32"/>
        <v/>
      </c>
      <c r="B303" s="7"/>
      <c r="C303" s="43"/>
      <c r="D303" s="106"/>
      <c r="E303" s="43"/>
      <c r="F303" s="43"/>
      <c r="G303" s="43"/>
      <c r="H303" s="107"/>
      <c r="I303" s="107"/>
      <c r="J303" s="76" t="str">
        <f>IF($C303="","",ROUND(IFERROR(INDEX(期初余额!$I$4:$I$9,MATCH($C303,期初余额!$H$4:$H$9,0)),0)+SUMIFS($H$4:$H303,$C$4:$C303,$C303)-SUMIFS($I$4:$I303,$C$4:$C303,$C303),2))</f>
        <v/>
      </c>
      <c r="K303" s="111" t="str">
        <f>IF($T303&lt;&gt;"",$T303,IF($C303="","",IF(AND(N($I303)&gt;0,$G303&lt;&gt;""),IFERROR(INDEX(科目表!$U$4:$U$123,MATCH($G303,科目表!$M$4:$M$123,0)),"管理费用"),IF(N($H303)&gt;0,IFERROR(INDEX(自动规则!$C$4:$C$40,MATCH($F303,自动规则!$B$4:$B$40,0)),"其他应收款"),IFERROR(INDEX(自动规则!$D$4:$D$40,MATCH($F303,自动规则!$B$4:$B$40,0)),"其他应付款")))))</f>
        <v/>
      </c>
      <c r="L303" s="106"/>
      <c r="M303" s="75" t="str">
        <f>IF($C303="","",IFERROR(INDEX(科目表!$T$4:$T$9,MATCH($C303,科目表!$S$4:$S$9,0)),""))</f>
        <v/>
      </c>
      <c r="N303" s="75" t="str">
        <f t="shared" si="33"/>
        <v/>
      </c>
      <c r="O303" s="76" t="str">
        <f t="shared" si="34"/>
        <v/>
      </c>
      <c r="P303" s="76" t="str">
        <f t="shared" si="35"/>
        <v/>
      </c>
      <c r="Q303" s="75" t="str">
        <f t="shared" si="36"/>
        <v/>
      </c>
      <c r="R303" s="76" t="str">
        <f t="shared" si="37"/>
        <v/>
      </c>
      <c r="S303" s="76" t="str">
        <f t="shared" si="38"/>
        <v/>
      </c>
      <c r="T303" s="43"/>
      <c r="U303" s="107"/>
      <c r="V303" s="76" t="str">
        <f t="shared" si="39"/>
        <v/>
      </c>
      <c r="W303" s="43"/>
      <c r="X303" s="43"/>
      <c r="Y303" s="74"/>
    </row>
    <row r="304" ht="18" customHeight="1" spans="1:25">
      <c r="A304" s="74" t="str">
        <f t="shared" si="32"/>
        <v/>
      </c>
      <c r="B304" s="7"/>
      <c r="C304" s="43"/>
      <c r="D304" s="106"/>
      <c r="E304" s="43"/>
      <c r="F304" s="43"/>
      <c r="G304" s="43"/>
      <c r="H304" s="107"/>
      <c r="I304" s="107"/>
      <c r="J304" s="76" t="str">
        <f>IF($C304="","",ROUND(IFERROR(INDEX(期初余额!$I$4:$I$9,MATCH($C304,期初余额!$H$4:$H$9,0)),0)+SUMIFS($H$4:$H304,$C$4:$C304,$C304)-SUMIFS($I$4:$I304,$C$4:$C304,$C304),2))</f>
        <v/>
      </c>
      <c r="K304" s="111" t="str">
        <f>IF($T304&lt;&gt;"",$T304,IF($C304="","",IF(AND(N($I304)&gt;0,$G304&lt;&gt;""),IFERROR(INDEX(科目表!$U$4:$U$123,MATCH($G304,科目表!$M$4:$M$123,0)),"管理费用"),IF(N($H304)&gt;0,IFERROR(INDEX(自动规则!$C$4:$C$40,MATCH($F304,自动规则!$B$4:$B$40,0)),"其他应收款"),IFERROR(INDEX(自动规则!$D$4:$D$40,MATCH($F304,自动规则!$B$4:$B$40,0)),"其他应付款")))))</f>
        <v/>
      </c>
      <c r="L304" s="106"/>
      <c r="M304" s="75" t="str">
        <f>IF($C304="","",IFERROR(INDEX(科目表!$T$4:$T$9,MATCH($C304,科目表!$S$4:$S$9,0)),""))</f>
        <v/>
      </c>
      <c r="N304" s="75" t="str">
        <f t="shared" si="33"/>
        <v/>
      </c>
      <c r="O304" s="76" t="str">
        <f t="shared" si="34"/>
        <v/>
      </c>
      <c r="P304" s="76" t="str">
        <f t="shared" si="35"/>
        <v/>
      </c>
      <c r="Q304" s="75" t="str">
        <f t="shared" si="36"/>
        <v/>
      </c>
      <c r="R304" s="76" t="str">
        <f t="shared" si="37"/>
        <v/>
      </c>
      <c r="S304" s="76" t="str">
        <f t="shared" si="38"/>
        <v/>
      </c>
      <c r="T304" s="43"/>
      <c r="U304" s="107"/>
      <c r="V304" s="76" t="str">
        <f t="shared" si="39"/>
        <v/>
      </c>
      <c r="W304" s="43"/>
      <c r="X304" s="43"/>
      <c r="Y304" s="74"/>
    </row>
    <row r="305" ht="18" customHeight="1" spans="1:25">
      <c r="A305" s="74" t="str">
        <f t="shared" si="32"/>
        <v/>
      </c>
      <c r="B305" s="7"/>
      <c r="C305" s="43"/>
      <c r="D305" s="106"/>
      <c r="E305" s="43"/>
      <c r="F305" s="43"/>
      <c r="G305" s="43"/>
      <c r="H305" s="107"/>
      <c r="I305" s="107"/>
      <c r="J305" s="76" t="str">
        <f>IF($C305="","",ROUND(IFERROR(INDEX(期初余额!$I$4:$I$9,MATCH($C305,期初余额!$H$4:$H$9,0)),0)+SUMIFS($H$4:$H305,$C$4:$C305,$C305)-SUMIFS($I$4:$I305,$C$4:$C305,$C305),2))</f>
        <v/>
      </c>
      <c r="K305" s="111" t="str">
        <f>IF($T305&lt;&gt;"",$T305,IF($C305="","",IF(AND(N($I305)&gt;0,$G305&lt;&gt;""),IFERROR(INDEX(科目表!$U$4:$U$123,MATCH($G305,科目表!$M$4:$M$123,0)),"管理费用"),IF(N($H305)&gt;0,IFERROR(INDEX(自动规则!$C$4:$C$40,MATCH($F305,自动规则!$B$4:$B$40,0)),"其他应收款"),IFERROR(INDEX(自动规则!$D$4:$D$40,MATCH($F305,自动规则!$B$4:$B$40,0)),"其他应付款")))))</f>
        <v/>
      </c>
      <c r="L305" s="106"/>
      <c r="M305" s="75" t="str">
        <f>IF($C305="","",IFERROR(INDEX(科目表!$T$4:$T$9,MATCH($C305,科目表!$S$4:$S$9,0)),""))</f>
        <v/>
      </c>
      <c r="N305" s="75" t="str">
        <f t="shared" si="33"/>
        <v/>
      </c>
      <c r="O305" s="76" t="str">
        <f t="shared" si="34"/>
        <v/>
      </c>
      <c r="P305" s="76" t="str">
        <f t="shared" si="35"/>
        <v/>
      </c>
      <c r="Q305" s="75" t="str">
        <f t="shared" si="36"/>
        <v/>
      </c>
      <c r="R305" s="76" t="str">
        <f t="shared" si="37"/>
        <v/>
      </c>
      <c r="S305" s="76" t="str">
        <f t="shared" si="38"/>
        <v/>
      </c>
      <c r="T305" s="43"/>
      <c r="U305" s="107"/>
      <c r="V305" s="76" t="str">
        <f t="shared" si="39"/>
        <v/>
      </c>
      <c r="W305" s="43"/>
      <c r="X305" s="43"/>
      <c r="Y305" s="74"/>
    </row>
    <row r="306" ht="18" customHeight="1" spans="1:25">
      <c r="A306" s="74" t="str">
        <f t="shared" si="32"/>
        <v/>
      </c>
      <c r="B306" s="7"/>
      <c r="C306" s="43"/>
      <c r="D306" s="106"/>
      <c r="E306" s="43"/>
      <c r="F306" s="43"/>
      <c r="G306" s="43"/>
      <c r="H306" s="107"/>
      <c r="I306" s="107"/>
      <c r="J306" s="76" t="str">
        <f>IF($C306="","",ROUND(IFERROR(INDEX(期初余额!$I$4:$I$9,MATCH($C306,期初余额!$H$4:$H$9,0)),0)+SUMIFS($H$4:$H306,$C$4:$C306,$C306)-SUMIFS($I$4:$I306,$C$4:$C306,$C306),2))</f>
        <v/>
      </c>
      <c r="K306" s="111" t="str">
        <f>IF($T306&lt;&gt;"",$T306,IF($C306="","",IF(AND(N($I306)&gt;0,$G306&lt;&gt;""),IFERROR(INDEX(科目表!$U$4:$U$123,MATCH($G306,科目表!$M$4:$M$123,0)),"管理费用"),IF(N($H306)&gt;0,IFERROR(INDEX(自动规则!$C$4:$C$40,MATCH($F306,自动规则!$B$4:$B$40,0)),"其他应收款"),IFERROR(INDEX(自动规则!$D$4:$D$40,MATCH($F306,自动规则!$B$4:$B$40,0)),"其他应付款")))))</f>
        <v/>
      </c>
      <c r="L306" s="106"/>
      <c r="M306" s="75" t="str">
        <f>IF($C306="","",IFERROR(INDEX(科目表!$T$4:$T$9,MATCH($C306,科目表!$S$4:$S$9,0)),""))</f>
        <v/>
      </c>
      <c r="N306" s="75" t="str">
        <f t="shared" si="33"/>
        <v/>
      </c>
      <c r="O306" s="76" t="str">
        <f t="shared" si="34"/>
        <v/>
      </c>
      <c r="P306" s="76" t="str">
        <f t="shared" si="35"/>
        <v/>
      </c>
      <c r="Q306" s="75" t="str">
        <f t="shared" si="36"/>
        <v/>
      </c>
      <c r="R306" s="76" t="str">
        <f t="shared" si="37"/>
        <v/>
      </c>
      <c r="S306" s="76" t="str">
        <f t="shared" si="38"/>
        <v/>
      </c>
      <c r="T306" s="43"/>
      <c r="U306" s="107"/>
      <c r="V306" s="76" t="str">
        <f t="shared" si="39"/>
        <v/>
      </c>
      <c r="W306" s="43"/>
      <c r="X306" s="43"/>
      <c r="Y306" s="74"/>
    </row>
    <row r="307" ht="18" customHeight="1" spans="1:25">
      <c r="A307" s="74" t="str">
        <f t="shared" si="32"/>
        <v/>
      </c>
      <c r="B307" s="7"/>
      <c r="C307" s="43"/>
      <c r="D307" s="106"/>
      <c r="E307" s="43"/>
      <c r="F307" s="43"/>
      <c r="G307" s="43"/>
      <c r="H307" s="107"/>
      <c r="I307" s="107"/>
      <c r="J307" s="76" t="str">
        <f>IF($C307="","",ROUND(IFERROR(INDEX(期初余额!$I$4:$I$9,MATCH($C307,期初余额!$H$4:$H$9,0)),0)+SUMIFS($H$4:$H307,$C$4:$C307,$C307)-SUMIFS($I$4:$I307,$C$4:$C307,$C307),2))</f>
        <v/>
      </c>
      <c r="K307" s="111" t="str">
        <f>IF($T307&lt;&gt;"",$T307,IF($C307="","",IF(AND(N($I307)&gt;0,$G307&lt;&gt;""),IFERROR(INDEX(科目表!$U$4:$U$123,MATCH($G307,科目表!$M$4:$M$123,0)),"管理费用"),IF(N($H307)&gt;0,IFERROR(INDEX(自动规则!$C$4:$C$40,MATCH($F307,自动规则!$B$4:$B$40,0)),"其他应收款"),IFERROR(INDEX(自动规则!$D$4:$D$40,MATCH($F307,自动规则!$B$4:$B$40,0)),"其他应付款")))))</f>
        <v/>
      </c>
      <c r="L307" s="106"/>
      <c r="M307" s="75" t="str">
        <f>IF($C307="","",IFERROR(INDEX(科目表!$T$4:$T$9,MATCH($C307,科目表!$S$4:$S$9,0)),""))</f>
        <v/>
      </c>
      <c r="N307" s="75" t="str">
        <f t="shared" si="33"/>
        <v/>
      </c>
      <c r="O307" s="76" t="str">
        <f t="shared" si="34"/>
        <v/>
      </c>
      <c r="P307" s="76" t="str">
        <f t="shared" si="35"/>
        <v/>
      </c>
      <c r="Q307" s="75" t="str">
        <f t="shared" si="36"/>
        <v/>
      </c>
      <c r="R307" s="76" t="str">
        <f t="shared" si="37"/>
        <v/>
      </c>
      <c r="S307" s="76" t="str">
        <f t="shared" si="38"/>
        <v/>
      </c>
      <c r="T307" s="43"/>
      <c r="U307" s="107"/>
      <c r="V307" s="76" t="str">
        <f t="shared" si="39"/>
        <v/>
      </c>
      <c r="W307" s="43"/>
      <c r="X307" s="43"/>
      <c r="Y307" s="74"/>
    </row>
    <row r="308" ht="18" customHeight="1" spans="1:25">
      <c r="A308" s="74" t="str">
        <f t="shared" si="32"/>
        <v/>
      </c>
      <c r="B308" s="7"/>
      <c r="C308" s="43"/>
      <c r="D308" s="106"/>
      <c r="E308" s="43"/>
      <c r="F308" s="43"/>
      <c r="G308" s="43"/>
      <c r="H308" s="107"/>
      <c r="I308" s="107"/>
      <c r="J308" s="76" t="str">
        <f>IF($C308="","",ROUND(IFERROR(INDEX(期初余额!$I$4:$I$9,MATCH($C308,期初余额!$H$4:$H$9,0)),0)+SUMIFS($H$4:$H308,$C$4:$C308,$C308)-SUMIFS($I$4:$I308,$C$4:$C308,$C308),2))</f>
        <v/>
      </c>
      <c r="K308" s="111" t="str">
        <f>IF($T308&lt;&gt;"",$T308,IF($C308="","",IF(AND(N($I308)&gt;0,$G308&lt;&gt;""),IFERROR(INDEX(科目表!$U$4:$U$123,MATCH($G308,科目表!$M$4:$M$123,0)),"管理费用"),IF(N($H308)&gt;0,IFERROR(INDEX(自动规则!$C$4:$C$40,MATCH($F308,自动规则!$B$4:$B$40,0)),"其他应收款"),IFERROR(INDEX(自动规则!$D$4:$D$40,MATCH($F308,自动规则!$B$4:$B$40,0)),"其他应付款")))))</f>
        <v/>
      </c>
      <c r="L308" s="106"/>
      <c r="M308" s="75" t="str">
        <f>IF($C308="","",IFERROR(INDEX(科目表!$T$4:$T$9,MATCH($C308,科目表!$S$4:$S$9,0)),""))</f>
        <v/>
      </c>
      <c r="N308" s="75" t="str">
        <f t="shared" si="33"/>
        <v/>
      </c>
      <c r="O308" s="76" t="str">
        <f t="shared" si="34"/>
        <v/>
      </c>
      <c r="P308" s="76" t="str">
        <f t="shared" si="35"/>
        <v/>
      </c>
      <c r="Q308" s="75" t="str">
        <f t="shared" si="36"/>
        <v/>
      </c>
      <c r="R308" s="76" t="str">
        <f t="shared" si="37"/>
        <v/>
      </c>
      <c r="S308" s="76" t="str">
        <f t="shared" si="38"/>
        <v/>
      </c>
      <c r="T308" s="43"/>
      <c r="U308" s="107"/>
      <c r="V308" s="76" t="str">
        <f t="shared" si="39"/>
        <v/>
      </c>
      <c r="W308" s="43"/>
      <c r="X308" s="43"/>
      <c r="Y308" s="74"/>
    </row>
    <row r="309" ht="18" customHeight="1" spans="1:25">
      <c r="A309" s="74" t="str">
        <f t="shared" si="32"/>
        <v/>
      </c>
      <c r="B309" s="7"/>
      <c r="C309" s="43"/>
      <c r="D309" s="106"/>
      <c r="E309" s="43"/>
      <c r="F309" s="43"/>
      <c r="G309" s="43"/>
      <c r="H309" s="107"/>
      <c r="I309" s="107"/>
      <c r="J309" s="76" t="str">
        <f>IF($C309="","",ROUND(IFERROR(INDEX(期初余额!$I$4:$I$9,MATCH($C309,期初余额!$H$4:$H$9,0)),0)+SUMIFS($H$4:$H309,$C$4:$C309,$C309)-SUMIFS($I$4:$I309,$C$4:$C309,$C309),2))</f>
        <v/>
      </c>
      <c r="K309" s="111" t="str">
        <f>IF($T309&lt;&gt;"",$T309,IF($C309="","",IF(AND(N($I309)&gt;0,$G309&lt;&gt;""),IFERROR(INDEX(科目表!$U$4:$U$123,MATCH($G309,科目表!$M$4:$M$123,0)),"管理费用"),IF(N($H309)&gt;0,IFERROR(INDEX(自动规则!$C$4:$C$40,MATCH($F309,自动规则!$B$4:$B$40,0)),"其他应收款"),IFERROR(INDEX(自动规则!$D$4:$D$40,MATCH($F309,自动规则!$B$4:$B$40,0)),"其他应付款")))))</f>
        <v/>
      </c>
      <c r="L309" s="106"/>
      <c r="M309" s="75" t="str">
        <f>IF($C309="","",IFERROR(INDEX(科目表!$T$4:$T$9,MATCH($C309,科目表!$S$4:$S$9,0)),""))</f>
        <v/>
      </c>
      <c r="N309" s="75" t="str">
        <f t="shared" si="33"/>
        <v/>
      </c>
      <c r="O309" s="76" t="str">
        <f t="shared" si="34"/>
        <v/>
      </c>
      <c r="P309" s="76" t="str">
        <f t="shared" si="35"/>
        <v/>
      </c>
      <c r="Q309" s="75" t="str">
        <f t="shared" si="36"/>
        <v/>
      </c>
      <c r="R309" s="76" t="str">
        <f t="shared" si="37"/>
        <v/>
      </c>
      <c r="S309" s="76" t="str">
        <f t="shared" si="38"/>
        <v/>
      </c>
      <c r="T309" s="43"/>
      <c r="U309" s="107"/>
      <c r="V309" s="76" t="str">
        <f t="shared" si="39"/>
        <v/>
      </c>
      <c r="W309" s="43"/>
      <c r="X309" s="43"/>
      <c r="Y309" s="74"/>
    </row>
    <row r="310" ht="18" customHeight="1" spans="1:25">
      <c r="A310" s="74" t="str">
        <f t="shared" si="32"/>
        <v/>
      </c>
      <c r="B310" s="7"/>
      <c r="C310" s="43"/>
      <c r="D310" s="106"/>
      <c r="E310" s="43"/>
      <c r="F310" s="43"/>
      <c r="G310" s="43"/>
      <c r="H310" s="107"/>
      <c r="I310" s="107"/>
      <c r="J310" s="76" t="str">
        <f>IF($C310="","",ROUND(IFERROR(INDEX(期初余额!$I$4:$I$9,MATCH($C310,期初余额!$H$4:$H$9,0)),0)+SUMIFS($H$4:$H310,$C$4:$C310,$C310)-SUMIFS($I$4:$I310,$C$4:$C310,$C310),2))</f>
        <v/>
      </c>
      <c r="K310" s="111" t="str">
        <f>IF($T310&lt;&gt;"",$T310,IF($C310="","",IF(AND(N($I310)&gt;0,$G310&lt;&gt;""),IFERROR(INDEX(科目表!$U$4:$U$123,MATCH($G310,科目表!$M$4:$M$123,0)),"管理费用"),IF(N($H310)&gt;0,IFERROR(INDEX(自动规则!$C$4:$C$40,MATCH($F310,自动规则!$B$4:$B$40,0)),"其他应收款"),IFERROR(INDEX(自动规则!$D$4:$D$40,MATCH($F310,自动规则!$B$4:$B$40,0)),"其他应付款")))))</f>
        <v/>
      </c>
      <c r="L310" s="106"/>
      <c r="M310" s="75" t="str">
        <f>IF($C310="","",IFERROR(INDEX(科目表!$T$4:$T$9,MATCH($C310,科目表!$S$4:$S$9,0)),""))</f>
        <v/>
      </c>
      <c r="N310" s="75" t="str">
        <f t="shared" si="33"/>
        <v/>
      </c>
      <c r="O310" s="76" t="str">
        <f t="shared" si="34"/>
        <v/>
      </c>
      <c r="P310" s="76" t="str">
        <f t="shared" si="35"/>
        <v/>
      </c>
      <c r="Q310" s="75" t="str">
        <f t="shared" si="36"/>
        <v/>
      </c>
      <c r="R310" s="76" t="str">
        <f t="shared" si="37"/>
        <v/>
      </c>
      <c r="S310" s="76" t="str">
        <f t="shared" si="38"/>
        <v/>
      </c>
      <c r="T310" s="43"/>
      <c r="U310" s="107"/>
      <c r="V310" s="76" t="str">
        <f t="shared" si="39"/>
        <v/>
      </c>
      <c r="W310" s="43"/>
      <c r="X310" s="43"/>
      <c r="Y310" s="74"/>
    </row>
    <row r="311" ht="18" customHeight="1" spans="1:25">
      <c r="A311" s="74" t="str">
        <f t="shared" si="32"/>
        <v/>
      </c>
      <c r="B311" s="7"/>
      <c r="C311" s="43"/>
      <c r="D311" s="106"/>
      <c r="E311" s="43"/>
      <c r="F311" s="43"/>
      <c r="G311" s="43"/>
      <c r="H311" s="107"/>
      <c r="I311" s="107"/>
      <c r="J311" s="76" t="str">
        <f>IF($C311="","",ROUND(IFERROR(INDEX(期初余额!$I$4:$I$9,MATCH($C311,期初余额!$H$4:$H$9,0)),0)+SUMIFS($H$4:$H311,$C$4:$C311,$C311)-SUMIFS($I$4:$I311,$C$4:$C311,$C311),2))</f>
        <v/>
      </c>
      <c r="K311" s="111" t="str">
        <f>IF($T311&lt;&gt;"",$T311,IF($C311="","",IF(AND(N($I311)&gt;0,$G311&lt;&gt;""),IFERROR(INDEX(科目表!$U$4:$U$123,MATCH($G311,科目表!$M$4:$M$123,0)),"管理费用"),IF(N($H311)&gt;0,IFERROR(INDEX(自动规则!$C$4:$C$40,MATCH($F311,自动规则!$B$4:$B$40,0)),"其他应收款"),IFERROR(INDEX(自动规则!$D$4:$D$40,MATCH($F311,自动规则!$B$4:$B$40,0)),"其他应付款")))))</f>
        <v/>
      </c>
      <c r="L311" s="106"/>
      <c r="M311" s="75" t="str">
        <f>IF($C311="","",IFERROR(INDEX(科目表!$T$4:$T$9,MATCH($C311,科目表!$S$4:$S$9,0)),""))</f>
        <v/>
      </c>
      <c r="N311" s="75" t="str">
        <f t="shared" si="33"/>
        <v/>
      </c>
      <c r="O311" s="76" t="str">
        <f t="shared" si="34"/>
        <v/>
      </c>
      <c r="P311" s="76" t="str">
        <f t="shared" si="35"/>
        <v/>
      </c>
      <c r="Q311" s="75" t="str">
        <f t="shared" si="36"/>
        <v/>
      </c>
      <c r="R311" s="76" t="str">
        <f t="shared" si="37"/>
        <v/>
      </c>
      <c r="S311" s="76" t="str">
        <f t="shared" si="38"/>
        <v/>
      </c>
      <c r="T311" s="43"/>
      <c r="U311" s="107"/>
      <c r="V311" s="76" t="str">
        <f t="shared" si="39"/>
        <v/>
      </c>
      <c r="W311" s="43"/>
      <c r="X311" s="43"/>
      <c r="Y311" s="74"/>
    </row>
    <row r="312" ht="18" customHeight="1" spans="1:25">
      <c r="A312" s="74" t="str">
        <f t="shared" si="32"/>
        <v/>
      </c>
      <c r="B312" s="7"/>
      <c r="C312" s="43"/>
      <c r="D312" s="106"/>
      <c r="E312" s="43"/>
      <c r="F312" s="43"/>
      <c r="G312" s="43"/>
      <c r="H312" s="107"/>
      <c r="I312" s="107"/>
      <c r="J312" s="76" t="str">
        <f>IF($C312="","",ROUND(IFERROR(INDEX(期初余额!$I$4:$I$9,MATCH($C312,期初余额!$H$4:$H$9,0)),0)+SUMIFS($H$4:$H312,$C$4:$C312,$C312)-SUMIFS($I$4:$I312,$C$4:$C312,$C312),2))</f>
        <v/>
      </c>
      <c r="K312" s="111" t="str">
        <f>IF($T312&lt;&gt;"",$T312,IF($C312="","",IF(AND(N($I312)&gt;0,$G312&lt;&gt;""),IFERROR(INDEX(科目表!$U$4:$U$123,MATCH($G312,科目表!$M$4:$M$123,0)),"管理费用"),IF(N($H312)&gt;0,IFERROR(INDEX(自动规则!$C$4:$C$40,MATCH($F312,自动规则!$B$4:$B$40,0)),"其他应收款"),IFERROR(INDEX(自动规则!$D$4:$D$40,MATCH($F312,自动规则!$B$4:$B$40,0)),"其他应付款")))))</f>
        <v/>
      </c>
      <c r="L312" s="106"/>
      <c r="M312" s="75" t="str">
        <f>IF($C312="","",IFERROR(INDEX(科目表!$T$4:$T$9,MATCH($C312,科目表!$S$4:$S$9,0)),""))</f>
        <v/>
      </c>
      <c r="N312" s="75" t="str">
        <f t="shared" si="33"/>
        <v/>
      </c>
      <c r="O312" s="76" t="str">
        <f t="shared" si="34"/>
        <v/>
      </c>
      <c r="P312" s="76" t="str">
        <f t="shared" si="35"/>
        <v/>
      </c>
      <c r="Q312" s="75" t="str">
        <f t="shared" si="36"/>
        <v/>
      </c>
      <c r="R312" s="76" t="str">
        <f t="shared" si="37"/>
        <v/>
      </c>
      <c r="S312" s="76" t="str">
        <f t="shared" si="38"/>
        <v/>
      </c>
      <c r="T312" s="43"/>
      <c r="U312" s="107"/>
      <c r="V312" s="76" t="str">
        <f t="shared" si="39"/>
        <v/>
      </c>
      <c r="W312" s="43"/>
      <c r="X312" s="43"/>
      <c r="Y312" s="74"/>
    </row>
    <row r="313" ht="18" customHeight="1" spans="1:25">
      <c r="A313" s="74" t="str">
        <f t="shared" si="32"/>
        <v/>
      </c>
      <c r="B313" s="7"/>
      <c r="C313" s="43"/>
      <c r="D313" s="106"/>
      <c r="E313" s="43"/>
      <c r="F313" s="43"/>
      <c r="G313" s="43"/>
      <c r="H313" s="107"/>
      <c r="I313" s="107"/>
      <c r="J313" s="76" t="str">
        <f>IF($C313="","",ROUND(IFERROR(INDEX(期初余额!$I$4:$I$9,MATCH($C313,期初余额!$H$4:$H$9,0)),0)+SUMIFS($H$4:$H313,$C$4:$C313,$C313)-SUMIFS($I$4:$I313,$C$4:$C313,$C313),2))</f>
        <v/>
      </c>
      <c r="K313" s="111" t="str">
        <f>IF($T313&lt;&gt;"",$T313,IF($C313="","",IF(AND(N($I313)&gt;0,$G313&lt;&gt;""),IFERROR(INDEX(科目表!$U$4:$U$123,MATCH($G313,科目表!$M$4:$M$123,0)),"管理费用"),IF(N($H313)&gt;0,IFERROR(INDEX(自动规则!$C$4:$C$40,MATCH($F313,自动规则!$B$4:$B$40,0)),"其他应收款"),IFERROR(INDEX(自动规则!$D$4:$D$40,MATCH($F313,自动规则!$B$4:$B$40,0)),"其他应付款")))))</f>
        <v/>
      </c>
      <c r="L313" s="106"/>
      <c r="M313" s="75" t="str">
        <f>IF($C313="","",IFERROR(INDEX(科目表!$T$4:$T$9,MATCH($C313,科目表!$S$4:$S$9,0)),""))</f>
        <v/>
      </c>
      <c r="N313" s="75" t="str">
        <f t="shared" si="33"/>
        <v/>
      </c>
      <c r="O313" s="76" t="str">
        <f t="shared" si="34"/>
        <v/>
      </c>
      <c r="P313" s="76" t="str">
        <f t="shared" si="35"/>
        <v/>
      </c>
      <c r="Q313" s="75" t="str">
        <f t="shared" si="36"/>
        <v/>
      </c>
      <c r="R313" s="76" t="str">
        <f t="shared" si="37"/>
        <v/>
      </c>
      <c r="S313" s="76" t="str">
        <f t="shared" si="38"/>
        <v/>
      </c>
      <c r="T313" s="43"/>
      <c r="U313" s="107"/>
      <c r="V313" s="76" t="str">
        <f t="shared" si="39"/>
        <v/>
      </c>
      <c r="W313" s="43"/>
      <c r="X313" s="43"/>
      <c r="Y313" s="74"/>
    </row>
    <row r="314" ht="18" customHeight="1" spans="1:25">
      <c r="A314" s="74" t="str">
        <f t="shared" si="32"/>
        <v/>
      </c>
      <c r="B314" s="7"/>
      <c r="C314" s="43"/>
      <c r="D314" s="106"/>
      <c r="E314" s="43"/>
      <c r="F314" s="43"/>
      <c r="G314" s="43"/>
      <c r="H314" s="107"/>
      <c r="I314" s="107"/>
      <c r="J314" s="76" t="str">
        <f>IF($C314="","",ROUND(IFERROR(INDEX(期初余额!$I$4:$I$9,MATCH($C314,期初余额!$H$4:$H$9,0)),0)+SUMIFS($H$4:$H314,$C$4:$C314,$C314)-SUMIFS($I$4:$I314,$C$4:$C314,$C314),2))</f>
        <v/>
      </c>
      <c r="K314" s="111" t="str">
        <f>IF($T314&lt;&gt;"",$T314,IF($C314="","",IF(AND(N($I314)&gt;0,$G314&lt;&gt;""),IFERROR(INDEX(科目表!$U$4:$U$123,MATCH($G314,科目表!$M$4:$M$123,0)),"管理费用"),IF(N($H314)&gt;0,IFERROR(INDEX(自动规则!$C$4:$C$40,MATCH($F314,自动规则!$B$4:$B$40,0)),"其他应收款"),IFERROR(INDEX(自动规则!$D$4:$D$40,MATCH($F314,自动规则!$B$4:$B$40,0)),"其他应付款")))))</f>
        <v/>
      </c>
      <c r="L314" s="106"/>
      <c r="M314" s="75" t="str">
        <f>IF($C314="","",IFERROR(INDEX(科目表!$T$4:$T$9,MATCH($C314,科目表!$S$4:$S$9,0)),""))</f>
        <v/>
      </c>
      <c r="N314" s="75" t="str">
        <f t="shared" si="33"/>
        <v/>
      </c>
      <c r="O314" s="76" t="str">
        <f t="shared" si="34"/>
        <v/>
      </c>
      <c r="P314" s="76" t="str">
        <f t="shared" si="35"/>
        <v/>
      </c>
      <c r="Q314" s="75" t="str">
        <f t="shared" si="36"/>
        <v/>
      </c>
      <c r="R314" s="76" t="str">
        <f t="shared" si="37"/>
        <v/>
      </c>
      <c r="S314" s="76" t="str">
        <f t="shared" si="38"/>
        <v/>
      </c>
      <c r="T314" s="43"/>
      <c r="U314" s="107"/>
      <c r="V314" s="76" t="str">
        <f t="shared" si="39"/>
        <v/>
      </c>
      <c r="W314" s="43"/>
      <c r="X314" s="43"/>
      <c r="Y314" s="74"/>
    </row>
    <row r="315" ht="18" customHeight="1" spans="1:25">
      <c r="A315" s="74" t="str">
        <f t="shared" si="32"/>
        <v/>
      </c>
      <c r="B315" s="7"/>
      <c r="C315" s="43"/>
      <c r="D315" s="106"/>
      <c r="E315" s="43"/>
      <c r="F315" s="43"/>
      <c r="G315" s="43"/>
      <c r="H315" s="107"/>
      <c r="I315" s="107"/>
      <c r="J315" s="76" t="str">
        <f>IF($C315="","",ROUND(IFERROR(INDEX(期初余额!$I$4:$I$9,MATCH($C315,期初余额!$H$4:$H$9,0)),0)+SUMIFS($H$4:$H315,$C$4:$C315,$C315)-SUMIFS($I$4:$I315,$C$4:$C315,$C315),2))</f>
        <v/>
      </c>
      <c r="K315" s="111" t="str">
        <f>IF($T315&lt;&gt;"",$T315,IF($C315="","",IF(AND(N($I315)&gt;0,$G315&lt;&gt;""),IFERROR(INDEX(科目表!$U$4:$U$123,MATCH($G315,科目表!$M$4:$M$123,0)),"管理费用"),IF(N($H315)&gt;0,IFERROR(INDEX(自动规则!$C$4:$C$40,MATCH($F315,自动规则!$B$4:$B$40,0)),"其他应收款"),IFERROR(INDEX(自动规则!$D$4:$D$40,MATCH($F315,自动规则!$B$4:$B$40,0)),"其他应付款")))))</f>
        <v/>
      </c>
      <c r="L315" s="106"/>
      <c r="M315" s="75" t="str">
        <f>IF($C315="","",IFERROR(INDEX(科目表!$T$4:$T$9,MATCH($C315,科目表!$S$4:$S$9,0)),""))</f>
        <v/>
      </c>
      <c r="N315" s="75" t="str">
        <f t="shared" si="33"/>
        <v/>
      </c>
      <c r="O315" s="76" t="str">
        <f t="shared" si="34"/>
        <v/>
      </c>
      <c r="P315" s="76" t="str">
        <f t="shared" si="35"/>
        <v/>
      </c>
      <c r="Q315" s="75" t="str">
        <f t="shared" si="36"/>
        <v/>
      </c>
      <c r="R315" s="76" t="str">
        <f t="shared" si="37"/>
        <v/>
      </c>
      <c r="S315" s="76" t="str">
        <f t="shared" si="38"/>
        <v/>
      </c>
      <c r="T315" s="43"/>
      <c r="U315" s="107"/>
      <c r="V315" s="76" t="str">
        <f t="shared" si="39"/>
        <v/>
      </c>
      <c r="W315" s="43"/>
      <c r="X315" s="43"/>
      <c r="Y315" s="74"/>
    </row>
    <row r="316" ht="18" customHeight="1" spans="1:25">
      <c r="A316" s="74" t="str">
        <f t="shared" si="32"/>
        <v/>
      </c>
      <c r="B316" s="7"/>
      <c r="C316" s="43"/>
      <c r="D316" s="106"/>
      <c r="E316" s="43"/>
      <c r="F316" s="43"/>
      <c r="G316" s="43"/>
      <c r="H316" s="107"/>
      <c r="I316" s="107"/>
      <c r="J316" s="76" t="str">
        <f>IF($C316="","",ROUND(IFERROR(INDEX(期初余额!$I$4:$I$9,MATCH($C316,期初余额!$H$4:$H$9,0)),0)+SUMIFS($H$4:$H316,$C$4:$C316,$C316)-SUMIFS($I$4:$I316,$C$4:$C316,$C316),2))</f>
        <v/>
      </c>
      <c r="K316" s="111" t="str">
        <f>IF($T316&lt;&gt;"",$T316,IF($C316="","",IF(AND(N($I316)&gt;0,$G316&lt;&gt;""),IFERROR(INDEX(科目表!$U$4:$U$123,MATCH($G316,科目表!$M$4:$M$123,0)),"管理费用"),IF(N($H316)&gt;0,IFERROR(INDEX(自动规则!$C$4:$C$40,MATCH($F316,自动规则!$B$4:$B$40,0)),"其他应收款"),IFERROR(INDEX(自动规则!$D$4:$D$40,MATCH($F316,自动规则!$B$4:$B$40,0)),"其他应付款")))))</f>
        <v/>
      </c>
      <c r="L316" s="106"/>
      <c r="M316" s="75" t="str">
        <f>IF($C316="","",IFERROR(INDEX(科目表!$T$4:$T$9,MATCH($C316,科目表!$S$4:$S$9,0)),""))</f>
        <v/>
      </c>
      <c r="N316" s="75" t="str">
        <f t="shared" si="33"/>
        <v/>
      </c>
      <c r="O316" s="76" t="str">
        <f t="shared" si="34"/>
        <v/>
      </c>
      <c r="P316" s="76" t="str">
        <f t="shared" si="35"/>
        <v/>
      </c>
      <c r="Q316" s="75" t="str">
        <f t="shared" si="36"/>
        <v/>
      </c>
      <c r="R316" s="76" t="str">
        <f t="shared" si="37"/>
        <v/>
      </c>
      <c r="S316" s="76" t="str">
        <f t="shared" si="38"/>
        <v/>
      </c>
      <c r="T316" s="43"/>
      <c r="U316" s="107"/>
      <c r="V316" s="76" t="str">
        <f t="shared" si="39"/>
        <v/>
      </c>
      <c r="W316" s="43"/>
      <c r="X316" s="43"/>
      <c r="Y316" s="74"/>
    </row>
    <row r="317" ht="18" customHeight="1" spans="1:25">
      <c r="A317" s="74" t="str">
        <f t="shared" si="32"/>
        <v/>
      </c>
      <c r="B317" s="7"/>
      <c r="C317" s="43"/>
      <c r="D317" s="106"/>
      <c r="E317" s="43"/>
      <c r="F317" s="43"/>
      <c r="G317" s="43"/>
      <c r="H317" s="107"/>
      <c r="I317" s="107"/>
      <c r="J317" s="76" t="str">
        <f>IF($C317="","",ROUND(IFERROR(INDEX(期初余额!$I$4:$I$9,MATCH($C317,期初余额!$H$4:$H$9,0)),0)+SUMIFS($H$4:$H317,$C$4:$C317,$C317)-SUMIFS($I$4:$I317,$C$4:$C317,$C317),2))</f>
        <v/>
      </c>
      <c r="K317" s="111" t="str">
        <f>IF($T317&lt;&gt;"",$T317,IF($C317="","",IF(AND(N($I317)&gt;0,$G317&lt;&gt;""),IFERROR(INDEX(科目表!$U$4:$U$123,MATCH($G317,科目表!$M$4:$M$123,0)),"管理费用"),IF(N($H317)&gt;0,IFERROR(INDEX(自动规则!$C$4:$C$40,MATCH($F317,自动规则!$B$4:$B$40,0)),"其他应收款"),IFERROR(INDEX(自动规则!$D$4:$D$40,MATCH($F317,自动规则!$B$4:$B$40,0)),"其他应付款")))))</f>
        <v/>
      </c>
      <c r="L317" s="106"/>
      <c r="M317" s="75" t="str">
        <f>IF($C317="","",IFERROR(INDEX(科目表!$T$4:$T$9,MATCH($C317,科目表!$S$4:$S$9,0)),""))</f>
        <v/>
      </c>
      <c r="N317" s="75" t="str">
        <f t="shared" si="33"/>
        <v/>
      </c>
      <c r="O317" s="76" t="str">
        <f t="shared" si="34"/>
        <v/>
      </c>
      <c r="P317" s="76" t="str">
        <f t="shared" si="35"/>
        <v/>
      </c>
      <c r="Q317" s="75" t="str">
        <f t="shared" si="36"/>
        <v/>
      </c>
      <c r="R317" s="76" t="str">
        <f t="shared" si="37"/>
        <v/>
      </c>
      <c r="S317" s="76" t="str">
        <f t="shared" si="38"/>
        <v/>
      </c>
      <c r="T317" s="43"/>
      <c r="U317" s="107"/>
      <c r="V317" s="76" t="str">
        <f t="shared" si="39"/>
        <v/>
      </c>
      <c r="W317" s="43"/>
      <c r="X317" s="43"/>
      <c r="Y317" s="74"/>
    </row>
    <row r="318" ht="18" customHeight="1" spans="1:25">
      <c r="A318" s="74" t="str">
        <f t="shared" si="32"/>
        <v/>
      </c>
      <c r="B318" s="7"/>
      <c r="C318" s="43"/>
      <c r="D318" s="106"/>
      <c r="E318" s="43"/>
      <c r="F318" s="43"/>
      <c r="G318" s="43"/>
      <c r="H318" s="107"/>
      <c r="I318" s="107"/>
      <c r="J318" s="76" t="str">
        <f>IF($C318="","",ROUND(IFERROR(INDEX(期初余额!$I$4:$I$9,MATCH($C318,期初余额!$H$4:$H$9,0)),0)+SUMIFS($H$4:$H318,$C$4:$C318,$C318)-SUMIFS($I$4:$I318,$C$4:$C318,$C318),2))</f>
        <v/>
      </c>
      <c r="K318" s="111" t="str">
        <f>IF($T318&lt;&gt;"",$T318,IF($C318="","",IF(AND(N($I318)&gt;0,$G318&lt;&gt;""),IFERROR(INDEX(科目表!$U$4:$U$123,MATCH($G318,科目表!$M$4:$M$123,0)),"管理费用"),IF(N($H318)&gt;0,IFERROR(INDEX(自动规则!$C$4:$C$40,MATCH($F318,自动规则!$B$4:$B$40,0)),"其他应收款"),IFERROR(INDEX(自动规则!$D$4:$D$40,MATCH($F318,自动规则!$B$4:$B$40,0)),"其他应付款")))))</f>
        <v/>
      </c>
      <c r="L318" s="106"/>
      <c r="M318" s="75" t="str">
        <f>IF($C318="","",IFERROR(INDEX(科目表!$T$4:$T$9,MATCH($C318,科目表!$S$4:$S$9,0)),""))</f>
        <v/>
      </c>
      <c r="N318" s="75" t="str">
        <f t="shared" si="33"/>
        <v/>
      </c>
      <c r="O318" s="76" t="str">
        <f t="shared" si="34"/>
        <v/>
      </c>
      <c r="P318" s="76" t="str">
        <f t="shared" si="35"/>
        <v/>
      </c>
      <c r="Q318" s="75" t="str">
        <f t="shared" si="36"/>
        <v/>
      </c>
      <c r="R318" s="76" t="str">
        <f t="shared" si="37"/>
        <v/>
      </c>
      <c r="S318" s="76" t="str">
        <f t="shared" si="38"/>
        <v/>
      </c>
      <c r="T318" s="43"/>
      <c r="U318" s="107"/>
      <c r="V318" s="76" t="str">
        <f t="shared" si="39"/>
        <v/>
      </c>
      <c r="W318" s="43"/>
      <c r="X318" s="43"/>
      <c r="Y318" s="74"/>
    </row>
    <row r="319" ht="18" customHeight="1" spans="1:25">
      <c r="A319" s="74" t="str">
        <f t="shared" si="32"/>
        <v/>
      </c>
      <c r="B319" s="7"/>
      <c r="C319" s="43"/>
      <c r="D319" s="106"/>
      <c r="E319" s="43"/>
      <c r="F319" s="43"/>
      <c r="G319" s="43"/>
      <c r="H319" s="107"/>
      <c r="I319" s="107"/>
      <c r="J319" s="76" t="str">
        <f>IF($C319="","",ROUND(IFERROR(INDEX(期初余额!$I$4:$I$9,MATCH($C319,期初余额!$H$4:$H$9,0)),0)+SUMIFS($H$4:$H319,$C$4:$C319,$C319)-SUMIFS($I$4:$I319,$C$4:$C319,$C319),2))</f>
        <v/>
      </c>
      <c r="K319" s="111" t="str">
        <f>IF($T319&lt;&gt;"",$T319,IF($C319="","",IF(AND(N($I319)&gt;0,$G319&lt;&gt;""),IFERROR(INDEX(科目表!$U$4:$U$123,MATCH($G319,科目表!$M$4:$M$123,0)),"管理费用"),IF(N($H319)&gt;0,IFERROR(INDEX(自动规则!$C$4:$C$40,MATCH($F319,自动规则!$B$4:$B$40,0)),"其他应收款"),IFERROR(INDEX(自动规则!$D$4:$D$40,MATCH($F319,自动规则!$B$4:$B$40,0)),"其他应付款")))))</f>
        <v/>
      </c>
      <c r="L319" s="106"/>
      <c r="M319" s="75" t="str">
        <f>IF($C319="","",IFERROR(INDEX(科目表!$T$4:$T$9,MATCH($C319,科目表!$S$4:$S$9,0)),""))</f>
        <v/>
      </c>
      <c r="N319" s="75" t="str">
        <f t="shared" si="33"/>
        <v/>
      </c>
      <c r="O319" s="76" t="str">
        <f t="shared" si="34"/>
        <v/>
      </c>
      <c r="P319" s="76" t="str">
        <f t="shared" si="35"/>
        <v/>
      </c>
      <c r="Q319" s="75" t="str">
        <f t="shared" si="36"/>
        <v/>
      </c>
      <c r="R319" s="76" t="str">
        <f t="shared" si="37"/>
        <v/>
      </c>
      <c r="S319" s="76" t="str">
        <f t="shared" si="38"/>
        <v/>
      </c>
      <c r="T319" s="43"/>
      <c r="U319" s="107"/>
      <c r="V319" s="76" t="str">
        <f t="shared" si="39"/>
        <v/>
      </c>
      <c r="W319" s="43"/>
      <c r="X319" s="43"/>
      <c r="Y319" s="74"/>
    </row>
    <row r="320" ht="18" customHeight="1" spans="1:25">
      <c r="A320" s="74" t="str">
        <f t="shared" si="32"/>
        <v/>
      </c>
      <c r="B320" s="7"/>
      <c r="C320" s="43"/>
      <c r="D320" s="106"/>
      <c r="E320" s="43"/>
      <c r="F320" s="43"/>
      <c r="G320" s="43"/>
      <c r="H320" s="107"/>
      <c r="I320" s="107"/>
      <c r="J320" s="76" t="str">
        <f>IF($C320="","",ROUND(IFERROR(INDEX(期初余额!$I$4:$I$9,MATCH($C320,期初余额!$H$4:$H$9,0)),0)+SUMIFS($H$4:$H320,$C$4:$C320,$C320)-SUMIFS($I$4:$I320,$C$4:$C320,$C320),2))</f>
        <v/>
      </c>
      <c r="K320" s="111" t="str">
        <f>IF($T320&lt;&gt;"",$T320,IF($C320="","",IF(AND(N($I320)&gt;0,$G320&lt;&gt;""),IFERROR(INDEX(科目表!$U$4:$U$123,MATCH($G320,科目表!$M$4:$M$123,0)),"管理费用"),IF(N($H320)&gt;0,IFERROR(INDEX(自动规则!$C$4:$C$40,MATCH($F320,自动规则!$B$4:$B$40,0)),"其他应收款"),IFERROR(INDEX(自动规则!$D$4:$D$40,MATCH($F320,自动规则!$B$4:$B$40,0)),"其他应付款")))))</f>
        <v/>
      </c>
      <c r="L320" s="106"/>
      <c r="M320" s="75" t="str">
        <f>IF($C320="","",IFERROR(INDEX(科目表!$T$4:$T$9,MATCH($C320,科目表!$S$4:$S$9,0)),""))</f>
        <v/>
      </c>
      <c r="N320" s="75" t="str">
        <f t="shared" si="33"/>
        <v/>
      </c>
      <c r="O320" s="76" t="str">
        <f t="shared" si="34"/>
        <v/>
      </c>
      <c r="P320" s="76" t="str">
        <f t="shared" si="35"/>
        <v/>
      </c>
      <c r="Q320" s="75" t="str">
        <f t="shared" si="36"/>
        <v/>
      </c>
      <c r="R320" s="76" t="str">
        <f t="shared" si="37"/>
        <v/>
      </c>
      <c r="S320" s="76" t="str">
        <f t="shared" si="38"/>
        <v/>
      </c>
      <c r="T320" s="43"/>
      <c r="U320" s="107"/>
      <c r="V320" s="76" t="str">
        <f t="shared" si="39"/>
        <v/>
      </c>
      <c r="W320" s="43"/>
      <c r="X320" s="43"/>
      <c r="Y320" s="74"/>
    </row>
    <row r="321" ht="18" customHeight="1" spans="1:25">
      <c r="A321" s="74" t="str">
        <f t="shared" si="32"/>
        <v/>
      </c>
      <c r="B321" s="7"/>
      <c r="C321" s="43"/>
      <c r="D321" s="106"/>
      <c r="E321" s="43"/>
      <c r="F321" s="43"/>
      <c r="G321" s="43"/>
      <c r="H321" s="107"/>
      <c r="I321" s="107"/>
      <c r="J321" s="76" t="str">
        <f>IF($C321="","",ROUND(IFERROR(INDEX(期初余额!$I$4:$I$9,MATCH($C321,期初余额!$H$4:$H$9,0)),0)+SUMIFS($H$4:$H321,$C$4:$C321,$C321)-SUMIFS($I$4:$I321,$C$4:$C321,$C321),2))</f>
        <v/>
      </c>
      <c r="K321" s="111" t="str">
        <f>IF($T321&lt;&gt;"",$T321,IF($C321="","",IF(AND(N($I321)&gt;0,$G321&lt;&gt;""),IFERROR(INDEX(科目表!$U$4:$U$123,MATCH($G321,科目表!$M$4:$M$123,0)),"管理费用"),IF(N($H321)&gt;0,IFERROR(INDEX(自动规则!$C$4:$C$40,MATCH($F321,自动规则!$B$4:$B$40,0)),"其他应收款"),IFERROR(INDEX(自动规则!$D$4:$D$40,MATCH($F321,自动规则!$B$4:$B$40,0)),"其他应付款")))))</f>
        <v/>
      </c>
      <c r="L321" s="106"/>
      <c r="M321" s="75" t="str">
        <f>IF($C321="","",IFERROR(INDEX(科目表!$T$4:$T$9,MATCH($C321,科目表!$S$4:$S$9,0)),""))</f>
        <v/>
      </c>
      <c r="N321" s="75" t="str">
        <f t="shared" si="33"/>
        <v/>
      </c>
      <c r="O321" s="76" t="str">
        <f t="shared" si="34"/>
        <v/>
      </c>
      <c r="P321" s="76" t="str">
        <f t="shared" si="35"/>
        <v/>
      </c>
      <c r="Q321" s="75" t="str">
        <f t="shared" si="36"/>
        <v/>
      </c>
      <c r="R321" s="76" t="str">
        <f t="shared" si="37"/>
        <v/>
      </c>
      <c r="S321" s="76" t="str">
        <f t="shared" si="38"/>
        <v/>
      </c>
      <c r="T321" s="43"/>
      <c r="U321" s="107"/>
      <c r="V321" s="76" t="str">
        <f t="shared" si="39"/>
        <v/>
      </c>
      <c r="W321" s="43"/>
      <c r="X321" s="43"/>
      <c r="Y321" s="74"/>
    </row>
    <row r="322" ht="18" customHeight="1" spans="1:25">
      <c r="A322" s="74" t="str">
        <f t="shared" si="32"/>
        <v/>
      </c>
      <c r="B322" s="7"/>
      <c r="C322" s="43"/>
      <c r="D322" s="106"/>
      <c r="E322" s="43"/>
      <c r="F322" s="43"/>
      <c r="G322" s="43"/>
      <c r="H322" s="107"/>
      <c r="I322" s="107"/>
      <c r="J322" s="76" t="str">
        <f>IF($C322="","",ROUND(IFERROR(INDEX(期初余额!$I$4:$I$9,MATCH($C322,期初余额!$H$4:$H$9,0)),0)+SUMIFS($H$4:$H322,$C$4:$C322,$C322)-SUMIFS($I$4:$I322,$C$4:$C322,$C322),2))</f>
        <v/>
      </c>
      <c r="K322" s="111" t="str">
        <f>IF($T322&lt;&gt;"",$T322,IF($C322="","",IF(AND(N($I322)&gt;0,$G322&lt;&gt;""),IFERROR(INDEX(科目表!$U$4:$U$123,MATCH($G322,科目表!$M$4:$M$123,0)),"管理费用"),IF(N($H322)&gt;0,IFERROR(INDEX(自动规则!$C$4:$C$40,MATCH($F322,自动规则!$B$4:$B$40,0)),"其他应收款"),IFERROR(INDEX(自动规则!$D$4:$D$40,MATCH($F322,自动规则!$B$4:$B$40,0)),"其他应付款")))))</f>
        <v/>
      </c>
      <c r="L322" s="106"/>
      <c r="M322" s="75" t="str">
        <f>IF($C322="","",IFERROR(INDEX(科目表!$T$4:$T$9,MATCH($C322,科目表!$S$4:$S$9,0)),""))</f>
        <v/>
      </c>
      <c r="N322" s="75" t="str">
        <f t="shared" si="33"/>
        <v/>
      </c>
      <c r="O322" s="76" t="str">
        <f t="shared" si="34"/>
        <v/>
      </c>
      <c r="P322" s="76" t="str">
        <f t="shared" si="35"/>
        <v/>
      </c>
      <c r="Q322" s="75" t="str">
        <f t="shared" si="36"/>
        <v/>
      </c>
      <c r="R322" s="76" t="str">
        <f t="shared" si="37"/>
        <v/>
      </c>
      <c r="S322" s="76" t="str">
        <f t="shared" si="38"/>
        <v/>
      </c>
      <c r="T322" s="43"/>
      <c r="U322" s="107"/>
      <c r="V322" s="76" t="str">
        <f t="shared" si="39"/>
        <v/>
      </c>
      <c r="W322" s="43"/>
      <c r="X322" s="43"/>
      <c r="Y322" s="74"/>
    </row>
    <row r="323" ht="18" customHeight="1" spans="1:25">
      <c r="A323" s="74" t="str">
        <f t="shared" si="32"/>
        <v/>
      </c>
      <c r="B323" s="7"/>
      <c r="C323" s="43"/>
      <c r="D323" s="106"/>
      <c r="E323" s="43"/>
      <c r="F323" s="43"/>
      <c r="G323" s="43"/>
      <c r="H323" s="107"/>
      <c r="I323" s="107"/>
      <c r="J323" s="76" t="str">
        <f>IF($C323="","",ROUND(IFERROR(INDEX(期初余额!$I$4:$I$9,MATCH($C323,期初余额!$H$4:$H$9,0)),0)+SUMIFS($H$4:$H323,$C$4:$C323,$C323)-SUMIFS($I$4:$I323,$C$4:$C323,$C323),2))</f>
        <v/>
      </c>
      <c r="K323" s="111" t="str">
        <f>IF($T323&lt;&gt;"",$T323,IF($C323="","",IF(AND(N($I323)&gt;0,$G323&lt;&gt;""),IFERROR(INDEX(科目表!$U$4:$U$123,MATCH($G323,科目表!$M$4:$M$123,0)),"管理费用"),IF(N($H323)&gt;0,IFERROR(INDEX(自动规则!$C$4:$C$40,MATCH($F323,自动规则!$B$4:$B$40,0)),"其他应收款"),IFERROR(INDEX(自动规则!$D$4:$D$40,MATCH($F323,自动规则!$B$4:$B$40,0)),"其他应付款")))))</f>
        <v/>
      </c>
      <c r="L323" s="106"/>
      <c r="M323" s="75" t="str">
        <f>IF($C323="","",IFERROR(INDEX(科目表!$T$4:$T$9,MATCH($C323,科目表!$S$4:$S$9,0)),""))</f>
        <v/>
      </c>
      <c r="N323" s="75" t="str">
        <f t="shared" si="33"/>
        <v/>
      </c>
      <c r="O323" s="76" t="str">
        <f t="shared" si="34"/>
        <v/>
      </c>
      <c r="P323" s="76" t="str">
        <f t="shared" si="35"/>
        <v/>
      </c>
      <c r="Q323" s="75" t="str">
        <f t="shared" si="36"/>
        <v/>
      </c>
      <c r="R323" s="76" t="str">
        <f t="shared" si="37"/>
        <v/>
      </c>
      <c r="S323" s="76" t="str">
        <f t="shared" si="38"/>
        <v/>
      </c>
      <c r="T323" s="43"/>
      <c r="U323" s="107"/>
      <c r="V323" s="76" t="str">
        <f t="shared" si="39"/>
        <v/>
      </c>
      <c r="W323" s="43"/>
      <c r="X323" s="43"/>
      <c r="Y323" s="74"/>
    </row>
    <row r="324" ht="18" customHeight="1" spans="1:25">
      <c r="A324" s="74" t="str">
        <f t="shared" ref="A324:A387" si="40">IF($C324="","",ROW()-3)</f>
        <v/>
      </c>
      <c r="B324" s="7"/>
      <c r="C324" s="43"/>
      <c r="D324" s="106"/>
      <c r="E324" s="43"/>
      <c r="F324" s="43"/>
      <c r="G324" s="43"/>
      <c r="H324" s="107"/>
      <c r="I324" s="107"/>
      <c r="J324" s="76" t="str">
        <f>IF($C324="","",ROUND(IFERROR(INDEX(期初余额!$I$4:$I$9,MATCH($C324,期初余额!$H$4:$H$9,0)),0)+SUMIFS($H$4:$H324,$C$4:$C324,$C324)-SUMIFS($I$4:$I324,$C$4:$C324,$C324),2))</f>
        <v/>
      </c>
      <c r="K324" s="111" t="str">
        <f>IF($T324&lt;&gt;"",$T324,IF($C324="","",IF(AND(N($I324)&gt;0,$G324&lt;&gt;""),IFERROR(INDEX(科目表!$U$4:$U$123,MATCH($G324,科目表!$M$4:$M$123,0)),"管理费用"),IF(N($H324)&gt;0,IFERROR(INDEX(自动规则!$C$4:$C$40,MATCH($F324,自动规则!$B$4:$B$40,0)),"其他应收款"),IFERROR(INDEX(自动规则!$D$4:$D$40,MATCH($F324,自动规则!$B$4:$B$40,0)),"其他应付款")))))</f>
        <v/>
      </c>
      <c r="L324" s="106"/>
      <c r="M324" s="75" t="str">
        <f>IF($C324="","",IFERROR(INDEX(科目表!$T$4:$T$9,MATCH($C324,科目表!$S$4:$S$9,0)),""))</f>
        <v/>
      </c>
      <c r="N324" s="75" t="str">
        <f t="shared" ref="N324:N387" si="41">IF(OR($C324="",ROUND(N($H324)+N($I324),2)=0),"",IF(N($H324)&gt;0,$M324,$K324))</f>
        <v/>
      </c>
      <c r="O324" s="76" t="str">
        <f t="shared" ref="O324:O387" si="42">IF($N324="","",ROUND(N($H324)+N($I324),2))</f>
        <v/>
      </c>
      <c r="P324" s="76" t="str">
        <f t="shared" ref="P324:P387" si="43">IF($N324="","",0)</f>
        <v/>
      </c>
      <c r="Q324" s="75" t="str">
        <f t="shared" ref="Q324:Q387" si="44">IF($N324="","",IF(N($H324)&gt;0,$K324,$M324))</f>
        <v/>
      </c>
      <c r="R324" s="76" t="str">
        <f t="shared" ref="R324:R387" si="45">IF($Q324="","",0)</f>
        <v/>
      </c>
      <c r="S324" s="76" t="str">
        <f t="shared" ref="S324:S387" si="46">IF($Q324="","",ROUND(N($H324)+N($I324),2))</f>
        <v/>
      </c>
      <c r="T324" s="43"/>
      <c r="U324" s="107"/>
      <c r="V324" s="76" t="str">
        <f t="shared" ref="V324:V387" si="47">IF($B324="","",TEXT($B324,"yyyy年m月"))</f>
        <v/>
      </c>
      <c r="W324" s="43"/>
      <c r="X324" s="43"/>
      <c r="Y324" s="74"/>
    </row>
    <row r="325" ht="18" customHeight="1" spans="1:25">
      <c r="A325" s="74" t="str">
        <f t="shared" si="40"/>
        <v/>
      </c>
      <c r="B325" s="7"/>
      <c r="C325" s="43"/>
      <c r="D325" s="106"/>
      <c r="E325" s="43"/>
      <c r="F325" s="43"/>
      <c r="G325" s="43"/>
      <c r="H325" s="107"/>
      <c r="I325" s="107"/>
      <c r="J325" s="76" t="str">
        <f>IF($C325="","",ROUND(IFERROR(INDEX(期初余额!$I$4:$I$9,MATCH($C325,期初余额!$H$4:$H$9,0)),0)+SUMIFS($H$4:$H325,$C$4:$C325,$C325)-SUMIFS($I$4:$I325,$C$4:$C325,$C325),2))</f>
        <v/>
      </c>
      <c r="K325" s="111" t="str">
        <f>IF($T325&lt;&gt;"",$T325,IF($C325="","",IF(AND(N($I325)&gt;0,$G325&lt;&gt;""),IFERROR(INDEX(科目表!$U$4:$U$123,MATCH($G325,科目表!$M$4:$M$123,0)),"管理费用"),IF(N($H325)&gt;0,IFERROR(INDEX(自动规则!$C$4:$C$40,MATCH($F325,自动规则!$B$4:$B$40,0)),"其他应收款"),IFERROR(INDEX(自动规则!$D$4:$D$40,MATCH($F325,自动规则!$B$4:$B$40,0)),"其他应付款")))))</f>
        <v/>
      </c>
      <c r="L325" s="106"/>
      <c r="M325" s="75" t="str">
        <f>IF($C325="","",IFERROR(INDEX(科目表!$T$4:$T$9,MATCH($C325,科目表!$S$4:$S$9,0)),""))</f>
        <v/>
      </c>
      <c r="N325" s="75" t="str">
        <f t="shared" si="41"/>
        <v/>
      </c>
      <c r="O325" s="76" t="str">
        <f t="shared" si="42"/>
        <v/>
      </c>
      <c r="P325" s="76" t="str">
        <f t="shared" si="43"/>
        <v/>
      </c>
      <c r="Q325" s="75" t="str">
        <f t="shared" si="44"/>
        <v/>
      </c>
      <c r="R325" s="76" t="str">
        <f t="shared" si="45"/>
        <v/>
      </c>
      <c r="S325" s="76" t="str">
        <f t="shared" si="46"/>
        <v/>
      </c>
      <c r="T325" s="43"/>
      <c r="U325" s="107"/>
      <c r="V325" s="76" t="str">
        <f t="shared" si="47"/>
        <v/>
      </c>
      <c r="W325" s="43"/>
      <c r="X325" s="43"/>
      <c r="Y325" s="74"/>
    </row>
    <row r="326" ht="18" customHeight="1" spans="1:25">
      <c r="A326" s="74" t="str">
        <f t="shared" si="40"/>
        <v/>
      </c>
      <c r="B326" s="7"/>
      <c r="C326" s="43"/>
      <c r="D326" s="106"/>
      <c r="E326" s="43"/>
      <c r="F326" s="43"/>
      <c r="G326" s="43"/>
      <c r="H326" s="107"/>
      <c r="I326" s="107"/>
      <c r="J326" s="76" t="str">
        <f>IF($C326="","",ROUND(IFERROR(INDEX(期初余额!$I$4:$I$9,MATCH($C326,期初余额!$H$4:$H$9,0)),0)+SUMIFS($H$4:$H326,$C$4:$C326,$C326)-SUMIFS($I$4:$I326,$C$4:$C326,$C326),2))</f>
        <v/>
      </c>
      <c r="K326" s="111" t="str">
        <f>IF($T326&lt;&gt;"",$T326,IF($C326="","",IF(AND(N($I326)&gt;0,$G326&lt;&gt;""),IFERROR(INDEX(科目表!$U$4:$U$123,MATCH($G326,科目表!$M$4:$M$123,0)),"管理费用"),IF(N($H326)&gt;0,IFERROR(INDEX(自动规则!$C$4:$C$40,MATCH($F326,自动规则!$B$4:$B$40,0)),"其他应收款"),IFERROR(INDEX(自动规则!$D$4:$D$40,MATCH($F326,自动规则!$B$4:$B$40,0)),"其他应付款")))))</f>
        <v/>
      </c>
      <c r="L326" s="106"/>
      <c r="M326" s="75" t="str">
        <f>IF($C326="","",IFERROR(INDEX(科目表!$T$4:$T$9,MATCH($C326,科目表!$S$4:$S$9,0)),""))</f>
        <v/>
      </c>
      <c r="N326" s="75" t="str">
        <f t="shared" si="41"/>
        <v/>
      </c>
      <c r="O326" s="76" t="str">
        <f t="shared" si="42"/>
        <v/>
      </c>
      <c r="P326" s="76" t="str">
        <f t="shared" si="43"/>
        <v/>
      </c>
      <c r="Q326" s="75" t="str">
        <f t="shared" si="44"/>
        <v/>
      </c>
      <c r="R326" s="76" t="str">
        <f t="shared" si="45"/>
        <v/>
      </c>
      <c r="S326" s="76" t="str">
        <f t="shared" si="46"/>
        <v/>
      </c>
      <c r="T326" s="43"/>
      <c r="U326" s="107"/>
      <c r="V326" s="76" t="str">
        <f t="shared" si="47"/>
        <v/>
      </c>
      <c r="W326" s="43"/>
      <c r="X326" s="43"/>
      <c r="Y326" s="74"/>
    </row>
    <row r="327" ht="18" customHeight="1" spans="1:25">
      <c r="A327" s="74" t="str">
        <f t="shared" si="40"/>
        <v/>
      </c>
      <c r="B327" s="7"/>
      <c r="C327" s="43"/>
      <c r="D327" s="106"/>
      <c r="E327" s="43"/>
      <c r="F327" s="43"/>
      <c r="G327" s="43"/>
      <c r="H327" s="107"/>
      <c r="I327" s="107"/>
      <c r="J327" s="76" t="str">
        <f>IF($C327="","",ROUND(IFERROR(INDEX(期初余额!$I$4:$I$9,MATCH($C327,期初余额!$H$4:$H$9,0)),0)+SUMIFS($H$4:$H327,$C$4:$C327,$C327)-SUMIFS($I$4:$I327,$C$4:$C327,$C327),2))</f>
        <v/>
      </c>
      <c r="K327" s="111" t="str">
        <f>IF($T327&lt;&gt;"",$T327,IF($C327="","",IF(AND(N($I327)&gt;0,$G327&lt;&gt;""),IFERROR(INDEX(科目表!$U$4:$U$123,MATCH($G327,科目表!$M$4:$M$123,0)),"管理费用"),IF(N($H327)&gt;0,IFERROR(INDEX(自动规则!$C$4:$C$40,MATCH($F327,自动规则!$B$4:$B$40,0)),"其他应收款"),IFERROR(INDEX(自动规则!$D$4:$D$40,MATCH($F327,自动规则!$B$4:$B$40,0)),"其他应付款")))))</f>
        <v/>
      </c>
      <c r="L327" s="106"/>
      <c r="M327" s="75" t="str">
        <f>IF($C327="","",IFERROR(INDEX(科目表!$T$4:$T$9,MATCH($C327,科目表!$S$4:$S$9,0)),""))</f>
        <v/>
      </c>
      <c r="N327" s="75" t="str">
        <f t="shared" si="41"/>
        <v/>
      </c>
      <c r="O327" s="76" t="str">
        <f t="shared" si="42"/>
        <v/>
      </c>
      <c r="P327" s="76" t="str">
        <f t="shared" si="43"/>
        <v/>
      </c>
      <c r="Q327" s="75" t="str">
        <f t="shared" si="44"/>
        <v/>
      </c>
      <c r="R327" s="76" t="str">
        <f t="shared" si="45"/>
        <v/>
      </c>
      <c r="S327" s="76" t="str">
        <f t="shared" si="46"/>
        <v/>
      </c>
      <c r="T327" s="43"/>
      <c r="U327" s="107"/>
      <c r="V327" s="76" t="str">
        <f t="shared" si="47"/>
        <v/>
      </c>
      <c r="W327" s="43"/>
      <c r="X327" s="43"/>
      <c r="Y327" s="74"/>
    </row>
    <row r="328" ht="18" customHeight="1" spans="1:25">
      <c r="A328" s="74" t="str">
        <f t="shared" si="40"/>
        <v/>
      </c>
      <c r="B328" s="7"/>
      <c r="C328" s="43"/>
      <c r="D328" s="106"/>
      <c r="E328" s="43"/>
      <c r="F328" s="43"/>
      <c r="G328" s="43"/>
      <c r="H328" s="107"/>
      <c r="I328" s="107"/>
      <c r="J328" s="76" t="str">
        <f>IF($C328="","",ROUND(IFERROR(INDEX(期初余额!$I$4:$I$9,MATCH($C328,期初余额!$H$4:$H$9,0)),0)+SUMIFS($H$4:$H328,$C$4:$C328,$C328)-SUMIFS($I$4:$I328,$C$4:$C328,$C328),2))</f>
        <v/>
      </c>
      <c r="K328" s="111" t="str">
        <f>IF($T328&lt;&gt;"",$T328,IF($C328="","",IF(AND(N($I328)&gt;0,$G328&lt;&gt;""),IFERROR(INDEX(科目表!$U$4:$U$123,MATCH($G328,科目表!$M$4:$M$123,0)),"管理费用"),IF(N($H328)&gt;0,IFERROR(INDEX(自动规则!$C$4:$C$40,MATCH($F328,自动规则!$B$4:$B$40,0)),"其他应收款"),IFERROR(INDEX(自动规则!$D$4:$D$40,MATCH($F328,自动规则!$B$4:$B$40,0)),"其他应付款")))))</f>
        <v/>
      </c>
      <c r="L328" s="106"/>
      <c r="M328" s="75" t="str">
        <f>IF($C328="","",IFERROR(INDEX(科目表!$T$4:$T$9,MATCH($C328,科目表!$S$4:$S$9,0)),""))</f>
        <v/>
      </c>
      <c r="N328" s="75" t="str">
        <f t="shared" si="41"/>
        <v/>
      </c>
      <c r="O328" s="76" t="str">
        <f t="shared" si="42"/>
        <v/>
      </c>
      <c r="P328" s="76" t="str">
        <f t="shared" si="43"/>
        <v/>
      </c>
      <c r="Q328" s="75" t="str">
        <f t="shared" si="44"/>
        <v/>
      </c>
      <c r="R328" s="76" t="str">
        <f t="shared" si="45"/>
        <v/>
      </c>
      <c r="S328" s="76" t="str">
        <f t="shared" si="46"/>
        <v/>
      </c>
      <c r="T328" s="43"/>
      <c r="U328" s="107"/>
      <c r="V328" s="76" t="str">
        <f t="shared" si="47"/>
        <v/>
      </c>
      <c r="W328" s="43"/>
      <c r="X328" s="43"/>
      <c r="Y328" s="74"/>
    </row>
    <row r="329" ht="18" customHeight="1" spans="1:25">
      <c r="A329" s="74" t="str">
        <f t="shared" si="40"/>
        <v/>
      </c>
      <c r="B329" s="7"/>
      <c r="C329" s="43"/>
      <c r="D329" s="106"/>
      <c r="E329" s="43"/>
      <c r="F329" s="43"/>
      <c r="G329" s="43"/>
      <c r="H329" s="107"/>
      <c r="I329" s="107"/>
      <c r="J329" s="76" t="str">
        <f>IF($C329="","",ROUND(IFERROR(INDEX(期初余额!$I$4:$I$9,MATCH($C329,期初余额!$H$4:$H$9,0)),0)+SUMIFS($H$4:$H329,$C$4:$C329,$C329)-SUMIFS($I$4:$I329,$C$4:$C329,$C329),2))</f>
        <v/>
      </c>
      <c r="K329" s="111" t="str">
        <f>IF($T329&lt;&gt;"",$T329,IF($C329="","",IF(AND(N($I329)&gt;0,$G329&lt;&gt;""),IFERROR(INDEX(科目表!$U$4:$U$123,MATCH($G329,科目表!$M$4:$M$123,0)),"管理费用"),IF(N($H329)&gt;0,IFERROR(INDEX(自动规则!$C$4:$C$40,MATCH($F329,自动规则!$B$4:$B$40,0)),"其他应收款"),IFERROR(INDEX(自动规则!$D$4:$D$40,MATCH($F329,自动规则!$B$4:$B$40,0)),"其他应付款")))))</f>
        <v/>
      </c>
      <c r="L329" s="106"/>
      <c r="M329" s="75" t="str">
        <f>IF($C329="","",IFERROR(INDEX(科目表!$T$4:$T$9,MATCH($C329,科目表!$S$4:$S$9,0)),""))</f>
        <v/>
      </c>
      <c r="N329" s="75" t="str">
        <f t="shared" si="41"/>
        <v/>
      </c>
      <c r="O329" s="76" t="str">
        <f t="shared" si="42"/>
        <v/>
      </c>
      <c r="P329" s="76" t="str">
        <f t="shared" si="43"/>
        <v/>
      </c>
      <c r="Q329" s="75" t="str">
        <f t="shared" si="44"/>
        <v/>
      </c>
      <c r="R329" s="76" t="str">
        <f t="shared" si="45"/>
        <v/>
      </c>
      <c r="S329" s="76" t="str">
        <f t="shared" si="46"/>
        <v/>
      </c>
      <c r="T329" s="43"/>
      <c r="U329" s="107"/>
      <c r="V329" s="76" t="str">
        <f t="shared" si="47"/>
        <v/>
      </c>
      <c r="W329" s="43"/>
      <c r="X329" s="43"/>
      <c r="Y329" s="74"/>
    </row>
    <row r="330" ht="18" customHeight="1" spans="1:25">
      <c r="A330" s="74" t="str">
        <f t="shared" si="40"/>
        <v/>
      </c>
      <c r="B330" s="7"/>
      <c r="C330" s="43"/>
      <c r="D330" s="106"/>
      <c r="E330" s="43"/>
      <c r="F330" s="43"/>
      <c r="G330" s="43"/>
      <c r="H330" s="107"/>
      <c r="I330" s="107"/>
      <c r="J330" s="76" t="str">
        <f>IF($C330="","",ROUND(IFERROR(INDEX(期初余额!$I$4:$I$9,MATCH($C330,期初余额!$H$4:$H$9,0)),0)+SUMIFS($H$4:$H330,$C$4:$C330,$C330)-SUMIFS($I$4:$I330,$C$4:$C330,$C330),2))</f>
        <v/>
      </c>
      <c r="K330" s="111" t="str">
        <f>IF($T330&lt;&gt;"",$T330,IF($C330="","",IF(AND(N($I330)&gt;0,$G330&lt;&gt;""),IFERROR(INDEX(科目表!$U$4:$U$123,MATCH($G330,科目表!$M$4:$M$123,0)),"管理费用"),IF(N($H330)&gt;0,IFERROR(INDEX(自动规则!$C$4:$C$40,MATCH($F330,自动规则!$B$4:$B$40,0)),"其他应收款"),IFERROR(INDEX(自动规则!$D$4:$D$40,MATCH($F330,自动规则!$B$4:$B$40,0)),"其他应付款")))))</f>
        <v/>
      </c>
      <c r="L330" s="106"/>
      <c r="M330" s="75" t="str">
        <f>IF($C330="","",IFERROR(INDEX(科目表!$T$4:$T$9,MATCH($C330,科目表!$S$4:$S$9,0)),""))</f>
        <v/>
      </c>
      <c r="N330" s="75" t="str">
        <f t="shared" si="41"/>
        <v/>
      </c>
      <c r="O330" s="76" t="str">
        <f t="shared" si="42"/>
        <v/>
      </c>
      <c r="P330" s="76" t="str">
        <f t="shared" si="43"/>
        <v/>
      </c>
      <c r="Q330" s="75" t="str">
        <f t="shared" si="44"/>
        <v/>
      </c>
      <c r="R330" s="76" t="str">
        <f t="shared" si="45"/>
        <v/>
      </c>
      <c r="S330" s="76" t="str">
        <f t="shared" si="46"/>
        <v/>
      </c>
      <c r="T330" s="43"/>
      <c r="U330" s="107"/>
      <c r="V330" s="76" t="str">
        <f t="shared" si="47"/>
        <v/>
      </c>
      <c r="W330" s="43"/>
      <c r="X330" s="43"/>
      <c r="Y330" s="74"/>
    </row>
    <row r="331" ht="18" customHeight="1" spans="1:25">
      <c r="A331" s="74" t="str">
        <f t="shared" si="40"/>
        <v/>
      </c>
      <c r="B331" s="7"/>
      <c r="C331" s="43"/>
      <c r="D331" s="106"/>
      <c r="E331" s="43"/>
      <c r="F331" s="43"/>
      <c r="G331" s="43"/>
      <c r="H331" s="107"/>
      <c r="I331" s="107"/>
      <c r="J331" s="76" t="str">
        <f>IF($C331="","",ROUND(IFERROR(INDEX(期初余额!$I$4:$I$9,MATCH($C331,期初余额!$H$4:$H$9,0)),0)+SUMIFS($H$4:$H331,$C$4:$C331,$C331)-SUMIFS($I$4:$I331,$C$4:$C331,$C331),2))</f>
        <v/>
      </c>
      <c r="K331" s="111" t="str">
        <f>IF($T331&lt;&gt;"",$T331,IF($C331="","",IF(AND(N($I331)&gt;0,$G331&lt;&gt;""),IFERROR(INDEX(科目表!$U$4:$U$123,MATCH($G331,科目表!$M$4:$M$123,0)),"管理费用"),IF(N($H331)&gt;0,IFERROR(INDEX(自动规则!$C$4:$C$40,MATCH($F331,自动规则!$B$4:$B$40,0)),"其他应收款"),IFERROR(INDEX(自动规则!$D$4:$D$40,MATCH($F331,自动规则!$B$4:$B$40,0)),"其他应付款")))))</f>
        <v/>
      </c>
      <c r="L331" s="106"/>
      <c r="M331" s="75" t="str">
        <f>IF($C331="","",IFERROR(INDEX(科目表!$T$4:$T$9,MATCH($C331,科目表!$S$4:$S$9,0)),""))</f>
        <v/>
      </c>
      <c r="N331" s="75" t="str">
        <f t="shared" si="41"/>
        <v/>
      </c>
      <c r="O331" s="76" t="str">
        <f t="shared" si="42"/>
        <v/>
      </c>
      <c r="P331" s="76" t="str">
        <f t="shared" si="43"/>
        <v/>
      </c>
      <c r="Q331" s="75" t="str">
        <f t="shared" si="44"/>
        <v/>
      </c>
      <c r="R331" s="76" t="str">
        <f t="shared" si="45"/>
        <v/>
      </c>
      <c r="S331" s="76" t="str">
        <f t="shared" si="46"/>
        <v/>
      </c>
      <c r="T331" s="43"/>
      <c r="U331" s="107"/>
      <c r="V331" s="76" t="str">
        <f t="shared" si="47"/>
        <v/>
      </c>
      <c r="W331" s="43"/>
      <c r="X331" s="43"/>
      <c r="Y331" s="74"/>
    </row>
    <row r="332" ht="18" customHeight="1" spans="1:25">
      <c r="A332" s="74" t="str">
        <f t="shared" si="40"/>
        <v/>
      </c>
      <c r="B332" s="7"/>
      <c r="C332" s="43"/>
      <c r="D332" s="106"/>
      <c r="E332" s="43"/>
      <c r="F332" s="43"/>
      <c r="G332" s="43"/>
      <c r="H332" s="107"/>
      <c r="I332" s="107"/>
      <c r="J332" s="76" t="str">
        <f>IF($C332="","",ROUND(IFERROR(INDEX(期初余额!$I$4:$I$9,MATCH($C332,期初余额!$H$4:$H$9,0)),0)+SUMIFS($H$4:$H332,$C$4:$C332,$C332)-SUMIFS($I$4:$I332,$C$4:$C332,$C332),2))</f>
        <v/>
      </c>
      <c r="K332" s="111" t="str">
        <f>IF($T332&lt;&gt;"",$T332,IF($C332="","",IF(AND(N($I332)&gt;0,$G332&lt;&gt;""),IFERROR(INDEX(科目表!$U$4:$U$123,MATCH($G332,科目表!$M$4:$M$123,0)),"管理费用"),IF(N($H332)&gt;0,IFERROR(INDEX(自动规则!$C$4:$C$40,MATCH($F332,自动规则!$B$4:$B$40,0)),"其他应收款"),IFERROR(INDEX(自动规则!$D$4:$D$40,MATCH($F332,自动规则!$B$4:$B$40,0)),"其他应付款")))))</f>
        <v/>
      </c>
      <c r="L332" s="106"/>
      <c r="M332" s="75" t="str">
        <f>IF($C332="","",IFERROR(INDEX(科目表!$T$4:$T$9,MATCH($C332,科目表!$S$4:$S$9,0)),""))</f>
        <v/>
      </c>
      <c r="N332" s="75" t="str">
        <f t="shared" si="41"/>
        <v/>
      </c>
      <c r="O332" s="76" t="str">
        <f t="shared" si="42"/>
        <v/>
      </c>
      <c r="P332" s="76" t="str">
        <f t="shared" si="43"/>
        <v/>
      </c>
      <c r="Q332" s="75" t="str">
        <f t="shared" si="44"/>
        <v/>
      </c>
      <c r="R332" s="76" t="str">
        <f t="shared" si="45"/>
        <v/>
      </c>
      <c r="S332" s="76" t="str">
        <f t="shared" si="46"/>
        <v/>
      </c>
      <c r="T332" s="43"/>
      <c r="U332" s="107"/>
      <c r="V332" s="76" t="str">
        <f t="shared" si="47"/>
        <v/>
      </c>
      <c r="W332" s="43"/>
      <c r="X332" s="43"/>
      <c r="Y332" s="74"/>
    </row>
    <row r="333" ht="18" customHeight="1" spans="1:25">
      <c r="A333" s="74" t="str">
        <f t="shared" si="40"/>
        <v/>
      </c>
      <c r="B333" s="7"/>
      <c r="C333" s="43"/>
      <c r="D333" s="106"/>
      <c r="E333" s="43"/>
      <c r="F333" s="43"/>
      <c r="G333" s="43"/>
      <c r="H333" s="107"/>
      <c r="I333" s="107"/>
      <c r="J333" s="76" t="str">
        <f>IF($C333="","",ROUND(IFERROR(INDEX(期初余额!$I$4:$I$9,MATCH($C333,期初余额!$H$4:$H$9,0)),0)+SUMIFS($H$4:$H333,$C$4:$C333,$C333)-SUMIFS($I$4:$I333,$C$4:$C333,$C333),2))</f>
        <v/>
      </c>
      <c r="K333" s="111" t="str">
        <f>IF($T333&lt;&gt;"",$T333,IF($C333="","",IF(AND(N($I333)&gt;0,$G333&lt;&gt;""),IFERROR(INDEX(科目表!$U$4:$U$123,MATCH($G333,科目表!$M$4:$M$123,0)),"管理费用"),IF(N($H333)&gt;0,IFERROR(INDEX(自动规则!$C$4:$C$40,MATCH($F333,自动规则!$B$4:$B$40,0)),"其他应收款"),IFERROR(INDEX(自动规则!$D$4:$D$40,MATCH($F333,自动规则!$B$4:$B$40,0)),"其他应付款")))))</f>
        <v/>
      </c>
      <c r="L333" s="106"/>
      <c r="M333" s="75" t="str">
        <f>IF($C333="","",IFERROR(INDEX(科目表!$T$4:$T$9,MATCH($C333,科目表!$S$4:$S$9,0)),""))</f>
        <v/>
      </c>
      <c r="N333" s="75" t="str">
        <f t="shared" si="41"/>
        <v/>
      </c>
      <c r="O333" s="76" t="str">
        <f t="shared" si="42"/>
        <v/>
      </c>
      <c r="P333" s="76" t="str">
        <f t="shared" si="43"/>
        <v/>
      </c>
      <c r="Q333" s="75" t="str">
        <f t="shared" si="44"/>
        <v/>
      </c>
      <c r="R333" s="76" t="str">
        <f t="shared" si="45"/>
        <v/>
      </c>
      <c r="S333" s="76" t="str">
        <f t="shared" si="46"/>
        <v/>
      </c>
      <c r="T333" s="43"/>
      <c r="U333" s="107"/>
      <c r="V333" s="76" t="str">
        <f t="shared" si="47"/>
        <v/>
      </c>
      <c r="W333" s="43"/>
      <c r="X333" s="43"/>
      <c r="Y333" s="74"/>
    </row>
    <row r="334" ht="18" customHeight="1" spans="1:25">
      <c r="A334" s="74" t="str">
        <f t="shared" si="40"/>
        <v/>
      </c>
      <c r="B334" s="7"/>
      <c r="C334" s="43"/>
      <c r="D334" s="106"/>
      <c r="E334" s="43"/>
      <c r="F334" s="43"/>
      <c r="G334" s="43"/>
      <c r="H334" s="107"/>
      <c r="I334" s="107"/>
      <c r="J334" s="76" t="str">
        <f>IF($C334="","",ROUND(IFERROR(INDEX(期初余额!$I$4:$I$9,MATCH($C334,期初余额!$H$4:$H$9,0)),0)+SUMIFS($H$4:$H334,$C$4:$C334,$C334)-SUMIFS($I$4:$I334,$C$4:$C334,$C334),2))</f>
        <v/>
      </c>
      <c r="K334" s="111" t="str">
        <f>IF($T334&lt;&gt;"",$T334,IF($C334="","",IF(AND(N($I334)&gt;0,$G334&lt;&gt;""),IFERROR(INDEX(科目表!$U$4:$U$123,MATCH($G334,科目表!$M$4:$M$123,0)),"管理费用"),IF(N($H334)&gt;0,IFERROR(INDEX(自动规则!$C$4:$C$40,MATCH($F334,自动规则!$B$4:$B$40,0)),"其他应收款"),IFERROR(INDEX(自动规则!$D$4:$D$40,MATCH($F334,自动规则!$B$4:$B$40,0)),"其他应付款")))))</f>
        <v/>
      </c>
      <c r="L334" s="106"/>
      <c r="M334" s="75" t="str">
        <f>IF($C334="","",IFERROR(INDEX(科目表!$T$4:$T$9,MATCH($C334,科目表!$S$4:$S$9,0)),""))</f>
        <v/>
      </c>
      <c r="N334" s="75" t="str">
        <f t="shared" si="41"/>
        <v/>
      </c>
      <c r="O334" s="76" t="str">
        <f t="shared" si="42"/>
        <v/>
      </c>
      <c r="P334" s="76" t="str">
        <f t="shared" si="43"/>
        <v/>
      </c>
      <c r="Q334" s="75" t="str">
        <f t="shared" si="44"/>
        <v/>
      </c>
      <c r="R334" s="76" t="str">
        <f t="shared" si="45"/>
        <v/>
      </c>
      <c r="S334" s="76" t="str">
        <f t="shared" si="46"/>
        <v/>
      </c>
      <c r="T334" s="43"/>
      <c r="U334" s="107"/>
      <c r="V334" s="76" t="str">
        <f t="shared" si="47"/>
        <v/>
      </c>
      <c r="W334" s="43"/>
      <c r="X334" s="43"/>
      <c r="Y334" s="74"/>
    </row>
    <row r="335" ht="18" customHeight="1" spans="1:25">
      <c r="A335" s="74" t="str">
        <f t="shared" si="40"/>
        <v/>
      </c>
      <c r="B335" s="7"/>
      <c r="C335" s="43"/>
      <c r="D335" s="106"/>
      <c r="E335" s="43"/>
      <c r="F335" s="43"/>
      <c r="G335" s="43"/>
      <c r="H335" s="107"/>
      <c r="I335" s="107"/>
      <c r="J335" s="76" t="str">
        <f>IF($C335="","",ROUND(IFERROR(INDEX(期初余额!$I$4:$I$9,MATCH($C335,期初余额!$H$4:$H$9,0)),0)+SUMIFS($H$4:$H335,$C$4:$C335,$C335)-SUMIFS($I$4:$I335,$C$4:$C335,$C335),2))</f>
        <v/>
      </c>
      <c r="K335" s="111" t="str">
        <f>IF($T335&lt;&gt;"",$T335,IF($C335="","",IF(AND(N($I335)&gt;0,$G335&lt;&gt;""),IFERROR(INDEX(科目表!$U$4:$U$123,MATCH($G335,科目表!$M$4:$M$123,0)),"管理费用"),IF(N($H335)&gt;0,IFERROR(INDEX(自动规则!$C$4:$C$40,MATCH($F335,自动规则!$B$4:$B$40,0)),"其他应收款"),IFERROR(INDEX(自动规则!$D$4:$D$40,MATCH($F335,自动规则!$B$4:$B$40,0)),"其他应付款")))))</f>
        <v/>
      </c>
      <c r="L335" s="106"/>
      <c r="M335" s="75" t="str">
        <f>IF($C335="","",IFERROR(INDEX(科目表!$T$4:$T$9,MATCH($C335,科目表!$S$4:$S$9,0)),""))</f>
        <v/>
      </c>
      <c r="N335" s="75" t="str">
        <f t="shared" si="41"/>
        <v/>
      </c>
      <c r="O335" s="76" t="str">
        <f t="shared" si="42"/>
        <v/>
      </c>
      <c r="P335" s="76" t="str">
        <f t="shared" si="43"/>
        <v/>
      </c>
      <c r="Q335" s="75" t="str">
        <f t="shared" si="44"/>
        <v/>
      </c>
      <c r="R335" s="76" t="str">
        <f t="shared" si="45"/>
        <v/>
      </c>
      <c r="S335" s="76" t="str">
        <f t="shared" si="46"/>
        <v/>
      </c>
      <c r="T335" s="43"/>
      <c r="U335" s="107"/>
      <c r="V335" s="76" t="str">
        <f t="shared" si="47"/>
        <v/>
      </c>
      <c r="W335" s="43"/>
      <c r="X335" s="43"/>
      <c r="Y335" s="74"/>
    </row>
    <row r="336" ht="18" customHeight="1" spans="1:25">
      <c r="A336" s="74" t="str">
        <f t="shared" si="40"/>
        <v/>
      </c>
      <c r="B336" s="7"/>
      <c r="C336" s="43"/>
      <c r="D336" s="106"/>
      <c r="E336" s="43"/>
      <c r="F336" s="43"/>
      <c r="G336" s="43"/>
      <c r="H336" s="107"/>
      <c r="I336" s="107"/>
      <c r="J336" s="76" t="str">
        <f>IF($C336="","",ROUND(IFERROR(INDEX(期初余额!$I$4:$I$9,MATCH($C336,期初余额!$H$4:$H$9,0)),0)+SUMIFS($H$4:$H336,$C$4:$C336,$C336)-SUMIFS($I$4:$I336,$C$4:$C336,$C336),2))</f>
        <v/>
      </c>
      <c r="K336" s="111" t="str">
        <f>IF($T336&lt;&gt;"",$T336,IF($C336="","",IF(AND(N($I336)&gt;0,$G336&lt;&gt;""),IFERROR(INDEX(科目表!$U$4:$U$123,MATCH($G336,科目表!$M$4:$M$123,0)),"管理费用"),IF(N($H336)&gt;0,IFERROR(INDEX(自动规则!$C$4:$C$40,MATCH($F336,自动规则!$B$4:$B$40,0)),"其他应收款"),IFERROR(INDEX(自动规则!$D$4:$D$40,MATCH($F336,自动规则!$B$4:$B$40,0)),"其他应付款")))))</f>
        <v/>
      </c>
      <c r="L336" s="106"/>
      <c r="M336" s="75" t="str">
        <f>IF($C336="","",IFERROR(INDEX(科目表!$T$4:$T$9,MATCH($C336,科目表!$S$4:$S$9,0)),""))</f>
        <v/>
      </c>
      <c r="N336" s="75" t="str">
        <f t="shared" si="41"/>
        <v/>
      </c>
      <c r="O336" s="76" t="str">
        <f t="shared" si="42"/>
        <v/>
      </c>
      <c r="P336" s="76" t="str">
        <f t="shared" si="43"/>
        <v/>
      </c>
      <c r="Q336" s="75" t="str">
        <f t="shared" si="44"/>
        <v/>
      </c>
      <c r="R336" s="76" t="str">
        <f t="shared" si="45"/>
        <v/>
      </c>
      <c r="S336" s="76" t="str">
        <f t="shared" si="46"/>
        <v/>
      </c>
      <c r="T336" s="43"/>
      <c r="U336" s="107"/>
      <c r="V336" s="76" t="str">
        <f t="shared" si="47"/>
        <v/>
      </c>
      <c r="W336" s="43"/>
      <c r="X336" s="43"/>
      <c r="Y336" s="74"/>
    </row>
    <row r="337" ht="18" customHeight="1" spans="1:25">
      <c r="A337" s="74" t="str">
        <f t="shared" si="40"/>
        <v/>
      </c>
      <c r="B337" s="7"/>
      <c r="C337" s="43"/>
      <c r="D337" s="106"/>
      <c r="E337" s="43"/>
      <c r="F337" s="43"/>
      <c r="G337" s="43"/>
      <c r="H337" s="107"/>
      <c r="I337" s="107"/>
      <c r="J337" s="76" t="str">
        <f>IF($C337="","",ROUND(IFERROR(INDEX(期初余额!$I$4:$I$9,MATCH($C337,期初余额!$H$4:$H$9,0)),0)+SUMIFS($H$4:$H337,$C$4:$C337,$C337)-SUMIFS($I$4:$I337,$C$4:$C337,$C337),2))</f>
        <v/>
      </c>
      <c r="K337" s="111" t="str">
        <f>IF($T337&lt;&gt;"",$T337,IF($C337="","",IF(AND(N($I337)&gt;0,$G337&lt;&gt;""),IFERROR(INDEX(科目表!$U$4:$U$123,MATCH($G337,科目表!$M$4:$M$123,0)),"管理费用"),IF(N($H337)&gt;0,IFERROR(INDEX(自动规则!$C$4:$C$40,MATCH($F337,自动规则!$B$4:$B$40,0)),"其他应收款"),IFERROR(INDEX(自动规则!$D$4:$D$40,MATCH($F337,自动规则!$B$4:$B$40,0)),"其他应付款")))))</f>
        <v/>
      </c>
      <c r="L337" s="106"/>
      <c r="M337" s="75" t="str">
        <f>IF($C337="","",IFERROR(INDEX(科目表!$T$4:$T$9,MATCH($C337,科目表!$S$4:$S$9,0)),""))</f>
        <v/>
      </c>
      <c r="N337" s="75" t="str">
        <f t="shared" si="41"/>
        <v/>
      </c>
      <c r="O337" s="76" t="str">
        <f t="shared" si="42"/>
        <v/>
      </c>
      <c r="P337" s="76" t="str">
        <f t="shared" si="43"/>
        <v/>
      </c>
      <c r="Q337" s="75" t="str">
        <f t="shared" si="44"/>
        <v/>
      </c>
      <c r="R337" s="76" t="str">
        <f t="shared" si="45"/>
        <v/>
      </c>
      <c r="S337" s="76" t="str">
        <f t="shared" si="46"/>
        <v/>
      </c>
      <c r="T337" s="43"/>
      <c r="U337" s="107"/>
      <c r="V337" s="76" t="str">
        <f t="shared" si="47"/>
        <v/>
      </c>
      <c r="W337" s="43"/>
      <c r="X337" s="43"/>
      <c r="Y337" s="74"/>
    </row>
    <row r="338" ht="18" customHeight="1" spans="1:25">
      <c r="A338" s="74" t="str">
        <f t="shared" si="40"/>
        <v/>
      </c>
      <c r="B338" s="7"/>
      <c r="C338" s="43"/>
      <c r="D338" s="106"/>
      <c r="E338" s="43"/>
      <c r="F338" s="43"/>
      <c r="G338" s="43"/>
      <c r="H338" s="107"/>
      <c r="I338" s="107"/>
      <c r="J338" s="76" t="str">
        <f>IF($C338="","",ROUND(IFERROR(INDEX(期初余额!$I$4:$I$9,MATCH($C338,期初余额!$H$4:$H$9,0)),0)+SUMIFS($H$4:$H338,$C$4:$C338,$C338)-SUMIFS($I$4:$I338,$C$4:$C338,$C338),2))</f>
        <v/>
      </c>
      <c r="K338" s="111" t="str">
        <f>IF($T338&lt;&gt;"",$T338,IF($C338="","",IF(AND(N($I338)&gt;0,$G338&lt;&gt;""),IFERROR(INDEX(科目表!$U$4:$U$123,MATCH($G338,科目表!$M$4:$M$123,0)),"管理费用"),IF(N($H338)&gt;0,IFERROR(INDEX(自动规则!$C$4:$C$40,MATCH($F338,自动规则!$B$4:$B$40,0)),"其他应收款"),IFERROR(INDEX(自动规则!$D$4:$D$40,MATCH($F338,自动规则!$B$4:$B$40,0)),"其他应付款")))))</f>
        <v/>
      </c>
      <c r="L338" s="106"/>
      <c r="M338" s="75" t="str">
        <f>IF($C338="","",IFERROR(INDEX(科目表!$T$4:$T$9,MATCH($C338,科目表!$S$4:$S$9,0)),""))</f>
        <v/>
      </c>
      <c r="N338" s="75" t="str">
        <f t="shared" si="41"/>
        <v/>
      </c>
      <c r="O338" s="76" t="str">
        <f t="shared" si="42"/>
        <v/>
      </c>
      <c r="P338" s="76" t="str">
        <f t="shared" si="43"/>
        <v/>
      </c>
      <c r="Q338" s="75" t="str">
        <f t="shared" si="44"/>
        <v/>
      </c>
      <c r="R338" s="76" t="str">
        <f t="shared" si="45"/>
        <v/>
      </c>
      <c r="S338" s="76" t="str">
        <f t="shared" si="46"/>
        <v/>
      </c>
      <c r="T338" s="43"/>
      <c r="U338" s="107"/>
      <c r="V338" s="76" t="str">
        <f t="shared" si="47"/>
        <v/>
      </c>
      <c r="W338" s="43"/>
      <c r="X338" s="43"/>
      <c r="Y338" s="74"/>
    </row>
    <row r="339" ht="18" customHeight="1" spans="1:25">
      <c r="A339" s="74" t="str">
        <f t="shared" si="40"/>
        <v/>
      </c>
      <c r="B339" s="7"/>
      <c r="C339" s="43"/>
      <c r="D339" s="106"/>
      <c r="E339" s="43"/>
      <c r="F339" s="43"/>
      <c r="G339" s="43"/>
      <c r="H339" s="107"/>
      <c r="I339" s="107"/>
      <c r="J339" s="76" t="str">
        <f>IF($C339="","",ROUND(IFERROR(INDEX(期初余额!$I$4:$I$9,MATCH($C339,期初余额!$H$4:$H$9,0)),0)+SUMIFS($H$4:$H339,$C$4:$C339,$C339)-SUMIFS($I$4:$I339,$C$4:$C339,$C339),2))</f>
        <v/>
      </c>
      <c r="K339" s="111" t="str">
        <f>IF($T339&lt;&gt;"",$T339,IF($C339="","",IF(AND(N($I339)&gt;0,$G339&lt;&gt;""),IFERROR(INDEX(科目表!$U$4:$U$123,MATCH($G339,科目表!$M$4:$M$123,0)),"管理费用"),IF(N($H339)&gt;0,IFERROR(INDEX(自动规则!$C$4:$C$40,MATCH($F339,自动规则!$B$4:$B$40,0)),"其他应收款"),IFERROR(INDEX(自动规则!$D$4:$D$40,MATCH($F339,自动规则!$B$4:$B$40,0)),"其他应付款")))))</f>
        <v/>
      </c>
      <c r="L339" s="106"/>
      <c r="M339" s="75" t="str">
        <f>IF($C339="","",IFERROR(INDEX(科目表!$T$4:$T$9,MATCH($C339,科目表!$S$4:$S$9,0)),""))</f>
        <v/>
      </c>
      <c r="N339" s="75" t="str">
        <f t="shared" si="41"/>
        <v/>
      </c>
      <c r="O339" s="76" t="str">
        <f t="shared" si="42"/>
        <v/>
      </c>
      <c r="P339" s="76" t="str">
        <f t="shared" si="43"/>
        <v/>
      </c>
      <c r="Q339" s="75" t="str">
        <f t="shared" si="44"/>
        <v/>
      </c>
      <c r="R339" s="76" t="str">
        <f t="shared" si="45"/>
        <v/>
      </c>
      <c r="S339" s="76" t="str">
        <f t="shared" si="46"/>
        <v/>
      </c>
      <c r="T339" s="43"/>
      <c r="U339" s="107"/>
      <c r="V339" s="76" t="str">
        <f t="shared" si="47"/>
        <v/>
      </c>
      <c r="W339" s="43"/>
      <c r="X339" s="43"/>
      <c r="Y339" s="74"/>
    </row>
    <row r="340" ht="18" customHeight="1" spans="1:25">
      <c r="A340" s="74" t="str">
        <f t="shared" si="40"/>
        <v/>
      </c>
      <c r="B340" s="7"/>
      <c r="C340" s="43"/>
      <c r="D340" s="106"/>
      <c r="E340" s="43"/>
      <c r="F340" s="43"/>
      <c r="G340" s="43"/>
      <c r="H340" s="107"/>
      <c r="I340" s="107"/>
      <c r="J340" s="76" t="str">
        <f>IF($C340="","",ROUND(IFERROR(INDEX(期初余额!$I$4:$I$9,MATCH($C340,期初余额!$H$4:$H$9,0)),0)+SUMIFS($H$4:$H340,$C$4:$C340,$C340)-SUMIFS($I$4:$I340,$C$4:$C340,$C340),2))</f>
        <v/>
      </c>
      <c r="K340" s="111" t="str">
        <f>IF($T340&lt;&gt;"",$T340,IF($C340="","",IF(AND(N($I340)&gt;0,$G340&lt;&gt;""),IFERROR(INDEX(科目表!$U$4:$U$123,MATCH($G340,科目表!$M$4:$M$123,0)),"管理费用"),IF(N($H340)&gt;0,IFERROR(INDEX(自动规则!$C$4:$C$40,MATCH($F340,自动规则!$B$4:$B$40,0)),"其他应收款"),IFERROR(INDEX(自动规则!$D$4:$D$40,MATCH($F340,自动规则!$B$4:$B$40,0)),"其他应付款")))))</f>
        <v/>
      </c>
      <c r="L340" s="106"/>
      <c r="M340" s="75" t="str">
        <f>IF($C340="","",IFERROR(INDEX(科目表!$T$4:$T$9,MATCH($C340,科目表!$S$4:$S$9,0)),""))</f>
        <v/>
      </c>
      <c r="N340" s="75" t="str">
        <f t="shared" si="41"/>
        <v/>
      </c>
      <c r="O340" s="76" t="str">
        <f t="shared" si="42"/>
        <v/>
      </c>
      <c r="P340" s="76" t="str">
        <f t="shared" si="43"/>
        <v/>
      </c>
      <c r="Q340" s="75" t="str">
        <f t="shared" si="44"/>
        <v/>
      </c>
      <c r="R340" s="76" t="str">
        <f t="shared" si="45"/>
        <v/>
      </c>
      <c r="S340" s="76" t="str">
        <f t="shared" si="46"/>
        <v/>
      </c>
      <c r="T340" s="43"/>
      <c r="U340" s="107"/>
      <c r="V340" s="76" t="str">
        <f t="shared" si="47"/>
        <v/>
      </c>
      <c r="W340" s="43"/>
      <c r="X340" s="43"/>
      <c r="Y340" s="74"/>
    </row>
    <row r="341" ht="18" customHeight="1" spans="1:25">
      <c r="A341" s="74" t="str">
        <f t="shared" si="40"/>
        <v/>
      </c>
      <c r="B341" s="7"/>
      <c r="C341" s="43"/>
      <c r="D341" s="106"/>
      <c r="E341" s="43"/>
      <c r="F341" s="43"/>
      <c r="G341" s="43"/>
      <c r="H341" s="107"/>
      <c r="I341" s="107"/>
      <c r="J341" s="76" t="str">
        <f>IF($C341="","",ROUND(IFERROR(INDEX(期初余额!$I$4:$I$9,MATCH($C341,期初余额!$H$4:$H$9,0)),0)+SUMIFS($H$4:$H341,$C$4:$C341,$C341)-SUMIFS($I$4:$I341,$C$4:$C341,$C341),2))</f>
        <v/>
      </c>
      <c r="K341" s="111" t="str">
        <f>IF($T341&lt;&gt;"",$T341,IF($C341="","",IF(AND(N($I341)&gt;0,$G341&lt;&gt;""),IFERROR(INDEX(科目表!$U$4:$U$123,MATCH($G341,科目表!$M$4:$M$123,0)),"管理费用"),IF(N($H341)&gt;0,IFERROR(INDEX(自动规则!$C$4:$C$40,MATCH($F341,自动规则!$B$4:$B$40,0)),"其他应收款"),IFERROR(INDEX(自动规则!$D$4:$D$40,MATCH($F341,自动规则!$B$4:$B$40,0)),"其他应付款")))))</f>
        <v/>
      </c>
      <c r="L341" s="106"/>
      <c r="M341" s="75" t="str">
        <f>IF($C341="","",IFERROR(INDEX(科目表!$T$4:$T$9,MATCH($C341,科目表!$S$4:$S$9,0)),""))</f>
        <v/>
      </c>
      <c r="N341" s="75" t="str">
        <f t="shared" si="41"/>
        <v/>
      </c>
      <c r="O341" s="76" t="str">
        <f t="shared" si="42"/>
        <v/>
      </c>
      <c r="P341" s="76" t="str">
        <f t="shared" si="43"/>
        <v/>
      </c>
      <c r="Q341" s="75" t="str">
        <f t="shared" si="44"/>
        <v/>
      </c>
      <c r="R341" s="76" t="str">
        <f t="shared" si="45"/>
        <v/>
      </c>
      <c r="S341" s="76" t="str">
        <f t="shared" si="46"/>
        <v/>
      </c>
      <c r="T341" s="43"/>
      <c r="U341" s="107"/>
      <c r="V341" s="76" t="str">
        <f t="shared" si="47"/>
        <v/>
      </c>
      <c r="W341" s="43"/>
      <c r="X341" s="43"/>
      <c r="Y341" s="74"/>
    </row>
    <row r="342" ht="18" customHeight="1" spans="1:25">
      <c r="A342" s="74" t="str">
        <f t="shared" si="40"/>
        <v/>
      </c>
      <c r="B342" s="7"/>
      <c r="C342" s="43"/>
      <c r="D342" s="106"/>
      <c r="E342" s="43"/>
      <c r="F342" s="43"/>
      <c r="G342" s="43"/>
      <c r="H342" s="107"/>
      <c r="I342" s="107"/>
      <c r="J342" s="76" t="str">
        <f>IF($C342="","",ROUND(IFERROR(INDEX(期初余额!$I$4:$I$9,MATCH($C342,期初余额!$H$4:$H$9,0)),0)+SUMIFS($H$4:$H342,$C$4:$C342,$C342)-SUMIFS($I$4:$I342,$C$4:$C342,$C342),2))</f>
        <v/>
      </c>
      <c r="K342" s="111" t="str">
        <f>IF($T342&lt;&gt;"",$T342,IF($C342="","",IF(AND(N($I342)&gt;0,$G342&lt;&gt;""),IFERROR(INDEX(科目表!$U$4:$U$123,MATCH($G342,科目表!$M$4:$M$123,0)),"管理费用"),IF(N($H342)&gt;0,IFERROR(INDEX(自动规则!$C$4:$C$40,MATCH($F342,自动规则!$B$4:$B$40,0)),"其他应收款"),IFERROR(INDEX(自动规则!$D$4:$D$40,MATCH($F342,自动规则!$B$4:$B$40,0)),"其他应付款")))))</f>
        <v/>
      </c>
      <c r="L342" s="106"/>
      <c r="M342" s="75" t="str">
        <f>IF($C342="","",IFERROR(INDEX(科目表!$T$4:$T$9,MATCH($C342,科目表!$S$4:$S$9,0)),""))</f>
        <v/>
      </c>
      <c r="N342" s="75" t="str">
        <f t="shared" si="41"/>
        <v/>
      </c>
      <c r="O342" s="76" t="str">
        <f t="shared" si="42"/>
        <v/>
      </c>
      <c r="P342" s="76" t="str">
        <f t="shared" si="43"/>
        <v/>
      </c>
      <c r="Q342" s="75" t="str">
        <f t="shared" si="44"/>
        <v/>
      </c>
      <c r="R342" s="76" t="str">
        <f t="shared" si="45"/>
        <v/>
      </c>
      <c r="S342" s="76" t="str">
        <f t="shared" si="46"/>
        <v/>
      </c>
      <c r="T342" s="43"/>
      <c r="U342" s="107"/>
      <c r="V342" s="76" t="str">
        <f t="shared" si="47"/>
        <v/>
      </c>
      <c r="W342" s="43"/>
      <c r="X342" s="43"/>
      <c r="Y342" s="74"/>
    </row>
    <row r="343" ht="18" customHeight="1" spans="1:25">
      <c r="A343" s="74" t="str">
        <f t="shared" si="40"/>
        <v/>
      </c>
      <c r="B343" s="7"/>
      <c r="C343" s="43"/>
      <c r="D343" s="106"/>
      <c r="E343" s="43"/>
      <c r="F343" s="43"/>
      <c r="G343" s="43"/>
      <c r="H343" s="107"/>
      <c r="I343" s="107"/>
      <c r="J343" s="76" t="str">
        <f>IF($C343="","",ROUND(IFERROR(INDEX(期初余额!$I$4:$I$9,MATCH($C343,期初余额!$H$4:$H$9,0)),0)+SUMIFS($H$4:$H343,$C$4:$C343,$C343)-SUMIFS($I$4:$I343,$C$4:$C343,$C343),2))</f>
        <v/>
      </c>
      <c r="K343" s="111" t="str">
        <f>IF($T343&lt;&gt;"",$T343,IF($C343="","",IF(AND(N($I343)&gt;0,$G343&lt;&gt;""),IFERROR(INDEX(科目表!$U$4:$U$123,MATCH($G343,科目表!$M$4:$M$123,0)),"管理费用"),IF(N($H343)&gt;0,IFERROR(INDEX(自动规则!$C$4:$C$40,MATCH($F343,自动规则!$B$4:$B$40,0)),"其他应收款"),IFERROR(INDEX(自动规则!$D$4:$D$40,MATCH($F343,自动规则!$B$4:$B$40,0)),"其他应付款")))))</f>
        <v/>
      </c>
      <c r="L343" s="106"/>
      <c r="M343" s="75" t="str">
        <f>IF($C343="","",IFERROR(INDEX(科目表!$T$4:$T$9,MATCH($C343,科目表!$S$4:$S$9,0)),""))</f>
        <v/>
      </c>
      <c r="N343" s="75" t="str">
        <f t="shared" si="41"/>
        <v/>
      </c>
      <c r="O343" s="76" t="str">
        <f t="shared" si="42"/>
        <v/>
      </c>
      <c r="P343" s="76" t="str">
        <f t="shared" si="43"/>
        <v/>
      </c>
      <c r="Q343" s="75" t="str">
        <f t="shared" si="44"/>
        <v/>
      </c>
      <c r="R343" s="76" t="str">
        <f t="shared" si="45"/>
        <v/>
      </c>
      <c r="S343" s="76" t="str">
        <f t="shared" si="46"/>
        <v/>
      </c>
      <c r="T343" s="43"/>
      <c r="U343" s="107"/>
      <c r="V343" s="76" t="str">
        <f t="shared" si="47"/>
        <v/>
      </c>
      <c r="W343" s="43"/>
      <c r="X343" s="43"/>
      <c r="Y343" s="74"/>
    </row>
    <row r="344" ht="18" customHeight="1" spans="1:25">
      <c r="A344" s="74" t="str">
        <f t="shared" si="40"/>
        <v/>
      </c>
      <c r="B344" s="7"/>
      <c r="C344" s="43"/>
      <c r="D344" s="106"/>
      <c r="E344" s="43"/>
      <c r="F344" s="43"/>
      <c r="G344" s="43"/>
      <c r="H344" s="107"/>
      <c r="I344" s="107"/>
      <c r="J344" s="76" t="str">
        <f>IF($C344="","",ROUND(IFERROR(INDEX(期初余额!$I$4:$I$9,MATCH($C344,期初余额!$H$4:$H$9,0)),0)+SUMIFS($H$4:$H344,$C$4:$C344,$C344)-SUMIFS($I$4:$I344,$C$4:$C344,$C344),2))</f>
        <v/>
      </c>
      <c r="K344" s="111" t="str">
        <f>IF($T344&lt;&gt;"",$T344,IF($C344="","",IF(AND(N($I344)&gt;0,$G344&lt;&gt;""),IFERROR(INDEX(科目表!$U$4:$U$123,MATCH($G344,科目表!$M$4:$M$123,0)),"管理费用"),IF(N($H344)&gt;0,IFERROR(INDEX(自动规则!$C$4:$C$40,MATCH($F344,自动规则!$B$4:$B$40,0)),"其他应收款"),IFERROR(INDEX(自动规则!$D$4:$D$40,MATCH($F344,自动规则!$B$4:$B$40,0)),"其他应付款")))))</f>
        <v/>
      </c>
      <c r="L344" s="106"/>
      <c r="M344" s="75" t="str">
        <f>IF($C344="","",IFERROR(INDEX(科目表!$T$4:$T$9,MATCH($C344,科目表!$S$4:$S$9,0)),""))</f>
        <v/>
      </c>
      <c r="N344" s="75" t="str">
        <f t="shared" si="41"/>
        <v/>
      </c>
      <c r="O344" s="76" t="str">
        <f t="shared" si="42"/>
        <v/>
      </c>
      <c r="P344" s="76" t="str">
        <f t="shared" si="43"/>
        <v/>
      </c>
      <c r="Q344" s="75" t="str">
        <f t="shared" si="44"/>
        <v/>
      </c>
      <c r="R344" s="76" t="str">
        <f t="shared" si="45"/>
        <v/>
      </c>
      <c r="S344" s="76" t="str">
        <f t="shared" si="46"/>
        <v/>
      </c>
      <c r="T344" s="43"/>
      <c r="U344" s="107"/>
      <c r="V344" s="76" t="str">
        <f t="shared" si="47"/>
        <v/>
      </c>
      <c r="W344" s="43"/>
      <c r="X344" s="43"/>
      <c r="Y344" s="74"/>
    </row>
    <row r="345" ht="18" customHeight="1" spans="1:25">
      <c r="A345" s="74" t="str">
        <f t="shared" si="40"/>
        <v/>
      </c>
      <c r="B345" s="7"/>
      <c r="C345" s="43"/>
      <c r="D345" s="106"/>
      <c r="E345" s="43"/>
      <c r="F345" s="43"/>
      <c r="G345" s="43"/>
      <c r="H345" s="107"/>
      <c r="I345" s="107"/>
      <c r="J345" s="76" t="str">
        <f>IF($C345="","",ROUND(IFERROR(INDEX(期初余额!$I$4:$I$9,MATCH($C345,期初余额!$H$4:$H$9,0)),0)+SUMIFS($H$4:$H345,$C$4:$C345,$C345)-SUMIFS($I$4:$I345,$C$4:$C345,$C345),2))</f>
        <v/>
      </c>
      <c r="K345" s="111" t="str">
        <f>IF($T345&lt;&gt;"",$T345,IF($C345="","",IF(AND(N($I345)&gt;0,$G345&lt;&gt;""),IFERROR(INDEX(科目表!$U$4:$U$123,MATCH($G345,科目表!$M$4:$M$123,0)),"管理费用"),IF(N($H345)&gt;0,IFERROR(INDEX(自动规则!$C$4:$C$40,MATCH($F345,自动规则!$B$4:$B$40,0)),"其他应收款"),IFERROR(INDEX(自动规则!$D$4:$D$40,MATCH($F345,自动规则!$B$4:$B$40,0)),"其他应付款")))))</f>
        <v/>
      </c>
      <c r="L345" s="106"/>
      <c r="M345" s="75" t="str">
        <f>IF($C345="","",IFERROR(INDEX(科目表!$T$4:$T$9,MATCH($C345,科目表!$S$4:$S$9,0)),""))</f>
        <v/>
      </c>
      <c r="N345" s="75" t="str">
        <f t="shared" si="41"/>
        <v/>
      </c>
      <c r="O345" s="76" t="str">
        <f t="shared" si="42"/>
        <v/>
      </c>
      <c r="P345" s="76" t="str">
        <f t="shared" si="43"/>
        <v/>
      </c>
      <c r="Q345" s="75" t="str">
        <f t="shared" si="44"/>
        <v/>
      </c>
      <c r="R345" s="76" t="str">
        <f t="shared" si="45"/>
        <v/>
      </c>
      <c r="S345" s="76" t="str">
        <f t="shared" si="46"/>
        <v/>
      </c>
      <c r="T345" s="43"/>
      <c r="U345" s="107"/>
      <c r="V345" s="76" t="str">
        <f t="shared" si="47"/>
        <v/>
      </c>
      <c r="W345" s="43"/>
      <c r="X345" s="43"/>
      <c r="Y345" s="74"/>
    </row>
    <row r="346" ht="18" customHeight="1" spans="1:25">
      <c r="A346" s="74" t="str">
        <f t="shared" si="40"/>
        <v/>
      </c>
      <c r="B346" s="7"/>
      <c r="C346" s="43"/>
      <c r="D346" s="106"/>
      <c r="E346" s="43"/>
      <c r="F346" s="43"/>
      <c r="G346" s="43"/>
      <c r="H346" s="107"/>
      <c r="I346" s="107"/>
      <c r="J346" s="76" t="str">
        <f>IF($C346="","",ROUND(IFERROR(INDEX(期初余额!$I$4:$I$9,MATCH($C346,期初余额!$H$4:$H$9,0)),0)+SUMIFS($H$4:$H346,$C$4:$C346,$C346)-SUMIFS($I$4:$I346,$C$4:$C346,$C346),2))</f>
        <v/>
      </c>
      <c r="K346" s="111" t="str">
        <f>IF($T346&lt;&gt;"",$T346,IF($C346="","",IF(AND(N($I346)&gt;0,$G346&lt;&gt;""),IFERROR(INDEX(科目表!$U$4:$U$123,MATCH($G346,科目表!$M$4:$M$123,0)),"管理费用"),IF(N($H346)&gt;0,IFERROR(INDEX(自动规则!$C$4:$C$40,MATCH($F346,自动规则!$B$4:$B$40,0)),"其他应收款"),IFERROR(INDEX(自动规则!$D$4:$D$40,MATCH($F346,自动规则!$B$4:$B$40,0)),"其他应付款")))))</f>
        <v/>
      </c>
      <c r="L346" s="106"/>
      <c r="M346" s="75" t="str">
        <f>IF($C346="","",IFERROR(INDEX(科目表!$T$4:$T$9,MATCH($C346,科目表!$S$4:$S$9,0)),""))</f>
        <v/>
      </c>
      <c r="N346" s="75" t="str">
        <f t="shared" si="41"/>
        <v/>
      </c>
      <c r="O346" s="76" t="str">
        <f t="shared" si="42"/>
        <v/>
      </c>
      <c r="P346" s="76" t="str">
        <f t="shared" si="43"/>
        <v/>
      </c>
      <c r="Q346" s="75" t="str">
        <f t="shared" si="44"/>
        <v/>
      </c>
      <c r="R346" s="76" t="str">
        <f t="shared" si="45"/>
        <v/>
      </c>
      <c r="S346" s="76" t="str">
        <f t="shared" si="46"/>
        <v/>
      </c>
      <c r="T346" s="43"/>
      <c r="U346" s="107"/>
      <c r="V346" s="76" t="str">
        <f t="shared" si="47"/>
        <v/>
      </c>
      <c r="W346" s="43"/>
      <c r="X346" s="43"/>
      <c r="Y346" s="74"/>
    </row>
    <row r="347" ht="18" customHeight="1" spans="1:25">
      <c r="A347" s="74" t="str">
        <f t="shared" si="40"/>
        <v/>
      </c>
      <c r="B347" s="7"/>
      <c r="C347" s="43"/>
      <c r="D347" s="106"/>
      <c r="E347" s="43"/>
      <c r="F347" s="43"/>
      <c r="G347" s="43"/>
      <c r="H347" s="107"/>
      <c r="I347" s="107"/>
      <c r="J347" s="76" t="str">
        <f>IF($C347="","",ROUND(IFERROR(INDEX(期初余额!$I$4:$I$9,MATCH($C347,期初余额!$H$4:$H$9,0)),0)+SUMIFS($H$4:$H347,$C$4:$C347,$C347)-SUMIFS($I$4:$I347,$C$4:$C347,$C347),2))</f>
        <v/>
      </c>
      <c r="K347" s="111" t="str">
        <f>IF($T347&lt;&gt;"",$T347,IF($C347="","",IF(AND(N($I347)&gt;0,$G347&lt;&gt;""),IFERROR(INDEX(科目表!$U$4:$U$123,MATCH($G347,科目表!$M$4:$M$123,0)),"管理费用"),IF(N($H347)&gt;0,IFERROR(INDEX(自动规则!$C$4:$C$40,MATCH($F347,自动规则!$B$4:$B$40,0)),"其他应收款"),IFERROR(INDEX(自动规则!$D$4:$D$40,MATCH($F347,自动规则!$B$4:$B$40,0)),"其他应付款")))))</f>
        <v/>
      </c>
      <c r="L347" s="106"/>
      <c r="M347" s="75" t="str">
        <f>IF($C347="","",IFERROR(INDEX(科目表!$T$4:$T$9,MATCH($C347,科目表!$S$4:$S$9,0)),""))</f>
        <v/>
      </c>
      <c r="N347" s="75" t="str">
        <f t="shared" si="41"/>
        <v/>
      </c>
      <c r="O347" s="76" t="str">
        <f t="shared" si="42"/>
        <v/>
      </c>
      <c r="P347" s="76" t="str">
        <f t="shared" si="43"/>
        <v/>
      </c>
      <c r="Q347" s="75" t="str">
        <f t="shared" si="44"/>
        <v/>
      </c>
      <c r="R347" s="76" t="str">
        <f t="shared" si="45"/>
        <v/>
      </c>
      <c r="S347" s="76" t="str">
        <f t="shared" si="46"/>
        <v/>
      </c>
      <c r="T347" s="43"/>
      <c r="U347" s="107"/>
      <c r="V347" s="76" t="str">
        <f t="shared" si="47"/>
        <v/>
      </c>
      <c r="W347" s="43"/>
      <c r="X347" s="43"/>
      <c r="Y347" s="74"/>
    </row>
    <row r="348" ht="18" customHeight="1" spans="1:25">
      <c r="A348" s="74" t="str">
        <f t="shared" si="40"/>
        <v/>
      </c>
      <c r="B348" s="7"/>
      <c r="C348" s="43"/>
      <c r="D348" s="106"/>
      <c r="E348" s="43"/>
      <c r="F348" s="43"/>
      <c r="G348" s="43"/>
      <c r="H348" s="107"/>
      <c r="I348" s="107"/>
      <c r="J348" s="76" t="str">
        <f>IF($C348="","",ROUND(IFERROR(INDEX(期初余额!$I$4:$I$9,MATCH($C348,期初余额!$H$4:$H$9,0)),0)+SUMIFS($H$4:$H348,$C$4:$C348,$C348)-SUMIFS($I$4:$I348,$C$4:$C348,$C348),2))</f>
        <v/>
      </c>
      <c r="K348" s="111" t="str">
        <f>IF($T348&lt;&gt;"",$T348,IF($C348="","",IF(AND(N($I348)&gt;0,$G348&lt;&gt;""),IFERROR(INDEX(科目表!$U$4:$U$123,MATCH($G348,科目表!$M$4:$M$123,0)),"管理费用"),IF(N($H348)&gt;0,IFERROR(INDEX(自动规则!$C$4:$C$40,MATCH($F348,自动规则!$B$4:$B$40,0)),"其他应收款"),IFERROR(INDEX(自动规则!$D$4:$D$40,MATCH($F348,自动规则!$B$4:$B$40,0)),"其他应付款")))))</f>
        <v/>
      </c>
      <c r="L348" s="106"/>
      <c r="M348" s="75" t="str">
        <f>IF($C348="","",IFERROR(INDEX(科目表!$T$4:$T$9,MATCH($C348,科目表!$S$4:$S$9,0)),""))</f>
        <v/>
      </c>
      <c r="N348" s="75" t="str">
        <f t="shared" si="41"/>
        <v/>
      </c>
      <c r="O348" s="76" t="str">
        <f t="shared" si="42"/>
        <v/>
      </c>
      <c r="P348" s="76" t="str">
        <f t="shared" si="43"/>
        <v/>
      </c>
      <c r="Q348" s="75" t="str">
        <f t="shared" si="44"/>
        <v/>
      </c>
      <c r="R348" s="76" t="str">
        <f t="shared" si="45"/>
        <v/>
      </c>
      <c r="S348" s="76" t="str">
        <f t="shared" si="46"/>
        <v/>
      </c>
      <c r="T348" s="43"/>
      <c r="U348" s="107"/>
      <c r="V348" s="76" t="str">
        <f t="shared" si="47"/>
        <v/>
      </c>
      <c r="W348" s="43"/>
      <c r="X348" s="43"/>
      <c r="Y348" s="74"/>
    </row>
    <row r="349" ht="18" customHeight="1" spans="1:25">
      <c r="A349" s="74" t="str">
        <f t="shared" si="40"/>
        <v/>
      </c>
      <c r="B349" s="7"/>
      <c r="C349" s="43"/>
      <c r="D349" s="106"/>
      <c r="E349" s="43"/>
      <c r="F349" s="43"/>
      <c r="G349" s="43"/>
      <c r="H349" s="107"/>
      <c r="I349" s="107"/>
      <c r="J349" s="76" t="str">
        <f>IF($C349="","",ROUND(IFERROR(INDEX(期初余额!$I$4:$I$9,MATCH($C349,期初余额!$H$4:$H$9,0)),0)+SUMIFS($H$4:$H349,$C$4:$C349,$C349)-SUMIFS($I$4:$I349,$C$4:$C349,$C349),2))</f>
        <v/>
      </c>
      <c r="K349" s="111" t="str">
        <f>IF($T349&lt;&gt;"",$T349,IF($C349="","",IF(AND(N($I349)&gt;0,$G349&lt;&gt;""),IFERROR(INDEX(科目表!$U$4:$U$123,MATCH($G349,科目表!$M$4:$M$123,0)),"管理费用"),IF(N($H349)&gt;0,IFERROR(INDEX(自动规则!$C$4:$C$40,MATCH($F349,自动规则!$B$4:$B$40,0)),"其他应收款"),IFERROR(INDEX(自动规则!$D$4:$D$40,MATCH($F349,自动规则!$B$4:$B$40,0)),"其他应付款")))))</f>
        <v/>
      </c>
      <c r="L349" s="106"/>
      <c r="M349" s="75" t="str">
        <f>IF($C349="","",IFERROR(INDEX(科目表!$T$4:$T$9,MATCH($C349,科目表!$S$4:$S$9,0)),""))</f>
        <v/>
      </c>
      <c r="N349" s="75" t="str">
        <f t="shared" si="41"/>
        <v/>
      </c>
      <c r="O349" s="76" t="str">
        <f t="shared" si="42"/>
        <v/>
      </c>
      <c r="P349" s="76" t="str">
        <f t="shared" si="43"/>
        <v/>
      </c>
      <c r="Q349" s="75" t="str">
        <f t="shared" si="44"/>
        <v/>
      </c>
      <c r="R349" s="76" t="str">
        <f t="shared" si="45"/>
        <v/>
      </c>
      <c r="S349" s="76" t="str">
        <f t="shared" si="46"/>
        <v/>
      </c>
      <c r="T349" s="43"/>
      <c r="U349" s="107"/>
      <c r="V349" s="76" t="str">
        <f t="shared" si="47"/>
        <v/>
      </c>
      <c r="W349" s="43"/>
      <c r="X349" s="43"/>
      <c r="Y349" s="74"/>
    </row>
    <row r="350" ht="18" customHeight="1" spans="1:25">
      <c r="A350" s="74" t="str">
        <f t="shared" si="40"/>
        <v/>
      </c>
      <c r="B350" s="7"/>
      <c r="C350" s="43"/>
      <c r="D350" s="106"/>
      <c r="E350" s="43"/>
      <c r="F350" s="43"/>
      <c r="G350" s="43"/>
      <c r="H350" s="107"/>
      <c r="I350" s="107"/>
      <c r="J350" s="76" t="str">
        <f>IF($C350="","",ROUND(IFERROR(INDEX(期初余额!$I$4:$I$9,MATCH($C350,期初余额!$H$4:$H$9,0)),0)+SUMIFS($H$4:$H350,$C$4:$C350,$C350)-SUMIFS($I$4:$I350,$C$4:$C350,$C350),2))</f>
        <v/>
      </c>
      <c r="K350" s="111" t="str">
        <f>IF($T350&lt;&gt;"",$T350,IF($C350="","",IF(AND(N($I350)&gt;0,$G350&lt;&gt;""),IFERROR(INDEX(科目表!$U$4:$U$123,MATCH($G350,科目表!$M$4:$M$123,0)),"管理费用"),IF(N($H350)&gt;0,IFERROR(INDEX(自动规则!$C$4:$C$40,MATCH($F350,自动规则!$B$4:$B$40,0)),"其他应收款"),IFERROR(INDEX(自动规则!$D$4:$D$40,MATCH($F350,自动规则!$B$4:$B$40,0)),"其他应付款")))))</f>
        <v/>
      </c>
      <c r="L350" s="106"/>
      <c r="M350" s="75" t="str">
        <f>IF($C350="","",IFERROR(INDEX(科目表!$T$4:$T$9,MATCH($C350,科目表!$S$4:$S$9,0)),""))</f>
        <v/>
      </c>
      <c r="N350" s="75" t="str">
        <f t="shared" si="41"/>
        <v/>
      </c>
      <c r="O350" s="76" t="str">
        <f t="shared" si="42"/>
        <v/>
      </c>
      <c r="P350" s="76" t="str">
        <f t="shared" si="43"/>
        <v/>
      </c>
      <c r="Q350" s="75" t="str">
        <f t="shared" si="44"/>
        <v/>
      </c>
      <c r="R350" s="76" t="str">
        <f t="shared" si="45"/>
        <v/>
      </c>
      <c r="S350" s="76" t="str">
        <f t="shared" si="46"/>
        <v/>
      </c>
      <c r="T350" s="43"/>
      <c r="U350" s="107"/>
      <c r="V350" s="76" t="str">
        <f t="shared" si="47"/>
        <v/>
      </c>
      <c r="W350" s="43"/>
      <c r="X350" s="43"/>
      <c r="Y350" s="74"/>
    </row>
    <row r="351" ht="18" customHeight="1" spans="1:25">
      <c r="A351" s="74" t="str">
        <f t="shared" si="40"/>
        <v/>
      </c>
      <c r="B351" s="7"/>
      <c r="C351" s="43"/>
      <c r="D351" s="106"/>
      <c r="E351" s="43"/>
      <c r="F351" s="43"/>
      <c r="G351" s="43"/>
      <c r="H351" s="107"/>
      <c r="I351" s="107"/>
      <c r="J351" s="76" t="str">
        <f>IF($C351="","",ROUND(IFERROR(INDEX(期初余额!$I$4:$I$9,MATCH($C351,期初余额!$H$4:$H$9,0)),0)+SUMIFS($H$4:$H351,$C$4:$C351,$C351)-SUMIFS($I$4:$I351,$C$4:$C351,$C351),2))</f>
        <v/>
      </c>
      <c r="K351" s="111" t="str">
        <f>IF($T351&lt;&gt;"",$T351,IF($C351="","",IF(AND(N($I351)&gt;0,$G351&lt;&gt;""),IFERROR(INDEX(科目表!$U$4:$U$123,MATCH($G351,科目表!$M$4:$M$123,0)),"管理费用"),IF(N($H351)&gt;0,IFERROR(INDEX(自动规则!$C$4:$C$40,MATCH($F351,自动规则!$B$4:$B$40,0)),"其他应收款"),IFERROR(INDEX(自动规则!$D$4:$D$40,MATCH($F351,自动规则!$B$4:$B$40,0)),"其他应付款")))))</f>
        <v/>
      </c>
      <c r="L351" s="106"/>
      <c r="M351" s="75" t="str">
        <f>IF($C351="","",IFERROR(INDEX(科目表!$T$4:$T$9,MATCH($C351,科目表!$S$4:$S$9,0)),""))</f>
        <v/>
      </c>
      <c r="N351" s="75" t="str">
        <f t="shared" si="41"/>
        <v/>
      </c>
      <c r="O351" s="76" t="str">
        <f t="shared" si="42"/>
        <v/>
      </c>
      <c r="P351" s="76" t="str">
        <f t="shared" si="43"/>
        <v/>
      </c>
      <c r="Q351" s="75" t="str">
        <f t="shared" si="44"/>
        <v/>
      </c>
      <c r="R351" s="76" t="str">
        <f t="shared" si="45"/>
        <v/>
      </c>
      <c r="S351" s="76" t="str">
        <f t="shared" si="46"/>
        <v/>
      </c>
      <c r="T351" s="43"/>
      <c r="U351" s="107"/>
      <c r="V351" s="76" t="str">
        <f t="shared" si="47"/>
        <v/>
      </c>
      <c r="W351" s="43"/>
      <c r="X351" s="43"/>
      <c r="Y351" s="74"/>
    </row>
    <row r="352" ht="18" customHeight="1" spans="1:25">
      <c r="A352" s="74" t="str">
        <f t="shared" si="40"/>
        <v/>
      </c>
      <c r="B352" s="7"/>
      <c r="C352" s="43"/>
      <c r="D352" s="106"/>
      <c r="E352" s="43"/>
      <c r="F352" s="43"/>
      <c r="G352" s="43"/>
      <c r="H352" s="107"/>
      <c r="I352" s="107"/>
      <c r="J352" s="76" t="str">
        <f>IF($C352="","",ROUND(IFERROR(INDEX(期初余额!$I$4:$I$9,MATCH($C352,期初余额!$H$4:$H$9,0)),0)+SUMIFS($H$4:$H352,$C$4:$C352,$C352)-SUMIFS($I$4:$I352,$C$4:$C352,$C352),2))</f>
        <v/>
      </c>
      <c r="K352" s="111" t="str">
        <f>IF($T352&lt;&gt;"",$T352,IF($C352="","",IF(AND(N($I352)&gt;0,$G352&lt;&gt;""),IFERROR(INDEX(科目表!$U$4:$U$123,MATCH($G352,科目表!$M$4:$M$123,0)),"管理费用"),IF(N($H352)&gt;0,IFERROR(INDEX(自动规则!$C$4:$C$40,MATCH($F352,自动规则!$B$4:$B$40,0)),"其他应收款"),IFERROR(INDEX(自动规则!$D$4:$D$40,MATCH($F352,自动规则!$B$4:$B$40,0)),"其他应付款")))))</f>
        <v/>
      </c>
      <c r="L352" s="106"/>
      <c r="M352" s="75" t="str">
        <f>IF($C352="","",IFERROR(INDEX(科目表!$T$4:$T$9,MATCH($C352,科目表!$S$4:$S$9,0)),""))</f>
        <v/>
      </c>
      <c r="N352" s="75" t="str">
        <f t="shared" si="41"/>
        <v/>
      </c>
      <c r="O352" s="76" t="str">
        <f t="shared" si="42"/>
        <v/>
      </c>
      <c r="P352" s="76" t="str">
        <f t="shared" si="43"/>
        <v/>
      </c>
      <c r="Q352" s="75" t="str">
        <f t="shared" si="44"/>
        <v/>
      </c>
      <c r="R352" s="76" t="str">
        <f t="shared" si="45"/>
        <v/>
      </c>
      <c r="S352" s="76" t="str">
        <f t="shared" si="46"/>
        <v/>
      </c>
      <c r="T352" s="43"/>
      <c r="U352" s="107"/>
      <c r="V352" s="76" t="str">
        <f t="shared" si="47"/>
        <v/>
      </c>
      <c r="W352" s="43"/>
      <c r="X352" s="43"/>
      <c r="Y352" s="74"/>
    </row>
    <row r="353" ht="18" customHeight="1" spans="1:25">
      <c r="A353" s="74" t="str">
        <f t="shared" si="40"/>
        <v/>
      </c>
      <c r="B353" s="7"/>
      <c r="C353" s="43"/>
      <c r="D353" s="106"/>
      <c r="E353" s="43"/>
      <c r="F353" s="43"/>
      <c r="G353" s="43"/>
      <c r="H353" s="107"/>
      <c r="I353" s="107"/>
      <c r="J353" s="76" t="str">
        <f>IF($C353="","",ROUND(IFERROR(INDEX(期初余额!$I$4:$I$9,MATCH($C353,期初余额!$H$4:$H$9,0)),0)+SUMIFS($H$4:$H353,$C$4:$C353,$C353)-SUMIFS($I$4:$I353,$C$4:$C353,$C353),2))</f>
        <v/>
      </c>
      <c r="K353" s="111" t="str">
        <f>IF($T353&lt;&gt;"",$T353,IF($C353="","",IF(AND(N($I353)&gt;0,$G353&lt;&gt;""),IFERROR(INDEX(科目表!$U$4:$U$123,MATCH($G353,科目表!$M$4:$M$123,0)),"管理费用"),IF(N($H353)&gt;0,IFERROR(INDEX(自动规则!$C$4:$C$40,MATCH($F353,自动规则!$B$4:$B$40,0)),"其他应收款"),IFERROR(INDEX(自动规则!$D$4:$D$40,MATCH($F353,自动规则!$B$4:$B$40,0)),"其他应付款")))))</f>
        <v/>
      </c>
      <c r="L353" s="106"/>
      <c r="M353" s="75" t="str">
        <f>IF($C353="","",IFERROR(INDEX(科目表!$T$4:$T$9,MATCH($C353,科目表!$S$4:$S$9,0)),""))</f>
        <v/>
      </c>
      <c r="N353" s="75" t="str">
        <f t="shared" si="41"/>
        <v/>
      </c>
      <c r="O353" s="76" t="str">
        <f t="shared" si="42"/>
        <v/>
      </c>
      <c r="P353" s="76" t="str">
        <f t="shared" si="43"/>
        <v/>
      </c>
      <c r="Q353" s="75" t="str">
        <f t="shared" si="44"/>
        <v/>
      </c>
      <c r="R353" s="76" t="str">
        <f t="shared" si="45"/>
        <v/>
      </c>
      <c r="S353" s="76" t="str">
        <f t="shared" si="46"/>
        <v/>
      </c>
      <c r="T353" s="43"/>
      <c r="U353" s="107"/>
      <c r="V353" s="76" t="str">
        <f t="shared" si="47"/>
        <v/>
      </c>
      <c r="W353" s="43"/>
      <c r="X353" s="43"/>
      <c r="Y353" s="74"/>
    </row>
    <row r="354" ht="18" customHeight="1" spans="1:25">
      <c r="A354" s="74" t="str">
        <f t="shared" si="40"/>
        <v/>
      </c>
      <c r="B354" s="7"/>
      <c r="C354" s="43"/>
      <c r="D354" s="106"/>
      <c r="E354" s="43"/>
      <c r="F354" s="43"/>
      <c r="G354" s="43"/>
      <c r="H354" s="107"/>
      <c r="I354" s="107"/>
      <c r="J354" s="76" t="str">
        <f>IF($C354="","",ROUND(IFERROR(INDEX(期初余额!$I$4:$I$9,MATCH($C354,期初余额!$H$4:$H$9,0)),0)+SUMIFS($H$4:$H354,$C$4:$C354,$C354)-SUMIFS($I$4:$I354,$C$4:$C354,$C354),2))</f>
        <v/>
      </c>
      <c r="K354" s="111" t="str">
        <f>IF($T354&lt;&gt;"",$T354,IF($C354="","",IF(AND(N($I354)&gt;0,$G354&lt;&gt;""),IFERROR(INDEX(科目表!$U$4:$U$123,MATCH($G354,科目表!$M$4:$M$123,0)),"管理费用"),IF(N($H354)&gt;0,IFERROR(INDEX(自动规则!$C$4:$C$40,MATCH($F354,自动规则!$B$4:$B$40,0)),"其他应收款"),IFERROR(INDEX(自动规则!$D$4:$D$40,MATCH($F354,自动规则!$B$4:$B$40,0)),"其他应付款")))))</f>
        <v/>
      </c>
      <c r="L354" s="106"/>
      <c r="M354" s="75" t="str">
        <f>IF($C354="","",IFERROR(INDEX(科目表!$T$4:$T$9,MATCH($C354,科目表!$S$4:$S$9,0)),""))</f>
        <v/>
      </c>
      <c r="N354" s="75" t="str">
        <f t="shared" si="41"/>
        <v/>
      </c>
      <c r="O354" s="76" t="str">
        <f t="shared" si="42"/>
        <v/>
      </c>
      <c r="P354" s="76" t="str">
        <f t="shared" si="43"/>
        <v/>
      </c>
      <c r="Q354" s="75" t="str">
        <f t="shared" si="44"/>
        <v/>
      </c>
      <c r="R354" s="76" t="str">
        <f t="shared" si="45"/>
        <v/>
      </c>
      <c r="S354" s="76" t="str">
        <f t="shared" si="46"/>
        <v/>
      </c>
      <c r="T354" s="43"/>
      <c r="U354" s="107"/>
      <c r="V354" s="76" t="str">
        <f t="shared" si="47"/>
        <v/>
      </c>
      <c r="W354" s="43"/>
      <c r="X354" s="43"/>
      <c r="Y354" s="74"/>
    </row>
    <row r="355" ht="18" customHeight="1" spans="1:25">
      <c r="A355" s="74" t="str">
        <f t="shared" si="40"/>
        <v/>
      </c>
      <c r="B355" s="7"/>
      <c r="C355" s="43"/>
      <c r="D355" s="106"/>
      <c r="E355" s="43"/>
      <c r="F355" s="43"/>
      <c r="G355" s="43"/>
      <c r="H355" s="107"/>
      <c r="I355" s="107"/>
      <c r="J355" s="76" t="str">
        <f>IF($C355="","",ROUND(IFERROR(INDEX(期初余额!$I$4:$I$9,MATCH($C355,期初余额!$H$4:$H$9,0)),0)+SUMIFS($H$4:$H355,$C$4:$C355,$C355)-SUMIFS($I$4:$I355,$C$4:$C355,$C355),2))</f>
        <v/>
      </c>
      <c r="K355" s="111" t="str">
        <f>IF($T355&lt;&gt;"",$T355,IF($C355="","",IF(AND(N($I355)&gt;0,$G355&lt;&gt;""),IFERROR(INDEX(科目表!$U$4:$U$123,MATCH($G355,科目表!$M$4:$M$123,0)),"管理费用"),IF(N($H355)&gt;0,IFERROR(INDEX(自动规则!$C$4:$C$40,MATCH($F355,自动规则!$B$4:$B$40,0)),"其他应收款"),IFERROR(INDEX(自动规则!$D$4:$D$40,MATCH($F355,自动规则!$B$4:$B$40,0)),"其他应付款")))))</f>
        <v/>
      </c>
      <c r="L355" s="106"/>
      <c r="M355" s="75" t="str">
        <f>IF($C355="","",IFERROR(INDEX(科目表!$T$4:$T$9,MATCH($C355,科目表!$S$4:$S$9,0)),""))</f>
        <v/>
      </c>
      <c r="N355" s="75" t="str">
        <f t="shared" si="41"/>
        <v/>
      </c>
      <c r="O355" s="76" t="str">
        <f t="shared" si="42"/>
        <v/>
      </c>
      <c r="P355" s="76" t="str">
        <f t="shared" si="43"/>
        <v/>
      </c>
      <c r="Q355" s="75" t="str">
        <f t="shared" si="44"/>
        <v/>
      </c>
      <c r="R355" s="76" t="str">
        <f t="shared" si="45"/>
        <v/>
      </c>
      <c r="S355" s="76" t="str">
        <f t="shared" si="46"/>
        <v/>
      </c>
      <c r="T355" s="43"/>
      <c r="U355" s="107"/>
      <c r="V355" s="76" t="str">
        <f t="shared" si="47"/>
        <v/>
      </c>
      <c r="W355" s="43"/>
      <c r="X355" s="43"/>
      <c r="Y355" s="74"/>
    </row>
    <row r="356" ht="18" customHeight="1" spans="1:25">
      <c r="A356" s="74" t="str">
        <f t="shared" si="40"/>
        <v/>
      </c>
      <c r="B356" s="7"/>
      <c r="C356" s="43"/>
      <c r="D356" s="106"/>
      <c r="E356" s="43"/>
      <c r="F356" s="43"/>
      <c r="G356" s="43"/>
      <c r="H356" s="107"/>
      <c r="I356" s="107"/>
      <c r="J356" s="76" t="str">
        <f>IF($C356="","",ROUND(IFERROR(INDEX(期初余额!$I$4:$I$9,MATCH($C356,期初余额!$H$4:$H$9,0)),0)+SUMIFS($H$4:$H356,$C$4:$C356,$C356)-SUMIFS($I$4:$I356,$C$4:$C356,$C356),2))</f>
        <v/>
      </c>
      <c r="K356" s="111" t="str">
        <f>IF($T356&lt;&gt;"",$T356,IF($C356="","",IF(AND(N($I356)&gt;0,$G356&lt;&gt;""),IFERROR(INDEX(科目表!$U$4:$U$123,MATCH($G356,科目表!$M$4:$M$123,0)),"管理费用"),IF(N($H356)&gt;0,IFERROR(INDEX(自动规则!$C$4:$C$40,MATCH($F356,自动规则!$B$4:$B$40,0)),"其他应收款"),IFERROR(INDEX(自动规则!$D$4:$D$40,MATCH($F356,自动规则!$B$4:$B$40,0)),"其他应付款")))))</f>
        <v/>
      </c>
      <c r="L356" s="106"/>
      <c r="M356" s="75" t="str">
        <f>IF($C356="","",IFERROR(INDEX(科目表!$T$4:$T$9,MATCH($C356,科目表!$S$4:$S$9,0)),""))</f>
        <v/>
      </c>
      <c r="N356" s="75" t="str">
        <f t="shared" si="41"/>
        <v/>
      </c>
      <c r="O356" s="76" t="str">
        <f t="shared" si="42"/>
        <v/>
      </c>
      <c r="P356" s="76" t="str">
        <f t="shared" si="43"/>
        <v/>
      </c>
      <c r="Q356" s="75" t="str">
        <f t="shared" si="44"/>
        <v/>
      </c>
      <c r="R356" s="76" t="str">
        <f t="shared" si="45"/>
        <v/>
      </c>
      <c r="S356" s="76" t="str">
        <f t="shared" si="46"/>
        <v/>
      </c>
      <c r="T356" s="43"/>
      <c r="U356" s="107"/>
      <c r="V356" s="76" t="str">
        <f t="shared" si="47"/>
        <v/>
      </c>
      <c r="W356" s="43"/>
      <c r="X356" s="43"/>
      <c r="Y356" s="74"/>
    </row>
    <row r="357" ht="18" customHeight="1" spans="1:25">
      <c r="A357" s="74" t="str">
        <f t="shared" si="40"/>
        <v/>
      </c>
      <c r="B357" s="7"/>
      <c r="C357" s="43"/>
      <c r="D357" s="106"/>
      <c r="E357" s="43"/>
      <c r="F357" s="43"/>
      <c r="G357" s="43"/>
      <c r="H357" s="107"/>
      <c r="I357" s="107"/>
      <c r="J357" s="76" t="str">
        <f>IF($C357="","",ROUND(IFERROR(INDEX(期初余额!$I$4:$I$9,MATCH($C357,期初余额!$H$4:$H$9,0)),0)+SUMIFS($H$4:$H357,$C$4:$C357,$C357)-SUMIFS($I$4:$I357,$C$4:$C357,$C357),2))</f>
        <v/>
      </c>
      <c r="K357" s="111" t="str">
        <f>IF($T357&lt;&gt;"",$T357,IF($C357="","",IF(AND(N($I357)&gt;0,$G357&lt;&gt;""),IFERROR(INDEX(科目表!$U$4:$U$123,MATCH($G357,科目表!$M$4:$M$123,0)),"管理费用"),IF(N($H357)&gt;0,IFERROR(INDEX(自动规则!$C$4:$C$40,MATCH($F357,自动规则!$B$4:$B$40,0)),"其他应收款"),IFERROR(INDEX(自动规则!$D$4:$D$40,MATCH($F357,自动规则!$B$4:$B$40,0)),"其他应付款")))))</f>
        <v/>
      </c>
      <c r="L357" s="106"/>
      <c r="M357" s="75" t="str">
        <f>IF($C357="","",IFERROR(INDEX(科目表!$T$4:$T$9,MATCH($C357,科目表!$S$4:$S$9,0)),""))</f>
        <v/>
      </c>
      <c r="N357" s="75" t="str">
        <f t="shared" si="41"/>
        <v/>
      </c>
      <c r="O357" s="76" t="str">
        <f t="shared" si="42"/>
        <v/>
      </c>
      <c r="P357" s="76" t="str">
        <f t="shared" si="43"/>
        <v/>
      </c>
      <c r="Q357" s="75" t="str">
        <f t="shared" si="44"/>
        <v/>
      </c>
      <c r="R357" s="76" t="str">
        <f t="shared" si="45"/>
        <v/>
      </c>
      <c r="S357" s="76" t="str">
        <f t="shared" si="46"/>
        <v/>
      </c>
      <c r="T357" s="43"/>
      <c r="U357" s="107"/>
      <c r="V357" s="76" t="str">
        <f t="shared" si="47"/>
        <v/>
      </c>
      <c r="W357" s="43"/>
      <c r="X357" s="43"/>
      <c r="Y357" s="74"/>
    </row>
    <row r="358" ht="18" customHeight="1" spans="1:25">
      <c r="A358" s="74" t="str">
        <f t="shared" si="40"/>
        <v/>
      </c>
      <c r="B358" s="7"/>
      <c r="C358" s="43"/>
      <c r="D358" s="106"/>
      <c r="E358" s="43"/>
      <c r="F358" s="43"/>
      <c r="G358" s="43"/>
      <c r="H358" s="107"/>
      <c r="I358" s="107"/>
      <c r="J358" s="76" t="str">
        <f>IF($C358="","",ROUND(IFERROR(INDEX(期初余额!$I$4:$I$9,MATCH($C358,期初余额!$H$4:$H$9,0)),0)+SUMIFS($H$4:$H358,$C$4:$C358,$C358)-SUMIFS($I$4:$I358,$C$4:$C358,$C358),2))</f>
        <v/>
      </c>
      <c r="K358" s="111" t="str">
        <f>IF($T358&lt;&gt;"",$T358,IF($C358="","",IF(AND(N($I358)&gt;0,$G358&lt;&gt;""),IFERROR(INDEX(科目表!$U$4:$U$123,MATCH($G358,科目表!$M$4:$M$123,0)),"管理费用"),IF(N($H358)&gt;0,IFERROR(INDEX(自动规则!$C$4:$C$40,MATCH($F358,自动规则!$B$4:$B$40,0)),"其他应收款"),IFERROR(INDEX(自动规则!$D$4:$D$40,MATCH($F358,自动规则!$B$4:$B$40,0)),"其他应付款")))))</f>
        <v/>
      </c>
      <c r="L358" s="106"/>
      <c r="M358" s="75" t="str">
        <f>IF($C358="","",IFERROR(INDEX(科目表!$T$4:$T$9,MATCH($C358,科目表!$S$4:$S$9,0)),""))</f>
        <v/>
      </c>
      <c r="N358" s="75" t="str">
        <f t="shared" si="41"/>
        <v/>
      </c>
      <c r="O358" s="76" t="str">
        <f t="shared" si="42"/>
        <v/>
      </c>
      <c r="P358" s="76" t="str">
        <f t="shared" si="43"/>
        <v/>
      </c>
      <c r="Q358" s="75" t="str">
        <f t="shared" si="44"/>
        <v/>
      </c>
      <c r="R358" s="76" t="str">
        <f t="shared" si="45"/>
        <v/>
      </c>
      <c r="S358" s="76" t="str">
        <f t="shared" si="46"/>
        <v/>
      </c>
      <c r="T358" s="43"/>
      <c r="U358" s="107"/>
      <c r="V358" s="76" t="str">
        <f t="shared" si="47"/>
        <v/>
      </c>
      <c r="W358" s="43"/>
      <c r="X358" s="43"/>
      <c r="Y358" s="74"/>
    </row>
    <row r="359" ht="18" customHeight="1" spans="1:25">
      <c r="A359" s="74" t="str">
        <f t="shared" si="40"/>
        <v/>
      </c>
      <c r="B359" s="7"/>
      <c r="C359" s="43"/>
      <c r="D359" s="106"/>
      <c r="E359" s="43"/>
      <c r="F359" s="43"/>
      <c r="G359" s="43"/>
      <c r="H359" s="107"/>
      <c r="I359" s="107"/>
      <c r="J359" s="76" t="str">
        <f>IF($C359="","",ROUND(IFERROR(INDEX(期初余额!$I$4:$I$9,MATCH($C359,期初余额!$H$4:$H$9,0)),0)+SUMIFS($H$4:$H359,$C$4:$C359,$C359)-SUMIFS($I$4:$I359,$C$4:$C359,$C359),2))</f>
        <v/>
      </c>
      <c r="K359" s="111" t="str">
        <f>IF($T359&lt;&gt;"",$T359,IF($C359="","",IF(AND(N($I359)&gt;0,$G359&lt;&gt;""),IFERROR(INDEX(科目表!$U$4:$U$123,MATCH($G359,科目表!$M$4:$M$123,0)),"管理费用"),IF(N($H359)&gt;0,IFERROR(INDEX(自动规则!$C$4:$C$40,MATCH($F359,自动规则!$B$4:$B$40,0)),"其他应收款"),IFERROR(INDEX(自动规则!$D$4:$D$40,MATCH($F359,自动规则!$B$4:$B$40,0)),"其他应付款")))))</f>
        <v/>
      </c>
      <c r="L359" s="106"/>
      <c r="M359" s="75" t="str">
        <f>IF($C359="","",IFERROR(INDEX(科目表!$T$4:$T$9,MATCH($C359,科目表!$S$4:$S$9,0)),""))</f>
        <v/>
      </c>
      <c r="N359" s="75" t="str">
        <f t="shared" si="41"/>
        <v/>
      </c>
      <c r="O359" s="76" t="str">
        <f t="shared" si="42"/>
        <v/>
      </c>
      <c r="P359" s="76" t="str">
        <f t="shared" si="43"/>
        <v/>
      </c>
      <c r="Q359" s="75" t="str">
        <f t="shared" si="44"/>
        <v/>
      </c>
      <c r="R359" s="76" t="str">
        <f t="shared" si="45"/>
        <v/>
      </c>
      <c r="S359" s="76" t="str">
        <f t="shared" si="46"/>
        <v/>
      </c>
      <c r="T359" s="43"/>
      <c r="U359" s="107"/>
      <c r="V359" s="76" t="str">
        <f t="shared" si="47"/>
        <v/>
      </c>
      <c r="W359" s="43"/>
      <c r="X359" s="43"/>
      <c r="Y359" s="74"/>
    </row>
    <row r="360" ht="18" customHeight="1" spans="1:25">
      <c r="A360" s="74" t="str">
        <f t="shared" si="40"/>
        <v/>
      </c>
      <c r="B360" s="7"/>
      <c r="C360" s="43"/>
      <c r="D360" s="106"/>
      <c r="E360" s="43"/>
      <c r="F360" s="43"/>
      <c r="G360" s="43"/>
      <c r="H360" s="107"/>
      <c r="I360" s="107"/>
      <c r="J360" s="76" t="str">
        <f>IF($C360="","",ROUND(IFERROR(INDEX(期初余额!$I$4:$I$9,MATCH($C360,期初余额!$H$4:$H$9,0)),0)+SUMIFS($H$4:$H360,$C$4:$C360,$C360)-SUMIFS($I$4:$I360,$C$4:$C360,$C360),2))</f>
        <v/>
      </c>
      <c r="K360" s="111" t="str">
        <f>IF($T360&lt;&gt;"",$T360,IF($C360="","",IF(AND(N($I360)&gt;0,$G360&lt;&gt;""),IFERROR(INDEX(科目表!$U$4:$U$123,MATCH($G360,科目表!$M$4:$M$123,0)),"管理费用"),IF(N($H360)&gt;0,IFERROR(INDEX(自动规则!$C$4:$C$40,MATCH($F360,自动规则!$B$4:$B$40,0)),"其他应收款"),IFERROR(INDEX(自动规则!$D$4:$D$40,MATCH($F360,自动规则!$B$4:$B$40,0)),"其他应付款")))))</f>
        <v/>
      </c>
      <c r="L360" s="106"/>
      <c r="M360" s="75" t="str">
        <f>IF($C360="","",IFERROR(INDEX(科目表!$T$4:$T$9,MATCH($C360,科目表!$S$4:$S$9,0)),""))</f>
        <v/>
      </c>
      <c r="N360" s="75" t="str">
        <f t="shared" si="41"/>
        <v/>
      </c>
      <c r="O360" s="76" t="str">
        <f t="shared" si="42"/>
        <v/>
      </c>
      <c r="P360" s="76" t="str">
        <f t="shared" si="43"/>
        <v/>
      </c>
      <c r="Q360" s="75" t="str">
        <f t="shared" si="44"/>
        <v/>
      </c>
      <c r="R360" s="76" t="str">
        <f t="shared" si="45"/>
        <v/>
      </c>
      <c r="S360" s="76" t="str">
        <f t="shared" si="46"/>
        <v/>
      </c>
      <c r="T360" s="43"/>
      <c r="U360" s="107"/>
      <c r="V360" s="76" t="str">
        <f t="shared" si="47"/>
        <v/>
      </c>
      <c r="W360" s="43"/>
      <c r="X360" s="43"/>
      <c r="Y360" s="74"/>
    </row>
    <row r="361" ht="18" customHeight="1" spans="1:25">
      <c r="A361" s="74" t="str">
        <f t="shared" si="40"/>
        <v/>
      </c>
      <c r="B361" s="7"/>
      <c r="C361" s="43"/>
      <c r="D361" s="106"/>
      <c r="E361" s="43"/>
      <c r="F361" s="43"/>
      <c r="G361" s="43"/>
      <c r="H361" s="107"/>
      <c r="I361" s="107"/>
      <c r="J361" s="76" t="str">
        <f>IF($C361="","",ROUND(IFERROR(INDEX(期初余额!$I$4:$I$9,MATCH($C361,期初余额!$H$4:$H$9,0)),0)+SUMIFS($H$4:$H361,$C$4:$C361,$C361)-SUMIFS($I$4:$I361,$C$4:$C361,$C361),2))</f>
        <v/>
      </c>
      <c r="K361" s="111" t="str">
        <f>IF($T361&lt;&gt;"",$T361,IF($C361="","",IF(AND(N($I361)&gt;0,$G361&lt;&gt;""),IFERROR(INDEX(科目表!$U$4:$U$123,MATCH($G361,科目表!$M$4:$M$123,0)),"管理费用"),IF(N($H361)&gt;0,IFERROR(INDEX(自动规则!$C$4:$C$40,MATCH($F361,自动规则!$B$4:$B$40,0)),"其他应收款"),IFERROR(INDEX(自动规则!$D$4:$D$40,MATCH($F361,自动规则!$B$4:$B$40,0)),"其他应付款")))))</f>
        <v/>
      </c>
      <c r="L361" s="106"/>
      <c r="M361" s="75" t="str">
        <f>IF($C361="","",IFERROR(INDEX(科目表!$T$4:$T$9,MATCH($C361,科目表!$S$4:$S$9,0)),""))</f>
        <v/>
      </c>
      <c r="N361" s="75" t="str">
        <f t="shared" si="41"/>
        <v/>
      </c>
      <c r="O361" s="76" t="str">
        <f t="shared" si="42"/>
        <v/>
      </c>
      <c r="P361" s="76" t="str">
        <f t="shared" si="43"/>
        <v/>
      </c>
      <c r="Q361" s="75" t="str">
        <f t="shared" si="44"/>
        <v/>
      </c>
      <c r="R361" s="76" t="str">
        <f t="shared" si="45"/>
        <v/>
      </c>
      <c r="S361" s="76" t="str">
        <f t="shared" si="46"/>
        <v/>
      </c>
      <c r="T361" s="43"/>
      <c r="U361" s="107"/>
      <c r="V361" s="76" t="str">
        <f t="shared" si="47"/>
        <v/>
      </c>
      <c r="W361" s="43"/>
      <c r="X361" s="43"/>
      <c r="Y361" s="74"/>
    </row>
    <row r="362" ht="18" customHeight="1" spans="1:25">
      <c r="A362" s="74" t="str">
        <f t="shared" si="40"/>
        <v/>
      </c>
      <c r="B362" s="7"/>
      <c r="C362" s="43"/>
      <c r="D362" s="106"/>
      <c r="E362" s="43"/>
      <c r="F362" s="43"/>
      <c r="G362" s="43"/>
      <c r="H362" s="107"/>
      <c r="I362" s="107"/>
      <c r="J362" s="76" t="str">
        <f>IF($C362="","",ROUND(IFERROR(INDEX(期初余额!$I$4:$I$9,MATCH($C362,期初余额!$H$4:$H$9,0)),0)+SUMIFS($H$4:$H362,$C$4:$C362,$C362)-SUMIFS($I$4:$I362,$C$4:$C362,$C362),2))</f>
        <v/>
      </c>
      <c r="K362" s="111" t="str">
        <f>IF($T362&lt;&gt;"",$T362,IF($C362="","",IF(AND(N($I362)&gt;0,$G362&lt;&gt;""),IFERROR(INDEX(科目表!$U$4:$U$123,MATCH($G362,科目表!$M$4:$M$123,0)),"管理费用"),IF(N($H362)&gt;0,IFERROR(INDEX(自动规则!$C$4:$C$40,MATCH($F362,自动规则!$B$4:$B$40,0)),"其他应收款"),IFERROR(INDEX(自动规则!$D$4:$D$40,MATCH($F362,自动规则!$B$4:$B$40,0)),"其他应付款")))))</f>
        <v/>
      </c>
      <c r="L362" s="106"/>
      <c r="M362" s="75" t="str">
        <f>IF($C362="","",IFERROR(INDEX(科目表!$T$4:$T$9,MATCH($C362,科目表!$S$4:$S$9,0)),""))</f>
        <v/>
      </c>
      <c r="N362" s="75" t="str">
        <f t="shared" si="41"/>
        <v/>
      </c>
      <c r="O362" s="76" t="str">
        <f t="shared" si="42"/>
        <v/>
      </c>
      <c r="P362" s="76" t="str">
        <f t="shared" si="43"/>
        <v/>
      </c>
      <c r="Q362" s="75" t="str">
        <f t="shared" si="44"/>
        <v/>
      </c>
      <c r="R362" s="76" t="str">
        <f t="shared" si="45"/>
        <v/>
      </c>
      <c r="S362" s="76" t="str">
        <f t="shared" si="46"/>
        <v/>
      </c>
      <c r="T362" s="43"/>
      <c r="U362" s="107"/>
      <c r="V362" s="76" t="str">
        <f t="shared" si="47"/>
        <v/>
      </c>
      <c r="W362" s="43"/>
      <c r="X362" s="43"/>
      <c r="Y362" s="74"/>
    </row>
    <row r="363" ht="18" customHeight="1" spans="1:25">
      <c r="A363" s="74" t="str">
        <f t="shared" si="40"/>
        <v/>
      </c>
      <c r="B363" s="7"/>
      <c r="C363" s="43"/>
      <c r="D363" s="106"/>
      <c r="E363" s="43"/>
      <c r="F363" s="43"/>
      <c r="G363" s="43"/>
      <c r="H363" s="107"/>
      <c r="I363" s="107"/>
      <c r="J363" s="76" t="str">
        <f>IF($C363="","",ROUND(IFERROR(INDEX(期初余额!$I$4:$I$9,MATCH($C363,期初余额!$H$4:$H$9,0)),0)+SUMIFS($H$4:$H363,$C$4:$C363,$C363)-SUMIFS($I$4:$I363,$C$4:$C363,$C363),2))</f>
        <v/>
      </c>
      <c r="K363" s="111" t="str">
        <f>IF($T363&lt;&gt;"",$T363,IF($C363="","",IF(AND(N($I363)&gt;0,$G363&lt;&gt;""),IFERROR(INDEX(科目表!$U$4:$U$123,MATCH($G363,科目表!$M$4:$M$123,0)),"管理费用"),IF(N($H363)&gt;0,IFERROR(INDEX(自动规则!$C$4:$C$40,MATCH($F363,自动规则!$B$4:$B$40,0)),"其他应收款"),IFERROR(INDEX(自动规则!$D$4:$D$40,MATCH($F363,自动规则!$B$4:$B$40,0)),"其他应付款")))))</f>
        <v/>
      </c>
      <c r="L363" s="106"/>
      <c r="M363" s="75" t="str">
        <f>IF($C363="","",IFERROR(INDEX(科目表!$T$4:$T$9,MATCH($C363,科目表!$S$4:$S$9,0)),""))</f>
        <v/>
      </c>
      <c r="N363" s="75" t="str">
        <f t="shared" si="41"/>
        <v/>
      </c>
      <c r="O363" s="76" t="str">
        <f t="shared" si="42"/>
        <v/>
      </c>
      <c r="P363" s="76" t="str">
        <f t="shared" si="43"/>
        <v/>
      </c>
      <c r="Q363" s="75" t="str">
        <f t="shared" si="44"/>
        <v/>
      </c>
      <c r="R363" s="76" t="str">
        <f t="shared" si="45"/>
        <v/>
      </c>
      <c r="S363" s="76" t="str">
        <f t="shared" si="46"/>
        <v/>
      </c>
      <c r="T363" s="43"/>
      <c r="U363" s="107"/>
      <c r="V363" s="76" t="str">
        <f t="shared" si="47"/>
        <v/>
      </c>
      <c r="W363" s="43"/>
      <c r="X363" s="43"/>
      <c r="Y363" s="74"/>
    </row>
    <row r="364" ht="18" customHeight="1" spans="1:25">
      <c r="A364" s="74" t="str">
        <f t="shared" si="40"/>
        <v/>
      </c>
      <c r="B364" s="7"/>
      <c r="C364" s="43"/>
      <c r="D364" s="106"/>
      <c r="E364" s="43"/>
      <c r="F364" s="43"/>
      <c r="G364" s="43"/>
      <c r="H364" s="107"/>
      <c r="I364" s="107"/>
      <c r="J364" s="76" t="str">
        <f>IF($C364="","",ROUND(IFERROR(INDEX(期初余额!$I$4:$I$9,MATCH($C364,期初余额!$H$4:$H$9,0)),0)+SUMIFS($H$4:$H364,$C$4:$C364,$C364)-SUMIFS($I$4:$I364,$C$4:$C364,$C364),2))</f>
        <v/>
      </c>
      <c r="K364" s="111" t="str">
        <f>IF($T364&lt;&gt;"",$T364,IF($C364="","",IF(AND(N($I364)&gt;0,$G364&lt;&gt;""),IFERROR(INDEX(科目表!$U$4:$U$123,MATCH($G364,科目表!$M$4:$M$123,0)),"管理费用"),IF(N($H364)&gt;0,IFERROR(INDEX(自动规则!$C$4:$C$40,MATCH($F364,自动规则!$B$4:$B$40,0)),"其他应收款"),IFERROR(INDEX(自动规则!$D$4:$D$40,MATCH($F364,自动规则!$B$4:$B$40,0)),"其他应付款")))))</f>
        <v/>
      </c>
      <c r="L364" s="106"/>
      <c r="M364" s="75" t="str">
        <f>IF($C364="","",IFERROR(INDEX(科目表!$T$4:$T$9,MATCH($C364,科目表!$S$4:$S$9,0)),""))</f>
        <v/>
      </c>
      <c r="N364" s="75" t="str">
        <f t="shared" si="41"/>
        <v/>
      </c>
      <c r="O364" s="76" t="str">
        <f t="shared" si="42"/>
        <v/>
      </c>
      <c r="P364" s="76" t="str">
        <f t="shared" si="43"/>
        <v/>
      </c>
      <c r="Q364" s="75" t="str">
        <f t="shared" si="44"/>
        <v/>
      </c>
      <c r="R364" s="76" t="str">
        <f t="shared" si="45"/>
        <v/>
      </c>
      <c r="S364" s="76" t="str">
        <f t="shared" si="46"/>
        <v/>
      </c>
      <c r="T364" s="43"/>
      <c r="U364" s="107"/>
      <c r="V364" s="76" t="str">
        <f t="shared" si="47"/>
        <v/>
      </c>
      <c r="W364" s="43"/>
      <c r="X364" s="43"/>
      <c r="Y364" s="74"/>
    </row>
    <row r="365" ht="18" customHeight="1" spans="1:25">
      <c r="A365" s="74" t="str">
        <f t="shared" si="40"/>
        <v/>
      </c>
      <c r="B365" s="7"/>
      <c r="C365" s="43"/>
      <c r="D365" s="106"/>
      <c r="E365" s="43"/>
      <c r="F365" s="43"/>
      <c r="G365" s="43"/>
      <c r="H365" s="107"/>
      <c r="I365" s="107"/>
      <c r="J365" s="76" t="str">
        <f>IF($C365="","",ROUND(IFERROR(INDEX(期初余额!$I$4:$I$9,MATCH($C365,期初余额!$H$4:$H$9,0)),0)+SUMIFS($H$4:$H365,$C$4:$C365,$C365)-SUMIFS($I$4:$I365,$C$4:$C365,$C365),2))</f>
        <v/>
      </c>
      <c r="K365" s="111" t="str">
        <f>IF($T365&lt;&gt;"",$T365,IF($C365="","",IF(AND(N($I365)&gt;0,$G365&lt;&gt;""),IFERROR(INDEX(科目表!$U$4:$U$123,MATCH($G365,科目表!$M$4:$M$123,0)),"管理费用"),IF(N($H365)&gt;0,IFERROR(INDEX(自动规则!$C$4:$C$40,MATCH($F365,自动规则!$B$4:$B$40,0)),"其他应收款"),IFERROR(INDEX(自动规则!$D$4:$D$40,MATCH($F365,自动规则!$B$4:$B$40,0)),"其他应付款")))))</f>
        <v/>
      </c>
      <c r="L365" s="106"/>
      <c r="M365" s="75" t="str">
        <f>IF($C365="","",IFERROR(INDEX(科目表!$T$4:$T$9,MATCH($C365,科目表!$S$4:$S$9,0)),""))</f>
        <v/>
      </c>
      <c r="N365" s="75" t="str">
        <f t="shared" si="41"/>
        <v/>
      </c>
      <c r="O365" s="76" t="str">
        <f t="shared" si="42"/>
        <v/>
      </c>
      <c r="P365" s="76" t="str">
        <f t="shared" si="43"/>
        <v/>
      </c>
      <c r="Q365" s="75" t="str">
        <f t="shared" si="44"/>
        <v/>
      </c>
      <c r="R365" s="76" t="str">
        <f t="shared" si="45"/>
        <v/>
      </c>
      <c r="S365" s="76" t="str">
        <f t="shared" si="46"/>
        <v/>
      </c>
      <c r="T365" s="43"/>
      <c r="U365" s="107"/>
      <c r="V365" s="76" t="str">
        <f t="shared" si="47"/>
        <v/>
      </c>
      <c r="W365" s="43"/>
      <c r="X365" s="43"/>
      <c r="Y365" s="74"/>
    </row>
    <row r="366" ht="18" customHeight="1" spans="1:25">
      <c r="A366" s="74" t="str">
        <f t="shared" si="40"/>
        <v/>
      </c>
      <c r="B366" s="7"/>
      <c r="C366" s="43"/>
      <c r="D366" s="106"/>
      <c r="E366" s="43"/>
      <c r="F366" s="43"/>
      <c r="G366" s="43"/>
      <c r="H366" s="107"/>
      <c r="I366" s="107"/>
      <c r="J366" s="76" t="str">
        <f>IF($C366="","",ROUND(IFERROR(INDEX(期初余额!$I$4:$I$9,MATCH($C366,期初余额!$H$4:$H$9,0)),0)+SUMIFS($H$4:$H366,$C$4:$C366,$C366)-SUMIFS($I$4:$I366,$C$4:$C366,$C366),2))</f>
        <v/>
      </c>
      <c r="K366" s="111" t="str">
        <f>IF($T366&lt;&gt;"",$T366,IF($C366="","",IF(AND(N($I366)&gt;0,$G366&lt;&gt;""),IFERROR(INDEX(科目表!$U$4:$U$123,MATCH($G366,科目表!$M$4:$M$123,0)),"管理费用"),IF(N($H366)&gt;0,IFERROR(INDEX(自动规则!$C$4:$C$40,MATCH($F366,自动规则!$B$4:$B$40,0)),"其他应收款"),IFERROR(INDEX(自动规则!$D$4:$D$40,MATCH($F366,自动规则!$B$4:$B$40,0)),"其他应付款")))))</f>
        <v/>
      </c>
      <c r="L366" s="106"/>
      <c r="M366" s="75" t="str">
        <f>IF($C366="","",IFERROR(INDEX(科目表!$T$4:$T$9,MATCH($C366,科目表!$S$4:$S$9,0)),""))</f>
        <v/>
      </c>
      <c r="N366" s="75" t="str">
        <f t="shared" si="41"/>
        <v/>
      </c>
      <c r="O366" s="76" t="str">
        <f t="shared" si="42"/>
        <v/>
      </c>
      <c r="P366" s="76" t="str">
        <f t="shared" si="43"/>
        <v/>
      </c>
      <c r="Q366" s="75" t="str">
        <f t="shared" si="44"/>
        <v/>
      </c>
      <c r="R366" s="76" t="str">
        <f t="shared" si="45"/>
        <v/>
      </c>
      <c r="S366" s="76" t="str">
        <f t="shared" si="46"/>
        <v/>
      </c>
      <c r="T366" s="43"/>
      <c r="U366" s="107"/>
      <c r="V366" s="76" t="str">
        <f t="shared" si="47"/>
        <v/>
      </c>
      <c r="W366" s="43"/>
      <c r="X366" s="43"/>
      <c r="Y366" s="74"/>
    </row>
    <row r="367" ht="18" customHeight="1" spans="1:25">
      <c r="A367" s="74" t="str">
        <f t="shared" si="40"/>
        <v/>
      </c>
      <c r="B367" s="7"/>
      <c r="C367" s="43"/>
      <c r="D367" s="106"/>
      <c r="E367" s="43"/>
      <c r="F367" s="43"/>
      <c r="G367" s="43"/>
      <c r="H367" s="107"/>
      <c r="I367" s="107"/>
      <c r="J367" s="76" t="str">
        <f>IF($C367="","",ROUND(IFERROR(INDEX(期初余额!$I$4:$I$9,MATCH($C367,期初余额!$H$4:$H$9,0)),0)+SUMIFS($H$4:$H367,$C$4:$C367,$C367)-SUMIFS($I$4:$I367,$C$4:$C367,$C367),2))</f>
        <v/>
      </c>
      <c r="K367" s="111" t="str">
        <f>IF($T367&lt;&gt;"",$T367,IF($C367="","",IF(AND(N($I367)&gt;0,$G367&lt;&gt;""),IFERROR(INDEX(科目表!$U$4:$U$123,MATCH($G367,科目表!$M$4:$M$123,0)),"管理费用"),IF(N($H367)&gt;0,IFERROR(INDEX(自动规则!$C$4:$C$40,MATCH($F367,自动规则!$B$4:$B$40,0)),"其他应收款"),IFERROR(INDEX(自动规则!$D$4:$D$40,MATCH($F367,自动规则!$B$4:$B$40,0)),"其他应付款")))))</f>
        <v/>
      </c>
      <c r="L367" s="106"/>
      <c r="M367" s="75" t="str">
        <f>IF($C367="","",IFERROR(INDEX(科目表!$T$4:$T$9,MATCH($C367,科目表!$S$4:$S$9,0)),""))</f>
        <v/>
      </c>
      <c r="N367" s="75" t="str">
        <f t="shared" si="41"/>
        <v/>
      </c>
      <c r="O367" s="76" t="str">
        <f t="shared" si="42"/>
        <v/>
      </c>
      <c r="P367" s="76" t="str">
        <f t="shared" si="43"/>
        <v/>
      </c>
      <c r="Q367" s="75" t="str">
        <f t="shared" si="44"/>
        <v/>
      </c>
      <c r="R367" s="76" t="str">
        <f t="shared" si="45"/>
        <v/>
      </c>
      <c r="S367" s="76" t="str">
        <f t="shared" si="46"/>
        <v/>
      </c>
      <c r="T367" s="43"/>
      <c r="U367" s="107"/>
      <c r="V367" s="76" t="str">
        <f t="shared" si="47"/>
        <v/>
      </c>
      <c r="W367" s="43"/>
      <c r="X367" s="43"/>
      <c r="Y367" s="74"/>
    </row>
    <row r="368" ht="18" customHeight="1" spans="1:25">
      <c r="A368" s="74" t="str">
        <f t="shared" si="40"/>
        <v/>
      </c>
      <c r="B368" s="7"/>
      <c r="C368" s="43"/>
      <c r="D368" s="106"/>
      <c r="E368" s="43"/>
      <c r="F368" s="43"/>
      <c r="G368" s="43"/>
      <c r="H368" s="107"/>
      <c r="I368" s="107"/>
      <c r="J368" s="76" t="str">
        <f>IF($C368="","",ROUND(IFERROR(INDEX(期初余额!$I$4:$I$9,MATCH($C368,期初余额!$H$4:$H$9,0)),0)+SUMIFS($H$4:$H368,$C$4:$C368,$C368)-SUMIFS($I$4:$I368,$C$4:$C368,$C368),2))</f>
        <v/>
      </c>
      <c r="K368" s="111" t="str">
        <f>IF($T368&lt;&gt;"",$T368,IF($C368="","",IF(AND(N($I368)&gt;0,$G368&lt;&gt;""),IFERROR(INDEX(科目表!$U$4:$U$123,MATCH($G368,科目表!$M$4:$M$123,0)),"管理费用"),IF(N($H368)&gt;0,IFERROR(INDEX(自动规则!$C$4:$C$40,MATCH($F368,自动规则!$B$4:$B$40,0)),"其他应收款"),IFERROR(INDEX(自动规则!$D$4:$D$40,MATCH($F368,自动规则!$B$4:$B$40,0)),"其他应付款")))))</f>
        <v/>
      </c>
      <c r="L368" s="106"/>
      <c r="M368" s="75" t="str">
        <f>IF($C368="","",IFERROR(INDEX(科目表!$T$4:$T$9,MATCH($C368,科目表!$S$4:$S$9,0)),""))</f>
        <v/>
      </c>
      <c r="N368" s="75" t="str">
        <f t="shared" si="41"/>
        <v/>
      </c>
      <c r="O368" s="76" t="str">
        <f t="shared" si="42"/>
        <v/>
      </c>
      <c r="P368" s="76" t="str">
        <f t="shared" si="43"/>
        <v/>
      </c>
      <c r="Q368" s="75" t="str">
        <f t="shared" si="44"/>
        <v/>
      </c>
      <c r="R368" s="76" t="str">
        <f t="shared" si="45"/>
        <v/>
      </c>
      <c r="S368" s="76" t="str">
        <f t="shared" si="46"/>
        <v/>
      </c>
      <c r="T368" s="43"/>
      <c r="U368" s="107"/>
      <c r="V368" s="76" t="str">
        <f t="shared" si="47"/>
        <v/>
      </c>
      <c r="W368" s="43"/>
      <c r="X368" s="43"/>
      <c r="Y368" s="74"/>
    </row>
    <row r="369" ht="18" customHeight="1" spans="1:25">
      <c r="A369" s="74" t="str">
        <f t="shared" si="40"/>
        <v/>
      </c>
      <c r="B369" s="7"/>
      <c r="C369" s="43"/>
      <c r="D369" s="106"/>
      <c r="E369" s="43"/>
      <c r="F369" s="43"/>
      <c r="G369" s="43"/>
      <c r="H369" s="107"/>
      <c r="I369" s="107"/>
      <c r="J369" s="76" t="str">
        <f>IF($C369="","",ROUND(IFERROR(INDEX(期初余额!$I$4:$I$9,MATCH($C369,期初余额!$H$4:$H$9,0)),0)+SUMIFS($H$4:$H369,$C$4:$C369,$C369)-SUMIFS($I$4:$I369,$C$4:$C369,$C369),2))</f>
        <v/>
      </c>
      <c r="K369" s="111" t="str">
        <f>IF($T369&lt;&gt;"",$T369,IF($C369="","",IF(AND(N($I369)&gt;0,$G369&lt;&gt;""),IFERROR(INDEX(科目表!$U$4:$U$123,MATCH($G369,科目表!$M$4:$M$123,0)),"管理费用"),IF(N($H369)&gt;0,IFERROR(INDEX(自动规则!$C$4:$C$40,MATCH($F369,自动规则!$B$4:$B$40,0)),"其他应收款"),IFERROR(INDEX(自动规则!$D$4:$D$40,MATCH($F369,自动规则!$B$4:$B$40,0)),"其他应付款")))))</f>
        <v/>
      </c>
      <c r="L369" s="106"/>
      <c r="M369" s="75" t="str">
        <f>IF($C369="","",IFERROR(INDEX(科目表!$T$4:$T$9,MATCH($C369,科目表!$S$4:$S$9,0)),""))</f>
        <v/>
      </c>
      <c r="N369" s="75" t="str">
        <f t="shared" si="41"/>
        <v/>
      </c>
      <c r="O369" s="76" t="str">
        <f t="shared" si="42"/>
        <v/>
      </c>
      <c r="P369" s="76" t="str">
        <f t="shared" si="43"/>
        <v/>
      </c>
      <c r="Q369" s="75" t="str">
        <f t="shared" si="44"/>
        <v/>
      </c>
      <c r="R369" s="76" t="str">
        <f t="shared" si="45"/>
        <v/>
      </c>
      <c r="S369" s="76" t="str">
        <f t="shared" si="46"/>
        <v/>
      </c>
      <c r="T369" s="43"/>
      <c r="U369" s="107"/>
      <c r="V369" s="76" t="str">
        <f t="shared" si="47"/>
        <v/>
      </c>
      <c r="W369" s="43"/>
      <c r="X369" s="43"/>
      <c r="Y369" s="74"/>
    </row>
    <row r="370" ht="18" customHeight="1" spans="1:25">
      <c r="A370" s="74" t="str">
        <f t="shared" si="40"/>
        <v/>
      </c>
      <c r="B370" s="7"/>
      <c r="C370" s="43"/>
      <c r="D370" s="106"/>
      <c r="E370" s="43"/>
      <c r="F370" s="43"/>
      <c r="G370" s="43"/>
      <c r="H370" s="107"/>
      <c r="I370" s="107"/>
      <c r="J370" s="76" t="str">
        <f>IF($C370="","",ROUND(IFERROR(INDEX(期初余额!$I$4:$I$9,MATCH($C370,期初余额!$H$4:$H$9,0)),0)+SUMIFS($H$4:$H370,$C$4:$C370,$C370)-SUMIFS($I$4:$I370,$C$4:$C370,$C370),2))</f>
        <v/>
      </c>
      <c r="K370" s="111" t="str">
        <f>IF($T370&lt;&gt;"",$T370,IF($C370="","",IF(AND(N($I370)&gt;0,$G370&lt;&gt;""),IFERROR(INDEX(科目表!$U$4:$U$123,MATCH($G370,科目表!$M$4:$M$123,0)),"管理费用"),IF(N($H370)&gt;0,IFERROR(INDEX(自动规则!$C$4:$C$40,MATCH($F370,自动规则!$B$4:$B$40,0)),"其他应收款"),IFERROR(INDEX(自动规则!$D$4:$D$40,MATCH($F370,自动规则!$B$4:$B$40,0)),"其他应付款")))))</f>
        <v/>
      </c>
      <c r="L370" s="106"/>
      <c r="M370" s="75" t="str">
        <f>IF($C370="","",IFERROR(INDEX(科目表!$T$4:$T$9,MATCH($C370,科目表!$S$4:$S$9,0)),""))</f>
        <v/>
      </c>
      <c r="N370" s="75" t="str">
        <f t="shared" si="41"/>
        <v/>
      </c>
      <c r="O370" s="76" t="str">
        <f t="shared" si="42"/>
        <v/>
      </c>
      <c r="P370" s="76" t="str">
        <f t="shared" si="43"/>
        <v/>
      </c>
      <c r="Q370" s="75" t="str">
        <f t="shared" si="44"/>
        <v/>
      </c>
      <c r="R370" s="76" t="str">
        <f t="shared" si="45"/>
        <v/>
      </c>
      <c r="S370" s="76" t="str">
        <f t="shared" si="46"/>
        <v/>
      </c>
      <c r="T370" s="43"/>
      <c r="U370" s="107"/>
      <c r="V370" s="76" t="str">
        <f t="shared" si="47"/>
        <v/>
      </c>
      <c r="W370" s="43"/>
      <c r="X370" s="43"/>
      <c r="Y370" s="74"/>
    </row>
    <row r="371" ht="18" customHeight="1" spans="1:25">
      <c r="A371" s="74" t="str">
        <f t="shared" si="40"/>
        <v/>
      </c>
      <c r="B371" s="7"/>
      <c r="C371" s="43"/>
      <c r="D371" s="106"/>
      <c r="E371" s="43"/>
      <c r="F371" s="43"/>
      <c r="G371" s="43"/>
      <c r="H371" s="107"/>
      <c r="I371" s="107"/>
      <c r="J371" s="76" t="str">
        <f>IF($C371="","",ROUND(IFERROR(INDEX(期初余额!$I$4:$I$9,MATCH($C371,期初余额!$H$4:$H$9,0)),0)+SUMIFS($H$4:$H371,$C$4:$C371,$C371)-SUMIFS($I$4:$I371,$C$4:$C371,$C371),2))</f>
        <v/>
      </c>
      <c r="K371" s="111" t="str">
        <f>IF($T371&lt;&gt;"",$T371,IF($C371="","",IF(AND(N($I371)&gt;0,$G371&lt;&gt;""),IFERROR(INDEX(科目表!$U$4:$U$123,MATCH($G371,科目表!$M$4:$M$123,0)),"管理费用"),IF(N($H371)&gt;0,IFERROR(INDEX(自动规则!$C$4:$C$40,MATCH($F371,自动规则!$B$4:$B$40,0)),"其他应收款"),IFERROR(INDEX(自动规则!$D$4:$D$40,MATCH($F371,自动规则!$B$4:$B$40,0)),"其他应付款")))))</f>
        <v/>
      </c>
      <c r="L371" s="106"/>
      <c r="M371" s="75" t="str">
        <f>IF($C371="","",IFERROR(INDEX(科目表!$T$4:$T$9,MATCH($C371,科目表!$S$4:$S$9,0)),""))</f>
        <v/>
      </c>
      <c r="N371" s="75" t="str">
        <f t="shared" si="41"/>
        <v/>
      </c>
      <c r="O371" s="76" t="str">
        <f t="shared" si="42"/>
        <v/>
      </c>
      <c r="P371" s="76" t="str">
        <f t="shared" si="43"/>
        <v/>
      </c>
      <c r="Q371" s="75" t="str">
        <f t="shared" si="44"/>
        <v/>
      </c>
      <c r="R371" s="76" t="str">
        <f t="shared" si="45"/>
        <v/>
      </c>
      <c r="S371" s="76" t="str">
        <f t="shared" si="46"/>
        <v/>
      </c>
      <c r="T371" s="43"/>
      <c r="U371" s="107"/>
      <c r="V371" s="76" t="str">
        <f t="shared" si="47"/>
        <v/>
      </c>
      <c r="W371" s="43"/>
      <c r="X371" s="43"/>
      <c r="Y371" s="74"/>
    </row>
    <row r="372" ht="18" customHeight="1" spans="1:25">
      <c r="A372" s="74" t="str">
        <f t="shared" si="40"/>
        <v/>
      </c>
      <c r="B372" s="7"/>
      <c r="C372" s="43"/>
      <c r="D372" s="106"/>
      <c r="E372" s="43"/>
      <c r="F372" s="43"/>
      <c r="G372" s="43"/>
      <c r="H372" s="107"/>
      <c r="I372" s="107"/>
      <c r="J372" s="76" t="str">
        <f>IF($C372="","",ROUND(IFERROR(INDEX(期初余额!$I$4:$I$9,MATCH($C372,期初余额!$H$4:$H$9,0)),0)+SUMIFS($H$4:$H372,$C$4:$C372,$C372)-SUMIFS($I$4:$I372,$C$4:$C372,$C372),2))</f>
        <v/>
      </c>
      <c r="K372" s="111" t="str">
        <f>IF($T372&lt;&gt;"",$T372,IF($C372="","",IF(AND(N($I372)&gt;0,$G372&lt;&gt;""),IFERROR(INDEX(科目表!$U$4:$U$123,MATCH($G372,科目表!$M$4:$M$123,0)),"管理费用"),IF(N($H372)&gt;0,IFERROR(INDEX(自动规则!$C$4:$C$40,MATCH($F372,自动规则!$B$4:$B$40,0)),"其他应收款"),IFERROR(INDEX(自动规则!$D$4:$D$40,MATCH($F372,自动规则!$B$4:$B$40,0)),"其他应付款")))))</f>
        <v/>
      </c>
      <c r="L372" s="106"/>
      <c r="M372" s="75" t="str">
        <f>IF($C372="","",IFERROR(INDEX(科目表!$T$4:$T$9,MATCH($C372,科目表!$S$4:$S$9,0)),""))</f>
        <v/>
      </c>
      <c r="N372" s="75" t="str">
        <f t="shared" si="41"/>
        <v/>
      </c>
      <c r="O372" s="76" t="str">
        <f t="shared" si="42"/>
        <v/>
      </c>
      <c r="P372" s="76" t="str">
        <f t="shared" si="43"/>
        <v/>
      </c>
      <c r="Q372" s="75" t="str">
        <f t="shared" si="44"/>
        <v/>
      </c>
      <c r="R372" s="76" t="str">
        <f t="shared" si="45"/>
        <v/>
      </c>
      <c r="S372" s="76" t="str">
        <f t="shared" si="46"/>
        <v/>
      </c>
      <c r="T372" s="43"/>
      <c r="U372" s="107"/>
      <c r="V372" s="76" t="str">
        <f t="shared" si="47"/>
        <v/>
      </c>
      <c r="W372" s="43"/>
      <c r="X372" s="43"/>
      <c r="Y372" s="74"/>
    </row>
    <row r="373" ht="18" customHeight="1" spans="1:25">
      <c r="A373" s="74" t="str">
        <f t="shared" si="40"/>
        <v/>
      </c>
      <c r="B373" s="7"/>
      <c r="C373" s="43"/>
      <c r="D373" s="106"/>
      <c r="E373" s="43"/>
      <c r="F373" s="43"/>
      <c r="G373" s="43"/>
      <c r="H373" s="107"/>
      <c r="I373" s="107"/>
      <c r="J373" s="76" t="str">
        <f>IF($C373="","",ROUND(IFERROR(INDEX(期初余额!$I$4:$I$9,MATCH($C373,期初余额!$H$4:$H$9,0)),0)+SUMIFS($H$4:$H373,$C$4:$C373,$C373)-SUMIFS($I$4:$I373,$C$4:$C373,$C373),2))</f>
        <v/>
      </c>
      <c r="K373" s="111" t="str">
        <f>IF($T373&lt;&gt;"",$T373,IF($C373="","",IF(AND(N($I373)&gt;0,$G373&lt;&gt;""),IFERROR(INDEX(科目表!$U$4:$U$123,MATCH($G373,科目表!$M$4:$M$123,0)),"管理费用"),IF(N($H373)&gt;0,IFERROR(INDEX(自动规则!$C$4:$C$40,MATCH($F373,自动规则!$B$4:$B$40,0)),"其他应收款"),IFERROR(INDEX(自动规则!$D$4:$D$40,MATCH($F373,自动规则!$B$4:$B$40,0)),"其他应付款")))))</f>
        <v/>
      </c>
      <c r="L373" s="106"/>
      <c r="M373" s="75" t="str">
        <f>IF($C373="","",IFERROR(INDEX(科目表!$T$4:$T$9,MATCH($C373,科目表!$S$4:$S$9,0)),""))</f>
        <v/>
      </c>
      <c r="N373" s="75" t="str">
        <f t="shared" si="41"/>
        <v/>
      </c>
      <c r="O373" s="76" t="str">
        <f t="shared" si="42"/>
        <v/>
      </c>
      <c r="P373" s="76" t="str">
        <f t="shared" si="43"/>
        <v/>
      </c>
      <c r="Q373" s="75" t="str">
        <f t="shared" si="44"/>
        <v/>
      </c>
      <c r="R373" s="76" t="str">
        <f t="shared" si="45"/>
        <v/>
      </c>
      <c r="S373" s="76" t="str">
        <f t="shared" si="46"/>
        <v/>
      </c>
      <c r="T373" s="43"/>
      <c r="U373" s="107"/>
      <c r="V373" s="76" t="str">
        <f t="shared" si="47"/>
        <v/>
      </c>
      <c r="W373" s="43"/>
      <c r="X373" s="43"/>
      <c r="Y373" s="74"/>
    </row>
    <row r="374" ht="18" customHeight="1" spans="1:25">
      <c r="A374" s="74" t="str">
        <f t="shared" si="40"/>
        <v/>
      </c>
      <c r="B374" s="7"/>
      <c r="C374" s="43"/>
      <c r="D374" s="106"/>
      <c r="E374" s="43"/>
      <c r="F374" s="43"/>
      <c r="G374" s="43"/>
      <c r="H374" s="107"/>
      <c r="I374" s="107"/>
      <c r="J374" s="76" t="str">
        <f>IF($C374="","",ROUND(IFERROR(INDEX(期初余额!$I$4:$I$9,MATCH($C374,期初余额!$H$4:$H$9,0)),0)+SUMIFS($H$4:$H374,$C$4:$C374,$C374)-SUMIFS($I$4:$I374,$C$4:$C374,$C374),2))</f>
        <v/>
      </c>
      <c r="K374" s="111" t="str">
        <f>IF($T374&lt;&gt;"",$T374,IF($C374="","",IF(AND(N($I374)&gt;0,$G374&lt;&gt;""),IFERROR(INDEX(科目表!$U$4:$U$123,MATCH($G374,科目表!$M$4:$M$123,0)),"管理费用"),IF(N($H374)&gt;0,IFERROR(INDEX(自动规则!$C$4:$C$40,MATCH($F374,自动规则!$B$4:$B$40,0)),"其他应收款"),IFERROR(INDEX(自动规则!$D$4:$D$40,MATCH($F374,自动规则!$B$4:$B$40,0)),"其他应付款")))))</f>
        <v/>
      </c>
      <c r="L374" s="106"/>
      <c r="M374" s="75" t="str">
        <f>IF($C374="","",IFERROR(INDEX(科目表!$T$4:$T$9,MATCH($C374,科目表!$S$4:$S$9,0)),""))</f>
        <v/>
      </c>
      <c r="N374" s="75" t="str">
        <f t="shared" si="41"/>
        <v/>
      </c>
      <c r="O374" s="76" t="str">
        <f t="shared" si="42"/>
        <v/>
      </c>
      <c r="P374" s="76" t="str">
        <f t="shared" si="43"/>
        <v/>
      </c>
      <c r="Q374" s="75" t="str">
        <f t="shared" si="44"/>
        <v/>
      </c>
      <c r="R374" s="76" t="str">
        <f t="shared" si="45"/>
        <v/>
      </c>
      <c r="S374" s="76" t="str">
        <f t="shared" si="46"/>
        <v/>
      </c>
      <c r="T374" s="43"/>
      <c r="U374" s="107"/>
      <c r="V374" s="76" t="str">
        <f t="shared" si="47"/>
        <v/>
      </c>
      <c r="W374" s="43"/>
      <c r="X374" s="43"/>
      <c r="Y374" s="74"/>
    </row>
    <row r="375" ht="18" customHeight="1" spans="1:25">
      <c r="A375" s="74" t="str">
        <f t="shared" si="40"/>
        <v/>
      </c>
      <c r="B375" s="7"/>
      <c r="C375" s="43"/>
      <c r="D375" s="106"/>
      <c r="E375" s="43"/>
      <c r="F375" s="43"/>
      <c r="G375" s="43"/>
      <c r="H375" s="107"/>
      <c r="I375" s="107"/>
      <c r="J375" s="76" t="str">
        <f>IF($C375="","",ROUND(IFERROR(INDEX(期初余额!$I$4:$I$9,MATCH($C375,期初余额!$H$4:$H$9,0)),0)+SUMIFS($H$4:$H375,$C$4:$C375,$C375)-SUMIFS($I$4:$I375,$C$4:$C375,$C375),2))</f>
        <v/>
      </c>
      <c r="K375" s="111" t="str">
        <f>IF($T375&lt;&gt;"",$T375,IF($C375="","",IF(AND(N($I375)&gt;0,$G375&lt;&gt;""),IFERROR(INDEX(科目表!$U$4:$U$123,MATCH($G375,科目表!$M$4:$M$123,0)),"管理费用"),IF(N($H375)&gt;0,IFERROR(INDEX(自动规则!$C$4:$C$40,MATCH($F375,自动规则!$B$4:$B$40,0)),"其他应收款"),IFERROR(INDEX(自动规则!$D$4:$D$40,MATCH($F375,自动规则!$B$4:$B$40,0)),"其他应付款")))))</f>
        <v/>
      </c>
      <c r="L375" s="106"/>
      <c r="M375" s="75" t="str">
        <f>IF($C375="","",IFERROR(INDEX(科目表!$T$4:$T$9,MATCH($C375,科目表!$S$4:$S$9,0)),""))</f>
        <v/>
      </c>
      <c r="N375" s="75" t="str">
        <f t="shared" si="41"/>
        <v/>
      </c>
      <c r="O375" s="76" t="str">
        <f t="shared" si="42"/>
        <v/>
      </c>
      <c r="P375" s="76" t="str">
        <f t="shared" si="43"/>
        <v/>
      </c>
      <c r="Q375" s="75" t="str">
        <f t="shared" si="44"/>
        <v/>
      </c>
      <c r="R375" s="76" t="str">
        <f t="shared" si="45"/>
        <v/>
      </c>
      <c r="S375" s="76" t="str">
        <f t="shared" si="46"/>
        <v/>
      </c>
      <c r="T375" s="43"/>
      <c r="U375" s="107"/>
      <c r="V375" s="76" t="str">
        <f t="shared" si="47"/>
        <v/>
      </c>
      <c r="W375" s="43"/>
      <c r="X375" s="43"/>
      <c r="Y375" s="74"/>
    </row>
    <row r="376" ht="18" customHeight="1" spans="1:25">
      <c r="A376" s="74" t="str">
        <f t="shared" si="40"/>
        <v/>
      </c>
      <c r="B376" s="7"/>
      <c r="C376" s="43"/>
      <c r="D376" s="106"/>
      <c r="E376" s="43"/>
      <c r="F376" s="43"/>
      <c r="G376" s="43"/>
      <c r="H376" s="107"/>
      <c r="I376" s="107"/>
      <c r="J376" s="76" t="str">
        <f>IF($C376="","",ROUND(IFERROR(INDEX(期初余额!$I$4:$I$9,MATCH($C376,期初余额!$H$4:$H$9,0)),0)+SUMIFS($H$4:$H376,$C$4:$C376,$C376)-SUMIFS($I$4:$I376,$C$4:$C376,$C376),2))</f>
        <v/>
      </c>
      <c r="K376" s="111" t="str">
        <f>IF($T376&lt;&gt;"",$T376,IF($C376="","",IF(AND(N($I376)&gt;0,$G376&lt;&gt;""),IFERROR(INDEX(科目表!$U$4:$U$123,MATCH($G376,科目表!$M$4:$M$123,0)),"管理费用"),IF(N($H376)&gt;0,IFERROR(INDEX(自动规则!$C$4:$C$40,MATCH($F376,自动规则!$B$4:$B$40,0)),"其他应收款"),IFERROR(INDEX(自动规则!$D$4:$D$40,MATCH($F376,自动规则!$B$4:$B$40,0)),"其他应付款")))))</f>
        <v/>
      </c>
      <c r="L376" s="106"/>
      <c r="M376" s="75" t="str">
        <f>IF($C376="","",IFERROR(INDEX(科目表!$T$4:$T$9,MATCH($C376,科目表!$S$4:$S$9,0)),""))</f>
        <v/>
      </c>
      <c r="N376" s="75" t="str">
        <f t="shared" si="41"/>
        <v/>
      </c>
      <c r="O376" s="76" t="str">
        <f t="shared" si="42"/>
        <v/>
      </c>
      <c r="P376" s="76" t="str">
        <f t="shared" si="43"/>
        <v/>
      </c>
      <c r="Q376" s="75" t="str">
        <f t="shared" si="44"/>
        <v/>
      </c>
      <c r="R376" s="76" t="str">
        <f t="shared" si="45"/>
        <v/>
      </c>
      <c r="S376" s="76" t="str">
        <f t="shared" si="46"/>
        <v/>
      </c>
      <c r="T376" s="43"/>
      <c r="U376" s="107"/>
      <c r="V376" s="76" t="str">
        <f t="shared" si="47"/>
        <v/>
      </c>
      <c r="W376" s="43"/>
      <c r="X376" s="43"/>
      <c r="Y376" s="74"/>
    </row>
    <row r="377" ht="18" customHeight="1" spans="1:25">
      <c r="A377" s="74" t="str">
        <f t="shared" si="40"/>
        <v/>
      </c>
      <c r="B377" s="7"/>
      <c r="C377" s="43"/>
      <c r="D377" s="106"/>
      <c r="E377" s="43"/>
      <c r="F377" s="43"/>
      <c r="G377" s="43"/>
      <c r="H377" s="107"/>
      <c r="I377" s="107"/>
      <c r="J377" s="76" t="str">
        <f>IF($C377="","",ROUND(IFERROR(INDEX(期初余额!$I$4:$I$9,MATCH($C377,期初余额!$H$4:$H$9,0)),0)+SUMIFS($H$4:$H377,$C$4:$C377,$C377)-SUMIFS($I$4:$I377,$C$4:$C377,$C377),2))</f>
        <v/>
      </c>
      <c r="K377" s="111" t="str">
        <f>IF($T377&lt;&gt;"",$T377,IF($C377="","",IF(AND(N($I377)&gt;0,$G377&lt;&gt;""),IFERROR(INDEX(科目表!$U$4:$U$123,MATCH($G377,科目表!$M$4:$M$123,0)),"管理费用"),IF(N($H377)&gt;0,IFERROR(INDEX(自动规则!$C$4:$C$40,MATCH($F377,自动规则!$B$4:$B$40,0)),"其他应收款"),IFERROR(INDEX(自动规则!$D$4:$D$40,MATCH($F377,自动规则!$B$4:$B$40,0)),"其他应付款")))))</f>
        <v/>
      </c>
      <c r="L377" s="106"/>
      <c r="M377" s="75" t="str">
        <f>IF($C377="","",IFERROR(INDEX(科目表!$T$4:$T$9,MATCH($C377,科目表!$S$4:$S$9,0)),""))</f>
        <v/>
      </c>
      <c r="N377" s="75" t="str">
        <f t="shared" si="41"/>
        <v/>
      </c>
      <c r="O377" s="76" t="str">
        <f t="shared" si="42"/>
        <v/>
      </c>
      <c r="P377" s="76" t="str">
        <f t="shared" si="43"/>
        <v/>
      </c>
      <c r="Q377" s="75" t="str">
        <f t="shared" si="44"/>
        <v/>
      </c>
      <c r="R377" s="76" t="str">
        <f t="shared" si="45"/>
        <v/>
      </c>
      <c r="S377" s="76" t="str">
        <f t="shared" si="46"/>
        <v/>
      </c>
      <c r="T377" s="43"/>
      <c r="U377" s="107"/>
      <c r="V377" s="76" t="str">
        <f t="shared" si="47"/>
        <v/>
      </c>
      <c r="W377" s="43"/>
      <c r="X377" s="43"/>
      <c r="Y377" s="74"/>
    </row>
    <row r="378" ht="18" customHeight="1" spans="1:25">
      <c r="A378" s="74" t="str">
        <f t="shared" si="40"/>
        <v/>
      </c>
      <c r="B378" s="7"/>
      <c r="C378" s="43"/>
      <c r="D378" s="106"/>
      <c r="E378" s="43"/>
      <c r="F378" s="43"/>
      <c r="G378" s="43"/>
      <c r="H378" s="107"/>
      <c r="I378" s="107"/>
      <c r="J378" s="76" t="str">
        <f>IF($C378="","",ROUND(IFERROR(INDEX(期初余额!$I$4:$I$9,MATCH($C378,期初余额!$H$4:$H$9,0)),0)+SUMIFS($H$4:$H378,$C$4:$C378,$C378)-SUMIFS($I$4:$I378,$C$4:$C378,$C378),2))</f>
        <v/>
      </c>
      <c r="K378" s="111" t="str">
        <f>IF($T378&lt;&gt;"",$T378,IF($C378="","",IF(AND(N($I378)&gt;0,$G378&lt;&gt;""),IFERROR(INDEX(科目表!$U$4:$U$123,MATCH($G378,科目表!$M$4:$M$123,0)),"管理费用"),IF(N($H378)&gt;0,IFERROR(INDEX(自动规则!$C$4:$C$40,MATCH($F378,自动规则!$B$4:$B$40,0)),"其他应收款"),IFERROR(INDEX(自动规则!$D$4:$D$40,MATCH($F378,自动规则!$B$4:$B$40,0)),"其他应付款")))))</f>
        <v/>
      </c>
      <c r="L378" s="106"/>
      <c r="M378" s="75" t="str">
        <f>IF($C378="","",IFERROR(INDEX(科目表!$T$4:$T$9,MATCH($C378,科目表!$S$4:$S$9,0)),""))</f>
        <v/>
      </c>
      <c r="N378" s="75" t="str">
        <f t="shared" si="41"/>
        <v/>
      </c>
      <c r="O378" s="76" t="str">
        <f t="shared" si="42"/>
        <v/>
      </c>
      <c r="P378" s="76" t="str">
        <f t="shared" si="43"/>
        <v/>
      </c>
      <c r="Q378" s="75" t="str">
        <f t="shared" si="44"/>
        <v/>
      </c>
      <c r="R378" s="76" t="str">
        <f t="shared" si="45"/>
        <v/>
      </c>
      <c r="S378" s="76" t="str">
        <f t="shared" si="46"/>
        <v/>
      </c>
      <c r="T378" s="43"/>
      <c r="U378" s="107"/>
      <c r="V378" s="76" t="str">
        <f t="shared" si="47"/>
        <v/>
      </c>
      <c r="W378" s="43"/>
      <c r="X378" s="43"/>
      <c r="Y378" s="74"/>
    </row>
    <row r="379" ht="18" customHeight="1" spans="1:25">
      <c r="A379" s="74" t="str">
        <f t="shared" si="40"/>
        <v/>
      </c>
      <c r="B379" s="7"/>
      <c r="C379" s="43"/>
      <c r="D379" s="106"/>
      <c r="E379" s="43"/>
      <c r="F379" s="43"/>
      <c r="G379" s="43"/>
      <c r="H379" s="107"/>
      <c r="I379" s="107"/>
      <c r="J379" s="76" t="str">
        <f>IF($C379="","",ROUND(IFERROR(INDEX(期初余额!$I$4:$I$9,MATCH($C379,期初余额!$H$4:$H$9,0)),0)+SUMIFS($H$4:$H379,$C$4:$C379,$C379)-SUMIFS($I$4:$I379,$C$4:$C379,$C379),2))</f>
        <v/>
      </c>
      <c r="K379" s="111" t="str">
        <f>IF($T379&lt;&gt;"",$T379,IF($C379="","",IF(AND(N($I379)&gt;0,$G379&lt;&gt;""),IFERROR(INDEX(科目表!$U$4:$U$123,MATCH($G379,科目表!$M$4:$M$123,0)),"管理费用"),IF(N($H379)&gt;0,IFERROR(INDEX(自动规则!$C$4:$C$40,MATCH($F379,自动规则!$B$4:$B$40,0)),"其他应收款"),IFERROR(INDEX(自动规则!$D$4:$D$40,MATCH($F379,自动规则!$B$4:$B$40,0)),"其他应付款")))))</f>
        <v/>
      </c>
      <c r="L379" s="106"/>
      <c r="M379" s="75" t="str">
        <f>IF($C379="","",IFERROR(INDEX(科目表!$T$4:$T$9,MATCH($C379,科目表!$S$4:$S$9,0)),""))</f>
        <v/>
      </c>
      <c r="N379" s="75" t="str">
        <f t="shared" si="41"/>
        <v/>
      </c>
      <c r="O379" s="76" t="str">
        <f t="shared" si="42"/>
        <v/>
      </c>
      <c r="P379" s="76" t="str">
        <f t="shared" si="43"/>
        <v/>
      </c>
      <c r="Q379" s="75" t="str">
        <f t="shared" si="44"/>
        <v/>
      </c>
      <c r="R379" s="76" t="str">
        <f t="shared" si="45"/>
        <v/>
      </c>
      <c r="S379" s="76" t="str">
        <f t="shared" si="46"/>
        <v/>
      </c>
      <c r="T379" s="43"/>
      <c r="U379" s="107"/>
      <c r="V379" s="76" t="str">
        <f t="shared" si="47"/>
        <v/>
      </c>
      <c r="W379" s="43"/>
      <c r="X379" s="43"/>
      <c r="Y379" s="74"/>
    </row>
    <row r="380" ht="18" customHeight="1" spans="1:25">
      <c r="A380" s="74" t="str">
        <f t="shared" si="40"/>
        <v/>
      </c>
      <c r="B380" s="7"/>
      <c r="C380" s="43"/>
      <c r="D380" s="106"/>
      <c r="E380" s="43"/>
      <c r="F380" s="43"/>
      <c r="G380" s="43"/>
      <c r="H380" s="107"/>
      <c r="I380" s="107"/>
      <c r="J380" s="76" t="str">
        <f>IF($C380="","",ROUND(IFERROR(INDEX(期初余额!$I$4:$I$9,MATCH($C380,期初余额!$H$4:$H$9,0)),0)+SUMIFS($H$4:$H380,$C$4:$C380,$C380)-SUMIFS($I$4:$I380,$C$4:$C380,$C380),2))</f>
        <v/>
      </c>
      <c r="K380" s="111" t="str">
        <f>IF($T380&lt;&gt;"",$T380,IF($C380="","",IF(AND(N($I380)&gt;0,$G380&lt;&gt;""),IFERROR(INDEX(科目表!$U$4:$U$123,MATCH($G380,科目表!$M$4:$M$123,0)),"管理费用"),IF(N($H380)&gt;0,IFERROR(INDEX(自动规则!$C$4:$C$40,MATCH($F380,自动规则!$B$4:$B$40,0)),"其他应收款"),IFERROR(INDEX(自动规则!$D$4:$D$40,MATCH($F380,自动规则!$B$4:$B$40,0)),"其他应付款")))))</f>
        <v/>
      </c>
      <c r="L380" s="106"/>
      <c r="M380" s="75" t="str">
        <f>IF($C380="","",IFERROR(INDEX(科目表!$T$4:$T$9,MATCH($C380,科目表!$S$4:$S$9,0)),""))</f>
        <v/>
      </c>
      <c r="N380" s="75" t="str">
        <f t="shared" si="41"/>
        <v/>
      </c>
      <c r="O380" s="76" t="str">
        <f t="shared" si="42"/>
        <v/>
      </c>
      <c r="P380" s="76" t="str">
        <f t="shared" si="43"/>
        <v/>
      </c>
      <c r="Q380" s="75" t="str">
        <f t="shared" si="44"/>
        <v/>
      </c>
      <c r="R380" s="76" t="str">
        <f t="shared" si="45"/>
        <v/>
      </c>
      <c r="S380" s="76" t="str">
        <f t="shared" si="46"/>
        <v/>
      </c>
      <c r="T380" s="43"/>
      <c r="U380" s="107"/>
      <c r="V380" s="76" t="str">
        <f t="shared" si="47"/>
        <v/>
      </c>
      <c r="W380" s="43"/>
      <c r="X380" s="43"/>
      <c r="Y380" s="74"/>
    </row>
    <row r="381" ht="18" customHeight="1" spans="1:25">
      <c r="A381" s="74" t="str">
        <f t="shared" si="40"/>
        <v/>
      </c>
      <c r="B381" s="7"/>
      <c r="C381" s="43"/>
      <c r="D381" s="106"/>
      <c r="E381" s="43"/>
      <c r="F381" s="43"/>
      <c r="G381" s="43"/>
      <c r="H381" s="107"/>
      <c r="I381" s="107"/>
      <c r="J381" s="76" t="str">
        <f>IF($C381="","",ROUND(IFERROR(INDEX(期初余额!$I$4:$I$9,MATCH($C381,期初余额!$H$4:$H$9,0)),0)+SUMIFS($H$4:$H381,$C$4:$C381,$C381)-SUMIFS($I$4:$I381,$C$4:$C381,$C381),2))</f>
        <v/>
      </c>
      <c r="K381" s="111" t="str">
        <f>IF($T381&lt;&gt;"",$T381,IF($C381="","",IF(AND(N($I381)&gt;0,$G381&lt;&gt;""),IFERROR(INDEX(科目表!$U$4:$U$123,MATCH($G381,科目表!$M$4:$M$123,0)),"管理费用"),IF(N($H381)&gt;0,IFERROR(INDEX(自动规则!$C$4:$C$40,MATCH($F381,自动规则!$B$4:$B$40,0)),"其他应收款"),IFERROR(INDEX(自动规则!$D$4:$D$40,MATCH($F381,自动规则!$B$4:$B$40,0)),"其他应付款")))))</f>
        <v/>
      </c>
      <c r="L381" s="106"/>
      <c r="M381" s="75" t="str">
        <f>IF($C381="","",IFERROR(INDEX(科目表!$T$4:$T$9,MATCH($C381,科目表!$S$4:$S$9,0)),""))</f>
        <v/>
      </c>
      <c r="N381" s="75" t="str">
        <f t="shared" si="41"/>
        <v/>
      </c>
      <c r="O381" s="76" t="str">
        <f t="shared" si="42"/>
        <v/>
      </c>
      <c r="P381" s="76" t="str">
        <f t="shared" si="43"/>
        <v/>
      </c>
      <c r="Q381" s="75" t="str">
        <f t="shared" si="44"/>
        <v/>
      </c>
      <c r="R381" s="76" t="str">
        <f t="shared" si="45"/>
        <v/>
      </c>
      <c r="S381" s="76" t="str">
        <f t="shared" si="46"/>
        <v/>
      </c>
      <c r="T381" s="43"/>
      <c r="U381" s="107"/>
      <c r="V381" s="76" t="str">
        <f t="shared" si="47"/>
        <v/>
      </c>
      <c r="W381" s="43"/>
      <c r="X381" s="43"/>
      <c r="Y381" s="74"/>
    </row>
    <row r="382" ht="18" customHeight="1" spans="1:25">
      <c r="A382" s="74" t="str">
        <f t="shared" si="40"/>
        <v/>
      </c>
      <c r="B382" s="7"/>
      <c r="C382" s="43"/>
      <c r="D382" s="106"/>
      <c r="E382" s="43"/>
      <c r="F382" s="43"/>
      <c r="G382" s="43"/>
      <c r="H382" s="107"/>
      <c r="I382" s="107"/>
      <c r="J382" s="76" t="str">
        <f>IF($C382="","",ROUND(IFERROR(INDEX(期初余额!$I$4:$I$9,MATCH($C382,期初余额!$H$4:$H$9,0)),0)+SUMIFS($H$4:$H382,$C$4:$C382,$C382)-SUMIFS($I$4:$I382,$C$4:$C382,$C382),2))</f>
        <v/>
      </c>
      <c r="K382" s="111" t="str">
        <f>IF($T382&lt;&gt;"",$T382,IF($C382="","",IF(AND(N($I382)&gt;0,$G382&lt;&gt;""),IFERROR(INDEX(科目表!$U$4:$U$123,MATCH($G382,科目表!$M$4:$M$123,0)),"管理费用"),IF(N($H382)&gt;0,IFERROR(INDEX(自动规则!$C$4:$C$40,MATCH($F382,自动规则!$B$4:$B$40,0)),"其他应收款"),IFERROR(INDEX(自动规则!$D$4:$D$40,MATCH($F382,自动规则!$B$4:$B$40,0)),"其他应付款")))))</f>
        <v/>
      </c>
      <c r="L382" s="106"/>
      <c r="M382" s="75" t="str">
        <f>IF($C382="","",IFERROR(INDEX(科目表!$T$4:$T$9,MATCH($C382,科目表!$S$4:$S$9,0)),""))</f>
        <v/>
      </c>
      <c r="N382" s="75" t="str">
        <f t="shared" si="41"/>
        <v/>
      </c>
      <c r="O382" s="76" t="str">
        <f t="shared" si="42"/>
        <v/>
      </c>
      <c r="P382" s="76" t="str">
        <f t="shared" si="43"/>
        <v/>
      </c>
      <c r="Q382" s="75" t="str">
        <f t="shared" si="44"/>
        <v/>
      </c>
      <c r="R382" s="76" t="str">
        <f t="shared" si="45"/>
        <v/>
      </c>
      <c r="S382" s="76" t="str">
        <f t="shared" si="46"/>
        <v/>
      </c>
      <c r="T382" s="43"/>
      <c r="U382" s="107"/>
      <c r="V382" s="76" t="str">
        <f t="shared" si="47"/>
        <v/>
      </c>
      <c r="W382" s="43"/>
      <c r="X382" s="43"/>
      <c r="Y382" s="74"/>
    </row>
    <row r="383" ht="18" customHeight="1" spans="1:25">
      <c r="A383" s="74" t="str">
        <f t="shared" si="40"/>
        <v/>
      </c>
      <c r="B383" s="7"/>
      <c r="C383" s="43"/>
      <c r="D383" s="106"/>
      <c r="E383" s="43"/>
      <c r="F383" s="43"/>
      <c r="G383" s="43"/>
      <c r="H383" s="107"/>
      <c r="I383" s="107"/>
      <c r="J383" s="76" t="str">
        <f>IF($C383="","",ROUND(IFERROR(INDEX(期初余额!$I$4:$I$9,MATCH($C383,期初余额!$H$4:$H$9,0)),0)+SUMIFS($H$4:$H383,$C$4:$C383,$C383)-SUMIFS($I$4:$I383,$C$4:$C383,$C383),2))</f>
        <v/>
      </c>
      <c r="K383" s="111" t="str">
        <f>IF($T383&lt;&gt;"",$T383,IF($C383="","",IF(AND(N($I383)&gt;0,$G383&lt;&gt;""),IFERROR(INDEX(科目表!$U$4:$U$123,MATCH($G383,科目表!$M$4:$M$123,0)),"管理费用"),IF(N($H383)&gt;0,IFERROR(INDEX(自动规则!$C$4:$C$40,MATCH($F383,自动规则!$B$4:$B$40,0)),"其他应收款"),IFERROR(INDEX(自动规则!$D$4:$D$40,MATCH($F383,自动规则!$B$4:$B$40,0)),"其他应付款")))))</f>
        <v/>
      </c>
      <c r="L383" s="106"/>
      <c r="M383" s="75" t="str">
        <f>IF($C383="","",IFERROR(INDEX(科目表!$T$4:$T$9,MATCH($C383,科目表!$S$4:$S$9,0)),""))</f>
        <v/>
      </c>
      <c r="N383" s="75" t="str">
        <f t="shared" si="41"/>
        <v/>
      </c>
      <c r="O383" s="76" t="str">
        <f t="shared" si="42"/>
        <v/>
      </c>
      <c r="P383" s="76" t="str">
        <f t="shared" si="43"/>
        <v/>
      </c>
      <c r="Q383" s="75" t="str">
        <f t="shared" si="44"/>
        <v/>
      </c>
      <c r="R383" s="76" t="str">
        <f t="shared" si="45"/>
        <v/>
      </c>
      <c r="S383" s="76" t="str">
        <f t="shared" si="46"/>
        <v/>
      </c>
      <c r="T383" s="43"/>
      <c r="U383" s="107"/>
      <c r="V383" s="76" t="str">
        <f t="shared" si="47"/>
        <v/>
      </c>
      <c r="W383" s="43"/>
      <c r="X383" s="43"/>
      <c r="Y383" s="74"/>
    </row>
    <row r="384" ht="18" customHeight="1" spans="1:25">
      <c r="A384" s="74" t="str">
        <f t="shared" si="40"/>
        <v/>
      </c>
      <c r="B384" s="7"/>
      <c r="C384" s="43"/>
      <c r="D384" s="106"/>
      <c r="E384" s="43"/>
      <c r="F384" s="43"/>
      <c r="G384" s="43"/>
      <c r="H384" s="107"/>
      <c r="I384" s="107"/>
      <c r="J384" s="76" t="str">
        <f>IF($C384="","",ROUND(IFERROR(INDEX(期初余额!$I$4:$I$9,MATCH($C384,期初余额!$H$4:$H$9,0)),0)+SUMIFS($H$4:$H384,$C$4:$C384,$C384)-SUMIFS($I$4:$I384,$C$4:$C384,$C384),2))</f>
        <v/>
      </c>
      <c r="K384" s="111" t="str">
        <f>IF($T384&lt;&gt;"",$T384,IF($C384="","",IF(AND(N($I384)&gt;0,$G384&lt;&gt;""),IFERROR(INDEX(科目表!$U$4:$U$123,MATCH($G384,科目表!$M$4:$M$123,0)),"管理费用"),IF(N($H384)&gt;0,IFERROR(INDEX(自动规则!$C$4:$C$40,MATCH($F384,自动规则!$B$4:$B$40,0)),"其他应收款"),IFERROR(INDEX(自动规则!$D$4:$D$40,MATCH($F384,自动规则!$B$4:$B$40,0)),"其他应付款")))))</f>
        <v/>
      </c>
      <c r="L384" s="106"/>
      <c r="M384" s="75" t="str">
        <f>IF($C384="","",IFERROR(INDEX(科目表!$T$4:$T$9,MATCH($C384,科目表!$S$4:$S$9,0)),""))</f>
        <v/>
      </c>
      <c r="N384" s="75" t="str">
        <f t="shared" si="41"/>
        <v/>
      </c>
      <c r="O384" s="76" t="str">
        <f t="shared" si="42"/>
        <v/>
      </c>
      <c r="P384" s="76" t="str">
        <f t="shared" si="43"/>
        <v/>
      </c>
      <c r="Q384" s="75" t="str">
        <f t="shared" si="44"/>
        <v/>
      </c>
      <c r="R384" s="76" t="str">
        <f t="shared" si="45"/>
        <v/>
      </c>
      <c r="S384" s="76" t="str">
        <f t="shared" si="46"/>
        <v/>
      </c>
      <c r="T384" s="43"/>
      <c r="U384" s="107"/>
      <c r="V384" s="76" t="str">
        <f t="shared" si="47"/>
        <v/>
      </c>
      <c r="W384" s="43"/>
      <c r="X384" s="43"/>
      <c r="Y384" s="74"/>
    </row>
    <row r="385" ht="18" customHeight="1" spans="1:25">
      <c r="A385" s="74" t="str">
        <f t="shared" si="40"/>
        <v/>
      </c>
      <c r="B385" s="7"/>
      <c r="C385" s="43"/>
      <c r="D385" s="106"/>
      <c r="E385" s="43"/>
      <c r="F385" s="43"/>
      <c r="G385" s="43"/>
      <c r="H385" s="107"/>
      <c r="I385" s="107"/>
      <c r="J385" s="76" t="str">
        <f>IF($C385="","",ROUND(IFERROR(INDEX(期初余额!$I$4:$I$9,MATCH($C385,期初余额!$H$4:$H$9,0)),0)+SUMIFS($H$4:$H385,$C$4:$C385,$C385)-SUMIFS($I$4:$I385,$C$4:$C385,$C385),2))</f>
        <v/>
      </c>
      <c r="K385" s="111" t="str">
        <f>IF($T385&lt;&gt;"",$T385,IF($C385="","",IF(AND(N($I385)&gt;0,$G385&lt;&gt;""),IFERROR(INDEX(科目表!$U$4:$U$123,MATCH($G385,科目表!$M$4:$M$123,0)),"管理费用"),IF(N($H385)&gt;0,IFERROR(INDEX(自动规则!$C$4:$C$40,MATCH($F385,自动规则!$B$4:$B$40,0)),"其他应收款"),IFERROR(INDEX(自动规则!$D$4:$D$40,MATCH($F385,自动规则!$B$4:$B$40,0)),"其他应付款")))))</f>
        <v/>
      </c>
      <c r="L385" s="106"/>
      <c r="M385" s="75" t="str">
        <f>IF($C385="","",IFERROR(INDEX(科目表!$T$4:$T$9,MATCH($C385,科目表!$S$4:$S$9,0)),""))</f>
        <v/>
      </c>
      <c r="N385" s="75" t="str">
        <f t="shared" si="41"/>
        <v/>
      </c>
      <c r="O385" s="76" t="str">
        <f t="shared" si="42"/>
        <v/>
      </c>
      <c r="P385" s="76" t="str">
        <f t="shared" si="43"/>
        <v/>
      </c>
      <c r="Q385" s="75" t="str">
        <f t="shared" si="44"/>
        <v/>
      </c>
      <c r="R385" s="76" t="str">
        <f t="shared" si="45"/>
        <v/>
      </c>
      <c r="S385" s="76" t="str">
        <f t="shared" si="46"/>
        <v/>
      </c>
      <c r="T385" s="43"/>
      <c r="U385" s="107"/>
      <c r="V385" s="76" t="str">
        <f t="shared" si="47"/>
        <v/>
      </c>
      <c r="W385" s="43"/>
      <c r="X385" s="43"/>
      <c r="Y385" s="74"/>
    </row>
    <row r="386" ht="18" customHeight="1" spans="1:25">
      <c r="A386" s="74" t="str">
        <f t="shared" si="40"/>
        <v/>
      </c>
      <c r="B386" s="7"/>
      <c r="C386" s="43"/>
      <c r="D386" s="106"/>
      <c r="E386" s="43"/>
      <c r="F386" s="43"/>
      <c r="G386" s="43"/>
      <c r="H386" s="107"/>
      <c r="I386" s="107"/>
      <c r="J386" s="76" t="str">
        <f>IF($C386="","",ROUND(IFERROR(INDEX(期初余额!$I$4:$I$9,MATCH($C386,期初余额!$H$4:$H$9,0)),0)+SUMIFS($H$4:$H386,$C$4:$C386,$C386)-SUMIFS($I$4:$I386,$C$4:$C386,$C386),2))</f>
        <v/>
      </c>
      <c r="K386" s="111" t="str">
        <f>IF($T386&lt;&gt;"",$T386,IF($C386="","",IF(AND(N($I386)&gt;0,$G386&lt;&gt;""),IFERROR(INDEX(科目表!$U$4:$U$123,MATCH($G386,科目表!$M$4:$M$123,0)),"管理费用"),IF(N($H386)&gt;0,IFERROR(INDEX(自动规则!$C$4:$C$40,MATCH($F386,自动规则!$B$4:$B$40,0)),"其他应收款"),IFERROR(INDEX(自动规则!$D$4:$D$40,MATCH($F386,自动规则!$B$4:$B$40,0)),"其他应付款")))))</f>
        <v/>
      </c>
      <c r="L386" s="106"/>
      <c r="M386" s="75" t="str">
        <f>IF($C386="","",IFERROR(INDEX(科目表!$T$4:$T$9,MATCH($C386,科目表!$S$4:$S$9,0)),""))</f>
        <v/>
      </c>
      <c r="N386" s="75" t="str">
        <f t="shared" si="41"/>
        <v/>
      </c>
      <c r="O386" s="76" t="str">
        <f t="shared" si="42"/>
        <v/>
      </c>
      <c r="P386" s="76" t="str">
        <f t="shared" si="43"/>
        <v/>
      </c>
      <c r="Q386" s="75" t="str">
        <f t="shared" si="44"/>
        <v/>
      </c>
      <c r="R386" s="76" t="str">
        <f t="shared" si="45"/>
        <v/>
      </c>
      <c r="S386" s="76" t="str">
        <f t="shared" si="46"/>
        <v/>
      </c>
      <c r="T386" s="43"/>
      <c r="U386" s="107"/>
      <c r="V386" s="76" t="str">
        <f t="shared" si="47"/>
        <v/>
      </c>
      <c r="W386" s="43"/>
      <c r="X386" s="43"/>
      <c r="Y386" s="74"/>
    </row>
    <row r="387" ht="18" customHeight="1" spans="1:25">
      <c r="A387" s="74" t="str">
        <f t="shared" si="40"/>
        <v/>
      </c>
      <c r="B387" s="7"/>
      <c r="C387" s="43"/>
      <c r="D387" s="106"/>
      <c r="E387" s="43"/>
      <c r="F387" s="43"/>
      <c r="G387" s="43"/>
      <c r="H387" s="107"/>
      <c r="I387" s="107"/>
      <c r="J387" s="76" t="str">
        <f>IF($C387="","",ROUND(IFERROR(INDEX(期初余额!$I$4:$I$9,MATCH($C387,期初余额!$H$4:$H$9,0)),0)+SUMIFS($H$4:$H387,$C$4:$C387,$C387)-SUMIFS($I$4:$I387,$C$4:$C387,$C387),2))</f>
        <v/>
      </c>
      <c r="K387" s="111" t="str">
        <f>IF($T387&lt;&gt;"",$T387,IF($C387="","",IF(AND(N($I387)&gt;0,$G387&lt;&gt;""),IFERROR(INDEX(科目表!$U$4:$U$123,MATCH($G387,科目表!$M$4:$M$123,0)),"管理费用"),IF(N($H387)&gt;0,IFERROR(INDEX(自动规则!$C$4:$C$40,MATCH($F387,自动规则!$B$4:$B$40,0)),"其他应收款"),IFERROR(INDEX(自动规则!$D$4:$D$40,MATCH($F387,自动规则!$B$4:$B$40,0)),"其他应付款")))))</f>
        <v/>
      </c>
      <c r="L387" s="106"/>
      <c r="M387" s="75" t="str">
        <f>IF($C387="","",IFERROR(INDEX(科目表!$T$4:$T$9,MATCH($C387,科目表!$S$4:$S$9,0)),""))</f>
        <v/>
      </c>
      <c r="N387" s="75" t="str">
        <f t="shared" si="41"/>
        <v/>
      </c>
      <c r="O387" s="76" t="str">
        <f t="shared" si="42"/>
        <v/>
      </c>
      <c r="P387" s="76" t="str">
        <f t="shared" si="43"/>
        <v/>
      </c>
      <c r="Q387" s="75" t="str">
        <f t="shared" si="44"/>
        <v/>
      </c>
      <c r="R387" s="76" t="str">
        <f t="shared" si="45"/>
        <v/>
      </c>
      <c r="S387" s="76" t="str">
        <f t="shared" si="46"/>
        <v/>
      </c>
      <c r="T387" s="43"/>
      <c r="U387" s="107"/>
      <c r="V387" s="76" t="str">
        <f t="shared" si="47"/>
        <v/>
      </c>
      <c r="W387" s="43"/>
      <c r="X387" s="43"/>
      <c r="Y387" s="74"/>
    </row>
    <row r="388" ht="18" customHeight="1" spans="1:25">
      <c r="A388" s="74" t="str">
        <f t="shared" ref="A388:A451" si="48">IF($C388="","",ROW()-3)</f>
        <v/>
      </c>
      <c r="B388" s="7"/>
      <c r="C388" s="43"/>
      <c r="D388" s="106"/>
      <c r="E388" s="43"/>
      <c r="F388" s="43"/>
      <c r="G388" s="43"/>
      <c r="H388" s="107"/>
      <c r="I388" s="107"/>
      <c r="J388" s="76" t="str">
        <f>IF($C388="","",ROUND(IFERROR(INDEX(期初余额!$I$4:$I$9,MATCH($C388,期初余额!$H$4:$H$9,0)),0)+SUMIFS($H$4:$H388,$C$4:$C388,$C388)-SUMIFS($I$4:$I388,$C$4:$C388,$C388),2))</f>
        <v/>
      </c>
      <c r="K388" s="111" t="str">
        <f>IF($T388&lt;&gt;"",$T388,IF($C388="","",IF(AND(N($I388)&gt;0,$G388&lt;&gt;""),IFERROR(INDEX(科目表!$U$4:$U$123,MATCH($G388,科目表!$M$4:$M$123,0)),"管理费用"),IF(N($H388)&gt;0,IFERROR(INDEX(自动规则!$C$4:$C$40,MATCH($F388,自动规则!$B$4:$B$40,0)),"其他应收款"),IFERROR(INDEX(自动规则!$D$4:$D$40,MATCH($F388,自动规则!$B$4:$B$40,0)),"其他应付款")))))</f>
        <v/>
      </c>
      <c r="L388" s="106"/>
      <c r="M388" s="75" t="str">
        <f>IF($C388="","",IFERROR(INDEX(科目表!$T$4:$T$9,MATCH($C388,科目表!$S$4:$S$9,0)),""))</f>
        <v/>
      </c>
      <c r="N388" s="75" t="str">
        <f t="shared" ref="N388:N451" si="49">IF(OR($C388="",ROUND(N($H388)+N($I388),2)=0),"",IF(N($H388)&gt;0,$M388,$K388))</f>
        <v/>
      </c>
      <c r="O388" s="76" t="str">
        <f t="shared" ref="O388:O451" si="50">IF($N388="","",ROUND(N($H388)+N($I388),2))</f>
        <v/>
      </c>
      <c r="P388" s="76" t="str">
        <f t="shared" ref="P388:P451" si="51">IF($N388="","",0)</f>
        <v/>
      </c>
      <c r="Q388" s="75" t="str">
        <f t="shared" ref="Q388:Q451" si="52">IF($N388="","",IF(N($H388)&gt;0,$K388,$M388))</f>
        <v/>
      </c>
      <c r="R388" s="76" t="str">
        <f t="shared" ref="R388:R451" si="53">IF($Q388="","",0)</f>
        <v/>
      </c>
      <c r="S388" s="76" t="str">
        <f t="shared" ref="S388:S451" si="54">IF($Q388="","",ROUND(N($H388)+N($I388),2))</f>
        <v/>
      </c>
      <c r="T388" s="43"/>
      <c r="U388" s="107"/>
      <c r="V388" s="76" t="str">
        <f t="shared" ref="V388:V451" si="55">IF($B388="","",TEXT($B388,"yyyy年m月"))</f>
        <v/>
      </c>
      <c r="W388" s="43"/>
      <c r="X388" s="43"/>
      <c r="Y388" s="74"/>
    </row>
    <row r="389" ht="18" customHeight="1" spans="1:25">
      <c r="A389" s="74" t="str">
        <f t="shared" si="48"/>
        <v/>
      </c>
      <c r="B389" s="7"/>
      <c r="C389" s="43"/>
      <c r="D389" s="106"/>
      <c r="E389" s="43"/>
      <c r="F389" s="43"/>
      <c r="G389" s="43"/>
      <c r="H389" s="107"/>
      <c r="I389" s="107"/>
      <c r="J389" s="76" t="str">
        <f>IF($C389="","",ROUND(IFERROR(INDEX(期初余额!$I$4:$I$9,MATCH($C389,期初余额!$H$4:$H$9,0)),0)+SUMIFS($H$4:$H389,$C$4:$C389,$C389)-SUMIFS($I$4:$I389,$C$4:$C389,$C389),2))</f>
        <v/>
      </c>
      <c r="K389" s="111" t="str">
        <f>IF($T389&lt;&gt;"",$T389,IF($C389="","",IF(AND(N($I389)&gt;0,$G389&lt;&gt;""),IFERROR(INDEX(科目表!$U$4:$U$123,MATCH($G389,科目表!$M$4:$M$123,0)),"管理费用"),IF(N($H389)&gt;0,IFERROR(INDEX(自动规则!$C$4:$C$40,MATCH($F389,自动规则!$B$4:$B$40,0)),"其他应收款"),IFERROR(INDEX(自动规则!$D$4:$D$40,MATCH($F389,自动规则!$B$4:$B$40,0)),"其他应付款")))))</f>
        <v/>
      </c>
      <c r="L389" s="106"/>
      <c r="M389" s="75" t="str">
        <f>IF($C389="","",IFERROR(INDEX(科目表!$T$4:$T$9,MATCH($C389,科目表!$S$4:$S$9,0)),""))</f>
        <v/>
      </c>
      <c r="N389" s="75" t="str">
        <f t="shared" si="49"/>
        <v/>
      </c>
      <c r="O389" s="76" t="str">
        <f t="shared" si="50"/>
        <v/>
      </c>
      <c r="P389" s="76" t="str">
        <f t="shared" si="51"/>
        <v/>
      </c>
      <c r="Q389" s="75" t="str">
        <f t="shared" si="52"/>
        <v/>
      </c>
      <c r="R389" s="76" t="str">
        <f t="shared" si="53"/>
        <v/>
      </c>
      <c r="S389" s="76" t="str">
        <f t="shared" si="54"/>
        <v/>
      </c>
      <c r="T389" s="43"/>
      <c r="U389" s="107"/>
      <c r="V389" s="76" t="str">
        <f t="shared" si="55"/>
        <v/>
      </c>
      <c r="W389" s="43"/>
      <c r="X389" s="43"/>
      <c r="Y389" s="74"/>
    </row>
    <row r="390" ht="18" customHeight="1" spans="1:25">
      <c r="A390" s="74" t="str">
        <f t="shared" si="48"/>
        <v/>
      </c>
      <c r="B390" s="7"/>
      <c r="C390" s="43"/>
      <c r="D390" s="106"/>
      <c r="E390" s="43"/>
      <c r="F390" s="43"/>
      <c r="G390" s="43"/>
      <c r="H390" s="107"/>
      <c r="I390" s="107"/>
      <c r="J390" s="76" t="str">
        <f>IF($C390="","",ROUND(IFERROR(INDEX(期初余额!$I$4:$I$9,MATCH($C390,期初余额!$H$4:$H$9,0)),0)+SUMIFS($H$4:$H390,$C$4:$C390,$C390)-SUMIFS($I$4:$I390,$C$4:$C390,$C390),2))</f>
        <v/>
      </c>
      <c r="K390" s="111" t="str">
        <f>IF($T390&lt;&gt;"",$T390,IF($C390="","",IF(AND(N($I390)&gt;0,$G390&lt;&gt;""),IFERROR(INDEX(科目表!$U$4:$U$123,MATCH($G390,科目表!$M$4:$M$123,0)),"管理费用"),IF(N($H390)&gt;0,IFERROR(INDEX(自动规则!$C$4:$C$40,MATCH($F390,自动规则!$B$4:$B$40,0)),"其他应收款"),IFERROR(INDEX(自动规则!$D$4:$D$40,MATCH($F390,自动规则!$B$4:$B$40,0)),"其他应付款")))))</f>
        <v/>
      </c>
      <c r="L390" s="106"/>
      <c r="M390" s="75" t="str">
        <f>IF($C390="","",IFERROR(INDEX(科目表!$T$4:$T$9,MATCH($C390,科目表!$S$4:$S$9,0)),""))</f>
        <v/>
      </c>
      <c r="N390" s="75" t="str">
        <f t="shared" si="49"/>
        <v/>
      </c>
      <c r="O390" s="76" t="str">
        <f t="shared" si="50"/>
        <v/>
      </c>
      <c r="P390" s="76" t="str">
        <f t="shared" si="51"/>
        <v/>
      </c>
      <c r="Q390" s="75" t="str">
        <f t="shared" si="52"/>
        <v/>
      </c>
      <c r="R390" s="76" t="str">
        <f t="shared" si="53"/>
        <v/>
      </c>
      <c r="S390" s="76" t="str">
        <f t="shared" si="54"/>
        <v/>
      </c>
      <c r="T390" s="43"/>
      <c r="U390" s="107"/>
      <c r="V390" s="76" t="str">
        <f t="shared" si="55"/>
        <v/>
      </c>
      <c r="W390" s="43"/>
      <c r="X390" s="43"/>
      <c r="Y390" s="74"/>
    </row>
    <row r="391" ht="18" customHeight="1" spans="1:25">
      <c r="A391" s="74" t="str">
        <f t="shared" si="48"/>
        <v/>
      </c>
      <c r="B391" s="7"/>
      <c r="C391" s="43"/>
      <c r="D391" s="106"/>
      <c r="E391" s="43"/>
      <c r="F391" s="43"/>
      <c r="G391" s="43"/>
      <c r="H391" s="107"/>
      <c r="I391" s="107"/>
      <c r="J391" s="76" t="str">
        <f>IF($C391="","",ROUND(IFERROR(INDEX(期初余额!$I$4:$I$9,MATCH($C391,期初余额!$H$4:$H$9,0)),0)+SUMIFS($H$4:$H391,$C$4:$C391,$C391)-SUMIFS($I$4:$I391,$C$4:$C391,$C391),2))</f>
        <v/>
      </c>
      <c r="K391" s="111" t="str">
        <f>IF($T391&lt;&gt;"",$T391,IF($C391="","",IF(AND(N($I391)&gt;0,$G391&lt;&gt;""),IFERROR(INDEX(科目表!$U$4:$U$123,MATCH($G391,科目表!$M$4:$M$123,0)),"管理费用"),IF(N($H391)&gt;0,IFERROR(INDEX(自动规则!$C$4:$C$40,MATCH($F391,自动规则!$B$4:$B$40,0)),"其他应收款"),IFERROR(INDEX(自动规则!$D$4:$D$40,MATCH($F391,自动规则!$B$4:$B$40,0)),"其他应付款")))))</f>
        <v/>
      </c>
      <c r="L391" s="106"/>
      <c r="M391" s="75" t="str">
        <f>IF($C391="","",IFERROR(INDEX(科目表!$T$4:$T$9,MATCH($C391,科目表!$S$4:$S$9,0)),""))</f>
        <v/>
      </c>
      <c r="N391" s="75" t="str">
        <f t="shared" si="49"/>
        <v/>
      </c>
      <c r="O391" s="76" t="str">
        <f t="shared" si="50"/>
        <v/>
      </c>
      <c r="P391" s="76" t="str">
        <f t="shared" si="51"/>
        <v/>
      </c>
      <c r="Q391" s="75" t="str">
        <f t="shared" si="52"/>
        <v/>
      </c>
      <c r="R391" s="76" t="str">
        <f t="shared" si="53"/>
        <v/>
      </c>
      <c r="S391" s="76" t="str">
        <f t="shared" si="54"/>
        <v/>
      </c>
      <c r="T391" s="43"/>
      <c r="U391" s="107"/>
      <c r="V391" s="76" t="str">
        <f t="shared" si="55"/>
        <v/>
      </c>
      <c r="W391" s="43"/>
      <c r="X391" s="43"/>
      <c r="Y391" s="74"/>
    </row>
    <row r="392" ht="18" customHeight="1" spans="1:25">
      <c r="A392" s="74" t="str">
        <f t="shared" si="48"/>
        <v/>
      </c>
      <c r="B392" s="7"/>
      <c r="C392" s="43"/>
      <c r="D392" s="106"/>
      <c r="E392" s="43"/>
      <c r="F392" s="43"/>
      <c r="G392" s="43"/>
      <c r="H392" s="107"/>
      <c r="I392" s="107"/>
      <c r="J392" s="76" t="str">
        <f>IF($C392="","",ROUND(IFERROR(INDEX(期初余额!$I$4:$I$9,MATCH($C392,期初余额!$H$4:$H$9,0)),0)+SUMIFS($H$4:$H392,$C$4:$C392,$C392)-SUMIFS($I$4:$I392,$C$4:$C392,$C392),2))</f>
        <v/>
      </c>
      <c r="K392" s="111" t="str">
        <f>IF($T392&lt;&gt;"",$T392,IF($C392="","",IF(AND(N($I392)&gt;0,$G392&lt;&gt;""),IFERROR(INDEX(科目表!$U$4:$U$123,MATCH($G392,科目表!$M$4:$M$123,0)),"管理费用"),IF(N($H392)&gt;0,IFERROR(INDEX(自动规则!$C$4:$C$40,MATCH($F392,自动规则!$B$4:$B$40,0)),"其他应收款"),IFERROR(INDEX(自动规则!$D$4:$D$40,MATCH($F392,自动规则!$B$4:$B$40,0)),"其他应付款")))))</f>
        <v/>
      </c>
      <c r="L392" s="106"/>
      <c r="M392" s="75" t="str">
        <f>IF($C392="","",IFERROR(INDEX(科目表!$T$4:$T$9,MATCH($C392,科目表!$S$4:$S$9,0)),""))</f>
        <v/>
      </c>
      <c r="N392" s="75" t="str">
        <f t="shared" si="49"/>
        <v/>
      </c>
      <c r="O392" s="76" t="str">
        <f t="shared" si="50"/>
        <v/>
      </c>
      <c r="P392" s="76" t="str">
        <f t="shared" si="51"/>
        <v/>
      </c>
      <c r="Q392" s="75" t="str">
        <f t="shared" si="52"/>
        <v/>
      </c>
      <c r="R392" s="76" t="str">
        <f t="shared" si="53"/>
        <v/>
      </c>
      <c r="S392" s="76" t="str">
        <f t="shared" si="54"/>
        <v/>
      </c>
      <c r="T392" s="43"/>
      <c r="U392" s="107"/>
      <c r="V392" s="76" t="str">
        <f t="shared" si="55"/>
        <v/>
      </c>
      <c r="W392" s="43"/>
      <c r="X392" s="43"/>
      <c r="Y392" s="74"/>
    </row>
    <row r="393" ht="18" customHeight="1" spans="1:25">
      <c r="A393" s="74" t="str">
        <f t="shared" si="48"/>
        <v/>
      </c>
      <c r="B393" s="7"/>
      <c r="C393" s="43"/>
      <c r="D393" s="106"/>
      <c r="E393" s="43"/>
      <c r="F393" s="43"/>
      <c r="G393" s="43"/>
      <c r="H393" s="107"/>
      <c r="I393" s="107"/>
      <c r="J393" s="76" t="str">
        <f>IF($C393="","",ROUND(IFERROR(INDEX(期初余额!$I$4:$I$9,MATCH($C393,期初余额!$H$4:$H$9,0)),0)+SUMIFS($H$4:$H393,$C$4:$C393,$C393)-SUMIFS($I$4:$I393,$C$4:$C393,$C393),2))</f>
        <v/>
      </c>
      <c r="K393" s="111" t="str">
        <f>IF($T393&lt;&gt;"",$T393,IF($C393="","",IF(AND(N($I393)&gt;0,$G393&lt;&gt;""),IFERROR(INDEX(科目表!$U$4:$U$123,MATCH($G393,科目表!$M$4:$M$123,0)),"管理费用"),IF(N($H393)&gt;0,IFERROR(INDEX(自动规则!$C$4:$C$40,MATCH($F393,自动规则!$B$4:$B$40,0)),"其他应收款"),IFERROR(INDEX(自动规则!$D$4:$D$40,MATCH($F393,自动规则!$B$4:$B$40,0)),"其他应付款")))))</f>
        <v/>
      </c>
      <c r="L393" s="106"/>
      <c r="M393" s="75" t="str">
        <f>IF($C393="","",IFERROR(INDEX(科目表!$T$4:$T$9,MATCH($C393,科目表!$S$4:$S$9,0)),""))</f>
        <v/>
      </c>
      <c r="N393" s="75" t="str">
        <f t="shared" si="49"/>
        <v/>
      </c>
      <c r="O393" s="76" t="str">
        <f t="shared" si="50"/>
        <v/>
      </c>
      <c r="P393" s="76" t="str">
        <f t="shared" si="51"/>
        <v/>
      </c>
      <c r="Q393" s="75" t="str">
        <f t="shared" si="52"/>
        <v/>
      </c>
      <c r="R393" s="76" t="str">
        <f t="shared" si="53"/>
        <v/>
      </c>
      <c r="S393" s="76" t="str">
        <f t="shared" si="54"/>
        <v/>
      </c>
      <c r="T393" s="43"/>
      <c r="U393" s="107"/>
      <c r="V393" s="76" t="str">
        <f t="shared" si="55"/>
        <v/>
      </c>
      <c r="W393" s="43"/>
      <c r="X393" s="43"/>
      <c r="Y393" s="74"/>
    </row>
    <row r="394" ht="18" customHeight="1" spans="1:25">
      <c r="A394" s="74" t="str">
        <f t="shared" si="48"/>
        <v/>
      </c>
      <c r="B394" s="7"/>
      <c r="C394" s="43"/>
      <c r="D394" s="106"/>
      <c r="E394" s="43"/>
      <c r="F394" s="43"/>
      <c r="G394" s="43"/>
      <c r="H394" s="107"/>
      <c r="I394" s="107"/>
      <c r="J394" s="76" t="str">
        <f>IF($C394="","",ROUND(IFERROR(INDEX(期初余额!$I$4:$I$9,MATCH($C394,期初余额!$H$4:$H$9,0)),0)+SUMIFS($H$4:$H394,$C$4:$C394,$C394)-SUMIFS($I$4:$I394,$C$4:$C394,$C394),2))</f>
        <v/>
      </c>
      <c r="K394" s="111" t="str">
        <f>IF($T394&lt;&gt;"",$T394,IF($C394="","",IF(AND(N($I394)&gt;0,$G394&lt;&gt;""),IFERROR(INDEX(科目表!$U$4:$U$123,MATCH($G394,科目表!$M$4:$M$123,0)),"管理费用"),IF(N($H394)&gt;0,IFERROR(INDEX(自动规则!$C$4:$C$40,MATCH($F394,自动规则!$B$4:$B$40,0)),"其他应收款"),IFERROR(INDEX(自动规则!$D$4:$D$40,MATCH($F394,自动规则!$B$4:$B$40,0)),"其他应付款")))))</f>
        <v/>
      </c>
      <c r="L394" s="106"/>
      <c r="M394" s="75" t="str">
        <f>IF($C394="","",IFERROR(INDEX(科目表!$T$4:$T$9,MATCH($C394,科目表!$S$4:$S$9,0)),""))</f>
        <v/>
      </c>
      <c r="N394" s="75" t="str">
        <f t="shared" si="49"/>
        <v/>
      </c>
      <c r="O394" s="76" t="str">
        <f t="shared" si="50"/>
        <v/>
      </c>
      <c r="P394" s="76" t="str">
        <f t="shared" si="51"/>
        <v/>
      </c>
      <c r="Q394" s="75" t="str">
        <f t="shared" si="52"/>
        <v/>
      </c>
      <c r="R394" s="76" t="str">
        <f t="shared" si="53"/>
        <v/>
      </c>
      <c r="S394" s="76" t="str">
        <f t="shared" si="54"/>
        <v/>
      </c>
      <c r="T394" s="43"/>
      <c r="U394" s="107"/>
      <c r="V394" s="76" t="str">
        <f t="shared" si="55"/>
        <v/>
      </c>
      <c r="W394" s="43"/>
      <c r="X394" s="43"/>
      <c r="Y394" s="74"/>
    </row>
    <row r="395" ht="18" customHeight="1" spans="1:25">
      <c r="A395" s="74" t="str">
        <f t="shared" si="48"/>
        <v/>
      </c>
      <c r="B395" s="7"/>
      <c r="C395" s="43"/>
      <c r="D395" s="106"/>
      <c r="E395" s="43"/>
      <c r="F395" s="43"/>
      <c r="G395" s="43"/>
      <c r="H395" s="107"/>
      <c r="I395" s="107"/>
      <c r="J395" s="76" t="str">
        <f>IF($C395="","",ROUND(IFERROR(INDEX(期初余额!$I$4:$I$9,MATCH($C395,期初余额!$H$4:$H$9,0)),0)+SUMIFS($H$4:$H395,$C$4:$C395,$C395)-SUMIFS($I$4:$I395,$C$4:$C395,$C395),2))</f>
        <v/>
      </c>
      <c r="K395" s="111" t="str">
        <f>IF($T395&lt;&gt;"",$T395,IF($C395="","",IF(AND(N($I395)&gt;0,$G395&lt;&gt;""),IFERROR(INDEX(科目表!$U$4:$U$123,MATCH($G395,科目表!$M$4:$M$123,0)),"管理费用"),IF(N($H395)&gt;0,IFERROR(INDEX(自动规则!$C$4:$C$40,MATCH($F395,自动规则!$B$4:$B$40,0)),"其他应收款"),IFERROR(INDEX(自动规则!$D$4:$D$40,MATCH($F395,自动规则!$B$4:$B$40,0)),"其他应付款")))))</f>
        <v/>
      </c>
      <c r="L395" s="106"/>
      <c r="M395" s="75" t="str">
        <f>IF($C395="","",IFERROR(INDEX(科目表!$T$4:$T$9,MATCH($C395,科目表!$S$4:$S$9,0)),""))</f>
        <v/>
      </c>
      <c r="N395" s="75" t="str">
        <f t="shared" si="49"/>
        <v/>
      </c>
      <c r="O395" s="76" t="str">
        <f t="shared" si="50"/>
        <v/>
      </c>
      <c r="P395" s="76" t="str">
        <f t="shared" si="51"/>
        <v/>
      </c>
      <c r="Q395" s="75" t="str">
        <f t="shared" si="52"/>
        <v/>
      </c>
      <c r="R395" s="76" t="str">
        <f t="shared" si="53"/>
        <v/>
      </c>
      <c r="S395" s="76" t="str">
        <f t="shared" si="54"/>
        <v/>
      </c>
      <c r="T395" s="43"/>
      <c r="U395" s="107"/>
      <c r="V395" s="76" t="str">
        <f t="shared" si="55"/>
        <v/>
      </c>
      <c r="W395" s="43"/>
      <c r="X395" s="43"/>
      <c r="Y395" s="74"/>
    </row>
    <row r="396" ht="18" customHeight="1" spans="1:25">
      <c r="A396" s="74" t="str">
        <f t="shared" si="48"/>
        <v/>
      </c>
      <c r="B396" s="7"/>
      <c r="C396" s="43"/>
      <c r="D396" s="106"/>
      <c r="E396" s="43"/>
      <c r="F396" s="43"/>
      <c r="G396" s="43"/>
      <c r="H396" s="107"/>
      <c r="I396" s="107"/>
      <c r="J396" s="76" t="str">
        <f>IF($C396="","",ROUND(IFERROR(INDEX(期初余额!$I$4:$I$9,MATCH($C396,期初余额!$H$4:$H$9,0)),0)+SUMIFS($H$4:$H396,$C$4:$C396,$C396)-SUMIFS($I$4:$I396,$C$4:$C396,$C396),2))</f>
        <v/>
      </c>
      <c r="K396" s="111" t="str">
        <f>IF($T396&lt;&gt;"",$T396,IF($C396="","",IF(AND(N($I396)&gt;0,$G396&lt;&gt;""),IFERROR(INDEX(科目表!$U$4:$U$123,MATCH($G396,科目表!$M$4:$M$123,0)),"管理费用"),IF(N($H396)&gt;0,IFERROR(INDEX(自动规则!$C$4:$C$40,MATCH($F396,自动规则!$B$4:$B$40,0)),"其他应收款"),IFERROR(INDEX(自动规则!$D$4:$D$40,MATCH($F396,自动规则!$B$4:$B$40,0)),"其他应付款")))))</f>
        <v/>
      </c>
      <c r="L396" s="106"/>
      <c r="M396" s="75" t="str">
        <f>IF($C396="","",IFERROR(INDEX(科目表!$T$4:$T$9,MATCH($C396,科目表!$S$4:$S$9,0)),""))</f>
        <v/>
      </c>
      <c r="N396" s="75" t="str">
        <f t="shared" si="49"/>
        <v/>
      </c>
      <c r="O396" s="76" t="str">
        <f t="shared" si="50"/>
        <v/>
      </c>
      <c r="P396" s="76" t="str">
        <f t="shared" si="51"/>
        <v/>
      </c>
      <c r="Q396" s="75" t="str">
        <f t="shared" si="52"/>
        <v/>
      </c>
      <c r="R396" s="76" t="str">
        <f t="shared" si="53"/>
        <v/>
      </c>
      <c r="S396" s="76" t="str">
        <f t="shared" si="54"/>
        <v/>
      </c>
      <c r="T396" s="43"/>
      <c r="U396" s="107"/>
      <c r="V396" s="76" t="str">
        <f t="shared" si="55"/>
        <v/>
      </c>
      <c r="W396" s="43"/>
      <c r="X396" s="43"/>
      <c r="Y396" s="74"/>
    </row>
    <row r="397" ht="18" customHeight="1" spans="1:25">
      <c r="A397" s="74" t="str">
        <f t="shared" si="48"/>
        <v/>
      </c>
      <c r="B397" s="7"/>
      <c r="C397" s="43"/>
      <c r="D397" s="106"/>
      <c r="E397" s="43"/>
      <c r="F397" s="43"/>
      <c r="G397" s="43"/>
      <c r="H397" s="107"/>
      <c r="I397" s="107"/>
      <c r="J397" s="76" t="str">
        <f>IF($C397="","",ROUND(IFERROR(INDEX(期初余额!$I$4:$I$9,MATCH($C397,期初余额!$H$4:$H$9,0)),0)+SUMIFS($H$4:$H397,$C$4:$C397,$C397)-SUMIFS($I$4:$I397,$C$4:$C397,$C397),2))</f>
        <v/>
      </c>
      <c r="K397" s="111" t="str">
        <f>IF($T397&lt;&gt;"",$T397,IF($C397="","",IF(AND(N($I397)&gt;0,$G397&lt;&gt;""),IFERROR(INDEX(科目表!$U$4:$U$123,MATCH($G397,科目表!$M$4:$M$123,0)),"管理费用"),IF(N($H397)&gt;0,IFERROR(INDEX(自动规则!$C$4:$C$40,MATCH($F397,自动规则!$B$4:$B$40,0)),"其他应收款"),IFERROR(INDEX(自动规则!$D$4:$D$40,MATCH($F397,自动规则!$B$4:$B$40,0)),"其他应付款")))))</f>
        <v/>
      </c>
      <c r="L397" s="106"/>
      <c r="M397" s="75" t="str">
        <f>IF($C397="","",IFERROR(INDEX(科目表!$T$4:$T$9,MATCH($C397,科目表!$S$4:$S$9,0)),""))</f>
        <v/>
      </c>
      <c r="N397" s="75" t="str">
        <f t="shared" si="49"/>
        <v/>
      </c>
      <c r="O397" s="76" t="str">
        <f t="shared" si="50"/>
        <v/>
      </c>
      <c r="P397" s="76" t="str">
        <f t="shared" si="51"/>
        <v/>
      </c>
      <c r="Q397" s="75" t="str">
        <f t="shared" si="52"/>
        <v/>
      </c>
      <c r="R397" s="76" t="str">
        <f t="shared" si="53"/>
        <v/>
      </c>
      <c r="S397" s="76" t="str">
        <f t="shared" si="54"/>
        <v/>
      </c>
      <c r="T397" s="43"/>
      <c r="U397" s="107"/>
      <c r="V397" s="76" t="str">
        <f t="shared" si="55"/>
        <v/>
      </c>
      <c r="W397" s="43"/>
      <c r="X397" s="43"/>
      <c r="Y397" s="74"/>
    </row>
    <row r="398" ht="18" customHeight="1" spans="1:25">
      <c r="A398" s="74" t="str">
        <f t="shared" si="48"/>
        <v/>
      </c>
      <c r="B398" s="7"/>
      <c r="C398" s="43"/>
      <c r="D398" s="106"/>
      <c r="E398" s="43"/>
      <c r="F398" s="43"/>
      <c r="G398" s="43"/>
      <c r="H398" s="107"/>
      <c r="I398" s="107"/>
      <c r="J398" s="76" t="str">
        <f>IF($C398="","",ROUND(IFERROR(INDEX(期初余额!$I$4:$I$9,MATCH($C398,期初余额!$H$4:$H$9,0)),0)+SUMIFS($H$4:$H398,$C$4:$C398,$C398)-SUMIFS($I$4:$I398,$C$4:$C398,$C398),2))</f>
        <v/>
      </c>
      <c r="K398" s="111" t="str">
        <f>IF($T398&lt;&gt;"",$T398,IF($C398="","",IF(AND(N($I398)&gt;0,$G398&lt;&gt;""),IFERROR(INDEX(科目表!$U$4:$U$123,MATCH($G398,科目表!$M$4:$M$123,0)),"管理费用"),IF(N($H398)&gt;0,IFERROR(INDEX(自动规则!$C$4:$C$40,MATCH($F398,自动规则!$B$4:$B$40,0)),"其他应收款"),IFERROR(INDEX(自动规则!$D$4:$D$40,MATCH($F398,自动规则!$B$4:$B$40,0)),"其他应付款")))))</f>
        <v/>
      </c>
      <c r="L398" s="106"/>
      <c r="M398" s="75" t="str">
        <f>IF($C398="","",IFERROR(INDEX(科目表!$T$4:$T$9,MATCH($C398,科目表!$S$4:$S$9,0)),""))</f>
        <v/>
      </c>
      <c r="N398" s="75" t="str">
        <f t="shared" si="49"/>
        <v/>
      </c>
      <c r="O398" s="76" t="str">
        <f t="shared" si="50"/>
        <v/>
      </c>
      <c r="P398" s="76" t="str">
        <f t="shared" si="51"/>
        <v/>
      </c>
      <c r="Q398" s="75" t="str">
        <f t="shared" si="52"/>
        <v/>
      </c>
      <c r="R398" s="76" t="str">
        <f t="shared" si="53"/>
        <v/>
      </c>
      <c r="S398" s="76" t="str">
        <f t="shared" si="54"/>
        <v/>
      </c>
      <c r="T398" s="43"/>
      <c r="U398" s="107"/>
      <c r="V398" s="76" t="str">
        <f t="shared" si="55"/>
        <v/>
      </c>
      <c r="W398" s="43"/>
      <c r="X398" s="43"/>
      <c r="Y398" s="74"/>
    </row>
    <row r="399" ht="18" customHeight="1" spans="1:25">
      <c r="A399" s="74" t="str">
        <f t="shared" si="48"/>
        <v/>
      </c>
      <c r="B399" s="7"/>
      <c r="C399" s="43"/>
      <c r="D399" s="106"/>
      <c r="E399" s="43"/>
      <c r="F399" s="43"/>
      <c r="G399" s="43"/>
      <c r="H399" s="107"/>
      <c r="I399" s="107"/>
      <c r="J399" s="76" t="str">
        <f>IF($C399="","",ROUND(IFERROR(INDEX(期初余额!$I$4:$I$9,MATCH($C399,期初余额!$H$4:$H$9,0)),0)+SUMIFS($H$4:$H399,$C$4:$C399,$C399)-SUMIFS($I$4:$I399,$C$4:$C399,$C399),2))</f>
        <v/>
      </c>
      <c r="K399" s="111" t="str">
        <f>IF($T399&lt;&gt;"",$T399,IF($C399="","",IF(AND(N($I399)&gt;0,$G399&lt;&gt;""),IFERROR(INDEX(科目表!$U$4:$U$123,MATCH($G399,科目表!$M$4:$M$123,0)),"管理费用"),IF(N($H399)&gt;0,IFERROR(INDEX(自动规则!$C$4:$C$40,MATCH($F399,自动规则!$B$4:$B$40,0)),"其他应收款"),IFERROR(INDEX(自动规则!$D$4:$D$40,MATCH($F399,自动规则!$B$4:$B$40,0)),"其他应付款")))))</f>
        <v/>
      </c>
      <c r="L399" s="106"/>
      <c r="M399" s="75" t="str">
        <f>IF($C399="","",IFERROR(INDEX(科目表!$T$4:$T$9,MATCH($C399,科目表!$S$4:$S$9,0)),""))</f>
        <v/>
      </c>
      <c r="N399" s="75" t="str">
        <f t="shared" si="49"/>
        <v/>
      </c>
      <c r="O399" s="76" t="str">
        <f t="shared" si="50"/>
        <v/>
      </c>
      <c r="P399" s="76" t="str">
        <f t="shared" si="51"/>
        <v/>
      </c>
      <c r="Q399" s="75" t="str">
        <f t="shared" si="52"/>
        <v/>
      </c>
      <c r="R399" s="76" t="str">
        <f t="shared" si="53"/>
        <v/>
      </c>
      <c r="S399" s="76" t="str">
        <f t="shared" si="54"/>
        <v/>
      </c>
      <c r="T399" s="43"/>
      <c r="U399" s="107"/>
      <c r="V399" s="76" t="str">
        <f t="shared" si="55"/>
        <v/>
      </c>
      <c r="W399" s="43"/>
      <c r="X399" s="43"/>
      <c r="Y399" s="74"/>
    </row>
    <row r="400" ht="18" customHeight="1" spans="1:25">
      <c r="A400" s="74" t="str">
        <f t="shared" si="48"/>
        <v/>
      </c>
      <c r="B400" s="7"/>
      <c r="C400" s="43"/>
      <c r="D400" s="106"/>
      <c r="E400" s="43"/>
      <c r="F400" s="43"/>
      <c r="G400" s="43"/>
      <c r="H400" s="107"/>
      <c r="I400" s="107"/>
      <c r="J400" s="76" t="str">
        <f>IF($C400="","",ROUND(IFERROR(INDEX(期初余额!$I$4:$I$9,MATCH($C400,期初余额!$H$4:$H$9,0)),0)+SUMIFS($H$4:$H400,$C$4:$C400,$C400)-SUMIFS($I$4:$I400,$C$4:$C400,$C400),2))</f>
        <v/>
      </c>
      <c r="K400" s="111" t="str">
        <f>IF($T400&lt;&gt;"",$T400,IF($C400="","",IF(AND(N($I400)&gt;0,$G400&lt;&gt;""),IFERROR(INDEX(科目表!$U$4:$U$123,MATCH($G400,科目表!$M$4:$M$123,0)),"管理费用"),IF(N($H400)&gt;0,IFERROR(INDEX(自动规则!$C$4:$C$40,MATCH($F400,自动规则!$B$4:$B$40,0)),"其他应收款"),IFERROR(INDEX(自动规则!$D$4:$D$40,MATCH($F400,自动规则!$B$4:$B$40,0)),"其他应付款")))))</f>
        <v/>
      </c>
      <c r="L400" s="106"/>
      <c r="M400" s="75" t="str">
        <f>IF($C400="","",IFERROR(INDEX(科目表!$T$4:$T$9,MATCH($C400,科目表!$S$4:$S$9,0)),""))</f>
        <v/>
      </c>
      <c r="N400" s="75" t="str">
        <f t="shared" si="49"/>
        <v/>
      </c>
      <c r="O400" s="76" t="str">
        <f t="shared" si="50"/>
        <v/>
      </c>
      <c r="P400" s="76" t="str">
        <f t="shared" si="51"/>
        <v/>
      </c>
      <c r="Q400" s="75" t="str">
        <f t="shared" si="52"/>
        <v/>
      </c>
      <c r="R400" s="76" t="str">
        <f t="shared" si="53"/>
        <v/>
      </c>
      <c r="S400" s="76" t="str">
        <f t="shared" si="54"/>
        <v/>
      </c>
      <c r="T400" s="43"/>
      <c r="U400" s="107"/>
      <c r="V400" s="76" t="str">
        <f t="shared" si="55"/>
        <v/>
      </c>
      <c r="W400" s="43"/>
      <c r="X400" s="43"/>
      <c r="Y400" s="74"/>
    </row>
    <row r="401" ht="18" customHeight="1" spans="1:25">
      <c r="A401" s="74" t="str">
        <f t="shared" si="48"/>
        <v/>
      </c>
      <c r="B401" s="7"/>
      <c r="C401" s="43"/>
      <c r="D401" s="106"/>
      <c r="E401" s="43"/>
      <c r="F401" s="43"/>
      <c r="G401" s="43"/>
      <c r="H401" s="107"/>
      <c r="I401" s="107"/>
      <c r="J401" s="76" t="str">
        <f>IF($C401="","",ROUND(IFERROR(INDEX(期初余额!$I$4:$I$9,MATCH($C401,期初余额!$H$4:$H$9,0)),0)+SUMIFS($H$4:$H401,$C$4:$C401,$C401)-SUMIFS($I$4:$I401,$C$4:$C401,$C401),2))</f>
        <v/>
      </c>
      <c r="K401" s="111" t="str">
        <f>IF($T401&lt;&gt;"",$T401,IF($C401="","",IF(AND(N($I401)&gt;0,$G401&lt;&gt;""),IFERROR(INDEX(科目表!$U$4:$U$123,MATCH($G401,科目表!$M$4:$M$123,0)),"管理费用"),IF(N($H401)&gt;0,IFERROR(INDEX(自动规则!$C$4:$C$40,MATCH($F401,自动规则!$B$4:$B$40,0)),"其他应收款"),IFERROR(INDEX(自动规则!$D$4:$D$40,MATCH($F401,自动规则!$B$4:$B$40,0)),"其他应付款")))))</f>
        <v/>
      </c>
      <c r="L401" s="106"/>
      <c r="M401" s="75" t="str">
        <f>IF($C401="","",IFERROR(INDEX(科目表!$T$4:$T$9,MATCH($C401,科目表!$S$4:$S$9,0)),""))</f>
        <v/>
      </c>
      <c r="N401" s="75" t="str">
        <f t="shared" si="49"/>
        <v/>
      </c>
      <c r="O401" s="76" t="str">
        <f t="shared" si="50"/>
        <v/>
      </c>
      <c r="P401" s="76" t="str">
        <f t="shared" si="51"/>
        <v/>
      </c>
      <c r="Q401" s="75" t="str">
        <f t="shared" si="52"/>
        <v/>
      </c>
      <c r="R401" s="76" t="str">
        <f t="shared" si="53"/>
        <v/>
      </c>
      <c r="S401" s="76" t="str">
        <f t="shared" si="54"/>
        <v/>
      </c>
      <c r="T401" s="43"/>
      <c r="U401" s="107"/>
      <c r="V401" s="76" t="str">
        <f t="shared" si="55"/>
        <v/>
      </c>
      <c r="W401" s="43"/>
      <c r="X401" s="43"/>
      <c r="Y401" s="74"/>
    </row>
    <row r="402" ht="18" customHeight="1" spans="1:25">
      <c r="A402" s="74" t="str">
        <f t="shared" si="48"/>
        <v/>
      </c>
      <c r="B402" s="7"/>
      <c r="C402" s="43"/>
      <c r="D402" s="106"/>
      <c r="E402" s="43"/>
      <c r="F402" s="43"/>
      <c r="G402" s="43"/>
      <c r="H402" s="107"/>
      <c r="I402" s="107"/>
      <c r="J402" s="76" t="str">
        <f>IF($C402="","",ROUND(IFERROR(INDEX(期初余额!$I$4:$I$9,MATCH($C402,期初余额!$H$4:$H$9,0)),0)+SUMIFS($H$4:$H402,$C$4:$C402,$C402)-SUMIFS($I$4:$I402,$C$4:$C402,$C402),2))</f>
        <v/>
      </c>
      <c r="K402" s="111" t="str">
        <f>IF($T402&lt;&gt;"",$T402,IF($C402="","",IF(AND(N($I402)&gt;0,$G402&lt;&gt;""),IFERROR(INDEX(科目表!$U$4:$U$123,MATCH($G402,科目表!$M$4:$M$123,0)),"管理费用"),IF(N($H402)&gt;0,IFERROR(INDEX(自动规则!$C$4:$C$40,MATCH($F402,自动规则!$B$4:$B$40,0)),"其他应收款"),IFERROR(INDEX(自动规则!$D$4:$D$40,MATCH($F402,自动规则!$B$4:$B$40,0)),"其他应付款")))))</f>
        <v/>
      </c>
      <c r="L402" s="106"/>
      <c r="M402" s="75" t="str">
        <f>IF($C402="","",IFERROR(INDEX(科目表!$T$4:$T$9,MATCH($C402,科目表!$S$4:$S$9,0)),""))</f>
        <v/>
      </c>
      <c r="N402" s="75" t="str">
        <f t="shared" si="49"/>
        <v/>
      </c>
      <c r="O402" s="76" t="str">
        <f t="shared" si="50"/>
        <v/>
      </c>
      <c r="P402" s="76" t="str">
        <f t="shared" si="51"/>
        <v/>
      </c>
      <c r="Q402" s="75" t="str">
        <f t="shared" si="52"/>
        <v/>
      </c>
      <c r="R402" s="76" t="str">
        <f t="shared" si="53"/>
        <v/>
      </c>
      <c r="S402" s="76" t="str">
        <f t="shared" si="54"/>
        <v/>
      </c>
      <c r="T402" s="43"/>
      <c r="U402" s="107"/>
      <c r="V402" s="76" t="str">
        <f t="shared" si="55"/>
        <v/>
      </c>
      <c r="W402" s="43"/>
      <c r="X402" s="43"/>
      <c r="Y402" s="74"/>
    </row>
    <row r="403" ht="18" customHeight="1" spans="1:25">
      <c r="A403" s="74" t="str">
        <f t="shared" si="48"/>
        <v/>
      </c>
      <c r="B403" s="7"/>
      <c r="C403" s="43"/>
      <c r="D403" s="106"/>
      <c r="E403" s="43"/>
      <c r="F403" s="43"/>
      <c r="G403" s="43"/>
      <c r="H403" s="107"/>
      <c r="I403" s="107"/>
      <c r="J403" s="76" t="str">
        <f>IF($C403="","",ROUND(IFERROR(INDEX(期初余额!$I$4:$I$9,MATCH($C403,期初余额!$H$4:$H$9,0)),0)+SUMIFS($H$4:$H403,$C$4:$C403,$C403)-SUMIFS($I$4:$I403,$C$4:$C403,$C403),2))</f>
        <v/>
      </c>
      <c r="K403" s="111" t="str">
        <f>IF($T403&lt;&gt;"",$T403,IF($C403="","",IF(AND(N($I403)&gt;0,$G403&lt;&gt;""),IFERROR(INDEX(科目表!$U$4:$U$123,MATCH($G403,科目表!$M$4:$M$123,0)),"管理费用"),IF(N($H403)&gt;0,IFERROR(INDEX(自动规则!$C$4:$C$40,MATCH($F403,自动规则!$B$4:$B$40,0)),"其他应收款"),IFERROR(INDEX(自动规则!$D$4:$D$40,MATCH($F403,自动规则!$B$4:$B$40,0)),"其他应付款")))))</f>
        <v/>
      </c>
      <c r="L403" s="106"/>
      <c r="M403" s="75" t="str">
        <f>IF($C403="","",IFERROR(INDEX(科目表!$T$4:$T$9,MATCH($C403,科目表!$S$4:$S$9,0)),""))</f>
        <v/>
      </c>
      <c r="N403" s="75" t="str">
        <f t="shared" si="49"/>
        <v/>
      </c>
      <c r="O403" s="76" t="str">
        <f t="shared" si="50"/>
        <v/>
      </c>
      <c r="P403" s="76" t="str">
        <f t="shared" si="51"/>
        <v/>
      </c>
      <c r="Q403" s="75" t="str">
        <f t="shared" si="52"/>
        <v/>
      </c>
      <c r="R403" s="76" t="str">
        <f t="shared" si="53"/>
        <v/>
      </c>
      <c r="S403" s="76" t="str">
        <f t="shared" si="54"/>
        <v/>
      </c>
      <c r="T403" s="43"/>
      <c r="U403" s="107"/>
      <c r="V403" s="76" t="str">
        <f t="shared" si="55"/>
        <v/>
      </c>
      <c r="W403" s="43"/>
      <c r="X403" s="43"/>
      <c r="Y403" s="74"/>
    </row>
    <row r="404" ht="18" customHeight="1" spans="1:25">
      <c r="A404" s="74" t="str">
        <f t="shared" si="48"/>
        <v/>
      </c>
      <c r="B404" s="7"/>
      <c r="C404" s="43"/>
      <c r="D404" s="106"/>
      <c r="E404" s="43"/>
      <c r="F404" s="43"/>
      <c r="G404" s="43"/>
      <c r="H404" s="107"/>
      <c r="I404" s="107"/>
      <c r="J404" s="76" t="str">
        <f>IF($C404="","",ROUND(IFERROR(INDEX(期初余额!$I$4:$I$9,MATCH($C404,期初余额!$H$4:$H$9,0)),0)+SUMIFS($H$4:$H404,$C$4:$C404,$C404)-SUMIFS($I$4:$I404,$C$4:$C404,$C404),2))</f>
        <v/>
      </c>
      <c r="K404" s="111" t="str">
        <f>IF($T404&lt;&gt;"",$T404,IF($C404="","",IF(AND(N($I404)&gt;0,$G404&lt;&gt;""),IFERROR(INDEX(科目表!$U$4:$U$123,MATCH($G404,科目表!$M$4:$M$123,0)),"管理费用"),IF(N($H404)&gt;0,IFERROR(INDEX(自动规则!$C$4:$C$40,MATCH($F404,自动规则!$B$4:$B$40,0)),"其他应收款"),IFERROR(INDEX(自动规则!$D$4:$D$40,MATCH($F404,自动规则!$B$4:$B$40,0)),"其他应付款")))))</f>
        <v/>
      </c>
      <c r="L404" s="106"/>
      <c r="M404" s="75" t="str">
        <f>IF($C404="","",IFERROR(INDEX(科目表!$T$4:$T$9,MATCH($C404,科目表!$S$4:$S$9,0)),""))</f>
        <v/>
      </c>
      <c r="N404" s="75" t="str">
        <f t="shared" si="49"/>
        <v/>
      </c>
      <c r="O404" s="76" t="str">
        <f t="shared" si="50"/>
        <v/>
      </c>
      <c r="P404" s="76" t="str">
        <f t="shared" si="51"/>
        <v/>
      </c>
      <c r="Q404" s="75" t="str">
        <f t="shared" si="52"/>
        <v/>
      </c>
      <c r="R404" s="76" t="str">
        <f t="shared" si="53"/>
        <v/>
      </c>
      <c r="S404" s="76" t="str">
        <f t="shared" si="54"/>
        <v/>
      </c>
      <c r="T404" s="43"/>
      <c r="U404" s="107"/>
      <c r="V404" s="76" t="str">
        <f t="shared" si="55"/>
        <v/>
      </c>
      <c r="W404" s="43"/>
      <c r="X404" s="43"/>
      <c r="Y404" s="74"/>
    </row>
    <row r="405" ht="18" customHeight="1" spans="1:25">
      <c r="A405" s="74" t="str">
        <f t="shared" si="48"/>
        <v/>
      </c>
      <c r="B405" s="7"/>
      <c r="C405" s="43"/>
      <c r="D405" s="106"/>
      <c r="E405" s="43"/>
      <c r="F405" s="43"/>
      <c r="G405" s="43"/>
      <c r="H405" s="107"/>
      <c r="I405" s="107"/>
      <c r="J405" s="76" t="str">
        <f>IF($C405="","",ROUND(IFERROR(INDEX(期初余额!$I$4:$I$9,MATCH($C405,期初余额!$H$4:$H$9,0)),0)+SUMIFS($H$4:$H405,$C$4:$C405,$C405)-SUMIFS($I$4:$I405,$C$4:$C405,$C405),2))</f>
        <v/>
      </c>
      <c r="K405" s="111" t="str">
        <f>IF($T405&lt;&gt;"",$T405,IF($C405="","",IF(AND(N($I405)&gt;0,$G405&lt;&gt;""),IFERROR(INDEX(科目表!$U$4:$U$123,MATCH($G405,科目表!$M$4:$M$123,0)),"管理费用"),IF(N($H405)&gt;0,IFERROR(INDEX(自动规则!$C$4:$C$40,MATCH($F405,自动规则!$B$4:$B$40,0)),"其他应收款"),IFERROR(INDEX(自动规则!$D$4:$D$40,MATCH($F405,自动规则!$B$4:$B$40,0)),"其他应付款")))))</f>
        <v/>
      </c>
      <c r="L405" s="106"/>
      <c r="M405" s="75" t="str">
        <f>IF($C405="","",IFERROR(INDEX(科目表!$T$4:$T$9,MATCH($C405,科目表!$S$4:$S$9,0)),""))</f>
        <v/>
      </c>
      <c r="N405" s="75" t="str">
        <f t="shared" si="49"/>
        <v/>
      </c>
      <c r="O405" s="76" t="str">
        <f t="shared" si="50"/>
        <v/>
      </c>
      <c r="P405" s="76" t="str">
        <f t="shared" si="51"/>
        <v/>
      </c>
      <c r="Q405" s="75" t="str">
        <f t="shared" si="52"/>
        <v/>
      </c>
      <c r="R405" s="76" t="str">
        <f t="shared" si="53"/>
        <v/>
      </c>
      <c r="S405" s="76" t="str">
        <f t="shared" si="54"/>
        <v/>
      </c>
      <c r="T405" s="43"/>
      <c r="U405" s="107"/>
      <c r="V405" s="76" t="str">
        <f t="shared" si="55"/>
        <v/>
      </c>
      <c r="W405" s="43"/>
      <c r="X405" s="43"/>
      <c r="Y405" s="74"/>
    </row>
    <row r="406" ht="18" customHeight="1" spans="1:25">
      <c r="A406" s="74" t="str">
        <f t="shared" si="48"/>
        <v/>
      </c>
      <c r="B406" s="7"/>
      <c r="C406" s="43"/>
      <c r="D406" s="106"/>
      <c r="E406" s="43"/>
      <c r="F406" s="43"/>
      <c r="G406" s="43"/>
      <c r="H406" s="107"/>
      <c r="I406" s="107"/>
      <c r="J406" s="76" t="str">
        <f>IF($C406="","",ROUND(IFERROR(INDEX(期初余额!$I$4:$I$9,MATCH($C406,期初余额!$H$4:$H$9,0)),0)+SUMIFS($H$4:$H406,$C$4:$C406,$C406)-SUMIFS($I$4:$I406,$C$4:$C406,$C406),2))</f>
        <v/>
      </c>
      <c r="K406" s="111" t="str">
        <f>IF($T406&lt;&gt;"",$T406,IF($C406="","",IF(AND(N($I406)&gt;0,$G406&lt;&gt;""),IFERROR(INDEX(科目表!$U$4:$U$123,MATCH($G406,科目表!$M$4:$M$123,0)),"管理费用"),IF(N($H406)&gt;0,IFERROR(INDEX(自动规则!$C$4:$C$40,MATCH($F406,自动规则!$B$4:$B$40,0)),"其他应收款"),IFERROR(INDEX(自动规则!$D$4:$D$40,MATCH($F406,自动规则!$B$4:$B$40,0)),"其他应付款")))))</f>
        <v/>
      </c>
      <c r="L406" s="106"/>
      <c r="M406" s="75" t="str">
        <f>IF($C406="","",IFERROR(INDEX(科目表!$T$4:$T$9,MATCH($C406,科目表!$S$4:$S$9,0)),""))</f>
        <v/>
      </c>
      <c r="N406" s="75" t="str">
        <f t="shared" si="49"/>
        <v/>
      </c>
      <c r="O406" s="76" t="str">
        <f t="shared" si="50"/>
        <v/>
      </c>
      <c r="P406" s="76" t="str">
        <f t="shared" si="51"/>
        <v/>
      </c>
      <c r="Q406" s="75" t="str">
        <f t="shared" si="52"/>
        <v/>
      </c>
      <c r="R406" s="76" t="str">
        <f t="shared" si="53"/>
        <v/>
      </c>
      <c r="S406" s="76" t="str">
        <f t="shared" si="54"/>
        <v/>
      </c>
      <c r="T406" s="43"/>
      <c r="U406" s="107"/>
      <c r="V406" s="76" t="str">
        <f t="shared" si="55"/>
        <v/>
      </c>
      <c r="W406" s="43"/>
      <c r="X406" s="43"/>
      <c r="Y406" s="74"/>
    </row>
    <row r="407" ht="18" customHeight="1" spans="1:25">
      <c r="A407" s="74" t="str">
        <f t="shared" si="48"/>
        <v/>
      </c>
      <c r="B407" s="7"/>
      <c r="C407" s="43"/>
      <c r="D407" s="106"/>
      <c r="E407" s="43"/>
      <c r="F407" s="43"/>
      <c r="G407" s="43"/>
      <c r="H407" s="107"/>
      <c r="I407" s="107"/>
      <c r="J407" s="76" t="str">
        <f>IF($C407="","",ROUND(IFERROR(INDEX(期初余额!$I$4:$I$9,MATCH($C407,期初余额!$H$4:$H$9,0)),0)+SUMIFS($H$4:$H407,$C$4:$C407,$C407)-SUMIFS($I$4:$I407,$C$4:$C407,$C407),2))</f>
        <v/>
      </c>
      <c r="K407" s="111" t="str">
        <f>IF($T407&lt;&gt;"",$T407,IF($C407="","",IF(AND(N($I407)&gt;0,$G407&lt;&gt;""),IFERROR(INDEX(科目表!$U$4:$U$123,MATCH($G407,科目表!$M$4:$M$123,0)),"管理费用"),IF(N($H407)&gt;0,IFERROR(INDEX(自动规则!$C$4:$C$40,MATCH($F407,自动规则!$B$4:$B$40,0)),"其他应收款"),IFERROR(INDEX(自动规则!$D$4:$D$40,MATCH($F407,自动规则!$B$4:$B$40,0)),"其他应付款")))))</f>
        <v/>
      </c>
      <c r="L407" s="106"/>
      <c r="M407" s="75" t="str">
        <f>IF($C407="","",IFERROR(INDEX(科目表!$T$4:$T$9,MATCH($C407,科目表!$S$4:$S$9,0)),""))</f>
        <v/>
      </c>
      <c r="N407" s="75" t="str">
        <f t="shared" si="49"/>
        <v/>
      </c>
      <c r="O407" s="76" t="str">
        <f t="shared" si="50"/>
        <v/>
      </c>
      <c r="P407" s="76" t="str">
        <f t="shared" si="51"/>
        <v/>
      </c>
      <c r="Q407" s="75" t="str">
        <f t="shared" si="52"/>
        <v/>
      </c>
      <c r="R407" s="76" t="str">
        <f t="shared" si="53"/>
        <v/>
      </c>
      <c r="S407" s="76" t="str">
        <f t="shared" si="54"/>
        <v/>
      </c>
      <c r="T407" s="43"/>
      <c r="U407" s="107"/>
      <c r="V407" s="76" t="str">
        <f t="shared" si="55"/>
        <v/>
      </c>
      <c r="W407" s="43"/>
      <c r="X407" s="43"/>
      <c r="Y407" s="74"/>
    </row>
    <row r="408" ht="18" customHeight="1" spans="1:25">
      <c r="A408" s="74" t="str">
        <f t="shared" si="48"/>
        <v/>
      </c>
      <c r="B408" s="7"/>
      <c r="C408" s="43"/>
      <c r="D408" s="106"/>
      <c r="E408" s="43"/>
      <c r="F408" s="43"/>
      <c r="G408" s="43"/>
      <c r="H408" s="107"/>
      <c r="I408" s="107"/>
      <c r="J408" s="76" t="str">
        <f>IF($C408="","",ROUND(IFERROR(INDEX(期初余额!$I$4:$I$9,MATCH($C408,期初余额!$H$4:$H$9,0)),0)+SUMIFS($H$4:$H408,$C$4:$C408,$C408)-SUMIFS($I$4:$I408,$C$4:$C408,$C408),2))</f>
        <v/>
      </c>
      <c r="K408" s="111" t="str">
        <f>IF($T408&lt;&gt;"",$T408,IF($C408="","",IF(AND(N($I408)&gt;0,$G408&lt;&gt;""),IFERROR(INDEX(科目表!$U$4:$U$123,MATCH($G408,科目表!$M$4:$M$123,0)),"管理费用"),IF(N($H408)&gt;0,IFERROR(INDEX(自动规则!$C$4:$C$40,MATCH($F408,自动规则!$B$4:$B$40,0)),"其他应收款"),IFERROR(INDEX(自动规则!$D$4:$D$40,MATCH($F408,自动规则!$B$4:$B$40,0)),"其他应付款")))))</f>
        <v/>
      </c>
      <c r="L408" s="106"/>
      <c r="M408" s="75" t="str">
        <f>IF($C408="","",IFERROR(INDEX(科目表!$T$4:$T$9,MATCH($C408,科目表!$S$4:$S$9,0)),""))</f>
        <v/>
      </c>
      <c r="N408" s="75" t="str">
        <f t="shared" si="49"/>
        <v/>
      </c>
      <c r="O408" s="76" t="str">
        <f t="shared" si="50"/>
        <v/>
      </c>
      <c r="P408" s="76" t="str">
        <f t="shared" si="51"/>
        <v/>
      </c>
      <c r="Q408" s="75" t="str">
        <f t="shared" si="52"/>
        <v/>
      </c>
      <c r="R408" s="76" t="str">
        <f t="shared" si="53"/>
        <v/>
      </c>
      <c r="S408" s="76" t="str">
        <f t="shared" si="54"/>
        <v/>
      </c>
      <c r="T408" s="43"/>
      <c r="U408" s="107"/>
      <c r="V408" s="76" t="str">
        <f t="shared" si="55"/>
        <v/>
      </c>
      <c r="W408" s="43"/>
      <c r="X408" s="43"/>
      <c r="Y408" s="74"/>
    </row>
    <row r="409" ht="18" customHeight="1" spans="1:25">
      <c r="A409" s="74" t="str">
        <f t="shared" si="48"/>
        <v/>
      </c>
      <c r="B409" s="7"/>
      <c r="C409" s="43"/>
      <c r="D409" s="106"/>
      <c r="E409" s="43"/>
      <c r="F409" s="43"/>
      <c r="G409" s="43"/>
      <c r="H409" s="107"/>
      <c r="I409" s="107"/>
      <c r="J409" s="76" t="str">
        <f>IF($C409="","",ROUND(IFERROR(INDEX(期初余额!$I$4:$I$9,MATCH($C409,期初余额!$H$4:$H$9,0)),0)+SUMIFS($H$4:$H409,$C$4:$C409,$C409)-SUMIFS($I$4:$I409,$C$4:$C409,$C409),2))</f>
        <v/>
      </c>
      <c r="K409" s="111" t="str">
        <f>IF($T409&lt;&gt;"",$T409,IF($C409="","",IF(AND(N($I409)&gt;0,$G409&lt;&gt;""),IFERROR(INDEX(科目表!$U$4:$U$123,MATCH($G409,科目表!$M$4:$M$123,0)),"管理费用"),IF(N($H409)&gt;0,IFERROR(INDEX(自动规则!$C$4:$C$40,MATCH($F409,自动规则!$B$4:$B$40,0)),"其他应收款"),IFERROR(INDEX(自动规则!$D$4:$D$40,MATCH($F409,自动规则!$B$4:$B$40,0)),"其他应付款")))))</f>
        <v/>
      </c>
      <c r="L409" s="106"/>
      <c r="M409" s="75" t="str">
        <f>IF($C409="","",IFERROR(INDEX(科目表!$T$4:$T$9,MATCH($C409,科目表!$S$4:$S$9,0)),""))</f>
        <v/>
      </c>
      <c r="N409" s="75" t="str">
        <f t="shared" si="49"/>
        <v/>
      </c>
      <c r="O409" s="76" t="str">
        <f t="shared" si="50"/>
        <v/>
      </c>
      <c r="P409" s="76" t="str">
        <f t="shared" si="51"/>
        <v/>
      </c>
      <c r="Q409" s="75" t="str">
        <f t="shared" si="52"/>
        <v/>
      </c>
      <c r="R409" s="76" t="str">
        <f t="shared" si="53"/>
        <v/>
      </c>
      <c r="S409" s="76" t="str">
        <f t="shared" si="54"/>
        <v/>
      </c>
      <c r="T409" s="43"/>
      <c r="U409" s="107"/>
      <c r="V409" s="76" t="str">
        <f t="shared" si="55"/>
        <v/>
      </c>
      <c r="W409" s="43"/>
      <c r="X409" s="43"/>
      <c r="Y409" s="74"/>
    </row>
    <row r="410" ht="18" customHeight="1" spans="1:25">
      <c r="A410" s="74" t="str">
        <f t="shared" si="48"/>
        <v/>
      </c>
      <c r="B410" s="7"/>
      <c r="C410" s="43"/>
      <c r="D410" s="106"/>
      <c r="E410" s="43"/>
      <c r="F410" s="43"/>
      <c r="G410" s="43"/>
      <c r="H410" s="107"/>
      <c r="I410" s="107"/>
      <c r="J410" s="76" t="str">
        <f>IF($C410="","",ROUND(IFERROR(INDEX(期初余额!$I$4:$I$9,MATCH($C410,期初余额!$H$4:$H$9,0)),0)+SUMIFS($H$4:$H410,$C$4:$C410,$C410)-SUMIFS($I$4:$I410,$C$4:$C410,$C410),2))</f>
        <v/>
      </c>
      <c r="K410" s="111" t="str">
        <f>IF($T410&lt;&gt;"",$T410,IF($C410="","",IF(AND(N($I410)&gt;0,$G410&lt;&gt;""),IFERROR(INDEX(科目表!$U$4:$U$123,MATCH($G410,科目表!$M$4:$M$123,0)),"管理费用"),IF(N($H410)&gt;0,IFERROR(INDEX(自动规则!$C$4:$C$40,MATCH($F410,自动规则!$B$4:$B$40,0)),"其他应收款"),IFERROR(INDEX(自动规则!$D$4:$D$40,MATCH($F410,自动规则!$B$4:$B$40,0)),"其他应付款")))))</f>
        <v/>
      </c>
      <c r="L410" s="106"/>
      <c r="M410" s="75" t="str">
        <f>IF($C410="","",IFERROR(INDEX(科目表!$T$4:$T$9,MATCH($C410,科目表!$S$4:$S$9,0)),""))</f>
        <v/>
      </c>
      <c r="N410" s="75" t="str">
        <f t="shared" si="49"/>
        <v/>
      </c>
      <c r="O410" s="76" t="str">
        <f t="shared" si="50"/>
        <v/>
      </c>
      <c r="P410" s="76" t="str">
        <f t="shared" si="51"/>
        <v/>
      </c>
      <c r="Q410" s="75" t="str">
        <f t="shared" si="52"/>
        <v/>
      </c>
      <c r="R410" s="76" t="str">
        <f t="shared" si="53"/>
        <v/>
      </c>
      <c r="S410" s="76" t="str">
        <f t="shared" si="54"/>
        <v/>
      </c>
      <c r="T410" s="43"/>
      <c r="U410" s="107"/>
      <c r="V410" s="76" t="str">
        <f t="shared" si="55"/>
        <v/>
      </c>
      <c r="W410" s="43"/>
      <c r="X410" s="43"/>
      <c r="Y410" s="74"/>
    </row>
    <row r="411" ht="18" customHeight="1" spans="1:25">
      <c r="A411" s="74" t="str">
        <f t="shared" si="48"/>
        <v/>
      </c>
      <c r="B411" s="7"/>
      <c r="C411" s="43"/>
      <c r="D411" s="106"/>
      <c r="E411" s="43"/>
      <c r="F411" s="43"/>
      <c r="G411" s="43"/>
      <c r="H411" s="107"/>
      <c r="I411" s="107"/>
      <c r="J411" s="76" t="str">
        <f>IF($C411="","",ROUND(IFERROR(INDEX(期初余额!$I$4:$I$9,MATCH($C411,期初余额!$H$4:$H$9,0)),0)+SUMIFS($H$4:$H411,$C$4:$C411,$C411)-SUMIFS($I$4:$I411,$C$4:$C411,$C411),2))</f>
        <v/>
      </c>
      <c r="K411" s="111" t="str">
        <f>IF($T411&lt;&gt;"",$T411,IF($C411="","",IF(AND(N($I411)&gt;0,$G411&lt;&gt;""),IFERROR(INDEX(科目表!$U$4:$U$123,MATCH($G411,科目表!$M$4:$M$123,0)),"管理费用"),IF(N($H411)&gt;0,IFERROR(INDEX(自动规则!$C$4:$C$40,MATCH($F411,自动规则!$B$4:$B$40,0)),"其他应收款"),IFERROR(INDEX(自动规则!$D$4:$D$40,MATCH($F411,自动规则!$B$4:$B$40,0)),"其他应付款")))))</f>
        <v/>
      </c>
      <c r="L411" s="106"/>
      <c r="M411" s="75" t="str">
        <f>IF($C411="","",IFERROR(INDEX(科目表!$T$4:$T$9,MATCH($C411,科目表!$S$4:$S$9,0)),""))</f>
        <v/>
      </c>
      <c r="N411" s="75" t="str">
        <f t="shared" si="49"/>
        <v/>
      </c>
      <c r="O411" s="76" t="str">
        <f t="shared" si="50"/>
        <v/>
      </c>
      <c r="P411" s="76" t="str">
        <f t="shared" si="51"/>
        <v/>
      </c>
      <c r="Q411" s="75" t="str">
        <f t="shared" si="52"/>
        <v/>
      </c>
      <c r="R411" s="76" t="str">
        <f t="shared" si="53"/>
        <v/>
      </c>
      <c r="S411" s="76" t="str">
        <f t="shared" si="54"/>
        <v/>
      </c>
      <c r="T411" s="43"/>
      <c r="U411" s="107"/>
      <c r="V411" s="76" t="str">
        <f t="shared" si="55"/>
        <v/>
      </c>
      <c r="W411" s="43"/>
      <c r="X411" s="43"/>
      <c r="Y411" s="74"/>
    </row>
    <row r="412" ht="18" customHeight="1" spans="1:25">
      <c r="A412" s="74" t="str">
        <f t="shared" si="48"/>
        <v/>
      </c>
      <c r="B412" s="7"/>
      <c r="C412" s="43"/>
      <c r="D412" s="106"/>
      <c r="E412" s="43"/>
      <c r="F412" s="43"/>
      <c r="G412" s="43"/>
      <c r="H412" s="107"/>
      <c r="I412" s="107"/>
      <c r="J412" s="76" t="str">
        <f>IF($C412="","",ROUND(IFERROR(INDEX(期初余额!$I$4:$I$9,MATCH($C412,期初余额!$H$4:$H$9,0)),0)+SUMIFS($H$4:$H412,$C$4:$C412,$C412)-SUMIFS($I$4:$I412,$C$4:$C412,$C412),2))</f>
        <v/>
      </c>
      <c r="K412" s="111" t="str">
        <f>IF($T412&lt;&gt;"",$T412,IF($C412="","",IF(AND(N($I412)&gt;0,$G412&lt;&gt;""),IFERROR(INDEX(科目表!$U$4:$U$123,MATCH($G412,科目表!$M$4:$M$123,0)),"管理费用"),IF(N($H412)&gt;0,IFERROR(INDEX(自动规则!$C$4:$C$40,MATCH($F412,自动规则!$B$4:$B$40,0)),"其他应收款"),IFERROR(INDEX(自动规则!$D$4:$D$40,MATCH($F412,自动规则!$B$4:$B$40,0)),"其他应付款")))))</f>
        <v/>
      </c>
      <c r="L412" s="106"/>
      <c r="M412" s="75" t="str">
        <f>IF($C412="","",IFERROR(INDEX(科目表!$T$4:$T$9,MATCH($C412,科目表!$S$4:$S$9,0)),""))</f>
        <v/>
      </c>
      <c r="N412" s="75" t="str">
        <f t="shared" si="49"/>
        <v/>
      </c>
      <c r="O412" s="76" t="str">
        <f t="shared" si="50"/>
        <v/>
      </c>
      <c r="P412" s="76" t="str">
        <f t="shared" si="51"/>
        <v/>
      </c>
      <c r="Q412" s="75" t="str">
        <f t="shared" si="52"/>
        <v/>
      </c>
      <c r="R412" s="76" t="str">
        <f t="shared" si="53"/>
        <v/>
      </c>
      <c r="S412" s="76" t="str">
        <f t="shared" si="54"/>
        <v/>
      </c>
      <c r="T412" s="43"/>
      <c r="U412" s="107"/>
      <c r="V412" s="76" t="str">
        <f t="shared" si="55"/>
        <v/>
      </c>
      <c r="W412" s="43"/>
      <c r="X412" s="43"/>
      <c r="Y412" s="74"/>
    </row>
    <row r="413" ht="18" customHeight="1" spans="1:25">
      <c r="A413" s="74" t="str">
        <f t="shared" si="48"/>
        <v/>
      </c>
      <c r="B413" s="7"/>
      <c r="C413" s="43"/>
      <c r="D413" s="106"/>
      <c r="E413" s="43"/>
      <c r="F413" s="43"/>
      <c r="G413" s="43"/>
      <c r="H413" s="107"/>
      <c r="I413" s="107"/>
      <c r="J413" s="76" t="str">
        <f>IF($C413="","",ROUND(IFERROR(INDEX(期初余额!$I$4:$I$9,MATCH($C413,期初余额!$H$4:$H$9,0)),0)+SUMIFS($H$4:$H413,$C$4:$C413,$C413)-SUMIFS($I$4:$I413,$C$4:$C413,$C413),2))</f>
        <v/>
      </c>
      <c r="K413" s="111" t="str">
        <f>IF($T413&lt;&gt;"",$T413,IF($C413="","",IF(AND(N($I413)&gt;0,$G413&lt;&gt;""),IFERROR(INDEX(科目表!$U$4:$U$123,MATCH($G413,科目表!$M$4:$M$123,0)),"管理费用"),IF(N($H413)&gt;0,IFERROR(INDEX(自动规则!$C$4:$C$40,MATCH($F413,自动规则!$B$4:$B$40,0)),"其他应收款"),IFERROR(INDEX(自动规则!$D$4:$D$40,MATCH($F413,自动规则!$B$4:$B$40,0)),"其他应付款")))))</f>
        <v/>
      </c>
      <c r="L413" s="106"/>
      <c r="M413" s="75" t="str">
        <f>IF($C413="","",IFERROR(INDEX(科目表!$T$4:$T$9,MATCH($C413,科目表!$S$4:$S$9,0)),""))</f>
        <v/>
      </c>
      <c r="N413" s="75" t="str">
        <f t="shared" si="49"/>
        <v/>
      </c>
      <c r="O413" s="76" t="str">
        <f t="shared" si="50"/>
        <v/>
      </c>
      <c r="P413" s="76" t="str">
        <f t="shared" si="51"/>
        <v/>
      </c>
      <c r="Q413" s="75" t="str">
        <f t="shared" si="52"/>
        <v/>
      </c>
      <c r="R413" s="76" t="str">
        <f t="shared" si="53"/>
        <v/>
      </c>
      <c r="S413" s="76" t="str">
        <f t="shared" si="54"/>
        <v/>
      </c>
      <c r="T413" s="43"/>
      <c r="U413" s="107"/>
      <c r="V413" s="76" t="str">
        <f t="shared" si="55"/>
        <v/>
      </c>
      <c r="W413" s="43"/>
      <c r="X413" s="43"/>
      <c r="Y413" s="74"/>
    </row>
    <row r="414" ht="18" customHeight="1" spans="1:25">
      <c r="A414" s="74" t="str">
        <f t="shared" si="48"/>
        <v/>
      </c>
      <c r="B414" s="7"/>
      <c r="C414" s="43"/>
      <c r="D414" s="106"/>
      <c r="E414" s="43"/>
      <c r="F414" s="43"/>
      <c r="G414" s="43"/>
      <c r="H414" s="107"/>
      <c r="I414" s="107"/>
      <c r="J414" s="76" t="str">
        <f>IF($C414="","",ROUND(IFERROR(INDEX(期初余额!$I$4:$I$9,MATCH($C414,期初余额!$H$4:$H$9,0)),0)+SUMIFS($H$4:$H414,$C$4:$C414,$C414)-SUMIFS($I$4:$I414,$C$4:$C414,$C414),2))</f>
        <v/>
      </c>
      <c r="K414" s="111" t="str">
        <f>IF($T414&lt;&gt;"",$T414,IF($C414="","",IF(AND(N($I414)&gt;0,$G414&lt;&gt;""),IFERROR(INDEX(科目表!$U$4:$U$123,MATCH($G414,科目表!$M$4:$M$123,0)),"管理费用"),IF(N($H414)&gt;0,IFERROR(INDEX(自动规则!$C$4:$C$40,MATCH($F414,自动规则!$B$4:$B$40,0)),"其他应收款"),IFERROR(INDEX(自动规则!$D$4:$D$40,MATCH($F414,自动规则!$B$4:$B$40,0)),"其他应付款")))))</f>
        <v/>
      </c>
      <c r="L414" s="106"/>
      <c r="M414" s="75" t="str">
        <f>IF($C414="","",IFERROR(INDEX(科目表!$T$4:$T$9,MATCH($C414,科目表!$S$4:$S$9,0)),""))</f>
        <v/>
      </c>
      <c r="N414" s="75" t="str">
        <f t="shared" si="49"/>
        <v/>
      </c>
      <c r="O414" s="76" t="str">
        <f t="shared" si="50"/>
        <v/>
      </c>
      <c r="P414" s="76" t="str">
        <f t="shared" si="51"/>
        <v/>
      </c>
      <c r="Q414" s="75" t="str">
        <f t="shared" si="52"/>
        <v/>
      </c>
      <c r="R414" s="76" t="str">
        <f t="shared" si="53"/>
        <v/>
      </c>
      <c r="S414" s="76" t="str">
        <f t="shared" si="54"/>
        <v/>
      </c>
      <c r="T414" s="43"/>
      <c r="U414" s="107"/>
      <c r="V414" s="76" t="str">
        <f t="shared" si="55"/>
        <v/>
      </c>
      <c r="W414" s="43"/>
      <c r="X414" s="43"/>
      <c r="Y414" s="74"/>
    </row>
    <row r="415" ht="18" customHeight="1" spans="1:25">
      <c r="A415" s="74" t="str">
        <f t="shared" si="48"/>
        <v/>
      </c>
      <c r="B415" s="7"/>
      <c r="C415" s="43"/>
      <c r="D415" s="106"/>
      <c r="E415" s="43"/>
      <c r="F415" s="43"/>
      <c r="G415" s="43"/>
      <c r="H415" s="107"/>
      <c r="I415" s="107"/>
      <c r="J415" s="76" t="str">
        <f>IF($C415="","",ROUND(IFERROR(INDEX(期初余额!$I$4:$I$9,MATCH($C415,期初余额!$H$4:$H$9,0)),0)+SUMIFS($H$4:$H415,$C$4:$C415,$C415)-SUMIFS($I$4:$I415,$C$4:$C415,$C415),2))</f>
        <v/>
      </c>
      <c r="K415" s="111" t="str">
        <f>IF($T415&lt;&gt;"",$T415,IF($C415="","",IF(AND(N($I415)&gt;0,$G415&lt;&gt;""),IFERROR(INDEX(科目表!$U$4:$U$123,MATCH($G415,科目表!$M$4:$M$123,0)),"管理费用"),IF(N($H415)&gt;0,IFERROR(INDEX(自动规则!$C$4:$C$40,MATCH($F415,自动规则!$B$4:$B$40,0)),"其他应收款"),IFERROR(INDEX(自动规则!$D$4:$D$40,MATCH($F415,自动规则!$B$4:$B$40,0)),"其他应付款")))))</f>
        <v/>
      </c>
      <c r="L415" s="106"/>
      <c r="M415" s="75" t="str">
        <f>IF($C415="","",IFERROR(INDEX(科目表!$T$4:$T$9,MATCH($C415,科目表!$S$4:$S$9,0)),""))</f>
        <v/>
      </c>
      <c r="N415" s="75" t="str">
        <f t="shared" si="49"/>
        <v/>
      </c>
      <c r="O415" s="76" t="str">
        <f t="shared" si="50"/>
        <v/>
      </c>
      <c r="P415" s="76" t="str">
        <f t="shared" si="51"/>
        <v/>
      </c>
      <c r="Q415" s="75" t="str">
        <f t="shared" si="52"/>
        <v/>
      </c>
      <c r="R415" s="76" t="str">
        <f t="shared" si="53"/>
        <v/>
      </c>
      <c r="S415" s="76" t="str">
        <f t="shared" si="54"/>
        <v/>
      </c>
      <c r="T415" s="43"/>
      <c r="U415" s="107"/>
      <c r="V415" s="76" t="str">
        <f t="shared" si="55"/>
        <v/>
      </c>
      <c r="W415" s="43"/>
      <c r="X415" s="43"/>
      <c r="Y415" s="74"/>
    </row>
    <row r="416" ht="18" customHeight="1" spans="1:25">
      <c r="A416" s="74" t="str">
        <f t="shared" si="48"/>
        <v/>
      </c>
      <c r="B416" s="7"/>
      <c r="C416" s="43"/>
      <c r="D416" s="106"/>
      <c r="E416" s="43"/>
      <c r="F416" s="43"/>
      <c r="G416" s="43"/>
      <c r="H416" s="107"/>
      <c r="I416" s="107"/>
      <c r="J416" s="76" t="str">
        <f>IF($C416="","",ROUND(IFERROR(INDEX(期初余额!$I$4:$I$9,MATCH($C416,期初余额!$H$4:$H$9,0)),0)+SUMIFS($H$4:$H416,$C$4:$C416,$C416)-SUMIFS($I$4:$I416,$C$4:$C416,$C416),2))</f>
        <v/>
      </c>
      <c r="K416" s="111" t="str">
        <f>IF($T416&lt;&gt;"",$T416,IF($C416="","",IF(AND(N($I416)&gt;0,$G416&lt;&gt;""),IFERROR(INDEX(科目表!$U$4:$U$123,MATCH($G416,科目表!$M$4:$M$123,0)),"管理费用"),IF(N($H416)&gt;0,IFERROR(INDEX(自动规则!$C$4:$C$40,MATCH($F416,自动规则!$B$4:$B$40,0)),"其他应收款"),IFERROR(INDEX(自动规则!$D$4:$D$40,MATCH($F416,自动规则!$B$4:$B$40,0)),"其他应付款")))))</f>
        <v/>
      </c>
      <c r="L416" s="106"/>
      <c r="M416" s="75" t="str">
        <f>IF($C416="","",IFERROR(INDEX(科目表!$T$4:$T$9,MATCH($C416,科目表!$S$4:$S$9,0)),""))</f>
        <v/>
      </c>
      <c r="N416" s="75" t="str">
        <f t="shared" si="49"/>
        <v/>
      </c>
      <c r="O416" s="76" t="str">
        <f t="shared" si="50"/>
        <v/>
      </c>
      <c r="P416" s="76" t="str">
        <f t="shared" si="51"/>
        <v/>
      </c>
      <c r="Q416" s="75" t="str">
        <f t="shared" si="52"/>
        <v/>
      </c>
      <c r="R416" s="76" t="str">
        <f t="shared" si="53"/>
        <v/>
      </c>
      <c r="S416" s="76" t="str">
        <f t="shared" si="54"/>
        <v/>
      </c>
      <c r="T416" s="43"/>
      <c r="U416" s="107"/>
      <c r="V416" s="76" t="str">
        <f t="shared" si="55"/>
        <v/>
      </c>
      <c r="W416" s="43"/>
      <c r="X416" s="43"/>
      <c r="Y416" s="74"/>
    </row>
    <row r="417" ht="18" customHeight="1" spans="1:25">
      <c r="A417" s="74" t="str">
        <f t="shared" si="48"/>
        <v/>
      </c>
      <c r="B417" s="7"/>
      <c r="C417" s="43"/>
      <c r="D417" s="106"/>
      <c r="E417" s="43"/>
      <c r="F417" s="43"/>
      <c r="G417" s="43"/>
      <c r="H417" s="107"/>
      <c r="I417" s="107"/>
      <c r="J417" s="76" t="str">
        <f>IF($C417="","",ROUND(IFERROR(INDEX(期初余额!$I$4:$I$9,MATCH($C417,期初余额!$H$4:$H$9,0)),0)+SUMIFS($H$4:$H417,$C$4:$C417,$C417)-SUMIFS($I$4:$I417,$C$4:$C417,$C417),2))</f>
        <v/>
      </c>
      <c r="K417" s="111" t="str">
        <f>IF($T417&lt;&gt;"",$T417,IF($C417="","",IF(AND(N($I417)&gt;0,$G417&lt;&gt;""),IFERROR(INDEX(科目表!$U$4:$U$123,MATCH($G417,科目表!$M$4:$M$123,0)),"管理费用"),IF(N($H417)&gt;0,IFERROR(INDEX(自动规则!$C$4:$C$40,MATCH($F417,自动规则!$B$4:$B$40,0)),"其他应收款"),IFERROR(INDEX(自动规则!$D$4:$D$40,MATCH($F417,自动规则!$B$4:$B$40,0)),"其他应付款")))))</f>
        <v/>
      </c>
      <c r="L417" s="106"/>
      <c r="M417" s="75" t="str">
        <f>IF($C417="","",IFERROR(INDEX(科目表!$T$4:$T$9,MATCH($C417,科目表!$S$4:$S$9,0)),""))</f>
        <v/>
      </c>
      <c r="N417" s="75" t="str">
        <f t="shared" si="49"/>
        <v/>
      </c>
      <c r="O417" s="76" t="str">
        <f t="shared" si="50"/>
        <v/>
      </c>
      <c r="P417" s="76" t="str">
        <f t="shared" si="51"/>
        <v/>
      </c>
      <c r="Q417" s="75" t="str">
        <f t="shared" si="52"/>
        <v/>
      </c>
      <c r="R417" s="76" t="str">
        <f t="shared" si="53"/>
        <v/>
      </c>
      <c r="S417" s="76" t="str">
        <f t="shared" si="54"/>
        <v/>
      </c>
      <c r="T417" s="43"/>
      <c r="U417" s="107"/>
      <c r="V417" s="76" t="str">
        <f t="shared" si="55"/>
        <v/>
      </c>
      <c r="W417" s="43"/>
      <c r="X417" s="43"/>
      <c r="Y417" s="74"/>
    </row>
    <row r="418" ht="18" customHeight="1" spans="1:25">
      <c r="A418" s="74" t="str">
        <f t="shared" si="48"/>
        <v/>
      </c>
      <c r="B418" s="7"/>
      <c r="C418" s="43"/>
      <c r="D418" s="106"/>
      <c r="E418" s="43"/>
      <c r="F418" s="43"/>
      <c r="G418" s="43"/>
      <c r="H418" s="107"/>
      <c r="I418" s="107"/>
      <c r="J418" s="76" t="str">
        <f>IF($C418="","",ROUND(IFERROR(INDEX(期初余额!$I$4:$I$9,MATCH($C418,期初余额!$H$4:$H$9,0)),0)+SUMIFS($H$4:$H418,$C$4:$C418,$C418)-SUMIFS($I$4:$I418,$C$4:$C418,$C418),2))</f>
        <v/>
      </c>
      <c r="K418" s="111" t="str">
        <f>IF($T418&lt;&gt;"",$T418,IF($C418="","",IF(AND(N($I418)&gt;0,$G418&lt;&gt;""),IFERROR(INDEX(科目表!$U$4:$U$123,MATCH($G418,科目表!$M$4:$M$123,0)),"管理费用"),IF(N($H418)&gt;0,IFERROR(INDEX(自动规则!$C$4:$C$40,MATCH($F418,自动规则!$B$4:$B$40,0)),"其他应收款"),IFERROR(INDEX(自动规则!$D$4:$D$40,MATCH($F418,自动规则!$B$4:$B$40,0)),"其他应付款")))))</f>
        <v/>
      </c>
      <c r="L418" s="106"/>
      <c r="M418" s="75" t="str">
        <f>IF($C418="","",IFERROR(INDEX(科目表!$T$4:$T$9,MATCH($C418,科目表!$S$4:$S$9,0)),""))</f>
        <v/>
      </c>
      <c r="N418" s="75" t="str">
        <f t="shared" si="49"/>
        <v/>
      </c>
      <c r="O418" s="76" t="str">
        <f t="shared" si="50"/>
        <v/>
      </c>
      <c r="P418" s="76" t="str">
        <f t="shared" si="51"/>
        <v/>
      </c>
      <c r="Q418" s="75" t="str">
        <f t="shared" si="52"/>
        <v/>
      </c>
      <c r="R418" s="76" t="str">
        <f t="shared" si="53"/>
        <v/>
      </c>
      <c r="S418" s="76" t="str">
        <f t="shared" si="54"/>
        <v/>
      </c>
      <c r="T418" s="43"/>
      <c r="U418" s="107"/>
      <c r="V418" s="76" t="str">
        <f t="shared" si="55"/>
        <v/>
      </c>
      <c r="W418" s="43"/>
      <c r="X418" s="43"/>
      <c r="Y418" s="74"/>
    </row>
    <row r="419" ht="18" customHeight="1" spans="1:25">
      <c r="A419" s="74" t="str">
        <f t="shared" si="48"/>
        <v/>
      </c>
      <c r="B419" s="7"/>
      <c r="C419" s="43"/>
      <c r="D419" s="106"/>
      <c r="E419" s="43"/>
      <c r="F419" s="43"/>
      <c r="G419" s="43"/>
      <c r="H419" s="107"/>
      <c r="I419" s="107"/>
      <c r="J419" s="76" t="str">
        <f>IF($C419="","",ROUND(IFERROR(INDEX(期初余额!$I$4:$I$9,MATCH($C419,期初余额!$H$4:$H$9,0)),0)+SUMIFS($H$4:$H419,$C$4:$C419,$C419)-SUMIFS($I$4:$I419,$C$4:$C419,$C419),2))</f>
        <v/>
      </c>
      <c r="K419" s="111" t="str">
        <f>IF($T419&lt;&gt;"",$T419,IF($C419="","",IF(AND(N($I419)&gt;0,$G419&lt;&gt;""),IFERROR(INDEX(科目表!$U$4:$U$123,MATCH($G419,科目表!$M$4:$M$123,0)),"管理费用"),IF(N($H419)&gt;0,IFERROR(INDEX(自动规则!$C$4:$C$40,MATCH($F419,自动规则!$B$4:$B$40,0)),"其他应收款"),IFERROR(INDEX(自动规则!$D$4:$D$40,MATCH($F419,自动规则!$B$4:$B$40,0)),"其他应付款")))))</f>
        <v/>
      </c>
      <c r="L419" s="106"/>
      <c r="M419" s="75" t="str">
        <f>IF($C419="","",IFERROR(INDEX(科目表!$T$4:$T$9,MATCH($C419,科目表!$S$4:$S$9,0)),""))</f>
        <v/>
      </c>
      <c r="N419" s="75" t="str">
        <f t="shared" si="49"/>
        <v/>
      </c>
      <c r="O419" s="76" t="str">
        <f t="shared" si="50"/>
        <v/>
      </c>
      <c r="P419" s="76" t="str">
        <f t="shared" si="51"/>
        <v/>
      </c>
      <c r="Q419" s="75" t="str">
        <f t="shared" si="52"/>
        <v/>
      </c>
      <c r="R419" s="76" t="str">
        <f t="shared" si="53"/>
        <v/>
      </c>
      <c r="S419" s="76" t="str">
        <f t="shared" si="54"/>
        <v/>
      </c>
      <c r="T419" s="43"/>
      <c r="U419" s="107"/>
      <c r="V419" s="76" t="str">
        <f t="shared" si="55"/>
        <v/>
      </c>
      <c r="W419" s="43"/>
      <c r="X419" s="43"/>
      <c r="Y419" s="74"/>
    </row>
    <row r="420" ht="18" customHeight="1" spans="1:25">
      <c r="A420" s="74" t="str">
        <f t="shared" si="48"/>
        <v/>
      </c>
      <c r="B420" s="7"/>
      <c r="C420" s="43"/>
      <c r="D420" s="106"/>
      <c r="E420" s="43"/>
      <c r="F420" s="43"/>
      <c r="G420" s="43"/>
      <c r="H420" s="107"/>
      <c r="I420" s="107"/>
      <c r="J420" s="76" t="str">
        <f>IF($C420="","",ROUND(IFERROR(INDEX(期初余额!$I$4:$I$9,MATCH($C420,期初余额!$H$4:$H$9,0)),0)+SUMIFS($H$4:$H420,$C$4:$C420,$C420)-SUMIFS($I$4:$I420,$C$4:$C420,$C420),2))</f>
        <v/>
      </c>
      <c r="K420" s="111" t="str">
        <f>IF($T420&lt;&gt;"",$T420,IF($C420="","",IF(AND(N($I420)&gt;0,$G420&lt;&gt;""),IFERROR(INDEX(科目表!$U$4:$U$123,MATCH($G420,科目表!$M$4:$M$123,0)),"管理费用"),IF(N($H420)&gt;0,IFERROR(INDEX(自动规则!$C$4:$C$40,MATCH($F420,自动规则!$B$4:$B$40,0)),"其他应收款"),IFERROR(INDEX(自动规则!$D$4:$D$40,MATCH($F420,自动规则!$B$4:$B$40,0)),"其他应付款")))))</f>
        <v/>
      </c>
      <c r="L420" s="106"/>
      <c r="M420" s="75" t="str">
        <f>IF($C420="","",IFERROR(INDEX(科目表!$T$4:$T$9,MATCH($C420,科目表!$S$4:$S$9,0)),""))</f>
        <v/>
      </c>
      <c r="N420" s="75" t="str">
        <f t="shared" si="49"/>
        <v/>
      </c>
      <c r="O420" s="76" t="str">
        <f t="shared" si="50"/>
        <v/>
      </c>
      <c r="P420" s="76" t="str">
        <f t="shared" si="51"/>
        <v/>
      </c>
      <c r="Q420" s="75" t="str">
        <f t="shared" si="52"/>
        <v/>
      </c>
      <c r="R420" s="76" t="str">
        <f t="shared" si="53"/>
        <v/>
      </c>
      <c r="S420" s="76" t="str">
        <f t="shared" si="54"/>
        <v/>
      </c>
      <c r="T420" s="43"/>
      <c r="U420" s="107"/>
      <c r="V420" s="76" t="str">
        <f t="shared" si="55"/>
        <v/>
      </c>
      <c r="W420" s="43"/>
      <c r="X420" s="43"/>
      <c r="Y420" s="74"/>
    </row>
    <row r="421" ht="18" customHeight="1" spans="1:25">
      <c r="A421" s="74" t="str">
        <f t="shared" si="48"/>
        <v/>
      </c>
      <c r="B421" s="7"/>
      <c r="C421" s="43"/>
      <c r="D421" s="106"/>
      <c r="E421" s="43"/>
      <c r="F421" s="43"/>
      <c r="G421" s="43"/>
      <c r="H421" s="107"/>
      <c r="I421" s="107"/>
      <c r="J421" s="76" t="str">
        <f>IF($C421="","",ROUND(IFERROR(INDEX(期初余额!$I$4:$I$9,MATCH($C421,期初余额!$H$4:$H$9,0)),0)+SUMIFS($H$4:$H421,$C$4:$C421,$C421)-SUMIFS($I$4:$I421,$C$4:$C421,$C421),2))</f>
        <v/>
      </c>
      <c r="K421" s="111" t="str">
        <f>IF($T421&lt;&gt;"",$T421,IF($C421="","",IF(AND(N($I421)&gt;0,$G421&lt;&gt;""),IFERROR(INDEX(科目表!$U$4:$U$123,MATCH($G421,科目表!$M$4:$M$123,0)),"管理费用"),IF(N($H421)&gt;0,IFERROR(INDEX(自动规则!$C$4:$C$40,MATCH($F421,自动规则!$B$4:$B$40,0)),"其他应收款"),IFERROR(INDEX(自动规则!$D$4:$D$40,MATCH($F421,自动规则!$B$4:$B$40,0)),"其他应付款")))))</f>
        <v/>
      </c>
      <c r="L421" s="106"/>
      <c r="M421" s="75" t="str">
        <f>IF($C421="","",IFERROR(INDEX(科目表!$T$4:$T$9,MATCH($C421,科目表!$S$4:$S$9,0)),""))</f>
        <v/>
      </c>
      <c r="N421" s="75" t="str">
        <f t="shared" si="49"/>
        <v/>
      </c>
      <c r="O421" s="76" t="str">
        <f t="shared" si="50"/>
        <v/>
      </c>
      <c r="P421" s="76" t="str">
        <f t="shared" si="51"/>
        <v/>
      </c>
      <c r="Q421" s="75" t="str">
        <f t="shared" si="52"/>
        <v/>
      </c>
      <c r="R421" s="76" t="str">
        <f t="shared" si="53"/>
        <v/>
      </c>
      <c r="S421" s="76" t="str">
        <f t="shared" si="54"/>
        <v/>
      </c>
      <c r="T421" s="43"/>
      <c r="U421" s="107"/>
      <c r="V421" s="76" t="str">
        <f t="shared" si="55"/>
        <v/>
      </c>
      <c r="W421" s="43"/>
      <c r="X421" s="43"/>
      <c r="Y421" s="74"/>
    </row>
    <row r="422" ht="18" customHeight="1" spans="1:25">
      <c r="A422" s="74" t="str">
        <f t="shared" si="48"/>
        <v/>
      </c>
      <c r="B422" s="7"/>
      <c r="C422" s="43"/>
      <c r="D422" s="106"/>
      <c r="E422" s="43"/>
      <c r="F422" s="43"/>
      <c r="G422" s="43"/>
      <c r="H422" s="107"/>
      <c r="I422" s="107"/>
      <c r="J422" s="76" t="str">
        <f>IF($C422="","",ROUND(IFERROR(INDEX(期初余额!$I$4:$I$9,MATCH($C422,期初余额!$H$4:$H$9,0)),0)+SUMIFS($H$4:$H422,$C$4:$C422,$C422)-SUMIFS($I$4:$I422,$C$4:$C422,$C422),2))</f>
        <v/>
      </c>
      <c r="K422" s="111" t="str">
        <f>IF($T422&lt;&gt;"",$T422,IF($C422="","",IF(AND(N($I422)&gt;0,$G422&lt;&gt;""),IFERROR(INDEX(科目表!$U$4:$U$123,MATCH($G422,科目表!$M$4:$M$123,0)),"管理费用"),IF(N($H422)&gt;0,IFERROR(INDEX(自动规则!$C$4:$C$40,MATCH($F422,自动规则!$B$4:$B$40,0)),"其他应收款"),IFERROR(INDEX(自动规则!$D$4:$D$40,MATCH($F422,自动规则!$B$4:$B$40,0)),"其他应付款")))))</f>
        <v/>
      </c>
      <c r="L422" s="106"/>
      <c r="M422" s="75" t="str">
        <f>IF($C422="","",IFERROR(INDEX(科目表!$T$4:$T$9,MATCH($C422,科目表!$S$4:$S$9,0)),""))</f>
        <v/>
      </c>
      <c r="N422" s="75" t="str">
        <f t="shared" si="49"/>
        <v/>
      </c>
      <c r="O422" s="76" t="str">
        <f t="shared" si="50"/>
        <v/>
      </c>
      <c r="P422" s="76" t="str">
        <f t="shared" si="51"/>
        <v/>
      </c>
      <c r="Q422" s="75" t="str">
        <f t="shared" si="52"/>
        <v/>
      </c>
      <c r="R422" s="76" t="str">
        <f t="shared" si="53"/>
        <v/>
      </c>
      <c r="S422" s="76" t="str">
        <f t="shared" si="54"/>
        <v/>
      </c>
      <c r="T422" s="43"/>
      <c r="U422" s="107"/>
      <c r="V422" s="76" t="str">
        <f t="shared" si="55"/>
        <v/>
      </c>
      <c r="W422" s="43"/>
      <c r="X422" s="43"/>
      <c r="Y422" s="74"/>
    </row>
    <row r="423" ht="18" customHeight="1" spans="1:25">
      <c r="A423" s="74" t="str">
        <f t="shared" si="48"/>
        <v/>
      </c>
      <c r="B423" s="7"/>
      <c r="C423" s="43"/>
      <c r="D423" s="106"/>
      <c r="E423" s="43"/>
      <c r="F423" s="43"/>
      <c r="G423" s="43"/>
      <c r="H423" s="107"/>
      <c r="I423" s="107"/>
      <c r="J423" s="76" t="str">
        <f>IF($C423="","",ROUND(IFERROR(INDEX(期初余额!$I$4:$I$9,MATCH($C423,期初余额!$H$4:$H$9,0)),0)+SUMIFS($H$4:$H423,$C$4:$C423,$C423)-SUMIFS($I$4:$I423,$C$4:$C423,$C423),2))</f>
        <v/>
      </c>
      <c r="K423" s="111" t="str">
        <f>IF($T423&lt;&gt;"",$T423,IF($C423="","",IF(AND(N($I423)&gt;0,$G423&lt;&gt;""),IFERROR(INDEX(科目表!$U$4:$U$123,MATCH($G423,科目表!$M$4:$M$123,0)),"管理费用"),IF(N($H423)&gt;0,IFERROR(INDEX(自动规则!$C$4:$C$40,MATCH($F423,自动规则!$B$4:$B$40,0)),"其他应收款"),IFERROR(INDEX(自动规则!$D$4:$D$40,MATCH($F423,自动规则!$B$4:$B$40,0)),"其他应付款")))))</f>
        <v/>
      </c>
      <c r="L423" s="106"/>
      <c r="M423" s="75" t="str">
        <f>IF($C423="","",IFERROR(INDEX(科目表!$T$4:$T$9,MATCH($C423,科目表!$S$4:$S$9,0)),""))</f>
        <v/>
      </c>
      <c r="N423" s="75" t="str">
        <f t="shared" si="49"/>
        <v/>
      </c>
      <c r="O423" s="76" t="str">
        <f t="shared" si="50"/>
        <v/>
      </c>
      <c r="P423" s="76" t="str">
        <f t="shared" si="51"/>
        <v/>
      </c>
      <c r="Q423" s="75" t="str">
        <f t="shared" si="52"/>
        <v/>
      </c>
      <c r="R423" s="76" t="str">
        <f t="shared" si="53"/>
        <v/>
      </c>
      <c r="S423" s="76" t="str">
        <f t="shared" si="54"/>
        <v/>
      </c>
      <c r="T423" s="43"/>
      <c r="U423" s="107"/>
      <c r="V423" s="76" t="str">
        <f t="shared" si="55"/>
        <v/>
      </c>
      <c r="W423" s="43"/>
      <c r="X423" s="43"/>
      <c r="Y423" s="74"/>
    </row>
    <row r="424" ht="18" customHeight="1" spans="1:25">
      <c r="A424" s="74" t="str">
        <f t="shared" si="48"/>
        <v/>
      </c>
      <c r="B424" s="7"/>
      <c r="C424" s="43"/>
      <c r="D424" s="106"/>
      <c r="E424" s="43"/>
      <c r="F424" s="43"/>
      <c r="G424" s="43"/>
      <c r="H424" s="107"/>
      <c r="I424" s="107"/>
      <c r="J424" s="76" t="str">
        <f>IF($C424="","",ROUND(IFERROR(INDEX(期初余额!$I$4:$I$9,MATCH($C424,期初余额!$H$4:$H$9,0)),0)+SUMIFS($H$4:$H424,$C$4:$C424,$C424)-SUMIFS($I$4:$I424,$C$4:$C424,$C424),2))</f>
        <v/>
      </c>
      <c r="K424" s="111" t="str">
        <f>IF($T424&lt;&gt;"",$T424,IF($C424="","",IF(AND(N($I424)&gt;0,$G424&lt;&gt;""),IFERROR(INDEX(科目表!$U$4:$U$123,MATCH($G424,科目表!$M$4:$M$123,0)),"管理费用"),IF(N($H424)&gt;0,IFERROR(INDEX(自动规则!$C$4:$C$40,MATCH($F424,自动规则!$B$4:$B$40,0)),"其他应收款"),IFERROR(INDEX(自动规则!$D$4:$D$40,MATCH($F424,自动规则!$B$4:$B$40,0)),"其他应付款")))))</f>
        <v/>
      </c>
      <c r="L424" s="106"/>
      <c r="M424" s="75" t="str">
        <f>IF($C424="","",IFERROR(INDEX(科目表!$T$4:$T$9,MATCH($C424,科目表!$S$4:$S$9,0)),""))</f>
        <v/>
      </c>
      <c r="N424" s="75" t="str">
        <f t="shared" si="49"/>
        <v/>
      </c>
      <c r="O424" s="76" t="str">
        <f t="shared" si="50"/>
        <v/>
      </c>
      <c r="P424" s="76" t="str">
        <f t="shared" si="51"/>
        <v/>
      </c>
      <c r="Q424" s="75" t="str">
        <f t="shared" si="52"/>
        <v/>
      </c>
      <c r="R424" s="76" t="str">
        <f t="shared" si="53"/>
        <v/>
      </c>
      <c r="S424" s="76" t="str">
        <f t="shared" si="54"/>
        <v/>
      </c>
      <c r="T424" s="43"/>
      <c r="U424" s="107"/>
      <c r="V424" s="76" t="str">
        <f t="shared" si="55"/>
        <v/>
      </c>
      <c r="W424" s="43"/>
      <c r="X424" s="43"/>
      <c r="Y424" s="74"/>
    </row>
    <row r="425" ht="18" customHeight="1" spans="1:25">
      <c r="A425" s="74" t="str">
        <f t="shared" si="48"/>
        <v/>
      </c>
      <c r="B425" s="7"/>
      <c r="C425" s="43"/>
      <c r="D425" s="106"/>
      <c r="E425" s="43"/>
      <c r="F425" s="43"/>
      <c r="G425" s="43"/>
      <c r="H425" s="107"/>
      <c r="I425" s="107"/>
      <c r="J425" s="76" t="str">
        <f>IF($C425="","",ROUND(IFERROR(INDEX(期初余额!$I$4:$I$9,MATCH($C425,期初余额!$H$4:$H$9,0)),0)+SUMIFS($H$4:$H425,$C$4:$C425,$C425)-SUMIFS($I$4:$I425,$C$4:$C425,$C425),2))</f>
        <v/>
      </c>
      <c r="K425" s="111" t="str">
        <f>IF($T425&lt;&gt;"",$T425,IF($C425="","",IF(AND(N($I425)&gt;0,$G425&lt;&gt;""),IFERROR(INDEX(科目表!$U$4:$U$123,MATCH($G425,科目表!$M$4:$M$123,0)),"管理费用"),IF(N($H425)&gt;0,IFERROR(INDEX(自动规则!$C$4:$C$40,MATCH($F425,自动规则!$B$4:$B$40,0)),"其他应收款"),IFERROR(INDEX(自动规则!$D$4:$D$40,MATCH($F425,自动规则!$B$4:$B$40,0)),"其他应付款")))))</f>
        <v/>
      </c>
      <c r="L425" s="106"/>
      <c r="M425" s="75" t="str">
        <f>IF($C425="","",IFERROR(INDEX(科目表!$T$4:$T$9,MATCH($C425,科目表!$S$4:$S$9,0)),""))</f>
        <v/>
      </c>
      <c r="N425" s="75" t="str">
        <f t="shared" si="49"/>
        <v/>
      </c>
      <c r="O425" s="76" t="str">
        <f t="shared" si="50"/>
        <v/>
      </c>
      <c r="P425" s="76" t="str">
        <f t="shared" si="51"/>
        <v/>
      </c>
      <c r="Q425" s="75" t="str">
        <f t="shared" si="52"/>
        <v/>
      </c>
      <c r="R425" s="76" t="str">
        <f t="shared" si="53"/>
        <v/>
      </c>
      <c r="S425" s="76" t="str">
        <f t="shared" si="54"/>
        <v/>
      </c>
      <c r="T425" s="43"/>
      <c r="U425" s="107"/>
      <c r="V425" s="76" t="str">
        <f t="shared" si="55"/>
        <v/>
      </c>
      <c r="W425" s="43"/>
      <c r="X425" s="43"/>
      <c r="Y425" s="74"/>
    </row>
    <row r="426" ht="18" customHeight="1" spans="1:25">
      <c r="A426" s="74" t="str">
        <f t="shared" si="48"/>
        <v/>
      </c>
      <c r="B426" s="7"/>
      <c r="C426" s="43"/>
      <c r="D426" s="106"/>
      <c r="E426" s="43"/>
      <c r="F426" s="43"/>
      <c r="G426" s="43"/>
      <c r="H426" s="107"/>
      <c r="I426" s="107"/>
      <c r="J426" s="76" t="str">
        <f>IF($C426="","",ROUND(IFERROR(INDEX(期初余额!$I$4:$I$9,MATCH($C426,期初余额!$H$4:$H$9,0)),0)+SUMIFS($H$4:$H426,$C$4:$C426,$C426)-SUMIFS($I$4:$I426,$C$4:$C426,$C426),2))</f>
        <v/>
      </c>
      <c r="K426" s="111" t="str">
        <f>IF($T426&lt;&gt;"",$T426,IF($C426="","",IF(AND(N($I426)&gt;0,$G426&lt;&gt;""),IFERROR(INDEX(科目表!$U$4:$U$123,MATCH($G426,科目表!$M$4:$M$123,0)),"管理费用"),IF(N($H426)&gt;0,IFERROR(INDEX(自动规则!$C$4:$C$40,MATCH($F426,自动规则!$B$4:$B$40,0)),"其他应收款"),IFERROR(INDEX(自动规则!$D$4:$D$40,MATCH($F426,自动规则!$B$4:$B$40,0)),"其他应付款")))))</f>
        <v/>
      </c>
      <c r="L426" s="106"/>
      <c r="M426" s="75" t="str">
        <f>IF($C426="","",IFERROR(INDEX(科目表!$T$4:$T$9,MATCH($C426,科目表!$S$4:$S$9,0)),""))</f>
        <v/>
      </c>
      <c r="N426" s="75" t="str">
        <f t="shared" si="49"/>
        <v/>
      </c>
      <c r="O426" s="76" t="str">
        <f t="shared" si="50"/>
        <v/>
      </c>
      <c r="P426" s="76" t="str">
        <f t="shared" si="51"/>
        <v/>
      </c>
      <c r="Q426" s="75" t="str">
        <f t="shared" si="52"/>
        <v/>
      </c>
      <c r="R426" s="76" t="str">
        <f t="shared" si="53"/>
        <v/>
      </c>
      <c r="S426" s="76" t="str">
        <f t="shared" si="54"/>
        <v/>
      </c>
      <c r="T426" s="43"/>
      <c r="U426" s="107"/>
      <c r="V426" s="76" t="str">
        <f t="shared" si="55"/>
        <v/>
      </c>
      <c r="W426" s="43"/>
      <c r="X426" s="43"/>
      <c r="Y426" s="74"/>
    </row>
    <row r="427" ht="18" customHeight="1" spans="1:25">
      <c r="A427" s="74" t="str">
        <f t="shared" si="48"/>
        <v/>
      </c>
      <c r="B427" s="7"/>
      <c r="C427" s="43"/>
      <c r="D427" s="106"/>
      <c r="E427" s="43"/>
      <c r="F427" s="43"/>
      <c r="G427" s="43"/>
      <c r="H427" s="107"/>
      <c r="I427" s="107"/>
      <c r="J427" s="76" t="str">
        <f>IF($C427="","",ROUND(IFERROR(INDEX(期初余额!$I$4:$I$9,MATCH($C427,期初余额!$H$4:$H$9,0)),0)+SUMIFS($H$4:$H427,$C$4:$C427,$C427)-SUMIFS($I$4:$I427,$C$4:$C427,$C427),2))</f>
        <v/>
      </c>
      <c r="K427" s="111" t="str">
        <f>IF($T427&lt;&gt;"",$T427,IF($C427="","",IF(AND(N($I427)&gt;0,$G427&lt;&gt;""),IFERROR(INDEX(科目表!$U$4:$U$123,MATCH($G427,科目表!$M$4:$M$123,0)),"管理费用"),IF(N($H427)&gt;0,IFERROR(INDEX(自动规则!$C$4:$C$40,MATCH($F427,自动规则!$B$4:$B$40,0)),"其他应收款"),IFERROR(INDEX(自动规则!$D$4:$D$40,MATCH($F427,自动规则!$B$4:$B$40,0)),"其他应付款")))))</f>
        <v/>
      </c>
      <c r="L427" s="106"/>
      <c r="M427" s="75" t="str">
        <f>IF($C427="","",IFERROR(INDEX(科目表!$T$4:$T$9,MATCH($C427,科目表!$S$4:$S$9,0)),""))</f>
        <v/>
      </c>
      <c r="N427" s="75" t="str">
        <f t="shared" si="49"/>
        <v/>
      </c>
      <c r="O427" s="76" t="str">
        <f t="shared" si="50"/>
        <v/>
      </c>
      <c r="P427" s="76" t="str">
        <f t="shared" si="51"/>
        <v/>
      </c>
      <c r="Q427" s="75" t="str">
        <f t="shared" si="52"/>
        <v/>
      </c>
      <c r="R427" s="76" t="str">
        <f t="shared" si="53"/>
        <v/>
      </c>
      <c r="S427" s="76" t="str">
        <f t="shared" si="54"/>
        <v/>
      </c>
      <c r="T427" s="43"/>
      <c r="U427" s="107"/>
      <c r="V427" s="76" t="str">
        <f t="shared" si="55"/>
        <v/>
      </c>
      <c r="W427" s="43"/>
      <c r="X427" s="43"/>
      <c r="Y427" s="74"/>
    </row>
    <row r="428" ht="18" customHeight="1" spans="1:25">
      <c r="A428" s="74" t="str">
        <f t="shared" si="48"/>
        <v/>
      </c>
      <c r="B428" s="7"/>
      <c r="C428" s="43"/>
      <c r="D428" s="106"/>
      <c r="E428" s="43"/>
      <c r="F428" s="43"/>
      <c r="G428" s="43"/>
      <c r="H428" s="107"/>
      <c r="I428" s="107"/>
      <c r="J428" s="76" t="str">
        <f>IF($C428="","",ROUND(IFERROR(INDEX(期初余额!$I$4:$I$9,MATCH($C428,期初余额!$H$4:$H$9,0)),0)+SUMIFS($H$4:$H428,$C$4:$C428,$C428)-SUMIFS($I$4:$I428,$C$4:$C428,$C428),2))</f>
        <v/>
      </c>
      <c r="K428" s="111" t="str">
        <f>IF($T428&lt;&gt;"",$T428,IF($C428="","",IF(AND(N($I428)&gt;0,$G428&lt;&gt;""),IFERROR(INDEX(科目表!$U$4:$U$123,MATCH($G428,科目表!$M$4:$M$123,0)),"管理费用"),IF(N($H428)&gt;0,IFERROR(INDEX(自动规则!$C$4:$C$40,MATCH($F428,自动规则!$B$4:$B$40,0)),"其他应收款"),IFERROR(INDEX(自动规则!$D$4:$D$40,MATCH($F428,自动规则!$B$4:$B$40,0)),"其他应付款")))))</f>
        <v/>
      </c>
      <c r="L428" s="106"/>
      <c r="M428" s="75" t="str">
        <f>IF($C428="","",IFERROR(INDEX(科目表!$T$4:$T$9,MATCH($C428,科目表!$S$4:$S$9,0)),""))</f>
        <v/>
      </c>
      <c r="N428" s="75" t="str">
        <f t="shared" si="49"/>
        <v/>
      </c>
      <c r="O428" s="76" t="str">
        <f t="shared" si="50"/>
        <v/>
      </c>
      <c r="P428" s="76" t="str">
        <f t="shared" si="51"/>
        <v/>
      </c>
      <c r="Q428" s="75" t="str">
        <f t="shared" si="52"/>
        <v/>
      </c>
      <c r="R428" s="76" t="str">
        <f t="shared" si="53"/>
        <v/>
      </c>
      <c r="S428" s="76" t="str">
        <f t="shared" si="54"/>
        <v/>
      </c>
      <c r="T428" s="43"/>
      <c r="U428" s="107"/>
      <c r="V428" s="76" t="str">
        <f t="shared" si="55"/>
        <v/>
      </c>
      <c r="W428" s="43"/>
      <c r="X428" s="43"/>
      <c r="Y428" s="74"/>
    </row>
    <row r="429" ht="18" customHeight="1" spans="1:25">
      <c r="A429" s="74" t="str">
        <f t="shared" si="48"/>
        <v/>
      </c>
      <c r="B429" s="7"/>
      <c r="C429" s="43"/>
      <c r="D429" s="106"/>
      <c r="E429" s="43"/>
      <c r="F429" s="43"/>
      <c r="G429" s="43"/>
      <c r="H429" s="107"/>
      <c r="I429" s="107"/>
      <c r="J429" s="76" t="str">
        <f>IF($C429="","",ROUND(IFERROR(INDEX(期初余额!$I$4:$I$9,MATCH($C429,期初余额!$H$4:$H$9,0)),0)+SUMIFS($H$4:$H429,$C$4:$C429,$C429)-SUMIFS($I$4:$I429,$C$4:$C429,$C429),2))</f>
        <v/>
      </c>
      <c r="K429" s="111" t="str">
        <f>IF($T429&lt;&gt;"",$T429,IF($C429="","",IF(AND(N($I429)&gt;0,$G429&lt;&gt;""),IFERROR(INDEX(科目表!$U$4:$U$123,MATCH($G429,科目表!$M$4:$M$123,0)),"管理费用"),IF(N($H429)&gt;0,IFERROR(INDEX(自动规则!$C$4:$C$40,MATCH($F429,自动规则!$B$4:$B$40,0)),"其他应收款"),IFERROR(INDEX(自动规则!$D$4:$D$40,MATCH($F429,自动规则!$B$4:$B$40,0)),"其他应付款")))))</f>
        <v/>
      </c>
      <c r="L429" s="106"/>
      <c r="M429" s="75" t="str">
        <f>IF($C429="","",IFERROR(INDEX(科目表!$T$4:$T$9,MATCH($C429,科目表!$S$4:$S$9,0)),""))</f>
        <v/>
      </c>
      <c r="N429" s="75" t="str">
        <f t="shared" si="49"/>
        <v/>
      </c>
      <c r="O429" s="76" t="str">
        <f t="shared" si="50"/>
        <v/>
      </c>
      <c r="P429" s="76" t="str">
        <f t="shared" si="51"/>
        <v/>
      </c>
      <c r="Q429" s="75" t="str">
        <f t="shared" si="52"/>
        <v/>
      </c>
      <c r="R429" s="76" t="str">
        <f t="shared" si="53"/>
        <v/>
      </c>
      <c r="S429" s="76" t="str">
        <f t="shared" si="54"/>
        <v/>
      </c>
      <c r="T429" s="43"/>
      <c r="U429" s="107"/>
      <c r="V429" s="76" t="str">
        <f t="shared" si="55"/>
        <v/>
      </c>
      <c r="W429" s="43"/>
      <c r="X429" s="43"/>
      <c r="Y429" s="74"/>
    </row>
    <row r="430" ht="18" customHeight="1" spans="1:25">
      <c r="A430" s="74" t="str">
        <f t="shared" si="48"/>
        <v/>
      </c>
      <c r="B430" s="7"/>
      <c r="C430" s="43"/>
      <c r="D430" s="106"/>
      <c r="E430" s="43"/>
      <c r="F430" s="43"/>
      <c r="G430" s="43"/>
      <c r="H430" s="107"/>
      <c r="I430" s="107"/>
      <c r="J430" s="76" t="str">
        <f>IF($C430="","",ROUND(IFERROR(INDEX(期初余额!$I$4:$I$9,MATCH($C430,期初余额!$H$4:$H$9,0)),0)+SUMIFS($H$4:$H430,$C$4:$C430,$C430)-SUMIFS($I$4:$I430,$C$4:$C430,$C430),2))</f>
        <v/>
      </c>
      <c r="K430" s="111" t="str">
        <f>IF($T430&lt;&gt;"",$T430,IF($C430="","",IF(AND(N($I430)&gt;0,$G430&lt;&gt;""),IFERROR(INDEX(科目表!$U$4:$U$123,MATCH($G430,科目表!$M$4:$M$123,0)),"管理费用"),IF(N($H430)&gt;0,IFERROR(INDEX(自动规则!$C$4:$C$40,MATCH($F430,自动规则!$B$4:$B$40,0)),"其他应收款"),IFERROR(INDEX(自动规则!$D$4:$D$40,MATCH($F430,自动规则!$B$4:$B$40,0)),"其他应付款")))))</f>
        <v/>
      </c>
      <c r="L430" s="106"/>
      <c r="M430" s="75" t="str">
        <f>IF($C430="","",IFERROR(INDEX(科目表!$T$4:$T$9,MATCH($C430,科目表!$S$4:$S$9,0)),""))</f>
        <v/>
      </c>
      <c r="N430" s="75" t="str">
        <f t="shared" si="49"/>
        <v/>
      </c>
      <c r="O430" s="76" t="str">
        <f t="shared" si="50"/>
        <v/>
      </c>
      <c r="P430" s="76" t="str">
        <f t="shared" si="51"/>
        <v/>
      </c>
      <c r="Q430" s="75" t="str">
        <f t="shared" si="52"/>
        <v/>
      </c>
      <c r="R430" s="76" t="str">
        <f t="shared" si="53"/>
        <v/>
      </c>
      <c r="S430" s="76" t="str">
        <f t="shared" si="54"/>
        <v/>
      </c>
      <c r="T430" s="43"/>
      <c r="U430" s="107"/>
      <c r="V430" s="76" t="str">
        <f t="shared" si="55"/>
        <v/>
      </c>
      <c r="W430" s="43"/>
      <c r="X430" s="43"/>
      <c r="Y430" s="74"/>
    </row>
    <row r="431" ht="18" customHeight="1" spans="1:25">
      <c r="A431" s="74" t="str">
        <f t="shared" si="48"/>
        <v/>
      </c>
      <c r="B431" s="7"/>
      <c r="C431" s="43"/>
      <c r="D431" s="106"/>
      <c r="E431" s="43"/>
      <c r="F431" s="43"/>
      <c r="G431" s="43"/>
      <c r="H431" s="107"/>
      <c r="I431" s="107"/>
      <c r="J431" s="76" t="str">
        <f>IF($C431="","",ROUND(IFERROR(INDEX(期初余额!$I$4:$I$9,MATCH($C431,期初余额!$H$4:$H$9,0)),0)+SUMIFS($H$4:$H431,$C$4:$C431,$C431)-SUMIFS($I$4:$I431,$C$4:$C431,$C431),2))</f>
        <v/>
      </c>
      <c r="K431" s="111" t="str">
        <f>IF($T431&lt;&gt;"",$T431,IF($C431="","",IF(AND(N($I431)&gt;0,$G431&lt;&gt;""),IFERROR(INDEX(科目表!$U$4:$U$123,MATCH($G431,科目表!$M$4:$M$123,0)),"管理费用"),IF(N($H431)&gt;0,IFERROR(INDEX(自动规则!$C$4:$C$40,MATCH($F431,自动规则!$B$4:$B$40,0)),"其他应收款"),IFERROR(INDEX(自动规则!$D$4:$D$40,MATCH($F431,自动规则!$B$4:$B$40,0)),"其他应付款")))))</f>
        <v/>
      </c>
      <c r="L431" s="106"/>
      <c r="M431" s="75" t="str">
        <f>IF($C431="","",IFERROR(INDEX(科目表!$T$4:$T$9,MATCH($C431,科目表!$S$4:$S$9,0)),""))</f>
        <v/>
      </c>
      <c r="N431" s="75" t="str">
        <f t="shared" si="49"/>
        <v/>
      </c>
      <c r="O431" s="76" t="str">
        <f t="shared" si="50"/>
        <v/>
      </c>
      <c r="P431" s="76" t="str">
        <f t="shared" si="51"/>
        <v/>
      </c>
      <c r="Q431" s="75" t="str">
        <f t="shared" si="52"/>
        <v/>
      </c>
      <c r="R431" s="76" t="str">
        <f t="shared" si="53"/>
        <v/>
      </c>
      <c r="S431" s="76" t="str">
        <f t="shared" si="54"/>
        <v/>
      </c>
      <c r="T431" s="43"/>
      <c r="U431" s="107"/>
      <c r="V431" s="76" t="str">
        <f t="shared" si="55"/>
        <v/>
      </c>
      <c r="W431" s="43"/>
      <c r="X431" s="43"/>
      <c r="Y431" s="74"/>
    </row>
    <row r="432" ht="18" customHeight="1" spans="1:25">
      <c r="A432" s="74" t="str">
        <f t="shared" si="48"/>
        <v/>
      </c>
      <c r="B432" s="7"/>
      <c r="C432" s="43"/>
      <c r="D432" s="106"/>
      <c r="E432" s="43"/>
      <c r="F432" s="43"/>
      <c r="G432" s="43"/>
      <c r="H432" s="107"/>
      <c r="I432" s="107"/>
      <c r="J432" s="76" t="str">
        <f>IF($C432="","",ROUND(IFERROR(INDEX(期初余额!$I$4:$I$9,MATCH($C432,期初余额!$H$4:$H$9,0)),0)+SUMIFS($H$4:$H432,$C$4:$C432,$C432)-SUMIFS($I$4:$I432,$C$4:$C432,$C432),2))</f>
        <v/>
      </c>
      <c r="K432" s="111" t="str">
        <f>IF($T432&lt;&gt;"",$T432,IF($C432="","",IF(AND(N($I432)&gt;0,$G432&lt;&gt;""),IFERROR(INDEX(科目表!$U$4:$U$123,MATCH($G432,科目表!$M$4:$M$123,0)),"管理费用"),IF(N($H432)&gt;0,IFERROR(INDEX(自动规则!$C$4:$C$40,MATCH($F432,自动规则!$B$4:$B$40,0)),"其他应收款"),IFERROR(INDEX(自动规则!$D$4:$D$40,MATCH($F432,自动规则!$B$4:$B$40,0)),"其他应付款")))))</f>
        <v/>
      </c>
      <c r="L432" s="106"/>
      <c r="M432" s="75" t="str">
        <f>IF($C432="","",IFERROR(INDEX(科目表!$T$4:$T$9,MATCH($C432,科目表!$S$4:$S$9,0)),""))</f>
        <v/>
      </c>
      <c r="N432" s="75" t="str">
        <f t="shared" si="49"/>
        <v/>
      </c>
      <c r="O432" s="76" t="str">
        <f t="shared" si="50"/>
        <v/>
      </c>
      <c r="P432" s="76" t="str">
        <f t="shared" si="51"/>
        <v/>
      </c>
      <c r="Q432" s="75" t="str">
        <f t="shared" si="52"/>
        <v/>
      </c>
      <c r="R432" s="76" t="str">
        <f t="shared" si="53"/>
        <v/>
      </c>
      <c r="S432" s="76" t="str">
        <f t="shared" si="54"/>
        <v/>
      </c>
      <c r="T432" s="43"/>
      <c r="U432" s="107"/>
      <c r="V432" s="76" t="str">
        <f t="shared" si="55"/>
        <v/>
      </c>
      <c r="W432" s="43"/>
      <c r="X432" s="43"/>
      <c r="Y432" s="74"/>
    </row>
    <row r="433" ht="18" customHeight="1" spans="1:25">
      <c r="A433" s="74" t="str">
        <f t="shared" si="48"/>
        <v/>
      </c>
      <c r="B433" s="7"/>
      <c r="C433" s="43"/>
      <c r="D433" s="106"/>
      <c r="E433" s="43"/>
      <c r="F433" s="43"/>
      <c r="G433" s="43"/>
      <c r="H433" s="107"/>
      <c r="I433" s="107"/>
      <c r="J433" s="76" t="str">
        <f>IF($C433="","",ROUND(IFERROR(INDEX(期初余额!$I$4:$I$9,MATCH($C433,期初余额!$H$4:$H$9,0)),0)+SUMIFS($H$4:$H433,$C$4:$C433,$C433)-SUMIFS($I$4:$I433,$C$4:$C433,$C433),2))</f>
        <v/>
      </c>
      <c r="K433" s="111" t="str">
        <f>IF($T433&lt;&gt;"",$T433,IF($C433="","",IF(AND(N($I433)&gt;0,$G433&lt;&gt;""),IFERROR(INDEX(科目表!$U$4:$U$123,MATCH($G433,科目表!$M$4:$M$123,0)),"管理费用"),IF(N($H433)&gt;0,IFERROR(INDEX(自动规则!$C$4:$C$40,MATCH($F433,自动规则!$B$4:$B$40,0)),"其他应收款"),IFERROR(INDEX(自动规则!$D$4:$D$40,MATCH($F433,自动规则!$B$4:$B$40,0)),"其他应付款")))))</f>
        <v/>
      </c>
      <c r="L433" s="106"/>
      <c r="M433" s="75" t="str">
        <f>IF($C433="","",IFERROR(INDEX(科目表!$T$4:$T$9,MATCH($C433,科目表!$S$4:$S$9,0)),""))</f>
        <v/>
      </c>
      <c r="N433" s="75" t="str">
        <f t="shared" si="49"/>
        <v/>
      </c>
      <c r="O433" s="76" t="str">
        <f t="shared" si="50"/>
        <v/>
      </c>
      <c r="P433" s="76" t="str">
        <f t="shared" si="51"/>
        <v/>
      </c>
      <c r="Q433" s="75" t="str">
        <f t="shared" si="52"/>
        <v/>
      </c>
      <c r="R433" s="76" t="str">
        <f t="shared" si="53"/>
        <v/>
      </c>
      <c r="S433" s="76" t="str">
        <f t="shared" si="54"/>
        <v/>
      </c>
      <c r="T433" s="43"/>
      <c r="U433" s="107"/>
      <c r="V433" s="76" t="str">
        <f t="shared" si="55"/>
        <v/>
      </c>
      <c r="W433" s="43"/>
      <c r="X433" s="43"/>
      <c r="Y433" s="74"/>
    </row>
    <row r="434" ht="18" customHeight="1" spans="1:25">
      <c r="A434" s="74" t="str">
        <f t="shared" si="48"/>
        <v/>
      </c>
      <c r="B434" s="7"/>
      <c r="C434" s="43"/>
      <c r="D434" s="106"/>
      <c r="E434" s="43"/>
      <c r="F434" s="43"/>
      <c r="G434" s="43"/>
      <c r="H434" s="107"/>
      <c r="I434" s="107"/>
      <c r="J434" s="76" t="str">
        <f>IF($C434="","",ROUND(IFERROR(INDEX(期初余额!$I$4:$I$9,MATCH($C434,期初余额!$H$4:$H$9,0)),0)+SUMIFS($H$4:$H434,$C$4:$C434,$C434)-SUMIFS($I$4:$I434,$C$4:$C434,$C434),2))</f>
        <v/>
      </c>
      <c r="K434" s="111" t="str">
        <f>IF($T434&lt;&gt;"",$T434,IF($C434="","",IF(AND(N($I434)&gt;0,$G434&lt;&gt;""),IFERROR(INDEX(科目表!$U$4:$U$123,MATCH($G434,科目表!$M$4:$M$123,0)),"管理费用"),IF(N($H434)&gt;0,IFERROR(INDEX(自动规则!$C$4:$C$40,MATCH($F434,自动规则!$B$4:$B$40,0)),"其他应收款"),IFERROR(INDEX(自动规则!$D$4:$D$40,MATCH($F434,自动规则!$B$4:$B$40,0)),"其他应付款")))))</f>
        <v/>
      </c>
      <c r="L434" s="106"/>
      <c r="M434" s="75" t="str">
        <f>IF($C434="","",IFERROR(INDEX(科目表!$T$4:$T$9,MATCH($C434,科目表!$S$4:$S$9,0)),""))</f>
        <v/>
      </c>
      <c r="N434" s="75" t="str">
        <f t="shared" si="49"/>
        <v/>
      </c>
      <c r="O434" s="76" t="str">
        <f t="shared" si="50"/>
        <v/>
      </c>
      <c r="P434" s="76" t="str">
        <f t="shared" si="51"/>
        <v/>
      </c>
      <c r="Q434" s="75" t="str">
        <f t="shared" si="52"/>
        <v/>
      </c>
      <c r="R434" s="76" t="str">
        <f t="shared" si="53"/>
        <v/>
      </c>
      <c r="S434" s="76" t="str">
        <f t="shared" si="54"/>
        <v/>
      </c>
      <c r="T434" s="43"/>
      <c r="U434" s="107"/>
      <c r="V434" s="76" t="str">
        <f t="shared" si="55"/>
        <v/>
      </c>
      <c r="W434" s="43"/>
      <c r="X434" s="43"/>
      <c r="Y434" s="74"/>
    </row>
    <row r="435" ht="18" customHeight="1" spans="1:25">
      <c r="A435" s="74" t="str">
        <f t="shared" si="48"/>
        <v/>
      </c>
      <c r="B435" s="7"/>
      <c r="C435" s="43"/>
      <c r="D435" s="106"/>
      <c r="E435" s="43"/>
      <c r="F435" s="43"/>
      <c r="G435" s="43"/>
      <c r="H435" s="107"/>
      <c r="I435" s="107"/>
      <c r="J435" s="76" t="str">
        <f>IF($C435="","",ROUND(IFERROR(INDEX(期初余额!$I$4:$I$9,MATCH($C435,期初余额!$H$4:$H$9,0)),0)+SUMIFS($H$4:$H435,$C$4:$C435,$C435)-SUMIFS($I$4:$I435,$C$4:$C435,$C435),2))</f>
        <v/>
      </c>
      <c r="K435" s="111" t="str">
        <f>IF($T435&lt;&gt;"",$T435,IF($C435="","",IF(AND(N($I435)&gt;0,$G435&lt;&gt;""),IFERROR(INDEX(科目表!$U$4:$U$123,MATCH($G435,科目表!$M$4:$M$123,0)),"管理费用"),IF(N($H435)&gt;0,IFERROR(INDEX(自动规则!$C$4:$C$40,MATCH($F435,自动规则!$B$4:$B$40,0)),"其他应收款"),IFERROR(INDEX(自动规则!$D$4:$D$40,MATCH($F435,自动规则!$B$4:$B$40,0)),"其他应付款")))))</f>
        <v/>
      </c>
      <c r="L435" s="106"/>
      <c r="M435" s="75" t="str">
        <f>IF($C435="","",IFERROR(INDEX(科目表!$T$4:$T$9,MATCH($C435,科目表!$S$4:$S$9,0)),""))</f>
        <v/>
      </c>
      <c r="N435" s="75" t="str">
        <f t="shared" si="49"/>
        <v/>
      </c>
      <c r="O435" s="76" t="str">
        <f t="shared" si="50"/>
        <v/>
      </c>
      <c r="P435" s="76" t="str">
        <f t="shared" si="51"/>
        <v/>
      </c>
      <c r="Q435" s="75" t="str">
        <f t="shared" si="52"/>
        <v/>
      </c>
      <c r="R435" s="76" t="str">
        <f t="shared" si="53"/>
        <v/>
      </c>
      <c r="S435" s="76" t="str">
        <f t="shared" si="54"/>
        <v/>
      </c>
      <c r="T435" s="43"/>
      <c r="U435" s="107"/>
      <c r="V435" s="76" t="str">
        <f t="shared" si="55"/>
        <v/>
      </c>
      <c r="W435" s="43"/>
      <c r="X435" s="43"/>
      <c r="Y435" s="74"/>
    </row>
    <row r="436" ht="18" customHeight="1" spans="1:25">
      <c r="A436" s="74" t="str">
        <f t="shared" si="48"/>
        <v/>
      </c>
      <c r="B436" s="7"/>
      <c r="C436" s="43"/>
      <c r="D436" s="106"/>
      <c r="E436" s="43"/>
      <c r="F436" s="43"/>
      <c r="G436" s="43"/>
      <c r="H436" s="107"/>
      <c r="I436" s="107"/>
      <c r="J436" s="76" t="str">
        <f>IF($C436="","",ROUND(IFERROR(INDEX(期初余额!$I$4:$I$9,MATCH($C436,期初余额!$H$4:$H$9,0)),0)+SUMIFS($H$4:$H436,$C$4:$C436,$C436)-SUMIFS($I$4:$I436,$C$4:$C436,$C436),2))</f>
        <v/>
      </c>
      <c r="K436" s="111" t="str">
        <f>IF($T436&lt;&gt;"",$T436,IF($C436="","",IF(AND(N($I436)&gt;0,$G436&lt;&gt;""),IFERROR(INDEX(科目表!$U$4:$U$123,MATCH($G436,科目表!$M$4:$M$123,0)),"管理费用"),IF(N($H436)&gt;0,IFERROR(INDEX(自动规则!$C$4:$C$40,MATCH($F436,自动规则!$B$4:$B$40,0)),"其他应收款"),IFERROR(INDEX(自动规则!$D$4:$D$40,MATCH($F436,自动规则!$B$4:$B$40,0)),"其他应付款")))))</f>
        <v/>
      </c>
      <c r="L436" s="106"/>
      <c r="M436" s="75" t="str">
        <f>IF($C436="","",IFERROR(INDEX(科目表!$T$4:$T$9,MATCH($C436,科目表!$S$4:$S$9,0)),""))</f>
        <v/>
      </c>
      <c r="N436" s="75" t="str">
        <f t="shared" si="49"/>
        <v/>
      </c>
      <c r="O436" s="76" t="str">
        <f t="shared" si="50"/>
        <v/>
      </c>
      <c r="P436" s="76" t="str">
        <f t="shared" si="51"/>
        <v/>
      </c>
      <c r="Q436" s="75" t="str">
        <f t="shared" si="52"/>
        <v/>
      </c>
      <c r="R436" s="76" t="str">
        <f t="shared" si="53"/>
        <v/>
      </c>
      <c r="S436" s="76" t="str">
        <f t="shared" si="54"/>
        <v/>
      </c>
      <c r="T436" s="43"/>
      <c r="U436" s="107"/>
      <c r="V436" s="76" t="str">
        <f t="shared" si="55"/>
        <v/>
      </c>
      <c r="W436" s="43"/>
      <c r="X436" s="43"/>
      <c r="Y436" s="74"/>
    </row>
    <row r="437" ht="18" customHeight="1" spans="1:25">
      <c r="A437" s="74" t="str">
        <f t="shared" si="48"/>
        <v/>
      </c>
      <c r="B437" s="7"/>
      <c r="C437" s="43"/>
      <c r="D437" s="106"/>
      <c r="E437" s="43"/>
      <c r="F437" s="43"/>
      <c r="G437" s="43"/>
      <c r="H437" s="107"/>
      <c r="I437" s="107"/>
      <c r="J437" s="76" t="str">
        <f>IF($C437="","",ROUND(IFERROR(INDEX(期初余额!$I$4:$I$9,MATCH($C437,期初余额!$H$4:$H$9,0)),0)+SUMIFS($H$4:$H437,$C$4:$C437,$C437)-SUMIFS($I$4:$I437,$C$4:$C437,$C437),2))</f>
        <v/>
      </c>
      <c r="K437" s="111" t="str">
        <f>IF($T437&lt;&gt;"",$T437,IF($C437="","",IF(AND(N($I437)&gt;0,$G437&lt;&gt;""),IFERROR(INDEX(科目表!$U$4:$U$123,MATCH($G437,科目表!$M$4:$M$123,0)),"管理费用"),IF(N($H437)&gt;0,IFERROR(INDEX(自动规则!$C$4:$C$40,MATCH($F437,自动规则!$B$4:$B$40,0)),"其他应收款"),IFERROR(INDEX(自动规则!$D$4:$D$40,MATCH($F437,自动规则!$B$4:$B$40,0)),"其他应付款")))))</f>
        <v/>
      </c>
      <c r="L437" s="106"/>
      <c r="M437" s="75" t="str">
        <f>IF($C437="","",IFERROR(INDEX(科目表!$T$4:$T$9,MATCH($C437,科目表!$S$4:$S$9,0)),""))</f>
        <v/>
      </c>
      <c r="N437" s="75" t="str">
        <f t="shared" si="49"/>
        <v/>
      </c>
      <c r="O437" s="76" t="str">
        <f t="shared" si="50"/>
        <v/>
      </c>
      <c r="P437" s="76" t="str">
        <f t="shared" si="51"/>
        <v/>
      </c>
      <c r="Q437" s="75" t="str">
        <f t="shared" si="52"/>
        <v/>
      </c>
      <c r="R437" s="76" t="str">
        <f t="shared" si="53"/>
        <v/>
      </c>
      <c r="S437" s="76" t="str">
        <f t="shared" si="54"/>
        <v/>
      </c>
      <c r="T437" s="43"/>
      <c r="U437" s="107"/>
      <c r="V437" s="76" t="str">
        <f t="shared" si="55"/>
        <v/>
      </c>
      <c r="W437" s="43"/>
      <c r="X437" s="43"/>
      <c r="Y437" s="74"/>
    </row>
    <row r="438" ht="18" customHeight="1" spans="1:25">
      <c r="A438" s="74" t="str">
        <f t="shared" si="48"/>
        <v/>
      </c>
      <c r="B438" s="7"/>
      <c r="C438" s="43"/>
      <c r="D438" s="106"/>
      <c r="E438" s="43"/>
      <c r="F438" s="43"/>
      <c r="G438" s="43"/>
      <c r="H438" s="107"/>
      <c r="I438" s="107"/>
      <c r="J438" s="76" t="str">
        <f>IF($C438="","",ROUND(IFERROR(INDEX(期初余额!$I$4:$I$9,MATCH($C438,期初余额!$H$4:$H$9,0)),0)+SUMIFS($H$4:$H438,$C$4:$C438,$C438)-SUMIFS($I$4:$I438,$C$4:$C438,$C438),2))</f>
        <v/>
      </c>
      <c r="K438" s="111" t="str">
        <f>IF($T438&lt;&gt;"",$T438,IF($C438="","",IF(AND(N($I438)&gt;0,$G438&lt;&gt;""),IFERROR(INDEX(科目表!$U$4:$U$123,MATCH($G438,科目表!$M$4:$M$123,0)),"管理费用"),IF(N($H438)&gt;0,IFERROR(INDEX(自动规则!$C$4:$C$40,MATCH($F438,自动规则!$B$4:$B$40,0)),"其他应收款"),IFERROR(INDEX(自动规则!$D$4:$D$40,MATCH($F438,自动规则!$B$4:$B$40,0)),"其他应付款")))))</f>
        <v/>
      </c>
      <c r="L438" s="106"/>
      <c r="M438" s="75" t="str">
        <f>IF($C438="","",IFERROR(INDEX(科目表!$T$4:$T$9,MATCH($C438,科目表!$S$4:$S$9,0)),""))</f>
        <v/>
      </c>
      <c r="N438" s="75" t="str">
        <f t="shared" si="49"/>
        <v/>
      </c>
      <c r="O438" s="76" t="str">
        <f t="shared" si="50"/>
        <v/>
      </c>
      <c r="P438" s="76" t="str">
        <f t="shared" si="51"/>
        <v/>
      </c>
      <c r="Q438" s="75" t="str">
        <f t="shared" si="52"/>
        <v/>
      </c>
      <c r="R438" s="76" t="str">
        <f t="shared" si="53"/>
        <v/>
      </c>
      <c r="S438" s="76" t="str">
        <f t="shared" si="54"/>
        <v/>
      </c>
      <c r="T438" s="43"/>
      <c r="U438" s="107"/>
      <c r="V438" s="76" t="str">
        <f t="shared" si="55"/>
        <v/>
      </c>
      <c r="W438" s="43"/>
      <c r="X438" s="43"/>
      <c r="Y438" s="74"/>
    </row>
    <row r="439" ht="18" customHeight="1" spans="1:25">
      <c r="A439" s="74" t="str">
        <f t="shared" si="48"/>
        <v/>
      </c>
      <c r="B439" s="7"/>
      <c r="C439" s="43"/>
      <c r="D439" s="106"/>
      <c r="E439" s="43"/>
      <c r="F439" s="43"/>
      <c r="G439" s="43"/>
      <c r="H439" s="107"/>
      <c r="I439" s="107"/>
      <c r="J439" s="76" t="str">
        <f>IF($C439="","",ROUND(IFERROR(INDEX(期初余额!$I$4:$I$9,MATCH($C439,期初余额!$H$4:$H$9,0)),0)+SUMIFS($H$4:$H439,$C$4:$C439,$C439)-SUMIFS($I$4:$I439,$C$4:$C439,$C439),2))</f>
        <v/>
      </c>
      <c r="K439" s="111" t="str">
        <f>IF($T439&lt;&gt;"",$T439,IF($C439="","",IF(AND(N($I439)&gt;0,$G439&lt;&gt;""),IFERROR(INDEX(科目表!$U$4:$U$123,MATCH($G439,科目表!$M$4:$M$123,0)),"管理费用"),IF(N($H439)&gt;0,IFERROR(INDEX(自动规则!$C$4:$C$40,MATCH($F439,自动规则!$B$4:$B$40,0)),"其他应收款"),IFERROR(INDEX(自动规则!$D$4:$D$40,MATCH($F439,自动规则!$B$4:$B$40,0)),"其他应付款")))))</f>
        <v/>
      </c>
      <c r="L439" s="106"/>
      <c r="M439" s="75" t="str">
        <f>IF($C439="","",IFERROR(INDEX(科目表!$T$4:$T$9,MATCH($C439,科目表!$S$4:$S$9,0)),""))</f>
        <v/>
      </c>
      <c r="N439" s="75" t="str">
        <f t="shared" si="49"/>
        <v/>
      </c>
      <c r="O439" s="76" t="str">
        <f t="shared" si="50"/>
        <v/>
      </c>
      <c r="P439" s="76" t="str">
        <f t="shared" si="51"/>
        <v/>
      </c>
      <c r="Q439" s="75" t="str">
        <f t="shared" si="52"/>
        <v/>
      </c>
      <c r="R439" s="76" t="str">
        <f t="shared" si="53"/>
        <v/>
      </c>
      <c r="S439" s="76" t="str">
        <f t="shared" si="54"/>
        <v/>
      </c>
      <c r="T439" s="43"/>
      <c r="U439" s="107"/>
      <c r="V439" s="76" t="str">
        <f t="shared" si="55"/>
        <v/>
      </c>
      <c r="W439" s="43"/>
      <c r="X439" s="43"/>
      <c r="Y439" s="74"/>
    </row>
    <row r="440" ht="18" customHeight="1" spans="1:25">
      <c r="A440" s="74" t="str">
        <f t="shared" si="48"/>
        <v/>
      </c>
      <c r="B440" s="7"/>
      <c r="C440" s="43"/>
      <c r="D440" s="106"/>
      <c r="E440" s="43"/>
      <c r="F440" s="43"/>
      <c r="G440" s="43"/>
      <c r="H440" s="107"/>
      <c r="I440" s="107"/>
      <c r="J440" s="76" t="str">
        <f>IF($C440="","",ROUND(IFERROR(INDEX(期初余额!$I$4:$I$9,MATCH($C440,期初余额!$H$4:$H$9,0)),0)+SUMIFS($H$4:$H440,$C$4:$C440,$C440)-SUMIFS($I$4:$I440,$C$4:$C440,$C440),2))</f>
        <v/>
      </c>
      <c r="K440" s="111" t="str">
        <f>IF($T440&lt;&gt;"",$T440,IF($C440="","",IF(AND(N($I440)&gt;0,$G440&lt;&gt;""),IFERROR(INDEX(科目表!$U$4:$U$123,MATCH($G440,科目表!$M$4:$M$123,0)),"管理费用"),IF(N($H440)&gt;0,IFERROR(INDEX(自动规则!$C$4:$C$40,MATCH($F440,自动规则!$B$4:$B$40,0)),"其他应收款"),IFERROR(INDEX(自动规则!$D$4:$D$40,MATCH($F440,自动规则!$B$4:$B$40,0)),"其他应付款")))))</f>
        <v/>
      </c>
      <c r="L440" s="106"/>
      <c r="M440" s="75" t="str">
        <f>IF($C440="","",IFERROR(INDEX(科目表!$T$4:$T$9,MATCH($C440,科目表!$S$4:$S$9,0)),""))</f>
        <v/>
      </c>
      <c r="N440" s="75" t="str">
        <f t="shared" si="49"/>
        <v/>
      </c>
      <c r="O440" s="76" t="str">
        <f t="shared" si="50"/>
        <v/>
      </c>
      <c r="P440" s="76" t="str">
        <f t="shared" si="51"/>
        <v/>
      </c>
      <c r="Q440" s="75" t="str">
        <f t="shared" si="52"/>
        <v/>
      </c>
      <c r="R440" s="76" t="str">
        <f t="shared" si="53"/>
        <v/>
      </c>
      <c r="S440" s="76" t="str">
        <f t="shared" si="54"/>
        <v/>
      </c>
      <c r="T440" s="43"/>
      <c r="U440" s="107"/>
      <c r="V440" s="76" t="str">
        <f t="shared" si="55"/>
        <v/>
      </c>
      <c r="W440" s="43"/>
      <c r="X440" s="43"/>
      <c r="Y440" s="74"/>
    </row>
    <row r="441" ht="18" customHeight="1" spans="1:25">
      <c r="A441" s="74" t="str">
        <f t="shared" si="48"/>
        <v/>
      </c>
      <c r="B441" s="7"/>
      <c r="C441" s="43"/>
      <c r="D441" s="106"/>
      <c r="E441" s="43"/>
      <c r="F441" s="43"/>
      <c r="G441" s="43"/>
      <c r="H441" s="107"/>
      <c r="I441" s="107"/>
      <c r="J441" s="76" t="str">
        <f>IF($C441="","",ROUND(IFERROR(INDEX(期初余额!$I$4:$I$9,MATCH($C441,期初余额!$H$4:$H$9,0)),0)+SUMIFS($H$4:$H441,$C$4:$C441,$C441)-SUMIFS($I$4:$I441,$C$4:$C441,$C441),2))</f>
        <v/>
      </c>
      <c r="K441" s="111" t="str">
        <f>IF($T441&lt;&gt;"",$T441,IF($C441="","",IF(AND(N($I441)&gt;0,$G441&lt;&gt;""),IFERROR(INDEX(科目表!$U$4:$U$123,MATCH($G441,科目表!$M$4:$M$123,0)),"管理费用"),IF(N($H441)&gt;0,IFERROR(INDEX(自动规则!$C$4:$C$40,MATCH($F441,自动规则!$B$4:$B$40,0)),"其他应收款"),IFERROR(INDEX(自动规则!$D$4:$D$40,MATCH($F441,自动规则!$B$4:$B$40,0)),"其他应付款")))))</f>
        <v/>
      </c>
      <c r="L441" s="106"/>
      <c r="M441" s="75" t="str">
        <f>IF($C441="","",IFERROR(INDEX(科目表!$T$4:$T$9,MATCH($C441,科目表!$S$4:$S$9,0)),""))</f>
        <v/>
      </c>
      <c r="N441" s="75" t="str">
        <f t="shared" si="49"/>
        <v/>
      </c>
      <c r="O441" s="76" t="str">
        <f t="shared" si="50"/>
        <v/>
      </c>
      <c r="P441" s="76" t="str">
        <f t="shared" si="51"/>
        <v/>
      </c>
      <c r="Q441" s="75" t="str">
        <f t="shared" si="52"/>
        <v/>
      </c>
      <c r="R441" s="76" t="str">
        <f t="shared" si="53"/>
        <v/>
      </c>
      <c r="S441" s="76" t="str">
        <f t="shared" si="54"/>
        <v/>
      </c>
      <c r="T441" s="43"/>
      <c r="U441" s="107"/>
      <c r="V441" s="76" t="str">
        <f t="shared" si="55"/>
        <v/>
      </c>
      <c r="W441" s="43"/>
      <c r="X441" s="43"/>
      <c r="Y441" s="74"/>
    </row>
    <row r="442" ht="18" customHeight="1" spans="1:25">
      <c r="A442" s="74" t="str">
        <f t="shared" si="48"/>
        <v/>
      </c>
      <c r="B442" s="7"/>
      <c r="C442" s="43"/>
      <c r="D442" s="106"/>
      <c r="E442" s="43"/>
      <c r="F442" s="43"/>
      <c r="G442" s="43"/>
      <c r="H442" s="107"/>
      <c r="I442" s="107"/>
      <c r="J442" s="76" t="str">
        <f>IF($C442="","",ROUND(IFERROR(INDEX(期初余额!$I$4:$I$9,MATCH($C442,期初余额!$H$4:$H$9,0)),0)+SUMIFS($H$4:$H442,$C$4:$C442,$C442)-SUMIFS($I$4:$I442,$C$4:$C442,$C442),2))</f>
        <v/>
      </c>
      <c r="K442" s="111" t="str">
        <f>IF($T442&lt;&gt;"",$T442,IF($C442="","",IF(AND(N($I442)&gt;0,$G442&lt;&gt;""),IFERROR(INDEX(科目表!$U$4:$U$123,MATCH($G442,科目表!$M$4:$M$123,0)),"管理费用"),IF(N($H442)&gt;0,IFERROR(INDEX(自动规则!$C$4:$C$40,MATCH($F442,自动规则!$B$4:$B$40,0)),"其他应收款"),IFERROR(INDEX(自动规则!$D$4:$D$40,MATCH($F442,自动规则!$B$4:$B$40,0)),"其他应付款")))))</f>
        <v/>
      </c>
      <c r="L442" s="106"/>
      <c r="M442" s="75" t="str">
        <f>IF($C442="","",IFERROR(INDEX(科目表!$T$4:$T$9,MATCH($C442,科目表!$S$4:$S$9,0)),""))</f>
        <v/>
      </c>
      <c r="N442" s="75" t="str">
        <f t="shared" si="49"/>
        <v/>
      </c>
      <c r="O442" s="76" t="str">
        <f t="shared" si="50"/>
        <v/>
      </c>
      <c r="P442" s="76" t="str">
        <f t="shared" si="51"/>
        <v/>
      </c>
      <c r="Q442" s="75" t="str">
        <f t="shared" si="52"/>
        <v/>
      </c>
      <c r="R442" s="76" t="str">
        <f t="shared" si="53"/>
        <v/>
      </c>
      <c r="S442" s="76" t="str">
        <f t="shared" si="54"/>
        <v/>
      </c>
      <c r="T442" s="43"/>
      <c r="U442" s="107"/>
      <c r="V442" s="76" t="str">
        <f t="shared" si="55"/>
        <v/>
      </c>
      <c r="W442" s="43"/>
      <c r="X442" s="43"/>
      <c r="Y442" s="74"/>
    </row>
    <row r="443" ht="18" customHeight="1" spans="1:25">
      <c r="A443" s="74" t="str">
        <f t="shared" si="48"/>
        <v/>
      </c>
      <c r="B443" s="7"/>
      <c r="C443" s="43"/>
      <c r="D443" s="106"/>
      <c r="E443" s="43"/>
      <c r="F443" s="43"/>
      <c r="G443" s="43"/>
      <c r="H443" s="107"/>
      <c r="I443" s="107"/>
      <c r="J443" s="76" t="str">
        <f>IF($C443="","",ROUND(IFERROR(INDEX(期初余额!$I$4:$I$9,MATCH($C443,期初余额!$H$4:$H$9,0)),0)+SUMIFS($H$4:$H443,$C$4:$C443,$C443)-SUMIFS($I$4:$I443,$C$4:$C443,$C443),2))</f>
        <v/>
      </c>
      <c r="K443" s="111" t="str">
        <f>IF($T443&lt;&gt;"",$T443,IF($C443="","",IF(AND(N($I443)&gt;0,$G443&lt;&gt;""),IFERROR(INDEX(科目表!$U$4:$U$123,MATCH($G443,科目表!$M$4:$M$123,0)),"管理费用"),IF(N($H443)&gt;0,IFERROR(INDEX(自动规则!$C$4:$C$40,MATCH($F443,自动规则!$B$4:$B$40,0)),"其他应收款"),IFERROR(INDEX(自动规则!$D$4:$D$40,MATCH($F443,自动规则!$B$4:$B$40,0)),"其他应付款")))))</f>
        <v/>
      </c>
      <c r="L443" s="106"/>
      <c r="M443" s="75" t="str">
        <f>IF($C443="","",IFERROR(INDEX(科目表!$T$4:$T$9,MATCH($C443,科目表!$S$4:$S$9,0)),""))</f>
        <v/>
      </c>
      <c r="N443" s="75" t="str">
        <f t="shared" si="49"/>
        <v/>
      </c>
      <c r="O443" s="76" t="str">
        <f t="shared" si="50"/>
        <v/>
      </c>
      <c r="P443" s="76" t="str">
        <f t="shared" si="51"/>
        <v/>
      </c>
      <c r="Q443" s="75" t="str">
        <f t="shared" si="52"/>
        <v/>
      </c>
      <c r="R443" s="76" t="str">
        <f t="shared" si="53"/>
        <v/>
      </c>
      <c r="S443" s="76" t="str">
        <f t="shared" si="54"/>
        <v/>
      </c>
      <c r="T443" s="43"/>
      <c r="U443" s="107"/>
      <c r="V443" s="76" t="str">
        <f t="shared" si="55"/>
        <v/>
      </c>
      <c r="W443" s="43"/>
      <c r="X443" s="43"/>
      <c r="Y443" s="74"/>
    </row>
    <row r="444" ht="18" customHeight="1" spans="1:25">
      <c r="A444" s="74" t="str">
        <f t="shared" si="48"/>
        <v/>
      </c>
      <c r="B444" s="7"/>
      <c r="C444" s="43"/>
      <c r="D444" s="106"/>
      <c r="E444" s="43"/>
      <c r="F444" s="43"/>
      <c r="G444" s="43"/>
      <c r="H444" s="107"/>
      <c r="I444" s="107"/>
      <c r="J444" s="76" t="str">
        <f>IF($C444="","",ROUND(IFERROR(INDEX(期初余额!$I$4:$I$9,MATCH($C444,期初余额!$H$4:$H$9,0)),0)+SUMIFS($H$4:$H444,$C$4:$C444,$C444)-SUMIFS($I$4:$I444,$C$4:$C444,$C444),2))</f>
        <v/>
      </c>
      <c r="K444" s="111" t="str">
        <f>IF($T444&lt;&gt;"",$T444,IF($C444="","",IF(AND(N($I444)&gt;0,$G444&lt;&gt;""),IFERROR(INDEX(科目表!$U$4:$U$123,MATCH($G444,科目表!$M$4:$M$123,0)),"管理费用"),IF(N($H444)&gt;0,IFERROR(INDEX(自动规则!$C$4:$C$40,MATCH($F444,自动规则!$B$4:$B$40,0)),"其他应收款"),IFERROR(INDEX(自动规则!$D$4:$D$40,MATCH($F444,自动规则!$B$4:$B$40,0)),"其他应付款")))))</f>
        <v/>
      </c>
      <c r="L444" s="106"/>
      <c r="M444" s="75" t="str">
        <f>IF($C444="","",IFERROR(INDEX(科目表!$T$4:$T$9,MATCH($C444,科目表!$S$4:$S$9,0)),""))</f>
        <v/>
      </c>
      <c r="N444" s="75" t="str">
        <f t="shared" si="49"/>
        <v/>
      </c>
      <c r="O444" s="76" t="str">
        <f t="shared" si="50"/>
        <v/>
      </c>
      <c r="P444" s="76" t="str">
        <f t="shared" si="51"/>
        <v/>
      </c>
      <c r="Q444" s="75" t="str">
        <f t="shared" si="52"/>
        <v/>
      </c>
      <c r="R444" s="76" t="str">
        <f t="shared" si="53"/>
        <v/>
      </c>
      <c r="S444" s="76" t="str">
        <f t="shared" si="54"/>
        <v/>
      </c>
      <c r="T444" s="43"/>
      <c r="U444" s="107"/>
      <c r="V444" s="76" t="str">
        <f t="shared" si="55"/>
        <v/>
      </c>
      <c r="W444" s="43"/>
      <c r="X444" s="43"/>
      <c r="Y444" s="74"/>
    </row>
    <row r="445" ht="18" customHeight="1" spans="1:25">
      <c r="A445" s="74" t="str">
        <f t="shared" si="48"/>
        <v/>
      </c>
      <c r="B445" s="7"/>
      <c r="C445" s="43"/>
      <c r="D445" s="106"/>
      <c r="E445" s="43"/>
      <c r="F445" s="43"/>
      <c r="G445" s="43"/>
      <c r="H445" s="107"/>
      <c r="I445" s="107"/>
      <c r="J445" s="76" t="str">
        <f>IF($C445="","",ROUND(IFERROR(INDEX(期初余额!$I$4:$I$9,MATCH($C445,期初余额!$H$4:$H$9,0)),0)+SUMIFS($H$4:$H445,$C$4:$C445,$C445)-SUMIFS($I$4:$I445,$C$4:$C445,$C445),2))</f>
        <v/>
      </c>
      <c r="K445" s="111" t="str">
        <f>IF($T445&lt;&gt;"",$T445,IF($C445="","",IF(AND(N($I445)&gt;0,$G445&lt;&gt;""),IFERROR(INDEX(科目表!$U$4:$U$123,MATCH($G445,科目表!$M$4:$M$123,0)),"管理费用"),IF(N($H445)&gt;0,IFERROR(INDEX(自动规则!$C$4:$C$40,MATCH($F445,自动规则!$B$4:$B$40,0)),"其他应收款"),IFERROR(INDEX(自动规则!$D$4:$D$40,MATCH($F445,自动规则!$B$4:$B$40,0)),"其他应付款")))))</f>
        <v/>
      </c>
      <c r="L445" s="106"/>
      <c r="M445" s="75" t="str">
        <f>IF($C445="","",IFERROR(INDEX(科目表!$T$4:$T$9,MATCH($C445,科目表!$S$4:$S$9,0)),""))</f>
        <v/>
      </c>
      <c r="N445" s="75" t="str">
        <f t="shared" si="49"/>
        <v/>
      </c>
      <c r="O445" s="76" t="str">
        <f t="shared" si="50"/>
        <v/>
      </c>
      <c r="P445" s="76" t="str">
        <f t="shared" si="51"/>
        <v/>
      </c>
      <c r="Q445" s="75" t="str">
        <f t="shared" si="52"/>
        <v/>
      </c>
      <c r="R445" s="76" t="str">
        <f t="shared" si="53"/>
        <v/>
      </c>
      <c r="S445" s="76" t="str">
        <f t="shared" si="54"/>
        <v/>
      </c>
      <c r="T445" s="43"/>
      <c r="U445" s="107"/>
      <c r="V445" s="76" t="str">
        <f t="shared" si="55"/>
        <v/>
      </c>
      <c r="W445" s="43"/>
      <c r="X445" s="43"/>
      <c r="Y445" s="74"/>
    </row>
    <row r="446" ht="18" customHeight="1" spans="1:25">
      <c r="A446" s="74" t="str">
        <f t="shared" si="48"/>
        <v/>
      </c>
      <c r="B446" s="7"/>
      <c r="C446" s="43"/>
      <c r="D446" s="106"/>
      <c r="E446" s="43"/>
      <c r="F446" s="43"/>
      <c r="G446" s="43"/>
      <c r="H446" s="107"/>
      <c r="I446" s="107"/>
      <c r="J446" s="76" t="str">
        <f>IF($C446="","",ROUND(IFERROR(INDEX(期初余额!$I$4:$I$9,MATCH($C446,期初余额!$H$4:$H$9,0)),0)+SUMIFS($H$4:$H446,$C$4:$C446,$C446)-SUMIFS($I$4:$I446,$C$4:$C446,$C446),2))</f>
        <v/>
      </c>
      <c r="K446" s="111" t="str">
        <f>IF($T446&lt;&gt;"",$T446,IF($C446="","",IF(AND(N($I446)&gt;0,$G446&lt;&gt;""),IFERROR(INDEX(科目表!$U$4:$U$123,MATCH($G446,科目表!$M$4:$M$123,0)),"管理费用"),IF(N($H446)&gt;0,IFERROR(INDEX(自动规则!$C$4:$C$40,MATCH($F446,自动规则!$B$4:$B$40,0)),"其他应收款"),IFERROR(INDEX(自动规则!$D$4:$D$40,MATCH($F446,自动规则!$B$4:$B$40,0)),"其他应付款")))))</f>
        <v/>
      </c>
      <c r="L446" s="106"/>
      <c r="M446" s="75" t="str">
        <f>IF($C446="","",IFERROR(INDEX(科目表!$T$4:$T$9,MATCH($C446,科目表!$S$4:$S$9,0)),""))</f>
        <v/>
      </c>
      <c r="N446" s="75" t="str">
        <f t="shared" si="49"/>
        <v/>
      </c>
      <c r="O446" s="76" t="str">
        <f t="shared" si="50"/>
        <v/>
      </c>
      <c r="P446" s="76" t="str">
        <f t="shared" si="51"/>
        <v/>
      </c>
      <c r="Q446" s="75" t="str">
        <f t="shared" si="52"/>
        <v/>
      </c>
      <c r="R446" s="76" t="str">
        <f t="shared" si="53"/>
        <v/>
      </c>
      <c r="S446" s="76" t="str">
        <f t="shared" si="54"/>
        <v/>
      </c>
      <c r="T446" s="43"/>
      <c r="U446" s="107"/>
      <c r="V446" s="76" t="str">
        <f t="shared" si="55"/>
        <v/>
      </c>
      <c r="W446" s="43"/>
      <c r="X446" s="43"/>
      <c r="Y446" s="74"/>
    </row>
    <row r="447" ht="18" customHeight="1" spans="1:25">
      <c r="A447" s="74" t="str">
        <f t="shared" si="48"/>
        <v/>
      </c>
      <c r="B447" s="7"/>
      <c r="C447" s="43"/>
      <c r="D447" s="106"/>
      <c r="E447" s="43"/>
      <c r="F447" s="43"/>
      <c r="G447" s="43"/>
      <c r="H447" s="107"/>
      <c r="I447" s="107"/>
      <c r="J447" s="76" t="str">
        <f>IF($C447="","",ROUND(IFERROR(INDEX(期初余额!$I$4:$I$9,MATCH($C447,期初余额!$H$4:$H$9,0)),0)+SUMIFS($H$4:$H447,$C$4:$C447,$C447)-SUMIFS($I$4:$I447,$C$4:$C447,$C447),2))</f>
        <v/>
      </c>
      <c r="K447" s="111" t="str">
        <f>IF($T447&lt;&gt;"",$T447,IF($C447="","",IF(AND(N($I447)&gt;0,$G447&lt;&gt;""),IFERROR(INDEX(科目表!$U$4:$U$123,MATCH($G447,科目表!$M$4:$M$123,0)),"管理费用"),IF(N($H447)&gt;0,IFERROR(INDEX(自动规则!$C$4:$C$40,MATCH($F447,自动规则!$B$4:$B$40,0)),"其他应收款"),IFERROR(INDEX(自动规则!$D$4:$D$40,MATCH($F447,自动规则!$B$4:$B$40,0)),"其他应付款")))))</f>
        <v/>
      </c>
      <c r="L447" s="106"/>
      <c r="M447" s="75" t="str">
        <f>IF($C447="","",IFERROR(INDEX(科目表!$T$4:$T$9,MATCH($C447,科目表!$S$4:$S$9,0)),""))</f>
        <v/>
      </c>
      <c r="N447" s="75" t="str">
        <f t="shared" si="49"/>
        <v/>
      </c>
      <c r="O447" s="76" t="str">
        <f t="shared" si="50"/>
        <v/>
      </c>
      <c r="P447" s="76" t="str">
        <f t="shared" si="51"/>
        <v/>
      </c>
      <c r="Q447" s="75" t="str">
        <f t="shared" si="52"/>
        <v/>
      </c>
      <c r="R447" s="76" t="str">
        <f t="shared" si="53"/>
        <v/>
      </c>
      <c r="S447" s="76" t="str">
        <f t="shared" si="54"/>
        <v/>
      </c>
      <c r="T447" s="43"/>
      <c r="U447" s="107"/>
      <c r="V447" s="76" t="str">
        <f t="shared" si="55"/>
        <v/>
      </c>
      <c r="W447" s="43"/>
      <c r="X447" s="43"/>
      <c r="Y447" s="74"/>
    </row>
    <row r="448" ht="18" customHeight="1" spans="1:25">
      <c r="A448" s="74" t="str">
        <f t="shared" si="48"/>
        <v/>
      </c>
      <c r="B448" s="7"/>
      <c r="C448" s="43"/>
      <c r="D448" s="106"/>
      <c r="E448" s="43"/>
      <c r="F448" s="43"/>
      <c r="G448" s="43"/>
      <c r="H448" s="107"/>
      <c r="I448" s="107"/>
      <c r="J448" s="76" t="str">
        <f>IF($C448="","",ROUND(IFERROR(INDEX(期初余额!$I$4:$I$9,MATCH($C448,期初余额!$H$4:$H$9,0)),0)+SUMIFS($H$4:$H448,$C$4:$C448,$C448)-SUMIFS($I$4:$I448,$C$4:$C448,$C448),2))</f>
        <v/>
      </c>
      <c r="K448" s="111" t="str">
        <f>IF($T448&lt;&gt;"",$T448,IF($C448="","",IF(AND(N($I448)&gt;0,$G448&lt;&gt;""),IFERROR(INDEX(科目表!$U$4:$U$123,MATCH($G448,科目表!$M$4:$M$123,0)),"管理费用"),IF(N($H448)&gt;0,IFERROR(INDEX(自动规则!$C$4:$C$40,MATCH($F448,自动规则!$B$4:$B$40,0)),"其他应收款"),IFERROR(INDEX(自动规则!$D$4:$D$40,MATCH($F448,自动规则!$B$4:$B$40,0)),"其他应付款")))))</f>
        <v/>
      </c>
      <c r="L448" s="106"/>
      <c r="M448" s="75" t="str">
        <f>IF($C448="","",IFERROR(INDEX(科目表!$T$4:$T$9,MATCH($C448,科目表!$S$4:$S$9,0)),""))</f>
        <v/>
      </c>
      <c r="N448" s="75" t="str">
        <f t="shared" si="49"/>
        <v/>
      </c>
      <c r="O448" s="76" t="str">
        <f t="shared" si="50"/>
        <v/>
      </c>
      <c r="P448" s="76" t="str">
        <f t="shared" si="51"/>
        <v/>
      </c>
      <c r="Q448" s="75" t="str">
        <f t="shared" si="52"/>
        <v/>
      </c>
      <c r="R448" s="76" t="str">
        <f t="shared" si="53"/>
        <v/>
      </c>
      <c r="S448" s="76" t="str">
        <f t="shared" si="54"/>
        <v/>
      </c>
      <c r="T448" s="43"/>
      <c r="U448" s="107"/>
      <c r="V448" s="76" t="str">
        <f t="shared" si="55"/>
        <v/>
      </c>
      <c r="W448" s="43"/>
      <c r="X448" s="43"/>
      <c r="Y448" s="74"/>
    </row>
    <row r="449" ht="18" customHeight="1" spans="1:25">
      <c r="A449" s="74" t="str">
        <f t="shared" si="48"/>
        <v/>
      </c>
      <c r="B449" s="7"/>
      <c r="C449" s="43"/>
      <c r="D449" s="106"/>
      <c r="E449" s="43"/>
      <c r="F449" s="43"/>
      <c r="G449" s="43"/>
      <c r="H449" s="107"/>
      <c r="I449" s="107"/>
      <c r="J449" s="76" t="str">
        <f>IF($C449="","",ROUND(IFERROR(INDEX(期初余额!$I$4:$I$9,MATCH($C449,期初余额!$H$4:$H$9,0)),0)+SUMIFS($H$4:$H449,$C$4:$C449,$C449)-SUMIFS($I$4:$I449,$C$4:$C449,$C449),2))</f>
        <v/>
      </c>
      <c r="K449" s="111" t="str">
        <f>IF($T449&lt;&gt;"",$T449,IF($C449="","",IF(AND(N($I449)&gt;0,$G449&lt;&gt;""),IFERROR(INDEX(科目表!$U$4:$U$123,MATCH($G449,科目表!$M$4:$M$123,0)),"管理费用"),IF(N($H449)&gt;0,IFERROR(INDEX(自动规则!$C$4:$C$40,MATCH($F449,自动规则!$B$4:$B$40,0)),"其他应收款"),IFERROR(INDEX(自动规则!$D$4:$D$40,MATCH($F449,自动规则!$B$4:$B$40,0)),"其他应付款")))))</f>
        <v/>
      </c>
      <c r="L449" s="106"/>
      <c r="M449" s="75" t="str">
        <f>IF($C449="","",IFERROR(INDEX(科目表!$T$4:$T$9,MATCH($C449,科目表!$S$4:$S$9,0)),""))</f>
        <v/>
      </c>
      <c r="N449" s="75" t="str">
        <f t="shared" si="49"/>
        <v/>
      </c>
      <c r="O449" s="76" t="str">
        <f t="shared" si="50"/>
        <v/>
      </c>
      <c r="P449" s="76" t="str">
        <f t="shared" si="51"/>
        <v/>
      </c>
      <c r="Q449" s="75" t="str">
        <f t="shared" si="52"/>
        <v/>
      </c>
      <c r="R449" s="76" t="str">
        <f t="shared" si="53"/>
        <v/>
      </c>
      <c r="S449" s="76" t="str">
        <f t="shared" si="54"/>
        <v/>
      </c>
      <c r="T449" s="43"/>
      <c r="U449" s="107"/>
      <c r="V449" s="76" t="str">
        <f t="shared" si="55"/>
        <v/>
      </c>
      <c r="W449" s="43"/>
      <c r="X449" s="43"/>
      <c r="Y449" s="74"/>
    </row>
    <row r="450" ht="18" customHeight="1" spans="1:25">
      <c r="A450" s="74" t="str">
        <f t="shared" si="48"/>
        <v/>
      </c>
      <c r="B450" s="7"/>
      <c r="C450" s="43"/>
      <c r="D450" s="106"/>
      <c r="E450" s="43"/>
      <c r="F450" s="43"/>
      <c r="G450" s="43"/>
      <c r="H450" s="107"/>
      <c r="I450" s="107"/>
      <c r="J450" s="76" t="str">
        <f>IF($C450="","",ROUND(IFERROR(INDEX(期初余额!$I$4:$I$9,MATCH($C450,期初余额!$H$4:$H$9,0)),0)+SUMIFS($H$4:$H450,$C$4:$C450,$C450)-SUMIFS($I$4:$I450,$C$4:$C450,$C450),2))</f>
        <v/>
      </c>
      <c r="K450" s="111" t="str">
        <f>IF($T450&lt;&gt;"",$T450,IF($C450="","",IF(AND(N($I450)&gt;0,$G450&lt;&gt;""),IFERROR(INDEX(科目表!$U$4:$U$123,MATCH($G450,科目表!$M$4:$M$123,0)),"管理费用"),IF(N($H450)&gt;0,IFERROR(INDEX(自动规则!$C$4:$C$40,MATCH($F450,自动规则!$B$4:$B$40,0)),"其他应收款"),IFERROR(INDEX(自动规则!$D$4:$D$40,MATCH($F450,自动规则!$B$4:$B$40,0)),"其他应付款")))))</f>
        <v/>
      </c>
      <c r="L450" s="106"/>
      <c r="M450" s="75" t="str">
        <f>IF($C450="","",IFERROR(INDEX(科目表!$T$4:$T$9,MATCH($C450,科目表!$S$4:$S$9,0)),""))</f>
        <v/>
      </c>
      <c r="N450" s="75" t="str">
        <f t="shared" si="49"/>
        <v/>
      </c>
      <c r="O450" s="76" t="str">
        <f t="shared" si="50"/>
        <v/>
      </c>
      <c r="P450" s="76" t="str">
        <f t="shared" si="51"/>
        <v/>
      </c>
      <c r="Q450" s="75" t="str">
        <f t="shared" si="52"/>
        <v/>
      </c>
      <c r="R450" s="76" t="str">
        <f t="shared" si="53"/>
        <v/>
      </c>
      <c r="S450" s="76" t="str">
        <f t="shared" si="54"/>
        <v/>
      </c>
      <c r="T450" s="43"/>
      <c r="U450" s="107"/>
      <c r="V450" s="76" t="str">
        <f t="shared" si="55"/>
        <v/>
      </c>
      <c r="W450" s="43"/>
      <c r="X450" s="43"/>
      <c r="Y450" s="74"/>
    </row>
    <row r="451" ht="18" customHeight="1" spans="1:25">
      <c r="A451" s="74" t="str">
        <f t="shared" si="48"/>
        <v/>
      </c>
      <c r="B451" s="7"/>
      <c r="C451" s="43"/>
      <c r="D451" s="106"/>
      <c r="E451" s="43"/>
      <c r="F451" s="43"/>
      <c r="G451" s="43"/>
      <c r="H451" s="107"/>
      <c r="I451" s="107"/>
      <c r="J451" s="76" t="str">
        <f>IF($C451="","",ROUND(IFERROR(INDEX(期初余额!$I$4:$I$9,MATCH($C451,期初余额!$H$4:$H$9,0)),0)+SUMIFS($H$4:$H451,$C$4:$C451,$C451)-SUMIFS($I$4:$I451,$C$4:$C451,$C451),2))</f>
        <v/>
      </c>
      <c r="K451" s="111" t="str">
        <f>IF($T451&lt;&gt;"",$T451,IF($C451="","",IF(AND(N($I451)&gt;0,$G451&lt;&gt;""),IFERROR(INDEX(科目表!$U$4:$U$123,MATCH($G451,科目表!$M$4:$M$123,0)),"管理费用"),IF(N($H451)&gt;0,IFERROR(INDEX(自动规则!$C$4:$C$40,MATCH($F451,自动规则!$B$4:$B$40,0)),"其他应收款"),IFERROR(INDEX(自动规则!$D$4:$D$40,MATCH($F451,自动规则!$B$4:$B$40,0)),"其他应付款")))))</f>
        <v/>
      </c>
      <c r="L451" s="106"/>
      <c r="M451" s="75" t="str">
        <f>IF($C451="","",IFERROR(INDEX(科目表!$T$4:$T$9,MATCH($C451,科目表!$S$4:$S$9,0)),""))</f>
        <v/>
      </c>
      <c r="N451" s="75" t="str">
        <f t="shared" si="49"/>
        <v/>
      </c>
      <c r="O451" s="76" t="str">
        <f t="shared" si="50"/>
        <v/>
      </c>
      <c r="P451" s="76" t="str">
        <f t="shared" si="51"/>
        <v/>
      </c>
      <c r="Q451" s="75" t="str">
        <f t="shared" si="52"/>
        <v/>
      </c>
      <c r="R451" s="76" t="str">
        <f t="shared" si="53"/>
        <v/>
      </c>
      <c r="S451" s="76" t="str">
        <f t="shared" si="54"/>
        <v/>
      </c>
      <c r="T451" s="43"/>
      <c r="U451" s="107"/>
      <c r="V451" s="76" t="str">
        <f t="shared" si="55"/>
        <v/>
      </c>
      <c r="W451" s="43"/>
      <c r="X451" s="43"/>
      <c r="Y451" s="74"/>
    </row>
    <row r="452" ht="18" customHeight="1" spans="1:25">
      <c r="A452" s="74" t="str">
        <f t="shared" ref="A452:A515" si="56">IF($C452="","",ROW()-3)</f>
        <v/>
      </c>
      <c r="B452" s="7"/>
      <c r="C452" s="43"/>
      <c r="D452" s="106"/>
      <c r="E452" s="43"/>
      <c r="F452" s="43"/>
      <c r="G452" s="43"/>
      <c r="H452" s="107"/>
      <c r="I452" s="107"/>
      <c r="J452" s="76" t="str">
        <f>IF($C452="","",ROUND(IFERROR(INDEX(期初余额!$I$4:$I$9,MATCH($C452,期初余额!$H$4:$H$9,0)),0)+SUMIFS($H$4:$H452,$C$4:$C452,$C452)-SUMIFS($I$4:$I452,$C$4:$C452,$C452),2))</f>
        <v/>
      </c>
      <c r="K452" s="111" t="str">
        <f>IF($T452&lt;&gt;"",$T452,IF($C452="","",IF(AND(N($I452)&gt;0,$G452&lt;&gt;""),IFERROR(INDEX(科目表!$U$4:$U$123,MATCH($G452,科目表!$M$4:$M$123,0)),"管理费用"),IF(N($H452)&gt;0,IFERROR(INDEX(自动规则!$C$4:$C$40,MATCH($F452,自动规则!$B$4:$B$40,0)),"其他应收款"),IFERROR(INDEX(自动规则!$D$4:$D$40,MATCH($F452,自动规则!$B$4:$B$40,0)),"其他应付款")))))</f>
        <v/>
      </c>
      <c r="L452" s="106"/>
      <c r="M452" s="75" t="str">
        <f>IF($C452="","",IFERROR(INDEX(科目表!$T$4:$T$9,MATCH($C452,科目表!$S$4:$S$9,0)),""))</f>
        <v/>
      </c>
      <c r="N452" s="75" t="str">
        <f t="shared" ref="N452:N515" si="57">IF(OR($C452="",ROUND(N($H452)+N($I452),2)=0),"",IF(N($H452)&gt;0,$M452,$K452))</f>
        <v/>
      </c>
      <c r="O452" s="76" t="str">
        <f t="shared" ref="O452:O515" si="58">IF($N452="","",ROUND(N($H452)+N($I452),2))</f>
        <v/>
      </c>
      <c r="P452" s="76" t="str">
        <f t="shared" ref="P452:P515" si="59">IF($N452="","",0)</f>
        <v/>
      </c>
      <c r="Q452" s="75" t="str">
        <f t="shared" ref="Q452:Q515" si="60">IF($N452="","",IF(N($H452)&gt;0,$K452,$M452))</f>
        <v/>
      </c>
      <c r="R452" s="76" t="str">
        <f t="shared" ref="R452:R515" si="61">IF($Q452="","",0)</f>
        <v/>
      </c>
      <c r="S452" s="76" t="str">
        <f t="shared" ref="S452:S515" si="62">IF($Q452="","",ROUND(N($H452)+N($I452),2))</f>
        <v/>
      </c>
      <c r="T452" s="43"/>
      <c r="U452" s="107"/>
      <c r="V452" s="76" t="str">
        <f t="shared" ref="V452:V515" si="63">IF($B452="","",TEXT($B452,"yyyy年m月"))</f>
        <v/>
      </c>
      <c r="W452" s="43"/>
      <c r="X452" s="43"/>
      <c r="Y452" s="74"/>
    </row>
    <row r="453" ht="18" customHeight="1" spans="1:25">
      <c r="A453" s="74" t="str">
        <f t="shared" si="56"/>
        <v/>
      </c>
      <c r="B453" s="7"/>
      <c r="C453" s="43"/>
      <c r="D453" s="106"/>
      <c r="E453" s="43"/>
      <c r="F453" s="43"/>
      <c r="G453" s="43"/>
      <c r="H453" s="107"/>
      <c r="I453" s="107"/>
      <c r="J453" s="76" t="str">
        <f>IF($C453="","",ROUND(IFERROR(INDEX(期初余额!$I$4:$I$9,MATCH($C453,期初余额!$H$4:$H$9,0)),0)+SUMIFS($H$4:$H453,$C$4:$C453,$C453)-SUMIFS($I$4:$I453,$C$4:$C453,$C453),2))</f>
        <v/>
      </c>
      <c r="K453" s="111" t="str">
        <f>IF($T453&lt;&gt;"",$T453,IF($C453="","",IF(AND(N($I453)&gt;0,$G453&lt;&gt;""),IFERROR(INDEX(科目表!$U$4:$U$123,MATCH($G453,科目表!$M$4:$M$123,0)),"管理费用"),IF(N($H453)&gt;0,IFERROR(INDEX(自动规则!$C$4:$C$40,MATCH($F453,自动规则!$B$4:$B$40,0)),"其他应收款"),IFERROR(INDEX(自动规则!$D$4:$D$40,MATCH($F453,自动规则!$B$4:$B$40,0)),"其他应付款")))))</f>
        <v/>
      </c>
      <c r="L453" s="106"/>
      <c r="M453" s="75" t="str">
        <f>IF($C453="","",IFERROR(INDEX(科目表!$T$4:$T$9,MATCH($C453,科目表!$S$4:$S$9,0)),""))</f>
        <v/>
      </c>
      <c r="N453" s="75" t="str">
        <f t="shared" si="57"/>
        <v/>
      </c>
      <c r="O453" s="76" t="str">
        <f t="shared" si="58"/>
        <v/>
      </c>
      <c r="P453" s="76" t="str">
        <f t="shared" si="59"/>
        <v/>
      </c>
      <c r="Q453" s="75" t="str">
        <f t="shared" si="60"/>
        <v/>
      </c>
      <c r="R453" s="76" t="str">
        <f t="shared" si="61"/>
        <v/>
      </c>
      <c r="S453" s="76" t="str">
        <f t="shared" si="62"/>
        <v/>
      </c>
      <c r="T453" s="43"/>
      <c r="U453" s="107"/>
      <c r="V453" s="76" t="str">
        <f t="shared" si="63"/>
        <v/>
      </c>
      <c r="W453" s="43"/>
      <c r="X453" s="43"/>
      <c r="Y453" s="74"/>
    </row>
    <row r="454" ht="18" customHeight="1" spans="1:25">
      <c r="A454" s="74" t="str">
        <f t="shared" si="56"/>
        <v/>
      </c>
      <c r="B454" s="7"/>
      <c r="C454" s="43"/>
      <c r="D454" s="106"/>
      <c r="E454" s="43"/>
      <c r="F454" s="43"/>
      <c r="G454" s="43"/>
      <c r="H454" s="107"/>
      <c r="I454" s="107"/>
      <c r="J454" s="76" t="str">
        <f>IF($C454="","",ROUND(IFERROR(INDEX(期初余额!$I$4:$I$9,MATCH($C454,期初余额!$H$4:$H$9,0)),0)+SUMIFS($H$4:$H454,$C$4:$C454,$C454)-SUMIFS($I$4:$I454,$C$4:$C454,$C454),2))</f>
        <v/>
      </c>
      <c r="K454" s="111" t="str">
        <f>IF($T454&lt;&gt;"",$T454,IF($C454="","",IF(AND(N($I454)&gt;0,$G454&lt;&gt;""),IFERROR(INDEX(科目表!$U$4:$U$123,MATCH($G454,科目表!$M$4:$M$123,0)),"管理费用"),IF(N($H454)&gt;0,IFERROR(INDEX(自动规则!$C$4:$C$40,MATCH($F454,自动规则!$B$4:$B$40,0)),"其他应收款"),IFERROR(INDEX(自动规则!$D$4:$D$40,MATCH($F454,自动规则!$B$4:$B$40,0)),"其他应付款")))))</f>
        <v/>
      </c>
      <c r="L454" s="106"/>
      <c r="M454" s="75" t="str">
        <f>IF($C454="","",IFERROR(INDEX(科目表!$T$4:$T$9,MATCH($C454,科目表!$S$4:$S$9,0)),""))</f>
        <v/>
      </c>
      <c r="N454" s="75" t="str">
        <f t="shared" si="57"/>
        <v/>
      </c>
      <c r="O454" s="76" t="str">
        <f t="shared" si="58"/>
        <v/>
      </c>
      <c r="P454" s="76" t="str">
        <f t="shared" si="59"/>
        <v/>
      </c>
      <c r="Q454" s="75" t="str">
        <f t="shared" si="60"/>
        <v/>
      </c>
      <c r="R454" s="76" t="str">
        <f t="shared" si="61"/>
        <v/>
      </c>
      <c r="S454" s="76" t="str">
        <f t="shared" si="62"/>
        <v/>
      </c>
      <c r="T454" s="43"/>
      <c r="U454" s="107"/>
      <c r="V454" s="76" t="str">
        <f t="shared" si="63"/>
        <v/>
      </c>
      <c r="W454" s="43"/>
      <c r="X454" s="43"/>
      <c r="Y454" s="74"/>
    </row>
    <row r="455" ht="18" customHeight="1" spans="1:25">
      <c r="A455" s="74" t="str">
        <f t="shared" si="56"/>
        <v/>
      </c>
      <c r="B455" s="7"/>
      <c r="C455" s="43"/>
      <c r="D455" s="106"/>
      <c r="E455" s="43"/>
      <c r="F455" s="43"/>
      <c r="G455" s="43"/>
      <c r="H455" s="107"/>
      <c r="I455" s="107"/>
      <c r="J455" s="76" t="str">
        <f>IF($C455="","",ROUND(IFERROR(INDEX(期初余额!$I$4:$I$9,MATCH($C455,期初余额!$H$4:$H$9,0)),0)+SUMIFS($H$4:$H455,$C$4:$C455,$C455)-SUMIFS($I$4:$I455,$C$4:$C455,$C455),2))</f>
        <v/>
      </c>
      <c r="K455" s="111" t="str">
        <f>IF($T455&lt;&gt;"",$T455,IF($C455="","",IF(AND(N($I455)&gt;0,$G455&lt;&gt;""),IFERROR(INDEX(科目表!$U$4:$U$123,MATCH($G455,科目表!$M$4:$M$123,0)),"管理费用"),IF(N($H455)&gt;0,IFERROR(INDEX(自动规则!$C$4:$C$40,MATCH($F455,自动规则!$B$4:$B$40,0)),"其他应收款"),IFERROR(INDEX(自动规则!$D$4:$D$40,MATCH($F455,自动规则!$B$4:$B$40,0)),"其他应付款")))))</f>
        <v/>
      </c>
      <c r="L455" s="106"/>
      <c r="M455" s="75" t="str">
        <f>IF($C455="","",IFERROR(INDEX(科目表!$T$4:$T$9,MATCH($C455,科目表!$S$4:$S$9,0)),""))</f>
        <v/>
      </c>
      <c r="N455" s="75" t="str">
        <f t="shared" si="57"/>
        <v/>
      </c>
      <c r="O455" s="76" t="str">
        <f t="shared" si="58"/>
        <v/>
      </c>
      <c r="P455" s="76" t="str">
        <f t="shared" si="59"/>
        <v/>
      </c>
      <c r="Q455" s="75" t="str">
        <f t="shared" si="60"/>
        <v/>
      </c>
      <c r="R455" s="76" t="str">
        <f t="shared" si="61"/>
        <v/>
      </c>
      <c r="S455" s="76" t="str">
        <f t="shared" si="62"/>
        <v/>
      </c>
      <c r="T455" s="43"/>
      <c r="U455" s="107"/>
      <c r="V455" s="76" t="str">
        <f t="shared" si="63"/>
        <v/>
      </c>
      <c r="W455" s="43"/>
      <c r="X455" s="43"/>
      <c r="Y455" s="74"/>
    </row>
    <row r="456" ht="18" customHeight="1" spans="1:25">
      <c r="A456" s="74" t="str">
        <f t="shared" si="56"/>
        <v/>
      </c>
      <c r="B456" s="7"/>
      <c r="C456" s="43"/>
      <c r="D456" s="106"/>
      <c r="E456" s="43"/>
      <c r="F456" s="43"/>
      <c r="G456" s="43"/>
      <c r="H456" s="107"/>
      <c r="I456" s="107"/>
      <c r="J456" s="76" t="str">
        <f>IF($C456="","",ROUND(IFERROR(INDEX(期初余额!$I$4:$I$9,MATCH($C456,期初余额!$H$4:$H$9,0)),0)+SUMIFS($H$4:$H456,$C$4:$C456,$C456)-SUMIFS($I$4:$I456,$C$4:$C456,$C456),2))</f>
        <v/>
      </c>
      <c r="K456" s="111" t="str">
        <f>IF($T456&lt;&gt;"",$T456,IF($C456="","",IF(AND(N($I456)&gt;0,$G456&lt;&gt;""),IFERROR(INDEX(科目表!$U$4:$U$123,MATCH($G456,科目表!$M$4:$M$123,0)),"管理费用"),IF(N($H456)&gt;0,IFERROR(INDEX(自动规则!$C$4:$C$40,MATCH($F456,自动规则!$B$4:$B$40,0)),"其他应收款"),IFERROR(INDEX(自动规则!$D$4:$D$40,MATCH($F456,自动规则!$B$4:$B$40,0)),"其他应付款")))))</f>
        <v/>
      </c>
      <c r="L456" s="106"/>
      <c r="M456" s="75" t="str">
        <f>IF($C456="","",IFERROR(INDEX(科目表!$T$4:$T$9,MATCH($C456,科目表!$S$4:$S$9,0)),""))</f>
        <v/>
      </c>
      <c r="N456" s="75" t="str">
        <f t="shared" si="57"/>
        <v/>
      </c>
      <c r="O456" s="76" t="str">
        <f t="shared" si="58"/>
        <v/>
      </c>
      <c r="P456" s="76" t="str">
        <f t="shared" si="59"/>
        <v/>
      </c>
      <c r="Q456" s="75" t="str">
        <f t="shared" si="60"/>
        <v/>
      </c>
      <c r="R456" s="76" t="str">
        <f t="shared" si="61"/>
        <v/>
      </c>
      <c r="S456" s="76" t="str">
        <f t="shared" si="62"/>
        <v/>
      </c>
      <c r="T456" s="43"/>
      <c r="U456" s="107"/>
      <c r="V456" s="76" t="str">
        <f t="shared" si="63"/>
        <v/>
      </c>
      <c r="W456" s="43"/>
      <c r="X456" s="43"/>
      <c r="Y456" s="74"/>
    </row>
    <row r="457" ht="18" customHeight="1" spans="1:25">
      <c r="A457" s="74" t="str">
        <f t="shared" si="56"/>
        <v/>
      </c>
      <c r="B457" s="7"/>
      <c r="C457" s="43"/>
      <c r="D457" s="106"/>
      <c r="E457" s="43"/>
      <c r="F457" s="43"/>
      <c r="G457" s="43"/>
      <c r="H457" s="107"/>
      <c r="I457" s="107"/>
      <c r="J457" s="76" t="str">
        <f>IF($C457="","",ROUND(IFERROR(INDEX(期初余额!$I$4:$I$9,MATCH($C457,期初余额!$H$4:$H$9,0)),0)+SUMIFS($H$4:$H457,$C$4:$C457,$C457)-SUMIFS($I$4:$I457,$C$4:$C457,$C457),2))</f>
        <v/>
      </c>
      <c r="K457" s="111" t="str">
        <f>IF($T457&lt;&gt;"",$T457,IF($C457="","",IF(AND(N($I457)&gt;0,$G457&lt;&gt;""),IFERROR(INDEX(科目表!$U$4:$U$123,MATCH($G457,科目表!$M$4:$M$123,0)),"管理费用"),IF(N($H457)&gt;0,IFERROR(INDEX(自动规则!$C$4:$C$40,MATCH($F457,自动规则!$B$4:$B$40,0)),"其他应收款"),IFERROR(INDEX(自动规则!$D$4:$D$40,MATCH($F457,自动规则!$B$4:$B$40,0)),"其他应付款")))))</f>
        <v/>
      </c>
      <c r="L457" s="106"/>
      <c r="M457" s="75" t="str">
        <f>IF($C457="","",IFERROR(INDEX(科目表!$T$4:$T$9,MATCH($C457,科目表!$S$4:$S$9,0)),""))</f>
        <v/>
      </c>
      <c r="N457" s="75" t="str">
        <f t="shared" si="57"/>
        <v/>
      </c>
      <c r="O457" s="76" t="str">
        <f t="shared" si="58"/>
        <v/>
      </c>
      <c r="P457" s="76" t="str">
        <f t="shared" si="59"/>
        <v/>
      </c>
      <c r="Q457" s="75" t="str">
        <f t="shared" si="60"/>
        <v/>
      </c>
      <c r="R457" s="76" t="str">
        <f t="shared" si="61"/>
        <v/>
      </c>
      <c r="S457" s="76" t="str">
        <f t="shared" si="62"/>
        <v/>
      </c>
      <c r="T457" s="43"/>
      <c r="U457" s="107"/>
      <c r="V457" s="76" t="str">
        <f t="shared" si="63"/>
        <v/>
      </c>
      <c r="W457" s="43"/>
      <c r="X457" s="43"/>
      <c r="Y457" s="74"/>
    </row>
    <row r="458" ht="18" customHeight="1" spans="1:25">
      <c r="A458" s="74" t="str">
        <f t="shared" si="56"/>
        <v/>
      </c>
      <c r="B458" s="7"/>
      <c r="C458" s="43"/>
      <c r="D458" s="106"/>
      <c r="E458" s="43"/>
      <c r="F458" s="43"/>
      <c r="G458" s="43"/>
      <c r="H458" s="107"/>
      <c r="I458" s="107"/>
      <c r="J458" s="76" t="str">
        <f>IF($C458="","",ROUND(IFERROR(INDEX(期初余额!$I$4:$I$9,MATCH($C458,期初余额!$H$4:$H$9,0)),0)+SUMIFS($H$4:$H458,$C$4:$C458,$C458)-SUMIFS($I$4:$I458,$C$4:$C458,$C458),2))</f>
        <v/>
      </c>
      <c r="K458" s="111" t="str">
        <f>IF($T458&lt;&gt;"",$T458,IF($C458="","",IF(AND(N($I458)&gt;0,$G458&lt;&gt;""),IFERROR(INDEX(科目表!$U$4:$U$123,MATCH($G458,科目表!$M$4:$M$123,0)),"管理费用"),IF(N($H458)&gt;0,IFERROR(INDEX(自动规则!$C$4:$C$40,MATCH($F458,自动规则!$B$4:$B$40,0)),"其他应收款"),IFERROR(INDEX(自动规则!$D$4:$D$40,MATCH($F458,自动规则!$B$4:$B$40,0)),"其他应付款")))))</f>
        <v/>
      </c>
      <c r="L458" s="106"/>
      <c r="M458" s="75" t="str">
        <f>IF($C458="","",IFERROR(INDEX(科目表!$T$4:$T$9,MATCH($C458,科目表!$S$4:$S$9,0)),""))</f>
        <v/>
      </c>
      <c r="N458" s="75" t="str">
        <f t="shared" si="57"/>
        <v/>
      </c>
      <c r="O458" s="76" t="str">
        <f t="shared" si="58"/>
        <v/>
      </c>
      <c r="P458" s="76" t="str">
        <f t="shared" si="59"/>
        <v/>
      </c>
      <c r="Q458" s="75" t="str">
        <f t="shared" si="60"/>
        <v/>
      </c>
      <c r="R458" s="76" t="str">
        <f t="shared" si="61"/>
        <v/>
      </c>
      <c r="S458" s="76" t="str">
        <f t="shared" si="62"/>
        <v/>
      </c>
      <c r="T458" s="43"/>
      <c r="U458" s="107"/>
      <c r="V458" s="76" t="str">
        <f t="shared" si="63"/>
        <v/>
      </c>
      <c r="W458" s="43"/>
      <c r="X458" s="43"/>
      <c r="Y458" s="74"/>
    </row>
    <row r="459" ht="18" customHeight="1" spans="1:25">
      <c r="A459" s="74" t="str">
        <f t="shared" si="56"/>
        <v/>
      </c>
      <c r="B459" s="7"/>
      <c r="C459" s="43"/>
      <c r="D459" s="106"/>
      <c r="E459" s="43"/>
      <c r="F459" s="43"/>
      <c r="G459" s="43"/>
      <c r="H459" s="107"/>
      <c r="I459" s="107"/>
      <c r="J459" s="76" t="str">
        <f>IF($C459="","",ROUND(IFERROR(INDEX(期初余额!$I$4:$I$9,MATCH($C459,期初余额!$H$4:$H$9,0)),0)+SUMIFS($H$4:$H459,$C$4:$C459,$C459)-SUMIFS($I$4:$I459,$C$4:$C459,$C459),2))</f>
        <v/>
      </c>
      <c r="K459" s="111" t="str">
        <f>IF($T459&lt;&gt;"",$T459,IF($C459="","",IF(AND(N($I459)&gt;0,$G459&lt;&gt;""),IFERROR(INDEX(科目表!$U$4:$U$123,MATCH($G459,科目表!$M$4:$M$123,0)),"管理费用"),IF(N($H459)&gt;0,IFERROR(INDEX(自动规则!$C$4:$C$40,MATCH($F459,自动规则!$B$4:$B$40,0)),"其他应收款"),IFERROR(INDEX(自动规则!$D$4:$D$40,MATCH($F459,自动规则!$B$4:$B$40,0)),"其他应付款")))))</f>
        <v/>
      </c>
      <c r="L459" s="106"/>
      <c r="M459" s="75" t="str">
        <f>IF($C459="","",IFERROR(INDEX(科目表!$T$4:$T$9,MATCH($C459,科目表!$S$4:$S$9,0)),""))</f>
        <v/>
      </c>
      <c r="N459" s="75" t="str">
        <f t="shared" si="57"/>
        <v/>
      </c>
      <c r="O459" s="76" t="str">
        <f t="shared" si="58"/>
        <v/>
      </c>
      <c r="P459" s="76" t="str">
        <f t="shared" si="59"/>
        <v/>
      </c>
      <c r="Q459" s="75" t="str">
        <f t="shared" si="60"/>
        <v/>
      </c>
      <c r="R459" s="76" t="str">
        <f t="shared" si="61"/>
        <v/>
      </c>
      <c r="S459" s="76" t="str">
        <f t="shared" si="62"/>
        <v/>
      </c>
      <c r="T459" s="43"/>
      <c r="U459" s="107"/>
      <c r="V459" s="76" t="str">
        <f t="shared" si="63"/>
        <v/>
      </c>
      <c r="W459" s="43"/>
      <c r="X459" s="43"/>
      <c r="Y459" s="74"/>
    </row>
    <row r="460" ht="18" customHeight="1" spans="1:25">
      <c r="A460" s="74" t="str">
        <f t="shared" si="56"/>
        <v/>
      </c>
      <c r="B460" s="7"/>
      <c r="C460" s="43"/>
      <c r="D460" s="106"/>
      <c r="E460" s="43"/>
      <c r="F460" s="43"/>
      <c r="G460" s="43"/>
      <c r="H460" s="107"/>
      <c r="I460" s="107"/>
      <c r="J460" s="76" t="str">
        <f>IF($C460="","",ROUND(IFERROR(INDEX(期初余额!$I$4:$I$9,MATCH($C460,期初余额!$H$4:$H$9,0)),0)+SUMIFS($H$4:$H460,$C$4:$C460,$C460)-SUMIFS($I$4:$I460,$C$4:$C460,$C460),2))</f>
        <v/>
      </c>
      <c r="K460" s="111" t="str">
        <f>IF($T460&lt;&gt;"",$T460,IF($C460="","",IF(AND(N($I460)&gt;0,$G460&lt;&gt;""),IFERROR(INDEX(科目表!$U$4:$U$123,MATCH($G460,科目表!$M$4:$M$123,0)),"管理费用"),IF(N($H460)&gt;0,IFERROR(INDEX(自动规则!$C$4:$C$40,MATCH($F460,自动规则!$B$4:$B$40,0)),"其他应收款"),IFERROR(INDEX(自动规则!$D$4:$D$40,MATCH($F460,自动规则!$B$4:$B$40,0)),"其他应付款")))))</f>
        <v/>
      </c>
      <c r="L460" s="106"/>
      <c r="M460" s="75" t="str">
        <f>IF($C460="","",IFERROR(INDEX(科目表!$T$4:$T$9,MATCH($C460,科目表!$S$4:$S$9,0)),""))</f>
        <v/>
      </c>
      <c r="N460" s="75" t="str">
        <f t="shared" si="57"/>
        <v/>
      </c>
      <c r="O460" s="76" t="str">
        <f t="shared" si="58"/>
        <v/>
      </c>
      <c r="P460" s="76" t="str">
        <f t="shared" si="59"/>
        <v/>
      </c>
      <c r="Q460" s="75" t="str">
        <f t="shared" si="60"/>
        <v/>
      </c>
      <c r="R460" s="76" t="str">
        <f t="shared" si="61"/>
        <v/>
      </c>
      <c r="S460" s="76" t="str">
        <f t="shared" si="62"/>
        <v/>
      </c>
      <c r="T460" s="43"/>
      <c r="U460" s="107"/>
      <c r="V460" s="76" t="str">
        <f t="shared" si="63"/>
        <v/>
      </c>
      <c r="W460" s="43"/>
      <c r="X460" s="43"/>
      <c r="Y460" s="74"/>
    </row>
    <row r="461" ht="18" customHeight="1" spans="1:25">
      <c r="A461" s="74" t="str">
        <f t="shared" si="56"/>
        <v/>
      </c>
      <c r="B461" s="7"/>
      <c r="C461" s="43"/>
      <c r="D461" s="106"/>
      <c r="E461" s="43"/>
      <c r="F461" s="43"/>
      <c r="G461" s="43"/>
      <c r="H461" s="107"/>
      <c r="I461" s="107"/>
      <c r="J461" s="76" t="str">
        <f>IF($C461="","",ROUND(IFERROR(INDEX(期初余额!$I$4:$I$9,MATCH($C461,期初余额!$H$4:$H$9,0)),0)+SUMIFS($H$4:$H461,$C$4:$C461,$C461)-SUMIFS($I$4:$I461,$C$4:$C461,$C461),2))</f>
        <v/>
      </c>
      <c r="K461" s="111" t="str">
        <f>IF($T461&lt;&gt;"",$T461,IF($C461="","",IF(AND(N($I461)&gt;0,$G461&lt;&gt;""),IFERROR(INDEX(科目表!$U$4:$U$123,MATCH($G461,科目表!$M$4:$M$123,0)),"管理费用"),IF(N($H461)&gt;0,IFERROR(INDEX(自动规则!$C$4:$C$40,MATCH($F461,自动规则!$B$4:$B$40,0)),"其他应收款"),IFERROR(INDEX(自动规则!$D$4:$D$40,MATCH($F461,自动规则!$B$4:$B$40,0)),"其他应付款")))))</f>
        <v/>
      </c>
      <c r="L461" s="106"/>
      <c r="M461" s="75" t="str">
        <f>IF($C461="","",IFERROR(INDEX(科目表!$T$4:$T$9,MATCH($C461,科目表!$S$4:$S$9,0)),""))</f>
        <v/>
      </c>
      <c r="N461" s="75" t="str">
        <f t="shared" si="57"/>
        <v/>
      </c>
      <c r="O461" s="76" t="str">
        <f t="shared" si="58"/>
        <v/>
      </c>
      <c r="P461" s="76" t="str">
        <f t="shared" si="59"/>
        <v/>
      </c>
      <c r="Q461" s="75" t="str">
        <f t="shared" si="60"/>
        <v/>
      </c>
      <c r="R461" s="76" t="str">
        <f t="shared" si="61"/>
        <v/>
      </c>
      <c r="S461" s="76" t="str">
        <f t="shared" si="62"/>
        <v/>
      </c>
      <c r="T461" s="43"/>
      <c r="U461" s="107"/>
      <c r="V461" s="76" t="str">
        <f t="shared" si="63"/>
        <v/>
      </c>
      <c r="W461" s="43"/>
      <c r="X461" s="43"/>
      <c r="Y461" s="74"/>
    </row>
    <row r="462" ht="18" customHeight="1" spans="1:25">
      <c r="A462" s="74" t="str">
        <f t="shared" si="56"/>
        <v/>
      </c>
      <c r="B462" s="7"/>
      <c r="C462" s="43"/>
      <c r="D462" s="106"/>
      <c r="E462" s="43"/>
      <c r="F462" s="43"/>
      <c r="G462" s="43"/>
      <c r="H462" s="107"/>
      <c r="I462" s="107"/>
      <c r="J462" s="76" t="str">
        <f>IF($C462="","",ROUND(IFERROR(INDEX(期初余额!$I$4:$I$9,MATCH($C462,期初余额!$H$4:$H$9,0)),0)+SUMIFS($H$4:$H462,$C$4:$C462,$C462)-SUMIFS($I$4:$I462,$C$4:$C462,$C462),2))</f>
        <v/>
      </c>
      <c r="K462" s="111" t="str">
        <f>IF($T462&lt;&gt;"",$T462,IF($C462="","",IF(AND(N($I462)&gt;0,$G462&lt;&gt;""),IFERROR(INDEX(科目表!$U$4:$U$123,MATCH($G462,科目表!$M$4:$M$123,0)),"管理费用"),IF(N($H462)&gt;0,IFERROR(INDEX(自动规则!$C$4:$C$40,MATCH($F462,自动规则!$B$4:$B$40,0)),"其他应收款"),IFERROR(INDEX(自动规则!$D$4:$D$40,MATCH($F462,自动规则!$B$4:$B$40,0)),"其他应付款")))))</f>
        <v/>
      </c>
      <c r="L462" s="106"/>
      <c r="M462" s="75" t="str">
        <f>IF($C462="","",IFERROR(INDEX(科目表!$T$4:$T$9,MATCH($C462,科目表!$S$4:$S$9,0)),""))</f>
        <v/>
      </c>
      <c r="N462" s="75" t="str">
        <f t="shared" si="57"/>
        <v/>
      </c>
      <c r="O462" s="76" t="str">
        <f t="shared" si="58"/>
        <v/>
      </c>
      <c r="P462" s="76" t="str">
        <f t="shared" si="59"/>
        <v/>
      </c>
      <c r="Q462" s="75" t="str">
        <f t="shared" si="60"/>
        <v/>
      </c>
      <c r="R462" s="76" t="str">
        <f t="shared" si="61"/>
        <v/>
      </c>
      <c r="S462" s="76" t="str">
        <f t="shared" si="62"/>
        <v/>
      </c>
      <c r="T462" s="43"/>
      <c r="U462" s="107"/>
      <c r="V462" s="76" t="str">
        <f t="shared" si="63"/>
        <v/>
      </c>
      <c r="W462" s="43"/>
      <c r="X462" s="43"/>
      <c r="Y462" s="74"/>
    </row>
    <row r="463" ht="18" customHeight="1" spans="1:25">
      <c r="A463" s="74" t="str">
        <f t="shared" si="56"/>
        <v/>
      </c>
      <c r="B463" s="7"/>
      <c r="C463" s="43"/>
      <c r="D463" s="106"/>
      <c r="E463" s="43"/>
      <c r="F463" s="43"/>
      <c r="G463" s="43"/>
      <c r="H463" s="107"/>
      <c r="I463" s="107"/>
      <c r="J463" s="76" t="str">
        <f>IF($C463="","",ROUND(IFERROR(INDEX(期初余额!$I$4:$I$9,MATCH($C463,期初余额!$H$4:$H$9,0)),0)+SUMIFS($H$4:$H463,$C$4:$C463,$C463)-SUMIFS($I$4:$I463,$C$4:$C463,$C463),2))</f>
        <v/>
      </c>
      <c r="K463" s="111" t="str">
        <f>IF($T463&lt;&gt;"",$T463,IF($C463="","",IF(AND(N($I463)&gt;0,$G463&lt;&gt;""),IFERROR(INDEX(科目表!$U$4:$U$123,MATCH($G463,科目表!$M$4:$M$123,0)),"管理费用"),IF(N($H463)&gt;0,IFERROR(INDEX(自动规则!$C$4:$C$40,MATCH($F463,自动规则!$B$4:$B$40,0)),"其他应收款"),IFERROR(INDEX(自动规则!$D$4:$D$40,MATCH($F463,自动规则!$B$4:$B$40,0)),"其他应付款")))))</f>
        <v/>
      </c>
      <c r="L463" s="106"/>
      <c r="M463" s="75" t="str">
        <f>IF($C463="","",IFERROR(INDEX(科目表!$T$4:$T$9,MATCH($C463,科目表!$S$4:$S$9,0)),""))</f>
        <v/>
      </c>
      <c r="N463" s="75" t="str">
        <f t="shared" si="57"/>
        <v/>
      </c>
      <c r="O463" s="76" t="str">
        <f t="shared" si="58"/>
        <v/>
      </c>
      <c r="P463" s="76" t="str">
        <f t="shared" si="59"/>
        <v/>
      </c>
      <c r="Q463" s="75" t="str">
        <f t="shared" si="60"/>
        <v/>
      </c>
      <c r="R463" s="76" t="str">
        <f t="shared" si="61"/>
        <v/>
      </c>
      <c r="S463" s="76" t="str">
        <f t="shared" si="62"/>
        <v/>
      </c>
      <c r="T463" s="43"/>
      <c r="U463" s="107"/>
      <c r="V463" s="76" t="str">
        <f t="shared" si="63"/>
        <v/>
      </c>
      <c r="W463" s="43"/>
      <c r="X463" s="43"/>
      <c r="Y463" s="74"/>
    </row>
    <row r="464" ht="18" customHeight="1" spans="1:25">
      <c r="A464" s="74" t="str">
        <f t="shared" si="56"/>
        <v/>
      </c>
      <c r="B464" s="7"/>
      <c r="C464" s="43"/>
      <c r="D464" s="106"/>
      <c r="E464" s="43"/>
      <c r="F464" s="43"/>
      <c r="G464" s="43"/>
      <c r="H464" s="107"/>
      <c r="I464" s="107"/>
      <c r="J464" s="76" t="str">
        <f>IF($C464="","",ROUND(IFERROR(INDEX(期初余额!$I$4:$I$9,MATCH($C464,期初余额!$H$4:$H$9,0)),0)+SUMIFS($H$4:$H464,$C$4:$C464,$C464)-SUMIFS($I$4:$I464,$C$4:$C464,$C464),2))</f>
        <v/>
      </c>
      <c r="K464" s="111" t="str">
        <f>IF($T464&lt;&gt;"",$T464,IF($C464="","",IF(AND(N($I464)&gt;0,$G464&lt;&gt;""),IFERROR(INDEX(科目表!$U$4:$U$123,MATCH($G464,科目表!$M$4:$M$123,0)),"管理费用"),IF(N($H464)&gt;0,IFERROR(INDEX(自动规则!$C$4:$C$40,MATCH($F464,自动规则!$B$4:$B$40,0)),"其他应收款"),IFERROR(INDEX(自动规则!$D$4:$D$40,MATCH($F464,自动规则!$B$4:$B$40,0)),"其他应付款")))))</f>
        <v/>
      </c>
      <c r="L464" s="106"/>
      <c r="M464" s="75" t="str">
        <f>IF($C464="","",IFERROR(INDEX(科目表!$T$4:$T$9,MATCH($C464,科目表!$S$4:$S$9,0)),""))</f>
        <v/>
      </c>
      <c r="N464" s="75" t="str">
        <f t="shared" si="57"/>
        <v/>
      </c>
      <c r="O464" s="76" t="str">
        <f t="shared" si="58"/>
        <v/>
      </c>
      <c r="P464" s="76" t="str">
        <f t="shared" si="59"/>
        <v/>
      </c>
      <c r="Q464" s="75" t="str">
        <f t="shared" si="60"/>
        <v/>
      </c>
      <c r="R464" s="76" t="str">
        <f t="shared" si="61"/>
        <v/>
      </c>
      <c r="S464" s="76" t="str">
        <f t="shared" si="62"/>
        <v/>
      </c>
      <c r="T464" s="43"/>
      <c r="U464" s="107"/>
      <c r="V464" s="76" t="str">
        <f t="shared" si="63"/>
        <v/>
      </c>
      <c r="W464" s="43"/>
      <c r="X464" s="43"/>
      <c r="Y464" s="74"/>
    </row>
    <row r="465" ht="18" customHeight="1" spans="1:25">
      <c r="A465" s="74" t="str">
        <f t="shared" si="56"/>
        <v/>
      </c>
      <c r="B465" s="7"/>
      <c r="C465" s="43"/>
      <c r="D465" s="106"/>
      <c r="E465" s="43"/>
      <c r="F465" s="43"/>
      <c r="G465" s="43"/>
      <c r="H465" s="107"/>
      <c r="I465" s="107"/>
      <c r="J465" s="76" t="str">
        <f>IF($C465="","",ROUND(IFERROR(INDEX(期初余额!$I$4:$I$9,MATCH($C465,期初余额!$H$4:$H$9,0)),0)+SUMIFS($H$4:$H465,$C$4:$C465,$C465)-SUMIFS($I$4:$I465,$C$4:$C465,$C465),2))</f>
        <v/>
      </c>
      <c r="K465" s="111" t="str">
        <f>IF($T465&lt;&gt;"",$T465,IF($C465="","",IF(AND(N($I465)&gt;0,$G465&lt;&gt;""),IFERROR(INDEX(科目表!$U$4:$U$123,MATCH($G465,科目表!$M$4:$M$123,0)),"管理费用"),IF(N($H465)&gt;0,IFERROR(INDEX(自动规则!$C$4:$C$40,MATCH($F465,自动规则!$B$4:$B$40,0)),"其他应收款"),IFERROR(INDEX(自动规则!$D$4:$D$40,MATCH($F465,自动规则!$B$4:$B$40,0)),"其他应付款")))))</f>
        <v/>
      </c>
      <c r="L465" s="106"/>
      <c r="M465" s="75" t="str">
        <f>IF($C465="","",IFERROR(INDEX(科目表!$T$4:$T$9,MATCH($C465,科目表!$S$4:$S$9,0)),""))</f>
        <v/>
      </c>
      <c r="N465" s="75" t="str">
        <f t="shared" si="57"/>
        <v/>
      </c>
      <c r="O465" s="76" t="str">
        <f t="shared" si="58"/>
        <v/>
      </c>
      <c r="P465" s="76" t="str">
        <f t="shared" si="59"/>
        <v/>
      </c>
      <c r="Q465" s="75" t="str">
        <f t="shared" si="60"/>
        <v/>
      </c>
      <c r="R465" s="76" t="str">
        <f t="shared" si="61"/>
        <v/>
      </c>
      <c r="S465" s="76" t="str">
        <f t="shared" si="62"/>
        <v/>
      </c>
      <c r="T465" s="43"/>
      <c r="U465" s="107"/>
      <c r="V465" s="76" t="str">
        <f t="shared" si="63"/>
        <v/>
      </c>
      <c r="W465" s="43"/>
      <c r="X465" s="43"/>
      <c r="Y465" s="74"/>
    </row>
    <row r="466" ht="18" customHeight="1" spans="1:25">
      <c r="A466" s="74" t="str">
        <f t="shared" si="56"/>
        <v/>
      </c>
      <c r="B466" s="7"/>
      <c r="C466" s="43"/>
      <c r="D466" s="106"/>
      <c r="E466" s="43"/>
      <c r="F466" s="43"/>
      <c r="G466" s="43"/>
      <c r="H466" s="107"/>
      <c r="I466" s="107"/>
      <c r="J466" s="76" t="str">
        <f>IF($C466="","",ROUND(IFERROR(INDEX(期初余额!$I$4:$I$9,MATCH($C466,期初余额!$H$4:$H$9,0)),0)+SUMIFS($H$4:$H466,$C$4:$C466,$C466)-SUMIFS($I$4:$I466,$C$4:$C466,$C466),2))</f>
        <v/>
      </c>
      <c r="K466" s="111" t="str">
        <f>IF($T466&lt;&gt;"",$T466,IF($C466="","",IF(AND(N($I466)&gt;0,$G466&lt;&gt;""),IFERROR(INDEX(科目表!$U$4:$U$123,MATCH($G466,科目表!$M$4:$M$123,0)),"管理费用"),IF(N($H466)&gt;0,IFERROR(INDEX(自动规则!$C$4:$C$40,MATCH($F466,自动规则!$B$4:$B$40,0)),"其他应收款"),IFERROR(INDEX(自动规则!$D$4:$D$40,MATCH($F466,自动规则!$B$4:$B$40,0)),"其他应付款")))))</f>
        <v/>
      </c>
      <c r="L466" s="106"/>
      <c r="M466" s="75" t="str">
        <f>IF($C466="","",IFERROR(INDEX(科目表!$T$4:$T$9,MATCH($C466,科目表!$S$4:$S$9,0)),""))</f>
        <v/>
      </c>
      <c r="N466" s="75" t="str">
        <f t="shared" si="57"/>
        <v/>
      </c>
      <c r="O466" s="76" t="str">
        <f t="shared" si="58"/>
        <v/>
      </c>
      <c r="P466" s="76" t="str">
        <f t="shared" si="59"/>
        <v/>
      </c>
      <c r="Q466" s="75" t="str">
        <f t="shared" si="60"/>
        <v/>
      </c>
      <c r="R466" s="76" t="str">
        <f t="shared" si="61"/>
        <v/>
      </c>
      <c r="S466" s="76" t="str">
        <f t="shared" si="62"/>
        <v/>
      </c>
      <c r="T466" s="43"/>
      <c r="U466" s="107"/>
      <c r="V466" s="76" t="str">
        <f t="shared" si="63"/>
        <v/>
      </c>
      <c r="W466" s="43"/>
      <c r="X466" s="43"/>
      <c r="Y466" s="74"/>
    </row>
    <row r="467" ht="18" customHeight="1" spans="1:25">
      <c r="A467" s="74" t="str">
        <f t="shared" si="56"/>
        <v/>
      </c>
      <c r="B467" s="7"/>
      <c r="C467" s="43"/>
      <c r="D467" s="106"/>
      <c r="E467" s="43"/>
      <c r="F467" s="43"/>
      <c r="G467" s="43"/>
      <c r="H467" s="107"/>
      <c r="I467" s="107"/>
      <c r="J467" s="76" t="str">
        <f>IF($C467="","",ROUND(IFERROR(INDEX(期初余额!$I$4:$I$9,MATCH($C467,期初余额!$H$4:$H$9,0)),0)+SUMIFS($H$4:$H467,$C$4:$C467,$C467)-SUMIFS($I$4:$I467,$C$4:$C467,$C467),2))</f>
        <v/>
      </c>
      <c r="K467" s="111" t="str">
        <f>IF($T467&lt;&gt;"",$T467,IF($C467="","",IF(AND(N($I467)&gt;0,$G467&lt;&gt;""),IFERROR(INDEX(科目表!$U$4:$U$123,MATCH($G467,科目表!$M$4:$M$123,0)),"管理费用"),IF(N($H467)&gt;0,IFERROR(INDEX(自动规则!$C$4:$C$40,MATCH($F467,自动规则!$B$4:$B$40,0)),"其他应收款"),IFERROR(INDEX(自动规则!$D$4:$D$40,MATCH($F467,自动规则!$B$4:$B$40,0)),"其他应付款")))))</f>
        <v/>
      </c>
      <c r="L467" s="106"/>
      <c r="M467" s="75" t="str">
        <f>IF($C467="","",IFERROR(INDEX(科目表!$T$4:$T$9,MATCH($C467,科目表!$S$4:$S$9,0)),""))</f>
        <v/>
      </c>
      <c r="N467" s="75" t="str">
        <f t="shared" si="57"/>
        <v/>
      </c>
      <c r="O467" s="76" t="str">
        <f t="shared" si="58"/>
        <v/>
      </c>
      <c r="P467" s="76" t="str">
        <f t="shared" si="59"/>
        <v/>
      </c>
      <c r="Q467" s="75" t="str">
        <f t="shared" si="60"/>
        <v/>
      </c>
      <c r="R467" s="76" t="str">
        <f t="shared" si="61"/>
        <v/>
      </c>
      <c r="S467" s="76" t="str">
        <f t="shared" si="62"/>
        <v/>
      </c>
      <c r="T467" s="43"/>
      <c r="U467" s="107"/>
      <c r="V467" s="76" t="str">
        <f t="shared" si="63"/>
        <v/>
      </c>
      <c r="W467" s="43"/>
      <c r="X467" s="43"/>
      <c r="Y467" s="74"/>
    </row>
    <row r="468" ht="18" customHeight="1" spans="1:25">
      <c r="A468" s="74" t="str">
        <f t="shared" si="56"/>
        <v/>
      </c>
      <c r="B468" s="7"/>
      <c r="C468" s="43"/>
      <c r="D468" s="106"/>
      <c r="E468" s="43"/>
      <c r="F468" s="43"/>
      <c r="G468" s="43"/>
      <c r="H468" s="107"/>
      <c r="I468" s="107"/>
      <c r="J468" s="76" t="str">
        <f>IF($C468="","",ROUND(IFERROR(INDEX(期初余额!$I$4:$I$9,MATCH($C468,期初余额!$H$4:$H$9,0)),0)+SUMIFS($H$4:$H468,$C$4:$C468,$C468)-SUMIFS($I$4:$I468,$C$4:$C468,$C468),2))</f>
        <v/>
      </c>
      <c r="K468" s="111" t="str">
        <f>IF($T468&lt;&gt;"",$T468,IF($C468="","",IF(AND(N($I468)&gt;0,$G468&lt;&gt;""),IFERROR(INDEX(科目表!$U$4:$U$123,MATCH($G468,科目表!$M$4:$M$123,0)),"管理费用"),IF(N($H468)&gt;0,IFERROR(INDEX(自动规则!$C$4:$C$40,MATCH($F468,自动规则!$B$4:$B$40,0)),"其他应收款"),IFERROR(INDEX(自动规则!$D$4:$D$40,MATCH($F468,自动规则!$B$4:$B$40,0)),"其他应付款")))))</f>
        <v/>
      </c>
      <c r="L468" s="106"/>
      <c r="M468" s="75" t="str">
        <f>IF($C468="","",IFERROR(INDEX(科目表!$T$4:$T$9,MATCH($C468,科目表!$S$4:$S$9,0)),""))</f>
        <v/>
      </c>
      <c r="N468" s="75" t="str">
        <f t="shared" si="57"/>
        <v/>
      </c>
      <c r="O468" s="76" t="str">
        <f t="shared" si="58"/>
        <v/>
      </c>
      <c r="P468" s="76" t="str">
        <f t="shared" si="59"/>
        <v/>
      </c>
      <c r="Q468" s="75" t="str">
        <f t="shared" si="60"/>
        <v/>
      </c>
      <c r="R468" s="76" t="str">
        <f t="shared" si="61"/>
        <v/>
      </c>
      <c r="S468" s="76" t="str">
        <f t="shared" si="62"/>
        <v/>
      </c>
      <c r="T468" s="43"/>
      <c r="U468" s="107"/>
      <c r="V468" s="76" t="str">
        <f t="shared" si="63"/>
        <v/>
      </c>
      <c r="W468" s="43"/>
      <c r="X468" s="43"/>
      <c r="Y468" s="74"/>
    </row>
    <row r="469" ht="18" customHeight="1" spans="1:25">
      <c r="A469" s="74" t="str">
        <f t="shared" si="56"/>
        <v/>
      </c>
      <c r="B469" s="7"/>
      <c r="C469" s="43"/>
      <c r="D469" s="106"/>
      <c r="E469" s="43"/>
      <c r="F469" s="43"/>
      <c r="G469" s="43"/>
      <c r="H469" s="107"/>
      <c r="I469" s="107"/>
      <c r="J469" s="76" t="str">
        <f>IF($C469="","",ROUND(IFERROR(INDEX(期初余额!$I$4:$I$9,MATCH($C469,期初余额!$H$4:$H$9,0)),0)+SUMIFS($H$4:$H469,$C$4:$C469,$C469)-SUMIFS($I$4:$I469,$C$4:$C469,$C469),2))</f>
        <v/>
      </c>
      <c r="K469" s="111" t="str">
        <f>IF($T469&lt;&gt;"",$T469,IF($C469="","",IF(AND(N($I469)&gt;0,$G469&lt;&gt;""),IFERROR(INDEX(科目表!$U$4:$U$123,MATCH($G469,科目表!$M$4:$M$123,0)),"管理费用"),IF(N($H469)&gt;0,IFERROR(INDEX(自动规则!$C$4:$C$40,MATCH($F469,自动规则!$B$4:$B$40,0)),"其他应收款"),IFERROR(INDEX(自动规则!$D$4:$D$40,MATCH($F469,自动规则!$B$4:$B$40,0)),"其他应付款")))))</f>
        <v/>
      </c>
      <c r="L469" s="106"/>
      <c r="M469" s="75" t="str">
        <f>IF($C469="","",IFERROR(INDEX(科目表!$T$4:$T$9,MATCH($C469,科目表!$S$4:$S$9,0)),""))</f>
        <v/>
      </c>
      <c r="N469" s="75" t="str">
        <f t="shared" si="57"/>
        <v/>
      </c>
      <c r="O469" s="76" t="str">
        <f t="shared" si="58"/>
        <v/>
      </c>
      <c r="P469" s="76" t="str">
        <f t="shared" si="59"/>
        <v/>
      </c>
      <c r="Q469" s="75" t="str">
        <f t="shared" si="60"/>
        <v/>
      </c>
      <c r="R469" s="76" t="str">
        <f t="shared" si="61"/>
        <v/>
      </c>
      <c r="S469" s="76" t="str">
        <f t="shared" si="62"/>
        <v/>
      </c>
      <c r="T469" s="43"/>
      <c r="U469" s="107"/>
      <c r="V469" s="76" t="str">
        <f t="shared" si="63"/>
        <v/>
      </c>
      <c r="W469" s="43"/>
      <c r="X469" s="43"/>
      <c r="Y469" s="74"/>
    </row>
    <row r="470" ht="18" customHeight="1" spans="1:25">
      <c r="A470" s="74" t="str">
        <f t="shared" si="56"/>
        <v/>
      </c>
      <c r="B470" s="7"/>
      <c r="C470" s="43"/>
      <c r="D470" s="106"/>
      <c r="E470" s="43"/>
      <c r="F470" s="43"/>
      <c r="G470" s="43"/>
      <c r="H470" s="107"/>
      <c r="I470" s="107"/>
      <c r="J470" s="76" t="str">
        <f>IF($C470="","",ROUND(IFERROR(INDEX(期初余额!$I$4:$I$9,MATCH($C470,期初余额!$H$4:$H$9,0)),0)+SUMIFS($H$4:$H470,$C$4:$C470,$C470)-SUMIFS($I$4:$I470,$C$4:$C470,$C470),2))</f>
        <v/>
      </c>
      <c r="K470" s="111" t="str">
        <f>IF($T470&lt;&gt;"",$T470,IF($C470="","",IF(AND(N($I470)&gt;0,$G470&lt;&gt;""),IFERROR(INDEX(科目表!$U$4:$U$123,MATCH($G470,科目表!$M$4:$M$123,0)),"管理费用"),IF(N($H470)&gt;0,IFERROR(INDEX(自动规则!$C$4:$C$40,MATCH($F470,自动规则!$B$4:$B$40,0)),"其他应收款"),IFERROR(INDEX(自动规则!$D$4:$D$40,MATCH($F470,自动规则!$B$4:$B$40,0)),"其他应付款")))))</f>
        <v/>
      </c>
      <c r="L470" s="106"/>
      <c r="M470" s="75" t="str">
        <f>IF($C470="","",IFERROR(INDEX(科目表!$T$4:$T$9,MATCH($C470,科目表!$S$4:$S$9,0)),""))</f>
        <v/>
      </c>
      <c r="N470" s="75" t="str">
        <f t="shared" si="57"/>
        <v/>
      </c>
      <c r="O470" s="76" t="str">
        <f t="shared" si="58"/>
        <v/>
      </c>
      <c r="P470" s="76" t="str">
        <f t="shared" si="59"/>
        <v/>
      </c>
      <c r="Q470" s="75" t="str">
        <f t="shared" si="60"/>
        <v/>
      </c>
      <c r="R470" s="76" t="str">
        <f t="shared" si="61"/>
        <v/>
      </c>
      <c r="S470" s="76" t="str">
        <f t="shared" si="62"/>
        <v/>
      </c>
      <c r="T470" s="43"/>
      <c r="U470" s="107"/>
      <c r="V470" s="76" t="str">
        <f t="shared" si="63"/>
        <v/>
      </c>
      <c r="W470" s="43"/>
      <c r="X470" s="43"/>
      <c r="Y470" s="74"/>
    </row>
    <row r="471" ht="18" customHeight="1" spans="1:25">
      <c r="A471" s="74" t="str">
        <f t="shared" si="56"/>
        <v/>
      </c>
      <c r="B471" s="7"/>
      <c r="C471" s="43"/>
      <c r="D471" s="106"/>
      <c r="E471" s="43"/>
      <c r="F471" s="43"/>
      <c r="G471" s="43"/>
      <c r="H471" s="107"/>
      <c r="I471" s="107"/>
      <c r="J471" s="76" t="str">
        <f>IF($C471="","",ROUND(IFERROR(INDEX(期初余额!$I$4:$I$9,MATCH($C471,期初余额!$H$4:$H$9,0)),0)+SUMIFS($H$4:$H471,$C$4:$C471,$C471)-SUMIFS($I$4:$I471,$C$4:$C471,$C471),2))</f>
        <v/>
      </c>
      <c r="K471" s="111" t="str">
        <f>IF($T471&lt;&gt;"",$T471,IF($C471="","",IF(AND(N($I471)&gt;0,$G471&lt;&gt;""),IFERROR(INDEX(科目表!$U$4:$U$123,MATCH($G471,科目表!$M$4:$M$123,0)),"管理费用"),IF(N($H471)&gt;0,IFERROR(INDEX(自动规则!$C$4:$C$40,MATCH($F471,自动规则!$B$4:$B$40,0)),"其他应收款"),IFERROR(INDEX(自动规则!$D$4:$D$40,MATCH($F471,自动规则!$B$4:$B$40,0)),"其他应付款")))))</f>
        <v/>
      </c>
      <c r="L471" s="106"/>
      <c r="M471" s="75" t="str">
        <f>IF($C471="","",IFERROR(INDEX(科目表!$T$4:$T$9,MATCH($C471,科目表!$S$4:$S$9,0)),""))</f>
        <v/>
      </c>
      <c r="N471" s="75" t="str">
        <f t="shared" si="57"/>
        <v/>
      </c>
      <c r="O471" s="76" t="str">
        <f t="shared" si="58"/>
        <v/>
      </c>
      <c r="P471" s="76" t="str">
        <f t="shared" si="59"/>
        <v/>
      </c>
      <c r="Q471" s="75" t="str">
        <f t="shared" si="60"/>
        <v/>
      </c>
      <c r="R471" s="76" t="str">
        <f t="shared" si="61"/>
        <v/>
      </c>
      <c r="S471" s="76" t="str">
        <f t="shared" si="62"/>
        <v/>
      </c>
      <c r="T471" s="43"/>
      <c r="U471" s="107"/>
      <c r="V471" s="76" t="str">
        <f t="shared" si="63"/>
        <v/>
      </c>
      <c r="W471" s="43"/>
      <c r="X471" s="43"/>
      <c r="Y471" s="74"/>
    </row>
    <row r="472" ht="18" customHeight="1" spans="1:25">
      <c r="A472" s="74" t="str">
        <f t="shared" si="56"/>
        <v/>
      </c>
      <c r="B472" s="7"/>
      <c r="C472" s="43"/>
      <c r="D472" s="106"/>
      <c r="E472" s="43"/>
      <c r="F472" s="43"/>
      <c r="G472" s="43"/>
      <c r="H472" s="107"/>
      <c r="I472" s="107"/>
      <c r="J472" s="76" t="str">
        <f>IF($C472="","",ROUND(IFERROR(INDEX(期初余额!$I$4:$I$9,MATCH($C472,期初余额!$H$4:$H$9,0)),0)+SUMIFS($H$4:$H472,$C$4:$C472,$C472)-SUMIFS($I$4:$I472,$C$4:$C472,$C472),2))</f>
        <v/>
      </c>
      <c r="K472" s="111" t="str">
        <f>IF($T472&lt;&gt;"",$T472,IF($C472="","",IF(AND(N($I472)&gt;0,$G472&lt;&gt;""),IFERROR(INDEX(科目表!$U$4:$U$123,MATCH($G472,科目表!$M$4:$M$123,0)),"管理费用"),IF(N($H472)&gt;0,IFERROR(INDEX(自动规则!$C$4:$C$40,MATCH($F472,自动规则!$B$4:$B$40,0)),"其他应收款"),IFERROR(INDEX(自动规则!$D$4:$D$40,MATCH($F472,自动规则!$B$4:$B$40,0)),"其他应付款")))))</f>
        <v/>
      </c>
      <c r="L472" s="106"/>
      <c r="M472" s="75" t="str">
        <f>IF($C472="","",IFERROR(INDEX(科目表!$T$4:$T$9,MATCH($C472,科目表!$S$4:$S$9,0)),""))</f>
        <v/>
      </c>
      <c r="N472" s="75" t="str">
        <f t="shared" si="57"/>
        <v/>
      </c>
      <c r="O472" s="76" t="str">
        <f t="shared" si="58"/>
        <v/>
      </c>
      <c r="P472" s="76" t="str">
        <f t="shared" si="59"/>
        <v/>
      </c>
      <c r="Q472" s="75" t="str">
        <f t="shared" si="60"/>
        <v/>
      </c>
      <c r="R472" s="76" t="str">
        <f t="shared" si="61"/>
        <v/>
      </c>
      <c r="S472" s="76" t="str">
        <f t="shared" si="62"/>
        <v/>
      </c>
      <c r="T472" s="43"/>
      <c r="U472" s="107"/>
      <c r="V472" s="76" t="str">
        <f t="shared" si="63"/>
        <v/>
      </c>
      <c r="W472" s="43"/>
      <c r="X472" s="43"/>
      <c r="Y472" s="74"/>
    </row>
    <row r="473" ht="18" customHeight="1" spans="1:25">
      <c r="A473" s="74" t="str">
        <f t="shared" si="56"/>
        <v/>
      </c>
      <c r="B473" s="7"/>
      <c r="C473" s="43"/>
      <c r="D473" s="106"/>
      <c r="E473" s="43"/>
      <c r="F473" s="43"/>
      <c r="G473" s="43"/>
      <c r="H473" s="107"/>
      <c r="I473" s="107"/>
      <c r="J473" s="76" t="str">
        <f>IF($C473="","",ROUND(IFERROR(INDEX(期初余额!$I$4:$I$9,MATCH($C473,期初余额!$H$4:$H$9,0)),0)+SUMIFS($H$4:$H473,$C$4:$C473,$C473)-SUMIFS($I$4:$I473,$C$4:$C473,$C473),2))</f>
        <v/>
      </c>
      <c r="K473" s="111" t="str">
        <f>IF($T473&lt;&gt;"",$T473,IF($C473="","",IF(AND(N($I473)&gt;0,$G473&lt;&gt;""),IFERROR(INDEX(科目表!$U$4:$U$123,MATCH($G473,科目表!$M$4:$M$123,0)),"管理费用"),IF(N($H473)&gt;0,IFERROR(INDEX(自动规则!$C$4:$C$40,MATCH($F473,自动规则!$B$4:$B$40,0)),"其他应收款"),IFERROR(INDEX(自动规则!$D$4:$D$40,MATCH($F473,自动规则!$B$4:$B$40,0)),"其他应付款")))))</f>
        <v/>
      </c>
      <c r="L473" s="106"/>
      <c r="M473" s="75" t="str">
        <f>IF($C473="","",IFERROR(INDEX(科目表!$T$4:$T$9,MATCH($C473,科目表!$S$4:$S$9,0)),""))</f>
        <v/>
      </c>
      <c r="N473" s="75" t="str">
        <f t="shared" si="57"/>
        <v/>
      </c>
      <c r="O473" s="76" t="str">
        <f t="shared" si="58"/>
        <v/>
      </c>
      <c r="P473" s="76" t="str">
        <f t="shared" si="59"/>
        <v/>
      </c>
      <c r="Q473" s="75" t="str">
        <f t="shared" si="60"/>
        <v/>
      </c>
      <c r="R473" s="76" t="str">
        <f t="shared" si="61"/>
        <v/>
      </c>
      <c r="S473" s="76" t="str">
        <f t="shared" si="62"/>
        <v/>
      </c>
      <c r="T473" s="43"/>
      <c r="U473" s="107"/>
      <c r="V473" s="76" t="str">
        <f t="shared" si="63"/>
        <v/>
      </c>
      <c r="W473" s="43"/>
      <c r="X473" s="43"/>
      <c r="Y473" s="74"/>
    </row>
    <row r="474" ht="18" customHeight="1" spans="1:25">
      <c r="A474" s="74" t="str">
        <f t="shared" si="56"/>
        <v/>
      </c>
      <c r="B474" s="7"/>
      <c r="C474" s="43"/>
      <c r="D474" s="106"/>
      <c r="E474" s="43"/>
      <c r="F474" s="43"/>
      <c r="G474" s="43"/>
      <c r="H474" s="107"/>
      <c r="I474" s="107"/>
      <c r="J474" s="76" t="str">
        <f>IF($C474="","",ROUND(IFERROR(INDEX(期初余额!$I$4:$I$9,MATCH($C474,期初余额!$H$4:$H$9,0)),0)+SUMIFS($H$4:$H474,$C$4:$C474,$C474)-SUMIFS($I$4:$I474,$C$4:$C474,$C474),2))</f>
        <v/>
      </c>
      <c r="K474" s="111" t="str">
        <f>IF($T474&lt;&gt;"",$T474,IF($C474="","",IF(AND(N($I474)&gt;0,$G474&lt;&gt;""),IFERROR(INDEX(科目表!$U$4:$U$123,MATCH($G474,科目表!$M$4:$M$123,0)),"管理费用"),IF(N($H474)&gt;0,IFERROR(INDEX(自动规则!$C$4:$C$40,MATCH($F474,自动规则!$B$4:$B$40,0)),"其他应收款"),IFERROR(INDEX(自动规则!$D$4:$D$40,MATCH($F474,自动规则!$B$4:$B$40,0)),"其他应付款")))))</f>
        <v/>
      </c>
      <c r="L474" s="106"/>
      <c r="M474" s="75" t="str">
        <f>IF($C474="","",IFERROR(INDEX(科目表!$T$4:$T$9,MATCH($C474,科目表!$S$4:$S$9,0)),""))</f>
        <v/>
      </c>
      <c r="N474" s="75" t="str">
        <f t="shared" si="57"/>
        <v/>
      </c>
      <c r="O474" s="76" t="str">
        <f t="shared" si="58"/>
        <v/>
      </c>
      <c r="P474" s="76" t="str">
        <f t="shared" si="59"/>
        <v/>
      </c>
      <c r="Q474" s="75" t="str">
        <f t="shared" si="60"/>
        <v/>
      </c>
      <c r="R474" s="76" t="str">
        <f t="shared" si="61"/>
        <v/>
      </c>
      <c r="S474" s="76" t="str">
        <f t="shared" si="62"/>
        <v/>
      </c>
      <c r="T474" s="43"/>
      <c r="U474" s="107"/>
      <c r="V474" s="76" t="str">
        <f t="shared" si="63"/>
        <v/>
      </c>
      <c r="W474" s="43"/>
      <c r="X474" s="43"/>
      <c r="Y474" s="74"/>
    </row>
    <row r="475" ht="18" customHeight="1" spans="1:25">
      <c r="A475" s="74" t="str">
        <f t="shared" si="56"/>
        <v/>
      </c>
      <c r="B475" s="7"/>
      <c r="C475" s="43"/>
      <c r="D475" s="106"/>
      <c r="E475" s="43"/>
      <c r="F475" s="43"/>
      <c r="G475" s="43"/>
      <c r="H475" s="107"/>
      <c r="I475" s="107"/>
      <c r="J475" s="76" t="str">
        <f>IF($C475="","",ROUND(IFERROR(INDEX(期初余额!$I$4:$I$9,MATCH($C475,期初余额!$H$4:$H$9,0)),0)+SUMIFS($H$4:$H475,$C$4:$C475,$C475)-SUMIFS($I$4:$I475,$C$4:$C475,$C475),2))</f>
        <v/>
      </c>
      <c r="K475" s="111" t="str">
        <f>IF($T475&lt;&gt;"",$T475,IF($C475="","",IF(AND(N($I475)&gt;0,$G475&lt;&gt;""),IFERROR(INDEX(科目表!$U$4:$U$123,MATCH($G475,科目表!$M$4:$M$123,0)),"管理费用"),IF(N($H475)&gt;0,IFERROR(INDEX(自动规则!$C$4:$C$40,MATCH($F475,自动规则!$B$4:$B$40,0)),"其他应收款"),IFERROR(INDEX(自动规则!$D$4:$D$40,MATCH($F475,自动规则!$B$4:$B$40,0)),"其他应付款")))))</f>
        <v/>
      </c>
      <c r="L475" s="106"/>
      <c r="M475" s="75" t="str">
        <f>IF($C475="","",IFERROR(INDEX(科目表!$T$4:$T$9,MATCH($C475,科目表!$S$4:$S$9,0)),""))</f>
        <v/>
      </c>
      <c r="N475" s="75" t="str">
        <f t="shared" si="57"/>
        <v/>
      </c>
      <c r="O475" s="76" t="str">
        <f t="shared" si="58"/>
        <v/>
      </c>
      <c r="P475" s="76" t="str">
        <f t="shared" si="59"/>
        <v/>
      </c>
      <c r="Q475" s="75" t="str">
        <f t="shared" si="60"/>
        <v/>
      </c>
      <c r="R475" s="76" t="str">
        <f t="shared" si="61"/>
        <v/>
      </c>
      <c r="S475" s="76" t="str">
        <f t="shared" si="62"/>
        <v/>
      </c>
      <c r="T475" s="43"/>
      <c r="U475" s="107"/>
      <c r="V475" s="76" t="str">
        <f t="shared" si="63"/>
        <v/>
      </c>
      <c r="W475" s="43"/>
      <c r="X475" s="43"/>
      <c r="Y475" s="74"/>
    </row>
    <row r="476" ht="18" customHeight="1" spans="1:25">
      <c r="A476" s="74" t="str">
        <f t="shared" si="56"/>
        <v/>
      </c>
      <c r="B476" s="7"/>
      <c r="C476" s="43"/>
      <c r="D476" s="106"/>
      <c r="E476" s="43"/>
      <c r="F476" s="43"/>
      <c r="G476" s="43"/>
      <c r="H476" s="107"/>
      <c r="I476" s="107"/>
      <c r="J476" s="76" t="str">
        <f>IF($C476="","",ROUND(IFERROR(INDEX(期初余额!$I$4:$I$9,MATCH($C476,期初余额!$H$4:$H$9,0)),0)+SUMIFS($H$4:$H476,$C$4:$C476,$C476)-SUMIFS($I$4:$I476,$C$4:$C476,$C476),2))</f>
        <v/>
      </c>
      <c r="K476" s="111" t="str">
        <f>IF($T476&lt;&gt;"",$T476,IF($C476="","",IF(AND(N($I476)&gt;0,$G476&lt;&gt;""),IFERROR(INDEX(科目表!$U$4:$U$123,MATCH($G476,科目表!$M$4:$M$123,0)),"管理费用"),IF(N($H476)&gt;0,IFERROR(INDEX(自动规则!$C$4:$C$40,MATCH($F476,自动规则!$B$4:$B$40,0)),"其他应收款"),IFERROR(INDEX(自动规则!$D$4:$D$40,MATCH($F476,自动规则!$B$4:$B$40,0)),"其他应付款")))))</f>
        <v/>
      </c>
      <c r="L476" s="106"/>
      <c r="M476" s="75" t="str">
        <f>IF($C476="","",IFERROR(INDEX(科目表!$T$4:$T$9,MATCH($C476,科目表!$S$4:$S$9,0)),""))</f>
        <v/>
      </c>
      <c r="N476" s="75" t="str">
        <f t="shared" si="57"/>
        <v/>
      </c>
      <c r="O476" s="76" t="str">
        <f t="shared" si="58"/>
        <v/>
      </c>
      <c r="P476" s="76" t="str">
        <f t="shared" si="59"/>
        <v/>
      </c>
      <c r="Q476" s="75" t="str">
        <f t="shared" si="60"/>
        <v/>
      </c>
      <c r="R476" s="76" t="str">
        <f t="shared" si="61"/>
        <v/>
      </c>
      <c r="S476" s="76" t="str">
        <f t="shared" si="62"/>
        <v/>
      </c>
      <c r="T476" s="43"/>
      <c r="U476" s="107"/>
      <c r="V476" s="76" t="str">
        <f t="shared" si="63"/>
        <v/>
      </c>
      <c r="W476" s="43"/>
      <c r="X476" s="43"/>
      <c r="Y476" s="74"/>
    </row>
    <row r="477" ht="18" customHeight="1" spans="1:25">
      <c r="A477" s="74" t="str">
        <f t="shared" si="56"/>
        <v/>
      </c>
      <c r="B477" s="7"/>
      <c r="C477" s="43"/>
      <c r="D477" s="106"/>
      <c r="E477" s="43"/>
      <c r="F477" s="43"/>
      <c r="G477" s="43"/>
      <c r="H477" s="107"/>
      <c r="I477" s="107"/>
      <c r="J477" s="76" t="str">
        <f>IF($C477="","",ROUND(IFERROR(INDEX(期初余额!$I$4:$I$9,MATCH($C477,期初余额!$H$4:$H$9,0)),0)+SUMIFS($H$4:$H477,$C$4:$C477,$C477)-SUMIFS($I$4:$I477,$C$4:$C477,$C477),2))</f>
        <v/>
      </c>
      <c r="K477" s="111" t="str">
        <f>IF($T477&lt;&gt;"",$T477,IF($C477="","",IF(AND(N($I477)&gt;0,$G477&lt;&gt;""),IFERROR(INDEX(科目表!$U$4:$U$123,MATCH($G477,科目表!$M$4:$M$123,0)),"管理费用"),IF(N($H477)&gt;0,IFERROR(INDEX(自动规则!$C$4:$C$40,MATCH($F477,自动规则!$B$4:$B$40,0)),"其他应收款"),IFERROR(INDEX(自动规则!$D$4:$D$40,MATCH($F477,自动规则!$B$4:$B$40,0)),"其他应付款")))))</f>
        <v/>
      </c>
      <c r="L477" s="106"/>
      <c r="M477" s="75" t="str">
        <f>IF($C477="","",IFERROR(INDEX(科目表!$T$4:$T$9,MATCH($C477,科目表!$S$4:$S$9,0)),""))</f>
        <v/>
      </c>
      <c r="N477" s="75" t="str">
        <f t="shared" si="57"/>
        <v/>
      </c>
      <c r="O477" s="76" t="str">
        <f t="shared" si="58"/>
        <v/>
      </c>
      <c r="P477" s="76" t="str">
        <f t="shared" si="59"/>
        <v/>
      </c>
      <c r="Q477" s="75" t="str">
        <f t="shared" si="60"/>
        <v/>
      </c>
      <c r="R477" s="76" t="str">
        <f t="shared" si="61"/>
        <v/>
      </c>
      <c r="S477" s="76" t="str">
        <f t="shared" si="62"/>
        <v/>
      </c>
      <c r="T477" s="43"/>
      <c r="U477" s="107"/>
      <c r="V477" s="76" t="str">
        <f t="shared" si="63"/>
        <v/>
      </c>
      <c r="W477" s="43"/>
      <c r="X477" s="43"/>
      <c r="Y477" s="74"/>
    </row>
    <row r="478" ht="18" customHeight="1" spans="1:25">
      <c r="A478" s="74" t="str">
        <f t="shared" si="56"/>
        <v/>
      </c>
      <c r="B478" s="7"/>
      <c r="C478" s="43"/>
      <c r="D478" s="106"/>
      <c r="E478" s="43"/>
      <c r="F478" s="43"/>
      <c r="G478" s="43"/>
      <c r="H478" s="107"/>
      <c r="I478" s="107"/>
      <c r="J478" s="76" t="str">
        <f>IF($C478="","",ROUND(IFERROR(INDEX(期初余额!$I$4:$I$9,MATCH($C478,期初余额!$H$4:$H$9,0)),0)+SUMIFS($H$4:$H478,$C$4:$C478,$C478)-SUMIFS($I$4:$I478,$C$4:$C478,$C478),2))</f>
        <v/>
      </c>
      <c r="K478" s="111" t="str">
        <f>IF($T478&lt;&gt;"",$T478,IF($C478="","",IF(AND(N($I478)&gt;0,$G478&lt;&gt;""),IFERROR(INDEX(科目表!$U$4:$U$123,MATCH($G478,科目表!$M$4:$M$123,0)),"管理费用"),IF(N($H478)&gt;0,IFERROR(INDEX(自动规则!$C$4:$C$40,MATCH($F478,自动规则!$B$4:$B$40,0)),"其他应收款"),IFERROR(INDEX(自动规则!$D$4:$D$40,MATCH($F478,自动规则!$B$4:$B$40,0)),"其他应付款")))))</f>
        <v/>
      </c>
      <c r="L478" s="106"/>
      <c r="M478" s="75" t="str">
        <f>IF($C478="","",IFERROR(INDEX(科目表!$T$4:$T$9,MATCH($C478,科目表!$S$4:$S$9,0)),""))</f>
        <v/>
      </c>
      <c r="N478" s="75" t="str">
        <f t="shared" si="57"/>
        <v/>
      </c>
      <c r="O478" s="76" t="str">
        <f t="shared" si="58"/>
        <v/>
      </c>
      <c r="P478" s="76" t="str">
        <f t="shared" si="59"/>
        <v/>
      </c>
      <c r="Q478" s="75" t="str">
        <f t="shared" si="60"/>
        <v/>
      </c>
      <c r="R478" s="76" t="str">
        <f t="shared" si="61"/>
        <v/>
      </c>
      <c r="S478" s="76" t="str">
        <f t="shared" si="62"/>
        <v/>
      </c>
      <c r="T478" s="43"/>
      <c r="U478" s="107"/>
      <c r="V478" s="76" t="str">
        <f t="shared" si="63"/>
        <v/>
      </c>
      <c r="W478" s="43"/>
      <c r="X478" s="43"/>
      <c r="Y478" s="74"/>
    </row>
    <row r="479" ht="18" customHeight="1" spans="1:25">
      <c r="A479" s="74" t="str">
        <f t="shared" si="56"/>
        <v/>
      </c>
      <c r="B479" s="7"/>
      <c r="C479" s="43"/>
      <c r="D479" s="106"/>
      <c r="E479" s="43"/>
      <c r="F479" s="43"/>
      <c r="G479" s="43"/>
      <c r="H479" s="107"/>
      <c r="I479" s="107"/>
      <c r="J479" s="76" t="str">
        <f>IF($C479="","",ROUND(IFERROR(INDEX(期初余额!$I$4:$I$9,MATCH($C479,期初余额!$H$4:$H$9,0)),0)+SUMIFS($H$4:$H479,$C$4:$C479,$C479)-SUMIFS($I$4:$I479,$C$4:$C479,$C479),2))</f>
        <v/>
      </c>
      <c r="K479" s="111" t="str">
        <f>IF($T479&lt;&gt;"",$T479,IF($C479="","",IF(AND(N($I479)&gt;0,$G479&lt;&gt;""),IFERROR(INDEX(科目表!$U$4:$U$123,MATCH($G479,科目表!$M$4:$M$123,0)),"管理费用"),IF(N($H479)&gt;0,IFERROR(INDEX(自动规则!$C$4:$C$40,MATCH($F479,自动规则!$B$4:$B$40,0)),"其他应收款"),IFERROR(INDEX(自动规则!$D$4:$D$40,MATCH($F479,自动规则!$B$4:$B$40,0)),"其他应付款")))))</f>
        <v/>
      </c>
      <c r="L479" s="106"/>
      <c r="M479" s="75" t="str">
        <f>IF($C479="","",IFERROR(INDEX(科目表!$T$4:$T$9,MATCH($C479,科目表!$S$4:$S$9,0)),""))</f>
        <v/>
      </c>
      <c r="N479" s="75" t="str">
        <f t="shared" si="57"/>
        <v/>
      </c>
      <c r="O479" s="76" t="str">
        <f t="shared" si="58"/>
        <v/>
      </c>
      <c r="P479" s="76" t="str">
        <f t="shared" si="59"/>
        <v/>
      </c>
      <c r="Q479" s="75" t="str">
        <f t="shared" si="60"/>
        <v/>
      </c>
      <c r="R479" s="76" t="str">
        <f t="shared" si="61"/>
        <v/>
      </c>
      <c r="S479" s="76" t="str">
        <f t="shared" si="62"/>
        <v/>
      </c>
      <c r="T479" s="43"/>
      <c r="U479" s="107"/>
      <c r="V479" s="76" t="str">
        <f t="shared" si="63"/>
        <v/>
      </c>
      <c r="W479" s="43"/>
      <c r="X479" s="43"/>
      <c r="Y479" s="74"/>
    </row>
    <row r="480" ht="18" customHeight="1" spans="1:25">
      <c r="A480" s="74" t="str">
        <f t="shared" si="56"/>
        <v/>
      </c>
      <c r="B480" s="7"/>
      <c r="C480" s="43"/>
      <c r="D480" s="106"/>
      <c r="E480" s="43"/>
      <c r="F480" s="43"/>
      <c r="G480" s="43"/>
      <c r="H480" s="107"/>
      <c r="I480" s="107"/>
      <c r="J480" s="76" t="str">
        <f>IF($C480="","",ROUND(IFERROR(INDEX(期初余额!$I$4:$I$9,MATCH($C480,期初余额!$H$4:$H$9,0)),0)+SUMIFS($H$4:$H480,$C$4:$C480,$C480)-SUMIFS($I$4:$I480,$C$4:$C480,$C480),2))</f>
        <v/>
      </c>
      <c r="K480" s="111" t="str">
        <f>IF($T480&lt;&gt;"",$T480,IF($C480="","",IF(AND(N($I480)&gt;0,$G480&lt;&gt;""),IFERROR(INDEX(科目表!$U$4:$U$123,MATCH($G480,科目表!$M$4:$M$123,0)),"管理费用"),IF(N($H480)&gt;0,IFERROR(INDEX(自动规则!$C$4:$C$40,MATCH($F480,自动规则!$B$4:$B$40,0)),"其他应收款"),IFERROR(INDEX(自动规则!$D$4:$D$40,MATCH($F480,自动规则!$B$4:$B$40,0)),"其他应付款")))))</f>
        <v/>
      </c>
      <c r="L480" s="106"/>
      <c r="M480" s="75" t="str">
        <f>IF($C480="","",IFERROR(INDEX(科目表!$T$4:$T$9,MATCH($C480,科目表!$S$4:$S$9,0)),""))</f>
        <v/>
      </c>
      <c r="N480" s="75" t="str">
        <f t="shared" si="57"/>
        <v/>
      </c>
      <c r="O480" s="76" t="str">
        <f t="shared" si="58"/>
        <v/>
      </c>
      <c r="P480" s="76" t="str">
        <f t="shared" si="59"/>
        <v/>
      </c>
      <c r="Q480" s="75" t="str">
        <f t="shared" si="60"/>
        <v/>
      </c>
      <c r="R480" s="76" t="str">
        <f t="shared" si="61"/>
        <v/>
      </c>
      <c r="S480" s="76" t="str">
        <f t="shared" si="62"/>
        <v/>
      </c>
      <c r="T480" s="43"/>
      <c r="U480" s="107"/>
      <c r="V480" s="76" t="str">
        <f t="shared" si="63"/>
        <v/>
      </c>
      <c r="W480" s="43"/>
      <c r="X480" s="43"/>
      <c r="Y480" s="74"/>
    </row>
    <row r="481" ht="18" customHeight="1" spans="1:25">
      <c r="A481" s="74" t="str">
        <f t="shared" si="56"/>
        <v/>
      </c>
      <c r="B481" s="7"/>
      <c r="C481" s="43"/>
      <c r="D481" s="106"/>
      <c r="E481" s="43"/>
      <c r="F481" s="43"/>
      <c r="G481" s="43"/>
      <c r="H481" s="107"/>
      <c r="I481" s="107"/>
      <c r="J481" s="76" t="str">
        <f>IF($C481="","",ROUND(IFERROR(INDEX(期初余额!$I$4:$I$9,MATCH($C481,期初余额!$H$4:$H$9,0)),0)+SUMIFS($H$4:$H481,$C$4:$C481,$C481)-SUMIFS($I$4:$I481,$C$4:$C481,$C481),2))</f>
        <v/>
      </c>
      <c r="K481" s="111" t="str">
        <f>IF($T481&lt;&gt;"",$T481,IF($C481="","",IF(AND(N($I481)&gt;0,$G481&lt;&gt;""),IFERROR(INDEX(科目表!$U$4:$U$123,MATCH($G481,科目表!$M$4:$M$123,0)),"管理费用"),IF(N($H481)&gt;0,IFERROR(INDEX(自动规则!$C$4:$C$40,MATCH($F481,自动规则!$B$4:$B$40,0)),"其他应收款"),IFERROR(INDEX(自动规则!$D$4:$D$40,MATCH($F481,自动规则!$B$4:$B$40,0)),"其他应付款")))))</f>
        <v/>
      </c>
      <c r="L481" s="106"/>
      <c r="M481" s="75" t="str">
        <f>IF($C481="","",IFERROR(INDEX(科目表!$T$4:$T$9,MATCH($C481,科目表!$S$4:$S$9,0)),""))</f>
        <v/>
      </c>
      <c r="N481" s="75" t="str">
        <f t="shared" si="57"/>
        <v/>
      </c>
      <c r="O481" s="76" t="str">
        <f t="shared" si="58"/>
        <v/>
      </c>
      <c r="P481" s="76" t="str">
        <f t="shared" si="59"/>
        <v/>
      </c>
      <c r="Q481" s="75" t="str">
        <f t="shared" si="60"/>
        <v/>
      </c>
      <c r="R481" s="76" t="str">
        <f t="shared" si="61"/>
        <v/>
      </c>
      <c r="S481" s="76" t="str">
        <f t="shared" si="62"/>
        <v/>
      </c>
      <c r="T481" s="43"/>
      <c r="U481" s="107"/>
      <c r="V481" s="76" t="str">
        <f t="shared" si="63"/>
        <v/>
      </c>
      <c r="W481" s="43"/>
      <c r="X481" s="43"/>
      <c r="Y481" s="74"/>
    </row>
    <row r="482" ht="18" customHeight="1" spans="1:25">
      <c r="A482" s="74" t="str">
        <f t="shared" si="56"/>
        <v/>
      </c>
      <c r="B482" s="7"/>
      <c r="C482" s="43"/>
      <c r="D482" s="106"/>
      <c r="E482" s="43"/>
      <c r="F482" s="43"/>
      <c r="G482" s="43"/>
      <c r="H482" s="107"/>
      <c r="I482" s="107"/>
      <c r="J482" s="76" t="str">
        <f>IF($C482="","",ROUND(IFERROR(INDEX(期初余额!$I$4:$I$9,MATCH($C482,期初余额!$H$4:$H$9,0)),0)+SUMIFS($H$4:$H482,$C$4:$C482,$C482)-SUMIFS($I$4:$I482,$C$4:$C482,$C482),2))</f>
        <v/>
      </c>
      <c r="K482" s="111" t="str">
        <f>IF($T482&lt;&gt;"",$T482,IF($C482="","",IF(AND(N($I482)&gt;0,$G482&lt;&gt;""),IFERROR(INDEX(科目表!$U$4:$U$123,MATCH($G482,科目表!$M$4:$M$123,0)),"管理费用"),IF(N($H482)&gt;0,IFERROR(INDEX(自动规则!$C$4:$C$40,MATCH($F482,自动规则!$B$4:$B$40,0)),"其他应收款"),IFERROR(INDEX(自动规则!$D$4:$D$40,MATCH($F482,自动规则!$B$4:$B$40,0)),"其他应付款")))))</f>
        <v/>
      </c>
      <c r="L482" s="106"/>
      <c r="M482" s="75" t="str">
        <f>IF($C482="","",IFERROR(INDEX(科目表!$T$4:$T$9,MATCH($C482,科目表!$S$4:$S$9,0)),""))</f>
        <v/>
      </c>
      <c r="N482" s="75" t="str">
        <f t="shared" si="57"/>
        <v/>
      </c>
      <c r="O482" s="76" t="str">
        <f t="shared" si="58"/>
        <v/>
      </c>
      <c r="P482" s="76" t="str">
        <f t="shared" si="59"/>
        <v/>
      </c>
      <c r="Q482" s="75" t="str">
        <f t="shared" si="60"/>
        <v/>
      </c>
      <c r="R482" s="76" t="str">
        <f t="shared" si="61"/>
        <v/>
      </c>
      <c r="S482" s="76" t="str">
        <f t="shared" si="62"/>
        <v/>
      </c>
      <c r="T482" s="43"/>
      <c r="U482" s="107"/>
      <c r="V482" s="76" t="str">
        <f t="shared" si="63"/>
        <v/>
      </c>
      <c r="W482" s="43"/>
      <c r="X482" s="43"/>
      <c r="Y482" s="74"/>
    </row>
    <row r="483" ht="18" customHeight="1" spans="1:25">
      <c r="A483" s="74" t="str">
        <f t="shared" si="56"/>
        <v/>
      </c>
      <c r="B483" s="7"/>
      <c r="C483" s="43"/>
      <c r="D483" s="106"/>
      <c r="E483" s="43"/>
      <c r="F483" s="43"/>
      <c r="G483" s="43"/>
      <c r="H483" s="107"/>
      <c r="I483" s="107"/>
      <c r="J483" s="76" t="str">
        <f>IF($C483="","",ROUND(IFERROR(INDEX(期初余额!$I$4:$I$9,MATCH($C483,期初余额!$H$4:$H$9,0)),0)+SUMIFS($H$4:$H483,$C$4:$C483,$C483)-SUMIFS($I$4:$I483,$C$4:$C483,$C483),2))</f>
        <v/>
      </c>
      <c r="K483" s="111" t="str">
        <f>IF($T483&lt;&gt;"",$T483,IF($C483="","",IF(AND(N($I483)&gt;0,$G483&lt;&gt;""),IFERROR(INDEX(科目表!$U$4:$U$123,MATCH($G483,科目表!$M$4:$M$123,0)),"管理费用"),IF(N($H483)&gt;0,IFERROR(INDEX(自动规则!$C$4:$C$40,MATCH($F483,自动规则!$B$4:$B$40,0)),"其他应收款"),IFERROR(INDEX(自动规则!$D$4:$D$40,MATCH($F483,自动规则!$B$4:$B$40,0)),"其他应付款")))))</f>
        <v/>
      </c>
      <c r="L483" s="106"/>
      <c r="M483" s="75" t="str">
        <f>IF($C483="","",IFERROR(INDEX(科目表!$T$4:$T$9,MATCH($C483,科目表!$S$4:$S$9,0)),""))</f>
        <v/>
      </c>
      <c r="N483" s="75" t="str">
        <f t="shared" si="57"/>
        <v/>
      </c>
      <c r="O483" s="76" t="str">
        <f t="shared" si="58"/>
        <v/>
      </c>
      <c r="P483" s="76" t="str">
        <f t="shared" si="59"/>
        <v/>
      </c>
      <c r="Q483" s="75" t="str">
        <f t="shared" si="60"/>
        <v/>
      </c>
      <c r="R483" s="76" t="str">
        <f t="shared" si="61"/>
        <v/>
      </c>
      <c r="S483" s="76" t="str">
        <f t="shared" si="62"/>
        <v/>
      </c>
      <c r="T483" s="43"/>
      <c r="U483" s="107"/>
      <c r="V483" s="76" t="str">
        <f t="shared" si="63"/>
        <v/>
      </c>
      <c r="W483" s="43"/>
      <c r="X483" s="43"/>
      <c r="Y483" s="74"/>
    </row>
    <row r="484" ht="18" customHeight="1" spans="1:25">
      <c r="A484" s="74" t="str">
        <f t="shared" si="56"/>
        <v/>
      </c>
      <c r="B484" s="7"/>
      <c r="C484" s="43"/>
      <c r="D484" s="106"/>
      <c r="E484" s="43"/>
      <c r="F484" s="43"/>
      <c r="G484" s="43"/>
      <c r="H484" s="107"/>
      <c r="I484" s="107"/>
      <c r="J484" s="76" t="str">
        <f>IF($C484="","",ROUND(IFERROR(INDEX(期初余额!$I$4:$I$9,MATCH($C484,期初余额!$H$4:$H$9,0)),0)+SUMIFS($H$4:$H484,$C$4:$C484,$C484)-SUMIFS($I$4:$I484,$C$4:$C484,$C484),2))</f>
        <v/>
      </c>
      <c r="K484" s="111" t="str">
        <f>IF($T484&lt;&gt;"",$T484,IF($C484="","",IF(AND(N($I484)&gt;0,$G484&lt;&gt;""),IFERROR(INDEX(科目表!$U$4:$U$123,MATCH($G484,科目表!$M$4:$M$123,0)),"管理费用"),IF(N($H484)&gt;0,IFERROR(INDEX(自动规则!$C$4:$C$40,MATCH($F484,自动规则!$B$4:$B$40,0)),"其他应收款"),IFERROR(INDEX(自动规则!$D$4:$D$40,MATCH($F484,自动规则!$B$4:$B$40,0)),"其他应付款")))))</f>
        <v/>
      </c>
      <c r="L484" s="106"/>
      <c r="M484" s="75" t="str">
        <f>IF($C484="","",IFERROR(INDEX(科目表!$T$4:$T$9,MATCH($C484,科目表!$S$4:$S$9,0)),""))</f>
        <v/>
      </c>
      <c r="N484" s="75" t="str">
        <f t="shared" si="57"/>
        <v/>
      </c>
      <c r="O484" s="76" t="str">
        <f t="shared" si="58"/>
        <v/>
      </c>
      <c r="P484" s="76" t="str">
        <f t="shared" si="59"/>
        <v/>
      </c>
      <c r="Q484" s="75" t="str">
        <f t="shared" si="60"/>
        <v/>
      </c>
      <c r="R484" s="76" t="str">
        <f t="shared" si="61"/>
        <v/>
      </c>
      <c r="S484" s="76" t="str">
        <f t="shared" si="62"/>
        <v/>
      </c>
      <c r="T484" s="43"/>
      <c r="U484" s="107"/>
      <c r="V484" s="76" t="str">
        <f t="shared" si="63"/>
        <v/>
      </c>
      <c r="W484" s="43"/>
      <c r="X484" s="43"/>
      <c r="Y484" s="74"/>
    </row>
    <row r="485" ht="18" customHeight="1" spans="1:25">
      <c r="A485" s="74" t="str">
        <f t="shared" si="56"/>
        <v/>
      </c>
      <c r="B485" s="7"/>
      <c r="C485" s="43"/>
      <c r="D485" s="106"/>
      <c r="E485" s="43"/>
      <c r="F485" s="43"/>
      <c r="G485" s="43"/>
      <c r="H485" s="107"/>
      <c r="I485" s="107"/>
      <c r="J485" s="76" t="str">
        <f>IF($C485="","",ROUND(IFERROR(INDEX(期初余额!$I$4:$I$9,MATCH($C485,期初余额!$H$4:$H$9,0)),0)+SUMIFS($H$4:$H485,$C$4:$C485,$C485)-SUMIFS($I$4:$I485,$C$4:$C485,$C485),2))</f>
        <v/>
      </c>
      <c r="K485" s="111" t="str">
        <f>IF($T485&lt;&gt;"",$T485,IF($C485="","",IF(AND(N($I485)&gt;0,$G485&lt;&gt;""),IFERROR(INDEX(科目表!$U$4:$U$123,MATCH($G485,科目表!$M$4:$M$123,0)),"管理费用"),IF(N($H485)&gt;0,IFERROR(INDEX(自动规则!$C$4:$C$40,MATCH($F485,自动规则!$B$4:$B$40,0)),"其他应收款"),IFERROR(INDEX(自动规则!$D$4:$D$40,MATCH($F485,自动规则!$B$4:$B$40,0)),"其他应付款")))))</f>
        <v/>
      </c>
      <c r="L485" s="106"/>
      <c r="M485" s="75" t="str">
        <f>IF($C485="","",IFERROR(INDEX(科目表!$T$4:$T$9,MATCH($C485,科目表!$S$4:$S$9,0)),""))</f>
        <v/>
      </c>
      <c r="N485" s="75" t="str">
        <f t="shared" si="57"/>
        <v/>
      </c>
      <c r="O485" s="76" t="str">
        <f t="shared" si="58"/>
        <v/>
      </c>
      <c r="P485" s="76" t="str">
        <f t="shared" si="59"/>
        <v/>
      </c>
      <c r="Q485" s="75" t="str">
        <f t="shared" si="60"/>
        <v/>
      </c>
      <c r="R485" s="76" t="str">
        <f t="shared" si="61"/>
        <v/>
      </c>
      <c r="S485" s="76" t="str">
        <f t="shared" si="62"/>
        <v/>
      </c>
      <c r="T485" s="43"/>
      <c r="U485" s="107"/>
      <c r="V485" s="76" t="str">
        <f t="shared" si="63"/>
        <v/>
      </c>
      <c r="W485" s="43"/>
      <c r="X485" s="43"/>
      <c r="Y485" s="74"/>
    </row>
    <row r="486" ht="18" customHeight="1" spans="1:25">
      <c r="A486" s="74" t="str">
        <f t="shared" si="56"/>
        <v/>
      </c>
      <c r="B486" s="7"/>
      <c r="C486" s="43"/>
      <c r="D486" s="106"/>
      <c r="E486" s="43"/>
      <c r="F486" s="43"/>
      <c r="G486" s="43"/>
      <c r="H486" s="107"/>
      <c r="I486" s="107"/>
      <c r="J486" s="76" t="str">
        <f>IF($C486="","",ROUND(IFERROR(INDEX(期初余额!$I$4:$I$9,MATCH($C486,期初余额!$H$4:$H$9,0)),0)+SUMIFS($H$4:$H486,$C$4:$C486,$C486)-SUMIFS($I$4:$I486,$C$4:$C486,$C486),2))</f>
        <v/>
      </c>
      <c r="K486" s="111" t="str">
        <f>IF($T486&lt;&gt;"",$T486,IF($C486="","",IF(AND(N($I486)&gt;0,$G486&lt;&gt;""),IFERROR(INDEX(科目表!$U$4:$U$123,MATCH($G486,科目表!$M$4:$M$123,0)),"管理费用"),IF(N($H486)&gt;0,IFERROR(INDEX(自动规则!$C$4:$C$40,MATCH($F486,自动规则!$B$4:$B$40,0)),"其他应收款"),IFERROR(INDEX(自动规则!$D$4:$D$40,MATCH($F486,自动规则!$B$4:$B$40,0)),"其他应付款")))))</f>
        <v/>
      </c>
      <c r="L486" s="106"/>
      <c r="M486" s="75" t="str">
        <f>IF($C486="","",IFERROR(INDEX(科目表!$T$4:$T$9,MATCH($C486,科目表!$S$4:$S$9,0)),""))</f>
        <v/>
      </c>
      <c r="N486" s="75" t="str">
        <f t="shared" si="57"/>
        <v/>
      </c>
      <c r="O486" s="76" t="str">
        <f t="shared" si="58"/>
        <v/>
      </c>
      <c r="P486" s="76" t="str">
        <f t="shared" si="59"/>
        <v/>
      </c>
      <c r="Q486" s="75" t="str">
        <f t="shared" si="60"/>
        <v/>
      </c>
      <c r="R486" s="76" t="str">
        <f t="shared" si="61"/>
        <v/>
      </c>
      <c r="S486" s="76" t="str">
        <f t="shared" si="62"/>
        <v/>
      </c>
      <c r="T486" s="43"/>
      <c r="U486" s="107"/>
      <c r="V486" s="76" t="str">
        <f t="shared" si="63"/>
        <v/>
      </c>
      <c r="W486" s="43"/>
      <c r="X486" s="43"/>
      <c r="Y486" s="74"/>
    </row>
    <row r="487" ht="18" customHeight="1" spans="1:25">
      <c r="A487" s="74" t="str">
        <f t="shared" si="56"/>
        <v/>
      </c>
      <c r="B487" s="7"/>
      <c r="C487" s="43"/>
      <c r="D487" s="106"/>
      <c r="E487" s="43"/>
      <c r="F487" s="43"/>
      <c r="G487" s="43"/>
      <c r="H487" s="107"/>
      <c r="I487" s="107"/>
      <c r="J487" s="76" t="str">
        <f>IF($C487="","",ROUND(IFERROR(INDEX(期初余额!$I$4:$I$9,MATCH($C487,期初余额!$H$4:$H$9,0)),0)+SUMIFS($H$4:$H487,$C$4:$C487,$C487)-SUMIFS($I$4:$I487,$C$4:$C487,$C487),2))</f>
        <v/>
      </c>
      <c r="K487" s="111" t="str">
        <f>IF($T487&lt;&gt;"",$T487,IF($C487="","",IF(AND(N($I487)&gt;0,$G487&lt;&gt;""),IFERROR(INDEX(科目表!$U$4:$U$123,MATCH($G487,科目表!$M$4:$M$123,0)),"管理费用"),IF(N($H487)&gt;0,IFERROR(INDEX(自动规则!$C$4:$C$40,MATCH($F487,自动规则!$B$4:$B$40,0)),"其他应收款"),IFERROR(INDEX(自动规则!$D$4:$D$40,MATCH($F487,自动规则!$B$4:$B$40,0)),"其他应付款")))))</f>
        <v/>
      </c>
      <c r="L487" s="106"/>
      <c r="M487" s="75" t="str">
        <f>IF($C487="","",IFERROR(INDEX(科目表!$T$4:$T$9,MATCH($C487,科目表!$S$4:$S$9,0)),""))</f>
        <v/>
      </c>
      <c r="N487" s="75" t="str">
        <f t="shared" si="57"/>
        <v/>
      </c>
      <c r="O487" s="76" t="str">
        <f t="shared" si="58"/>
        <v/>
      </c>
      <c r="P487" s="76" t="str">
        <f t="shared" si="59"/>
        <v/>
      </c>
      <c r="Q487" s="75" t="str">
        <f t="shared" si="60"/>
        <v/>
      </c>
      <c r="R487" s="76" t="str">
        <f t="shared" si="61"/>
        <v/>
      </c>
      <c r="S487" s="76" t="str">
        <f t="shared" si="62"/>
        <v/>
      </c>
      <c r="T487" s="43"/>
      <c r="U487" s="107"/>
      <c r="V487" s="76" t="str">
        <f t="shared" si="63"/>
        <v/>
      </c>
      <c r="W487" s="43"/>
      <c r="X487" s="43"/>
      <c r="Y487" s="74"/>
    </row>
    <row r="488" ht="18" customHeight="1" spans="1:25">
      <c r="A488" s="74" t="str">
        <f t="shared" si="56"/>
        <v/>
      </c>
      <c r="B488" s="7"/>
      <c r="C488" s="43"/>
      <c r="D488" s="106"/>
      <c r="E488" s="43"/>
      <c r="F488" s="43"/>
      <c r="G488" s="43"/>
      <c r="H488" s="107"/>
      <c r="I488" s="107"/>
      <c r="J488" s="76" t="str">
        <f>IF($C488="","",ROUND(IFERROR(INDEX(期初余额!$I$4:$I$9,MATCH($C488,期初余额!$H$4:$H$9,0)),0)+SUMIFS($H$4:$H488,$C$4:$C488,$C488)-SUMIFS($I$4:$I488,$C$4:$C488,$C488),2))</f>
        <v/>
      </c>
      <c r="K488" s="111" t="str">
        <f>IF($T488&lt;&gt;"",$T488,IF($C488="","",IF(AND(N($I488)&gt;0,$G488&lt;&gt;""),IFERROR(INDEX(科目表!$U$4:$U$123,MATCH($G488,科目表!$M$4:$M$123,0)),"管理费用"),IF(N($H488)&gt;0,IFERROR(INDEX(自动规则!$C$4:$C$40,MATCH($F488,自动规则!$B$4:$B$40,0)),"其他应收款"),IFERROR(INDEX(自动规则!$D$4:$D$40,MATCH($F488,自动规则!$B$4:$B$40,0)),"其他应付款")))))</f>
        <v/>
      </c>
      <c r="L488" s="106"/>
      <c r="M488" s="75" t="str">
        <f>IF($C488="","",IFERROR(INDEX(科目表!$T$4:$T$9,MATCH($C488,科目表!$S$4:$S$9,0)),""))</f>
        <v/>
      </c>
      <c r="N488" s="75" t="str">
        <f t="shared" si="57"/>
        <v/>
      </c>
      <c r="O488" s="76" t="str">
        <f t="shared" si="58"/>
        <v/>
      </c>
      <c r="P488" s="76" t="str">
        <f t="shared" si="59"/>
        <v/>
      </c>
      <c r="Q488" s="75" t="str">
        <f t="shared" si="60"/>
        <v/>
      </c>
      <c r="R488" s="76" t="str">
        <f t="shared" si="61"/>
        <v/>
      </c>
      <c r="S488" s="76" t="str">
        <f t="shared" si="62"/>
        <v/>
      </c>
      <c r="T488" s="43"/>
      <c r="U488" s="107"/>
      <c r="V488" s="76" t="str">
        <f t="shared" si="63"/>
        <v/>
      </c>
      <c r="W488" s="43"/>
      <c r="X488" s="43"/>
      <c r="Y488" s="74"/>
    </row>
    <row r="489" ht="18" customHeight="1" spans="1:25">
      <c r="A489" s="74" t="str">
        <f t="shared" si="56"/>
        <v/>
      </c>
      <c r="B489" s="7"/>
      <c r="C489" s="43"/>
      <c r="D489" s="106"/>
      <c r="E489" s="43"/>
      <c r="F489" s="43"/>
      <c r="G489" s="43"/>
      <c r="H489" s="107"/>
      <c r="I489" s="107"/>
      <c r="J489" s="76" t="str">
        <f>IF($C489="","",ROUND(IFERROR(INDEX(期初余额!$I$4:$I$9,MATCH($C489,期初余额!$H$4:$H$9,0)),0)+SUMIFS($H$4:$H489,$C$4:$C489,$C489)-SUMIFS($I$4:$I489,$C$4:$C489,$C489),2))</f>
        <v/>
      </c>
      <c r="K489" s="111" t="str">
        <f>IF($T489&lt;&gt;"",$T489,IF($C489="","",IF(AND(N($I489)&gt;0,$G489&lt;&gt;""),IFERROR(INDEX(科目表!$U$4:$U$123,MATCH($G489,科目表!$M$4:$M$123,0)),"管理费用"),IF(N($H489)&gt;0,IFERROR(INDEX(自动规则!$C$4:$C$40,MATCH($F489,自动规则!$B$4:$B$40,0)),"其他应收款"),IFERROR(INDEX(自动规则!$D$4:$D$40,MATCH($F489,自动规则!$B$4:$B$40,0)),"其他应付款")))))</f>
        <v/>
      </c>
      <c r="L489" s="106"/>
      <c r="M489" s="75" t="str">
        <f>IF($C489="","",IFERROR(INDEX(科目表!$T$4:$T$9,MATCH($C489,科目表!$S$4:$S$9,0)),""))</f>
        <v/>
      </c>
      <c r="N489" s="75" t="str">
        <f t="shared" si="57"/>
        <v/>
      </c>
      <c r="O489" s="76" t="str">
        <f t="shared" si="58"/>
        <v/>
      </c>
      <c r="P489" s="76" t="str">
        <f t="shared" si="59"/>
        <v/>
      </c>
      <c r="Q489" s="75" t="str">
        <f t="shared" si="60"/>
        <v/>
      </c>
      <c r="R489" s="76" t="str">
        <f t="shared" si="61"/>
        <v/>
      </c>
      <c r="S489" s="76" t="str">
        <f t="shared" si="62"/>
        <v/>
      </c>
      <c r="T489" s="43"/>
      <c r="U489" s="107"/>
      <c r="V489" s="76" t="str">
        <f t="shared" si="63"/>
        <v/>
      </c>
      <c r="W489" s="43"/>
      <c r="X489" s="43"/>
      <c r="Y489" s="74"/>
    </row>
    <row r="490" ht="18" customHeight="1" spans="1:25">
      <c r="A490" s="74" t="str">
        <f t="shared" si="56"/>
        <v/>
      </c>
      <c r="B490" s="7"/>
      <c r="C490" s="43"/>
      <c r="D490" s="106"/>
      <c r="E490" s="43"/>
      <c r="F490" s="43"/>
      <c r="G490" s="43"/>
      <c r="H490" s="107"/>
      <c r="I490" s="107"/>
      <c r="J490" s="76" t="str">
        <f>IF($C490="","",ROUND(IFERROR(INDEX(期初余额!$I$4:$I$9,MATCH($C490,期初余额!$H$4:$H$9,0)),0)+SUMIFS($H$4:$H490,$C$4:$C490,$C490)-SUMIFS($I$4:$I490,$C$4:$C490,$C490),2))</f>
        <v/>
      </c>
      <c r="K490" s="111" t="str">
        <f>IF($T490&lt;&gt;"",$T490,IF($C490="","",IF(AND(N($I490)&gt;0,$G490&lt;&gt;""),IFERROR(INDEX(科目表!$U$4:$U$123,MATCH($G490,科目表!$M$4:$M$123,0)),"管理费用"),IF(N($H490)&gt;0,IFERROR(INDEX(自动规则!$C$4:$C$40,MATCH($F490,自动规则!$B$4:$B$40,0)),"其他应收款"),IFERROR(INDEX(自动规则!$D$4:$D$40,MATCH($F490,自动规则!$B$4:$B$40,0)),"其他应付款")))))</f>
        <v/>
      </c>
      <c r="L490" s="106"/>
      <c r="M490" s="75" t="str">
        <f>IF($C490="","",IFERROR(INDEX(科目表!$T$4:$T$9,MATCH($C490,科目表!$S$4:$S$9,0)),""))</f>
        <v/>
      </c>
      <c r="N490" s="75" t="str">
        <f t="shared" si="57"/>
        <v/>
      </c>
      <c r="O490" s="76" t="str">
        <f t="shared" si="58"/>
        <v/>
      </c>
      <c r="P490" s="76" t="str">
        <f t="shared" si="59"/>
        <v/>
      </c>
      <c r="Q490" s="75" t="str">
        <f t="shared" si="60"/>
        <v/>
      </c>
      <c r="R490" s="76" t="str">
        <f t="shared" si="61"/>
        <v/>
      </c>
      <c r="S490" s="76" t="str">
        <f t="shared" si="62"/>
        <v/>
      </c>
      <c r="T490" s="43"/>
      <c r="U490" s="107"/>
      <c r="V490" s="76" t="str">
        <f t="shared" si="63"/>
        <v/>
      </c>
      <c r="W490" s="43"/>
      <c r="X490" s="43"/>
      <c r="Y490" s="74"/>
    </row>
    <row r="491" ht="18" customHeight="1" spans="1:25">
      <c r="A491" s="74" t="str">
        <f t="shared" si="56"/>
        <v/>
      </c>
      <c r="B491" s="7"/>
      <c r="C491" s="43"/>
      <c r="D491" s="106"/>
      <c r="E491" s="43"/>
      <c r="F491" s="43"/>
      <c r="G491" s="43"/>
      <c r="H491" s="107"/>
      <c r="I491" s="107"/>
      <c r="J491" s="76" t="str">
        <f>IF($C491="","",ROUND(IFERROR(INDEX(期初余额!$I$4:$I$9,MATCH($C491,期初余额!$H$4:$H$9,0)),0)+SUMIFS($H$4:$H491,$C$4:$C491,$C491)-SUMIFS($I$4:$I491,$C$4:$C491,$C491),2))</f>
        <v/>
      </c>
      <c r="K491" s="111" t="str">
        <f>IF($T491&lt;&gt;"",$T491,IF($C491="","",IF(AND(N($I491)&gt;0,$G491&lt;&gt;""),IFERROR(INDEX(科目表!$U$4:$U$123,MATCH($G491,科目表!$M$4:$M$123,0)),"管理费用"),IF(N($H491)&gt;0,IFERROR(INDEX(自动规则!$C$4:$C$40,MATCH($F491,自动规则!$B$4:$B$40,0)),"其他应收款"),IFERROR(INDEX(自动规则!$D$4:$D$40,MATCH($F491,自动规则!$B$4:$B$40,0)),"其他应付款")))))</f>
        <v/>
      </c>
      <c r="L491" s="106"/>
      <c r="M491" s="75" t="str">
        <f>IF($C491="","",IFERROR(INDEX(科目表!$T$4:$T$9,MATCH($C491,科目表!$S$4:$S$9,0)),""))</f>
        <v/>
      </c>
      <c r="N491" s="75" t="str">
        <f t="shared" si="57"/>
        <v/>
      </c>
      <c r="O491" s="76" t="str">
        <f t="shared" si="58"/>
        <v/>
      </c>
      <c r="P491" s="76" t="str">
        <f t="shared" si="59"/>
        <v/>
      </c>
      <c r="Q491" s="75" t="str">
        <f t="shared" si="60"/>
        <v/>
      </c>
      <c r="R491" s="76" t="str">
        <f t="shared" si="61"/>
        <v/>
      </c>
      <c r="S491" s="76" t="str">
        <f t="shared" si="62"/>
        <v/>
      </c>
      <c r="T491" s="43"/>
      <c r="U491" s="107"/>
      <c r="V491" s="76" t="str">
        <f t="shared" si="63"/>
        <v/>
      </c>
      <c r="W491" s="43"/>
      <c r="X491" s="43"/>
      <c r="Y491" s="74"/>
    </row>
    <row r="492" ht="18" customHeight="1" spans="1:25">
      <c r="A492" s="74" t="str">
        <f t="shared" si="56"/>
        <v/>
      </c>
      <c r="B492" s="7"/>
      <c r="C492" s="43"/>
      <c r="D492" s="106"/>
      <c r="E492" s="43"/>
      <c r="F492" s="43"/>
      <c r="G492" s="43"/>
      <c r="H492" s="107"/>
      <c r="I492" s="107"/>
      <c r="J492" s="76" t="str">
        <f>IF($C492="","",ROUND(IFERROR(INDEX(期初余额!$I$4:$I$9,MATCH($C492,期初余额!$H$4:$H$9,0)),0)+SUMIFS($H$4:$H492,$C$4:$C492,$C492)-SUMIFS($I$4:$I492,$C$4:$C492,$C492),2))</f>
        <v/>
      </c>
      <c r="K492" s="111" t="str">
        <f>IF($T492&lt;&gt;"",$T492,IF($C492="","",IF(AND(N($I492)&gt;0,$G492&lt;&gt;""),IFERROR(INDEX(科目表!$U$4:$U$123,MATCH($G492,科目表!$M$4:$M$123,0)),"管理费用"),IF(N($H492)&gt;0,IFERROR(INDEX(自动规则!$C$4:$C$40,MATCH($F492,自动规则!$B$4:$B$40,0)),"其他应收款"),IFERROR(INDEX(自动规则!$D$4:$D$40,MATCH($F492,自动规则!$B$4:$B$40,0)),"其他应付款")))))</f>
        <v/>
      </c>
      <c r="L492" s="106"/>
      <c r="M492" s="75" t="str">
        <f>IF($C492="","",IFERROR(INDEX(科目表!$T$4:$T$9,MATCH($C492,科目表!$S$4:$S$9,0)),""))</f>
        <v/>
      </c>
      <c r="N492" s="75" t="str">
        <f t="shared" si="57"/>
        <v/>
      </c>
      <c r="O492" s="76" t="str">
        <f t="shared" si="58"/>
        <v/>
      </c>
      <c r="P492" s="76" t="str">
        <f t="shared" si="59"/>
        <v/>
      </c>
      <c r="Q492" s="75" t="str">
        <f t="shared" si="60"/>
        <v/>
      </c>
      <c r="R492" s="76" t="str">
        <f t="shared" si="61"/>
        <v/>
      </c>
      <c r="S492" s="76" t="str">
        <f t="shared" si="62"/>
        <v/>
      </c>
      <c r="T492" s="43"/>
      <c r="U492" s="107"/>
      <c r="V492" s="76" t="str">
        <f t="shared" si="63"/>
        <v/>
      </c>
      <c r="W492" s="43"/>
      <c r="X492" s="43"/>
      <c r="Y492" s="74"/>
    </row>
    <row r="493" ht="18" customHeight="1" spans="1:25">
      <c r="A493" s="74" t="str">
        <f t="shared" si="56"/>
        <v/>
      </c>
      <c r="B493" s="7"/>
      <c r="C493" s="43"/>
      <c r="D493" s="106"/>
      <c r="E493" s="43"/>
      <c r="F493" s="43"/>
      <c r="G493" s="43"/>
      <c r="H493" s="107"/>
      <c r="I493" s="107"/>
      <c r="J493" s="76" t="str">
        <f>IF($C493="","",ROUND(IFERROR(INDEX(期初余额!$I$4:$I$9,MATCH($C493,期初余额!$H$4:$H$9,0)),0)+SUMIFS($H$4:$H493,$C$4:$C493,$C493)-SUMIFS($I$4:$I493,$C$4:$C493,$C493),2))</f>
        <v/>
      </c>
      <c r="K493" s="111" t="str">
        <f>IF($T493&lt;&gt;"",$T493,IF($C493="","",IF(AND(N($I493)&gt;0,$G493&lt;&gt;""),IFERROR(INDEX(科目表!$U$4:$U$123,MATCH($G493,科目表!$M$4:$M$123,0)),"管理费用"),IF(N($H493)&gt;0,IFERROR(INDEX(自动规则!$C$4:$C$40,MATCH($F493,自动规则!$B$4:$B$40,0)),"其他应收款"),IFERROR(INDEX(自动规则!$D$4:$D$40,MATCH($F493,自动规则!$B$4:$B$40,0)),"其他应付款")))))</f>
        <v/>
      </c>
      <c r="L493" s="106"/>
      <c r="M493" s="75" t="str">
        <f>IF($C493="","",IFERROR(INDEX(科目表!$T$4:$T$9,MATCH($C493,科目表!$S$4:$S$9,0)),""))</f>
        <v/>
      </c>
      <c r="N493" s="75" t="str">
        <f t="shared" si="57"/>
        <v/>
      </c>
      <c r="O493" s="76" t="str">
        <f t="shared" si="58"/>
        <v/>
      </c>
      <c r="P493" s="76" t="str">
        <f t="shared" si="59"/>
        <v/>
      </c>
      <c r="Q493" s="75" t="str">
        <f t="shared" si="60"/>
        <v/>
      </c>
      <c r="R493" s="76" t="str">
        <f t="shared" si="61"/>
        <v/>
      </c>
      <c r="S493" s="76" t="str">
        <f t="shared" si="62"/>
        <v/>
      </c>
      <c r="T493" s="43"/>
      <c r="U493" s="107"/>
      <c r="V493" s="76" t="str">
        <f t="shared" si="63"/>
        <v/>
      </c>
      <c r="W493" s="43"/>
      <c r="X493" s="43"/>
      <c r="Y493" s="74"/>
    </row>
    <row r="494" ht="18" customHeight="1" spans="1:25">
      <c r="A494" s="74" t="str">
        <f t="shared" si="56"/>
        <v/>
      </c>
      <c r="B494" s="7"/>
      <c r="C494" s="43"/>
      <c r="D494" s="106"/>
      <c r="E494" s="43"/>
      <c r="F494" s="43"/>
      <c r="G494" s="43"/>
      <c r="H494" s="107"/>
      <c r="I494" s="107"/>
      <c r="J494" s="76" t="str">
        <f>IF($C494="","",ROUND(IFERROR(INDEX(期初余额!$I$4:$I$9,MATCH($C494,期初余额!$H$4:$H$9,0)),0)+SUMIFS($H$4:$H494,$C$4:$C494,$C494)-SUMIFS($I$4:$I494,$C$4:$C494,$C494),2))</f>
        <v/>
      </c>
      <c r="K494" s="111" t="str">
        <f>IF($T494&lt;&gt;"",$T494,IF($C494="","",IF(AND(N($I494)&gt;0,$G494&lt;&gt;""),IFERROR(INDEX(科目表!$U$4:$U$123,MATCH($G494,科目表!$M$4:$M$123,0)),"管理费用"),IF(N($H494)&gt;0,IFERROR(INDEX(自动规则!$C$4:$C$40,MATCH($F494,自动规则!$B$4:$B$40,0)),"其他应收款"),IFERROR(INDEX(自动规则!$D$4:$D$40,MATCH($F494,自动规则!$B$4:$B$40,0)),"其他应付款")))))</f>
        <v/>
      </c>
      <c r="L494" s="106"/>
      <c r="M494" s="75" t="str">
        <f>IF($C494="","",IFERROR(INDEX(科目表!$T$4:$T$9,MATCH($C494,科目表!$S$4:$S$9,0)),""))</f>
        <v/>
      </c>
      <c r="N494" s="75" t="str">
        <f t="shared" si="57"/>
        <v/>
      </c>
      <c r="O494" s="76" t="str">
        <f t="shared" si="58"/>
        <v/>
      </c>
      <c r="P494" s="76" t="str">
        <f t="shared" si="59"/>
        <v/>
      </c>
      <c r="Q494" s="75" t="str">
        <f t="shared" si="60"/>
        <v/>
      </c>
      <c r="R494" s="76" t="str">
        <f t="shared" si="61"/>
        <v/>
      </c>
      <c r="S494" s="76" t="str">
        <f t="shared" si="62"/>
        <v/>
      </c>
      <c r="T494" s="43"/>
      <c r="U494" s="107"/>
      <c r="V494" s="76" t="str">
        <f t="shared" si="63"/>
        <v/>
      </c>
      <c r="W494" s="43"/>
      <c r="X494" s="43"/>
      <c r="Y494" s="74"/>
    </row>
    <row r="495" ht="18" customHeight="1" spans="1:25">
      <c r="A495" s="74" t="str">
        <f t="shared" si="56"/>
        <v/>
      </c>
      <c r="B495" s="7"/>
      <c r="C495" s="43"/>
      <c r="D495" s="106"/>
      <c r="E495" s="43"/>
      <c r="F495" s="43"/>
      <c r="G495" s="43"/>
      <c r="H495" s="107"/>
      <c r="I495" s="107"/>
      <c r="J495" s="76" t="str">
        <f>IF($C495="","",ROUND(IFERROR(INDEX(期初余额!$I$4:$I$9,MATCH($C495,期初余额!$H$4:$H$9,0)),0)+SUMIFS($H$4:$H495,$C$4:$C495,$C495)-SUMIFS($I$4:$I495,$C$4:$C495,$C495),2))</f>
        <v/>
      </c>
      <c r="K495" s="111" t="str">
        <f>IF($T495&lt;&gt;"",$T495,IF($C495="","",IF(AND(N($I495)&gt;0,$G495&lt;&gt;""),IFERROR(INDEX(科目表!$U$4:$U$123,MATCH($G495,科目表!$M$4:$M$123,0)),"管理费用"),IF(N($H495)&gt;0,IFERROR(INDEX(自动规则!$C$4:$C$40,MATCH($F495,自动规则!$B$4:$B$40,0)),"其他应收款"),IFERROR(INDEX(自动规则!$D$4:$D$40,MATCH($F495,自动规则!$B$4:$B$40,0)),"其他应付款")))))</f>
        <v/>
      </c>
      <c r="L495" s="106"/>
      <c r="M495" s="75" t="str">
        <f>IF($C495="","",IFERROR(INDEX(科目表!$T$4:$T$9,MATCH($C495,科目表!$S$4:$S$9,0)),""))</f>
        <v/>
      </c>
      <c r="N495" s="75" t="str">
        <f t="shared" si="57"/>
        <v/>
      </c>
      <c r="O495" s="76" t="str">
        <f t="shared" si="58"/>
        <v/>
      </c>
      <c r="P495" s="76" t="str">
        <f t="shared" si="59"/>
        <v/>
      </c>
      <c r="Q495" s="75" t="str">
        <f t="shared" si="60"/>
        <v/>
      </c>
      <c r="R495" s="76" t="str">
        <f t="shared" si="61"/>
        <v/>
      </c>
      <c r="S495" s="76" t="str">
        <f t="shared" si="62"/>
        <v/>
      </c>
      <c r="T495" s="43"/>
      <c r="U495" s="107"/>
      <c r="V495" s="76" t="str">
        <f t="shared" si="63"/>
        <v/>
      </c>
      <c r="W495" s="43"/>
      <c r="X495" s="43"/>
      <c r="Y495" s="74"/>
    </row>
    <row r="496" ht="18" customHeight="1" spans="1:25">
      <c r="A496" s="74" t="str">
        <f t="shared" si="56"/>
        <v/>
      </c>
      <c r="B496" s="7"/>
      <c r="C496" s="43"/>
      <c r="D496" s="106"/>
      <c r="E496" s="43"/>
      <c r="F496" s="43"/>
      <c r="G496" s="43"/>
      <c r="H496" s="107"/>
      <c r="I496" s="107"/>
      <c r="J496" s="76" t="str">
        <f>IF($C496="","",ROUND(IFERROR(INDEX(期初余额!$I$4:$I$9,MATCH($C496,期初余额!$H$4:$H$9,0)),0)+SUMIFS($H$4:$H496,$C$4:$C496,$C496)-SUMIFS($I$4:$I496,$C$4:$C496,$C496),2))</f>
        <v/>
      </c>
      <c r="K496" s="111" t="str">
        <f>IF($T496&lt;&gt;"",$T496,IF($C496="","",IF(AND(N($I496)&gt;0,$G496&lt;&gt;""),IFERROR(INDEX(科目表!$U$4:$U$123,MATCH($G496,科目表!$M$4:$M$123,0)),"管理费用"),IF(N($H496)&gt;0,IFERROR(INDEX(自动规则!$C$4:$C$40,MATCH($F496,自动规则!$B$4:$B$40,0)),"其他应收款"),IFERROR(INDEX(自动规则!$D$4:$D$40,MATCH($F496,自动规则!$B$4:$B$40,0)),"其他应付款")))))</f>
        <v/>
      </c>
      <c r="L496" s="106"/>
      <c r="M496" s="75" t="str">
        <f>IF($C496="","",IFERROR(INDEX(科目表!$T$4:$T$9,MATCH($C496,科目表!$S$4:$S$9,0)),""))</f>
        <v/>
      </c>
      <c r="N496" s="75" t="str">
        <f t="shared" si="57"/>
        <v/>
      </c>
      <c r="O496" s="76" t="str">
        <f t="shared" si="58"/>
        <v/>
      </c>
      <c r="P496" s="76" t="str">
        <f t="shared" si="59"/>
        <v/>
      </c>
      <c r="Q496" s="75" t="str">
        <f t="shared" si="60"/>
        <v/>
      </c>
      <c r="R496" s="76" t="str">
        <f t="shared" si="61"/>
        <v/>
      </c>
      <c r="S496" s="76" t="str">
        <f t="shared" si="62"/>
        <v/>
      </c>
      <c r="T496" s="43"/>
      <c r="U496" s="107"/>
      <c r="V496" s="76" t="str">
        <f t="shared" si="63"/>
        <v/>
      </c>
      <c r="W496" s="43"/>
      <c r="X496" s="43"/>
      <c r="Y496" s="74"/>
    </row>
    <row r="497" ht="18" customHeight="1" spans="1:25">
      <c r="A497" s="74" t="str">
        <f t="shared" si="56"/>
        <v/>
      </c>
      <c r="B497" s="7"/>
      <c r="C497" s="43"/>
      <c r="D497" s="106"/>
      <c r="E497" s="43"/>
      <c r="F497" s="43"/>
      <c r="G497" s="43"/>
      <c r="H497" s="107"/>
      <c r="I497" s="107"/>
      <c r="J497" s="76" t="str">
        <f>IF($C497="","",ROUND(IFERROR(INDEX(期初余额!$I$4:$I$9,MATCH($C497,期初余额!$H$4:$H$9,0)),0)+SUMIFS($H$4:$H497,$C$4:$C497,$C497)-SUMIFS($I$4:$I497,$C$4:$C497,$C497),2))</f>
        <v/>
      </c>
      <c r="K497" s="111" t="str">
        <f>IF($T497&lt;&gt;"",$T497,IF($C497="","",IF(AND(N($I497)&gt;0,$G497&lt;&gt;""),IFERROR(INDEX(科目表!$U$4:$U$123,MATCH($G497,科目表!$M$4:$M$123,0)),"管理费用"),IF(N($H497)&gt;0,IFERROR(INDEX(自动规则!$C$4:$C$40,MATCH($F497,自动规则!$B$4:$B$40,0)),"其他应收款"),IFERROR(INDEX(自动规则!$D$4:$D$40,MATCH($F497,自动规则!$B$4:$B$40,0)),"其他应付款")))))</f>
        <v/>
      </c>
      <c r="L497" s="106"/>
      <c r="M497" s="75" t="str">
        <f>IF($C497="","",IFERROR(INDEX(科目表!$T$4:$T$9,MATCH($C497,科目表!$S$4:$S$9,0)),""))</f>
        <v/>
      </c>
      <c r="N497" s="75" t="str">
        <f t="shared" si="57"/>
        <v/>
      </c>
      <c r="O497" s="76" t="str">
        <f t="shared" si="58"/>
        <v/>
      </c>
      <c r="P497" s="76" t="str">
        <f t="shared" si="59"/>
        <v/>
      </c>
      <c r="Q497" s="75" t="str">
        <f t="shared" si="60"/>
        <v/>
      </c>
      <c r="R497" s="76" t="str">
        <f t="shared" si="61"/>
        <v/>
      </c>
      <c r="S497" s="76" t="str">
        <f t="shared" si="62"/>
        <v/>
      </c>
      <c r="T497" s="43"/>
      <c r="U497" s="107"/>
      <c r="V497" s="76" t="str">
        <f t="shared" si="63"/>
        <v/>
      </c>
      <c r="W497" s="43"/>
      <c r="X497" s="43"/>
      <c r="Y497" s="74"/>
    </row>
    <row r="498" ht="18" customHeight="1" spans="1:25">
      <c r="A498" s="74" t="str">
        <f t="shared" si="56"/>
        <v/>
      </c>
      <c r="B498" s="7"/>
      <c r="C498" s="43"/>
      <c r="D498" s="106"/>
      <c r="E498" s="43"/>
      <c r="F498" s="43"/>
      <c r="G498" s="43"/>
      <c r="H498" s="107"/>
      <c r="I498" s="107"/>
      <c r="J498" s="76" t="str">
        <f>IF($C498="","",ROUND(IFERROR(INDEX(期初余额!$I$4:$I$9,MATCH($C498,期初余额!$H$4:$H$9,0)),0)+SUMIFS($H$4:$H498,$C$4:$C498,$C498)-SUMIFS($I$4:$I498,$C$4:$C498,$C498),2))</f>
        <v/>
      </c>
      <c r="K498" s="111" t="str">
        <f>IF($T498&lt;&gt;"",$T498,IF($C498="","",IF(AND(N($I498)&gt;0,$G498&lt;&gt;""),IFERROR(INDEX(科目表!$U$4:$U$123,MATCH($G498,科目表!$M$4:$M$123,0)),"管理费用"),IF(N($H498)&gt;0,IFERROR(INDEX(自动规则!$C$4:$C$40,MATCH($F498,自动规则!$B$4:$B$40,0)),"其他应收款"),IFERROR(INDEX(自动规则!$D$4:$D$40,MATCH($F498,自动规则!$B$4:$B$40,0)),"其他应付款")))))</f>
        <v/>
      </c>
      <c r="L498" s="106"/>
      <c r="M498" s="75" t="str">
        <f>IF($C498="","",IFERROR(INDEX(科目表!$T$4:$T$9,MATCH($C498,科目表!$S$4:$S$9,0)),""))</f>
        <v/>
      </c>
      <c r="N498" s="75" t="str">
        <f t="shared" si="57"/>
        <v/>
      </c>
      <c r="O498" s="76" t="str">
        <f t="shared" si="58"/>
        <v/>
      </c>
      <c r="P498" s="76" t="str">
        <f t="shared" si="59"/>
        <v/>
      </c>
      <c r="Q498" s="75" t="str">
        <f t="shared" si="60"/>
        <v/>
      </c>
      <c r="R498" s="76" t="str">
        <f t="shared" si="61"/>
        <v/>
      </c>
      <c r="S498" s="76" t="str">
        <f t="shared" si="62"/>
        <v/>
      </c>
      <c r="T498" s="43"/>
      <c r="U498" s="107"/>
      <c r="V498" s="76" t="str">
        <f t="shared" si="63"/>
        <v/>
      </c>
      <c r="W498" s="43"/>
      <c r="X498" s="43"/>
      <c r="Y498" s="74"/>
    </row>
    <row r="499" ht="18" customHeight="1" spans="1:25">
      <c r="A499" s="74" t="str">
        <f t="shared" si="56"/>
        <v/>
      </c>
      <c r="B499" s="7"/>
      <c r="C499" s="43"/>
      <c r="D499" s="106"/>
      <c r="E499" s="43"/>
      <c r="F499" s="43"/>
      <c r="G499" s="43"/>
      <c r="H499" s="107"/>
      <c r="I499" s="107"/>
      <c r="J499" s="76" t="str">
        <f>IF($C499="","",ROUND(IFERROR(INDEX(期初余额!$I$4:$I$9,MATCH($C499,期初余额!$H$4:$H$9,0)),0)+SUMIFS($H$4:$H499,$C$4:$C499,$C499)-SUMIFS($I$4:$I499,$C$4:$C499,$C499),2))</f>
        <v/>
      </c>
      <c r="K499" s="111" t="str">
        <f>IF($T499&lt;&gt;"",$T499,IF($C499="","",IF(AND(N($I499)&gt;0,$G499&lt;&gt;""),IFERROR(INDEX(科目表!$U$4:$U$123,MATCH($G499,科目表!$M$4:$M$123,0)),"管理费用"),IF(N($H499)&gt;0,IFERROR(INDEX(自动规则!$C$4:$C$40,MATCH($F499,自动规则!$B$4:$B$40,0)),"其他应收款"),IFERROR(INDEX(自动规则!$D$4:$D$40,MATCH($F499,自动规则!$B$4:$B$40,0)),"其他应付款")))))</f>
        <v/>
      </c>
      <c r="L499" s="106"/>
      <c r="M499" s="75" t="str">
        <f>IF($C499="","",IFERROR(INDEX(科目表!$T$4:$T$9,MATCH($C499,科目表!$S$4:$S$9,0)),""))</f>
        <v/>
      </c>
      <c r="N499" s="75" t="str">
        <f t="shared" si="57"/>
        <v/>
      </c>
      <c r="O499" s="76" t="str">
        <f t="shared" si="58"/>
        <v/>
      </c>
      <c r="P499" s="76" t="str">
        <f t="shared" si="59"/>
        <v/>
      </c>
      <c r="Q499" s="75" t="str">
        <f t="shared" si="60"/>
        <v/>
      </c>
      <c r="R499" s="76" t="str">
        <f t="shared" si="61"/>
        <v/>
      </c>
      <c r="S499" s="76" t="str">
        <f t="shared" si="62"/>
        <v/>
      </c>
      <c r="T499" s="43"/>
      <c r="U499" s="107"/>
      <c r="V499" s="76" t="str">
        <f t="shared" si="63"/>
        <v/>
      </c>
      <c r="W499" s="43"/>
      <c r="X499" s="43"/>
      <c r="Y499" s="74"/>
    </row>
    <row r="500" ht="18" customHeight="1" spans="1:25">
      <c r="A500" s="74" t="str">
        <f t="shared" si="56"/>
        <v/>
      </c>
      <c r="B500" s="7"/>
      <c r="C500" s="43"/>
      <c r="D500" s="106"/>
      <c r="E500" s="43"/>
      <c r="F500" s="43"/>
      <c r="G500" s="43"/>
      <c r="H500" s="107"/>
      <c r="I500" s="107"/>
      <c r="J500" s="76" t="str">
        <f>IF($C500="","",ROUND(IFERROR(INDEX(期初余额!$I$4:$I$9,MATCH($C500,期初余额!$H$4:$H$9,0)),0)+SUMIFS($H$4:$H500,$C$4:$C500,$C500)-SUMIFS($I$4:$I500,$C$4:$C500,$C500),2))</f>
        <v/>
      </c>
      <c r="K500" s="111" t="str">
        <f>IF($T500&lt;&gt;"",$T500,IF($C500="","",IF(AND(N($I500)&gt;0,$G500&lt;&gt;""),IFERROR(INDEX(科目表!$U$4:$U$123,MATCH($G500,科目表!$M$4:$M$123,0)),"管理费用"),IF(N($H500)&gt;0,IFERROR(INDEX(自动规则!$C$4:$C$40,MATCH($F500,自动规则!$B$4:$B$40,0)),"其他应收款"),IFERROR(INDEX(自动规则!$D$4:$D$40,MATCH($F500,自动规则!$B$4:$B$40,0)),"其他应付款")))))</f>
        <v/>
      </c>
      <c r="L500" s="106"/>
      <c r="M500" s="75" t="str">
        <f>IF($C500="","",IFERROR(INDEX(科目表!$T$4:$T$9,MATCH($C500,科目表!$S$4:$S$9,0)),""))</f>
        <v/>
      </c>
      <c r="N500" s="75" t="str">
        <f t="shared" si="57"/>
        <v/>
      </c>
      <c r="O500" s="76" t="str">
        <f t="shared" si="58"/>
        <v/>
      </c>
      <c r="P500" s="76" t="str">
        <f t="shared" si="59"/>
        <v/>
      </c>
      <c r="Q500" s="75" t="str">
        <f t="shared" si="60"/>
        <v/>
      </c>
      <c r="R500" s="76" t="str">
        <f t="shared" si="61"/>
        <v/>
      </c>
      <c r="S500" s="76" t="str">
        <f t="shared" si="62"/>
        <v/>
      </c>
      <c r="T500" s="43"/>
      <c r="U500" s="107"/>
      <c r="V500" s="76" t="str">
        <f t="shared" si="63"/>
        <v/>
      </c>
      <c r="W500" s="43"/>
      <c r="X500" s="43"/>
      <c r="Y500" s="74"/>
    </row>
    <row r="501" ht="18" customHeight="1" spans="1:25">
      <c r="A501" s="74" t="str">
        <f t="shared" si="56"/>
        <v/>
      </c>
      <c r="B501" s="7"/>
      <c r="C501" s="43"/>
      <c r="D501" s="106"/>
      <c r="E501" s="43"/>
      <c r="F501" s="43"/>
      <c r="G501" s="43"/>
      <c r="H501" s="107"/>
      <c r="I501" s="107"/>
      <c r="J501" s="76" t="str">
        <f>IF($C501="","",ROUND(IFERROR(INDEX(期初余额!$I$4:$I$9,MATCH($C501,期初余额!$H$4:$H$9,0)),0)+SUMIFS($H$4:$H501,$C$4:$C501,$C501)-SUMIFS($I$4:$I501,$C$4:$C501,$C501),2))</f>
        <v/>
      </c>
      <c r="K501" s="111" t="str">
        <f>IF($T501&lt;&gt;"",$T501,IF($C501="","",IF(AND(N($I501)&gt;0,$G501&lt;&gt;""),IFERROR(INDEX(科目表!$U$4:$U$123,MATCH($G501,科目表!$M$4:$M$123,0)),"管理费用"),IF(N($H501)&gt;0,IFERROR(INDEX(自动规则!$C$4:$C$40,MATCH($F501,自动规则!$B$4:$B$40,0)),"其他应收款"),IFERROR(INDEX(自动规则!$D$4:$D$40,MATCH($F501,自动规则!$B$4:$B$40,0)),"其他应付款")))))</f>
        <v/>
      </c>
      <c r="L501" s="106"/>
      <c r="M501" s="75" t="str">
        <f>IF($C501="","",IFERROR(INDEX(科目表!$T$4:$T$9,MATCH($C501,科目表!$S$4:$S$9,0)),""))</f>
        <v/>
      </c>
      <c r="N501" s="75" t="str">
        <f t="shared" si="57"/>
        <v/>
      </c>
      <c r="O501" s="76" t="str">
        <f t="shared" si="58"/>
        <v/>
      </c>
      <c r="P501" s="76" t="str">
        <f t="shared" si="59"/>
        <v/>
      </c>
      <c r="Q501" s="75" t="str">
        <f t="shared" si="60"/>
        <v/>
      </c>
      <c r="R501" s="76" t="str">
        <f t="shared" si="61"/>
        <v/>
      </c>
      <c r="S501" s="76" t="str">
        <f t="shared" si="62"/>
        <v/>
      </c>
      <c r="T501" s="43"/>
      <c r="U501" s="107"/>
      <c r="V501" s="76" t="str">
        <f t="shared" si="63"/>
        <v/>
      </c>
      <c r="W501" s="43"/>
      <c r="X501" s="43"/>
      <c r="Y501" s="74"/>
    </row>
    <row r="502" ht="18" customHeight="1" spans="1:25">
      <c r="A502" s="74" t="str">
        <f t="shared" si="56"/>
        <v/>
      </c>
      <c r="B502" s="7"/>
      <c r="C502" s="43"/>
      <c r="D502" s="106"/>
      <c r="E502" s="43"/>
      <c r="F502" s="43"/>
      <c r="G502" s="43"/>
      <c r="H502" s="107"/>
      <c r="I502" s="107"/>
      <c r="J502" s="76" t="str">
        <f>IF($C502="","",ROUND(IFERROR(INDEX(期初余额!$I$4:$I$9,MATCH($C502,期初余额!$H$4:$H$9,0)),0)+SUMIFS($H$4:$H502,$C$4:$C502,$C502)-SUMIFS($I$4:$I502,$C$4:$C502,$C502),2))</f>
        <v/>
      </c>
      <c r="K502" s="111" t="str">
        <f>IF($T502&lt;&gt;"",$T502,IF($C502="","",IF(AND(N($I502)&gt;0,$G502&lt;&gt;""),IFERROR(INDEX(科目表!$U$4:$U$123,MATCH($G502,科目表!$M$4:$M$123,0)),"管理费用"),IF(N($H502)&gt;0,IFERROR(INDEX(自动规则!$C$4:$C$40,MATCH($F502,自动规则!$B$4:$B$40,0)),"其他应收款"),IFERROR(INDEX(自动规则!$D$4:$D$40,MATCH($F502,自动规则!$B$4:$B$40,0)),"其他应付款")))))</f>
        <v/>
      </c>
      <c r="L502" s="106"/>
      <c r="M502" s="75" t="str">
        <f>IF($C502="","",IFERROR(INDEX(科目表!$T$4:$T$9,MATCH($C502,科目表!$S$4:$S$9,0)),""))</f>
        <v/>
      </c>
      <c r="N502" s="75" t="str">
        <f t="shared" si="57"/>
        <v/>
      </c>
      <c r="O502" s="76" t="str">
        <f t="shared" si="58"/>
        <v/>
      </c>
      <c r="P502" s="76" t="str">
        <f t="shared" si="59"/>
        <v/>
      </c>
      <c r="Q502" s="75" t="str">
        <f t="shared" si="60"/>
        <v/>
      </c>
      <c r="R502" s="76" t="str">
        <f t="shared" si="61"/>
        <v/>
      </c>
      <c r="S502" s="76" t="str">
        <f t="shared" si="62"/>
        <v/>
      </c>
      <c r="T502" s="43"/>
      <c r="U502" s="107"/>
      <c r="V502" s="76" t="str">
        <f t="shared" si="63"/>
        <v/>
      </c>
      <c r="W502" s="43"/>
      <c r="X502" s="43"/>
      <c r="Y502" s="74"/>
    </row>
    <row r="503" ht="18" customHeight="1" spans="1:25">
      <c r="A503" s="74" t="str">
        <f t="shared" si="56"/>
        <v/>
      </c>
      <c r="B503" s="7"/>
      <c r="C503" s="43"/>
      <c r="D503" s="106"/>
      <c r="E503" s="43"/>
      <c r="F503" s="43"/>
      <c r="G503" s="43"/>
      <c r="H503" s="107"/>
      <c r="I503" s="107"/>
      <c r="J503" s="76" t="str">
        <f>IF($C503="","",ROUND(IFERROR(INDEX(期初余额!$I$4:$I$9,MATCH($C503,期初余额!$H$4:$H$9,0)),0)+SUMIFS($H$4:$H503,$C$4:$C503,$C503)-SUMIFS($I$4:$I503,$C$4:$C503,$C503),2))</f>
        <v/>
      </c>
      <c r="K503" s="111" t="str">
        <f>IF($T503&lt;&gt;"",$T503,IF($C503="","",IF(AND(N($I503)&gt;0,$G503&lt;&gt;""),IFERROR(INDEX(科目表!$U$4:$U$123,MATCH($G503,科目表!$M$4:$M$123,0)),"管理费用"),IF(N($H503)&gt;0,IFERROR(INDEX(自动规则!$C$4:$C$40,MATCH($F503,自动规则!$B$4:$B$40,0)),"其他应收款"),IFERROR(INDEX(自动规则!$D$4:$D$40,MATCH($F503,自动规则!$B$4:$B$40,0)),"其他应付款")))))</f>
        <v/>
      </c>
      <c r="L503" s="106"/>
      <c r="M503" s="75" t="str">
        <f>IF($C503="","",IFERROR(INDEX(科目表!$T$4:$T$9,MATCH($C503,科目表!$S$4:$S$9,0)),""))</f>
        <v/>
      </c>
      <c r="N503" s="75" t="str">
        <f t="shared" si="57"/>
        <v/>
      </c>
      <c r="O503" s="76" t="str">
        <f t="shared" si="58"/>
        <v/>
      </c>
      <c r="P503" s="76" t="str">
        <f t="shared" si="59"/>
        <v/>
      </c>
      <c r="Q503" s="75" t="str">
        <f t="shared" si="60"/>
        <v/>
      </c>
      <c r="R503" s="76" t="str">
        <f t="shared" si="61"/>
        <v/>
      </c>
      <c r="S503" s="76" t="str">
        <f t="shared" si="62"/>
        <v/>
      </c>
      <c r="T503" s="43"/>
      <c r="U503" s="107"/>
      <c r="V503" s="76" t="str">
        <f t="shared" si="63"/>
        <v/>
      </c>
      <c r="W503" s="43"/>
      <c r="X503" s="43"/>
      <c r="Y503" s="74"/>
    </row>
    <row r="504" ht="18" customHeight="1" spans="1:25">
      <c r="A504" s="74" t="str">
        <f t="shared" si="56"/>
        <v/>
      </c>
      <c r="B504" s="7"/>
      <c r="C504" s="43"/>
      <c r="D504" s="106"/>
      <c r="E504" s="43"/>
      <c r="F504" s="43"/>
      <c r="G504" s="43"/>
      <c r="H504" s="107"/>
      <c r="I504" s="107"/>
      <c r="J504" s="76" t="str">
        <f>IF($C504="","",ROUND(IFERROR(INDEX(期初余额!$I$4:$I$9,MATCH($C504,期初余额!$H$4:$H$9,0)),0)+SUMIFS($H$4:$H504,$C$4:$C504,$C504)-SUMIFS($I$4:$I504,$C$4:$C504,$C504),2))</f>
        <v/>
      </c>
      <c r="K504" s="111" t="str">
        <f>IF($T504&lt;&gt;"",$T504,IF($C504="","",IF(AND(N($I504)&gt;0,$G504&lt;&gt;""),IFERROR(INDEX(科目表!$U$4:$U$123,MATCH($G504,科目表!$M$4:$M$123,0)),"管理费用"),IF(N($H504)&gt;0,IFERROR(INDEX(自动规则!$C$4:$C$40,MATCH($F504,自动规则!$B$4:$B$40,0)),"其他应收款"),IFERROR(INDEX(自动规则!$D$4:$D$40,MATCH($F504,自动规则!$B$4:$B$40,0)),"其他应付款")))))</f>
        <v/>
      </c>
      <c r="L504" s="106"/>
      <c r="M504" s="75" t="str">
        <f>IF($C504="","",IFERROR(INDEX(科目表!$T$4:$T$9,MATCH($C504,科目表!$S$4:$S$9,0)),""))</f>
        <v/>
      </c>
      <c r="N504" s="75" t="str">
        <f t="shared" si="57"/>
        <v/>
      </c>
      <c r="O504" s="76" t="str">
        <f t="shared" si="58"/>
        <v/>
      </c>
      <c r="P504" s="76" t="str">
        <f t="shared" si="59"/>
        <v/>
      </c>
      <c r="Q504" s="75" t="str">
        <f t="shared" si="60"/>
        <v/>
      </c>
      <c r="R504" s="76" t="str">
        <f t="shared" si="61"/>
        <v/>
      </c>
      <c r="S504" s="76" t="str">
        <f t="shared" si="62"/>
        <v/>
      </c>
      <c r="T504" s="43"/>
      <c r="U504" s="107"/>
      <c r="V504" s="76" t="str">
        <f t="shared" si="63"/>
        <v/>
      </c>
      <c r="W504" s="43"/>
      <c r="X504" s="43"/>
      <c r="Y504" s="74"/>
    </row>
    <row r="505" ht="18" customHeight="1" spans="1:25">
      <c r="A505" s="74" t="str">
        <f t="shared" si="56"/>
        <v/>
      </c>
      <c r="B505" s="7"/>
      <c r="C505" s="43"/>
      <c r="D505" s="106"/>
      <c r="E505" s="43"/>
      <c r="F505" s="43"/>
      <c r="G505" s="43"/>
      <c r="H505" s="107"/>
      <c r="I505" s="107"/>
      <c r="J505" s="76" t="str">
        <f>IF($C505="","",ROUND(IFERROR(INDEX(期初余额!$I$4:$I$9,MATCH($C505,期初余额!$H$4:$H$9,0)),0)+SUMIFS($H$4:$H505,$C$4:$C505,$C505)-SUMIFS($I$4:$I505,$C$4:$C505,$C505),2))</f>
        <v/>
      </c>
      <c r="K505" s="111" t="str">
        <f>IF($T505&lt;&gt;"",$T505,IF($C505="","",IF(AND(N($I505)&gt;0,$G505&lt;&gt;""),IFERROR(INDEX(科目表!$U$4:$U$123,MATCH($G505,科目表!$M$4:$M$123,0)),"管理费用"),IF(N($H505)&gt;0,IFERROR(INDEX(自动规则!$C$4:$C$40,MATCH($F505,自动规则!$B$4:$B$40,0)),"其他应收款"),IFERROR(INDEX(自动规则!$D$4:$D$40,MATCH($F505,自动规则!$B$4:$B$40,0)),"其他应付款")))))</f>
        <v/>
      </c>
      <c r="L505" s="106"/>
      <c r="M505" s="75" t="str">
        <f>IF($C505="","",IFERROR(INDEX(科目表!$T$4:$T$9,MATCH($C505,科目表!$S$4:$S$9,0)),""))</f>
        <v/>
      </c>
      <c r="N505" s="75" t="str">
        <f t="shared" si="57"/>
        <v/>
      </c>
      <c r="O505" s="76" t="str">
        <f t="shared" si="58"/>
        <v/>
      </c>
      <c r="P505" s="76" t="str">
        <f t="shared" si="59"/>
        <v/>
      </c>
      <c r="Q505" s="75" t="str">
        <f t="shared" si="60"/>
        <v/>
      </c>
      <c r="R505" s="76" t="str">
        <f t="shared" si="61"/>
        <v/>
      </c>
      <c r="S505" s="76" t="str">
        <f t="shared" si="62"/>
        <v/>
      </c>
      <c r="T505" s="43"/>
      <c r="U505" s="107"/>
      <c r="V505" s="76" t="str">
        <f t="shared" si="63"/>
        <v/>
      </c>
      <c r="W505" s="43"/>
      <c r="X505" s="43"/>
      <c r="Y505" s="74"/>
    </row>
    <row r="506" ht="18" customHeight="1" spans="1:25">
      <c r="A506" s="74" t="str">
        <f t="shared" si="56"/>
        <v/>
      </c>
      <c r="B506" s="7"/>
      <c r="C506" s="43"/>
      <c r="D506" s="106"/>
      <c r="E506" s="43"/>
      <c r="F506" s="43"/>
      <c r="G506" s="43"/>
      <c r="H506" s="107"/>
      <c r="I506" s="107"/>
      <c r="J506" s="76" t="str">
        <f>IF($C506="","",ROUND(IFERROR(INDEX(期初余额!$I$4:$I$9,MATCH($C506,期初余额!$H$4:$H$9,0)),0)+SUMIFS($H$4:$H506,$C$4:$C506,$C506)-SUMIFS($I$4:$I506,$C$4:$C506,$C506),2))</f>
        <v/>
      </c>
      <c r="K506" s="111" t="str">
        <f>IF($T506&lt;&gt;"",$T506,IF($C506="","",IF(AND(N($I506)&gt;0,$G506&lt;&gt;""),IFERROR(INDEX(科目表!$U$4:$U$123,MATCH($G506,科目表!$M$4:$M$123,0)),"管理费用"),IF(N($H506)&gt;0,IFERROR(INDEX(自动规则!$C$4:$C$40,MATCH($F506,自动规则!$B$4:$B$40,0)),"其他应收款"),IFERROR(INDEX(自动规则!$D$4:$D$40,MATCH($F506,自动规则!$B$4:$B$40,0)),"其他应付款")))))</f>
        <v/>
      </c>
      <c r="L506" s="106"/>
      <c r="M506" s="75" t="str">
        <f>IF($C506="","",IFERROR(INDEX(科目表!$T$4:$T$9,MATCH($C506,科目表!$S$4:$S$9,0)),""))</f>
        <v/>
      </c>
      <c r="N506" s="75" t="str">
        <f t="shared" si="57"/>
        <v/>
      </c>
      <c r="O506" s="76" t="str">
        <f t="shared" si="58"/>
        <v/>
      </c>
      <c r="P506" s="76" t="str">
        <f t="shared" si="59"/>
        <v/>
      </c>
      <c r="Q506" s="75" t="str">
        <f t="shared" si="60"/>
        <v/>
      </c>
      <c r="R506" s="76" t="str">
        <f t="shared" si="61"/>
        <v/>
      </c>
      <c r="S506" s="76" t="str">
        <f t="shared" si="62"/>
        <v/>
      </c>
      <c r="T506" s="43"/>
      <c r="U506" s="107"/>
      <c r="V506" s="76" t="str">
        <f t="shared" si="63"/>
        <v/>
      </c>
      <c r="W506" s="43"/>
      <c r="X506" s="43"/>
      <c r="Y506" s="74"/>
    </row>
    <row r="507" ht="18" customHeight="1" spans="1:25">
      <c r="A507" s="74" t="str">
        <f t="shared" si="56"/>
        <v/>
      </c>
      <c r="B507" s="7"/>
      <c r="C507" s="43"/>
      <c r="D507" s="106"/>
      <c r="E507" s="43"/>
      <c r="F507" s="43"/>
      <c r="G507" s="43"/>
      <c r="H507" s="107"/>
      <c r="I507" s="107"/>
      <c r="J507" s="76" t="str">
        <f>IF($C507="","",ROUND(IFERROR(INDEX(期初余额!$I$4:$I$9,MATCH($C507,期初余额!$H$4:$H$9,0)),0)+SUMIFS($H$4:$H507,$C$4:$C507,$C507)-SUMIFS($I$4:$I507,$C$4:$C507,$C507),2))</f>
        <v/>
      </c>
      <c r="K507" s="111" t="str">
        <f>IF($T507&lt;&gt;"",$T507,IF($C507="","",IF(AND(N($I507)&gt;0,$G507&lt;&gt;""),IFERROR(INDEX(科目表!$U$4:$U$123,MATCH($G507,科目表!$M$4:$M$123,0)),"管理费用"),IF(N($H507)&gt;0,IFERROR(INDEX(自动规则!$C$4:$C$40,MATCH($F507,自动规则!$B$4:$B$40,0)),"其他应收款"),IFERROR(INDEX(自动规则!$D$4:$D$40,MATCH($F507,自动规则!$B$4:$B$40,0)),"其他应付款")))))</f>
        <v/>
      </c>
      <c r="L507" s="106"/>
      <c r="M507" s="75" t="str">
        <f>IF($C507="","",IFERROR(INDEX(科目表!$T$4:$T$9,MATCH($C507,科目表!$S$4:$S$9,0)),""))</f>
        <v/>
      </c>
      <c r="N507" s="75" t="str">
        <f t="shared" si="57"/>
        <v/>
      </c>
      <c r="O507" s="76" t="str">
        <f t="shared" si="58"/>
        <v/>
      </c>
      <c r="P507" s="76" t="str">
        <f t="shared" si="59"/>
        <v/>
      </c>
      <c r="Q507" s="75" t="str">
        <f t="shared" si="60"/>
        <v/>
      </c>
      <c r="R507" s="76" t="str">
        <f t="shared" si="61"/>
        <v/>
      </c>
      <c r="S507" s="76" t="str">
        <f t="shared" si="62"/>
        <v/>
      </c>
      <c r="T507" s="43"/>
      <c r="U507" s="107"/>
      <c r="V507" s="76" t="str">
        <f t="shared" si="63"/>
        <v/>
      </c>
      <c r="W507" s="43"/>
      <c r="X507" s="43"/>
      <c r="Y507" s="74"/>
    </row>
    <row r="508" ht="18" customHeight="1" spans="1:25">
      <c r="A508" s="74" t="str">
        <f t="shared" si="56"/>
        <v/>
      </c>
      <c r="B508" s="7"/>
      <c r="C508" s="43"/>
      <c r="D508" s="106"/>
      <c r="E508" s="43"/>
      <c r="F508" s="43"/>
      <c r="G508" s="43"/>
      <c r="H508" s="107"/>
      <c r="I508" s="107"/>
      <c r="J508" s="76" t="str">
        <f>IF($C508="","",ROUND(IFERROR(INDEX(期初余额!$I$4:$I$9,MATCH($C508,期初余额!$H$4:$H$9,0)),0)+SUMIFS($H$4:$H508,$C$4:$C508,$C508)-SUMIFS($I$4:$I508,$C$4:$C508,$C508),2))</f>
        <v/>
      </c>
      <c r="K508" s="111" t="str">
        <f>IF($T508&lt;&gt;"",$T508,IF($C508="","",IF(AND(N($I508)&gt;0,$G508&lt;&gt;""),IFERROR(INDEX(科目表!$U$4:$U$123,MATCH($G508,科目表!$M$4:$M$123,0)),"管理费用"),IF(N($H508)&gt;0,IFERROR(INDEX(自动规则!$C$4:$C$40,MATCH($F508,自动规则!$B$4:$B$40,0)),"其他应收款"),IFERROR(INDEX(自动规则!$D$4:$D$40,MATCH($F508,自动规则!$B$4:$B$40,0)),"其他应付款")))))</f>
        <v/>
      </c>
      <c r="L508" s="106"/>
      <c r="M508" s="75" t="str">
        <f>IF($C508="","",IFERROR(INDEX(科目表!$T$4:$T$9,MATCH($C508,科目表!$S$4:$S$9,0)),""))</f>
        <v/>
      </c>
      <c r="N508" s="75" t="str">
        <f t="shared" si="57"/>
        <v/>
      </c>
      <c r="O508" s="76" t="str">
        <f t="shared" si="58"/>
        <v/>
      </c>
      <c r="P508" s="76" t="str">
        <f t="shared" si="59"/>
        <v/>
      </c>
      <c r="Q508" s="75" t="str">
        <f t="shared" si="60"/>
        <v/>
      </c>
      <c r="R508" s="76" t="str">
        <f t="shared" si="61"/>
        <v/>
      </c>
      <c r="S508" s="76" t="str">
        <f t="shared" si="62"/>
        <v/>
      </c>
      <c r="T508" s="43"/>
      <c r="U508" s="107"/>
      <c r="V508" s="76" t="str">
        <f t="shared" si="63"/>
        <v/>
      </c>
      <c r="W508" s="43"/>
      <c r="X508" s="43"/>
      <c r="Y508" s="74"/>
    </row>
    <row r="509" ht="18" customHeight="1" spans="1:25">
      <c r="A509" s="74" t="str">
        <f t="shared" si="56"/>
        <v/>
      </c>
      <c r="B509" s="7"/>
      <c r="C509" s="43"/>
      <c r="D509" s="106"/>
      <c r="E509" s="43"/>
      <c r="F509" s="43"/>
      <c r="G509" s="43"/>
      <c r="H509" s="107"/>
      <c r="I509" s="107"/>
      <c r="J509" s="76" t="str">
        <f>IF($C509="","",ROUND(IFERROR(INDEX(期初余额!$I$4:$I$9,MATCH($C509,期初余额!$H$4:$H$9,0)),0)+SUMIFS($H$4:$H509,$C$4:$C509,$C509)-SUMIFS($I$4:$I509,$C$4:$C509,$C509),2))</f>
        <v/>
      </c>
      <c r="K509" s="111" t="str">
        <f>IF($T509&lt;&gt;"",$T509,IF($C509="","",IF(AND(N($I509)&gt;0,$G509&lt;&gt;""),IFERROR(INDEX(科目表!$U$4:$U$123,MATCH($G509,科目表!$M$4:$M$123,0)),"管理费用"),IF(N($H509)&gt;0,IFERROR(INDEX(自动规则!$C$4:$C$40,MATCH($F509,自动规则!$B$4:$B$40,0)),"其他应收款"),IFERROR(INDEX(自动规则!$D$4:$D$40,MATCH($F509,自动规则!$B$4:$B$40,0)),"其他应付款")))))</f>
        <v/>
      </c>
      <c r="L509" s="106"/>
      <c r="M509" s="75" t="str">
        <f>IF($C509="","",IFERROR(INDEX(科目表!$T$4:$T$9,MATCH($C509,科目表!$S$4:$S$9,0)),""))</f>
        <v/>
      </c>
      <c r="N509" s="75" t="str">
        <f t="shared" si="57"/>
        <v/>
      </c>
      <c r="O509" s="76" t="str">
        <f t="shared" si="58"/>
        <v/>
      </c>
      <c r="P509" s="76" t="str">
        <f t="shared" si="59"/>
        <v/>
      </c>
      <c r="Q509" s="75" t="str">
        <f t="shared" si="60"/>
        <v/>
      </c>
      <c r="R509" s="76" t="str">
        <f t="shared" si="61"/>
        <v/>
      </c>
      <c r="S509" s="76" t="str">
        <f t="shared" si="62"/>
        <v/>
      </c>
      <c r="T509" s="43"/>
      <c r="U509" s="107"/>
      <c r="V509" s="76" t="str">
        <f t="shared" si="63"/>
        <v/>
      </c>
      <c r="W509" s="43"/>
      <c r="X509" s="43"/>
      <c r="Y509" s="74"/>
    </row>
    <row r="510" ht="18" customHeight="1" spans="1:25">
      <c r="A510" s="74" t="str">
        <f t="shared" si="56"/>
        <v/>
      </c>
      <c r="B510" s="7"/>
      <c r="C510" s="43"/>
      <c r="D510" s="106"/>
      <c r="E510" s="43"/>
      <c r="F510" s="43"/>
      <c r="G510" s="43"/>
      <c r="H510" s="107"/>
      <c r="I510" s="107"/>
      <c r="J510" s="76" t="str">
        <f>IF($C510="","",ROUND(IFERROR(INDEX(期初余额!$I$4:$I$9,MATCH($C510,期初余额!$H$4:$H$9,0)),0)+SUMIFS($H$4:$H510,$C$4:$C510,$C510)-SUMIFS($I$4:$I510,$C$4:$C510,$C510),2))</f>
        <v/>
      </c>
      <c r="K510" s="111" t="str">
        <f>IF($T510&lt;&gt;"",$T510,IF($C510="","",IF(AND(N($I510)&gt;0,$G510&lt;&gt;""),IFERROR(INDEX(科目表!$U$4:$U$123,MATCH($G510,科目表!$M$4:$M$123,0)),"管理费用"),IF(N($H510)&gt;0,IFERROR(INDEX(自动规则!$C$4:$C$40,MATCH($F510,自动规则!$B$4:$B$40,0)),"其他应收款"),IFERROR(INDEX(自动规则!$D$4:$D$40,MATCH($F510,自动规则!$B$4:$B$40,0)),"其他应付款")))))</f>
        <v/>
      </c>
      <c r="L510" s="106"/>
      <c r="M510" s="75" t="str">
        <f>IF($C510="","",IFERROR(INDEX(科目表!$T$4:$T$9,MATCH($C510,科目表!$S$4:$S$9,0)),""))</f>
        <v/>
      </c>
      <c r="N510" s="75" t="str">
        <f t="shared" si="57"/>
        <v/>
      </c>
      <c r="O510" s="76" t="str">
        <f t="shared" si="58"/>
        <v/>
      </c>
      <c r="P510" s="76" t="str">
        <f t="shared" si="59"/>
        <v/>
      </c>
      <c r="Q510" s="75" t="str">
        <f t="shared" si="60"/>
        <v/>
      </c>
      <c r="R510" s="76" t="str">
        <f t="shared" si="61"/>
        <v/>
      </c>
      <c r="S510" s="76" t="str">
        <f t="shared" si="62"/>
        <v/>
      </c>
      <c r="T510" s="43"/>
      <c r="U510" s="107"/>
      <c r="V510" s="76" t="str">
        <f t="shared" si="63"/>
        <v/>
      </c>
      <c r="W510" s="43"/>
      <c r="X510" s="43"/>
      <c r="Y510" s="74"/>
    </row>
    <row r="511" ht="18" customHeight="1" spans="1:25">
      <c r="A511" s="74" t="str">
        <f t="shared" si="56"/>
        <v/>
      </c>
      <c r="B511" s="7"/>
      <c r="C511" s="43"/>
      <c r="D511" s="106"/>
      <c r="E511" s="43"/>
      <c r="F511" s="43"/>
      <c r="G511" s="43"/>
      <c r="H511" s="107"/>
      <c r="I511" s="107"/>
      <c r="J511" s="76" t="str">
        <f>IF($C511="","",ROUND(IFERROR(INDEX(期初余额!$I$4:$I$9,MATCH($C511,期初余额!$H$4:$H$9,0)),0)+SUMIFS($H$4:$H511,$C$4:$C511,$C511)-SUMIFS($I$4:$I511,$C$4:$C511,$C511),2))</f>
        <v/>
      </c>
      <c r="K511" s="111" t="str">
        <f>IF($T511&lt;&gt;"",$T511,IF($C511="","",IF(AND(N($I511)&gt;0,$G511&lt;&gt;""),IFERROR(INDEX(科目表!$U$4:$U$123,MATCH($G511,科目表!$M$4:$M$123,0)),"管理费用"),IF(N($H511)&gt;0,IFERROR(INDEX(自动规则!$C$4:$C$40,MATCH($F511,自动规则!$B$4:$B$40,0)),"其他应收款"),IFERROR(INDEX(自动规则!$D$4:$D$40,MATCH($F511,自动规则!$B$4:$B$40,0)),"其他应付款")))))</f>
        <v/>
      </c>
      <c r="L511" s="106"/>
      <c r="M511" s="75" t="str">
        <f>IF($C511="","",IFERROR(INDEX(科目表!$T$4:$T$9,MATCH($C511,科目表!$S$4:$S$9,0)),""))</f>
        <v/>
      </c>
      <c r="N511" s="75" t="str">
        <f t="shared" si="57"/>
        <v/>
      </c>
      <c r="O511" s="76" t="str">
        <f t="shared" si="58"/>
        <v/>
      </c>
      <c r="P511" s="76" t="str">
        <f t="shared" si="59"/>
        <v/>
      </c>
      <c r="Q511" s="75" t="str">
        <f t="shared" si="60"/>
        <v/>
      </c>
      <c r="R511" s="76" t="str">
        <f t="shared" si="61"/>
        <v/>
      </c>
      <c r="S511" s="76" t="str">
        <f t="shared" si="62"/>
        <v/>
      </c>
      <c r="T511" s="43"/>
      <c r="U511" s="107"/>
      <c r="V511" s="76" t="str">
        <f t="shared" si="63"/>
        <v/>
      </c>
      <c r="W511" s="43"/>
      <c r="X511" s="43"/>
      <c r="Y511" s="74"/>
    </row>
    <row r="512" ht="18" customHeight="1" spans="1:25">
      <c r="A512" s="74" t="str">
        <f t="shared" si="56"/>
        <v/>
      </c>
      <c r="B512" s="7"/>
      <c r="C512" s="43"/>
      <c r="D512" s="106"/>
      <c r="E512" s="43"/>
      <c r="F512" s="43"/>
      <c r="G512" s="43"/>
      <c r="H512" s="107"/>
      <c r="I512" s="107"/>
      <c r="J512" s="76" t="str">
        <f>IF($C512="","",ROUND(IFERROR(INDEX(期初余额!$I$4:$I$9,MATCH($C512,期初余额!$H$4:$H$9,0)),0)+SUMIFS($H$4:$H512,$C$4:$C512,$C512)-SUMIFS($I$4:$I512,$C$4:$C512,$C512),2))</f>
        <v/>
      </c>
      <c r="K512" s="111" t="str">
        <f>IF($T512&lt;&gt;"",$T512,IF($C512="","",IF(AND(N($I512)&gt;0,$G512&lt;&gt;""),IFERROR(INDEX(科目表!$U$4:$U$123,MATCH($G512,科目表!$M$4:$M$123,0)),"管理费用"),IF(N($H512)&gt;0,IFERROR(INDEX(自动规则!$C$4:$C$40,MATCH($F512,自动规则!$B$4:$B$40,0)),"其他应收款"),IFERROR(INDEX(自动规则!$D$4:$D$40,MATCH($F512,自动规则!$B$4:$B$40,0)),"其他应付款")))))</f>
        <v/>
      </c>
      <c r="L512" s="106"/>
      <c r="M512" s="75" t="str">
        <f>IF($C512="","",IFERROR(INDEX(科目表!$T$4:$T$9,MATCH($C512,科目表!$S$4:$S$9,0)),""))</f>
        <v/>
      </c>
      <c r="N512" s="75" t="str">
        <f t="shared" si="57"/>
        <v/>
      </c>
      <c r="O512" s="76" t="str">
        <f t="shared" si="58"/>
        <v/>
      </c>
      <c r="P512" s="76" t="str">
        <f t="shared" si="59"/>
        <v/>
      </c>
      <c r="Q512" s="75" t="str">
        <f t="shared" si="60"/>
        <v/>
      </c>
      <c r="R512" s="76" t="str">
        <f t="shared" si="61"/>
        <v/>
      </c>
      <c r="S512" s="76" t="str">
        <f t="shared" si="62"/>
        <v/>
      </c>
      <c r="T512" s="43"/>
      <c r="U512" s="107"/>
      <c r="V512" s="76" t="str">
        <f t="shared" si="63"/>
        <v/>
      </c>
      <c r="W512" s="43"/>
      <c r="X512" s="43"/>
      <c r="Y512" s="74"/>
    </row>
    <row r="513" ht="18" customHeight="1" spans="1:25">
      <c r="A513" s="74" t="str">
        <f t="shared" si="56"/>
        <v/>
      </c>
      <c r="B513" s="7"/>
      <c r="C513" s="43"/>
      <c r="D513" s="106"/>
      <c r="E513" s="43"/>
      <c r="F513" s="43"/>
      <c r="G513" s="43"/>
      <c r="H513" s="107"/>
      <c r="I513" s="107"/>
      <c r="J513" s="76" t="str">
        <f>IF($C513="","",ROUND(IFERROR(INDEX(期初余额!$I$4:$I$9,MATCH($C513,期初余额!$H$4:$H$9,0)),0)+SUMIFS($H$4:$H513,$C$4:$C513,$C513)-SUMIFS($I$4:$I513,$C$4:$C513,$C513),2))</f>
        <v/>
      </c>
      <c r="K513" s="111" t="str">
        <f>IF($T513&lt;&gt;"",$T513,IF($C513="","",IF(AND(N($I513)&gt;0,$G513&lt;&gt;""),IFERROR(INDEX(科目表!$U$4:$U$123,MATCH($G513,科目表!$M$4:$M$123,0)),"管理费用"),IF(N($H513)&gt;0,IFERROR(INDEX(自动规则!$C$4:$C$40,MATCH($F513,自动规则!$B$4:$B$40,0)),"其他应收款"),IFERROR(INDEX(自动规则!$D$4:$D$40,MATCH($F513,自动规则!$B$4:$B$40,0)),"其他应付款")))))</f>
        <v/>
      </c>
      <c r="L513" s="106"/>
      <c r="M513" s="75" t="str">
        <f>IF($C513="","",IFERROR(INDEX(科目表!$T$4:$T$9,MATCH($C513,科目表!$S$4:$S$9,0)),""))</f>
        <v/>
      </c>
      <c r="N513" s="75" t="str">
        <f t="shared" si="57"/>
        <v/>
      </c>
      <c r="O513" s="76" t="str">
        <f t="shared" si="58"/>
        <v/>
      </c>
      <c r="P513" s="76" t="str">
        <f t="shared" si="59"/>
        <v/>
      </c>
      <c r="Q513" s="75" t="str">
        <f t="shared" si="60"/>
        <v/>
      </c>
      <c r="R513" s="76" t="str">
        <f t="shared" si="61"/>
        <v/>
      </c>
      <c r="S513" s="76" t="str">
        <f t="shared" si="62"/>
        <v/>
      </c>
      <c r="T513" s="43"/>
      <c r="U513" s="107"/>
      <c r="V513" s="76" t="str">
        <f t="shared" si="63"/>
        <v/>
      </c>
      <c r="W513" s="43"/>
      <c r="X513" s="43"/>
      <c r="Y513" s="74"/>
    </row>
    <row r="514" ht="18" customHeight="1" spans="1:25">
      <c r="A514" s="74" t="str">
        <f t="shared" si="56"/>
        <v/>
      </c>
      <c r="B514" s="7"/>
      <c r="C514" s="43"/>
      <c r="D514" s="106"/>
      <c r="E514" s="43"/>
      <c r="F514" s="43"/>
      <c r="G514" s="43"/>
      <c r="H514" s="107"/>
      <c r="I514" s="107"/>
      <c r="J514" s="76" t="str">
        <f>IF($C514="","",ROUND(IFERROR(INDEX(期初余额!$I$4:$I$9,MATCH($C514,期初余额!$H$4:$H$9,0)),0)+SUMIFS($H$4:$H514,$C$4:$C514,$C514)-SUMIFS($I$4:$I514,$C$4:$C514,$C514),2))</f>
        <v/>
      </c>
      <c r="K514" s="111" t="str">
        <f>IF($T514&lt;&gt;"",$T514,IF($C514="","",IF(AND(N($I514)&gt;0,$G514&lt;&gt;""),IFERROR(INDEX(科目表!$U$4:$U$123,MATCH($G514,科目表!$M$4:$M$123,0)),"管理费用"),IF(N($H514)&gt;0,IFERROR(INDEX(自动规则!$C$4:$C$40,MATCH($F514,自动规则!$B$4:$B$40,0)),"其他应收款"),IFERROR(INDEX(自动规则!$D$4:$D$40,MATCH($F514,自动规则!$B$4:$B$40,0)),"其他应付款")))))</f>
        <v/>
      </c>
      <c r="L514" s="106"/>
      <c r="M514" s="75" t="str">
        <f>IF($C514="","",IFERROR(INDEX(科目表!$T$4:$T$9,MATCH($C514,科目表!$S$4:$S$9,0)),""))</f>
        <v/>
      </c>
      <c r="N514" s="75" t="str">
        <f t="shared" si="57"/>
        <v/>
      </c>
      <c r="O514" s="76" t="str">
        <f t="shared" si="58"/>
        <v/>
      </c>
      <c r="P514" s="76" t="str">
        <f t="shared" si="59"/>
        <v/>
      </c>
      <c r="Q514" s="75" t="str">
        <f t="shared" si="60"/>
        <v/>
      </c>
      <c r="R514" s="76" t="str">
        <f t="shared" si="61"/>
        <v/>
      </c>
      <c r="S514" s="76" t="str">
        <f t="shared" si="62"/>
        <v/>
      </c>
      <c r="T514" s="43"/>
      <c r="U514" s="107"/>
      <c r="V514" s="76" t="str">
        <f t="shared" si="63"/>
        <v/>
      </c>
      <c r="W514" s="43"/>
      <c r="X514" s="43"/>
      <c r="Y514" s="74"/>
    </row>
    <row r="515" ht="18" customHeight="1" spans="1:25">
      <c r="A515" s="74" t="str">
        <f t="shared" si="56"/>
        <v/>
      </c>
      <c r="B515" s="7"/>
      <c r="C515" s="43"/>
      <c r="D515" s="106"/>
      <c r="E515" s="43"/>
      <c r="F515" s="43"/>
      <c r="G515" s="43"/>
      <c r="H515" s="107"/>
      <c r="I515" s="107"/>
      <c r="J515" s="76" t="str">
        <f>IF($C515="","",ROUND(IFERROR(INDEX(期初余额!$I$4:$I$9,MATCH($C515,期初余额!$H$4:$H$9,0)),0)+SUMIFS($H$4:$H515,$C$4:$C515,$C515)-SUMIFS($I$4:$I515,$C$4:$C515,$C515),2))</f>
        <v/>
      </c>
      <c r="K515" s="111" t="str">
        <f>IF($T515&lt;&gt;"",$T515,IF($C515="","",IF(AND(N($I515)&gt;0,$G515&lt;&gt;""),IFERROR(INDEX(科目表!$U$4:$U$123,MATCH($G515,科目表!$M$4:$M$123,0)),"管理费用"),IF(N($H515)&gt;0,IFERROR(INDEX(自动规则!$C$4:$C$40,MATCH($F515,自动规则!$B$4:$B$40,0)),"其他应收款"),IFERROR(INDEX(自动规则!$D$4:$D$40,MATCH($F515,自动规则!$B$4:$B$40,0)),"其他应付款")))))</f>
        <v/>
      </c>
      <c r="L515" s="106"/>
      <c r="M515" s="75" t="str">
        <f>IF($C515="","",IFERROR(INDEX(科目表!$T$4:$T$9,MATCH($C515,科目表!$S$4:$S$9,0)),""))</f>
        <v/>
      </c>
      <c r="N515" s="75" t="str">
        <f t="shared" si="57"/>
        <v/>
      </c>
      <c r="O515" s="76" t="str">
        <f t="shared" si="58"/>
        <v/>
      </c>
      <c r="P515" s="76" t="str">
        <f t="shared" si="59"/>
        <v/>
      </c>
      <c r="Q515" s="75" t="str">
        <f t="shared" si="60"/>
        <v/>
      </c>
      <c r="R515" s="76" t="str">
        <f t="shared" si="61"/>
        <v/>
      </c>
      <c r="S515" s="76" t="str">
        <f t="shared" si="62"/>
        <v/>
      </c>
      <c r="T515" s="43"/>
      <c r="U515" s="107"/>
      <c r="V515" s="76" t="str">
        <f t="shared" si="63"/>
        <v/>
      </c>
      <c r="W515" s="43"/>
      <c r="X515" s="43"/>
      <c r="Y515" s="74"/>
    </row>
    <row r="516" ht="18" customHeight="1" spans="1:25">
      <c r="A516" s="74" t="str">
        <f t="shared" ref="A516:A579" si="64">IF($C516="","",ROW()-3)</f>
        <v/>
      </c>
      <c r="B516" s="7"/>
      <c r="C516" s="43"/>
      <c r="D516" s="106"/>
      <c r="E516" s="43"/>
      <c r="F516" s="43"/>
      <c r="G516" s="43"/>
      <c r="H516" s="107"/>
      <c r="I516" s="107"/>
      <c r="J516" s="76" t="str">
        <f>IF($C516="","",ROUND(IFERROR(INDEX(期初余额!$I$4:$I$9,MATCH($C516,期初余额!$H$4:$H$9,0)),0)+SUMIFS($H$4:$H516,$C$4:$C516,$C516)-SUMIFS($I$4:$I516,$C$4:$C516,$C516),2))</f>
        <v/>
      </c>
      <c r="K516" s="111" t="str">
        <f>IF($T516&lt;&gt;"",$T516,IF($C516="","",IF(AND(N($I516)&gt;0,$G516&lt;&gt;""),IFERROR(INDEX(科目表!$U$4:$U$123,MATCH($G516,科目表!$M$4:$M$123,0)),"管理费用"),IF(N($H516)&gt;0,IFERROR(INDEX(自动规则!$C$4:$C$40,MATCH($F516,自动规则!$B$4:$B$40,0)),"其他应收款"),IFERROR(INDEX(自动规则!$D$4:$D$40,MATCH($F516,自动规则!$B$4:$B$40,0)),"其他应付款")))))</f>
        <v/>
      </c>
      <c r="L516" s="106"/>
      <c r="M516" s="75" t="str">
        <f>IF($C516="","",IFERROR(INDEX(科目表!$T$4:$T$9,MATCH($C516,科目表!$S$4:$S$9,0)),""))</f>
        <v/>
      </c>
      <c r="N516" s="75" t="str">
        <f t="shared" ref="N516:N579" si="65">IF(OR($C516="",ROUND(N($H516)+N($I516),2)=0),"",IF(N($H516)&gt;0,$M516,$K516))</f>
        <v/>
      </c>
      <c r="O516" s="76" t="str">
        <f t="shared" ref="O516:O579" si="66">IF($N516="","",ROUND(N($H516)+N($I516),2))</f>
        <v/>
      </c>
      <c r="P516" s="76" t="str">
        <f t="shared" ref="P516:P579" si="67">IF($N516="","",0)</f>
        <v/>
      </c>
      <c r="Q516" s="75" t="str">
        <f t="shared" ref="Q516:Q579" si="68">IF($N516="","",IF(N($H516)&gt;0,$K516,$M516))</f>
        <v/>
      </c>
      <c r="R516" s="76" t="str">
        <f t="shared" ref="R516:R579" si="69">IF($Q516="","",0)</f>
        <v/>
      </c>
      <c r="S516" s="76" t="str">
        <f t="shared" ref="S516:S579" si="70">IF($Q516="","",ROUND(N($H516)+N($I516),2))</f>
        <v/>
      </c>
      <c r="T516" s="43"/>
      <c r="U516" s="107"/>
      <c r="V516" s="76" t="str">
        <f t="shared" ref="V516:V579" si="71">IF($B516="","",TEXT($B516,"yyyy年m月"))</f>
        <v/>
      </c>
      <c r="W516" s="43"/>
      <c r="X516" s="43"/>
      <c r="Y516" s="74"/>
    </row>
    <row r="517" ht="18" customHeight="1" spans="1:25">
      <c r="A517" s="74" t="str">
        <f t="shared" si="64"/>
        <v/>
      </c>
      <c r="B517" s="7"/>
      <c r="C517" s="43"/>
      <c r="D517" s="106"/>
      <c r="E517" s="43"/>
      <c r="F517" s="43"/>
      <c r="G517" s="43"/>
      <c r="H517" s="107"/>
      <c r="I517" s="107"/>
      <c r="J517" s="76" t="str">
        <f>IF($C517="","",ROUND(IFERROR(INDEX(期初余额!$I$4:$I$9,MATCH($C517,期初余额!$H$4:$H$9,0)),0)+SUMIFS($H$4:$H517,$C$4:$C517,$C517)-SUMIFS($I$4:$I517,$C$4:$C517,$C517),2))</f>
        <v/>
      </c>
      <c r="K517" s="111" t="str">
        <f>IF($T517&lt;&gt;"",$T517,IF($C517="","",IF(AND(N($I517)&gt;0,$G517&lt;&gt;""),IFERROR(INDEX(科目表!$U$4:$U$123,MATCH($G517,科目表!$M$4:$M$123,0)),"管理费用"),IF(N($H517)&gt;0,IFERROR(INDEX(自动规则!$C$4:$C$40,MATCH($F517,自动规则!$B$4:$B$40,0)),"其他应收款"),IFERROR(INDEX(自动规则!$D$4:$D$40,MATCH($F517,自动规则!$B$4:$B$40,0)),"其他应付款")))))</f>
        <v/>
      </c>
      <c r="L517" s="106"/>
      <c r="M517" s="75" t="str">
        <f>IF($C517="","",IFERROR(INDEX(科目表!$T$4:$T$9,MATCH($C517,科目表!$S$4:$S$9,0)),""))</f>
        <v/>
      </c>
      <c r="N517" s="75" t="str">
        <f t="shared" si="65"/>
        <v/>
      </c>
      <c r="O517" s="76" t="str">
        <f t="shared" si="66"/>
        <v/>
      </c>
      <c r="P517" s="76" t="str">
        <f t="shared" si="67"/>
        <v/>
      </c>
      <c r="Q517" s="75" t="str">
        <f t="shared" si="68"/>
        <v/>
      </c>
      <c r="R517" s="76" t="str">
        <f t="shared" si="69"/>
        <v/>
      </c>
      <c r="S517" s="76" t="str">
        <f t="shared" si="70"/>
        <v/>
      </c>
      <c r="T517" s="43"/>
      <c r="U517" s="107"/>
      <c r="V517" s="76" t="str">
        <f t="shared" si="71"/>
        <v/>
      </c>
      <c r="W517" s="43"/>
      <c r="X517" s="43"/>
      <c r="Y517" s="74"/>
    </row>
    <row r="518" ht="18" customHeight="1" spans="1:25">
      <c r="A518" s="74" t="str">
        <f t="shared" si="64"/>
        <v/>
      </c>
      <c r="B518" s="7"/>
      <c r="C518" s="43"/>
      <c r="D518" s="106"/>
      <c r="E518" s="43"/>
      <c r="F518" s="43"/>
      <c r="G518" s="43"/>
      <c r="H518" s="107"/>
      <c r="I518" s="107"/>
      <c r="J518" s="76" t="str">
        <f>IF($C518="","",ROUND(IFERROR(INDEX(期初余额!$I$4:$I$9,MATCH($C518,期初余额!$H$4:$H$9,0)),0)+SUMIFS($H$4:$H518,$C$4:$C518,$C518)-SUMIFS($I$4:$I518,$C$4:$C518,$C518),2))</f>
        <v/>
      </c>
      <c r="K518" s="111" t="str">
        <f>IF($T518&lt;&gt;"",$T518,IF($C518="","",IF(AND(N($I518)&gt;0,$G518&lt;&gt;""),IFERROR(INDEX(科目表!$U$4:$U$123,MATCH($G518,科目表!$M$4:$M$123,0)),"管理费用"),IF(N($H518)&gt;0,IFERROR(INDEX(自动规则!$C$4:$C$40,MATCH($F518,自动规则!$B$4:$B$40,0)),"其他应收款"),IFERROR(INDEX(自动规则!$D$4:$D$40,MATCH($F518,自动规则!$B$4:$B$40,0)),"其他应付款")))))</f>
        <v/>
      </c>
      <c r="L518" s="106"/>
      <c r="M518" s="75" t="str">
        <f>IF($C518="","",IFERROR(INDEX(科目表!$T$4:$T$9,MATCH($C518,科目表!$S$4:$S$9,0)),""))</f>
        <v/>
      </c>
      <c r="N518" s="75" t="str">
        <f t="shared" si="65"/>
        <v/>
      </c>
      <c r="O518" s="76" t="str">
        <f t="shared" si="66"/>
        <v/>
      </c>
      <c r="P518" s="76" t="str">
        <f t="shared" si="67"/>
        <v/>
      </c>
      <c r="Q518" s="75" t="str">
        <f t="shared" si="68"/>
        <v/>
      </c>
      <c r="R518" s="76" t="str">
        <f t="shared" si="69"/>
        <v/>
      </c>
      <c r="S518" s="76" t="str">
        <f t="shared" si="70"/>
        <v/>
      </c>
      <c r="T518" s="43"/>
      <c r="U518" s="107"/>
      <c r="V518" s="76" t="str">
        <f t="shared" si="71"/>
        <v/>
      </c>
      <c r="W518" s="43"/>
      <c r="X518" s="43"/>
      <c r="Y518" s="74"/>
    </row>
    <row r="519" ht="18" customHeight="1" spans="1:25">
      <c r="A519" s="74" t="str">
        <f t="shared" si="64"/>
        <v/>
      </c>
      <c r="B519" s="7"/>
      <c r="C519" s="43"/>
      <c r="D519" s="106"/>
      <c r="E519" s="43"/>
      <c r="F519" s="43"/>
      <c r="G519" s="43"/>
      <c r="H519" s="107"/>
      <c r="I519" s="107"/>
      <c r="J519" s="76" t="str">
        <f>IF($C519="","",ROUND(IFERROR(INDEX(期初余额!$I$4:$I$9,MATCH($C519,期初余额!$H$4:$H$9,0)),0)+SUMIFS($H$4:$H519,$C$4:$C519,$C519)-SUMIFS($I$4:$I519,$C$4:$C519,$C519),2))</f>
        <v/>
      </c>
      <c r="K519" s="111" t="str">
        <f>IF($T519&lt;&gt;"",$T519,IF($C519="","",IF(AND(N($I519)&gt;0,$G519&lt;&gt;""),IFERROR(INDEX(科目表!$U$4:$U$123,MATCH($G519,科目表!$M$4:$M$123,0)),"管理费用"),IF(N($H519)&gt;0,IFERROR(INDEX(自动规则!$C$4:$C$40,MATCH($F519,自动规则!$B$4:$B$40,0)),"其他应收款"),IFERROR(INDEX(自动规则!$D$4:$D$40,MATCH($F519,自动规则!$B$4:$B$40,0)),"其他应付款")))))</f>
        <v/>
      </c>
      <c r="L519" s="106"/>
      <c r="M519" s="75" t="str">
        <f>IF($C519="","",IFERROR(INDEX(科目表!$T$4:$T$9,MATCH($C519,科目表!$S$4:$S$9,0)),""))</f>
        <v/>
      </c>
      <c r="N519" s="75" t="str">
        <f t="shared" si="65"/>
        <v/>
      </c>
      <c r="O519" s="76" t="str">
        <f t="shared" si="66"/>
        <v/>
      </c>
      <c r="P519" s="76" t="str">
        <f t="shared" si="67"/>
        <v/>
      </c>
      <c r="Q519" s="75" t="str">
        <f t="shared" si="68"/>
        <v/>
      </c>
      <c r="R519" s="76" t="str">
        <f t="shared" si="69"/>
        <v/>
      </c>
      <c r="S519" s="76" t="str">
        <f t="shared" si="70"/>
        <v/>
      </c>
      <c r="T519" s="43"/>
      <c r="U519" s="107"/>
      <c r="V519" s="76" t="str">
        <f t="shared" si="71"/>
        <v/>
      </c>
      <c r="W519" s="43"/>
      <c r="X519" s="43"/>
      <c r="Y519" s="74"/>
    </row>
    <row r="520" ht="18" customHeight="1" spans="1:25">
      <c r="A520" s="74" t="str">
        <f t="shared" si="64"/>
        <v/>
      </c>
      <c r="B520" s="7"/>
      <c r="C520" s="43"/>
      <c r="D520" s="106"/>
      <c r="E520" s="43"/>
      <c r="F520" s="43"/>
      <c r="G520" s="43"/>
      <c r="H520" s="107"/>
      <c r="I520" s="107"/>
      <c r="J520" s="76" t="str">
        <f>IF($C520="","",ROUND(IFERROR(INDEX(期初余额!$I$4:$I$9,MATCH($C520,期初余额!$H$4:$H$9,0)),0)+SUMIFS($H$4:$H520,$C$4:$C520,$C520)-SUMIFS($I$4:$I520,$C$4:$C520,$C520),2))</f>
        <v/>
      </c>
      <c r="K520" s="111" t="str">
        <f>IF($T520&lt;&gt;"",$T520,IF($C520="","",IF(AND(N($I520)&gt;0,$G520&lt;&gt;""),IFERROR(INDEX(科目表!$U$4:$U$123,MATCH($G520,科目表!$M$4:$M$123,0)),"管理费用"),IF(N($H520)&gt;0,IFERROR(INDEX(自动规则!$C$4:$C$40,MATCH($F520,自动规则!$B$4:$B$40,0)),"其他应收款"),IFERROR(INDEX(自动规则!$D$4:$D$40,MATCH($F520,自动规则!$B$4:$B$40,0)),"其他应付款")))))</f>
        <v/>
      </c>
      <c r="L520" s="106"/>
      <c r="M520" s="75" t="str">
        <f>IF($C520="","",IFERROR(INDEX(科目表!$T$4:$T$9,MATCH($C520,科目表!$S$4:$S$9,0)),""))</f>
        <v/>
      </c>
      <c r="N520" s="75" t="str">
        <f t="shared" si="65"/>
        <v/>
      </c>
      <c r="O520" s="76" t="str">
        <f t="shared" si="66"/>
        <v/>
      </c>
      <c r="P520" s="76" t="str">
        <f t="shared" si="67"/>
        <v/>
      </c>
      <c r="Q520" s="75" t="str">
        <f t="shared" si="68"/>
        <v/>
      </c>
      <c r="R520" s="76" t="str">
        <f t="shared" si="69"/>
        <v/>
      </c>
      <c r="S520" s="76" t="str">
        <f t="shared" si="70"/>
        <v/>
      </c>
      <c r="T520" s="43"/>
      <c r="U520" s="107"/>
      <c r="V520" s="76" t="str">
        <f t="shared" si="71"/>
        <v/>
      </c>
      <c r="W520" s="43"/>
      <c r="X520" s="43"/>
      <c r="Y520" s="74"/>
    </row>
    <row r="521" ht="18" customHeight="1" spans="1:25">
      <c r="A521" s="74" t="str">
        <f t="shared" si="64"/>
        <v/>
      </c>
      <c r="B521" s="7"/>
      <c r="C521" s="43"/>
      <c r="D521" s="106"/>
      <c r="E521" s="43"/>
      <c r="F521" s="43"/>
      <c r="G521" s="43"/>
      <c r="H521" s="107"/>
      <c r="I521" s="107"/>
      <c r="J521" s="76" t="str">
        <f>IF($C521="","",ROUND(IFERROR(INDEX(期初余额!$I$4:$I$9,MATCH($C521,期初余额!$H$4:$H$9,0)),0)+SUMIFS($H$4:$H521,$C$4:$C521,$C521)-SUMIFS($I$4:$I521,$C$4:$C521,$C521),2))</f>
        <v/>
      </c>
      <c r="K521" s="111" t="str">
        <f>IF($T521&lt;&gt;"",$T521,IF($C521="","",IF(AND(N($I521)&gt;0,$G521&lt;&gt;""),IFERROR(INDEX(科目表!$U$4:$U$123,MATCH($G521,科目表!$M$4:$M$123,0)),"管理费用"),IF(N($H521)&gt;0,IFERROR(INDEX(自动规则!$C$4:$C$40,MATCH($F521,自动规则!$B$4:$B$40,0)),"其他应收款"),IFERROR(INDEX(自动规则!$D$4:$D$40,MATCH($F521,自动规则!$B$4:$B$40,0)),"其他应付款")))))</f>
        <v/>
      </c>
      <c r="L521" s="106"/>
      <c r="M521" s="75" t="str">
        <f>IF($C521="","",IFERROR(INDEX(科目表!$T$4:$T$9,MATCH($C521,科目表!$S$4:$S$9,0)),""))</f>
        <v/>
      </c>
      <c r="N521" s="75" t="str">
        <f t="shared" si="65"/>
        <v/>
      </c>
      <c r="O521" s="76" t="str">
        <f t="shared" si="66"/>
        <v/>
      </c>
      <c r="P521" s="76" t="str">
        <f t="shared" si="67"/>
        <v/>
      </c>
      <c r="Q521" s="75" t="str">
        <f t="shared" si="68"/>
        <v/>
      </c>
      <c r="R521" s="76" t="str">
        <f t="shared" si="69"/>
        <v/>
      </c>
      <c r="S521" s="76" t="str">
        <f t="shared" si="70"/>
        <v/>
      </c>
      <c r="T521" s="43"/>
      <c r="U521" s="107"/>
      <c r="V521" s="76" t="str">
        <f t="shared" si="71"/>
        <v/>
      </c>
      <c r="W521" s="43"/>
      <c r="X521" s="43"/>
      <c r="Y521" s="74"/>
    </row>
    <row r="522" ht="18" customHeight="1" spans="1:25">
      <c r="A522" s="74" t="str">
        <f t="shared" si="64"/>
        <v/>
      </c>
      <c r="B522" s="7"/>
      <c r="C522" s="43"/>
      <c r="D522" s="106"/>
      <c r="E522" s="43"/>
      <c r="F522" s="43"/>
      <c r="G522" s="43"/>
      <c r="H522" s="107"/>
      <c r="I522" s="107"/>
      <c r="J522" s="76" t="str">
        <f>IF($C522="","",ROUND(IFERROR(INDEX(期初余额!$I$4:$I$9,MATCH($C522,期初余额!$H$4:$H$9,0)),0)+SUMIFS($H$4:$H522,$C$4:$C522,$C522)-SUMIFS($I$4:$I522,$C$4:$C522,$C522),2))</f>
        <v/>
      </c>
      <c r="K522" s="111" t="str">
        <f>IF($T522&lt;&gt;"",$T522,IF($C522="","",IF(AND(N($I522)&gt;0,$G522&lt;&gt;""),IFERROR(INDEX(科目表!$U$4:$U$123,MATCH($G522,科目表!$M$4:$M$123,0)),"管理费用"),IF(N($H522)&gt;0,IFERROR(INDEX(自动规则!$C$4:$C$40,MATCH($F522,自动规则!$B$4:$B$40,0)),"其他应收款"),IFERROR(INDEX(自动规则!$D$4:$D$40,MATCH($F522,自动规则!$B$4:$B$40,0)),"其他应付款")))))</f>
        <v/>
      </c>
      <c r="L522" s="106"/>
      <c r="M522" s="75" t="str">
        <f>IF($C522="","",IFERROR(INDEX(科目表!$T$4:$T$9,MATCH($C522,科目表!$S$4:$S$9,0)),""))</f>
        <v/>
      </c>
      <c r="N522" s="75" t="str">
        <f t="shared" si="65"/>
        <v/>
      </c>
      <c r="O522" s="76" t="str">
        <f t="shared" si="66"/>
        <v/>
      </c>
      <c r="P522" s="76" t="str">
        <f t="shared" si="67"/>
        <v/>
      </c>
      <c r="Q522" s="75" t="str">
        <f t="shared" si="68"/>
        <v/>
      </c>
      <c r="R522" s="76" t="str">
        <f t="shared" si="69"/>
        <v/>
      </c>
      <c r="S522" s="76" t="str">
        <f t="shared" si="70"/>
        <v/>
      </c>
      <c r="T522" s="43"/>
      <c r="U522" s="107"/>
      <c r="V522" s="76" t="str">
        <f t="shared" si="71"/>
        <v/>
      </c>
      <c r="W522" s="43"/>
      <c r="X522" s="43"/>
      <c r="Y522" s="74"/>
    </row>
    <row r="523" ht="18" customHeight="1" spans="1:25">
      <c r="A523" s="74" t="str">
        <f t="shared" si="64"/>
        <v/>
      </c>
      <c r="B523" s="7"/>
      <c r="C523" s="43"/>
      <c r="D523" s="106"/>
      <c r="E523" s="43"/>
      <c r="F523" s="43"/>
      <c r="G523" s="43"/>
      <c r="H523" s="107"/>
      <c r="I523" s="107"/>
      <c r="J523" s="76" t="str">
        <f>IF($C523="","",ROUND(IFERROR(INDEX(期初余额!$I$4:$I$9,MATCH($C523,期初余额!$H$4:$H$9,0)),0)+SUMIFS($H$4:$H523,$C$4:$C523,$C523)-SUMIFS($I$4:$I523,$C$4:$C523,$C523),2))</f>
        <v/>
      </c>
      <c r="K523" s="111" t="str">
        <f>IF($T523&lt;&gt;"",$T523,IF($C523="","",IF(AND(N($I523)&gt;0,$G523&lt;&gt;""),IFERROR(INDEX(科目表!$U$4:$U$123,MATCH($G523,科目表!$M$4:$M$123,0)),"管理费用"),IF(N($H523)&gt;0,IFERROR(INDEX(自动规则!$C$4:$C$40,MATCH($F523,自动规则!$B$4:$B$40,0)),"其他应收款"),IFERROR(INDEX(自动规则!$D$4:$D$40,MATCH($F523,自动规则!$B$4:$B$40,0)),"其他应付款")))))</f>
        <v/>
      </c>
      <c r="L523" s="106"/>
      <c r="M523" s="75" t="str">
        <f>IF($C523="","",IFERROR(INDEX(科目表!$T$4:$T$9,MATCH($C523,科目表!$S$4:$S$9,0)),""))</f>
        <v/>
      </c>
      <c r="N523" s="75" t="str">
        <f t="shared" si="65"/>
        <v/>
      </c>
      <c r="O523" s="76" t="str">
        <f t="shared" si="66"/>
        <v/>
      </c>
      <c r="P523" s="76" t="str">
        <f t="shared" si="67"/>
        <v/>
      </c>
      <c r="Q523" s="75" t="str">
        <f t="shared" si="68"/>
        <v/>
      </c>
      <c r="R523" s="76" t="str">
        <f t="shared" si="69"/>
        <v/>
      </c>
      <c r="S523" s="76" t="str">
        <f t="shared" si="70"/>
        <v/>
      </c>
      <c r="T523" s="43"/>
      <c r="U523" s="107"/>
      <c r="V523" s="76" t="str">
        <f t="shared" si="71"/>
        <v/>
      </c>
      <c r="W523" s="43"/>
      <c r="X523" s="43"/>
      <c r="Y523" s="74"/>
    </row>
    <row r="524" ht="18" customHeight="1" spans="1:25">
      <c r="A524" s="74" t="str">
        <f t="shared" si="64"/>
        <v/>
      </c>
      <c r="B524" s="7"/>
      <c r="C524" s="43"/>
      <c r="D524" s="106"/>
      <c r="E524" s="43"/>
      <c r="F524" s="43"/>
      <c r="G524" s="43"/>
      <c r="H524" s="107"/>
      <c r="I524" s="107"/>
      <c r="J524" s="76" t="str">
        <f>IF($C524="","",ROUND(IFERROR(INDEX(期初余额!$I$4:$I$9,MATCH($C524,期初余额!$H$4:$H$9,0)),0)+SUMIFS($H$4:$H524,$C$4:$C524,$C524)-SUMIFS($I$4:$I524,$C$4:$C524,$C524),2))</f>
        <v/>
      </c>
      <c r="K524" s="111" t="str">
        <f>IF($T524&lt;&gt;"",$T524,IF($C524="","",IF(AND(N($I524)&gt;0,$G524&lt;&gt;""),IFERROR(INDEX(科目表!$U$4:$U$123,MATCH($G524,科目表!$M$4:$M$123,0)),"管理费用"),IF(N($H524)&gt;0,IFERROR(INDEX(自动规则!$C$4:$C$40,MATCH($F524,自动规则!$B$4:$B$40,0)),"其他应收款"),IFERROR(INDEX(自动规则!$D$4:$D$40,MATCH($F524,自动规则!$B$4:$B$40,0)),"其他应付款")))))</f>
        <v/>
      </c>
      <c r="L524" s="106"/>
      <c r="M524" s="75" t="str">
        <f>IF($C524="","",IFERROR(INDEX(科目表!$T$4:$T$9,MATCH($C524,科目表!$S$4:$S$9,0)),""))</f>
        <v/>
      </c>
      <c r="N524" s="75" t="str">
        <f t="shared" si="65"/>
        <v/>
      </c>
      <c r="O524" s="76" t="str">
        <f t="shared" si="66"/>
        <v/>
      </c>
      <c r="P524" s="76" t="str">
        <f t="shared" si="67"/>
        <v/>
      </c>
      <c r="Q524" s="75" t="str">
        <f t="shared" si="68"/>
        <v/>
      </c>
      <c r="R524" s="76" t="str">
        <f t="shared" si="69"/>
        <v/>
      </c>
      <c r="S524" s="76" t="str">
        <f t="shared" si="70"/>
        <v/>
      </c>
      <c r="T524" s="43"/>
      <c r="U524" s="107"/>
      <c r="V524" s="76" t="str">
        <f t="shared" si="71"/>
        <v/>
      </c>
      <c r="W524" s="43"/>
      <c r="X524" s="43"/>
      <c r="Y524" s="74"/>
    </row>
    <row r="525" ht="18" customHeight="1" spans="1:25">
      <c r="A525" s="74" t="str">
        <f t="shared" si="64"/>
        <v/>
      </c>
      <c r="B525" s="7"/>
      <c r="C525" s="43"/>
      <c r="D525" s="106"/>
      <c r="E525" s="43"/>
      <c r="F525" s="43"/>
      <c r="G525" s="43"/>
      <c r="H525" s="107"/>
      <c r="I525" s="107"/>
      <c r="J525" s="76" t="str">
        <f>IF($C525="","",ROUND(IFERROR(INDEX(期初余额!$I$4:$I$9,MATCH($C525,期初余额!$H$4:$H$9,0)),0)+SUMIFS($H$4:$H525,$C$4:$C525,$C525)-SUMIFS($I$4:$I525,$C$4:$C525,$C525),2))</f>
        <v/>
      </c>
      <c r="K525" s="111" t="str">
        <f>IF($T525&lt;&gt;"",$T525,IF($C525="","",IF(AND(N($I525)&gt;0,$G525&lt;&gt;""),IFERROR(INDEX(科目表!$U$4:$U$123,MATCH($G525,科目表!$M$4:$M$123,0)),"管理费用"),IF(N($H525)&gt;0,IFERROR(INDEX(自动规则!$C$4:$C$40,MATCH($F525,自动规则!$B$4:$B$40,0)),"其他应收款"),IFERROR(INDEX(自动规则!$D$4:$D$40,MATCH($F525,自动规则!$B$4:$B$40,0)),"其他应付款")))))</f>
        <v/>
      </c>
      <c r="L525" s="106"/>
      <c r="M525" s="75" t="str">
        <f>IF($C525="","",IFERROR(INDEX(科目表!$T$4:$T$9,MATCH($C525,科目表!$S$4:$S$9,0)),""))</f>
        <v/>
      </c>
      <c r="N525" s="75" t="str">
        <f t="shared" si="65"/>
        <v/>
      </c>
      <c r="O525" s="76" t="str">
        <f t="shared" si="66"/>
        <v/>
      </c>
      <c r="P525" s="76" t="str">
        <f t="shared" si="67"/>
        <v/>
      </c>
      <c r="Q525" s="75" t="str">
        <f t="shared" si="68"/>
        <v/>
      </c>
      <c r="R525" s="76" t="str">
        <f t="shared" si="69"/>
        <v/>
      </c>
      <c r="S525" s="76" t="str">
        <f t="shared" si="70"/>
        <v/>
      </c>
      <c r="T525" s="43"/>
      <c r="U525" s="107"/>
      <c r="V525" s="76" t="str">
        <f t="shared" si="71"/>
        <v/>
      </c>
      <c r="W525" s="43"/>
      <c r="X525" s="43"/>
      <c r="Y525" s="74"/>
    </row>
    <row r="526" ht="18" customHeight="1" spans="1:25">
      <c r="A526" s="74" t="str">
        <f t="shared" si="64"/>
        <v/>
      </c>
      <c r="B526" s="7"/>
      <c r="C526" s="43"/>
      <c r="D526" s="106"/>
      <c r="E526" s="43"/>
      <c r="F526" s="43"/>
      <c r="G526" s="43"/>
      <c r="H526" s="107"/>
      <c r="I526" s="107"/>
      <c r="J526" s="76" t="str">
        <f>IF($C526="","",ROUND(IFERROR(INDEX(期初余额!$I$4:$I$9,MATCH($C526,期初余额!$H$4:$H$9,0)),0)+SUMIFS($H$4:$H526,$C$4:$C526,$C526)-SUMIFS($I$4:$I526,$C$4:$C526,$C526),2))</f>
        <v/>
      </c>
      <c r="K526" s="111" t="str">
        <f>IF($T526&lt;&gt;"",$T526,IF($C526="","",IF(AND(N($I526)&gt;0,$G526&lt;&gt;""),IFERROR(INDEX(科目表!$U$4:$U$123,MATCH($G526,科目表!$M$4:$M$123,0)),"管理费用"),IF(N($H526)&gt;0,IFERROR(INDEX(自动规则!$C$4:$C$40,MATCH($F526,自动规则!$B$4:$B$40,0)),"其他应收款"),IFERROR(INDEX(自动规则!$D$4:$D$40,MATCH($F526,自动规则!$B$4:$B$40,0)),"其他应付款")))))</f>
        <v/>
      </c>
      <c r="L526" s="106"/>
      <c r="M526" s="75" t="str">
        <f>IF($C526="","",IFERROR(INDEX(科目表!$T$4:$T$9,MATCH($C526,科目表!$S$4:$S$9,0)),""))</f>
        <v/>
      </c>
      <c r="N526" s="75" t="str">
        <f t="shared" si="65"/>
        <v/>
      </c>
      <c r="O526" s="76" t="str">
        <f t="shared" si="66"/>
        <v/>
      </c>
      <c r="P526" s="76" t="str">
        <f t="shared" si="67"/>
        <v/>
      </c>
      <c r="Q526" s="75" t="str">
        <f t="shared" si="68"/>
        <v/>
      </c>
      <c r="R526" s="76" t="str">
        <f t="shared" si="69"/>
        <v/>
      </c>
      <c r="S526" s="76" t="str">
        <f t="shared" si="70"/>
        <v/>
      </c>
      <c r="T526" s="43"/>
      <c r="U526" s="107"/>
      <c r="V526" s="76" t="str">
        <f t="shared" si="71"/>
        <v/>
      </c>
      <c r="W526" s="43"/>
      <c r="X526" s="43"/>
      <c r="Y526" s="74"/>
    </row>
    <row r="527" ht="18" customHeight="1" spans="1:25">
      <c r="A527" s="74" t="str">
        <f t="shared" si="64"/>
        <v/>
      </c>
      <c r="B527" s="7"/>
      <c r="C527" s="43"/>
      <c r="D527" s="106"/>
      <c r="E527" s="43"/>
      <c r="F527" s="43"/>
      <c r="G527" s="43"/>
      <c r="H527" s="107"/>
      <c r="I527" s="107"/>
      <c r="J527" s="76" t="str">
        <f>IF($C527="","",ROUND(IFERROR(INDEX(期初余额!$I$4:$I$9,MATCH($C527,期初余额!$H$4:$H$9,0)),0)+SUMIFS($H$4:$H527,$C$4:$C527,$C527)-SUMIFS($I$4:$I527,$C$4:$C527,$C527),2))</f>
        <v/>
      </c>
      <c r="K527" s="111" t="str">
        <f>IF($T527&lt;&gt;"",$T527,IF($C527="","",IF(AND(N($I527)&gt;0,$G527&lt;&gt;""),IFERROR(INDEX(科目表!$U$4:$U$123,MATCH($G527,科目表!$M$4:$M$123,0)),"管理费用"),IF(N($H527)&gt;0,IFERROR(INDEX(自动规则!$C$4:$C$40,MATCH($F527,自动规则!$B$4:$B$40,0)),"其他应收款"),IFERROR(INDEX(自动规则!$D$4:$D$40,MATCH($F527,自动规则!$B$4:$B$40,0)),"其他应付款")))))</f>
        <v/>
      </c>
      <c r="L527" s="106"/>
      <c r="M527" s="75" t="str">
        <f>IF($C527="","",IFERROR(INDEX(科目表!$T$4:$T$9,MATCH($C527,科目表!$S$4:$S$9,0)),""))</f>
        <v/>
      </c>
      <c r="N527" s="75" t="str">
        <f t="shared" si="65"/>
        <v/>
      </c>
      <c r="O527" s="76" t="str">
        <f t="shared" si="66"/>
        <v/>
      </c>
      <c r="P527" s="76" t="str">
        <f t="shared" si="67"/>
        <v/>
      </c>
      <c r="Q527" s="75" t="str">
        <f t="shared" si="68"/>
        <v/>
      </c>
      <c r="R527" s="76" t="str">
        <f t="shared" si="69"/>
        <v/>
      </c>
      <c r="S527" s="76" t="str">
        <f t="shared" si="70"/>
        <v/>
      </c>
      <c r="T527" s="43"/>
      <c r="U527" s="107"/>
      <c r="V527" s="76" t="str">
        <f t="shared" si="71"/>
        <v/>
      </c>
      <c r="W527" s="43"/>
      <c r="X527" s="43"/>
      <c r="Y527" s="74"/>
    </row>
    <row r="528" ht="18" customHeight="1" spans="1:25">
      <c r="A528" s="74" t="str">
        <f t="shared" si="64"/>
        <v/>
      </c>
      <c r="B528" s="7"/>
      <c r="C528" s="43"/>
      <c r="D528" s="106"/>
      <c r="E528" s="43"/>
      <c r="F528" s="43"/>
      <c r="G528" s="43"/>
      <c r="H528" s="107"/>
      <c r="I528" s="107"/>
      <c r="J528" s="76" t="str">
        <f>IF($C528="","",ROUND(IFERROR(INDEX(期初余额!$I$4:$I$9,MATCH($C528,期初余额!$H$4:$H$9,0)),0)+SUMIFS($H$4:$H528,$C$4:$C528,$C528)-SUMIFS($I$4:$I528,$C$4:$C528,$C528),2))</f>
        <v/>
      </c>
      <c r="K528" s="111" t="str">
        <f>IF($T528&lt;&gt;"",$T528,IF($C528="","",IF(AND(N($I528)&gt;0,$G528&lt;&gt;""),IFERROR(INDEX(科目表!$U$4:$U$123,MATCH($G528,科目表!$M$4:$M$123,0)),"管理费用"),IF(N($H528)&gt;0,IFERROR(INDEX(自动规则!$C$4:$C$40,MATCH($F528,自动规则!$B$4:$B$40,0)),"其他应收款"),IFERROR(INDEX(自动规则!$D$4:$D$40,MATCH($F528,自动规则!$B$4:$B$40,0)),"其他应付款")))))</f>
        <v/>
      </c>
      <c r="L528" s="106"/>
      <c r="M528" s="75" t="str">
        <f>IF($C528="","",IFERROR(INDEX(科目表!$T$4:$T$9,MATCH($C528,科目表!$S$4:$S$9,0)),""))</f>
        <v/>
      </c>
      <c r="N528" s="75" t="str">
        <f t="shared" si="65"/>
        <v/>
      </c>
      <c r="O528" s="76" t="str">
        <f t="shared" si="66"/>
        <v/>
      </c>
      <c r="P528" s="76" t="str">
        <f t="shared" si="67"/>
        <v/>
      </c>
      <c r="Q528" s="75" t="str">
        <f t="shared" si="68"/>
        <v/>
      </c>
      <c r="R528" s="76" t="str">
        <f t="shared" si="69"/>
        <v/>
      </c>
      <c r="S528" s="76" t="str">
        <f t="shared" si="70"/>
        <v/>
      </c>
      <c r="T528" s="43"/>
      <c r="U528" s="107"/>
      <c r="V528" s="76" t="str">
        <f t="shared" si="71"/>
        <v/>
      </c>
      <c r="W528" s="43"/>
      <c r="X528" s="43"/>
      <c r="Y528" s="74"/>
    </row>
    <row r="529" ht="18" customHeight="1" spans="1:25">
      <c r="A529" s="74" t="str">
        <f t="shared" si="64"/>
        <v/>
      </c>
      <c r="B529" s="7"/>
      <c r="C529" s="43"/>
      <c r="D529" s="106"/>
      <c r="E529" s="43"/>
      <c r="F529" s="43"/>
      <c r="G529" s="43"/>
      <c r="H529" s="107"/>
      <c r="I529" s="107"/>
      <c r="J529" s="76" t="str">
        <f>IF($C529="","",ROUND(IFERROR(INDEX(期初余额!$I$4:$I$9,MATCH($C529,期初余额!$H$4:$H$9,0)),0)+SUMIFS($H$4:$H529,$C$4:$C529,$C529)-SUMIFS($I$4:$I529,$C$4:$C529,$C529),2))</f>
        <v/>
      </c>
      <c r="K529" s="111" t="str">
        <f>IF($T529&lt;&gt;"",$T529,IF($C529="","",IF(AND(N($I529)&gt;0,$G529&lt;&gt;""),IFERROR(INDEX(科目表!$U$4:$U$123,MATCH($G529,科目表!$M$4:$M$123,0)),"管理费用"),IF(N($H529)&gt;0,IFERROR(INDEX(自动规则!$C$4:$C$40,MATCH($F529,自动规则!$B$4:$B$40,0)),"其他应收款"),IFERROR(INDEX(自动规则!$D$4:$D$40,MATCH($F529,自动规则!$B$4:$B$40,0)),"其他应付款")))))</f>
        <v/>
      </c>
      <c r="L529" s="106"/>
      <c r="M529" s="75" t="str">
        <f>IF($C529="","",IFERROR(INDEX(科目表!$T$4:$T$9,MATCH($C529,科目表!$S$4:$S$9,0)),""))</f>
        <v/>
      </c>
      <c r="N529" s="75" t="str">
        <f t="shared" si="65"/>
        <v/>
      </c>
      <c r="O529" s="76" t="str">
        <f t="shared" si="66"/>
        <v/>
      </c>
      <c r="P529" s="76" t="str">
        <f t="shared" si="67"/>
        <v/>
      </c>
      <c r="Q529" s="75" t="str">
        <f t="shared" si="68"/>
        <v/>
      </c>
      <c r="R529" s="76" t="str">
        <f t="shared" si="69"/>
        <v/>
      </c>
      <c r="S529" s="76" t="str">
        <f t="shared" si="70"/>
        <v/>
      </c>
      <c r="T529" s="43"/>
      <c r="U529" s="107"/>
      <c r="V529" s="76" t="str">
        <f t="shared" si="71"/>
        <v/>
      </c>
      <c r="W529" s="43"/>
      <c r="X529" s="43"/>
      <c r="Y529" s="74"/>
    </row>
    <row r="530" ht="18" customHeight="1" spans="1:25">
      <c r="A530" s="74" t="str">
        <f t="shared" si="64"/>
        <v/>
      </c>
      <c r="B530" s="7"/>
      <c r="C530" s="43"/>
      <c r="D530" s="106"/>
      <c r="E530" s="43"/>
      <c r="F530" s="43"/>
      <c r="G530" s="43"/>
      <c r="H530" s="107"/>
      <c r="I530" s="107"/>
      <c r="J530" s="76" t="str">
        <f>IF($C530="","",ROUND(IFERROR(INDEX(期初余额!$I$4:$I$9,MATCH($C530,期初余额!$H$4:$H$9,0)),0)+SUMIFS($H$4:$H530,$C$4:$C530,$C530)-SUMIFS($I$4:$I530,$C$4:$C530,$C530),2))</f>
        <v/>
      </c>
      <c r="K530" s="111" t="str">
        <f>IF($T530&lt;&gt;"",$T530,IF($C530="","",IF(AND(N($I530)&gt;0,$G530&lt;&gt;""),IFERROR(INDEX(科目表!$U$4:$U$123,MATCH($G530,科目表!$M$4:$M$123,0)),"管理费用"),IF(N($H530)&gt;0,IFERROR(INDEX(自动规则!$C$4:$C$40,MATCH($F530,自动规则!$B$4:$B$40,0)),"其他应收款"),IFERROR(INDEX(自动规则!$D$4:$D$40,MATCH($F530,自动规则!$B$4:$B$40,0)),"其他应付款")))))</f>
        <v/>
      </c>
      <c r="L530" s="106"/>
      <c r="M530" s="75" t="str">
        <f>IF($C530="","",IFERROR(INDEX(科目表!$T$4:$T$9,MATCH($C530,科目表!$S$4:$S$9,0)),""))</f>
        <v/>
      </c>
      <c r="N530" s="75" t="str">
        <f t="shared" si="65"/>
        <v/>
      </c>
      <c r="O530" s="76" t="str">
        <f t="shared" si="66"/>
        <v/>
      </c>
      <c r="P530" s="76" t="str">
        <f t="shared" si="67"/>
        <v/>
      </c>
      <c r="Q530" s="75" t="str">
        <f t="shared" si="68"/>
        <v/>
      </c>
      <c r="R530" s="76" t="str">
        <f t="shared" si="69"/>
        <v/>
      </c>
      <c r="S530" s="76" t="str">
        <f t="shared" si="70"/>
        <v/>
      </c>
      <c r="T530" s="43"/>
      <c r="U530" s="107"/>
      <c r="V530" s="76" t="str">
        <f t="shared" si="71"/>
        <v/>
      </c>
      <c r="W530" s="43"/>
      <c r="X530" s="43"/>
      <c r="Y530" s="74"/>
    </row>
    <row r="531" ht="18" customHeight="1" spans="1:25">
      <c r="A531" s="74" t="str">
        <f t="shared" si="64"/>
        <v/>
      </c>
      <c r="B531" s="7"/>
      <c r="C531" s="43"/>
      <c r="D531" s="106"/>
      <c r="E531" s="43"/>
      <c r="F531" s="43"/>
      <c r="G531" s="43"/>
      <c r="H531" s="107"/>
      <c r="I531" s="107"/>
      <c r="J531" s="76" t="str">
        <f>IF($C531="","",ROUND(IFERROR(INDEX(期初余额!$I$4:$I$9,MATCH($C531,期初余额!$H$4:$H$9,0)),0)+SUMIFS($H$4:$H531,$C$4:$C531,$C531)-SUMIFS($I$4:$I531,$C$4:$C531,$C531),2))</f>
        <v/>
      </c>
      <c r="K531" s="111" t="str">
        <f>IF($T531&lt;&gt;"",$T531,IF($C531="","",IF(AND(N($I531)&gt;0,$G531&lt;&gt;""),IFERROR(INDEX(科目表!$U$4:$U$123,MATCH($G531,科目表!$M$4:$M$123,0)),"管理费用"),IF(N($H531)&gt;0,IFERROR(INDEX(自动规则!$C$4:$C$40,MATCH($F531,自动规则!$B$4:$B$40,0)),"其他应收款"),IFERROR(INDEX(自动规则!$D$4:$D$40,MATCH($F531,自动规则!$B$4:$B$40,0)),"其他应付款")))))</f>
        <v/>
      </c>
      <c r="L531" s="106"/>
      <c r="M531" s="75" t="str">
        <f>IF($C531="","",IFERROR(INDEX(科目表!$T$4:$T$9,MATCH($C531,科目表!$S$4:$S$9,0)),""))</f>
        <v/>
      </c>
      <c r="N531" s="75" t="str">
        <f t="shared" si="65"/>
        <v/>
      </c>
      <c r="O531" s="76" t="str">
        <f t="shared" si="66"/>
        <v/>
      </c>
      <c r="P531" s="76" t="str">
        <f t="shared" si="67"/>
        <v/>
      </c>
      <c r="Q531" s="75" t="str">
        <f t="shared" si="68"/>
        <v/>
      </c>
      <c r="R531" s="76" t="str">
        <f t="shared" si="69"/>
        <v/>
      </c>
      <c r="S531" s="76" t="str">
        <f t="shared" si="70"/>
        <v/>
      </c>
      <c r="T531" s="43"/>
      <c r="U531" s="107"/>
      <c r="V531" s="76" t="str">
        <f t="shared" si="71"/>
        <v/>
      </c>
      <c r="W531" s="43"/>
      <c r="X531" s="43"/>
      <c r="Y531" s="74"/>
    </row>
    <row r="532" ht="18" customHeight="1" spans="1:25">
      <c r="A532" s="74" t="str">
        <f t="shared" si="64"/>
        <v/>
      </c>
      <c r="B532" s="7"/>
      <c r="C532" s="43"/>
      <c r="D532" s="106"/>
      <c r="E532" s="43"/>
      <c r="F532" s="43"/>
      <c r="G532" s="43"/>
      <c r="H532" s="107"/>
      <c r="I532" s="107"/>
      <c r="J532" s="76" t="str">
        <f>IF($C532="","",ROUND(IFERROR(INDEX(期初余额!$I$4:$I$9,MATCH($C532,期初余额!$H$4:$H$9,0)),0)+SUMIFS($H$4:$H532,$C$4:$C532,$C532)-SUMIFS($I$4:$I532,$C$4:$C532,$C532),2))</f>
        <v/>
      </c>
      <c r="K532" s="111" t="str">
        <f>IF($T532&lt;&gt;"",$T532,IF($C532="","",IF(AND(N($I532)&gt;0,$G532&lt;&gt;""),IFERROR(INDEX(科目表!$U$4:$U$123,MATCH($G532,科目表!$M$4:$M$123,0)),"管理费用"),IF(N($H532)&gt;0,IFERROR(INDEX(自动规则!$C$4:$C$40,MATCH($F532,自动规则!$B$4:$B$40,0)),"其他应收款"),IFERROR(INDEX(自动规则!$D$4:$D$40,MATCH($F532,自动规则!$B$4:$B$40,0)),"其他应付款")))))</f>
        <v/>
      </c>
      <c r="L532" s="106"/>
      <c r="M532" s="75" t="str">
        <f>IF($C532="","",IFERROR(INDEX(科目表!$T$4:$T$9,MATCH($C532,科目表!$S$4:$S$9,0)),""))</f>
        <v/>
      </c>
      <c r="N532" s="75" t="str">
        <f t="shared" si="65"/>
        <v/>
      </c>
      <c r="O532" s="76" t="str">
        <f t="shared" si="66"/>
        <v/>
      </c>
      <c r="P532" s="76" t="str">
        <f t="shared" si="67"/>
        <v/>
      </c>
      <c r="Q532" s="75" t="str">
        <f t="shared" si="68"/>
        <v/>
      </c>
      <c r="R532" s="76" t="str">
        <f t="shared" si="69"/>
        <v/>
      </c>
      <c r="S532" s="76" t="str">
        <f t="shared" si="70"/>
        <v/>
      </c>
      <c r="T532" s="43"/>
      <c r="U532" s="107"/>
      <c r="V532" s="76" t="str">
        <f t="shared" si="71"/>
        <v/>
      </c>
      <c r="W532" s="43"/>
      <c r="X532" s="43"/>
      <c r="Y532" s="74"/>
    </row>
    <row r="533" ht="18" customHeight="1" spans="1:25">
      <c r="A533" s="74" t="str">
        <f t="shared" si="64"/>
        <v/>
      </c>
      <c r="B533" s="7"/>
      <c r="C533" s="43"/>
      <c r="D533" s="106"/>
      <c r="E533" s="43"/>
      <c r="F533" s="43"/>
      <c r="G533" s="43"/>
      <c r="H533" s="107"/>
      <c r="I533" s="107"/>
      <c r="J533" s="76" t="str">
        <f>IF($C533="","",ROUND(IFERROR(INDEX(期初余额!$I$4:$I$9,MATCH($C533,期初余额!$H$4:$H$9,0)),0)+SUMIFS($H$4:$H533,$C$4:$C533,$C533)-SUMIFS($I$4:$I533,$C$4:$C533,$C533),2))</f>
        <v/>
      </c>
      <c r="K533" s="111" t="str">
        <f>IF($T533&lt;&gt;"",$T533,IF($C533="","",IF(AND(N($I533)&gt;0,$G533&lt;&gt;""),IFERROR(INDEX(科目表!$U$4:$U$123,MATCH($G533,科目表!$M$4:$M$123,0)),"管理费用"),IF(N($H533)&gt;0,IFERROR(INDEX(自动规则!$C$4:$C$40,MATCH($F533,自动规则!$B$4:$B$40,0)),"其他应收款"),IFERROR(INDEX(自动规则!$D$4:$D$40,MATCH($F533,自动规则!$B$4:$B$40,0)),"其他应付款")))))</f>
        <v/>
      </c>
      <c r="L533" s="106"/>
      <c r="M533" s="75" t="str">
        <f>IF($C533="","",IFERROR(INDEX(科目表!$T$4:$T$9,MATCH($C533,科目表!$S$4:$S$9,0)),""))</f>
        <v/>
      </c>
      <c r="N533" s="75" t="str">
        <f t="shared" si="65"/>
        <v/>
      </c>
      <c r="O533" s="76" t="str">
        <f t="shared" si="66"/>
        <v/>
      </c>
      <c r="P533" s="76" t="str">
        <f t="shared" si="67"/>
        <v/>
      </c>
      <c r="Q533" s="75" t="str">
        <f t="shared" si="68"/>
        <v/>
      </c>
      <c r="R533" s="76" t="str">
        <f t="shared" si="69"/>
        <v/>
      </c>
      <c r="S533" s="76" t="str">
        <f t="shared" si="70"/>
        <v/>
      </c>
      <c r="T533" s="43"/>
      <c r="U533" s="107"/>
      <c r="V533" s="76" t="str">
        <f t="shared" si="71"/>
        <v/>
      </c>
      <c r="W533" s="43"/>
      <c r="X533" s="43"/>
      <c r="Y533" s="74"/>
    </row>
    <row r="534" ht="18" customHeight="1" spans="1:25">
      <c r="A534" s="74" t="str">
        <f t="shared" si="64"/>
        <v/>
      </c>
      <c r="B534" s="7"/>
      <c r="C534" s="43"/>
      <c r="D534" s="106"/>
      <c r="E534" s="43"/>
      <c r="F534" s="43"/>
      <c r="G534" s="43"/>
      <c r="H534" s="107"/>
      <c r="I534" s="107"/>
      <c r="J534" s="76" t="str">
        <f>IF($C534="","",ROUND(IFERROR(INDEX(期初余额!$I$4:$I$9,MATCH($C534,期初余额!$H$4:$H$9,0)),0)+SUMIFS($H$4:$H534,$C$4:$C534,$C534)-SUMIFS($I$4:$I534,$C$4:$C534,$C534),2))</f>
        <v/>
      </c>
      <c r="K534" s="111" t="str">
        <f>IF($T534&lt;&gt;"",$T534,IF($C534="","",IF(AND(N($I534)&gt;0,$G534&lt;&gt;""),IFERROR(INDEX(科目表!$U$4:$U$123,MATCH($G534,科目表!$M$4:$M$123,0)),"管理费用"),IF(N($H534)&gt;0,IFERROR(INDEX(自动规则!$C$4:$C$40,MATCH($F534,自动规则!$B$4:$B$40,0)),"其他应收款"),IFERROR(INDEX(自动规则!$D$4:$D$40,MATCH($F534,自动规则!$B$4:$B$40,0)),"其他应付款")))))</f>
        <v/>
      </c>
      <c r="L534" s="106"/>
      <c r="M534" s="75" t="str">
        <f>IF($C534="","",IFERROR(INDEX(科目表!$T$4:$T$9,MATCH($C534,科目表!$S$4:$S$9,0)),""))</f>
        <v/>
      </c>
      <c r="N534" s="75" t="str">
        <f t="shared" si="65"/>
        <v/>
      </c>
      <c r="O534" s="76" t="str">
        <f t="shared" si="66"/>
        <v/>
      </c>
      <c r="P534" s="76" t="str">
        <f t="shared" si="67"/>
        <v/>
      </c>
      <c r="Q534" s="75" t="str">
        <f t="shared" si="68"/>
        <v/>
      </c>
      <c r="R534" s="76" t="str">
        <f t="shared" si="69"/>
        <v/>
      </c>
      <c r="S534" s="76" t="str">
        <f t="shared" si="70"/>
        <v/>
      </c>
      <c r="T534" s="43"/>
      <c r="U534" s="107"/>
      <c r="V534" s="76" t="str">
        <f t="shared" si="71"/>
        <v/>
      </c>
      <c r="W534" s="43"/>
      <c r="X534" s="43"/>
      <c r="Y534" s="74"/>
    </row>
    <row r="535" ht="18" customHeight="1" spans="1:25">
      <c r="A535" s="74" t="str">
        <f t="shared" si="64"/>
        <v/>
      </c>
      <c r="B535" s="7"/>
      <c r="C535" s="43"/>
      <c r="D535" s="106"/>
      <c r="E535" s="43"/>
      <c r="F535" s="43"/>
      <c r="G535" s="43"/>
      <c r="H535" s="107"/>
      <c r="I535" s="107"/>
      <c r="J535" s="76" t="str">
        <f>IF($C535="","",ROUND(IFERROR(INDEX(期初余额!$I$4:$I$9,MATCH($C535,期初余额!$H$4:$H$9,0)),0)+SUMIFS($H$4:$H535,$C$4:$C535,$C535)-SUMIFS($I$4:$I535,$C$4:$C535,$C535),2))</f>
        <v/>
      </c>
      <c r="K535" s="111" t="str">
        <f>IF($T535&lt;&gt;"",$T535,IF($C535="","",IF(AND(N($I535)&gt;0,$G535&lt;&gt;""),IFERROR(INDEX(科目表!$U$4:$U$123,MATCH($G535,科目表!$M$4:$M$123,0)),"管理费用"),IF(N($H535)&gt;0,IFERROR(INDEX(自动规则!$C$4:$C$40,MATCH($F535,自动规则!$B$4:$B$40,0)),"其他应收款"),IFERROR(INDEX(自动规则!$D$4:$D$40,MATCH($F535,自动规则!$B$4:$B$40,0)),"其他应付款")))))</f>
        <v/>
      </c>
      <c r="L535" s="106"/>
      <c r="M535" s="75" t="str">
        <f>IF($C535="","",IFERROR(INDEX(科目表!$T$4:$T$9,MATCH($C535,科目表!$S$4:$S$9,0)),""))</f>
        <v/>
      </c>
      <c r="N535" s="75" t="str">
        <f t="shared" si="65"/>
        <v/>
      </c>
      <c r="O535" s="76" t="str">
        <f t="shared" si="66"/>
        <v/>
      </c>
      <c r="P535" s="76" t="str">
        <f t="shared" si="67"/>
        <v/>
      </c>
      <c r="Q535" s="75" t="str">
        <f t="shared" si="68"/>
        <v/>
      </c>
      <c r="R535" s="76" t="str">
        <f t="shared" si="69"/>
        <v/>
      </c>
      <c r="S535" s="76" t="str">
        <f t="shared" si="70"/>
        <v/>
      </c>
      <c r="T535" s="43"/>
      <c r="U535" s="107"/>
      <c r="V535" s="76" t="str">
        <f t="shared" si="71"/>
        <v/>
      </c>
      <c r="W535" s="43"/>
      <c r="X535" s="43"/>
      <c r="Y535" s="74"/>
    </row>
    <row r="536" ht="18" customHeight="1" spans="1:25">
      <c r="A536" s="74" t="str">
        <f t="shared" si="64"/>
        <v/>
      </c>
      <c r="B536" s="7"/>
      <c r="C536" s="43"/>
      <c r="D536" s="106"/>
      <c r="E536" s="43"/>
      <c r="F536" s="43"/>
      <c r="G536" s="43"/>
      <c r="H536" s="107"/>
      <c r="I536" s="107"/>
      <c r="J536" s="76" t="str">
        <f>IF($C536="","",ROUND(IFERROR(INDEX(期初余额!$I$4:$I$9,MATCH($C536,期初余额!$H$4:$H$9,0)),0)+SUMIFS($H$4:$H536,$C$4:$C536,$C536)-SUMIFS($I$4:$I536,$C$4:$C536,$C536),2))</f>
        <v/>
      </c>
      <c r="K536" s="111" t="str">
        <f>IF($T536&lt;&gt;"",$T536,IF($C536="","",IF(AND(N($I536)&gt;0,$G536&lt;&gt;""),IFERROR(INDEX(科目表!$U$4:$U$123,MATCH($G536,科目表!$M$4:$M$123,0)),"管理费用"),IF(N($H536)&gt;0,IFERROR(INDEX(自动规则!$C$4:$C$40,MATCH($F536,自动规则!$B$4:$B$40,0)),"其他应收款"),IFERROR(INDEX(自动规则!$D$4:$D$40,MATCH($F536,自动规则!$B$4:$B$40,0)),"其他应付款")))))</f>
        <v/>
      </c>
      <c r="L536" s="106"/>
      <c r="M536" s="75" t="str">
        <f>IF($C536="","",IFERROR(INDEX(科目表!$T$4:$T$9,MATCH($C536,科目表!$S$4:$S$9,0)),""))</f>
        <v/>
      </c>
      <c r="N536" s="75" t="str">
        <f t="shared" si="65"/>
        <v/>
      </c>
      <c r="O536" s="76" t="str">
        <f t="shared" si="66"/>
        <v/>
      </c>
      <c r="P536" s="76" t="str">
        <f t="shared" si="67"/>
        <v/>
      </c>
      <c r="Q536" s="75" t="str">
        <f t="shared" si="68"/>
        <v/>
      </c>
      <c r="R536" s="76" t="str">
        <f t="shared" si="69"/>
        <v/>
      </c>
      <c r="S536" s="76" t="str">
        <f t="shared" si="70"/>
        <v/>
      </c>
      <c r="T536" s="43"/>
      <c r="U536" s="107"/>
      <c r="V536" s="76" t="str">
        <f t="shared" si="71"/>
        <v/>
      </c>
      <c r="W536" s="43"/>
      <c r="X536" s="43"/>
      <c r="Y536" s="74"/>
    </row>
    <row r="537" ht="18" customHeight="1" spans="1:25">
      <c r="A537" s="74" t="str">
        <f t="shared" si="64"/>
        <v/>
      </c>
      <c r="B537" s="7"/>
      <c r="C537" s="43"/>
      <c r="D537" s="106"/>
      <c r="E537" s="43"/>
      <c r="F537" s="43"/>
      <c r="G537" s="43"/>
      <c r="H537" s="107"/>
      <c r="I537" s="107"/>
      <c r="J537" s="76" t="str">
        <f>IF($C537="","",ROUND(IFERROR(INDEX(期初余额!$I$4:$I$9,MATCH($C537,期初余额!$H$4:$H$9,0)),0)+SUMIFS($H$4:$H537,$C$4:$C537,$C537)-SUMIFS($I$4:$I537,$C$4:$C537,$C537),2))</f>
        <v/>
      </c>
      <c r="K537" s="111" t="str">
        <f>IF($T537&lt;&gt;"",$T537,IF($C537="","",IF(AND(N($I537)&gt;0,$G537&lt;&gt;""),IFERROR(INDEX(科目表!$U$4:$U$123,MATCH($G537,科目表!$M$4:$M$123,0)),"管理费用"),IF(N($H537)&gt;0,IFERROR(INDEX(自动规则!$C$4:$C$40,MATCH($F537,自动规则!$B$4:$B$40,0)),"其他应收款"),IFERROR(INDEX(自动规则!$D$4:$D$40,MATCH($F537,自动规则!$B$4:$B$40,0)),"其他应付款")))))</f>
        <v/>
      </c>
      <c r="L537" s="106"/>
      <c r="M537" s="75" t="str">
        <f>IF($C537="","",IFERROR(INDEX(科目表!$T$4:$T$9,MATCH($C537,科目表!$S$4:$S$9,0)),""))</f>
        <v/>
      </c>
      <c r="N537" s="75" t="str">
        <f t="shared" si="65"/>
        <v/>
      </c>
      <c r="O537" s="76" t="str">
        <f t="shared" si="66"/>
        <v/>
      </c>
      <c r="P537" s="76" t="str">
        <f t="shared" si="67"/>
        <v/>
      </c>
      <c r="Q537" s="75" t="str">
        <f t="shared" si="68"/>
        <v/>
      </c>
      <c r="R537" s="76" t="str">
        <f t="shared" si="69"/>
        <v/>
      </c>
      <c r="S537" s="76" t="str">
        <f t="shared" si="70"/>
        <v/>
      </c>
      <c r="T537" s="43"/>
      <c r="U537" s="107"/>
      <c r="V537" s="76" t="str">
        <f t="shared" si="71"/>
        <v/>
      </c>
      <c r="W537" s="43"/>
      <c r="X537" s="43"/>
      <c r="Y537" s="74"/>
    </row>
    <row r="538" ht="18" customHeight="1" spans="1:25">
      <c r="A538" s="74" t="str">
        <f t="shared" si="64"/>
        <v/>
      </c>
      <c r="B538" s="7"/>
      <c r="C538" s="43"/>
      <c r="D538" s="106"/>
      <c r="E538" s="43"/>
      <c r="F538" s="43"/>
      <c r="G538" s="43"/>
      <c r="H538" s="107"/>
      <c r="I538" s="107"/>
      <c r="J538" s="76" t="str">
        <f>IF($C538="","",ROUND(IFERROR(INDEX(期初余额!$I$4:$I$9,MATCH($C538,期初余额!$H$4:$H$9,0)),0)+SUMIFS($H$4:$H538,$C$4:$C538,$C538)-SUMIFS($I$4:$I538,$C$4:$C538,$C538),2))</f>
        <v/>
      </c>
      <c r="K538" s="111" t="str">
        <f>IF($T538&lt;&gt;"",$T538,IF($C538="","",IF(AND(N($I538)&gt;0,$G538&lt;&gt;""),IFERROR(INDEX(科目表!$U$4:$U$123,MATCH($G538,科目表!$M$4:$M$123,0)),"管理费用"),IF(N($H538)&gt;0,IFERROR(INDEX(自动规则!$C$4:$C$40,MATCH($F538,自动规则!$B$4:$B$40,0)),"其他应收款"),IFERROR(INDEX(自动规则!$D$4:$D$40,MATCH($F538,自动规则!$B$4:$B$40,0)),"其他应付款")))))</f>
        <v/>
      </c>
      <c r="L538" s="106"/>
      <c r="M538" s="75" t="str">
        <f>IF($C538="","",IFERROR(INDEX(科目表!$T$4:$T$9,MATCH($C538,科目表!$S$4:$S$9,0)),""))</f>
        <v/>
      </c>
      <c r="N538" s="75" t="str">
        <f t="shared" si="65"/>
        <v/>
      </c>
      <c r="O538" s="76" t="str">
        <f t="shared" si="66"/>
        <v/>
      </c>
      <c r="P538" s="76" t="str">
        <f t="shared" si="67"/>
        <v/>
      </c>
      <c r="Q538" s="75" t="str">
        <f t="shared" si="68"/>
        <v/>
      </c>
      <c r="R538" s="76" t="str">
        <f t="shared" si="69"/>
        <v/>
      </c>
      <c r="S538" s="76" t="str">
        <f t="shared" si="70"/>
        <v/>
      </c>
      <c r="T538" s="43"/>
      <c r="U538" s="107"/>
      <c r="V538" s="76" t="str">
        <f t="shared" si="71"/>
        <v/>
      </c>
      <c r="W538" s="43"/>
      <c r="X538" s="43"/>
      <c r="Y538" s="74"/>
    </row>
    <row r="539" ht="18" customHeight="1" spans="1:25">
      <c r="A539" s="74" t="str">
        <f t="shared" si="64"/>
        <v/>
      </c>
      <c r="B539" s="7"/>
      <c r="C539" s="43"/>
      <c r="D539" s="106"/>
      <c r="E539" s="43"/>
      <c r="F539" s="43"/>
      <c r="G539" s="43"/>
      <c r="H539" s="107"/>
      <c r="I539" s="107"/>
      <c r="J539" s="76" t="str">
        <f>IF($C539="","",ROUND(IFERROR(INDEX(期初余额!$I$4:$I$9,MATCH($C539,期初余额!$H$4:$H$9,0)),0)+SUMIFS($H$4:$H539,$C$4:$C539,$C539)-SUMIFS($I$4:$I539,$C$4:$C539,$C539),2))</f>
        <v/>
      </c>
      <c r="K539" s="111" t="str">
        <f>IF($T539&lt;&gt;"",$T539,IF($C539="","",IF(AND(N($I539)&gt;0,$G539&lt;&gt;""),IFERROR(INDEX(科目表!$U$4:$U$123,MATCH($G539,科目表!$M$4:$M$123,0)),"管理费用"),IF(N($H539)&gt;0,IFERROR(INDEX(自动规则!$C$4:$C$40,MATCH($F539,自动规则!$B$4:$B$40,0)),"其他应收款"),IFERROR(INDEX(自动规则!$D$4:$D$40,MATCH($F539,自动规则!$B$4:$B$40,0)),"其他应付款")))))</f>
        <v/>
      </c>
      <c r="L539" s="106"/>
      <c r="M539" s="75" t="str">
        <f>IF($C539="","",IFERROR(INDEX(科目表!$T$4:$T$9,MATCH($C539,科目表!$S$4:$S$9,0)),""))</f>
        <v/>
      </c>
      <c r="N539" s="75" t="str">
        <f t="shared" si="65"/>
        <v/>
      </c>
      <c r="O539" s="76" t="str">
        <f t="shared" si="66"/>
        <v/>
      </c>
      <c r="P539" s="76" t="str">
        <f t="shared" si="67"/>
        <v/>
      </c>
      <c r="Q539" s="75" t="str">
        <f t="shared" si="68"/>
        <v/>
      </c>
      <c r="R539" s="76" t="str">
        <f t="shared" si="69"/>
        <v/>
      </c>
      <c r="S539" s="76" t="str">
        <f t="shared" si="70"/>
        <v/>
      </c>
      <c r="T539" s="43"/>
      <c r="U539" s="107"/>
      <c r="V539" s="76" t="str">
        <f t="shared" si="71"/>
        <v/>
      </c>
      <c r="W539" s="43"/>
      <c r="X539" s="43"/>
      <c r="Y539" s="74"/>
    </row>
    <row r="540" ht="18" customHeight="1" spans="1:25">
      <c r="A540" s="74" t="str">
        <f t="shared" si="64"/>
        <v/>
      </c>
      <c r="B540" s="7"/>
      <c r="C540" s="43"/>
      <c r="D540" s="106"/>
      <c r="E540" s="43"/>
      <c r="F540" s="43"/>
      <c r="G540" s="43"/>
      <c r="H540" s="107"/>
      <c r="I540" s="107"/>
      <c r="J540" s="76" t="str">
        <f>IF($C540="","",ROUND(IFERROR(INDEX(期初余额!$I$4:$I$9,MATCH($C540,期初余额!$H$4:$H$9,0)),0)+SUMIFS($H$4:$H540,$C$4:$C540,$C540)-SUMIFS($I$4:$I540,$C$4:$C540,$C540),2))</f>
        <v/>
      </c>
      <c r="K540" s="111" t="str">
        <f>IF($T540&lt;&gt;"",$T540,IF($C540="","",IF(AND(N($I540)&gt;0,$G540&lt;&gt;""),IFERROR(INDEX(科目表!$U$4:$U$123,MATCH($G540,科目表!$M$4:$M$123,0)),"管理费用"),IF(N($H540)&gt;0,IFERROR(INDEX(自动规则!$C$4:$C$40,MATCH($F540,自动规则!$B$4:$B$40,0)),"其他应收款"),IFERROR(INDEX(自动规则!$D$4:$D$40,MATCH($F540,自动规则!$B$4:$B$40,0)),"其他应付款")))))</f>
        <v/>
      </c>
      <c r="L540" s="106"/>
      <c r="M540" s="75" t="str">
        <f>IF($C540="","",IFERROR(INDEX(科目表!$T$4:$T$9,MATCH($C540,科目表!$S$4:$S$9,0)),""))</f>
        <v/>
      </c>
      <c r="N540" s="75" t="str">
        <f t="shared" si="65"/>
        <v/>
      </c>
      <c r="O540" s="76" t="str">
        <f t="shared" si="66"/>
        <v/>
      </c>
      <c r="P540" s="76" t="str">
        <f t="shared" si="67"/>
        <v/>
      </c>
      <c r="Q540" s="75" t="str">
        <f t="shared" si="68"/>
        <v/>
      </c>
      <c r="R540" s="76" t="str">
        <f t="shared" si="69"/>
        <v/>
      </c>
      <c r="S540" s="76" t="str">
        <f t="shared" si="70"/>
        <v/>
      </c>
      <c r="T540" s="43"/>
      <c r="U540" s="107"/>
      <c r="V540" s="76" t="str">
        <f t="shared" si="71"/>
        <v/>
      </c>
      <c r="W540" s="43"/>
      <c r="X540" s="43"/>
      <c r="Y540" s="74"/>
    </row>
    <row r="541" ht="18" customHeight="1" spans="1:25">
      <c r="A541" s="74" t="str">
        <f t="shared" si="64"/>
        <v/>
      </c>
      <c r="B541" s="7"/>
      <c r="C541" s="43"/>
      <c r="D541" s="106"/>
      <c r="E541" s="43"/>
      <c r="F541" s="43"/>
      <c r="G541" s="43"/>
      <c r="H541" s="107"/>
      <c r="I541" s="107"/>
      <c r="J541" s="76" t="str">
        <f>IF($C541="","",ROUND(IFERROR(INDEX(期初余额!$I$4:$I$9,MATCH($C541,期初余额!$H$4:$H$9,0)),0)+SUMIFS($H$4:$H541,$C$4:$C541,$C541)-SUMIFS($I$4:$I541,$C$4:$C541,$C541),2))</f>
        <v/>
      </c>
      <c r="K541" s="111" t="str">
        <f>IF($T541&lt;&gt;"",$T541,IF($C541="","",IF(AND(N($I541)&gt;0,$G541&lt;&gt;""),IFERROR(INDEX(科目表!$U$4:$U$123,MATCH($G541,科目表!$M$4:$M$123,0)),"管理费用"),IF(N($H541)&gt;0,IFERROR(INDEX(自动规则!$C$4:$C$40,MATCH($F541,自动规则!$B$4:$B$40,0)),"其他应收款"),IFERROR(INDEX(自动规则!$D$4:$D$40,MATCH($F541,自动规则!$B$4:$B$40,0)),"其他应付款")))))</f>
        <v/>
      </c>
      <c r="L541" s="106"/>
      <c r="M541" s="75" t="str">
        <f>IF($C541="","",IFERROR(INDEX(科目表!$T$4:$T$9,MATCH($C541,科目表!$S$4:$S$9,0)),""))</f>
        <v/>
      </c>
      <c r="N541" s="75" t="str">
        <f t="shared" si="65"/>
        <v/>
      </c>
      <c r="O541" s="76" t="str">
        <f t="shared" si="66"/>
        <v/>
      </c>
      <c r="P541" s="76" t="str">
        <f t="shared" si="67"/>
        <v/>
      </c>
      <c r="Q541" s="75" t="str">
        <f t="shared" si="68"/>
        <v/>
      </c>
      <c r="R541" s="76" t="str">
        <f t="shared" si="69"/>
        <v/>
      </c>
      <c r="S541" s="76" t="str">
        <f t="shared" si="70"/>
        <v/>
      </c>
      <c r="T541" s="43"/>
      <c r="U541" s="107"/>
      <c r="V541" s="76" t="str">
        <f t="shared" si="71"/>
        <v/>
      </c>
      <c r="W541" s="43"/>
      <c r="X541" s="43"/>
      <c r="Y541" s="74"/>
    </row>
    <row r="542" ht="18" customHeight="1" spans="1:25">
      <c r="A542" s="74" t="str">
        <f t="shared" si="64"/>
        <v/>
      </c>
      <c r="B542" s="7"/>
      <c r="C542" s="43"/>
      <c r="D542" s="106"/>
      <c r="E542" s="43"/>
      <c r="F542" s="43"/>
      <c r="G542" s="43"/>
      <c r="H542" s="107"/>
      <c r="I542" s="107"/>
      <c r="J542" s="76" t="str">
        <f>IF($C542="","",ROUND(IFERROR(INDEX(期初余额!$I$4:$I$9,MATCH($C542,期初余额!$H$4:$H$9,0)),0)+SUMIFS($H$4:$H542,$C$4:$C542,$C542)-SUMIFS($I$4:$I542,$C$4:$C542,$C542),2))</f>
        <v/>
      </c>
      <c r="K542" s="111" t="str">
        <f>IF($T542&lt;&gt;"",$T542,IF($C542="","",IF(AND(N($I542)&gt;0,$G542&lt;&gt;""),IFERROR(INDEX(科目表!$U$4:$U$123,MATCH($G542,科目表!$M$4:$M$123,0)),"管理费用"),IF(N($H542)&gt;0,IFERROR(INDEX(自动规则!$C$4:$C$40,MATCH($F542,自动规则!$B$4:$B$40,0)),"其他应收款"),IFERROR(INDEX(自动规则!$D$4:$D$40,MATCH($F542,自动规则!$B$4:$B$40,0)),"其他应付款")))))</f>
        <v/>
      </c>
      <c r="L542" s="106"/>
      <c r="M542" s="75" t="str">
        <f>IF($C542="","",IFERROR(INDEX(科目表!$T$4:$T$9,MATCH($C542,科目表!$S$4:$S$9,0)),""))</f>
        <v/>
      </c>
      <c r="N542" s="75" t="str">
        <f t="shared" si="65"/>
        <v/>
      </c>
      <c r="O542" s="76" t="str">
        <f t="shared" si="66"/>
        <v/>
      </c>
      <c r="P542" s="76" t="str">
        <f t="shared" si="67"/>
        <v/>
      </c>
      <c r="Q542" s="75" t="str">
        <f t="shared" si="68"/>
        <v/>
      </c>
      <c r="R542" s="76" t="str">
        <f t="shared" si="69"/>
        <v/>
      </c>
      <c r="S542" s="76" t="str">
        <f t="shared" si="70"/>
        <v/>
      </c>
      <c r="T542" s="43"/>
      <c r="U542" s="107"/>
      <c r="V542" s="76" t="str">
        <f t="shared" si="71"/>
        <v/>
      </c>
      <c r="W542" s="43"/>
      <c r="X542" s="43"/>
      <c r="Y542" s="74"/>
    </row>
    <row r="543" ht="18" customHeight="1" spans="1:25">
      <c r="A543" s="74" t="str">
        <f t="shared" si="64"/>
        <v/>
      </c>
      <c r="B543" s="7"/>
      <c r="C543" s="43"/>
      <c r="D543" s="106"/>
      <c r="E543" s="43"/>
      <c r="F543" s="43"/>
      <c r="G543" s="43"/>
      <c r="H543" s="107"/>
      <c r="I543" s="107"/>
      <c r="J543" s="76" t="str">
        <f>IF($C543="","",ROUND(IFERROR(INDEX(期初余额!$I$4:$I$9,MATCH($C543,期初余额!$H$4:$H$9,0)),0)+SUMIFS($H$4:$H543,$C$4:$C543,$C543)-SUMIFS($I$4:$I543,$C$4:$C543,$C543),2))</f>
        <v/>
      </c>
      <c r="K543" s="111" t="str">
        <f>IF($T543&lt;&gt;"",$T543,IF($C543="","",IF(AND(N($I543)&gt;0,$G543&lt;&gt;""),IFERROR(INDEX(科目表!$U$4:$U$123,MATCH($G543,科目表!$M$4:$M$123,0)),"管理费用"),IF(N($H543)&gt;0,IFERROR(INDEX(自动规则!$C$4:$C$40,MATCH($F543,自动规则!$B$4:$B$40,0)),"其他应收款"),IFERROR(INDEX(自动规则!$D$4:$D$40,MATCH($F543,自动规则!$B$4:$B$40,0)),"其他应付款")))))</f>
        <v/>
      </c>
      <c r="L543" s="106"/>
      <c r="M543" s="75" t="str">
        <f>IF($C543="","",IFERROR(INDEX(科目表!$T$4:$T$9,MATCH($C543,科目表!$S$4:$S$9,0)),""))</f>
        <v/>
      </c>
      <c r="N543" s="75" t="str">
        <f t="shared" si="65"/>
        <v/>
      </c>
      <c r="O543" s="76" t="str">
        <f t="shared" si="66"/>
        <v/>
      </c>
      <c r="P543" s="76" t="str">
        <f t="shared" si="67"/>
        <v/>
      </c>
      <c r="Q543" s="75" t="str">
        <f t="shared" si="68"/>
        <v/>
      </c>
      <c r="R543" s="76" t="str">
        <f t="shared" si="69"/>
        <v/>
      </c>
      <c r="S543" s="76" t="str">
        <f t="shared" si="70"/>
        <v/>
      </c>
      <c r="T543" s="43"/>
      <c r="U543" s="107"/>
      <c r="V543" s="76" t="str">
        <f t="shared" si="71"/>
        <v/>
      </c>
      <c r="W543" s="43"/>
      <c r="X543" s="43"/>
      <c r="Y543" s="74"/>
    </row>
    <row r="544" ht="18" customHeight="1" spans="1:25">
      <c r="A544" s="74" t="str">
        <f t="shared" si="64"/>
        <v/>
      </c>
      <c r="B544" s="7"/>
      <c r="C544" s="43"/>
      <c r="D544" s="106"/>
      <c r="E544" s="43"/>
      <c r="F544" s="43"/>
      <c r="G544" s="43"/>
      <c r="H544" s="107"/>
      <c r="I544" s="107"/>
      <c r="J544" s="76" t="str">
        <f>IF($C544="","",ROUND(IFERROR(INDEX(期初余额!$I$4:$I$9,MATCH($C544,期初余额!$H$4:$H$9,0)),0)+SUMIFS($H$4:$H544,$C$4:$C544,$C544)-SUMIFS($I$4:$I544,$C$4:$C544,$C544),2))</f>
        <v/>
      </c>
      <c r="K544" s="111" t="str">
        <f>IF($T544&lt;&gt;"",$T544,IF($C544="","",IF(AND(N($I544)&gt;0,$G544&lt;&gt;""),IFERROR(INDEX(科目表!$U$4:$U$123,MATCH($G544,科目表!$M$4:$M$123,0)),"管理费用"),IF(N($H544)&gt;0,IFERROR(INDEX(自动规则!$C$4:$C$40,MATCH($F544,自动规则!$B$4:$B$40,0)),"其他应收款"),IFERROR(INDEX(自动规则!$D$4:$D$40,MATCH($F544,自动规则!$B$4:$B$40,0)),"其他应付款")))))</f>
        <v/>
      </c>
      <c r="L544" s="106"/>
      <c r="M544" s="75" t="str">
        <f>IF($C544="","",IFERROR(INDEX(科目表!$T$4:$T$9,MATCH($C544,科目表!$S$4:$S$9,0)),""))</f>
        <v/>
      </c>
      <c r="N544" s="75" t="str">
        <f t="shared" si="65"/>
        <v/>
      </c>
      <c r="O544" s="76" t="str">
        <f t="shared" si="66"/>
        <v/>
      </c>
      <c r="P544" s="76" t="str">
        <f t="shared" si="67"/>
        <v/>
      </c>
      <c r="Q544" s="75" t="str">
        <f t="shared" si="68"/>
        <v/>
      </c>
      <c r="R544" s="76" t="str">
        <f t="shared" si="69"/>
        <v/>
      </c>
      <c r="S544" s="76" t="str">
        <f t="shared" si="70"/>
        <v/>
      </c>
      <c r="T544" s="43"/>
      <c r="U544" s="107"/>
      <c r="V544" s="76" t="str">
        <f t="shared" si="71"/>
        <v/>
      </c>
      <c r="W544" s="43"/>
      <c r="X544" s="43"/>
      <c r="Y544" s="74"/>
    </row>
    <row r="545" ht="18" customHeight="1" spans="1:25">
      <c r="A545" s="74" t="str">
        <f t="shared" si="64"/>
        <v/>
      </c>
      <c r="B545" s="7"/>
      <c r="C545" s="43"/>
      <c r="D545" s="106"/>
      <c r="E545" s="43"/>
      <c r="F545" s="43"/>
      <c r="G545" s="43"/>
      <c r="H545" s="107"/>
      <c r="I545" s="107"/>
      <c r="J545" s="76" t="str">
        <f>IF($C545="","",ROUND(IFERROR(INDEX(期初余额!$I$4:$I$9,MATCH($C545,期初余额!$H$4:$H$9,0)),0)+SUMIFS($H$4:$H545,$C$4:$C545,$C545)-SUMIFS($I$4:$I545,$C$4:$C545,$C545),2))</f>
        <v/>
      </c>
      <c r="K545" s="111" t="str">
        <f>IF($T545&lt;&gt;"",$T545,IF($C545="","",IF(AND(N($I545)&gt;0,$G545&lt;&gt;""),IFERROR(INDEX(科目表!$U$4:$U$123,MATCH($G545,科目表!$M$4:$M$123,0)),"管理费用"),IF(N($H545)&gt;0,IFERROR(INDEX(自动规则!$C$4:$C$40,MATCH($F545,自动规则!$B$4:$B$40,0)),"其他应收款"),IFERROR(INDEX(自动规则!$D$4:$D$40,MATCH($F545,自动规则!$B$4:$B$40,0)),"其他应付款")))))</f>
        <v/>
      </c>
      <c r="L545" s="106"/>
      <c r="M545" s="75" t="str">
        <f>IF($C545="","",IFERROR(INDEX(科目表!$T$4:$T$9,MATCH($C545,科目表!$S$4:$S$9,0)),""))</f>
        <v/>
      </c>
      <c r="N545" s="75" t="str">
        <f t="shared" si="65"/>
        <v/>
      </c>
      <c r="O545" s="76" t="str">
        <f t="shared" si="66"/>
        <v/>
      </c>
      <c r="P545" s="76" t="str">
        <f t="shared" si="67"/>
        <v/>
      </c>
      <c r="Q545" s="75" t="str">
        <f t="shared" si="68"/>
        <v/>
      </c>
      <c r="R545" s="76" t="str">
        <f t="shared" si="69"/>
        <v/>
      </c>
      <c r="S545" s="76" t="str">
        <f t="shared" si="70"/>
        <v/>
      </c>
      <c r="T545" s="43"/>
      <c r="U545" s="107"/>
      <c r="V545" s="76" t="str">
        <f t="shared" si="71"/>
        <v/>
      </c>
      <c r="W545" s="43"/>
      <c r="X545" s="43"/>
      <c r="Y545" s="74"/>
    </row>
    <row r="546" ht="18" customHeight="1" spans="1:25">
      <c r="A546" s="74" t="str">
        <f t="shared" si="64"/>
        <v/>
      </c>
      <c r="B546" s="7"/>
      <c r="C546" s="43"/>
      <c r="D546" s="106"/>
      <c r="E546" s="43"/>
      <c r="F546" s="43"/>
      <c r="G546" s="43"/>
      <c r="H546" s="107"/>
      <c r="I546" s="107"/>
      <c r="J546" s="76" t="str">
        <f>IF($C546="","",ROUND(IFERROR(INDEX(期初余额!$I$4:$I$9,MATCH($C546,期初余额!$H$4:$H$9,0)),0)+SUMIFS($H$4:$H546,$C$4:$C546,$C546)-SUMIFS($I$4:$I546,$C$4:$C546,$C546),2))</f>
        <v/>
      </c>
      <c r="K546" s="111" t="str">
        <f>IF($T546&lt;&gt;"",$T546,IF($C546="","",IF(AND(N($I546)&gt;0,$G546&lt;&gt;""),IFERROR(INDEX(科目表!$U$4:$U$123,MATCH($G546,科目表!$M$4:$M$123,0)),"管理费用"),IF(N($H546)&gt;0,IFERROR(INDEX(自动规则!$C$4:$C$40,MATCH($F546,自动规则!$B$4:$B$40,0)),"其他应收款"),IFERROR(INDEX(自动规则!$D$4:$D$40,MATCH($F546,自动规则!$B$4:$B$40,0)),"其他应付款")))))</f>
        <v/>
      </c>
      <c r="L546" s="106"/>
      <c r="M546" s="75" t="str">
        <f>IF($C546="","",IFERROR(INDEX(科目表!$T$4:$T$9,MATCH($C546,科目表!$S$4:$S$9,0)),""))</f>
        <v/>
      </c>
      <c r="N546" s="75" t="str">
        <f t="shared" si="65"/>
        <v/>
      </c>
      <c r="O546" s="76" t="str">
        <f t="shared" si="66"/>
        <v/>
      </c>
      <c r="P546" s="76" t="str">
        <f t="shared" si="67"/>
        <v/>
      </c>
      <c r="Q546" s="75" t="str">
        <f t="shared" si="68"/>
        <v/>
      </c>
      <c r="R546" s="76" t="str">
        <f t="shared" si="69"/>
        <v/>
      </c>
      <c r="S546" s="76" t="str">
        <f t="shared" si="70"/>
        <v/>
      </c>
      <c r="T546" s="43"/>
      <c r="U546" s="107"/>
      <c r="V546" s="76" t="str">
        <f t="shared" si="71"/>
        <v/>
      </c>
      <c r="W546" s="43"/>
      <c r="X546" s="43"/>
      <c r="Y546" s="74"/>
    </row>
    <row r="547" ht="18" customHeight="1" spans="1:25">
      <c r="A547" s="74" t="str">
        <f t="shared" si="64"/>
        <v/>
      </c>
      <c r="B547" s="7"/>
      <c r="C547" s="43"/>
      <c r="D547" s="106"/>
      <c r="E547" s="43"/>
      <c r="F547" s="43"/>
      <c r="G547" s="43"/>
      <c r="H547" s="107"/>
      <c r="I547" s="107"/>
      <c r="J547" s="76" t="str">
        <f>IF($C547="","",ROUND(IFERROR(INDEX(期初余额!$I$4:$I$9,MATCH($C547,期初余额!$H$4:$H$9,0)),0)+SUMIFS($H$4:$H547,$C$4:$C547,$C547)-SUMIFS($I$4:$I547,$C$4:$C547,$C547),2))</f>
        <v/>
      </c>
      <c r="K547" s="111" t="str">
        <f>IF($T547&lt;&gt;"",$T547,IF($C547="","",IF(AND(N($I547)&gt;0,$G547&lt;&gt;""),IFERROR(INDEX(科目表!$U$4:$U$123,MATCH($G547,科目表!$M$4:$M$123,0)),"管理费用"),IF(N($H547)&gt;0,IFERROR(INDEX(自动规则!$C$4:$C$40,MATCH($F547,自动规则!$B$4:$B$40,0)),"其他应收款"),IFERROR(INDEX(自动规则!$D$4:$D$40,MATCH($F547,自动规则!$B$4:$B$40,0)),"其他应付款")))))</f>
        <v/>
      </c>
      <c r="L547" s="106"/>
      <c r="M547" s="75" t="str">
        <f>IF($C547="","",IFERROR(INDEX(科目表!$T$4:$T$9,MATCH($C547,科目表!$S$4:$S$9,0)),""))</f>
        <v/>
      </c>
      <c r="N547" s="75" t="str">
        <f t="shared" si="65"/>
        <v/>
      </c>
      <c r="O547" s="76" t="str">
        <f t="shared" si="66"/>
        <v/>
      </c>
      <c r="P547" s="76" t="str">
        <f t="shared" si="67"/>
        <v/>
      </c>
      <c r="Q547" s="75" t="str">
        <f t="shared" si="68"/>
        <v/>
      </c>
      <c r="R547" s="76" t="str">
        <f t="shared" si="69"/>
        <v/>
      </c>
      <c r="S547" s="76" t="str">
        <f t="shared" si="70"/>
        <v/>
      </c>
      <c r="T547" s="43"/>
      <c r="U547" s="107"/>
      <c r="V547" s="76" t="str">
        <f t="shared" si="71"/>
        <v/>
      </c>
      <c r="W547" s="43"/>
      <c r="X547" s="43"/>
      <c r="Y547" s="74"/>
    </row>
    <row r="548" ht="18" customHeight="1" spans="1:25">
      <c r="A548" s="74" t="str">
        <f t="shared" si="64"/>
        <v/>
      </c>
      <c r="B548" s="7"/>
      <c r="C548" s="43"/>
      <c r="D548" s="106"/>
      <c r="E548" s="43"/>
      <c r="F548" s="43"/>
      <c r="G548" s="43"/>
      <c r="H548" s="107"/>
      <c r="I548" s="107"/>
      <c r="J548" s="76" t="str">
        <f>IF($C548="","",ROUND(IFERROR(INDEX(期初余额!$I$4:$I$9,MATCH($C548,期初余额!$H$4:$H$9,0)),0)+SUMIFS($H$4:$H548,$C$4:$C548,$C548)-SUMIFS($I$4:$I548,$C$4:$C548,$C548),2))</f>
        <v/>
      </c>
      <c r="K548" s="111" t="str">
        <f>IF($T548&lt;&gt;"",$T548,IF($C548="","",IF(AND(N($I548)&gt;0,$G548&lt;&gt;""),IFERROR(INDEX(科目表!$U$4:$U$123,MATCH($G548,科目表!$M$4:$M$123,0)),"管理费用"),IF(N($H548)&gt;0,IFERROR(INDEX(自动规则!$C$4:$C$40,MATCH($F548,自动规则!$B$4:$B$40,0)),"其他应收款"),IFERROR(INDEX(自动规则!$D$4:$D$40,MATCH($F548,自动规则!$B$4:$B$40,0)),"其他应付款")))))</f>
        <v/>
      </c>
      <c r="L548" s="106"/>
      <c r="M548" s="75" t="str">
        <f>IF($C548="","",IFERROR(INDEX(科目表!$T$4:$T$9,MATCH($C548,科目表!$S$4:$S$9,0)),""))</f>
        <v/>
      </c>
      <c r="N548" s="75" t="str">
        <f t="shared" si="65"/>
        <v/>
      </c>
      <c r="O548" s="76" t="str">
        <f t="shared" si="66"/>
        <v/>
      </c>
      <c r="P548" s="76" t="str">
        <f t="shared" si="67"/>
        <v/>
      </c>
      <c r="Q548" s="75" t="str">
        <f t="shared" si="68"/>
        <v/>
      </c>
      <c r="R548" s="76" t="str">
        <f t="shared" si="69"/>
        <v/>
      </c>
      <c r="S548" s="76" t="str">
        <f t="shared" si="70"/>
        <v/>
      </c>
      <c r="T548" s="43"/>
      <c r="U548" s="107"/>
      <c r="V548" s="76" t="str">
        <f t="shared" si="71"/>
        <v/>
      </c>
      <c r="W548" s="43"/>
      <c r="X548" s="43"/>
      <c r="Y548" s="74"/>
    </row>
    <row r="549" ht="18" customHeight="1" spans="1:25">
      <c r="A549" s="74" t="str">
        <f t="shared" si="64"/>
        <v/>
      </c>
      <c r="B549" s="7"/>
      <c r="C549" s="43"/>
      <c r="D549" s="106"/>
      <c r="E549" s="43"/>
      <c r="F549" s="43"/>
      <c r="G549" s="43"/>
      <c r="H549" s="107"/>
      <c r="I549" s="107"/>
      <c r="J549" s="76" t="str">
        <f>IF($C549="","",ROUND(IFERROR(INDEX(期初余额!$I$4:$I$9,MATCH($C549,期初余额!$H$4:$H$9,0)),0)+SUMIFS($H$4:$H549,$C$4:$C549,$C549)-SUMIFS($I$4:$I549,$C$4:$C549,$C549),2))</f>
        <v/>
      </c>
      <c r="K549" s="111" t="str">
        <f>IF($T549&lt;&gt;"",$T549,IF($C549="","",IF(AND(N($I549)&gt;0,$G549&lt;&gt;""),IFERROR(INDEX(科目表!$U$4:$U$123,MATCH($G549,科目表!$M$4:$M$123,0)),"管理费用"),IF(N($H549)&gt;0,IFERROR(INDEX(自动规则!$C$4:$C$40,MATCH($F549,自动规则!$B$4:$B$40,0)),"其他应收款"),IFERROR(INDEX(自动规则!$D$4:$D$40,MATCH($F549,自动规则!$B$4:$B$40,0)),"其他应付款")))))</f>
        <v/>
      </c>
      <c r="L549" s="106"/>
      <c r="M549" s="75" t="str">
        <f>IF($C549="","",IFERROR(INDEX(科目表!$T$4:$T$9,MATCH($C549,科目表!$S$4:$S$9,0)),""))</f>
        <v/>
      </c>
      <c r="N549" s="75" t="str">
        <f t="shared" si="65"/>
        <v/>
      </c>
      <c r="O549" s="76" t="str">
        <f t="shared" si="66"/>
        <v/>
      </c>
      <c r="P549" s="76" t="str">
        <f t="shared" si="67"/>
        <v/>
      </c>
      <c r="Q549" s="75" t="str">
        <f t="shared" si="68"/>
        <v/>
      </c>
      <c r="R549" s="76" t="str">
        <f t="shared" si="69"/>
        <v/>
      </c>
      <c r="S549" s="76" t="str">
        <f t="shared" si="70"/>
        <v/>
      </c>
      <c r="T549" s="43"/>
      <c r="U549" s="107"/>
      <c r="V549" s="76" t="str">
        <f t="shared" si="71"/>
        <v/>
      </c>
      <c r="W549" s="43"/>
      <c r="X549" s="43"/>
      <c r="Y549" s="74"/>
    </row>
    <row r="550" ht="18" customHeight="1" spans="1:25">
      <c r="A550" s="74" t="str">
        <f t="shared" si="64"/>
        <v/>
      </c>
      <c r="B550" s="7"/>
      <c r="C550" s="43"/>
      <c r="D550" s="106"/>
      <c r="E550" s="43"/>
      <c r="F550" s="43"/>
      <c r="G550" s="43"/>
      <c r="H550" s="107"/>
      <c r="I550" s="107"/>
      <c r="J550" s="76" t="str">
        <f>IF($C550="","",ROUND(IFERROR(INDEX(期初余额!$I$4:$I$9,MATCH($C550,期初余额!$H$4:$H$9,0)),0)+SUMIFS($H$4:$H550,$C$4:$C550,$C550)-SUMIFS($I$4:$I550,$C$4:$C550,$C550),2))</f>
        <v/>
      </c>
      <c r="K550" s="111" t="str">
        <f>IF($T550&lt;&gt;"",$T550,IF($C550="","",IF(AND(N($I550)&gt;0,$G550&lt;&gt;""),IFERROR(INDEX(科目表!$U$4:$U$123,MATCH($G550,科目表!$M$4:$M$123,0)),"管理费用"),IF(N($H550)&gt;0,IFERROR(INDEX(自动规则!$C$4:$C$40,MATCH($F550,自动规则!$B$4:$B$40,0)),"其他应收款"),IFERROR(INDEX(自动规则!$D$4:$D$40,MATCH($F550,自动规则!$B$4:$B$40,0)),"其他应付款")))))</f>
        <v/>
      </c>
      <c r="L550" s="106"/>
      <c r="M550" s="75" t="str">
        <f>IF($C550="","",IFERROR(INDEX(科目表!$T$4:$T$9,MATCH($C550,科目表!$S$4:$S$9,0)),""))</f>
        <v/>
      </c>
      <c r="N550" s="75" t="str">
        <f t="shared" si="65"/>
        <v/>
      </c>
      <c r="O550" s="76" t="str">
        <f t="shared" si="66"/>
        <v/>
      </c>
      <c r="P550" s="76" t="str">
        <f t="shared" si="67"/>
        <v/>
      </c>
      <c r="Q550" s="75" t="str">
        <f t="shared" si="68"/>
        <v/>
      </c>
      <c r="R550" s="76" t="str">
        <f t="shared" si="69"/>
        <v/>
      </c>
      <c r="S550" s="76" t="str">
        <f t="shared" si="70"/>
        <v/>
      </c>
      <c r="T550" s="43"/>
      <c r="U550" s="107"/>
      <c r="V550" s="76" t="str">
        <f t="shared" si="71"/>
        <v/>
      </c>
      <c r="W550" s="43"/>
      <c r="X550" s="43"/>
      <c r="Y550" s="74"/>
    </row>
    <row r="551" ht="18" customHeight="1" spans="1:25">
      <c r="A551" s="74" t="str">
        <f t="shared" si="64"/>
        <v/>
      </c>
      <c r="B551" s="7"/>
      <c r="C551" s="43"/>
      <c r="D551" s="106"/>
      <c r="E551" s="43"/>
      <c r="F551" s="43"/>
      <c r="G551" s="43"/>
      <c r="H551" s="107"/>
      <c r="I551" s="107"/>
      <c r="J551" s="76" t="str">
        <f>IF($C551="","",ROUND(IFERROR(INDEX(期初余额!$I$4:$I$9,MATCH($C551,期初余额!$H$4:$H$9,0)),0)+SUMIFS($H$4:$H551,$C$4:$C551,$C551)-SUMIFS($I$4:$I551,$C$4:$C551,$C551),2))</f>
        <v/>
      </c>
      <c r="K551" s="111" t="str">
        <f>IF($T551&lt;&gt;"",$T551,IF($C551="","",IF(AND(N($I551)&gt;0,$G551&lt;&gt;""),IFERROR(INDEX(科目表!$U$4:$U$123,MATCH($G551,科目表!$M$4:$M$123,0)),"管理费用"),IF(N($H551)&gt;0,IFERROR(INDEX(自动规则!$C$4:$C$40,MATCH($F551,自动规则!$B$4:$B$40,0)),"其他应收款"),IFERROR(INDEX(自动规则!$D$4:$D$40,MATCH($F551,自动规则!$B$4:$B$40,0)),"其他应付款")))))</f>
        <v/>
      </c>
      <c r="L551" s="106"/>
      <c r="M551" s="75" t="str">
        <f>IF($C551="","",IFERROR(INDEX(科目表!$T$4:$T$9,MATCH($C551,科目表!$S$4:$S$9,0)),""))</f>
        <v/>
      </c>
      <c r="N551" s="75" t="str">
        <f t="shared" si="65"/>
        <v/>
      </c>
      <c r="O551" s="76" t="str">
        <f t="shared" si="66"/>
        <v/>
      </c>
      <c r="P551" s="76" t="str">
        <f t="shared" si="67"/>
        <v/>
      </c>
      <c r="Q551" s="75" t="str">
        <f t="shared" si="68"/>
        <v/>
      </c>
      <c r="R551" s="76" t="str">
        <f t="shared" si="69"/>
        <v/>
      </c>
      <c r="S551" s="76" t="str">
        <f t="shared" si="70"/>
        <v/>
      </c>
      <c r="T551" s="43"/>
      <c r="U551" s="107"/>
      <c r="V551" s="76" t="str">
        <f t="shared" si="71"/>
        <v/>
      </c>
      <c r="W551" s="43"/>
      <c r="X551" s="43"/>
      <c r="Y551" s="74"/>
    </row>
    <row r="552" ht="18" customHeight="1" spans="1:25">
      <c r="A552" s="74" t="str">
        <f t="shared" si="64"/>
        <v/>
      </c>
      <c r="B552" s="7"/>
      <c r="C552" s="43"/>
      <c r="D552" s="106"/>
      <c r="E552" s="43"/>
      <c r="F552" s="43"/>
      <c r="G552" s="43"/>
      <c r="H552" s="107"/>
      <c r="I552" s="107"/>
      <c r="J552" s="76" t="str">
        <f>IF($C552="","",ROUND(IFERROR(INDEX(期初余额!$I$4:$I$9,MATCH($C552,期初余额!$H$4:$H$9,0)),0)+SUMIFS($H$4:$H552,$C$4:$C552,$C552)-SUMIFS($I$4:$I552,$C$4:$C552,$C552),2))</f>
        <v/>
      </c>
      <c r="K552" s="111" t="str">
        <f>IF($T552&lt;&gt;"",$T552,IF($C552="","",IF(AND(N($I552)&gt;0,$G552&lt;&gt;""),IFERROR(INDEX(科目表!$U$4:$U$123,MATCH($G552,科目表!$M$4:$M$123,0)),"管理费用"),IF(N($H552)&gt;0,IFERROR(INDEX(自动规则!$C$4:$C$40,MATCH($F552,自动规则!$B$4:$B$40,0)),"其他应收款"),IFERROR(INDEX(自动规则!$D$4:$D$40,MATCH($F552,自动规则!$B$4:$B$40,0)),"其他应付款")))))</f>
        <v/>
      </c>
      <c r="L552" s="106"/>
      <c r="M552" s="75" t="str">
        <f>IF($C552="","",IFERROR(INDEX(科目表!$T$4:$T$9,MATCH($C552,科目表!$S$4:$S$9,0)),""))</f>
        <v/>
      </c>
      <c r="N552" s="75" t="str">
        <f t="shared" si="65"/>
        <v/>
      </c>
      <c r="O552" s="76" t="str">
        <f t="shared" si="66"/>
        <v/>
      </c>
      <c r="P552" s="76" t="str">
        <f t="shared" si="67"/>
        <v/>
      </c>
      <c r="Q552" s="75" t="str">
        <f t="shared" si="68"/>
        <v/>
      </c>
      <c r="R552" s="76" t="str">
        <f t="shared" si="69"/>
        <v/>
      </c>
      <c r="S552" s="76" t="str">
        <f t="shared" si="70"/>
        <v/>
      </c>
      <c r="T552" s="43"/>
      <c r="U552" s="107"/>
      <c r="V552" s="76" t="str">
        <f t="shared" si="71"/>
        <v/>
      </c>
      <c r="W552" s="43"/>
      <c r="X552" s="43"/>
      <c r="Y552" s="74"/>
    </row>
    <row r="553" ht="18" customHeight="1" spans="1:25">
      <c r="A553" s="74" t="str">
        <f t="shared" si="64"/>
        <v/>
      </c>
      <c r="B553" s="7"/>
      <c r="C553" s="43"/>
      <c r="D553" s="106"/>
      <c r="E553" s="43"/>
      <c r="F553" s="43"/>
      <c r="G553" s="43"/>
      <c r="H553" s="107"/>
      <c r="I553" s="107"/>
      <c r="J553" s="76" t="str">
        <f>IF($C553="","",ROUND(IFERROR(INDEX(期初余额!$I$4:$I$9,MATCH($C553,期初余额!$H$4:$H$9,0)),0)+SUMIFS($H$4:$H553,$C$4:$C553,$C553)-SUMIFS($I$4:$I553,$C$4:$C553,$C553),2))</f>
        <v/>
      </c>
      <c r="K553" s="111" t="str">
        <f>IF($T553&lt;&gt;"",$T553,IF($C553="","",IF(AND(N($I553)&gt;0,$G553&lt;&gt;""),IFERROR(INDEX(科目表!$U$4:$U$123,MATCH($G553,科目表!$M$4:$M$123,0)),"管理费用"),IF(N($H553)&gt;0,IFERROR(INDEX(自动规则!$C$4:$C$40,MATCH($F553,自动规则!$B$4:$B$40,0)),"其他应收款"),IFERROR(INDEX(自动规则!$D$4:$D$40,MATCH($F553,自动规则!$B$4:$B$40,0)),"其他应付款")))))</f>
        <v/>
      </c>
      <c r="L553" s="106"/>
      <c r="M553" s="75" t="str">
        <f>IF($C553="","",IFERROR(INDEX(科目表!$T$4:$T$9,MATCH($C553,科目表!$S$4:$S$9,0)),""))</f>
        <v/>
      </c>
      <c r="N553" s="75" t="str">
        <f t="shared" si="65"/>
        <v/>
      </c>
      <c r="O553" s="76" t="str">
        <f t="shared" si="66"/>
        <v/>
      </c>
      <c r="P553" s="76" t="str">
        <f t="shared" si="67"/>
        <v/>
      </c>
      <c r="Q553" s="75" t="str">
        <f t="shared" si="68"/>
        <v/>
      </c>
      <c r="R553" s="76" t="str">
        <f t="shared" si="69"/>
        <v/>
      </c>
      <c r="S553" s="76" t="str">
        <f t="shared" si="70"/>
        <v/>
      </c>
      <c r="T553" s="43"/>
      <c r="U553" s="107"/>
      <c r="V553" s="76" t="str">
        <f t="shared" si="71"/>
        <v/>
      </c>
      <c r="W553" s="43"/>
      <c r="X553" s="43"/>
      <c r="Y553" s="74"/>
    </row>
    <row r="554" ht="18" customHeight="1" spans="1:25">
      <c r="A554" s="74" t="str">
        <f t="shared" si="64"/>
        <v/>
      </c>
      <c r="B554" s="7"/>
      <c r="C554" s="43"/>
      <c r="D554" s="106"/>
      <c r="E554" s="43"/>
      <c r="F554" s="43"/>
      <c r="G554" s="43"/>
      <c r="H554" s="107"/>
      <c r="I554" s="107"/>
      <c r="J554" s="76" t="str">
        <f>IF($C554="","",ROUND(IFERROR(INDEX(期初余额!$I$4:$I$9,MATCH($C554,期初余额!$H$4:$H$9,0)),0)+SUMIFS($H$4:$H554,$C$4:$C554,$C554)-SUMIFS($I$4:$I554,$C$4:$C554,$C554),2))</f>
        <v/>
      </c>
      <c r="K554" s="111" t="str">
        <f>IF($T554&lt;&gt;"",$T554,IF($C554="","",IF(AND(N($I554)&gt;0,$G554&lt;&gt;""),IFERROR(INDEX(科目表!$U$4:$U$123,MATCH($G554,科目表!$M$4:$M$123,0)),"管理费用"),IF(N($H554)&gt;0,IFERROR(INDEX(自动规则!$C$4:$C$40,MATCH($F554,自动规则!$B$4:$B$40,0)),"其他应收款"),IFERROR(INDEX(自动规则!$D$4:$D$40,MATCH($F554,自动规则!$B$4:$B$40,0)),"其他应付款")))))</f>
        <v/>
      </c>
      <c r="L554" s="106"/>
      <c r="M554" s="75" t="str">
        <f>IF($C554="","",IFERROR(INDEX(科目表!$T$4:$T$9,MATCH($C554,科目表!$S$4:$S$9,0)),""))</f>
        <v/>
      </c>
      <c r="N554" s="75" t="str">
        <f t="shared" si="65"/>
        <v/>
      </c>
      <c r="O554" s="76" t="str">
        <f t="shared" si="66"/>
        <v/>
      </c>
      <c r="P554" s="76" t="str">
        <f t="shared" si="67"/>
        <v/>
      </c>
      <c r="Q554" s="75" t="str">
        <f t="shared" si="68"/>
        <v/>
      </c>
      <c r="R554" s="76" t="str">
        <f t="shared" si="69"/>
        <v/>
      </c>
      <c r="S554" s="76" t="str">
        <f t="shared" si="70"/>
        <v/>
      </c>
      <c r="T554" s="43"/>
      <c r="U554" s="107"/>
      <c r="V554" s="76" t="str">
        <f t="shared" si="71"/>
        <v/>
      </c>
      <c r="W554" s="43"/>
      <c r="X554" s="43"/>
      <c r="Y554" s="74"/>
    </row>
    <row r="555" ht="18" customHeight="1" spans="1:25">
      <c r="A555" s="74" t="str">
        <f t="shared" si="64"/>
        <v/>
      </c>
      <c r="B555" s="7"/>
      <c r="C555" s="43"/>
      <c r="D555" s="106"/>
      <c r="E555" s="43"/>
      <c r="F555" s="43"/>
      <c r="G555" s="43"/>
      <c r="H555" s="107"/>
      <c r="I555" s="107"/>
      <c r="J555" s="76" t="str">
        <f>IF($C555="","",ROUND(IFERROR(INDEX(期初余额!$I$4:$I$9,MATCH($C555,期初余额!$H$4:$H$9,0)),0)+SUMIFS($H$4:$H555,$C$4:$C555,$C555)-SUMIFS($I$4:$I555,$C$4:$C555,$C555),2))</f>
        <v/>
      </c>
      <c r="K555" s="111" t="str">
        <f>IF($T555&lt;&gt;"",$T555,IF($C555="","",IF(AND(N($I555)&gt;0,$G555&lt;&gt;""),IFERROR(INDEX(科目表!$U$4:$U$123,MATCH($G555,科目表!$M$4:$M$123,0)),"管理费用"),IF(N($H555)&gt;0,IFERROR(INDEX(自动规则!$C$4:$C$40,MATCH($F555,自动规则!$B$4:$B$40,0)),"其他应收款"),IFERROR(INDEX(自动规则!$D$4:$D$40,MATCH($F555,自动规则!$B$4:$B$40,0)),"其他应付款")))))</f>
        <v/>
      </c>
      <c r="L555" s="106"/>
      <c r="M555" s="75" t="str">
        <f>IF($C555="","",IFERROR(INDEX(科目表!$T$4:$T$9,MATCH($C555,科目表!$S$4:$S$9,0)),""))</f>
        <v/>
      </c>
      <c r="N555" s="75" t="str">
        <f t="shared" si="65"/>
        <v/>
      </c>
      <c r="O555" s="76" t="str">
        <f t="shared" si="66"/>
        <v/>
      </c>
      <c r="P555" s="76" t="str">
        <f t="shared" si="67"/>
        <v/>
      </c>
      <c r="Q555" s="75" t="str">
        <f t="shared" si="68"/>
        <v/>
      </c>
      <c r="R555" s="76" t="str">
        <f t="shared" si="69"/>
        <v/>
      </c>
      <c r="S555" s="76" t="str">
        <f t="shared" si="70"/>
        <v/>
      </c>
      <c r="T555" s="43"/>
      <c r="U555" s="107"/>
      <c r="V555" s="76" t="str">
        <f t="shared" si="71"/>
        <v/>
      </c>
      <c r="W555" s="43"/>
      <c r="X555" s="43"/>
      <c r="Y555" s="74"/>
    </row>
    <row r="556" ht="18" customHeight="1" spans="1:25">
      <c r="A556" s="74" t="str">
        <f t="shared" si="64"/>
        <v/>
      </c>
      <c r="B556" s="7"/>
      <c r="C556" s="43"/>
      <c r="D556" s="106"/>
      <c r="E556" s="43"/>
      <c r="F556" s="43"/>
      <c r="G556" s="43"/>
      <c r="H556" s="107"/>
      <c r="I556" s="107"/>
      <c r="J556" s="76" t="str">
        <f>IF($C556="","",ROUND(IFERROR(INDEX(期初余额!$I$4:$I$9,MATCH($C556,期初余额!$H$4:$H$9,0)),0)+SUMIFS($H$4:$H556,$C$4:$C556,$C556)-SUMIFS($I$4:$I556,$C$4:$C556,$C556),2))</f>
        <v/>
      </c>
      <c r="K556" s="111" t="str">
        <f>IF($T556&lt;&gt;"",$T556,IF($C556="","",IF(AND(N($I556)&gt;0,$G556&lt;&gt;""),IFERROR(INDEX(科目表!$U$4:$U$123,MATCH($G556,科目表!$M$4:$M$123,0)),"管理费用"),IF(N($H556)&gt;0,IFERROR(INDEX(自动规则!$C$4:$C$40,MATCH($F556,自动规则!$B$4:$B$40,0)),"其他应收款"),IFERROR(INDEX(自动规则!$D$4:$D$40,MATCH($F556,自动规则!$B$4:$B$40,0)),"其他应付款")))))</f>
        <v/>
      </c>
      <c r="L556" s="106"/>
      <c r="M556" s="75" t="str">
        <f>IF($C556="","",IFERROR(INDEX(科目表!$T$4:$T$9,MATCH($C556,科目表!$S$4:$S$9,0)),""))</f>
        <v/>
      </c>
      <c r="N556" s="75" t="str">
        <f t="shared" si="65"/>
        <v/>
      </c>
      <c r="O556" s="76" t="str">
        <f t="shared" si="66"/>
        <v/>
      </c>
      <c r="P556" s="76" t="str">
        <f t="shared" si="67"/>
        <v/>
      </c>
      <c r="Q556" s="75" t="str">
        <f t="shared" si="68"/>
        <v/>
      </c>
      <c r="R556" s="76" t="str">
        <f t="shared" si="69"/>
        <v/>
      </c>
      <c r="S556" s="76" t="str">
        <f t="shared" si="70"/>
        <v/>
      </c>
      <c r="T556" s="43"/>
      <c r="U556" s="107"/>
      <c r="V556" s="76" t="str">
        <f t="shared" si="71"/>
        <v/>
      </c>
      <c r="W556" s="43"/>
      <c r="X556" s="43"/>
      <c r="Y556" s="74"/>
    </row>
    <row r="557" ht="18" customHeight="1" spans="1:25">
      <c r="A557" s="74" t="str">
        <f t="shared" si="64"/>
        <v/>
      </c>
      <c r="B557" s="7"/>
      <c r="C557" s="43"/>
      <c r="D557" s="106"/>
      <c r="E557" s="43"/>
      <c r="F557" s="43"/>
      <c r="G557" s="43"/>
      <c r="H557" s="107"/>
      <c r="I557" s="107"/>
      <c r="J557" s="76" t="str">
        <f>IF($C557="","",ROUND(IFERROR(INDEX(期初余额!$I$4:$I$9,MATCH($C557,期初余额!$H$4:$H$9,0)),0)+SUMIFS($H$4:$H557,$C$4:$C557,$C557)-SUMIFS($I$4:$I557,$C$4:$C557,$C557),2))</f>
        <v/>
      </c>
      <c r="K557" s="111" t="str">
        <f>IF($T557&lt;&gt;"",$T557,IF($C557="","",IF(AND(N($I557)&gt;0,$G557&lt;&gt;""),IFERROR(INDEX(科目表!$U$4:$U$123,MATCH($G557,科目表!$M$4:$M$123,0)),"管理费用"),IF(N($H557)&gt;0,IFERROR(INDEX(自动规则!$C$4:$C$40,MATCH($F557,自动规则!$B$4:$B$40,0)),"其他应收款"),IFERROR(INDEX(自动规则!$D$4:$D$40,MATCH($F557,自动规则!$B$4:$B$40,0)),"其他应付款")))))</f>
        <v/>
      </c>
      <c r="L557" s="106"/>
      <c r="M557" s="75" t="str">
        <f>IF($C557="","",IFERROR(INDEX(科目表!$T$4:$T$9,MATCH($C557,科目表!$S$4:$S$9,0)),""))</f>
        <v/>
      </c>
      <c r="N557" s="75" t="str">
        <f t="shared" si="65"/>
        <v/>
      </c>
      <c r="O557" s="76" t="str">
        <f t="shared" si="66"/>
        <v/>
      </c>
      <c r="P557" s="76" t="str">
        <f t="shared" si="67"/>
        <v/>
      </c>
      <c r="Q557" s="75" t="str">
        <f t="shared" si="68"/>
        <v/>
      </c>
      <c r="R557" s="76" t="str">
        <f t="shared" si="69"/>
        <v/>
      </c>
      <c r="S557" s="76" t="str">
        <f t="shared" si="70"/>
        <v/>
      </c>
      <c r="T557" s="43"/>
      <c r="U557" s="107"/>
      <c r="V557" s="76" t="str">
        <f t="shared" si="71"/>
        <v/>
      </c>
      <c r="W557" s="43"/>
      <c r="X557" s="43"/>
      <c r="Y557" s="74"/>
    </row>
    <row r="558" ht="18" customHeight="1" spans="1:25">
      <c r="A558" s="74" t="str">
        <f t="shared" si="64"/>
        <v/>
      </c>
      <c r="B558" s="7"/>
      <c r="C558" s="43"/>
      <c r="D558" s="106"/>
      <c r="E558" s="43"/>
      <c r="F558" s="43"/>
      <c r="G558" s="43"/>
      <c r="H558" s="107"/>
      <c r="I558" s="107"/>
      <c r="J558" s="76" t="str">
        <f>IF($C558="","",ROUND(IFERROR(INDEX(期初余额!$I$4:$I$9,MATCH($C558,期初余额!$H$4:$H$9,0)),0)+SUMIFS($H$4:$H558,$C$4:$C558,$C558)-SUMIFS($I$4:$I558,$C$4:$C558,$C558),2))</f>
        <v/>
      </c>
      <c r="K558" s="111" t="str">
        <f>IF($T558&lt;&gt;"",$T558,IF($C558="","",IF(AND(N($I558)&gt;0,$G558&lt;&gt;""),IFERROR(INDEX(科目表!$U$4:$U$123,MATCH($G558,科目表!$M$4:$M$123,0)),"管理费用"),IF(N($H558)&gt;0,IFERROR(INDEX(自动规则!$C$4:$C$40,MATCH($F558,自动规则!$B$4:$B$40,0)),"其他应收款"),IFERROR(INDEX(自动规则!$D$4:$D$40,MATCH($F558,自动规则!$B$4:$B$40,0)),"其他应付款")))))</f>
        <v/>
      </c>
      <c r="L558" s="106"/>
      <c r="M558" s="75" t="str">
        <f>IF($C558="","",IFERROR(INDEX(科目表!$T$4:$T$9,MATCH($C558,科目表!$S$4:$S$9,0)),""))</f>
        <v/>
      </c>
      <c r="N558" s="75" t="str">
        <f t="shared" si="65"/>
        <v/>
      </c>
      <c r="O558" s="76" t="str">
        <f t="shared" si="66"/>
        <v/>
      </c>
      <c r="P558" s="76" t="str">
        <f t="shared" si="67"/>
        <v/>
      </c>
      <c r="Q558" s="75" t="str">
        <f t="shared" si="68"/>
        <v/>
      </c>
      <c r="R558" s="76" t="str">
        <f t="shared" si="69"/>
        <v/>
      </c>
      <c r="S558" s="76" t="str">
        <f t="shared" si="70"/>
        <v/>
      </c>
      <c r="T558" s="43"/>
      <c r="U558" s="107"/>
      <c r="V558" s="76" t="str">
        <f t="shared" si="71"/>
        <v/>
      </c>
      <c r="W558" s="43"/>
      <c r="X558" s="43"/>
      <c r="Y558" s="74"/>
    </row>
    <row r="559" ht="18" customHeight="1" spans="1:25">
      <c r="A559" s="74" t="str">
        <f t="shared" si="64"/>
        <v/>
      </c>
      <c r="B559" s="7"/>
      <c r="C559" s="43"/>
      <c r="D559" s="106"/>
      <c r="E559" s="43"/>
      <c r="F559" s="43"/>
      <c r="G559" s="43"/>
      <c r="H559" s="107"/>
      <c r="I559" s="107"/>
      <c r="J559" s="76" t="str">
        <f>IF($C559="","",ROUND(IFERROR(INDEX(期初余额!$I$4:$I$9,MATCH($C559,期初余额!$H$4:$H$9,0)),0)+SUMIFS($H$4:$H559,$C$4:$C559,$C559)-SUMIFS($I$4:$I559,$C$4:$C559,$C559),2))</f>
        <v/>
      </c>
      <c r="K559" s="111" t="str">
        <f>IF($T559&lt;&gt;"",$T559,IF($C559="","",IF(AND(N($I559)&gt;0,$G559&lt;&gt;""),IFERROR(INDEX(科目表!$U$4:$U$123,MATCH($G559,科目表!$M$4:$M$123,0)),"管理费用"),IF(N($H559)&gt;0,IFERROR(INDEX(自动规则!$C$4:$C$40,MATCH($F559,自动规则!$B$4:$B$40,0)),"其他应收款"),IFERROR(INDEX(自动规则!$D$4:$D$40,MATCH($F559,自动规则!$B$4:$B$40,0)),"其他应付款")))))</f>
        <v/>
      </c>
      <c r="L559" s="106"/>
      <c r="M559" s="75" t="str">
        <f>IF($C559="","",IFERROR(INDEX(科目表!$T$4:$T$9,MATCH($C559,科目表!$S$4:$S$9,0)),""))</f>
        <v/>
      </c>
      <c r="N559" s="75" t="str">
        <f t="shared" si="65"/>
        <v/>
      </c>
      <c r="O559" s="76" t="str">
        <f t="shared" si="66"/>
        <v/>
      </c>
      <c r="P559" s="76" t="str">
        <f t="shared" si="67"/>
        <v/>
      </c>
      <c r="Q559" s="75" t="str">
        <f t="shared" si="68"/>
        <v/>
      </c>
      <c r="R559" s="76" t="str">
        <f t="shared" si="69"/>
        <v/>
      </c>
      <c r="S559" s="76" t="str">
        <f t="shared" si="70"/>
        <v/>
      </c>
      <c r="T559" s="43"/>
      <c r="U559" s="107"/>
      <c r="V559" s="76" t="str">
        <f t="shared" si="71"/>
        <v/>
      </c>
      <c r="W559" s="43"/>
      <c r="X559" s="43"/>
      <c r="Y559" s="74"/>
    </row>
    <row r="560" ht="18" customHeight="1" spans="1:25">
      <c r="A560" s="74" t="str">
        <f t="shared" si="64"/>
        <v/>
      </c>
      <c r="B560" s="7"/>
      <c r="C560" s="43"/>
      <c r="D560" s="106"/>
      <c r="E560" s="43"/>
      <c r="F560" s="43"/>
      <c r="G560" s="43"/>
      <c r="H560" s="107"/>
      <c r="I560" s="107"/>
      <c r="J560" s="76" t="str">
        <f>IF($C560="","",ROUND(IFERROR(INDEX(期初余额!$I$4:$I$9,MATCH($C560,期初余额!$H$4:$H$9,0)),0)+SUMIFS($H$4:$H560,$C$4:$C560,$C560)-SUMIFS($I$4:$I560,$C$4:$C560,$C560),2))</f>
        <v/>
      </c>
      <c r="K560" s="111" t="str">
        <f>IF($T560&lt;&gt;"",$T560,IF($C560="","",IF(AND(N($I560)&gt;0,$G560&lt;&gt;""),IFERROR(INDEX(科目表!$U$4:$U$123,MATCH($G560,科目表!$M$4:$M$123,0)),"管理费用"),IF(N($H560)&gt;0,IFERROR(INDEX(自动规则!$C$4:$C$40,MATCH($F560,自动规则!$B$4:$B$40,0)),"其他应收款"),IFERROR(INDEX(自动规则!$D$4:$D$40,MATCH($F560,自动规则!$B$4:$B$40,0)),"其他应付款")))))</f>
        <v/>
      </c>
      <c r="L560" s="106"/>
      <c r="M560" s="75" t="str">
        <f>IF($C560="","",IFERROR(INDEX(科目表!$T$4:$T$9,MATCH($C560,科目表!$S$4:$S$9,0)),""))</f>
        <v/>
      </c>
      <c r="N560" s="75" t="str">
        <f t="shared" si="65"/>
        <v/>
      </c>
      <c r="O560" s="76" t="str">
        <f t="shared" si="66"/>
        <v/>
      </c>
      <c r="P560" s="76" t="str">
        <f t="shared" si="67"/>
        <v/>
      </c>
      <c r="Q560" s="75" t="str">
        <f t="shared" si="68"/>
        <v/>
      </c>
      <c r="R560" s="76" t="str">
        <f t="shared" si="69"/>
        <v/>
      </c>
      <c r="S560" s="76" t="str">
        <f t="shared" si="70"/>
        <v/>
      </c>
      <c r="T560" s="43"/>
      <c r="U560" s="107"/>
      <c r="V560" s="76" t="str">
        <f t="shared" si="71"/>
        <v/>
      </c>
      <c r="W560" s="43"/>
      <c r="X560" s="43"/>
      <c r="Y560" s="74"/>
    </row>
    <row r="561" ht="18" customHeight="1" spans="1:25">
      <c r="A561" s="74" t="str">
        <f t="shared" si="64"/>
        <v/>
      </c>
      <c r="B561" s="7"/>
      <c r="C561" s="43"/>
      <c r="D561" s="106"/>
      <c r="E561" s="43"/>
      <c r="F561" s="43"/>
      <c r="G561" s="43"/>
      <c r="H561" s="107"/>
      <c r="I561" s="107"/>
      <c r="J561" s="76" t="str">
        <f>IF($C561="","",ROUND(IFERROR(INDEX(期初余额!$I$4:$I$9,MATCH($C561,期初余额!$H$4:$H$9,0)),0)+SUMIFS($H$4:$H561,$C$4:$C561,$C561)-SUMIFS($I$4:$I561,$C$4:$C561,$C561),2))</f>
        <v/>
      </c>
      <c r="K561" s="111" t="str">
        <f>IF($T561&lt;&gt;"",$T561,IF($C561="","",IF(AND(N($I561)&gt;0,$G561&lt;&gt;""),IFERROR(INDEX(科目表!$U$4:$U$123,MATCH($G561,科目表!$M$4:$M$123,0)),"管理费用"),IF(N($H561)&gt;0,IFERROR(INDEX(自动规则!$C$4:$C$40,MATCH($F561,自动规则!$B$4:$B$40,0)),"其他应收款"),IFERROR(INDEX(自动规则!$D$4:$D$40,MATCH($F561,自动规则!$B$4:$B$40,0)),"其他应付款")))))</f>
        <v/>
      </c>
      <c r="L561" s="106"/>
      <c r="M561" s="75" t="str">
        <f>IF($C561="","",IFERROR(INDEX(科目表!$T$4:$T$9,MATCH($C561,科目表!$S$4:$S$9,0)),""))</f>
        <v/>
      </c>
      <c r="N561" s="75" t="str">
        <f t="shared" si="65"/>
        <v/>
      </c>
      <c r="O561" s="76" t="str">
        <f t="shared" si="66"/>
        <v/>
      </c>
      <c r="P561" s="76" t="str">
        <f t="shared" si="67"/>
        <v/>
      </c>
      <c r="Q561" s="75" t="str">
        <f t="shared" si="68"/>
        <v/>
      </c>
      <c r="R561" s="76" t="str">
        <f t="shared" si="69"/>
        <v/>
      </c>
      <c r="S561" s="76" t="str">
        <f t="shared" si="70"/>
        <v/>
      </c>
      <c r="T561" s="43"/>
      <c r="U561" s="107"/>
      <c r="V561" s="76" t="str">
        <f t="shared" si="71"/>
        <v/>
      </c>
      <c r="W561" s="43"/>
      <c r="X561" s="43"/>
      <c r="Y561" s="74"/>
    </row>
    <row r="562" ht="18" customHeight="1" spans="1:25">
      <c r="A562" s="74" t="str">
        <f t="shared" si="64"/>
        <v/>
      </c>
      <c r="B562" s="7"/>
      <c r="C562" s="43"/>
      <c r="D562" s="106"/>
      <c r="E562" s="43"/>
      <c r="F562" s="43"/>
      <c r="G562" s="43"/>
      <c r="H562" s="107"/>
      <c r="I562" s="107"/>
      <c r="J562" s="76" t="str">
        <f>IF($C562="","",ROUND(IFERROR(INDEX(期初余额!$I$4:$I$9,MATCH($C562,期初余额!$H$4:$H$9,0)),0)+SUMIFS($H$4:$H562,$C$4:$C562,$C562)-SUMIFS($I$4:$I562,$C$4:$C562,$C562),2))</f>
        <v/>
      </c>
      <c r="K562" s="111" t="str">
        <f>IF($T562&lt;&gt;"",$T562,IF($C562="","",IF(AND(N($I562)&gt;0,$G562&lt;&gt;""),IFERROR(INDEX(科目表!$U$4:$U$123,MATCH($G562,科目表!$M$4:$M$123,0)),"管理费用"),IF(N($H562)&gt;0,IFERROR(INDEX(自动规则!$C$4:$C$40,MATCH($F562,自动规则!$B$4:$B$40,0)),"其他应收款"),IFERROR(INDEX(自动规则!$D$4:$D$40,MATCH($F562,自动规则!$B$4:$B$40,0)),"其他应付款")))))</f>
        <v/>
      </c>
      <c r="L562" s="106"/>
      <c r="M562" s="75" t="str">
        <f>IF($C562="","",IFERROR(INDEX(科目表!$T$4:$T$9,MATCH($C562,科目表!$S$4:$S$9,0)),""))</f>
        <v/>
      </c>
      <c r="N562" s="75" t="str">
        <f t="shared" si="65"/>
        <v/>
      </c>
      <c r="O562" s="76" t="str">
        <f t="shared" si="66"/>
        <v/>
      </c>
      <c r="P562" s="76" t="str">
        <f t="shared" si="67"/>
        <v/>
      </c>
      <c r="Q562" s="75" t="str">
        <f t="shared" si="68"/>
        <v/>
      </c>
      <c r="R562" s="76" t="str">
        <f t="shared" si="69"/>
        <v/>
      </c>
      <c r="S562" s="76" t="str">
        <f t="shared" si="70"/>
        <v/>
      </c>
      <c r="T562" s="43"/>
      <c r="U562" s="107"/>
      <c r="V562" s="76" t="str">
        <f t="shared" si="71"/>
        <v/>
      </c>
      <c r="W562" s="43"/>
      <c r="X562" s="43"/>
      <c r="Y562" s="74"/>
    </row>
    <row r="563" ht="18" customHeight="1" spans="1:25">
      <c r="A563" s="74" t="str">
        <f t="shared" si="64"/>
        <v/>
      </c>
      <c r="B563" s="7"/>
      <c r="C563" s="43"/>
      <c r="D563" s="106"/>
      <c r="E563" s="43"/>
      <c r="F563" s="43"/>
      <c r="G563" s="43"/>
      <c r="H563" s="107"/>
      <c r="I563" s="107"/>
      <c r="J563" s="76" t="str">
        <f>IF($C563="","",ROUND(IFERROR(INDEX(期初余额!$I$4:$I$9,MATCH($C563,期初余额!$H$4:$H$9,0)),0)+SUMIFS($H$4:$H563,$C$4:$C563,$C563)-SUMIFS($I$4:$I563,$C$4:$C563,$C563),2))</f>
        <v/>
      </c>
      <c r="K563" s="111" t="str">
        <f>IF($T563&lt;&gt;"",$T563,IF($C563="","",IF(AND(N($I563)&gt;0,$G563&lt;&gt;""),IFERROR(INDEX(科目表!$U$4:$U$123,MATCH($G563,科目表!$M$4:$M$123,0)),"管理费用"),IF(N($H563)&gt;0,IFERROR(INDEX(自动规则!$C$4:$C$40,MATCH($F563,自动规则!$B$4:$B$40,0)),"其他应收款"),IFERROR(INDEX(自动规则!$D$4:$D$40,MATCH($F563,自动规则!$B$4:$B$40,0)),"其他应付款")))))</f>
        <v/>
      </c>
      <c r="L563" s="106"/>
      <c r="M563" s="75" t="str">
        <f>IF($C563="","",IFERROR(INDEX(科目表!$T$4:$T$9,MATCH($C563,科目表!$S$4:$S$9,0)),""))</f>
        <v/>
      </c>
      <c r="N563" s="75" t="str">
        <f t="shared" si="65"/>
        <v/>
      </c>
      <c r="O563" s="76" t="str">
        <f t="shared" si="66"/>
        <v/>
      </c>
      <c r="P563" s="76" t="str">
        <f t="shared" si="67"/>
        <v/>
      </c>
      <c r="Q563" s="75" t="str">
        <f t="shared" si="68"/>
        <v/>
      </c>
      <c r="R563" s="76" t="str">
        <f t="shared" si="69"/>
        <v/>
      </c>
      <c r="S563" s="76" t="str">
        <f t="shared" si="70"/>
        <v/>
      </c>
      <c r="T563" s="43"/>
      <c r="U563" s="107"/>
      <c r="V563" s="76" t="str">
        <f t="shared" si="71"/>
        <v/>
      </c>
      <c r="W563" s="43"/>
      <c r="X563" s="43"/>
      <c r="Y563" s="74"/>
    </row>
    <row r="564" ht="18" customHeight="1" spans="1:25">
      <c r="A564" s="74" t="str">
        <f t="shared" si="64"/>
        <v/>
      </c>
      <c r="B564" s="7"/>
      <c r="C564" s="43"/>
      <c r="D564" s="106"/>
      <c r="E564" s="43"/>
      <c r="F564" s="43"/>
      <c r="G564" s="43"/>
      <c r="H564" s="107"/>
      <c r="I564" s="107"/>
      <c r="J564" s="76" t="str">
        <f>IF($C564="","",ROUND(IFERROR(INDEX(期初余额!$I$4:$I$9,MATCH($C564,期初余额!$H$4:$H$9,0)),0)+SUMIFS($H$4:$H564,$C$4:$C564,$C564)-SUMIFS($I$4:$I564,$C$4:$C564,$C564),2))</f>
        <v/>
      </c>
      <c r="K564" s="111" t="str">
        <f>IF($T564&lt;&gt;"",$T564,IF($C564="","",IF(AND(N($I564)&gt;0,$G564&lt;&gt;""),IFERROR(INDEX(科目表!$U$4:$U$123,MATCH($G564,科目表!$M$4:$M$123,0)),"管理费用"),IF(N($H564)&gt;0,IFERROR(INDEX(自动规则!$C$4:$C$40,MATCH($F564,自动规则!$B$4:$B$40,0)),"其他应收款"),IFERROR(INDEX(自动规则!$D$4:$D$40,MATCH($F564,自动规则!$B$4:$B$40,0)),"其他应付款")))))</f>
        <v/>
      </c>
      <c r="L564" s="106"/>
      <c r="M564" s="75" t="str">
        <f>IF($C564="","",IFERROR(INDEX(科目表!$T$4:$T$9,MATCH($C564,科目表!$S$4:$S$9,0)),""))</f>
        <v/>
      </c>
      <c r="N564" s="75" t="str">
        <f t="shared" si="65"/>
        <v/>
      </c>
      <c r="O564" s="76" t="str">
        <f t="shared" si="66"/>
        <v/>
      </c>
      <c r="P564" s="76" t="str">
        <f t="shared" si="67"/>
        <v/>
      </c>
      <c r="Q564" s="75" t="str">
        <f t="shared" si="68"/>
        <v/>
      </c>
      <c r="R564" s="76" t="str">
        <f t="shared" si="69"/>
        <v/>
      </c>
      <c r="S564" s="76" t="str">
        <f t="shared" si="70"/>
        <v/>
      </c>
      <c r="T564" s="43"/>
      <c r="U564" s="107"/>
      <c r="V564" s="76" t="str">
        <f t="shared" si="71"/>
        <v/>
      </c>
      <c r="W564" s="43"/>
      <c r="X564" s="43"/>
      <c r="Y564" s="74"/>
    </row>
    <row r="565" ht="18" customHeight="1" spans="1:25">
      <c r="A565" s="74" t="str">
        <f t="shared" si="64"/>
        <v/>
      </c>
      <c r="B565" s="7"/>
      <c r="C565" s="43"/>
      <c r="D565" s="106"/>
      <c r="E565" s="43"/>
      <c r="F565" s="43"/>
      <c r="G565" s="43"/>
      <c r="H565" s="107"/>
      <c r="I565" s="107"/>
      <c r="J565" s="76" t="str">
        <f>IF($C565="","",ROUND(IFERROR(INDEX(期初余额!$I$4:$I$9,MATCH($C565,期初余额!$H$4:$H$9,0)),0)+SUMIFS($H$4:$H565,$C$4:$C565,$C565)-SUMIFS($I$4:$I565,$C$4:$C565,$C565),2))</f>
        <v/>
      </c>
      <c r="K565" s="111" t="str">
        <f>IF($T565&lt;&gt;"",$T565,IF($C565="","",IF(AND(N($I565)&gt;0,$G565&lt;&gt;""),IFERROR(INDEX(科目表!$U$4:$U$123,MATCH($G565,科目表!$M$4:$M$123,0)),"管理费用"),IF(N($H565)&gt;0,IFERROR(INDEX(自动规则!$C$4:$C$40,MATCH($F565,自动规则!$B$4:$B$40,0)),"其他应收款"),IFERROR(INDEX(自动规则!$D$4:$D$40,MATCH($F565,自动规则!$B$4:$B$40,0)),"其他应付款")))))</f>
        <v/>
      </c>
      <c r="L565" s="106"/>
      <c r="M565" s="75" t="str">
        <f>IF($C565="","",IFERROR(INDEX(科目表!$T$4:$T$9,MATCH($C565,科目表!$S$4:$S$9,0)),""))</f>
        <v/>
      </c>
      <c r="N565" s="75" t="str">
        <f t="shared" si="65"/>
        <v/>
      </c>
      <c r="O565" s="76" t="str">
        <f t="shared" si="66"/>
        <v/>
      </c>
      <c r="P565" s="76" t="str">
        <f t="shared" si="67"/>
        <v/>
      </c>
      <c r="Q565" s="75" t="str">
        <f t="shared" si="68"/>
        <v/>
      </c>
      <c r="R565" s="76" t="str">
        <f t="shared" si="69"/>
        <v/>
      </c>
      <c r="S565" s="76" t="str">
        <f t="shared" si="70"/>
        <v/>
      </c>
      <c r="T565" s="43"/>
      <c r="U565" s="107"/>
      <c r="V565" s="76" t="str">
        <f t="shared" si="71"/>
        <v/>
      </c>
      <c r="W565" s="43"/>
      <c r="X565" s="43"/>
      <c r="Y565" s="74"/>
    </row>
    <row r="566" ht="18" customHeight="1" spans="1:25">
      <c r="A566" s="74" t="str">
        <f t="shared" si="64"/>
        <v/>
      </c>
      <c r="B566" s="7"/>
      <c r="C566" s="43"/>
      <c r="D566" s="106"/>
      <c r="E566" s="43"/>
      <c r="F566" s="43"/>
      <c r="G566" s="43"/>
      <c r="H566" s="107"/>
      <c r="I566" s="107"/>
      <c r="J566" s="76" t="str">
        <f>IF($C566="","",ROUND(IFERROR(INDEX(期初余额!$I$4:$I$9,MATCH($C566,期初余额!$H$4:$H$9,0)),0)+SUMIFS($H$4:$H566,$C$4:$C566,$C566)-SUMIFS($I$4:$I566,$C$4:$C566,$C566),2))</f>
        <v/>
      </c>
      <c r="K566" s="111" t="str">
        <f>IF($T566&lt;&gt;"",$T566,IF($C566="","",IF(AND(N($I566)&gt;0,$G566&lt;&gt;""),IFERROR(INDEX(科目表!$U$4:$U$123,MATCH($G566,科目表!$M$4:$M$123,0)),"管理费用"),IF(N($H566)&gt;0,IFERROR(INDEX(自动规则!$C$4:$C$40,MATCH($F566,自动规则!$B$4:$B$40,0)),"其他应收款"),IFERROR(INDEX(自动规则!$D$4:$D$40,MATCH($F566,自动规则!$B$4:$B$40,0)),"其他应付款")))))</f>
        <v/>
      </c>
      <c r="L566" s="106"/>
      <c r="M566" s="75" t="str">
        <f>IF($C566="","",IFERROR(INDEX(科目表!$T$4:$T$9,MATCH($C566,科目表!$S$4:$S$9,0)),""))</f>
        <v/>
      </c>
      <c r="N566" s="75" t="str">
        <f t="shared" si="65"/>
        <v/>
      </c>
      <c r="O566" s="76" t="str">
        <f t="shared" si="66"/>
        <v/>
      </c>
      <c r="P566" s="76" t="str">
        <f t="shared" si="67"/>
        <v/>
      </c>
      <c r="Q566" s="75" t="str">
        <f t="shared" si="68"/>
        <v/>
      </c>
      <c r="R566" s="76" t="str">
        <f t="shared" si="69"/>
        <v/>
      </c>
      <c r="S566" s="76" t="str">
        <f t="shared" si="70"/>
        <v/>
      </c>
      <c r="T566" s="43"/>
      <c r="U566" s="107"/>
      <c r="V566" s="76" t="str">
        <f t="shared" si="71"/>
        <v/>
      </c>
      <c r="W566" s="43"/>
      <c r="X566" s="43"/>
      <c r="Y566" s="74"/>
    </row>
    <row r="567" ht="18" customHeight="1" spans="1:25">
      <c r="A567" s="74" t="str">
        <f t="shared" si="64"/>
        <v/>
      </c>
      <c r="B567" s="7"/>
      <c r="C567" s="43"/>
      <c r="D567" s="106"/>
      <c r="E567" s="43"/>
      <c r="F567" s="43"/>
      <c r="G567" s="43"/>
      <c r="H567" s="107"/>
      <c r="I567" s="107"/>
      <c r="J567" s="76" t="str">
        <f>IF($C567="","",ROUND(IFERROR(INDEX(期初余额!$I$4:$I$9,MATCH($C567,期初余额!$H$4:$H$9,0)),0)+SUMIFS($H$4:$H567,$C$4:$C567,$C567)-SUMIFS($I$4:$I567,$C$4:$C567,$C567),2))</f>
        <v/>
      </c>
      <c r="K567" s="111" t="str">
        <f>IF($T567&lt;&gt;"",$T567,IF($C567="","",IF(AND(N($I567)&gt;0,$G567&lt;&gt;""),IFERROR(INDEX(科目表!$U$4:$U$123,MATCH($G567,科目表!$M$4:$M$123,0)),"管理费用"),IF(N($H567)&gt;0,IFERROR(INDEX(自动规则!$C$4:$C$40,MATCH($F567,自动规则!$B$4:$B$40,0)),"其他应收款"),IFERROR(INDEX(自动规则!$D$4:$D$40,MATCH($F567,自动规则!$B$4:$B$40,0)),"其他应付款")))))</f>
        <v/>
      </c>
      <c r="L567" s="106"/>
      <c r="M567" s="75" t="str">
        <f>IF($C567="","",IFERROR(INDEX(科目表!$T$4:$T$9,MATCH($C567,科目表!$S$4:$S$9,0)),""))</f>
        <v/>
      </c>
      <c r="N567" s="75" t="str">
        <f t="shared" si="65"/>
        <v/>
      </c>
      <c r="O567" s="76" t="str">
        <f t="shared" si="66"/>
        <v/>
      </c>
      <c r="P567" s="76" t="str">
        <f t="shared" si="67"/>
        <v/>
      </c>
      <c r="Q567" s="75" t="str">
        <f t="shared" si="68"/>
        <v/>
      </c>
      <c r="R567" s="76" t="str">
        <f t="shared" si="69"/>
        <v/>
      </c>
      <c r="S567" s="76" t="str">
        <f t="shared" si="70"/>
        <v/>
      </c>
      <c r="T567" s="43"/>
      <c r="U567" s="107"/>
      <c r="V567" s="76" t="str">
        <f t="shared" si="71"/>
        <v/>
      </c>
      <c r="W567" s="43"/>
      <c r="X567" s="43"/>
      <c r="Y567" s="74"/>
    </row>
    <row r="568" ht="18" customHeight="1" spans="1:25">
      <c r="A568" s="74" t="str">
        <f t="shared" si="64"/>
        <v/>
      </c>
      <c r="B568" s="7"/>
      <c r="C568" s="43"/>
      <c r="D568" s="106"/>
      <c r="E568" s="43"/>
      <c r="F568" s="43"/>
      <c r="G568" s="43"/>
      <c r="H568" s="107"/>
      <c r="I568" s="107"/>
      <c r="J568" s="76" t="str">
        <f>IF($C568="","",ROUND(IFERROR(INDEX(期初余额!$I$4:$I$9,MATCH($C568,期初余额!$H$4:$H$9,0)),0)+SUMIFS($H$4:$H568,$C$4:$C568,$C568)-SUMIFS($I$4:$I568,$C$4:$C568,$C568),2))</f>
        <v/>
      </c>
      <c r="K568" s="111" t="str">
        <f>IF($T568&lt;&gt;"",$T568,IF($C568="","",IF(AND(N($I568)&gt;0,$G568&lt;&gt;""),IFERROR(INDEX(科目表!$U$4:$U$123,MATCH($G568,科目表!$M$4:$M$123,0)),"管理费用"),IF(N($H568)&gt;0,IFERROR(INDEX(自动规则!$C$4:$C$40,MATCH($F568,自动规则!$B$4:$B$40,0)),"其他应收款"),IFERROR(INDEX(自动规则!$D$4:$D$40,MATCH($F568,自动规则!$B$4:$B$40,0)),"其他应付款")))))</f>
        <v/>
      </c>
      <c r="L568" s="106"/>
      <c r="M568" s="75" t="str">
        <f>IF($C568="","",IFERROR(INDEX(科目表!$T$4:$T$9,MATCH($C568,科目表!$S$4:$S$9,0)),""))</f>
        <v/>
      </c>
      <c r="N568" s="75" t="str">
        <f t="shared" si="65"/>
        <v/>
      </c>
      <c r="O568" s="76" t="str">
        <f t="shared" si="66"/>
        <v/>
      </c>
      <c r="P568" s="76" t="str">
        <f t="shared" si="67"/>
        <v/>
      </c>
      <c r="Q568" s="75" t="str">
        <f t="shared" si="68"/>
        <v/>
      </c>
      <c r="R568" s="76" t="str">
        <f t="shared" si="69"/>
        <v/>
      </c>
      <c r="S568" s="76" t="str">
        <f t="shared" si="70"/>
        <v/>
      </c>
      <c r="T568" s="43"/>
      <c r="U568" s="107"/>
      <c r="V568" s="76" t="str">
        <f t="shared" si="71"/>
        <v/>
      </c>
      <c r="W568" s="43"/>
      <c r="X568" s="43"/>
      <c r="Y568" s="74"/>
    </row>
    <row r="569" ht="18" customHeight="1" spans="1:25">
      <c r="A569" s="74" t="str">
        <f t="shared" si="64"/>
        <v/>
      </c>
      <c r="B569" s="7"/>
      <c r="C569" s="43"/>
      <c r="D569" s="106"/>
      <c r="E569" s="43"/>
      <c r="F569" s="43"/>
      <c r="G569" s="43"/>
      <c r="H569" s="107"/>
      <c r="I569" s="107"/>
      <c r="J569" s="76" t="str">
        <f>IF($C569="","",ROUND(IFERROR(INDEX(期初余额!$I$4:$I$9,MATCH($C569,期初余额!$H$4:$H$9,0)),0)+SUMIFS($H$4:$H569,$C$4:$C569,$C569)-SUMIFS($I$4:$I569,$C$4:$C569,$C569),2))</f>
        <v/>
      </c>
      <c r="K569" s="111" t="str">
        <f>IF($T569&lt;&gt;"",$T569,IF($C569="","",IF(AND(N($I569)&gt;0,$G569&lt;&gt;""),IFERROR(INDEX(科目表!$U$4:$U$123,MATCH($G569,科目表!$M$4:$M$123,0)),"管理费用"),IF(N($H569)&gt;0,IFERROR(INDEX(自动规则!$C$4:$C$40,MATCH($F569,自动规则!$B$4:$B$40,0)),"其他应收款"),IFERROR(INDEX(自动规则!$D$4:$D$40,MATCH($F569,自动规则!$B$4:$B$40,0)),"其他应付款")))))</f>
        <v/>
      </c>
      <c r="L569" s="106"/>
      <c r="M569" s="75" t="str">
        <f>IF($C569="","",IFERROR(INDEX(科目表!$T$4:$T$9,MATCH($C569,科目表!$S$4:$S$9,0)),""))</f>
        <v/>
      </c>
      <c r="N569" s="75" t="str">
        <f t="shared" si="65"/>
        <v/>
      </c>
      <c r="O569" s="76" t="str">
        <f t="shared" si="66"/>
        <v/>
      </c>
      <c r="P569" s="76" t="str">
        <f t="shared" si="67"/>
        <v/>
      </c>
      <c r="Q569" s="75" t="str">
        <f t="shared" si="68"/>
        <v/>
      </c>
      <c r="R569" s="76" t="str">
        <f t="shared" si="69"/>
        <v/>
      </c>
      <c r="S569" s="76" t="str">
        <f t="shared" si="70"/>
        <v/>
      </c>
      <c r="T569" s="43"/>
      <c r="U569" s="107"/>
      <c r="V569" s="76" t="str">
        <f t="shared" si="71"/>
        <v/>
      </c>
      <c r="W569" s="43"/>
      <c r="X569" s="43"/>
      <c r="Y569" s="74"/>
    </row>
    <row r="570" ht="18" customHeight="1" spans="1:25">
      <c r="A570" s="74" t="str">
        <f t="shared" si="64"/>
        <v/>
      </c>
      <c r="B570" s="7"/>
      <c r="C570" s="43"/>
      <c r="D570" s="106"/>
      <c r="E570" s="43"/>
      <c r="F570" s="43"/>
      <c r="G570" s="43"/>
      <c r="H570" s="107"/>
      <c r="I570" s="107"/>
      <c r="J570" s="76" t="str">
        <f>IF($C570="","",ROUND(IFERROR(INDEX(期初余额!$I$4:$I$9,MATCH($C570,期初余额!$H$4:$H$9,0)),0)+SUMIFS($H$4:$H570,$C$4:$C570,$C570)-SUMIFS($I$4:$I570,$C$4:$C570,$C570),2))</f>
        <v/>
      </c>
      <c r="K570" s="111" t="str">
        <f>IF($T570&lt;&gt;"",$T570,IF($C570="","",IF(AND(N($I570)&gt;0,$G570&lt;&gt;""),IFERROR(INDEX(科目表!$U$4:$U$123,MATCH($G570,科目表!$M$4:$M$123,0)),"管理费用"),IF(N($H570)&gt;0,IFERROR(INDEX(自动规则!$C$4:$C$40,MATCH($F570,自动规则!$B$4:$B$40,0)),"其他应收款"),IFERROR(INDEX(自动规则!$D$4:$D$40,MATCH($F570,自动规则!$B$4:$B$40,0)),"其他应付款")))))</f>
        <v/>
      </c>
      <c r="L570" s="106"/>
      <c r="M570" s="75" t="str">
        <f>IF($C570="","",IFERROR(INDEX(科目表!$T$4:$T$9,MATCH($C570,科目表!$S$4:$S$9,0)),""))</f>
        <v/>
      </c>
      <c r="N570" s="75" t="str">
        <f t="shared" si="65"/>
        <v/>
      </c>
      <c r="O570" s="76" t="str">
        <f t="shared" si="66"/>
        <v/>
      </c>
      <c r="P570" s="76" t="str">
        <f t="shared" si="67"/>
        <v/>
      </c>
      <c r="Q570" s="75" t="str">
        <f t="shared" si="68"/>
        <v/>
      </c>
      <c r="R570" s="76" t="str">
        <f t="shared" si="69"/>
        <v/>
      </c>
      <c r="S570" s="76" t="str">
        <f t="shared" si="70"/>
        <v/>
      </c>
      <c r="T570" s="43"/>
      <c r="U570" s="107"/>
      <c r="V570" s="76" t="str">
        <f t="shared" si="71"/>
        <v/>
      </c>
      <c r="W570" s="43"/>
      <c r="X570" s="43"/>
      <c r="Y570" s="74"/>
    </row>
    <row r="571" ht="18" customHeight="1" spans="1:25">
      <c r="A571" s="74" t="str">
        <f t="shared" si="64"/>
        <v/>
      </c>
      <c r="B571" s="7"/>
      <c r="C571" s="43"/>
      <c r="D571" s="106"/>
      <c r="E571" s="43"/>
      <c r="F571" s="43"/>
      <c r="G571" s="43"/>
      <c r="H571" s="107"/>
      <c r="I571" s="107"/>
      <c r="J571" s="76" t="str">
        <f>IF($C571="","",ROUND(IFERROR(INDEX(期初余额!$I$4:$I$9,MATCH($C571,期初余额!$H$4:$H$9,0)),0)+SUMIFS($H$4:$H571,$C$4:$C571,$C571)-SUMIFS($I$4:$I571,$C$4:$C571,$C571),2))</f>
        <v/>
      </c>
      <c r="K571" s="111" t="str">
        <f>IF($T571&lt;&gt;"",$T571,IF($C571="","",IF(AND(N($I571)&gt;0,$G571&lt;&gt;""),IFERROR(INDEX(科目表!$U$4:$U$123,MATCH($G571,科目表!$M$4:$M$123,0)),"管理费用"),IF(N($H571)&gt;0,IFERROR(INDEX(自动规则!$C$4:$C$40,MATCH($F571,自动规则!$B$4:$B$40,0)),"其他应收款"),IFERROR(INDEX(自动规则!$D$4:$D$40,MATCH($F571,自动规则!$B$4:$B$40,0)),"其他应付款")))))</f>
        <v/>
      </c>
      <c r="L571" s="106"/>
      <c r="M571" s="75" t="str">
        <f>IF($C571="","",IFERROR(INDEX(科目表!$T$4:$T$9,MATCH($C571,科目表!$S$4:$S$9,0)),""))</f>
        <v/>
      </c>
      <c r="N571" s="75" t="str">
        <f t="shared" si="65"/>
        <v/>
      </c>
      <c r="O571" s="76" t="str">
        <f t="shared" si="66"/>
        <v/>
      </c>
      <c r="P571" s="76" t="str">
        <f t="shared" si="67"/>
        <v/>
      </c>
      <c r="Q571" s="75" t="str">
        <f t="shared" si="68"/>
        <v/>
      </c>
      <c r="R571" s="76" t="str">
        <f t="shared" si="69"/>
        <v/>
      </c>
      <c r="S571" s="76" t="str">
        <f t="shared" si="70"/>
        <v/>
      </c>
      <c r="T571" s="43"/>
      <c r="U571" s="107"/>
      <c r="V571" s="76" t="str">
        <f t="shared" si="71"/>
        <v/>
      </c>
      <c r="W571" s="43"/>
      <c r="X571" s="43"/>
      <c r="Y571" s="74"/>
    </row>
    <row r="572" ht="18" customHeight="1" spans="1:25">
      <c r="A572" s="74" t="str">
        <f t="shared" si="64"/>
        <v/>
      </c>
      <c r="B572" s="7"/>
      <c r="C572" s="43"/>
      <c r="D572" s="106"/>
      <c r="E572" s="43"/>
      <c r="F572" s="43"/>
      <c r="G572" s="43"/>
      <c r="H572" s="107"/>
      <c r="I572" s="107"/>
      <c r="J572" s="76" t="str">
        <f>IF($C572="","",ROUND(IFERROR(INDEX(期初余额!$I$4:$I$9,MATCH($C572,期初余额!$H$4:$H$9,0)),0)+SUMIFS($H$4:$H572,$C$4:$C572,$C572)-SUMIFS($I$4:$I572,$C$4:$C572,$C572),2))</f>
        <v/>
      </c>
      <c r="K572" s="111" t="str">
        <f>IF($T572&lt;&gt;"",$T572,IF($C572="","",IF(AND(N($I572)&gt;0,$G572&lt;&gt;""),IFERROR(INDEX(科目表!$U$4:$U$123,MATCH($G572,科目表!$M$4:$M$123,0)),"管理费用"),IF(N($H572)&gt;0,IFERROR(INDEX(自动规则!$C$4:$C$40,MATCH($F572,自动规则!$B$4:$B$40,0)),"其他应收款"),IFERROR(INDEX(自动规则!$D$4:$D$40,MATCH($F572,自动规则!$B$4:$B$40,0)),"其他应付款")))))</f>
        <v/>
      </c>
      <c r="L572" s="106"/>
      <c r="M572" s="75" t="str">
        <f>IF($C572="","",IFERROR(INDEX(科目表!$T$4:$T$9,MATCH($C572,科目表!$S$4:$S$9,0)),""))</f>
        <v/>
      </c>
      <c r="N572" s="75" t="str">
        <f t="shared" si="65"/>
        <v/>
      </c>
      <c r="O572" s="76" t="str">
        <f t="shared" si="66"/>
        <v/>
      </c>
      <c r="P572" s="76" t="str">
        <f t="shared" si="67"/>
        <v/>
      </c>
      <c r="Q572" s="75" t="str">
        <f t="shared" si="68"/>
        <v/>
      </c>
      <c r="R572" s="76" t="str">
        <f t="shared" si="69"/>
        <v/>
      </c>
      <c r="S572" s="76" t="str">
        <f t="shared" si="70"/>
        <v/>
      </c>
      <c r="T572" s="43"/>
      <c r="U572" s="107"/>
      <c r="V572" s="76" t="str">
        <f t="shared" si="71"/>
        <v/>
      </c>
      <c r="W572" s="43"/>
      <c r="X572" s="43"/>
      <c r="Y572" s="74"/>
    </row>
    <row r="573" ht="18" customHeight="1" spans="1:25">
      <c r="A573" s="74" t="str">
        <f t="shared" si="64"/>
        <v/>
      </c>
      <c r="B573" s="7"/>
      <c r="C573" s="43"/>
      <c r="D573" s="106"/>
      <c r="E573" s="43"/>
      <c r="F573" s="43"/>
      <c r="G573" s="43"/>
      <c r="H573" s="107"/>
      <c r="I573" s="107"/>
      <c r="J573" s="76" t="str">
        <f>IF($C573="","",ROUND(IFERROR(INDEX(期初余额!$I$4:$I$9,MATCH($C573,期初余额!$H$4:$H$9,0)),0)+SUMIFS($H$4:$H573,$C$4:$C573,$C573)-SUMIFS($I$4:$I573,$C$4:$C573,$C573),2))</f>
        <v/>
      </c>
      <c r="K573" s="111" t="str">
        <f>IF($T573&lt;&gt;"",$T573,IF($C573="","",IF(AND(N($I573)&gt;0,$G573&lt;&gt;""),IFERROR(INDEX(科目表!$U$4:$U$123,MATCH($G573,科目表!$M$4:$M$123,0)),"管理费用"),IF(N($H573)&gt;0,IFERROR(INDEX(自动规则!$C$4:$C$40,MATCH($F573,自动规则!$B$4:$B$40,0)),"其他应收款"),IFERROR(INDEX(自动规则!$D$4:$D$40,MATCH($F573,自动规则!$B$4:$B$40,0)),"其他应付款")))))</f>
        <v/>
      </c>
      <c r="L573" s="106"/>
      <c r="M573" s="75" t="str">
        <f>IF($C573="","",IFERROR(INDEX(科目表!$T$4:$T$9,MATCH($C573,科目表!$S$4:$S$9,0)),""))</f>
        <v/>
      </c>
      <c r="N573" s="75" t="str">
        <f t="shared" si="65"/>
        <v/>
      </c>
      <c r="O573" s="76" t="str">
        <f t="shared" si="66"/>
        <v/>
      </c>
      <c r="P573" s="76" t="str">
        <f t="shared" si="67"/>
        <v/>
      </c>
      <c r="Q573" s="75" t="str">
        <f t="shared" si="68"/>
        <v/>
      </c>
      <c r="R573" s="76" t="str">
        <f t="shared" si="69"/>
        <v/>
      </c>
      <c r="S573" s="76" t="str">
        <f t="shared" si="70"/>
        <v/>
      </c>
      <c r="T573" s="43"/>
      <c r="U573" s="107"/>
      <c r="V573" s="76" t="str">
        <f t="shared" si="71"/>
        <v/>
      </c>
      <c r="W573" s="43"/>
      <c r="X573" s="43"/>
      <c r="Y573" s="74"/>
    </row>
    <row r="574" ht="18" customHeight="1" spans="1:25">
      <c r="A574" s="74" t="str">
        <f t="shared" si="64"/>
        <v/>
      </c>
      <c r="B574" s="7"/>
      <c r="C574" s="43"/>
      <c r="D574" s="106"/>
      <c r="E574" s="43"/>
      <c r="F574" s="43"/>
      <c r="G574" s="43"/>
      <c r="H574" s="107"/>
      <c r="I574" s="107"/>
      <c r="J574" s="76" t="str">
        <f>IF($C574="","",ROUND(IFERROR(INDEX(期初余额!$I$4:$I$9,MATCH($C574,期初余额!$H$4:$H$9,0)),0)+SUMIFS($H$4:$H574,$C$4:$C574,$C574)-SUMIFS($I$4:$I574,$C$4:$C574,$C574),2))</f>
        <v/>
      </c>
      <c r="K574" s="111" t="str">
        <f>IF($T574&lt;&gt;"",$T574,IF($C574="","",IF(AND(N($I574)&gt;0,$G574&lt;&gt;""),IFERROR(INDEX(科目表!$U$4:$U$123,MATCH($G574,科目表!$M$4:$M$123,0)),"管理费用"),IF(N($H574)&gt;0,IFERROR(INDEX(自动规则!$C$4:$C$40,MATCH($F574,自动规则!$B$4:$B$40,0)),"其他应收款"),IFERROR(INDEX(自动规则!$D$4:$D$40,MATCH($F574,自动规则!$B$4:$B$40,0)),"其他应付款")))))</f>
        <v/>
      </c>
      <c r="L574" s="106"/>
      <c r="M574" s="75" t="str">
        <f>IF($C574="","",IFERROR(INDEX(科目表!$T$4:$T$9,MATCH($C574,科目表!$S$4:$S$9,0)),""))</f>
        <v/>
      </c>
      <c r="N574" s="75" t="str">
        <f t="shared" si="65"/>
        <v/>
      </c>
      <c r="O574" s="76" t="str">
        <f t="shared" si="66"/>
        <v/>
      </c>
      <c r="P574" s="76" t="str">
        <f t="shared" si="67"/>
        <v/>
      </c>
      <c r="Q574" s="75" t="str">
        <f t="shared" si="68"/>
        <v/>
      </c>
      <c r="R574" s="76" t="str">
        <f t="shared" si="69"/>
        <v/>
      </c>
      <c r="S574" s="76" t="str">
        <f t="shared" si="70"/>
        <v/>
      </c>
      <c r="T574" s="43"/>
      <c r="U574" s="107"/>
      <c r="V574" s="76" t="str">
        <f t="shared" si="71"/>
        <v/>
      </c>
      <c r="W574" s="43"/>
      <c r="X574" s="43"/>
      <c r="Y574" s="74"/>
    </row>
    <row r="575" ht="18" customHeight="1" spans="1:25">
      <c r="A575" s="74" t="str">
        <f t="shared" si="64"/>
        <v/>
      </c>
      <c r="B575" s="7"/>
      <c r="C575" s="43"/>
      <c r="D575" s="106"/>
      <c r="E575" s="43"/>
      <c r="F575" s="43"/>
      <c r="G575" s="43"/>
      <c r="H575" s="107"/>
      <c r="I575" s="107"/>
      <c r="J575" s="76" t="str">
        <f>IF($C575="","",ROUND(IFERROR(INDEX(期初余额!$I$4:$I$9,MATCH($C575,期初余额!$H$4:$H$9,0)),0)+SUMIFS($H$4:$H575,$C$4:$C575,$C575)-SUMIFS($I$4:$I575,$C$4:$C575,$C575),2))</f>
        <v/>
      </c>
      <c r="K575" s="111" t="str">
        <f>IF($T575&lt;&gt;"",$T575,IF($C575="","",IF(AND(N($I575)&gt;0,$G575&lt;&gt;""),IFERROR(INDEX(科目表!$U$4:$U$123,MATCH($G575,科目表!$M$4:$M$123,0)),"管理费用"),IF(N($H575)&gt;0,IFERROR(INDEX(自动规则!$C$4:$C$40,MATCH($F575,自动规则!$B$4:$B$40,0)),"其他应收款"),IFERROR(INDEX(自动规则!$D$4:$D$40,MATCH($F575,自动规则!$B$4:$B$40,0)),"其他应付款")))))</f>
        <v/>
      </c>
      <c r="L575" s="106"/>
      <c r="M575" s="75" t="str">
        <f>IF($C575="","",IFERROR(INDEX(科目表!$T$4:$T$9,MATCH($C575,科目表!$S$4:$S$9,0)),""))</f>
        <v/>
      </c>
      <c r="N575" s="75" t="str">
        <f t="shared" si="65"/>
        <v/>
      </c>
      <c r="O575" s="76" t="str">
        <f t="shared" si="66"/>
        <v/>
      </c>
      <c r="P575" s="76" t="str">
        <f t="shared" si="67"/>
        <v/>
      </c>
      <c r="Q575" s="75" t="str">
        <f t="shared" si="68"/>
        <v/>
      </c>
      <c r="R575" s="76" t="str">
        <f t="shared" si="69"/>
        <v/>
      </c>
      <c r="S575" s="76" t="str">
        <f t="shared" si="70"/>
        <v/>
      </c>
      <c r="T575" s="43"/>
      <c r="U575" s="107"/>
      <c r="V575" s="76" t="str">
        <f t="shared" si="71"/>
        <v/>
      </c>
      <c r="W575" s="43"/>
      <c r="X575" s="43"/>
      <c r="Y575" s="74"/>
    </row>
    <row r="576" ht="18" customHeight="1" spans="1:25">
      <c r="A576" s="74" t="str">
        <f t="shared" si="64"/>
        <v/>
      </c>
      <c r="B576" s="7"/>
      <c r="C576" s="43"/>
      <c r="D576" s="106"/>
      <c r="E576" s="43"/>
      <c r="F576" s="43"/>
      <c r="G576" s="43"/>
      <c r="H576" s="107"/>
      <c r="I576" s="107"/>
      <c r="J576" s="76" t="str">
        <f>IF($C576="","",ROUND(IFERROR(INDEX(期初余额!$I$4:$I$9,MATCH($C576,期初余额!$H$4:$H$9,0)),0)+SUMIFS($H$4:$H576,$C$4:$C576,$C576)-SUMIFS($I$4:$I576,$C$4:$C576,$C576),2))</f>
        <v/>
      </c>
      <c r="K576" s="111" t="str">
        <f>IF($T576&lt;&gt;"",$T576,IF($C576="","",IF(AND(N($I576)&gt;0,$G576&lt;&gt;""),IFERROR(INDEX(科目表!$U$4:$U$123,MATCH($G576,科目表!$M$4:$M$123,0)),"管理费用"),IF(N($H576)&gt;0,IFERROR(INDEX(自动规则!$C$4:$C$40,MATCH($F576,自动规则!$B$4:$B$40,0)),"其他应收款"),IFERROR(INDEX(自动规则!$D$4:$D$40,MATCH($F576,自动规则!$B$4:$B$40,0)),"其他应付款")))))</f>
        <v/>
      </c>
      <c r="L576" s="106"/>
      <c r="M576" s="75" t="str">
        <f>IF($C576="","",IFERROR(INDEX(科目表!$T$4:$T$9,MATCH($C576,科目表!$S$4:$S$9,0)),""))</f>
        <v/>
      </c>
      <c r="N576" s="75" t="str">
        <f t="shared" si="65"/>
        <v/>
      </c>
      <c r="O576" s="76" t="str">
        <f t="shared" si="66"/>
        <v/>
      </c>
      <c r="P576" s="76" t="str">
        <f t="shared" si="67"/>
        <v/>
      </c>
      <c r="Q576" s="75" t="str">
        <f t="shared" si="68"/>
        <v/>
      </c>
      <c r="R576" s="76" t="str">
        <f t="shared" si="69"/>
        <v/>
      </c>
      <c r="S576" s="76" t="str">
        <f t="shared" si="70"/>
        <v/>
      </c>
      <c r="T576" s="43"/>
      <c r="U576" s="107"/>
      <c r="V576" s="76" t="str">
        <f t="shared" si="71"/>
        <v/>
      </c>
      <c r="W576" s="43"/>
      <c r="X576" s="43"/>
      <c r="Y576" s="74"/>
    </row>
    <row r="577" ht="18" customHeight="1" spans="1:25">
      <c r="A577" s="74" t="str">
        <f t="shared" si="64"/>
        <v/>
      </c>
      <c r="B577" s="7"/>
      <c r="C577" s="43"/>
      <c r="D577" s="106"/>
      <c r="E577" s="43"/>
      <c r="F577" s="43"/>
      <c r="G577" s="43"/>
      <c r="H577" s="107"/>
      <c r="I577" s="107"/>
      <c r="J577" s="76" t="str">
        <f>IF($C577="","",ROUND(IFERROR(INDEX(期初余额!$I$4:$I$9,MATCH($C577,期初余额!$H$4:$H$9,0)),0)+SUMIFS($H$4:$H577,$C$4:$C577,$C577)-SUMIFS($I$4:$I577,$C$4:$C577,$C577),2))</f>
        <v/>
      </c>
      <c r="K577" s="111" t="str">
        <f>IF($T577&lt;&gt;"",$T577,IF($C577="","",IF(AND(N($I577)&gt;0,$G577&lt;&gt;""),IFERROR(INDEX(科目表!$U$4:$U$123,MATCH($G577,科目表!$M$4:$M$123,0)),"管理费用"),IF(N($H577)&gt;0,IFERROR(INDEX(自动规则!$C$4:$C$40,MATCH($F577,自动规则!$B$4:$B$40,0)),"其他应收款"),IFERROR(INDEX(自动规则!$D$4:$D$40,MATCH($F577,自动规则!$B$4:$B$40,0)),"其他应付款")))))</f>
        <v/>
      </c>
      <c r="L577" s="106"/>
      <c r="M577" s="75" t="str">
        <f>IF($C577="","",IFERROR(INDEX(科目表!$T$4:$T$9,MATCH($C577,科目表!$S$4:$S$9,0)),""))</f>
        <v/>
      </c>
      <c r="N577" s="75" t="str">
        <f t="shared" si="65"/>
        <v/>
      </c>
      <c r="O577" s="76" t="str">
        <f t="shared" si="66"/>
        <v/>
      </c>
      <c r="P577" s="76" t="str">
        <f t="shared" si="67"/>
        <v/>
      </c>
      <c r="Q577" s="75" t="str">
        <f t="shared" si="68"/>
        <v/>
      </c>
      <c r="R577" s="76" t="str">
        <f t="shared" si="69"/>
        <v/>
      </c>
      <c r="S577" s="76" t="str">
        <f t="shared" si="70"/>
        <v/>
      </c>
      <c r="T577" s="43"/>
      <c r="U577" s="107"/>
      <c r="V577" s="76" t="str">
        <f t="shared" si="71"/>
        <v/>
      </c>
      <c r="W577" s="43"/>
      <c r="X577" s="43"/>
      <c r="Y577" s="74"/>
    </row>
    <row r="578" ht="18" customHeight="1" spans="1:25">
      <c r="A578" s="74" t="str">
        <f t="shared" si="64"/>
        <v/>
      </c>
      <c r="B578" s="7"/>
      <c r="C578" s="43"/>
      <c r="D578" s="106"/>
      <c r="E578" s="43"/>
      <c r="F578" s="43"/>
      <c r="G578" s="43"/>
      <c r="H578" s="107"/>
      <c r="I578" s="107"/>
      <c r="J578" s="76" t="str">
        <f>IF($C578="","",ROUND(IFERROR(INDEX(期初余额!$I$4:$I$9,MATCH($C578,期初余额!$H$4:$H$9,0)),0)+SUMIFS($H$4:$H578,$C$4:$C578,$C578)-SUMIFS($I$4:$I578,$C$4:$C578,$C578),2))</f>
        <v/>
      </c>
      <c r="K578" s="111" t="str">
        <f>IF($T578&lt;&gt;"",$T578,IF($C578="","",IF(AND(N($I578)&gt;0,$G578&lt;&gt;""),IFERROR(INDEX(科目表!$U$4:$U$123,MATCH($G578,科目表!$M$4:$M$123,0)),"管理费用"),IF(N($H578)&gt;0,IFERROR(INDEX(自动规则!$C$4:$C$40,MATCH($F578,自动规则!$B$4:$B$40,0)),"其他应收款"),IFERROR(INDEX(自动规则!$D$4:$D$40,MATCH($F578,自动规则!$B$4:$B$40,0)),"其他应付款")))))</f>
        <v/>
      </c>
      <c r="L578" s="106"/>
      <c r="M578" s="75" t="str">
        <f>IF($C578="","",IFERROR(INDEX(科目表!$T$4:$T$9,MATCH($C578,科目表!$S$4:$S$9,0)),""))</f>
        <v/>
      </c>
      <c r="N578" s="75" t="str">
        <f t="shared" si="65"/>
        <v/>
      </c>
      <c r="O578" s="76" t="str">
        <f t="shared" si="66"/>
        <v/>
      </c>
      <c r="P578" s="76" t="str">
        <f t="shared" si="67"/>
        <v/>
      </c>
      <c r="Q578" s="75" t="str">
        <f t="shared" si="68"/>
        <v/>
      </c>
      <c r="R578" s="76" t="str">
        <f t="shared" si="69"/>
        <v/>
      </c>
      <c r="S578" s="76" t="str">
        <f t="shared" si="70"/>
        <v/>
      </c>
      <c r="T578" s="43"/>
      <c r="U578" s="107"/>
      <c r="V578" s="76" t="str">
        <f t="shared" si="71"/>
        <v/>
      </c>
      <c r="W578" s="43"/>
      <c r="X578" s="43"/>
      <c r="Y578" s="74"/>
    </row>
    <row r="579" ht="18" customHeight="1" spans="1:25">
      <c r="A579" s="74" t="str">
        <f t="shared" si="64"/>
        <v/>
      </c>
      <c r="B579" s="7"/>
      <c r="C579" s="43"/>
      <c r="D579" s="106"/>
      <c r="E579" s="43"/>
      <c r="F579" s="43"/>
      <c r="G579" s="43"/>
      <c r="H579" s="107"/>
      <c r="I579" s="107"/>
      <c r="J579" s="76" t="str">
        <f>IF($C579="","",ROUND(IFERROR(INDEX(期初余额!$I$4:$I$9,MATCH($C579,期初余额!$H$4:$H$9,0)),0)+SUMIFS($H$4:$H579,$C$4:$C579,$C579)-SUMIFS($I$4:$I579,$C$4:$C579,$C579),2))</f>
        <v/>
      </c>
      <c r="K579" s="111" t="str">
        <f>IF($T579&lt;&gt;"",$T579,IF($C579="","",IF(AND(N($I579)&gt;0,$G579&lt;&gt;""),IFERROR(INDEX(科目表!$U$4:$U$123,MATCH($G579,科目表!$M$4:$M$123,0)),"管理费用"),IF(N($H579)&gt;0,IFERROR(INDEX(自动规则!$C$4:$C$40,MATCH($F579,自动规则!$B$4:$B$40,0)),"其他应收款"),IFERROR(INDEX(自动规则!$D$4:$D$40,MATCH($F579,自动规则!$B$4:$B$40,0)),"其他应付款")))))</f>
        <v/>
      </c>
      <c r="L579" s="106"/>
      <c r="M579" s="75" t="str">
        <f>IF($C579="","",IFERROR(INDEX(科目表!$T$4:$T$9,MATCH($C579,科目表!$S$4:$S$9,0)),""))</f>
        <v/>
      </c>
      <c r="N579" s="75" t="str">
        <f t="shared" si="65"/>
        <v/>
      </c>
      <c r="O579" s="76" t="str">
        <f t="shared" si="66"/>
        <v/>
      </c>
      <c r="P579" s="76" t="str">
        <f t="shared" si="67"/>
        <v/>
      </c>
      <c r="Q579" s="75" t="str">
        <f t="shared" si="68"/>
        <v/>
      </c>
      <c r="R579" s="76" t="str">
        <f t="shared" si="69"/>
        <v/>
      </c>
      <c r="S579" s="76" t="str">
        <f t="shared" si="70"/>
        <v/>
      </c>
      <c r="T579" s="43"/>
      <c r="U579" s="107"/>
      <c r="V579" s="76" t="str">
        <f t="shared" si="71"/>
        <v/>
      </c>
      <c r="W579" s="43"/>
      <c r="X579" s="43"/>
      <c r="Y579" s="74"/>
    </row>
    <row r="580" ht="18" customHeight="1" spans="1:25">
      <c r="A580" s="74" t="str">
        <f t="shared" ref="A580:A603" si="72">IF($C580="","",ROW()-3)</f>
        <v/>
      </c>
      <c r="B580" s="7"/>
      <c r="C580" s="43"/>
      <c r="D580" s="106"/>
      <c r="E580" s="43"/>
      <c r="F580" s="43"/>
      <c r="G580" s="43"/>
      <c r="H580" s="107"/>
      <c r="I580" s="107"/>
      <c r="J580" s="76" t="str">
        <f>IF($C580="","",ROUND(IFERROR(INDEX(期初余额!$I$4:$I$9,MATCH($C580,期初余额!$H$4:$H$9,0)),0)+SUMIFS($H$4:$H580,$C$4:$C580,$C580)-SUMIFS($I$4:$I580,$C$4:$C580,$C580),2))</f>
        <v/>
      </c>
      <c r="K580" s="111" t="str">
        <f>IF($T580&lt;&gt;"",$T580,IF($C580="","",IF(AND(N($I580)&gt;0,$G580&lt;&gt;""),IFERROR(INDEX(科目表!$U$4:$U$123,MATCH($G580,科目表!$M$4:$M$123,0)),"管理费用"),IF(N($H580)&gt;0,IFERROR(INDEX(自动规则!$C$4:$C$40,MATCH($F580,自动规则!$B$4:$B$40,0)),"其他应收款"),IFERROR(INDEX(自动规则!$D$4:$D$40,MATCH($F580,自动规则!$B$4:$B$40,0)),"其他应付款")))))</f>
        <v/>
      </c>
      <c r="L580" s="106"/>
      <c r="M580" s="75" t="str">
        <f>IF($C580="","",IFERROR(INDEX(科目表!$T$4:$T$9,MATCH($C580,科目表!$S$4:$S$9,0)),""))</f>
        <v/>
      </c>
      <c r="N580" s="75" t="str">
        <f t="shared" ref="N580:N603" si="73">IF(OR($C580="",ROUND(N($H580)+N($I580),2)=0),"",IF(N($H580)&gt;0,$M580,$K580))</f>
        <v/>
      </c>
      <c r="O580" s="76" t="str">
        <f t="shared" ref="O580:O603" si="74">IF($N580="","",ROUND(N($H580)+N($I580),2))</f>
        <v/>
      </c>
      <c r="P580" s="76" t="str">
        <f t="shared" ref="P580:P603" si="75">IF($N580="","",0)</f>
        <v/>
      </c>
      <c r="Q580" s="75" t="str">
        <f t="shared" ref="Q580:Q603" si="76">IF($N580="","",IF(N($H580)&gt;0,$K580,$M580))</f>
        <v/>
      </c>
      <c r="R580" s="76" t="str">
        <f t="shared" ref="R580:R603" si="77">IF($Q580="","",0)</f>
        <v/>
      </c>
      <c r="S580" s="76" t="str">
        <f t="shared" ref="S580:S603" si="78">IF($Q580="","",ROUND(N($H580)+N($I580),2))</f>
        <v/>
      </c>
      <c r="T580" s="43"/>
      <c r="U580" s="107"/>
      <c r="V580" s="76" t="str">
        <f t="shared" ref="V580:V603" si="79">IF($B580="","",TEXT($B580,"yyyy年m月"))</f>
        <v/>
      </c>
      <c r="W580" s="43"/>
      <c r="X580" s="43"/>
      <c r="Y580" s="74"/>
    </row>
    <row r="581" ht="18" customHeight="1" spans="1:25">
      <c r="A581" s="74" t="str">
        <f t="shared" si="72"/>
        <v/>
      </c>
      <c r="B581" s="7"/>
      <c r="C581" s="43"/>
      <c r="D581" s="106"/>
      <c r="E581" s="43"/>
      <c r="F581" s="43"/>
      <c r="G581" s="43"/>
      <c r="H581" s="107"/>
      <c r="I581" s="107"/>
      <c r="J581" s="76" t="str">
        <f>IF($C581="","",ROUND(IFERROR(INDEX(期初余额!$I$4:$I$9,MATCH($C581,期初余额!$H$4:$H$9,0)),0)+SUMIFS($H$4:$H581,$C$4:$C581,$C581)-SUMIFS($I$4:$I581,$C$4:$C581,$C581),2))</f>
        <v/>
      </c>
      <c r="K581" s="111" t="str">
        <f>IF($T581&lt;&gt;"",$T581,IF($C581="","",IF(AND(N($I581)&gt;0,$G581&lt;&gt;""),IFERROR(INDEX(科目表!$U$4:$U$123,MATCH($G581,科目表!$M$4:$M$123,0)),"管理费用"),IF(N($H581)&gt;0,IFERROR(INDEX(自动规则!$C$4:$C$40,MATCH($F581,自动规则!$B$4:$B$40,0)),"其他应收款"),IFERROR(INDEX(自动规则!$D$4:$D$40,MATCH($F581,自动规则!$B$4:$B$40,0)),"其他应付款")))))</f>
        <v/>
      </c>
      <c r="L581" s="106"/>
      <c r="M581" s="75" t="str">
        <f>IF($C581="","",IFERROR(INDEX(科目表!$T$4:$T$9,MATCH($C581,科目表!$S$4:$S$9,0)),""))</f>
        <v/>
      </c>
      <c r="N581" s="75" t="str">
        <f t="shared" si="73"/>
        <v/>
      </c>
      <c r="O581" s="76" t="str">
        <f t="shared" si="74"/>
        <v/>
      </c>
      <c r="P581" s="76" t="str">
        <f t="shared" si="75"/>
        <v/>
      </c>
      <c r="Q581" s="75" t="str">
        <f t="shared" si="76"/>
        <v/>
      </c>
      <c r="R581" s="76" t="str">
        <f t="shared" si="77"/>
        <v/>
      </c>
      <c r="S581" s="76" t="str">
        <f t="shared" si="78"/>
        <v/>
      </c>
      <c r="T581" s="43"/>
      <c r="U581" s="107"/>
      <c r="V581" s="76" t="str">
        <f t="shared" si="79"/>
        <v/>
      </c>
      <c r="W581" s="43"/>
      <c r="X581" s="43"/>
      <c r="Y581" s="74"/>
    </row>
    <row r="582" ht="18" customHeight="1" spans="1:25">
      <c r="A582" s="74" t="str">
        <f t="shared" si="72"/>
        <v/>
      </c>
      <c r="B582" s="7"/>
      <c r="C582" s="43"/>
      <c r="D582" s="106"/>
      <c r="E582" s="43"/>
      <c r="F582" s="43"/>
      <c r="G582" s="43"/>
      <c r="H582" s="107"/>
      <c r="I582" s="107"/>
      <c r="J582" s="76" t="str">
        <f>IF($C582="","",ROUND(IFERROR(INDEX(期初余额!$I$4:$I$9,MATCH($C582,期初余额!$H$4:$H$9,0)),0)+SUMIFS($H$4:$H582,$C$4:$C582,$C582)-SUMIFS($I$4:$I582,$C$4:$C582,$C582),2))</f>
        <v/>
      </c>
      <c r="K582" s="111" t="str">
        <f>IF($T582&lt;&gt;"",$T582,IF($C582="","",IF(AND(N($I582)&gt;0,$G582&lt;&gt;""),IFERROR(INDEX(科目表!$U$4:$U$123,MATCH($G582,科目表!$M$4:$M$123,0)),"管理费用"),IF(N($H582)&gt;0,IFERROR(INDEX(自动规则!$C$4:$C$40,MATCH($F582,自动规则!$B$4:$B$40,0)),"其他应收款"),IFERROR(INDEX(自动规则!$D$4:$D$40,MATCH($F582,自动规则!$B$4:$B$40,0)),"其他应付款")))))</f>
        <v/>
      </c>
      <c r="L582" s="106"/>
      <c r="M582" s="75" t="str">
        <f>IF($C582="","",IFERROR(INDEX(科目表!$T$4:$T$9,MATCH($C582,科目表!$S$4:$S$9,0)),""))</f>
        <v/>
      </c>
      <c r="N582" s="75" t="str">
        <f t="shared" si="73"/>
        <v/>
      </c>
      <c r="O582" s="76" t="str">
        <f t="shared" si="74"/>
        <v/>
      </c>
      <c r="P582" s="76" t="str">
        <f t="shared" si="75"/>
        <v/>
      </c>
      <c r="Q582" s="75" t="str">
        <f t="shared" si="76"/>
        <v/>
      </c>
      <c r="R582" s="76" t="str">
        <f t="shared" si="77"/>
        <v/>
      </c>
      <c r="S582" s="76" t="str">
        <f t="shared" si="78"/>
        <v/>
      </c>
      <c r="T582" s="43"/>
      <c r="U582" s="107"/>
      <c r="V582" s="76" t="str">
        <f t="shared" si="79"/>
        <v/>
      </c>
      <c r="W582" s="43"/>
      <c r="X582" s="43"/>
      <c r="Y582" s="74"/>
    </row>
    <row r="583" ht="18" customHeight="1" spans="1:25">
      <c r="A583" s="74" t="str">
        <f t="shared" si="72"/>
        <v/>
      </c>
      <c r="B583" s="7"/>
      <c r="C583" s="43"/>
      <c r="D583" s="106"/>
      <c r="E583" s="43"/>
      <c r="F583" s="43"/>
      <c r="G583" s="43"/>
      <c r="H583" s="107"/>
      <c r="I583" s="107"/>
      <c r="J583" s="76" t="str">
        <f>IF($C583="","",ROUND(IFERROR(INDEX(期初余额!$I$4:$I$9,MATCH($C583,期初余额!$H$4:$H$9,0)),0)+SUMIFS($H$4:$H583,$C$4:$C583,$C583)-SUMIFS($I$4:$I583,$C$4:$C583,$C583),2))</f>
        <v/>
      </c>
      <c r="K583" s="111" t="str">
        <f>IF($T583&lt;&gt;"",$T583,IF($C583="","",IF(AND(N($I583)&gt;0,$G583&lt;&gt;""),IFERROR(INDEX(科目表!$U$4:$U$123,MATCH($G583,科目表!$M$4:$M$123,0)),"管理费用"),IF(N($H583)&gt;0,IFERROR(INDEX(自动规则!$C$4:$C$40,MATCH($F583,自动规则!$B$4:$B$40,0)),"其他应收款"),IFERROR(INDEX(自动规则!$D$4:$D$40,MATCH($F583,自动规则!$B$4:$B$40,0)),"其他应付款")))))</f>
        <v/>
      </c>
      <c r="L583" s="106"/>
      <c r="M583" s="75" t="str">
        <f>IF($C583="","",IFERROR(INDEX(科目表!$T$4:$T$9,MATCH($C583,科目表!$S$4:$S$9,0)),""))</f>
        <v/>
      </c>
      <c r="N583" s="75" t="str">
        <f t="shared" si="73"/>
        <v/>
      </c>
      <c r="O583" s="76" t="str">
        <f t="shared" si="74"/>
        <v/>
      </c>
      <c r="P583" s="76" t="str">
        <f t="shared" si="75"/>
        <v/>
      </c>
      <c r="Q583" s="75" t="str">
        <f t="shared" si="76"/>
        <v/>
      </c>
      <c r="R583" s="76" t="str">
        <f t="shared" si="77"/>
        <v/>
      </c>
      <c r="S583" s="76" t="str">
        <f t="shared" si="78"/>
        <v/>
      </c>
      <c r="T583" s="43"/>
      <c r="U583" s="107"/>
      <c r="V583" s="76" t="str">
        <f t="shared" si="79"/>
        <v/>
      </c>
      <c r="W583" s="43"/>
      <c r="X583" s="43"/>
      <c r="Y583" s="74"/>
    </row>
    <row r="584" ht="18" customHeight="1" spans="1:25">
      <c r="A584" s="74" t="str">
        <f t="shared" si="72"/>
        <v/>
      </c>
      <c r="B584" s="7"/>
      <c r="C584" s="43"/>
      <c r="D584" s="106"/>
      <c r="E584" s="43"/>
      <c r="F584" s="43"/>
      <c r="G584" s="43"/>
      <c r="H584" s="107"/>
      <c r="I584" s="107"/>
      <c r="J584" s="76" t="str">
        <f>IF($C584="","",ROUND(IFERROR(INDEX(期初余额!$I$4:$I$9,MATCH($C584,期初余额!$H$4:$H$9,0)),0)+SUMIFS($H$4:$H584,$C$4:$C584,$C584)-SUMIFS($I$4:$I584,$C$4:$C584,$C584),2))</f>
        <v/>
      </c>
      <c r="K584" s="111" t="str">
        <f>IF($T584&lt;&gt;"",$T584,IF($C584="","",IF(AND(N($I584)&gt;0,$G584&lt;&gt;""),IFERROR(INDEX(科目表!$U$4:$U$123,MATCH($G584,科目表!$M$4:$M$123,0)),"管理费用"),IF(N($H584)&gt;0,IFERROR(INDEX(自动规则!$C$4:$C$40,MATCH($F584,自动规则!$B$4:$B$40,0)),"其他应收款"),IFERROR(INDEX(自动规则!$D$4:$D$40,MATCH($F584,自动规则!$B$4:$B$40,0)),"其他应付款")))))</f>
        <v/>
      </c>
      <c r="L584" s="106"/>
      <c r="M584" s="75" t="str">
        <f>IF($C584="","",IFERROR(INDEX(科目表!$T$4:$T$9,MATCH($C584,科目表!$S$4:$S$9,0)),""))</f>
        <v/>
      </c>
      <c r="N584" s="75" t="str">
        <f t="shared" si="73"/>
        <v/>
      </c>
      <c r="O584" s="76" t="str">
        <f t="shared" si="74"/>
        <v/>
      </c>
      <c r="P584" s="76" t="str">
        <f t="shared" si="75"/>
        <v/>
      </c>
      <c r="Q584" s="75" t="str">
        <f t="shared" si="76"/>
        <v/>
      </c>
      <c r="R584" s="76" t="str">
        <f t="shared" si="77"/>
        <v/>
      </c>
      <c r="S584" s="76" t="str">
        <f t="shared" si="78"/>
        <v/>
      </c>
      <c r="T584" s="43"/>
      <c r="U584" s="107"/>
      <c r="V584" s="76" t="str">
        <f t="shared" si="79"/>
        <v/>
      </c>
      <c r="W584" s="43"/>
      <c r="X584" s="43"/>
      <c r="Y584" s="74"/>
    </row>
    <row r="585" ht="18" customHeight="1" spans="1:25">
      <c r="A585" s="74" t="str">
        <f t="shared" si="72"/>
        <v/>
      </c>
      <c r="B585" s="7"/>
      <c r="C585" s="43"/>
      <c r="D585" s="106"/>
      <c r="E585" s="43"/>
      <c r="F585" s="43"/>
      <c r="G585" s="43"/>
      <c r="H585" s="107"/>
      <c r="I585" s="107"/>
      <c r="J585" s="76" t="str">
        <f>IF($C585="","",ROUND(IFERROR(INDEX(期初余额!$I$4:$I$9,MATCH($C585,期初余额!$H$4:$H$9,0)),0)+SUMIFS($H$4:$H585,$C$4:$C585,$C585)-SUMIFS($I$4:$I585,$C$4:$C585,$C585),2))</f>
        <v/>
      </c>
      <c r="K585" s="111" t="str">
        <f>IF($T585&lt;&gt;"",$T585,IF($C585="","",IF(AND(N($I585)&gt;0,$G585&lt;&gt;""),IFERROR(INDEX(科目表!$U$4:$U$123,MATCH($G585,科目表!$M$4:$M$123,0)),"管理费用"),IF(N($H585)&gt;0,IFERROR(INDEX(自动规则!$C$4:$C$40,MATCH($F585,自动规则!$B$4:$B$40,0)),"其他应收款"),IFERROR(INDEX(自动规则!$D$4:$D$40,MATCH($F585,自动规则!$B$4:$B$40,0)),"其他应付款")))))</f>
        <v/>
      </c>
      <c r="L585" s="106"/>
      <c r="M585" s="75" t="str">
        <f>IF($C585="","",IFERROR(INDEX(科目表!$T$4:$T$9,MATCH($C585,科目表!$S$4:$S$9,0)),""))</f>
        <v/>
      </c>
      <c r="N585" s="75" t="str">
        <f t="shared" si="73"/>
        <v/>
      </c>
      <c r="O585" s="76" t="str">
        <f t="shared" si="74"/>
        <v/>
      </c>
      <c r="P585" s="76" t="str">
        <f t="shared" si="75"/>
        <v/>
      </c>
      <c r="Q585" s="75" t="str">
        <f t="shared" si="76"/>
        <v/>
      </c>
      <c r="R585" s="76" t="str">
        <f t="shared" si="77"/>
        <v/>
      </c>
      <c r="S585" s="76" t="str">
        <f t="shared" si="78"/>
        <v/>
      </c>
      <c r="T585" s="43"/>
      <c r="U585" s="107"/>
      <c r="V585" s="76" t="str">
        <f t="shared" si="79"/>
        <v/>
      </c>
      <c r="W585" s="43"/>
      <c r="X585" s="43"/>
      <c r="Y585" s="74"/>
    </row>
    <row r="586" ht="18" customHeight="1" spans="1:25">
      <c r="A586" s="74" t="str">
        <f t="shared" si="72"/>
        <v/>
      </c>
      <c r="B586" s="7"/>
      <c r="C586" s="43"/>
      <c r="D586" s="106"/>
      <c r="E586" s="43"/>
      <c r="F586" s="43"/>
      <c r="G586" s="43"/>
      <c r="H586" s="107"/>
      <c r="I586" s="107"/>
      <c r="J586" s="76" t="str">
        <f>IF($C586="","",ROUND(IFERROR(INDEX(期初余额!$I$4:$I$9,MATCH($C586,期初余额!$H$4:$H$9,0)),0)+SUMIFS($H$4:$H586,$C$4:$C586,$C586)-SUMIFS($I$4:$I586,$C$4:$C586,$C586),2))</f>
        <v/>
      </c>
      <c r="K586" s="111" t="str">
        <f>IF($T586&lt;&gt;"",$T586,IF($C586="","",IF(AND(N($I586)&gt;0,$G586&lt;&gt;""),IFERROR(INDEX(科目表!$U$4:$U$123,MATCH($G586,科目表!$M$4:$M$123,0)),"管理费用"),IF(N($H586)&gt;0,IFERROR(INDEX(自动规则!$C$4:$C$40,MATCH($F586,自动规则!$B$4:$B$40,0)),"其他应收款"),IFERROR(INDEX(自动规则!$D$4:$D$40,MATCH($F586,自动规则!$B$4:$B$40,0)),"其他应付款")))))</f>
        <v/>
      </c>
      <c r="L586" s="106"/>
      <c r="M586" s="75" t="str">
        <f>IF($C586="","",IFERROR(INDEX(科目表!$T$4:$T$9,MATCH($C586,科目表!$S$4:$S$9,0)),""))</f>
        <v/>
      </c>
      <c r="N586" s="75" t="str">
        <f t="shared" si="73"/>
        <v/>
      </c>
      <c r="O586" s="76" t="str">
        <f t="shared" si="74"/>
        <v/>
      </c>
      <c r="P586" s="76" t="str">
        <f t="shared" si="75"/>
        <v/>
      </c>
      <c r="Q586" s="75" t="str">
        <f t="shared" si="76"/>
        <v/>
      </c>
      <c r="R586" s="76" t="str">
        <f t="shared" si="77"/>
        <v/>
      </c>
      <c r="S586" s="76" t="str">
        <f t="shared" si="78"/>
        <v/>
      </c>
      <c r="T586" s="43"/>
      <c r="U586" s="107"/>
      <c r="V586" s="76" t="str">
        <f t="shared" si="79"/>
        <v/>
      </c>
      <c r="W586" s="43"/>
      <c r="X586" s="43"/>
      <c r="Y586" s="74"/>
    </row>
    <row r="587" ht="18" customHeight="1" spans="1:25">
      <c r="A587" s="74" t="str">
        <f t="shared" si="72"/>
        <v/>
      </c>
      <c r="B587" s="7"/>
      <c r="C587" s="43"/>
      <c r="D587" s="106"/>
      <c r="E587" s="43"/>
      <c r="F587" s="43"/>
      <c r="G587" s="43"/>
      <c r="H587" s="107"/>
      <c r="I587" s="107"/>
      <c r="J587" s="76" t="str">
        <f>IF($C587="","",ROUND(IFERROR(INDEX(期初余额!$I$4:$I$9,MATCH($C587,期初余额!$H$4:$H$9,0)),0)+SUMIFS($H$4:$H587,$C$4:$C587,$C587)-SUMIFS($I$4:$I587,$C$4:$C587,$C587),2))</f>
        <v/>
      </c>
      <c r="K587" s="111" t="str">
        <f>IF($T587&lt;&gt;"",$T587,IF($C587="","",IF(AND(N($I587)&gt;0,$G587&lt;&gt;""),IFERROR(INDEX(科目表!$U$4:$U$123,MATCH($G587,科目表!$M$4:$M$123,0)),"管理费用"),IF(N($H587)&gt;0,IFERROR(INDEX(自动规则!$C$4:$C$40,MATCH($F587,自动规则!$B$4:$B$40,0)),"其他应收款"),IFERROR(INDEX(自动规则!$D$4:$D$40,MATCH($F587,自动规则!$B$4:$B$40,0)),"其他应付款")))))</f>
        <v/>
      </c>
      <c r="L587" s="106"/>
      <c r="M587" s="75" t="str">
        <f>IF($C587="","",IFERROR(INDEX(科目表!$T$4:$T$9,MATCH($C587,科目表!$S$4:$S$9,0)),""))</f>
        <v/>
      </c>
      <c r="N587" s="75" t="str">
        <f t="shared" si="73"/>
        <v/>
      </c>
      <c r="O587" s="76" t="str">
        <f t="shared" si="74"/>
        <v/>
      </c>
      <c r="P587" s="76" t="str">
        <f t="shared" si="75"/>
        <v/>
      </c>
      <c r="Q587" s="75" t="str">
        <f t="shared" si="76"/>
        <v/>
      </c>
      <c r="R587" s="76" t="str">
        <f t="shared" si="77"/>
        <v/>
      </c>
      <c r="S587" s="76" t="str">
        <f t="shared" si="78"/>
        <v/>
      </c>
      <c r="T587" s="43"/>
      <c r="U587" s="107"/>
      <c r="V587" s="76" t="str">
        <f t="shared" si="79"/>
        <v/>
      </c>
      <c r="W587" s="43"/>
      <c r="X587" s="43"/>
      <c r="Y587" s="74"/>
    </row>
    <row r="588" ht="18" customHeight="1" spans="1:25">
      <c r="A588" s="74" t="str">
        <f t="shared" si="72"/>
        <v/>
      </c>
      <c r="B588" s="7"/>
      <c r="C588" s="43"/>
      <c r="D588" s="106"/>
      <c r="E588" s="43"/>
      <c r="F588" s="43"/>
      <c r="G588" s="43"/>
      <c r="H588" s="107"/>
      <c r="I588" s="107"/>
      <c r="J588" s="76" t="str">
        <f>IF($C588="","",ROUND(IFERROR(INDEX(期初余额!$I$4:$I$9,MATCH($C588,期初余额!$H$4:$H$9,0)),0)+SUMIFS($H$4:$H588,$C$4:$C588,$C588)-SUMIFS($I$4:$I588,$C$4:$C588,$C588),2))</f>
        <v/>
      </c>
      <c r="K588" s="111" t="str">
        <f>IF($T588&lt;&gt;"",$T588,IF($C588="","",IF(AND(N($I588)&gt;0,$G588&lt;&gt;""),IFERROR(INDEX(科目表!$U$4:$U$123,MATCH($G588,科目表!$M$4:$M$123,0)),"管理费用"),IF(N($H588)&gt;0,IFERROR(INDEX(自动规则!$C$4:$C$40,MATCH($F588,自动规则!$B$4:$B$40,0)),"其他应收款"),IFERROR(INDEX(自动规则!$D$4:$D$40,MATCH($F588,自动规则!$B$4:$B$40,0)),"其他应付款")))))</f>
        <v/>
      </c>
      <c r="L588" s="106"/>
      <c r="M588" s="75" t="str">
        <f>IF($C588="","",IFERROR(INDEX(科目表!$T$4:$T$9,MATCH($C588,科目表!$S$4:$S$9,0)),""))</f>
        <v/>
      </c>
      <c r="N588" s="75" t="str">
        <f t="shared" si="73"/>
        <v/>
      </c>
      <c r="O588" s="76" t="str">
        <f t="shared" si="74"/>
        <v/>
      </c>
      <c r="P588" s="76" t="str">
        <f t="shared" si="75"/>
        <v/>
      </c>
      <c r="Q588" s="75" t="str">
        <f t="shared" si="76"/>
        <v/>
      </c>
      <c r="R588" s="76" t="str">
        <f t="shared" si="77"/>
        <v/>
      </c>
      <c r="S588" s="76" t="str">
        <f t="shared" si="78"/>
        <v/>
      </c>
      <c r="T588" s="43"/>
      <c r="U588" s="107"/>
      <c r="V588" s="76" t="str">
        <f t="shared" si="79"/>
        <v/>
      </c>
      <c r="W588" s="43"/>
      <c r="X588" s="43"/>
      <c r="Y588" s="74"/>
    </row>
    <row r="589" ht="18" customHeight="1" spans="1:25">
      <c r="A589" s="74" t="str">
        <f t="shared" si="72"/>
        <v/>
      </c>
      <c r="B589" s="7"/>
      <c r="C589" s="43"/>
      <c r="D589" s="106"/>
      <c r="E589" s="43"/>
      <c r="F589" s="43"/>
      <c r="G589" s="43"/>
      <c r="H589" s="107"/>
      <c r="I589" s="107"/>
      <c r="J589" s="76" t="str">
        <f>IF($C589="","",ROUND(IFERROR(INDEX(期初余额!$I$4:$I$9,MATCH($C589,期初余额!$H$4:$H$9,0)),0)+SUMIFS($H$4:$H589,$C$4:$C589,$C589)-SUMIFS($I$4:$I589,$C$4:$C589,$C589),2))</f>
        <v/>
      </c>
      <c r="K589" s="111" t="str">
        <f>IF($T589&lt;&gt;"",$T589,IF($C589="","",IF(AND(N($I589)&gt;0,$G589&lt;&gt;""),IFERROR(INDEX(科目表!$U$4:$U$123,MATCH($G589,科目表!$M$4:$M$123,0)),"管理费用"),IF(N($H589)&gt;0,IFERROR(INDEX(自动规则!$C$4:$C$40,MATCH($F589,自动规则!$B$4:$B$40,0)),"其他应收款"),IFERROR(INDEX(自动规则!$D$4:$D$40,MATCH($F589,自动规则!$B$4:$B$40,0)),"其他应付款")))))</f>
        <v/>
      </c>
      <c r="L589" s="106"/>
      <c r="M589" s="75" t="str">
        <f>IF($C589="","",IFERROR(INDEX(科目表!$T$4:$T$9,MATCH($C589,科目表!$S$4:$S$9,0)),""))</f>
        <v/>
      </c>
      <c r="N589" s="75" t="str">
        <f t="shared" si="73"/>
        <v/>
      </c>
      <c r="O589" s="76" t="str">
        <f t="shared" si="74"/>
        <v/>
      </c>
      <c r="P589" s="76" t="str">
        <f t="shared" si="75"/>
        <v/>
      </c>
      <c r="Q589" s="75" t="str">
        <f t="shared" si="76"/>
        <v/>
      </c>
      <c r="R589" s="76" t="str">
        <f t="shared" si="77"/>
        <v/>
      </c>
      <c r="S589" s="76" t="str">
        <f t="shared" si="78"/>
        <v/>
      </c>
      <c r="T589" s="43"/>
      <c r="U589" s="107"/>
      <c r="V589" s="76" t="str">
        <f t="shared" si="79"/>
        <v/>
      </c>
      <c r="W589" s="43"/>
      <c r="X589" s="43"/>
      <c r="Y589" s="74"/>
    </row>
    <row r="590" ht="18" customHeight="1" spans="1:25">
      <c r="A590" s="74" t="str">
        <f t="shared" si="72"/>
        <v/>
      </c>
      <c r="B590" s="7"/>
      <c r="C590" s="43"/>
      <c r="D590" s="106"/>
      <c r="E590" s="43"/>
      <c r="F590" s="43"/>
      <c r="G590" s="43"/>
      <c r="H590" s="107"/>
      <c r="I590" s="107"/>
      <c r="J590" s="76" t="str">
        <f>IF($C590="","",ROUND(IFERROR(INDEX(期初余额!$I$4:$I$9,MATCH($C590,期初余额!$H$4:$H$9,0)),0)+SUMIFS($H$4:$H590,$C$4:$C590,$C590)-SUMIFS($I$4:$I590,$C$4:$C590,$C590),2))</f>
        <v/>
      </c>
      <c r="K590" s="111" t="str">
        <f>IF($T590&lt;&gt;"",$T590,IF($C590="","",IF(AND(N($I590)&gt;0,$G590&lt;&gt;""),IFERROR(INDEX(科目表!$U$4:$U$123,MATCH($G590,科目表!$M$4:$M$123,0)),"管理费用"),IF(N($H590)&gt;0,IFERROR(INDEX(自动规则!$C$4:$C$40,MATCH($F590,自动规则!$B$4:$B$40,0)),"其他应收款"),IFERROR(INDEX(自动规则!$D$4:$D$40,MATCH($F590,自动规则!$B$4:$B$40,0)),"其他应付款")))))</f>
        <v/>
      </c>
      <c r="L590" s="106"/>
      <c r="M590" s="75" t="str">
        <f>IF($C590="","",IFERROR(INDEX(科目表!$T$4:$T$9,MATCH($C590,科目表!$S$4:$S$9,0)),""))</f>
        <v/>
      </c>
      <c r="N590" s="75" t="str">
        <f t="shared" si="73"/>
        <v/>
      </c>
      <c r="O590" s="76" t="str">
        <f t="shared" si="74"/>
        <v/>
      </c>
      <c r="P590" s="76" t="str">
        <f t="shared" si="75"/>
        <v/>
      </c>
      <c r="Q590" s="75" t="str">
        <f t="shared" si="76"/>
        <v/>
      </c>
      <c r="R590" s="76" t="str">
        <f t="shared" si="77"/>
        <v/>
      </c>
      <c r="S590" s="76" t="str">
        <f t="shared" si="78"/>
        <v/>
      </c>
      <c r="T590" s="43"/>
      <c r="U590" s="107"/>
      <c r="V590" s="76" t="str">
        <f t="shared" si="79"/>
        <v/>
      </c>
      <c r="W590" s="43"/>
      <c r="X590" s="43"/>
      <c r="Y590" s="74"/>
    </row>
    <row r="591" ht="18" customHeight="1" spans="1:25">
      <c r="A591" s="74" t="str">
        <f t="shared" si="72"/>
        <v/>
      </c>
      <c r="B591" s="7"/>
      <c r="C591" s="43"/>
      <c r="D591" s="106"/>
      <c r="E591" s="43"/>
      <c r="F591" s="43"/>
      <c r="G591" s="43"/>
      <c r="H591" s="107"/>
      <c r="I591" s="107"/>
      <c r="J591" s="76" t="str">
        <f>IF($C591="","",ROUND(IFERROR(INDEX(期初余额!$I$4:$I$9,MATCH($C591,期初余额!$H$4:$H$9,0)),0)+SUMIFS($H$4:$H591,$C$4:$C591,$C591)-SUMIFS($I$4:$I591,$C$4:$C591,$C591),2))</f>
        <v/>
      </c>
      <c r="K591" s="111" t="str">
        <f>IF($T591&lt;&gt;"",$T591,IF($C591="","",IF(AND(N($I591)&gt;0,$G591&lt;&gt;""),IFERROR(INDEX(科目表!$U$4:$U$123,MATCH($G591,科目表!$M$4:$M$123,0)),"管理费用"),IF(N($H591)&gt;0,IFERROR(INDEX(自动规则!$C$4:$C$40,MATCH($F591,自动规则!$B$4:$B$40,0)),"其他应收款"),IFERROR(INDEX(自动规则!$D$4:$D$40,MATCH($F591,自动规则!$B$4:$B$40,0)),"其他应付款")))))</f>
        <v/>
      </c>
      <c r="L591" s="106"/>
      <c r="M591" s="75" t="str">
        <f>IF($C591="","",IFERROR(INDEX(科目表!$T$4:$T$9,MATCH($C591,科目表!$S$4:$S$9,0)),""))</f>
        <v/>
      </c>
      <c r="N591" s="75" t="str">
        <f t="shared" si="73"/>
        <v/>
      </c>
      <c r="O591" s="76" t="str">
        <f t="shared" si="74"/>
        <v/>
      </c>
      <c r="P591" s="76" t="str">
        <f t="shared" si="75"/>
        <v/>
      </c>
      <c r="Q591" s="75" t="str">
        <f t="shared" si="76"/>
        <v/>
      </c>
      <c r="R591" s="76" t="str">
        <f t="shared" si="77"/>
        <v/>
      </c>
      <c r="S591" s="76" t="str">
        <f t="shared" si="78"/>
        <v/>
      </c>
      <c r="T591" s="43"/>
      <c r="U591" s="107"/>
      <c r="V591" s="76" t="str">
        <f t="shared" si="79"/>
        <v/>
      </c>
      <c r="W591" s="43"/>
      <c r="X591" s="43"/>
      <c r="Y591" s="74"/>
    </row>
    <row r="592" ht="18" customHeight="1" spans="1:25">
      <c r="A592" s="74" t="str">
        <f t="shared" si="72"/>
        <v/>
      </c>
      <c r="B592" s="7"/>
      <c r="C592" s="43"/>
      <c r="D592" s="106"/>
      <c r="E592" s="43"/>
      <c r="F592" s="43"/>
      <c r="G592" s="43"/>
      <c r="H592" s="107"/>
      <c r="I592" s="107"/>
      <c r="J592" s="76" t="str">
        <f>IF($C592="","",ROUND(IFERROR(INDEX(期初余额!$I$4:$I$9,MATCH($C592,期初余额!$H$4:$H$9,0)),0)+SUMIFS($H$4:$H592,$C$4:$C592,$C592)-SUMIFS($I$4:$I592,$C$4:$C592,$C592),2))</f>
        <v/>
      </c>
      <c r="K592" s="111" t="str">
        <f>IF($T592&lt;&gt;"",$T592,IF($C592="","",IF(AND(N($I592)&gt;0,$G592&lt;&gt;""),IFERROR(INDEX(科目表!$U$4:$U$123,MATCH($G592,科目表!$M$4:$M$123,0)),"管理费用"),IF(N($H592)&gt;0,IFERROR(INDEX(自动规则!$C$4:$C$40,MATCH($F592,自动规则!$B$4:$B$40,0)),"其他应收款"),IFERROR(INDEX(自动规则!$D$4:$D$40,MATCH($F592,自动规则!$B$4:$B$40,0)),"其他应付款")))))</f>
        <v/>
      </c>
      <c r="L592" s="106"/>
      <c r="M592" s="75" t="str">
        <f>IF($C592="","",IFERROR(INDEX(科目表!$T$4:$T$9,MATCH($C592,科目表!$S$4:$S$9,0)),""))</f>
        <v/>
      </c>
      <c r="N592" s="75" t="str">
        <f t="shared" si="73"/>
        <v/>
      </c>
      <c r="O592" s="76" t="str">
        <f t="shared" si="74"/>
        <v/>
      </c>
      <c r="P592" s="76" t="str">
        <f t="shared" si="75"/>
        <v/>
      </c>
      <c r="Q592" s="75" t="str">
        <f t="shared" si="76"/>
        <v/>
      </c>
      <c r="R592" s="76" t="str">
        <f t="shared" si="77"/>
        <v/>
      </c>
      <c r="S592" s="76" t="str">
        <f t="shared" si="78"/>
        <v/>
      </c>
      <c r="T592" s="43"/>
      <c r="U592" s="107"/>
      <c r="V592" s="76" t="str">
        <f t="shared" si="79"/>
        <v/>
      </c>
      <c r="W592" s="43"/>
      <c r="X592" s="43"/>
      <c r="Y592" s="74"/>
    </row>
    <row r="593" ht="18" customHeight="1" spans="1:25">
      <c r="A593" s="74" t="str">
        <f t="shared" si="72"/>
        <v/>
      </c>
      <c r="B593" s="7"/>
      <c r="C593" s="43"/>
      <c r="D593" s="106"/>
      <c r="E593" s="43"/>
      <c r="F593" s="43"/>
      <c r="G593" s="43"/>
      <c r="H593" s="107"/>
      <c r="I593" s="107"/>
      <c r="J593" s="76" t="str">
        <f>IF($C593="","",ROUND(IFERROR(INDEX(期初余额!$I$4:$I$9,MATCH($C593,期初余额!$H$4:$H$9,0)),0)+SUMIFS($H$4:$H593,$C$4:$C593,$C593)-SUMIFS($I$4:$I593,$C$4:$C593,$C593),2))</f>
        <v/>
      </c>
      <c r="K593" s="111" t="str">
        <f>IF($T593&lt;&gt;"",$T593,IF($C593="","",IF(AND(N($I593)&gt;0,$G593&lt;&gt;""),IFERROR(INDEX(科目表!$U$4:$U$123,MATCH($G593,科目表!$M$4:$M$123,0)),"管理费用"),IF(N($H593)&gt;0,IFERROR(INDEX(自动规则!$C$4:$C$40,MATCH($F593,自动规则!$B$4:$B$40,0)),"其他应收款"),IFERROR(INDEX(自动规则!$D$4:$D$40,MATCH($F593,自动规则!$B$4:$B$40,0)),"其他应付款")))))</f>
        <v/>
      </c>
      <c r="L593" s="106"/>
      <c r="M593" s="75" t="str">
        <f>IF($C593="","",IFERROR(INDEX(科目表!$T$4:$T$9,MATCH($C593,科目表!$S$4:$S$9,0)),""))</f>
        <v/>
      </c>
      <c r="N593" s="75" t="str">
        <f t="shared" si="73"/>
        <v/>
      </c>
      <c r="O593" s="76" t="str">
        <f t="shared" si="74"/>
        <v/>
      </c>
      <c r="P593" s="76" t="str">
        <f t="shared" si="75"/>
        <v/>
      </c>
      <c r="Q593" s="75" t="str">
        <f t="shared" si="76"/>
        <v/>
      </c>
      <c r="R593" s="76" t="str">
        <f t="shared" si="77"/>
        <v/>
      </c>
      <c r="S593" s="76" t="str">
        <f t="shared" si="78"/>
        <v/>
      </c>
      <c r="T593" s="43"/>
      <c r="U593" s="107"/>
      <c r="V593" s="76" t="str">
        <f t="shared" si="79"/>
        <v/>
      </c>
      <c r="W593" s="43"/>
      <c r="X593" s="43"/>
      <c r="Y593" s="74"/>
    </row>
    <row r="594" ht="18" customHeight="1" spans="1:25">
      <c r="A594" s="74" t="str">
        <f t="shared" si="72"/>
        <v/>
      </c>
      <c r="B594" s="7"/>
      <c r="C594" s="43"/>
      <c r="D594" s="106"/>
      <c r="E594" s="43"/>
      <c r="F594" s="43"/>
      <c r="G594" s="43"/>
      <c r="H594" s="107"/>
      <c r="I594" s="107"/>
      <c r="J594" s="76" t="str">
        <f>IF($C594="","",ROUND(IFERROR(INDEX(期初余额!$I$4:$I$9,MATCH($C594,期初余额!$H$4:$H$9,0)),0)+SUMIFS($H$4:$H594,$C$4:$C594,$C594)-SUMIFS($I$4:$I594,$C$4:$C594,$C594),2))</f>
        <v/>
      </c>
      <c r="K594" s="111" t="str">
        <f>IF($T594&lt;&gt;"",$T594,IF($C594="","",IF(AND(N($I594)&gt;0,$G594&lt;&gt;""),IFERROR(INDEX(科目表!$U$4:$U$123,MATCH($G594,科目表!$M$4:$M$123,0)),"管理费用"),IF(N($H594)&gt;0,IFERROR(INDEX(自动规则!$C$4:$C$40,MATCH($F594,自动规则!$B$4:$B$40,0)),"其他应收款"),IFERROR(INDEX(自动规则!$D$4:$D$40,MATCH($F594,自动规则!$B$4:$B$40,0)),"其他应付款")))))</f>
        <v/>
      </c>
      <c r="L594" s="106"/>
      <c r="M594" s="75" t="str">
        <f>IF($C594="","",IFERROR(INDEX(科目表!$T$4:$T$9,MATCH($C594,科目表!$S$4:$S$9,0)),""))</f>
        <v/>
      </c>
      <c r="N594" s="75" t="str">
        <f t="shared" si="73"/>
        <v/>
      </c>
      <c r="O594" s="76" t="str">
        <f t="shared" si="74"/>
        <v/>
      </c>
      <c r="P594" s="76" t="str">
        <f t="shared" si="75"/>
        <v/>
      </c>
      <c r="Q594" s="75" t="str">
        <f t="shared" si="76"/>
        <v/>
      </c>
      <c r="R594" s="76" t="str">
        <f t="shared" si="77"/>
        <v/>
      </c>
      <c r="S594" s="76" t="str">
        <f t="shared" si="78"/>
        <v/>
      </c>
      <c r="T594" s="43"/>
      <c r="U594" s="107"/>
      <c r="V594" s="76" t="str">
        <f t="shared" si="79"/>
        <v/>
      </c>
      <c r="W594" s="43"/>
      <c r="X594" s="43"/>
      <c r="Y594" s="74"/>
    </row>
    <row r="595" ht="18" customHeight="1" spans="1:25">
      <c r="A595" s="74" t="str">
        <f t="shared" si="72"/>
        <v/>
      </c>
      <c r="B595" s="7"/>
      <c r="C595" s="43"/>
      <c r="D595" s="106"/>
      <c r="E595" s="43"/>
      <c r="F595" s="43"/>
      <c r="G595" s="43"/>
      <c r="H595" s="107"/>
      <c r="I595" s="107"/>
      <c r="J595" s="76" t="str">
        <f>IF($C595="","",ROUND(IFERROR(INDEX(期初余额!$I$4:$I$9,MATCH($C595,期初余额!$H$4:$H$9,0)),0)+SUMIFS($H$4:$H595,$C$4:$C595,$C595)-SUMIFS($I$4:$I595,$C$4:$C595,$C595),2))</f>
        <v/>
      </c>
      <c r="K595" s="111" t="str">
        <f>IF($T595&lt;&gt;"",$T595,IF($C595="","",IF(AND(N($I595)&gt;0,$G595&lt;&gt;""),IFERROR(INDEX(科目表!$U$4:$U$123,MATCH($G595,科目表!$M$4:$M$123,0)),"管理费用"),IF(N($H595)&gt;0,IFERROR(INDEX(自动规则!$C$4:$C$40,MATCH($F595,自动规则!$B$4:$B$40,0)),"其他应收款"),IFERROR(INDEX(自动规则!$D$4:$D$40,MATCH($F595,自动规则!$B$4:$B$40,0)),"其他应付款")))))</f>
        <v/>
      </c>
      <c r="L595" s="106"/>
      <c r="M595" s="75" t="str">
        <f>IF($C595="","",IFERROR(INDEX(科目表!$T$4:$T$9,MATCH($C595,科目表!$S$4:$S$9,0)),""))</f>
        <v/>
      </c>
      <c r="N595" s="75" t="str">
        <f t="shared" si="73"/>
        <v/>
      </c>
      <c r="O595" s="76" t="str">
        <f t="shared" si="74"/>
        <v/>
      </c>
      <c r="P595" s="76" t="str">
        <f t="shared" si="75"/>
        <v/>
      </c>
      <c r="Q595" s="75" t="str">
        <f t="shared" si="76"/>
        <v/>
      </c>
      <c r="R595" s="76" t="str">
        <f t="shared" si="77"/>
        <v/>
      </c>
      <c r="S595" s="76" t="str">
        <f t="shared" si="78"/>
        <v/>
      </c>
      <c r="T595" s="43"/>
      <c r="U595" s="107"/>
      <c r="V595" s="76" t="str">
        <f t="shared" si="79"/>
        <v/>
      </c>
      <c r="W595" s="43"/>
      <c r="X595" s="43"/>
      <c r="Y595" s="74"/>
    </row>
    <row r="596" ht="18" customHeight="1" spans="1:25">
      <c r="A596" s="74" t="str">
        <f t="shared" si="72"/>
        <v/>
      </c>
      <c r="B596" s="7"/>
      <c r="C596" s="43"/>
      <c r="D596" s="106"/>
      <c r="E596" s="43"/>
      <c r="F596" s="43"/>
      <c r="G596" s="43"/>
      <c r="H596" s="107"/>
      <c r="I596" s="107"/>
      <c r="J596" s="76" t="str">
        <f>IF($C596="","",ROUND(IFERROR(INDEX(期初余额!$I$4:$I$9,MATCH($C596,期初余额!$H$4:$H$9,0)),0)+SUMIFS($H$4:$H596,$C$4:$C596,$C596)-SUMIFS($I$4:$I596,$C$4:$C596,$C596),2))</f>
        <v/>
      </c>
      <c r="K596" s="111" t="str">
        <f>IF($T596&lt;&gt;"",$T596,IF($C596="","",IF(AND(N($I596)&gt;0,$G596&lt;&gt;""),IFERROR(INDEX(科目表!$U$4:$U$123,MATCH($G596,科目表!$M$4:$M$123,0)),"管理费用"),IF(N($H596)&gt;0,IFERROR(INDEX(自动规则!$C$4:$C$40,MATCH($F596,自动规则!$B$4:$B$40,0)),"其他应收款"),IFERROR(INDEX(自动规则!$D$4:$D$40,MATCH($F596,自动规则!$B$4:$B$40,0)),"其他应付款")))))</f>
        <v/>
      </c>
      <c r="L596" s="106"/>
      <c r="M596" s="75" t="str">
        <f>IF($C596="","",IFERROR(INDEX(科目表!$T$4:$T$9,MATCH($C596,科目表!$S$4:$S$9,0)),""))</f>
        <v/>
      </c>
      <c r="N596" s="75" t="str">
        <f t="shared" si="73"/>
        <v/>
      </c>
      <c r="O596" s="76" t="str">
        <f t="shared" si="74"/>
        <v/>
      </c>
      <c r="P596" s="76" t="str">
        <f t="shared" si="75"/>
        <v/>
      </c>
      <c r="Q596" s="75" t="str">
        <f t="shared" si="76"/>
        <v/>
      </c>
      <c r="R596" s="76" t="str">
        <f t="shared" si="77"/>
        <v/>
      </c>
      <c r="S596" s="76" t="str">
        <f t="shared" si="78"/>
        <v/>
      </c>
      <c r="T596" s="43"/>
      <c r="U596" s="107"/>
      <c r="V596" s="76" t="str">
        <f t="shared" si="79"/>
        <v/>
      </c>
      <c r="W596" s="43"/>
      <c r="X596" s="43"/>
      <c r="Y596" s="74"/>
    </row>
    <row r="597" ht="18" customHeight="1" spans="1:25">
      <c r="A597" s="74" t="str">
        <f t="shared" si="72"/>
        <v/>
      </c>
      <c r="B597" s="7"/>
      <c r="C597" s="43"/>
      <c r="D597" s="106"/>
      <c r="E597" s="43"/>
      <c r="F597" s="43"/>
      <c r="G597" s="43"/>
      <c r="H597" s="107"/>
      <c r="I597" s="107"/>
      <c r="J597" s="76" t="str">
        <f>IF($C597="","",ROUND(IFERROR(INDEX(期初余额!$I$4:$I$9,MATCH($C597,期初余额!$H$4:$H$9,0)),0)+SUMIFS($H$4:$H597,$C$4:$C597,$C597)-SUMIFS($I$4:$I597,$C$4:$C597,$C597),2))</f>
        <v/>
      </c>
      <c r="K597" s="111" t="str">
        <f>IF($T597&lt;&gt;"",$T597,IF($C597="","",IF(AND(N($I597)&gt;0,$G597&lt;&gt;""),IFERROR(INDEX(科目表!$U$4:$U$123,MATCH($G597,科目表!$M$4:$M$123,0)),"管理费用"),IF(N($H597)&gt;0,IFERROR(INDEX(自动规则!$C$4:$C$40,MATCH($F597,自动规则!$B$4:$B$40,0)),"其他应收款"),IFERROR(INDEX(自动规则!$D$4:$D$40,MATCH($F597,自动规则!$B$4:$B$40,0)),"其他应付款")))))</f>
        <v/>
      </c>
      <c r="L597" s="106"/>
      <c r="M597" s="75" t="str">
        <f>IF($C597="","",IFERROR(INDEX(科目表!$T$4:$T$9,MATCH($C597,科目表!$S$4:$S$9,0)),""))</f>
        <v/>
      </c>
      <c r="N597" s="75" t="str">
        <f t="shared" si="73"/>
        <v/>
      </c>
      <c r="O597" s="76" t="str">
        <f t="shared" si="74"/>
        <v/>
      </c>
      <c r="P597" s="76" t="str">
        <f t="shared" si="75"/>
        <v/>
      </c>
      <c r="Q597" s="75" t="str">
        <f t="shared" si="76"/>
        <v/>
      </c>
      <c r="R597" s="76" t="str">
        <f t="shared" si="77"/>
        <v/>
      </c>
      <c r="S597" s="76" t="str">
        <f t="shared" si="78"/>
        <v/>
      </c>
      <c r="T597" s="43"/>
      <c r="U597" s="107"/>
      <c r="V597" s="76" t="str">
        <f t="shared" si="79"/>
        <v/>
      </c>
      <c r="W597" s="43"/>
      <c r="X597" s="43"/>
      <c r="Y597" s="74"/>
    </row>
    <row r="598" ht="18" customHeight="1" spans="1:25">
      <c r="A598" s="74" t="str">
        <f t="shared" si="72"/>
        <v/>
      </c>
      <c r="B598" s="7"/>
      <c r="C598" s="43"/>
      <c r="D598" s="106"/>
      <c r="E598" s="43"/>
      <c r="F598" s="43"/>
      <c r="G598" s="43"/>
      <c r="H598" s="107"/>
      <c r="I598" s="107"/>
      <c r="J598" s="76" t="str">
        <f>IF($C598="","",ROUND(IFERROR(INDEX(期初余额!$I$4:$I$9,MATCH($C598,期初余额!$H$4:$H$9,0)),0)+SUMIFS($H$4:$H598,$C$4:$C598,$C598)-SUMIFS($I$4:$I598,$C$4:$C598,$C598),2))</f>
        <v/>
      </c>
      <c r="K598" s="111" t="str">
        <f>IF($T598&lt;&gt;"",$T598,IF($C598="","",IF(AND(N($I598)&gt;0,$G598&lt;&gt;""),IFERROR(INDEX(科目表!$U$4:$U$123,MATCH($G598,科目表!$M$4:$M$123,0)),"管理费用"),IF(N($H598)&gt;0,IFERROR(INDEX(自动规则!$C$4:$C$40,MATCH($F598,自动规则!$B$4:$B$40,0)),"其他应收款"),IFERROR(INDEX(自动规则!$D$4:$D$40,MATCH($F598,自动规则!$B$4:$B$40,0)),"其他应付款")))))</f>
        <v/>
      </c>
      <c r="L598" s="106"/>
      <c r="M598" s="75" t="str">
        <f>IF($C598="","",IFERROR(INDEX(科目表!$T$4:$T$9,MATCH($C598,科目表!$S$4:$S$9,0)),""))</f>
        <v/>
      </c>
      <c r="N598" s="75" t="str">
        <f t="shared" si="73"/>
        <v/>
      </c>
      <c r="O598" s="76" t="str">
        <f t="shared" si="74"/>
        <v/>
      </c>
      <c r="P598" s="76" t="str">
        <f t="shared" si="75"/>
        <v/>
      </c>
      <c r="Q598" s="75" t="str">
        <f t="shared" si="76"/>
        <v/>
      </c>
      <c r="R598" s="76" t="str">
        <f t="shared" si="77"/>
        <v/>
      </c>
      <c r="S598" s="76" t="str">
        <f t="shared" si="78"/>
        <v/>
      </c>
      <c r="T598" s="43"/>
      <c r="U598" s="107"/>
      <c r="V598" s="76" t="str">
        <f t="shared" si="79"/>
        <v/>
      </c>
      <c r="W598" s="43"/>
      <c r="X598" s="43"/>
      <c r="Y598" s="74"/>
    </row>
    <row r="599" ht="18" customHeight="1" spans="1:25">
      <c r="A599" s="74" t="str">
        <f t="shared" si="72"/>
        <v/>
      </c>
      <c r="B599" s="7"/>
      <c r="C599" s="43"/>
      <c r="D599" s="106"/>
      <c r="E599" s="43"/>
      <c r="F599" s="43"/>
      <c r="G599" s="43"/>
      <c r="H599" s="107"/>
      <c r="I599" s="107"/>
      <c r="J599" s="76" t="str">
        <f>IF($C599="","",ROUND(IFERROR(INDEX(期初余额!$I$4:$I$9,MATCH($C599,期初余额!$H$4:$H$9,0)),0)+SUMIFS($H$4:$H599,$C$4:$C599,$C599)-SUMIFS($I$4:$I599,$C$4:$C599,$C599),2))</f>
        <v/>
      </c>
      <c r="K599" s="111" t="str">
        <f>IF($T599&lt;&gt;"",$T599,IF($C599="","",IF(AND(N($I599)&gt;0,$G599&lt;&gt;""),IFERROR(INDEX(科目表!$U$4:$U$123,MATCH($G599,科目表!$M$4:$M$123,0)),"管理费用"),IF(N($H599)&gt;0,IFERROR(INDEX(自动规则!$C$4:$C$40,MATCH($F599,自动规则!$B$4:$B$40,0)),"其他应收款"),IFERROR(INDEX(自动规则!$D$4:$D$40,MATCH($F599,自动规则!$B$4:$B$40,0)),"其他应付款")))))</f>
        <v/>
      </c>
      <c r="L599" s="106"/>
      <c r="M599" s="75" t="str">
        <f>IF($C599="","",IFERROR(INDEX(科目表!$T$4:$T$9,MATCH($C599,科目表!$S$4:$S$9,0)),""))</f>
        <v/>
      </c>
      <c r="N599" s="75" t="str">
        <f t="shared" si="73"/>
        <v/>
      </c>
      <c r="O599" s="76" t="str">
        <f t="shared" si="74"/>
        <v/>
      </c>
      <c r="P599" s="76" t="str">
        <f t="shared" si="75"/>
        <v/>
      </c>
      <c r="Q599" s="75" t="str">
        <f t="shared" si="76"/>
        <v/>
      </c>
      <c r="R599" s="76" t="str">
        <f t="shared" si="77"/>
        <v/>
      </c>
      <c r="S599" s="76" t="str">
        <f t="shared" si="78"/>
        <v/>
      </c>
      <c r="T599" s="43"/>
      <c r="U599" s="107"/>
      <c r="V599" s="76" t="str">
        <f t="shared" si="79"/>
        <v/>
      </c>
      <c r="W599" s="43"/>
      <c r="X599" s="43"/>
      <c r="Y599" s="74"/>
    </row>
    <row r="600" ht="18" customHeight="1" spans="1:25">
      <c r="A600" s="74" t="str">
        <f t="shared" si="72"/>
        <v/>
      </c>
      <c r="B600" s="7"/>
      <c r="C600" s="43"/>
      <c r="D600" s="106"/>
      <c r="E600" s="43"/>
      <c r="F600" s="43"/>
      <c r="G600" s="43"/>
      <c r="H600" s="107"/>
      <c r="I600" s="107"/>
      <c r="J600" s="76" t="str">
        <f>IF($C600="","",ROUND(IFERROR(INDEX(期初余额!$I$4:$I$9,MATCH($C600,期初余额!$H$4:$H$9,0)),0)+SUMIFS($H$4:$H600,$C$4:$C600,$C600)-SUMIFS($I$4:$I600,$C$4:$C600,$C600),2))</f>
        <v/>
      </c>
      <c r="K600" s="111" t="str">
        <f>IF($T600&lt;&gt;"",$T600,IF($C600="","",IF(AND(N($I600)&gt;0,$G600&lt;&gt;""),IFERROR(INDEX(科目表!$U$4:$U$123,MATCH($G600,科目表!$M$4:$M$123,0)),"管理费用"),IF(N($H600)&gt;0,IFERROR(INDEX(自动规则!$C$4:$C$40,MATCH($F600,自动规则!$B$4:$B$40,0)),"其他应收款"),IFERROR(INDEX(自动规则!$D$4:$D$40,MATCH($F600,自动规则!$B$4:$B$40,0)),"其他应付款")))))</f>
        <v/>
      </c>
      <c r="L600" s="106"/>
      <c r="M600" s="75" t="str">
        <f>IF($C600="","",IFERROR(INDEX(科目表!$T$4:$T$9,MATCH($C600,科目表!$S$4:$S$9,0)),""))</f>
        <v/>
      </c>
      <c r="N600" s="75" t="str">
        <f t="shared" si="73"/>
        <v/>
      </c>
      <c r="O600" s="76" t="str">
        <f t="shared" si="74"/>
        <v/>
      </c>
      <c r="P600" s="76" t="str">
        <f t="shared" si="75"/>
        <v/>
      </c>
      <c r="Q600" s="75" t="str">
        <f t="shared" si="76"/>
        <v/>
      </c>
      <c r="R600" s="76" t="str">
        <f t="shared" si="77"/>
        <v/>
      </c>
      <c r="S600" s="76" t="str">
        <f t="shared" si="78"/>
        <v/>
      </c>
      <c r="T600" s="43"/>
      <c r="U600" s="107"/>
      <c r="V600" s="76" t="str">
        <f t="shared" si="79"/>
        <v/>
      </c>
      <c r="W600" s="43"/>
      <c r="X600" s="43"/>
      <c r="Y600" s="74"/>
    </row>
    <row r="601" ht="18" customHeight="1" spans="1:25">
      <c r="A601" s="74" t="str">
        <f t="shared" si="72"/>
        <v/>
      </c>
      <c r="B601" s="7"/>
      <c r="C601" s="43"/>
      <c r="D601" s="106"/>
      <c r="E601" s="43"/>
      <c r="F601" s="43"/>
      <c r="G601" s="43"/>
      <c r="H601" s="107"/>
      <c r="I601" s="107"/>
      <c r="J601" s="76" t="str">
        <f>IF($C601="","",ROUND(IFERROR(INDEX(期初余额!$I$4:$I$9,MATCH($C601,期初余额!$H$4:$H$9,0)),0)+SUMIFS($H$4:$H601,$C$4:$C601,$C601)-SUMIFS($I$4:$I601,$C$4:$C601,$C601),2))</f>
        <v/>
      </c>
      <c r="K601" s="111" t="str">
        <f>IF($T601&lt;&gt;"",$T601,IF($C601="","",IF(AND(N($I601)&gt;0,$G601&lt;&gt;""),IFERROR(INDEX(科目表!$U$4:$U$123,MATCH($G601,科目表!$M$4:$M$123,0)),"管理费用"),IF(N($H601)&gt;0,IFERROR(INDEX(自动规则!$C$4:$C$40,MATCH($F601,自动规则!$B$4:$B$40,0)),"其他应收款"),IFERROR(INDEX(自动规则!$D$4:$D$40,MATCH($F601,自动规则!$B$4:$B$40,0)),"其他应付款")))))</f>
        <v/>
      </c>
      <c r="L601" s="106"/>
      <c r="M601" s="75" t="str">
        <f>IF($C601="","",IFERROR(INDEX(科目表!$T$4:$T$9,MATCH($C601,科目表!$S$4:$S$9,0)),""))</f>
        <v/>
      </c>
      <c r="N601" s="75" t="str">
        <f t="shared" si="73"/>
        <v/>
      </c>
      <c r="O601" s="76" t="str">
        <f t="shared" si="74"/>
        <v/>
      </c>
      <c r="P601" s="76" t="str">
        <f t="shared" si="75"/>
        <v/>
      </c>
      <c r="Q601" s="75" t="str">
        <f t="shared" si="76"/>
        <v/>
      </c>
      <c r="R601" s="76" t="str">
        <f t="shared" si="77"/>
        <v/>
      </c>
      <c r="S601" s="76" t="str">
        <f t="shared" si="78"/>
        <v/>
      </c>
      <c r="T601" s="43"/>
      <c r="U601" s="107"/>
      <c r="V601" s="76" t="str">
        <f t="shared" si="79"/>
        <v/>
      </c>
      <c r="W601" s="43"/>
      <c r="X601" s="43"/>
      <c r="Y601" s="74"/>
    </row>
    <row r="602" ht="18" customHeight="1" spans="1:25">
      <c r="A602" s="74" t="str">
        <f t="shared" si="72"/>
        <v/>
      </c>
      <c r="B602" s="7"/>
      <c r="C602" s="43"/>
      <c r="D602" s="106"/>
      <c r="E602" s="43"/>
      <c r="F602" s="43"/>
      <c r="G602" s="43"/>
      <c r="H602" s="107"/>
      <c r="I602" s="107"/>
      <c r="J602" s="76" t="str">
        <f>IF($C602="","",ROUND(IFERROR(INDEX(期初余额!$I$4:$I$9,MATCH($C602,期初余额!$H$4:$H$9,0)),0)+SUMIFS($H$4:$H602,$C$4:$C602,$C602)-SUMIFS($I$4:$I602,$C$4:$C602,$C602),2))</f>
        <v/>
      </c>
      <c r="K602" s="111" t="str">
        <f>IF($T602&lt;&gt;"",$T602,IF($C602="","",IF(AND(N($I602)&gt;0,$G602&lt;&gt;""),IFERROR(INDEX(科目表!$U$4:$U$123,MATCH($G602,科目表!$M$4:$M$123,0)),"管理费用"),IF(N($H602)&gt;0,IFERROR(INDEX(自动规则!$C$4:$C$40,MATCH($F602,自动规则!$B$4:$B$40,0)),"其他应收款"),IFERROR(INDEX(自动规则!$D$4:$D$40,MATCH($F602,自动规则!$B$4:$B$40,0)),"其他应付款")))))</f>
        <v/>
      </c>
      <c r="L602" s="106"/>
      <c r="M602" s="75" t="str">
        <f>IF($C602="","",IFERROR(INDEX(科目表!$T$4:$T$9,MATCH($C602,科目表!$S$4:$S$9,0)),""))</f>
        <v/>
      </c>
      <c r="N602" s="75" t="str">
        <f t="shared" si="73"/>
        <v/>
      </c>
      <c r="O602" s="76" t="str">
        <f t="shared" si="74"/>
        <v/>
      </c>
      <c r="P602" s="76" t="str">
        <f t="shared" si="75"/>
        <v/>
      </c>
      <c r="Q602" s="75" t="str">
        <f t="shared" si="76"/>
        <v/>
      </c>
      <c r="R602" s="76" t="str">
        <f t="shared" si="77"/>
        <v/>
      </c>
      <c r="S602" s="76" t="str">
        <f t="shared" si="78"/>
        <v/>
      </c>
      <c r="T602" s="43"/>
      <c r="U602" s="107"/>
      <c r="V602" s="76" t="str">
        <f t="shared" si="79"/>
        <v/>
      </c>
      <c r="W602" s="43"/>
      <c r="X602" s="43"/>
      <c r="Y602" s="74"/>
    </row>
    <row r="603" ht="18" customHeight="1" spans="1:25">
      <c r="A603" s="74" t="str">
        <f t="shared" si="72"/>
        <v/>
      </c>
      <c r="B603" s="7"/>
      <c r="C603" s="43"/>
      <c r="D603" s="106"/>
      <c r="E603" s="43"/>
      <c r="F603" s="43"/>
      <c r="G603" s="43"/>
      <c r="H603" s="107"/>
      <c r="I603" s="107"/>
      <c r="J603" s="76" t="str">
        <f>IF($C603="","",ROUND(IFERROR(INDEX(期初余额!$I$4:$I$9,MATCH($C603,期初余额!$H$4:$H$9,0)),0)+SUMIFS($H$4:$H603,$C$4:$C603,$C603)-SUMIFS($I$4:$I603,$C$4:$C603,$C603),2))</f>
        <v/>
      </c>
      <c r="K603" s="111" t="str">
        <f>IF($T603&lt;&gt;"",$T603,IF($C603="","",IF(AND(N($I603)&gt;0,$G603&lt;&gt;""),IFERROR(INDEX(科目表!$U$4:$U$123,MATCH($G603,科目表!$M$4:$M$123,0)),"管理费用"),IF(N($H603)&gt;0,IFERROR(INDEX(自动规则!$C$4:$C$40,MATCH($F603,自动规则!$B$4:$B$40,0)),"其他应收款"),IFERROR(INDEX(自动规则!$D$4:$D$40,MATCH($F603,自动规则!$B$4:$B$40,0)),"其他应付款")))))</f>
        <v/>
      </c>
      <c r="L603" s="106"/>
      <c r="M603" s="75" t="str">
        <f>IF($C603="","",IFERROR(INDEX(科目表!$T$4:$T$9,MATCH($C603,科目表!$S$4:$S$9,0)),""))</f>
        <v/>
      </c>
      <c r="N603" s="75" t="str">
        <f t="shared" si="73"/>
        <v/>
      </c>
      <c r="O603" s="76" t="str">
        <f t="shared" si="74"/>
        <v/>
      </c>
      <c r="P603" s="76" t="str">
        <f t="shared" si="75"/>
        <v/>
      </c>
      <c r="Q603" s="75" t="str">
        <f t="shared" si="76"/>
        <v/>
      </c>
      <c r="R603" s="76" t="str">
        <f t="shared" si="77"/>
        <v/>
      </c>
      <c r="S603" s="76" t="str">
        <f t="shared" si="78"/>
        <v/>
      </c>
      <c r="T603" s="43"/>
      <c r="U603" s="107"/>
      <c r="V603" s="76" t="str">
        <f t="shared" si="79"/>
        <v/>
      </c>
      <c r="W603" s="43"/>
      <c r="X603" s="43"/>
      <c r="Y603" s="74"/>
    </row>
  </sheetData>
  <autoFilter xmlns:etc="http://www.wps.cn/officeDocument/2017/etCustomData" ref="A3:V603" etc:filterBottomFollowUsedRange="0">
    <extLst/>
  </autoFilter>
  <mergeCells count="2">
    <mergeCell ref="A1:V1"/>
    <mergeCell ref="A2:V2"/>
  </mergeCells>
  <dataValidations count="6">
    <dataValidation type="list" allowBlank="1" sqref="C4:C603">
      <formula1>科目表!$S$4:$S$9</formula1>
    </dataValidation>
    <dataValidation type="list" allowBlank="1" sqref="E4:E603">
      <formula1>_自动清单!$E$4:$E$203</formula1>
    </dataValidation>
    <dataValidation type="list" allowBlank="1" sqref="F4:F603">
      <formula1>科目表!$J$4:$J$123</formula1>
    </dataValidation>
    <dataValidation type="list" allowBlank="1" sqref="G4:G603">
      <formula1>科目表!$M$4:$M$123</formula1>
    </dataValidation>
    <dataValidation type="list" allowBlank="1" sqref="T4:T603">
      <formula1>科目表!$B$4:$B$81</formula1>
    </dataValidation>
    <dataValidation type="list" allowBlank="1" sqref="U4:U603">
      <formula1>"是"</formula1>
    </dataValidation>
  </dataValidations>
  <pageMargins left="0.3" right="0.3" top="0.4" bottom="0.4" header="0.5" footer="0.5"/>
  <pageSetup paperSize="9" fitToHeight="0" orientation="landscape"/>
  <headerFooter>
    <oddFooter>&amp;L&amp;A&amp;R第 &amp;P 页 / 共 &amp;N 页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304"/>
  <sheetViews>
    <sheetView showGridLines="0" workbookViewId="0">
      <pane xSplit="3" ySplit="3" topLeftCell="D4" activePane="bottomRight" state="frozen"/>
      <selection/>
      <selection pane="topRight"/>
      <selection pane="bottomLeft"/>
      <selection pane="bottomRight" activeCell="D8" sqref="D8"/>
    </sheetView>
  </sheetViews>
  <sheetFormatPr defaultColWidth="9" defaultRowHeight="13.5"/>
  <cols>
    <col min="1" max="1" width="6" customWidth="1"/>
    <col min="2" max="2" width="12" customWidth="1"/>
    <col min="3" max="3" width="16" customWidth="1"/>
    <col min="4" max="4" width="14" customWidth="1"/>
    <col min="5" max="5" width="26" customWidth="1"/>
    <col min="6" max="6" width="10" customWidth="1"/>
    <col min="7" max="7" width="12" customWidth="1"/>
    <col min="8" max="8" width="14" customWidth="1"/>
    <col min="9" max="9" width="9" customWidth="1"/>
    <col min="10" max="10" width="14" customWidth="1"/>
    <col min="11" max="11" width="13" customWidth="1"/>
    <col min="12" max="12" width="26" customWidth="1"/>
    <col min="13" max="13" width="12" customWidth="1"/>
    <col min="14" max="14" width="15" customWidth="1"/>
    <col min="15" max="15" width="13" customWidth="1"/>
    <col min="16" max="16" width="20" customWidth="1"/>
    <col min="17" max="17" width="24" customWidth="1"/>
    <col min="18" max="19" width="13" customWidth="1"/>
    <col min="20" max="20" width="24" customWidth="1"/>
    <col min="21" max="22" width="13" customWidth="1"/>
    <col min="23" max="23" width="24" customWidth="1"/>
    <col min="24" max="25" width="13" customWidth="1"/>
    <col min="26" max="26" width="11" customWidth="1"/>
    <col min="27" max="27" width="13" customWidth="1"/>
    <col min="28" max="29" width="12" customWidth="1"/>
  </cols>
  <sheetData>
    <row r="1" ht="30" customHeight="1" spans="1:29">
      <c r="A1" s="2" t="s">
        <v>612</v>
      </c>
    </row>
    <row r="2" ht="18" customHeight="1" spans="1:29">
      <c r="A2" s="31" t="s">
        <v>613</v>
      </c>
    </row>
    <row r="3" ht="30" customHeight="1" spans="1:29">
      <c r="A3" s="9" t="s">
        <v>3</v>
      </c>
      <c r="B3" s="9" t="s">
        <v>602</v>
      </c>
      <c r="C3" s="9" t="s">
        <v>614</v>
      </c>
      <c r="D3" s="9" t="s">
        <v>615</v>
      </c>
      <c r="E3" s="9" t="s">
        <v>603</v>
      </c>
      <c r="F3" s="9" t="s">
        <v>616</v>
      </c>
      <c r="G3" s="9" t="s">
        <v>617</v>
      </c>
      <c r="H3" s="9" t="s">
        <v>618</v>
      </c>
      <c r="I3" s="9" t="s">
        <v>208</v>
      </c>
      <c r="J3" s="9" t="s">
        <v>209</v>
      </c>
      <c r="K3" s="9" t="s">
        <v>619</v>
      </c>
      <c r="L3" s="9" t="s">
        <v>607</v>
      </c>
      <c r="M3" s="9" t="s">
        <v>375</v>
      </c>
      <c r="N3" s="9" t="s">
        <v>620</v>
      </c>
      <c r="O3" s="9" t="s">
        <v>621</v>
      </c>
      <c r="P3" s="9" t="s">
        <v>172</v>
      </c>
      <c r="Q3" s="9" t="s">
        <v>211</v>
      </c>
      <c r="R3" s="9" t="s">
        <v>212</v>
      </c>
      <c r="S3" s="9" t="s">
        <v>213</v>
      </c>
      <c r="T3" s="9" t="s">
        <v>214</v>
      </c>
      <c r="U3" s="9" t="s">
        <v>215</v>
      </c>
      <c r="V3" s="9" t="s">
        <v>216</v>
      </c>
      <c r="W3" s="9" t="s">
        <v>217</v>
      </c>
      <c r="X3" s="9" t="s">
        <v>218</v>
      </c>
      <c r="Y3" s="9" t="s">
        <v>219</v>
      </c>
      <c r="Z3" s="73" t="s">
        <v>622</v>
      </c>
      <c r="AA3" s="73" t="s">
        <v>623</v>
      </c>
      <c r="AB3" s="73" t="s">
        <v>624</v>
      </c>
      <c r="AC3" t="s">
        <v>611</v>
      </c>
    </row>
    <row r="4" ht="18" customHeight="1" spans="1:29">
      <c r="A4" s="32" t="str">
        <f t="shared" ref="A4:A67" si="0">IF($C4="","",ROW()-3)</f>
        <v/>
      </c>
      <c r="B4" s="108"/>
      <c r="C4" s="11"/>
      <c r="D4" s="11"/>
      <c r="E4" s="10"/>
      <c r="F4" s="109"/>
      <c r="G4" s="109"/>
      <c r="H4" s="27"/>
      <c r="I4" s="11" t="s">
        <v>253</v>
      </c>
      <c r="J4" s="27" t="str">
        <f t="shared" ref="J4:J67" si="1">IF($C4="","",ROUND(N($H4),2))</f>
        <v/>
      </c>
      <c r="K4" s="27">
        <v>0</v>
      </c>
      <c r="L4" s="11"/>
      <c r="M4" s="11"/>
      <c r="N4" s="10"/>
      <c r="O4" s="11"/>
      <c r="P4" s="10"/>
      <c r="Q4" s="26" t="str">
        <f t="shared" ref="Q4:Q67" si="2">IF(OR($C4="",ROUND(N($H4),2)=0),"",$L4)</f>
        <v/>
      </c>
      <c r="R4" s="27" t="str">
        <f t="shared" ref="R4:R67" si="3">IF($Q4="","",ROUND(N($H4),2))</f>
        <v/>
      </c>
      <c r="S4" s="27" t="str">
        <f t="shared" ref="S4:S67" si="4">IF($Q4="","",0)</f>
        <v/>
      </c>
      <c r="T4" s="26" t="str">
        <f t="shared" ref="T4:T67" si="5">""</f>
        <v/>
      </c>
      <c r="U4" s="27" t="str">
        <f t="shared" ref="U4:U67" si="6">IF($T4="","",0)</f>
        <v/>
      </c>
      <c r="V4" s="27" t="str">
        <f t="shared" ref="V4:V67" si="7">IF($T4="","",0)</f>
        <v/>
      </c>
      <c r="W4" s="26" t="str">
        <f t="shared" ref="W4:W67" si="8">IF($Q4="","","应付账款")</f>
        <v/>
      </c>
      <c r="X4" s="27" t="str">
        <f t="shared" ref="X4:X67" si="9">IF($W4="","",0)</f>
        <v/>
      </c>
      <c r="Y4" s="27" t="str">
        <f t="shared" ref="Y4:Y67" si="10">IF($W4="","",ROUND(N($H4),2))</f>
        <v/>
      </c>
      <c r="Z4" s="43"/>
      <c r="AA4" s="107"/>
      <c r="AB4" s="76" t="str">
        <f t="shared" ref="AB4:AB67" si="11">IF($C4="","",ROUND(N($H4)-N($AA4),2))</f>
        <v/>
      </c>
      <c r="AC4" s="74" t="str">
        <f t="shared" ref="AC4:AC67" si="12">IF($B4="","",TEXT($B4,"yyyy年m月"))</f>
        <v/>
      </c>
    </row>
    <row r="5" ht="18" customHeight="1" spans="1:29">
      <c r="A5" s="32" t="str">
        <f t="shared" si="0"/>
        <v/>
      </c>
      <c r="B5" s="108"/>
      <c r="C5" s="11"/>
      <c r="D5" s="11"/>
      <c r="E5" s="10"/>
      <c r="F5" s="109"/>
      <c r="G5" s="109"/>
      <c r="H5" s="27"/>
      <c r="I5" s="11" t="s">
        <v>253</v>
      </c>
      <c r="J5" s="27" t="str">
        <f t="shared" si="1"/>
        <v/>
      </c>
      <c r="K5" s="27">
        <v>0</v>
      </c>
      <c r="L5" s="11"/>
      <c r="M5" s="11"/>
      <c r="N5" s="10"/>
      <c r="O5" s="11"/>
      <c r="P5" s="10"/>
      <c r="Q5" s="26" t="str">
        <f t="shared" si="2"/>
        <v/>
      </c>
      <c r="R5" s="27" t="str">
        <f t="shared" si="3"/>
        <v/>
      </c>
      <c r="S5" s="27" t="str">
        <f t="shared" si="4"/>
        <v/>
      </c>
      <c r="T5" s="26" t="str">
        <f t="shared" si="5"/>
        <v/>
      </c>
      <c r="U5" s="27" t="str">
        <f t="shared" si="6"/>
        <v/>
      </c>
      <c r="V5" s="27" t="str">
        <f t="shared" si="7"/>
        <v/>
      </c>
      <c r="W5" s="26" t="str">
        <f t="shared" si="8"/>
        <v/>
      </c>
      <c r="X5" s="27" t="str">
        <f t="shared" si="9"/>
        <v/>
      </c>
      <c r="Y5" s="27" t="str">
        <f t="shared" si="10"/>
        <v/>
      </c>
      <c r="Z5" s="43"/>
      <c r="AA5" s="107"/>
      <c r="AB5" s="76" t="str">
        <f t="shared" si="11"/>
        <v/>
      </c>
      <c r="AC5" s="74" t="str">
        <f t="shared" si="12"/>
        <v/>
      </c>
    </row>
    <row r="6" ht="18" customHeight="1" spans="1:29">
      <c r="A6" s="32" t="str">
        <f t="shared" si="0"/>
        <v/>
      </c>
      <c r="B6" s="108"/>
      <c r="C6" s="11"/>
      <c r="D6" s="11"/>
      <c r="E6" s="10"/>
      <c r="F6" s="109"/>
      <c r="G6" s="109"/>
      <c r="H6" s="27"/>
      <c r="I6" s="11" t="s">
        <v>253</v>
      </c>
      <c r="J6" s="27" t="str">
        <f t="shared" si="1"/>
        <v/>
      </c>
      <c r="K6" s="27">
        <v>0</v>
      </c>
      <c r="L6" s="11"/>
      <c r="M6" s="11"/>
      <c r="N6" s="10"/>
      <c r="O6" s="11"/>
      <c r="P6" s="10"/>
      <c r="Q6" s="26" t="str">
        <f t="shared" si="2"/>
        <v/>
      </c>
      <c r="R6" s="27" t="str">
        <f t="shared" si="3"/>
        <v/>
      </c>
      <c r="S6" s="27" t="str">
        <f t="shared" si="4"/>
        <v/>
      </c>
      <c r="T6" s="26" t="str">
        <f t="shared" si="5"/>
        <v/>
      </c>
      <c r="U6" s="27" t="str">
        <f t="shared" si="6"/>
        <v/>
      </c>
      <c r="V6" s="27" t="str">
        <f t="shared" si="7"/>
        <v/>
      </c>
      <c r="W6" s="26" t="str">
        <f t="shared" si="8"/>
        <v/>
      </c>
      <c r="X6" s="27" t="str">
        <f t="shared" si="9"/>
        <v/>
      </c>
      <c r="Y6" s="27" t="str">
        <f t="shared" si="10"/>
        <v/>
      </c>
      <c r="Z6" s="43"/>
      <c r="AA6" s="107"/>
      <c r="AB6" s="76" t="str">
        <f t="shared" si="11"/>
        <v/>
      </c>
      <c r="AC6" s="74" t="str">
        <f t="shared" si="12"/>
        <v/>
      </c>
    </row>
    <row r="7" ht="18" customHeight="1" spans="1:29">
      <c r="A7" s="32" t="str">
        <f t="shared" si="0"/>
        <v/>
      </c>
      <c r="B7" s="108"/>
      <c r="C7" s="11"/>
      <c r="D7" s="11"/>
      <c r="E7" s="10"/>
      <c r="F7" s="109"/>
      <c r="G7" s="109"/>
      <c r="H7" s="27"/>
      <c r="I7" s="11" t="s">
        <v>253</v>
      </c>
      <c r="J7" s="27" t="str">
        <f t="shared" si="1"/>
        <v/>
      </c>
      <c r="K7" s="27">
        <v>0</v>
      </c>
      <c r="L7" s="11"/>
      <c r="M7" s="11"/>
      <c r="N7" s="10"/>
      <c r="O7" s="11"/>
      <c r="P7" s="10"/>
      <c r="Q7" s="26" t="str">
        <f t="shared" si="2"/>
        <v/>
      </c>
      <c r="R7" s="27" t="str">
        <f t="shared" si="3"/>
        <v/>
      </c>
      <c r="S7" s="27" t="str">
        <f t="shared" si="4"/>
        <v/>
      </c>
      <c r="T7" s="26" t="str">
        <f t="shared" si="5"/>
        <v/>
      </c>
      <c r="U7" s="27" t="str">
        <f t="shared" si="6"/>
        <v/>
      </c>
      <c r="V7" s="27" t="str">
        <f t="shared" si="7"/>
        <v/>
      </c>
      <c r="W7" s="26" t="str">
        <f t="shared" si="8"/>
        <v/>
      </c>
      <c r="X7" s="27" t="str">
        <f t="shared" si="9"/>
        <v/>
      </c>
      <c r="Y7" s="27" t="str">
        <f t="shared" si="10"/>
        <v/>
      </c>
      <c r="Z7" s="43"/>
      <c r="AA7" s="107"/>
      <c r="AB7" s="76" t="str">
        <f t="shared" si="11"/>
        <v/>
      </c>
      <c r="AC7" s="74" t="str">
        <f t="shared" si="12"/>
        <v/>
      </c>
    </row>
    <row r="8" ht="18" customHeight="1" spans="1:29">
      <c r="A8" s="32" t="str">
        <f t="shared" si="0"/>
        <v/>
      </c>
      <c r="B8" s="108"/>
      <c r="C8" s="11"/>
      <c r="D8" s="11"/>
      <c r="E8" s="10"/>
      <c r="F8" s="109"/>
      <c r="G8" s="109"/>
      <c r="H8" s="27" t="str">
        <f t="shared" ref="H8:H71" si="13">IF($C8="","",ROUND(N($F8)*N($G8),2))</f>
        <v/>
      </c>
      <c r="I8" s="11" t="s">
        <v>253</v>
      </c>
      <c r="J8" s="27" t="str">
        <f t="shared" si="1"/>
        <v/>
      </c>
      <c r="K8" s="27">
        <v>0</v>
      </c>
      <c r="L8" s="11"/>
      <c r="M8" s="11"/>
      <c r="N8" s="10"/>
      <c r="O8" s="11"/>
      <c r="P8" s="10"/>
      <c r="Q8" s="26" t="str">
        <f t="shared" si="2"/>
        <v/>
      </c>
      <c r="R8" s="27" t="str">
        <f t="shared" si="3"/>
        <v/>
      </c>
      <c r="S8" s="27" t="str">
        <f t="shared" si="4"/>
        <v/>
      </c>
      <c r="T8" s="26" t="str">
        <f t="shared" si="5"/>
        <v/>
      </c>
      <c r="U8" s="27" t="str">
        <f t="shared" si="6"/>
        <v/>
      </c>
      <c r="V8" s="27" t="str">
        <f t="shared" si="7"/>
        <v/>
      </c>
      <c r="W8" s="26" t="str">
        <f t="shared" si="8"/>
        <v/>
      </c>
      <c r="X8" s="27" t="str">
        <f t="shared" si="9"/>
        <v/>
      </c>
      <c r="Y8" s="27" t="str">
        <f t="shared" si="10"/>
        <v/>
      </c>
      <c r="Z8" s="43"/>
      <c r="AA8" s="107"/>
      <c r="AB8" s="76" t="str">
        <f t="shared" si="11"/>
        <v/>
      </c>
      <c r="AC8" s="74" t="str">
        <f t="shared" si="12"/>
        <v/>
      </c>
    </row>
    <row r="9" ht="18" customHeight="1" spans="1:29">
      <c r="A9" s="32" t="str">
        <f t="shared" si="0"/>
        <v/>
      </c>
      <c r="B9" s="108"/>
      <c r="C9" s="11"/>
      <c r="D9" s="11"/>
      <c r="E9" s="10"/>
      <c r="F9" s="109"/>
      <c r="G9" s="109"/>
      <c r="H9" s="27" t="str">
        <f t="shared" si="13"/>
        <v/>
      </c>
      <c r="I9" s="11" t="s">
        <v>253</v>
      </c>
      <c r="J9" s="27" t="str">
        <f t="shared" si="1"/>
        <v/>
      </c>
      <c r="K9" s="27">
        <v>0</v>
      </c>
      <c r="L9" s="11"/>
      <c r="M9" s="11"/>
      <c r="N9" s="10"/>
      <c r="O9" s="11"/>
      <c r="P9" s="10"/>
      <c r="Q9" s="26" t="str">
        <f t="shared" si="2"/>
        <v/>
      </c>
      <c r="R9" s="27" t="str">
        <f t="shared" si="3"/>
        <v/>
      </c>
      <c r="S9" s="27" t="str">
        <f t="shared" si="4"/>
        <v/>
      </c>
      <c r="T9" s="26" t="str">
        <f t="shared" si="5"/>
        <v/>
      </c>
      <c r="U9" s="27" t="str">
        <f t="shared" si="6"/>
        <v/>
      </c>
      <c r="V9" s="27" t="str">
        <f t="shared" si="7"/>
        <v/>
      </c>
      <c r="W9" s="26" t="str">
        <f t="shared" si="8"/>
        <v/>
      </c>
      <c r="X9" s="27" t="str">
        <f t="shared" si="9"/>
        <v/>
      </c>
      <c r="Y9" s="27" t="str">
        <f t="shared" si="10"/>
        <v/>
      </c>
      <c r="Z9" s="43"/>
      <c r="AA9" s="107"/>
      <c r="AB9" s="76" t="str">
        <f t="shared" si="11"/>
        <v/>
      </c>
      <c r="AC9" s="74" t="str">
        <f t="shared" si="12"/>
        <v/>
      </c>
    </row>
    <row r="10" ht="18" customHeight="1" spans="1:29">
      <c r="A10" s="32" t="str">
        <f t="shared" si="0"/>
        <v/>
      </c>
      <c r="B10" s="108"/>
      <c r="C10" s="11"/>
      <c r="D10" s="11"/>
      <c r="E10" s="10"/>
      <c r="F10" s="109"/>
      <c r="G10" s="109"/>
      <c r="H10" s="27" t="str">
        <f t="shared" si="13"/>
        <v/>
      </c>
      <c r="I10" s="11" t="s">
        <v>253</v>
      </c>
      <c r="J10" s="27" t="str">
        <f t="shared" si="1"/>
        <v/>
      </c>
      <c r="K10" s="27">
        <v>0</v>
      </c>
      <c r="L10" s="11"/>
      <c r="M10" s="11"/>
      <c r="N10" s="10"/>
      <c r="O10" s="11"/>
      <c r="P10" s="10"/>
      <c r="Q10" s="26" t="str">
        <f t="shared" si="2"/>
        <v/>
      </c>
      <c r="R10" s="27" t="str">
        <f t="shared" si="3"/>
        <v/>
      </c>
      <c r="S10" s="27" t="str">
        <f t="shared" si="4"/>
        <v/>
      </c>
      <c r="T10" s="26" t="str">
        <f t="shared" si="5"/>
        <v/>
      </c>
      <c r="U10" s="27" t="str">
        <f t="shared" si="6"/>
        <v/>
      </c>
      <c r="V10" s="27" t="str">
        <f t="shared" si="7"/>
        <v/>
      </c>
      <c r="W10" s="26" t="str">
        <f t="shared" si="8"/>
        <v/>
      </c>
      <c r="X10" s="27" t="str">
        <f t="shared" si="9"/>
        <v/>
      </c>
      <c r="Y10" s="27" t="str">
        <f t="shared" si="10"/>
        <v/>
      </c>
      <c r="Z10" s="43"/>
      <c r="AA10" s="107"/>
      <c r="AB10" s="76" t="str">
        <f t="shared" si="11"/>
        <v/>
      </c>
      <c r="AC10" s="74" t="str">
        <f t="shared" si="12"/>
        <v/>
      </c>
    </row>
    <row r="11" ht="18" customHeight="1" spans="1:29">
      <c r="A11" s="32" t="str">
        <f t="shared" si="0"/>
        <v/>
      </c>
      <c r="B11" s="108"/>
      <c r="C11" s="11"/>
      <c r="D11" s="11"/>
      <c r="E11" s="10"/>
      <c r="F11" s="109"/>
      <c r="G11" s="109"/>
      <c r="H11" s="27" t="str">
        <f t="shared" si="13"/>
        <v/>
      </c>
      <c r="I11" s="11" t="s">
        <v>253</v>
      </c>
      <c r="J11" s="27" t="str">
        <f t="shared" si="1"/>
        <v/>
      </c>
      <c r="K11" s="27">
        <v>0</v>
      </c>
      <c r="L11" s="11"/>
      <c r="M11" s="11"/>
      <c r="N11" s="10"/>
      <c r="O11" s="11"/>
      <c r="P11" s="10"/>
      <c r="Q11" s="26" t="str">
        <f t="shared" si="2"/>
        <v/>
      </c>
      <c r="R11" s="27" t="str">
        <f t="shared" si="3"/>
        <v/>
      </c>
      <c r="S11" s="27" t="str">
        <f t="shared" si="4"/>
        <v/>
      </c>
      <c r="T11" s="26" t="str">
        <f t="shared" si="5"/>
        <v/>
      </c>
      <c r="U11" s="27" t="str">
        <f t="shared" si="6"/>
        <v/>
      </c>
      <c r="V11" s="27" t="str">
        <f t="shared" si="7"/>
        <v/>
      </c>
      <c r="W11" s="26" t="str">
        <f t="shared" si="8"/>
        <v/>
      </c>
      <c r="X11" s="27" t="str">
        <f t="shared" si="9"/>
        <v/>
      </c>
      <c r="Y11" s="27" t="str">
        <f t="shared" si="10"/>
        <v/>
      </c>
      <c r="Z11" s="43"/>
      <c r="AA11" s="107"/>
      <c r="AB11" s="76" t="str">
        <f t="shared" si="11"/>
        <v/>
      </c>
      <c r="AC11" s="74" t="str">
        <f t="shared" si="12"/>
        <v/>
      </c>
    </row>
    <row r="12" ht="18" customHeight="1" spans="1:29">
      <c r="A12" s="32" t="str">
        <f t="shared" si="0"/>
        <v/>
      </c>
      <c r="B12" s="108"/>
      <c r="C12" s="11"/>
      <c r="D12" s="11"/>
      <c r="E12" s="10"/>
      <c r="F12" s="109"/>
      <c r="G12" s="109"/>
      <c r="H12" s="27" t="str">
        <f t="shared" si="13"/>
        <v/>
      </c>
      <c r="I12" s="11" t="s">
        <v>253</v>
      </c>
      <c r="J12" s="27" t="str">
        <f t="shared" si="1"/>
        <v/>
      </c>
      <c r="K12" s="27">
        <v>0</v>
      </c>
      <c r="L12" s="11"/>
      <c r="M12" s="11"/>
      <c r="N12" s="10"/>
      <c r="O12" s="11"/>
      <c r="P12" s="10"/>
      <c r="Q12" s="26" t="str">
        <f t="shared" si="2"/>
        <v/>
      </c>
      <c r="R12" s="27" t="str">
        <f t="shared" si="3"/>
        <v/>
      </c>
      <c r="S12" s="27" t="str">
        <f t="shared" si="4"/>
        <v/>
      </c>
      <c r="T12" s="26" t="str">
        <f t="shared" si="5"/>
        <v/>
      </c>
      <c r="U12" s="27" t="str">
        <f t="shared" si="6"/>
        <v/>
      </c>
      <c r="V12" s="27" t="str">
        <f t="shared" si="7"/>
        <v/>
      </c>
      <c r="W12" s="26" t="str">
        <f t="shared" si="8"/>
        <v/>
      </c>
      <c r="X12" s="27" t="str">
        <f t="shared" si="9"/>
        <v/>
      </c>
      <c r="Y12" s="27" t="str">
        <f t="shared" si="10"/>
        <v/>
      </c>
      <c r="Z12" s="43"/>
      <c r="AA12" s="107"/>
      <c r="AB12" s="76" t="str">
        <f t="shared" si="11"/>
        <v/>
      </c>
      <c r="AC12" s="74" t="str">
        <f t="shared" si="12"/>
        <v/>
      </c>
    </row>
    <row r="13" ht="18" customHeight="1" spans="1:29">
      <c r="A13" s="32" t="str">
        <f t="shared" si="0"/>
        <v/>
      </c>
      <c r="B13" s="108"/>
      <c r="C13" s="11"/>
      <c r="D13" s="11"/>
      <c r="E13" s="10"/>
      <c r="F13" s="109"/>
      <c r="G13" s="109"/>
      <c r="H13" s="27" t="str">
        <f t="shared" si="13"/>
        <v/>
      </c>
      <c r="I13" s="11" t="s">
        <v>253</v>
      </c>
      <c r="J13" s="27" t="str">
        <f t="shared" si="1"/>
        <v/>
      </c>
      <c r="K13" s="27">
        <v>0</v>
      </c>
      <c r="L13" s="11"/>
      <c r="M13" s="11"/>
      <c r="N13" s="10"/>
      <c r="O13" s="11"/>
      <c r="P13" s="10"/>
      <c r="Q13" s="26" t="str">
        <f t="shared" si="2"/>
        <v/>
      </c>
      <c r="R13" s="27" t="str">
        <f t="shared" si="3"/>
        <v/>
      </c>
      <c r="S13" s="27" t="str">
        <f t="shared" si="4"/>
        <v/>
      </c>
      <c r="T13" s="26" t="str">
        <f t="shared" si="5"/>
        <v/>
      </c>
      <c r="U13" s="27" t="str">
        <f t="shared" si="6"/>
        <v/>
      </c>
      <c r="V13" s="27" t="str">
        <f t="shared" si="7"/>
        <v/>
      </c>
      <c r="W13" s="26" t="str">
        <f t="shared" si="8"/>
        <v/>
      </c>
      <c r="X13" s="27" t="str">
        <f t="shared" si="9"/>
        <v/>
      </c>
      <c r="Y13" s="27" t="str">
        <f t="shared" si="10"/>
        <v/>
      </c>
      <c r="Z13" s="43"/>
      <c r="AA13" s="107"/>
      <c r="AB13" s="76" t="str">
        <f t="shared" si="11"/>
        <v/>
      </c>
      <c r="AC13" s="74" t="str">
        <f t="shared" si="12"/>
        <v/>
      </c>
    </row>
    <row r="14" ht="18" customHeight="1" spans="1:29">
      <c r="A14" s="32" t="str">
        <f t="shared" si="0"/>
        <v/>
      </c>
      <c r="B14" s="108"/>
      <c r="C14" s="11"/>
      <c r="D14" s="11"/>
      <c r="E14" s="10"/>
      <c r="F14" s="109"/>
      <c r="G14" s="109"/>
      <c r="H14" s="27" t="str">
        <f t="shared" si="13"/>
        <v/>
      </c>
      <c r="I14" s="11" t="s">
        <v>253</v>
      </c>
      <c r="J14" s="27" t="str">
        <f t="shared" si="1"/>
        <v/>
      </c>
      <c r="K14" s="27">
        <v>0</v>
      </c>
      <c r="L14" s="11"/>
      <c r="M14" s="11"/>
      <c r="N14" s="10"/>
      <c r="O14" s="11"/>
      <c r="P14" s="10"/>
      <c r="Q14" s="26" t="str">
        <f t="shared" si="2"/>
        <v/>
      </c>
      <c r="R14" s="27" t="str">
        <f t="shared" si="3"/>
        <v/>
      </c>
      <c r="S14" s="27" t="str">
        <f t="shared" si="4"/>
        <v/>
      </c>
      <c r="T14" s="26" t="str">
        <f t="shared" si="5"/>
        <v/>
      </c>
      <c r="U14" s="27" t="str">
        <f t="shared" si="6"/>
        <v/>
      </c>
      <c r="V14" s="27" t="str">
        <f t="shared" si="7"/>
        <v/>
      </c>
      <c r="W14" s="26" t="str">
        <f t="shared" si="8"/>
        <v/>
      </c>
      <c r="X14" s="27" t="str">
        <f t="shared" si="9"/>
        <v/>
      </c>
      <c r="Y14" s="27" t="str">
        <f t="shared" si="10"/>
        <v/>
      </c>
      <c r="Z14" s="43"/>
      <c r="AA14" s="107"/>
      <c r="AB14" s="76" t="str">
        <f t="shared" si="11"/>
        <v/>
      </c>
      <c r="AC14" s="74" t="str">
        <f t="shared" si="12"/>
        <v/>
      </c>
    </row>
    <row r="15" ht="18" customHeight="1" spans="1:29">
      <c r="A15" s="32" t="str">
        <f t="shared" si="0"/>
        <v/>
      </c>
      <c r="B15" s="108"/>
      <c r="C15" s="11"/>
      <c r="D15" s="11"/>
      <c r="E15" s="10"/>
      <c r="F15" s="109"/>
      <c r="G15" s="109"/>
      <c r="H15" s="27" t="str">
        <f t="shared" si="13"/>
        <v/>
      </c>
      <c r="I15" s="11" t="s">
        <v>253</v>
      </c>
      <c r="J15" s="27" t="str">
        <f t="shared" si="1"/>
        <v/>
      </c>
      <c r="K15" s="27">
        <v>0</v>
      </c>
      <c r="L15" s="11"/>
      <c r="M15" s="11"/>
      <c r="N15" s="10"/>
      <c r="O15" s="11"/>
      <c r="P15" s="10"/>
      <c r="Q15" s="26" t="str">
        <f t="shared" si="2"/>
        <v/>
      </c>
      <c r="R15" s="27" t="str">
        <f t="shared" si="3"/>
        <v/>
      </c>
      <c r="S15" s="27" t="str">
        <f t="shared" si="4"/>
        <v/>
      </c>
      <c r="T15" s="26" t="str">
        <f t="shared" si="5"/>
        <v/>
      </c>
      <c r="U15" s="27" t="str">
        <f t="shared" si="6"/>
        <v/>
      </c>
      <c r="V15" s="27" t="str">
        <f t="shared" si="7"/>
        <v/>
      </c>
      <c r="W15" s="26" t="str">
        <f t="shared" si="8"/>
        <v/>
      </c>
      <c r="X15" s="27" t="str">
        <f t="shared" si="9"/>
        <v/>
      </c>
      <c r="Y15" s="27" t="str">
        <f t="shared" si="10"/>
        <v/>
      </c>
      <c r="Z15" s="43"/>
      <c r="AA15" s="107"/>
      <c r="AB15" s="76" t="str">
        <f t="shared" si="11"/>
        <v/>
      </c>
      <c r="AC15" s="74" t="str">
        <f t="shared" si="12"/>
        <v/>
      </c>
    </row>
    <row r="16" ht="18" customHeight="1" spans="1:29">
      <c r="A16" s="32" t="str">
        <f t="shared" si="0"/>
        <v/>
      </c>
      <c r="B16" s="108"/>
      <c r="C16" s="11"/>
      <c r="D16" s="11"/>
      <c r="E16" s="10"/>
      <c r="F16" s="109"/>
      <c r="G16" s="109"/>
      <c r="H16" s="27" t="str">
        <f t="shared" si="13"/>
        <v/>
      </c>
      <c r="I16" s="11" t="s">
        <v>253</v>
      </c>
      <c r="J16" s="27" t="str">
        <f t="shared" si="1"/>
        <v/>
      </c>
      <c r="K16" s="27">
        <v>0</v>
      </c>
      <c r="L16" s="11"/>
      <c r="M16" s="11"/>
      <c r="N16" s="10"/>
      <c r="O16" s="11"/>
      <c r="P16" s="10"/>
      <c r="Q16" s="26" t="str">
        <f t="shared" si="2"/>
        <v/>
      </c>
      <c r="R16" s="27" t="str">
        <f t="shared" si="3"/>
        <v/>
      </c>
      <c r="S16" s="27" t="str">
        <f t="shared" si="4"/>
        <v/>
      </c>
      <c r="T16" s="26" t="str">
        <f t="shared" si="5"/>
        <v/>
      </c>
      <c r="U16" s="27" t="str">
        <f t="shared" si="6"/>
        <v/>
      </c>
      <c r="V16" s="27" t="str">
        <f t="shared" si="7"/>
        <v/>
      </c>
      <c r="W16" s="26" t="str">
        <f t="shared" si="8"/>
        <v/>
      </c>
      <c r="X16" s="27" t="str">
        <f t="shared" si="9"/>
        <v/>
      </c>
      <c r="Y16" s="27" t="str">
        <f t="shared" si="10"/>
        <v/>
      </c>
      <c r="Z16" s="43"/>
      <c r="AA16" s="107"/>
      <c r="AB16" s="76" t="str">
        <f t="shared" si="11"/>
        <v/>
      </c>
      <c r="AC16" s="74" t="str">
        <f t="shared" si="12"/>
        <v/>
      </c>
    </row>
    <row r="17" ht="18" customHeight="1" spans="1:29">
      <c r="A17" s="32" t="str">
        <f t="shared" si="0"/>
        <v/>
      </c>
      <c r="B17" s="108"/>
      <c r="C17" s="11"/>
      <c r="D17" s="11"/>
      <c r="E17" s="10"/>
      <c r="F17" s="109"/>
      <c r="G17" s="109"/>
      <c r="H17" s="27" t="str">
        <f t="shared" si="13"/>
        <v/>
      </c>
      <c r="I17" s="11" t="s">
        <v>253</v>
      </c>
      <c r="J17" s="27" t="str">
        <f t="shared" si="1"/>
        <v/>
      </c>
      <c r="K17" s="27">
        <v>0</v>
      </c>
      <c r="L17" s="11"/>
      <c r="M17" s="11"/>
      <c r="N17" s="10"/>
      <c r="O17" s="11"/>
      <c r="P17" s="10"/>
      <c r="Q17" s="26" t="str">
        <f t="shared" si="2"/>
        <v/>
      </c>
      <c r="R17" s="27" t="str">
        <f t="shared" si="3"/>
        <v/>
      </c>
      <c r="S17" s="27" t="str">
        <f t="shared" si="4"/>
        <v/>
      </c>
      <c r="T17" s="26" t="str">
        <f t="shared" si="5"/>
        <v/>
      </c>
      <c r="U17" s="27" t="str">
        <f t="shared" si="6"/>
        <v/>
      </c>
      <c r="V17" s="27" t="str">
        <f t="shared" si="7"/>
        <v/>
      </c>
      <c r="W17" s="26" t="str">
        <f t="shared" si="8"/>
        <v/>
      </c>
      <c r="X17" s="27" t="str">
        <f t="shared" si="9"/>
        <v/>
      </c>
      <c r="Y17" s="27" t="str">
        <f t="shared" si="10"/>
        <v/>
      </c>
      <c r="Z17" s="43"/>
      <c r="AA17" s="107"/>
      <c r="AB17" s="76" t="str">
        <f t="shared" si="11"/>
        <v/>
      </c>
      <c r="AC17" s="74" t="str">
        <f t="shared" si="12"/>
        <v/>
      </c>
    </row>
    <row r="18" ht="18" customHeight="1" spans="1:29">
      <c r="A18" s="32" t="str">
        <f t="shared" si="0"/>
        <v/>
      </c>
      <c r="B18" s="108"/>
      <c r="C18" s="11"/>
      <c r="D18" s="11"/>
      <c r="E18" s="10"/>
      <c r="F18" s="109"/>
      <c r="G18" s="109"/>
      <c r="H18" s="27" t="str">
        <f t="shared" si="13"/>
        <v/>
      </c>
      <c r="I18" s="11" t="s">
        <v>253</v>
      </c>
      <c r="J18" s="27" t="str">
        <f t="shared" si="1"/>
        <v/>
      </c>
      <c r="K18" s="27">
        <v>0</v>
      </c>
      <c r="L18" s="11"/>
      <c r="M18" s="11"/>
      <c r="N18" s="10"/>
      <c r="O18" s="11"/>
      <c r="P18" s="10"/>
      <c r="Q18" s="26" t="str">
        <f t="shared" si="2"/>
        <v/>
      </c>
      <c r="R18" s="27" t="str">
        <f t="shared" si="3"/>
        <v/>
      </c>
      <c r="S18" s="27" t="str">
        <f t="shared" si="4"/>
        <v/>
      </c>
      <c r="T18" s="26" t="str">
        <f t="shared" si="5"/>
        <v/>
      </c>
      <c r="U18" s="27" t="str">
        <f t="shared" si="6"/>
        <v/>
      </c>
      <c r="V18" s="27" t="str">
        <f t="shared" si="7"/>
        <v/>
      </c>
      <c r="W18" s="26" t="str">
        <f t="shared" si="8"/>
        <v/>
      </c>
      <c r="X18" s="27" t="str">
        <f t="shared" si="9"/>
        <v/>
      </c>
      <c r="Y18" s="27" t="str">
        <f t="shared" si="10"/>
        <v/>
      </c>
      <c r="Z18" s="43"/>
      <c r="AA18" s="107"/>
      <c r="AB18" s="76" t="str">
        <f t="shared" si="11"/>
        <v/>
      </c>
      <c r="AC18" s="74" t="str">
        <f t="shared" si="12"/>
        <v/>
      </c>
    </row>
    <row r="19" ht="18" customHeight="1" spans="1:29">
      <c r="A19" s="32" t="str">
        <f t="shared" si="0"/>
        <v/>
      </c>
      <c r="B19" s="108"/>
      <c r="C19" s="11"/>
      <c r="D19" s="11"/>
      <c r="E19" s="10"/>
      <c r="F19" s="109"/>
      <c r="G19" s="109"/>
      <c r="H19" s="27" t="str">
        <f t="shared" si="13"/>
        <v/>
      </c>
      <c r="I19" s="11" t="s">
        <v>253</v>
      </c>
      <c r="J19" s="27" t="str">
        <f t="shared" si="1"/>
        <v/>
      </c>
      <c r="K19" s="27">
        <v>0</v>
      </c>
      <c r="L19" s="11"/>
      <c r="M19" s="11"/>
      <c r="N19" s="10"/>
      <c r="O19" s="11"/>
      <c r="P19" s="10"/>
      <c r="Q19" s="26" t="str">
        <f t="shared" si="2"/>
        <v/>
      </c>
      <c r="R19" s="27" t="str">
        <f t="shared" si="3"/>
        <v/>
      </c>
      <c r="S19" s="27" t="str">
        <f t="shared" si="4"/>
        <v/>
      </c>
      <c r="T19" s="26" t="str">
        <f t="shared" si="5"/>
        <v/>
      </c>
      <c r="U19" s="27" t="str">
        <f t="shared" si="6"/>
        <v/>
      </c>
      <c r="V19" s="27" t="str">
        <f t="shared" si="7"/>
        <v/>
      </c>
      <c r="W19" s="26" t="str">
        <f t="shared" si="8"/>
        <v/>
      </c>
      <c r="X19" s="27" t="str">
        <f t="shared" si="9"/>
        <v/>
      </c>
      <c r="Y19" s="27" t="str">
        <f t="shared" si="10"/>
        <v/>
      </c>
      <c r="Z19" s="43"/>
      <c r="AA19" s="107"/>
      <c r="AB19" s="76" t="str">
        <f t="shared" si="11"/>
        <v/>
      </c>
      <c r="AC19" s="74" t="str">
        <f t="shared" si="12"/>
        <v/>
      </c>
    </row>
    <row r="20" ht="18" customHeight="1" spans="1:29">
      <c r="A20" s="32" t="str">
        <f t="shared" si="0"/>
        <v/>
      </c>
      <c r="B20" s="108"/>
      <c r="C20" s="11"/>
      <c r="D20" s="11"/>
      <c r="E20" s="10"/>
      <c r="F20" s="109"/>
      <c r="G20" s="109"/>
      <c r="H20" s="27" t="str">
        <f t="shared" si="13"/>
        <v/>
      </c>
      <c r="I20" s="11" t="s">
        <v>253</v>
      </c>
      <c r="J20" s="27" t="str">
        <f t="shared" si="1"/>
        <v/>
      </c>
      <c r="K20" s="27">
        <v>0</v>
      </c>
      <c r="L20" s="11"/>
      <c r="M20" s="11"/>
      <c r="N20" s="10"/>
      <c r="O20" s="11"/>
      <c r="P20" s="10"/>
      <c r="Q20" s="26" t="str">
        <f t="shared" si="2"/>
        <v/>
      </c>
      <c r="R20" s="27" t="str">
        <f t="shared" si="3"/>
        <v/>
      </c>
      <c r="S20" s="27" t="str">
        <f t="shared" si="4"/>
        <v/>
      </c>
      <c r="T20" s="26" t="str">
        <f t="shared" si="5"/>
        <v/>
      </c>
      <c r="U20" s="27" t="str">
        <f t="shared" si="6"/>
        <v/>
      </c>
      <c r="V20" s="27" t="str">
        <f t="shared" si="7"/>
        <v/>
      </c>
      <c r="W20" s="26" t="str">
        <f t="shared" si="8"/>
        <v/>
      </c>
      <c r="X20" s="27" t="str">
        <f t="shared" si="9"/>
        <v/>
      </c>
      <c r="Y20" s="27" t="str">
        <f t="shared" si="10"/>
        <v/>
      </c>
      <c r="Z20" s="43"/>
      <c r="AA20" s="107"/>
      <c r="AB20" s="76" t="str">
        <f t="shared" si="11"/>
        <v/>
      </c>
      <c r="AC20" s="74" t="str">
        <f t="shared" si="12"/>
        <v/>
      </c>
    </row>
    <row r="21" ht="18" customHeight="1" spans="1:29">
      <c r="A21" s="32" t="str">
        <f t="shared" si="0"/>
        <v/>
      </c>
      <c r="B21" s="108"/>
      <c r="C21" s="11"/>
      <c r="D21" s="11"/>
      <c r="E21" s="10"/>
      <c r="F21" s="109"/>
      <c r="G21" s="109"/>
      <c r="H21" s="27" t="str">
        <f t="shared" si="13"/>
        <v/>
      </c>
      <c r="I21" s="11" t="s">
        <v>253</v>
      </c>
      <c r="J21" s="27" t="str">
        <f t="shared" si="1"/>
        <v/>
      </c>
      <c r="K21" s="27">
        <v>0</v>
      </c>
      <c r="L21" s="11"/>
      <c r="M21" s="11"/>
      <c r="N21" s="10"/>
      <c r="O21" s="11"/>
      <c r="P21" s="10"/>
      <c r="Q21" s="26" t="str">
        <f t="shared" si="2"/>
        <v/>
      </c>
      <c r="R21" s="27" t="str">
        <f t="shared" si="3"/>
        <v/>
      </c>
      <c r="S21" s="27" t="str">
        <f t="shared" si="4"/>
        <v/>
      </c>
      <c r="T21" s="26" t="str">
        <f t="shared" si="5"/>
        <v/>
      </c>
      <c r="U21" s="27" t="str">
        <f t="shared" si="6"/>
        <v/>
      </c>
      <c r="V21" s="27" t="str">
        <f t="shared" si="7"/>
        <v/>
      </c>
      <c r="W21" s="26" t="str">
        <f t="shared" si="8"/>
        <v/>
      </c>
      <c r="X21" s="27" t="str">
        <f t="shared" si="9"/>
        <v/>
      </c>
      <c r="Y21" s="27" t="str">
        <f t="shared" si="10"/>
        <v/>
      </c>
      <c r="Z21" s="43"/>
      <c r="AA21" s="107"/>
      <c r="AB21" s="76" t="str">
        <f t="shared" si="11"/>
        <v/>
      </c>
      <c r="AC21" s="74" t="str">
        <f t="shared" si="12"/>
        <v/>
      </c>
    </row>
    <row r="22" ht="18" customHeight="1" spans="1:29">
      <c r="A22" s="32" t="str">
        <f t="shared" si="0"/>
        <v/>
      </c>
      <c r="B22" s="108"/>
      <c r="C22" s="11"/>
      <c r="D22" s="11"/>
      <c r="E22" s="10"/>
      <c r="F22" s="109"/>
      <c r="G22" s="109"/>
      <c r="H22" s="27" t="str">
        <f t="shared" si="13"/>
        <v/>
      </c>
      <c r="I22" s="11" t="s">
        <v>253</v>
      </c>
      <c r="J22" s="27" t="str">
        <f t="shared" si="1"/>
        <v/>
      </c>
      <c r="K22" s="27">
        <v>0</v>
      </c>
      <c r="L22" s="11"/>
      <c r="M22" s="11"/>
      <c r="N22" s="10"/>
      <c r="O22" s="11"/>
      <c r="P22" s="10"/>
      <c r="Q22" s="26" t="str">
        <f t="shared" si="2"/>
        <v/>
      </c>
      <c r="R22" s="27" t="str">
        <f t="shared" si="3"/>
        <v/>
      </c>
      <c r="S22" s="27" t="str">
        <f t="shared" si="4"/>
        <v/>
      </c>
      <c r="T22" s="26" t="str">
        <f t="shared" si="5"/>
        <v/>
      </c>
      <c r="U22" s="27" t="str">
        <f t="shared" si="6"/>
        <v/>
      </c>
      <c r="V22" s="27" t="str">
        <f t="shared" si="7"/>
        <v/>
      </c>
      <c r="W22" s="26" t="str">
        <f t="shared" si="8"/>
        <v/>
      </c>
      <c r="X22" s="27" t="str">
        <f t="shared" si="9"/>
        <v/>
      </c>
      <c r="Y22" s="27" t="str">
        <f t="shared" si="10"/>
        <v/>
      </c>
      <c r="Z22" s="43"/>
      <c r="AA22" s="107"/>
      <c r="AB22" s="76" t="str">
        <f t="shared" si="11"/>
        <v/>
      </c>
      <c r="AC22" s="74" t="str">
        <f t="shared" si="12"/>
        <v/>
      </c>
    </row>
    <row r="23" ht="18" customHeight="1" spans="1:29">
      <c r="A23" s="32" t="str">
        <f t="shared" si="0"/>
        <v/>
      </c>
      <c r="B23" s="108"/>
      <c r="C23" s="11"/>
      <c r="D23" s="11"/>
      <c r="E23" s="10"/>
      <c r="F23" s="109"/>
      <c r="G23" s="109"/>
      <c r="H23" s="27" t="str">
        <f t="shared" si="13"/>
        <v/>
      </c>
      <c r="I23" s="11" t="s">
        <v>253</v>
      </c>
      <c r="J23" s="27" t="str">
        <f t="shared" si="1"/>
        <v/>
      </c>
      <c r="K23" s="27">
        <v>0</v>
      </c>
      <c r="L23" s="11"/>
      <c r="M23" s="11"/>
      <c r="N23" s="10"/>
      <c r="O23" s="11"/>
      <c r="P23" s="10"/>
      <c r="Q23" s="26" t="str">
        <f t="shared" si="2"/>
        <v/>
      </c>
      <c r="R23" s="27" t="str">
        <f t="shared" si="3"/>
        <v/>
      </c>
      <c r="S23" s="27" t="str">
        <f t="shared" si="4"/>
        <v/>
      </c>
      <c r="T23" s="26" t="str">
        <f t="shared" si="5"/>
        <v/>
      </c>
      <c r="U23" s="27" t="str">
        <f t="shared" si="6"/>
        <v/>
      </c>
      <c r="V23" s="27" t="str">
        <f t="shared" si="7"/>
        <v/>
      </c>
      <c r="W23" s="26" t="str">
        <f t="shared" si="8"/>
        <v/>
      </c>
      <c r="X23" s="27" t="str">
        <f t="shared" si="9"/>
        <v/>
      </c>
      <c r="Y23" s="27" t="str">
        <f t="shared" si="10"/>
        <v/>
      </c>
      <c r="Z23" s="43"/>
      <c r="AA23" s="107"/>
      <c r="AB23" s="76" t="str">
        <f t="shared" si="11"/>
        <v/>
      </c>
      <c r="AC23" s="74" t="str">
        <f t="shared" si="12"/>
        <v/>
      </c>
    </row>
    <row r="24" ht="18" customHeight="1" spans="1:29">
      <c r="A24" s="32" t="str">
        <f t="shared" si="0"/>
        <v/>
      </c>
      <c r="B24" s="108"/>
      <c r="C24" s="11"/>
      <c r="D24" s="11"/>
      <c r="E24" s="10"/>
      <c r="F24" s="109"/>
      <c r="G24" s="109"/>
      <c r="H24" s="27" t="str">
        <f t="shared" si="13"/>
        <v/>
      </c>
      <c r="I24" s="11" t="s">
        <v>253</v>
      </c>
      <c r="J24" s="27" t="str">
        <f t="shared" si="1"/>
        <v/>
      </c>
      <c r="K24" s="27">
        <v>0</v>
      </c>
      <c r="L24" s="11"/>
      <c r="M24" s="11"/>
      <c r="N24" s="10"/>
      <c r="O24" s="11"/>
      <c r="P24" s="10"/>
      <c r="Q24" s="26" t="str">
        <f t="shared" si="2"/>
        <v/>
      </c>
      <c r="R24" s="27" t="str">
        <f t="shared" si="3"/>
        <v/>
      </c>
      <c r="S24" s="27" t="str">
        <f t="shared" si="4"/>
        <v/>
      </c>
      <c r="T24" s="26" t="str">
        <f t="shared" si="5"/>
        <v/>
      </c>
      <c r="U24" s="27" t="str">
        <f t="shared" si="6"/>
        <v/>
      </c>
      <c r="V24" s="27" t="str">
        <f t="shared" si="7"/>
        <v/>
      </c>
      <c r="W24" s="26" t="str">
        <f t="shared" si="8"/>
        <v/>
      </c>
      <c r="X24" s="27" t="str">
        <f t="shared" si="9"/>
        <v/>
      </c>
      <c r="Y24" s="27" t="str">
        <f t="shared" si="10"/>
        <v/>
      </c>
      <c r="Z24" s="43"/>
      <c r="AA24" s="107"/>
      <c r="AB24" s="76" t="str">
        <f t="shared" si="11"/>
        <v/>
      </c>
      <c r="AC24" s="74" t="str">
        <f t="shared" si="12"/>
        <v/>
      </c>
    </row>
    <row r="25" ht="18" customHeight="1" spans="1:29">
      <c r="A25" s="32" t="str">
        <f t="shared" si="0"/>
        <v/>
      </c>
      <c r="B25" s="108"/>
      <c r="C25" s="11"/>
      <c r="D25" s="11"/>
      <c r="E25" s="10"/>
      <c r="F25" s="109"/>
      <c r="G25" s="109"/>
      <c r="H25" s="27" t="str">
        <f t="shared" si="13"/>
        <v/>
      </c>
      <c r="I25" s="11" t="s">
        <v>253</v>
      </c>
      <c r="J25" s="27" t="str">
        <f t="shared" si="1"/>
        <v/>
      </c>
      <c r="K25" s="27">
        <v>0</v>
      </c>
      <c r="L25" s="11"/>
      <c r="M25" s="11"/>
      <c r="N25" s="10"/>
      <c r="O25" s="11"/>
      <c r="P25" s="10"/>
      <c r="Q25" s="26" t="str">
        <f t="shared" si="2"/>
        <v/>
      </c>
      <c r="R25" s="27" t="str">
        <f t="shared" si="3"/>
        <v/>
      </c>
      <c r="S25" s="27" t="str">
        <f t="shared" si="4"/>
        <v/>
      </c>
      <c r="T25" s="26" t="str">
        <f t="shared" si="5"/>
        <v/>
      </c>
      <c r="U25" s="27" t="str">
        <f t="shared" si="6"/>
        <v/>
      </c>
      <c r="V25" s="27" t="str">
        <f t="shared" si="7"/>
        <v/>
      </c>
      <c r="W25" s="26" t="str">
        <f t="shared" si="8"/>
        <v/>
      </c>
      <c r="X25" s="27" t="str">
        <f t="shared" si="9"/>
        <v/>
      </c>
      <c r="Y25" s="27" t="str">
        <f t="shared" si="10"/>
        <v/>
      </c>
      <c r="Z25" s="43"/>
      <c r="AA25" s="107"/>
      <c r="AB25" s="76" t="str">
        <f t="shared" si="11"/>
        <v/>
      </c>
      <c r="AC25" s="74" t="str">
        <f t="shared" si="12"/>
        <v/>
      </c>
    </row>
    <row r="26" ht="18" customHeight="1" spans="1:29">
      <c r="A26" s="32" t="str">
        <f t="shared" si="0"/>
        <v/>
      </c>
      <c r="B26" s="108"/>
      <c r="C26" s="11"/>
      <c r="D26" s="11"/>
      <c r="E26" s="10"/>
      <c r="F26" s="109"/>
      <c r="G26" s="109"/>
      <c r="H26" s="27" t="str">
        <f t="shared" si="13"/>
        <v/>
      </c>
      <c r="I26" s="11" t="s">
        <v>253</v>
      </c>
      <c r="J26" s="27" t="str">
        <f t="shared" si="1"/>
        <v/>
      </c>
      <c r="K26" s="27">
        <v>0</v>
      </c>
      <c r="L26" s="11"/>
      <c r="M26" s="11"/>
      <c r="N26" s="10"/>
      <c r="O26" s="11"/>
      <c r="P26" s="10"/>
      <c r="Q26" s="26" t="str">
        <f t="shared" si="2"/>
        <v/>
      </c>
      <c r="R26" s="27" t="str">
        <f t="shared" si="3"/>
        <v/>
      </c>
      <c r="S26" s="27" t="str">
        <f t="shared" si="4"/>
        <v/>
      </c>
      <c r="T26" s="26" t="str">
        <f t="shared" si="5"/>
        <v/>
      </c>
      <c r="U26" s="27" t="str">
        <f t="shared" si="6"/>
        <v/>
      </c>
      <c r="V26" s="27" t="str">
        <f t="shared" si="7"/>
        <v/>
      </c>
      <c r="W26" s="26" t="str">
        <f t="shared" si="8"/>
        <v/>
      </c>
      <c r="X26" s="27" t="str">
        <f t="shared" si="9"/>
        <v/>
      </c>
      <c r="Y26" s="27" t="str">
        <f t="shared" si="10"/>
        <v/>
      </c>
      <c r="Z26" s="43"/>
      <c r="AA26" s="107"/>
      <c r="AB26" s="76" t="str">
        <f t="shared" si="11"/>
        <v/>
      </c>
      <c r="AC26" s="74" t="str">
        <f t="shared" si="12"/>
        <v/>
      </c>
    </row>
    <row r="27" ht="18" customHeight="1" spans="1:29">
      <c r="A27" s="32" t="str">
        <f t="shared" si="0"/>
        <v/>
      </c>
      <c r="B27" s="108"/>
      <c r="C27" s="11"/>
      <c r="D27" s="11"/>
      <c r="E27" s="10"/>
      <c r="F27" s="109"/>
      <c r="G27" s="109"/>
      <c r="H27" s="27" t="str">
        <f t="shared" si="13"/>
        <v/>
      </c>
      <c r="I27" s="11" t="s">
        <v>253</v>
      </c>
      <c r="J27" s="27" t="str">
        <f t="shared" si="1"/>
        <v/>
      </c>
      <c r="K27" s="27">
        <v>0</v>
      </c>
      <c r="L27" s="11"/>
      <c r="M27" s="11"/>
      <c r="N27" s="10"/>
      <c r="O27" s="11"/>
      <c r="P27" s="10"/>
      <c r="Q27" s="26" t="str">
        <f t="shared" si="2"/>
        <v/>
      </c>
      <c r="R27" s="27" t="str">
        <f t="shared" si="3"/>
        <v/>
      </c>
      <c r="S27" s="27" t="str">
        <f t="shared" si="4"/>
        <v/>
      </c>
      <c r="T27" s="26" t="str">
        <f t="shared" si="5"/>
        <v/>
      </c>
      <c r="U27" s="27" t="str">
        <f t="shared" si="6"/>
        <v/>
      </c>
      <c r="V27" s="27" t="str">
        <f t="shared" si="7"/>
        <v/>
      </c>
      <c r="W27" s="26" t="str">
        <f t="shared" si="8"/>
        <v/>
      </c>
      <c r="X27" s="27" t="str">
        <f t="shared" si="9"/>
        <v/>
      </c>
      <c r="Y27" s="27" t="str">
        <f t="shared" si="10"/>
        <v/>
      </c>
      <c r="Z27" s="43"/>
      <c r="AA27" s="107"/>
      <c r="AB27" s="76" t="str">
        <f t="shared" si="11"/>
        <v/>
      </c>
      <c r="AC27" s="74" t="str">
        <f t="shared" si="12"/>
        <v/>
      </c>
    </row>
    <row r="28" ht="18" customHeight="1" spans="1:29">
      <c r="A28" s="32" t="str">
        <f t="shared" si="0"/>
        <v/>
      </c>
      <c r="B28" s="108"/>
      <c r="C28" s="11"/>
      <c r="D28" s="11"/>
      <c r="E28" s="10"/>
      <c r="F28" s="109"/>
      <c r="G28" s="109"/>
      <c r="H28" s="27" t="str">
        <f t="shared" si="13"/>
        <v/>
      </c>
      <c r="I28" s="11" t="s">
        <v>253</v>
      </c>
      <c r="J28" s="27" t="str">
        <f t="shared" si="1"/>
        <v/>
      </c>
      <c r="K28" s="27">
        <v>0</v>
      </c>
      <c r="L28" s="11"/>
      <c r="M28" s="11"/>
      <c r="N28" s="10"/>
      <c r="O28" s="11"/>
      <c r="P28" s="10"/>
      <c r="Q28" s="26" t="str">
        <f t="shared" si="2"/>
        <v/>
      </c>
      <c r="R28" s="27" t="str">
        <f t="shared" si="3"/>
        <v/>
      </c>
      <c r="S28" s="27" t="str">
        <f t="shared" si="4"/>
        <v/>
      </c>
      <c r="T28" s="26" t="str">
        <f t="shared" si="5"/>
        <v/>
      </c>
      <c r="U28" s="27" t="str">
        <f t="shared" si="6"/>
        <v/>
      </c>
      <c r="V28" s="27" t="str">
        <f t="shared" si="7"/>
        <v/>
      </c>
      <c r="W28" s="26" t="str">
        <f t="shared" si="8"/>
        <v/>
      </c>
      <c r="X28" s="27" t="str">
        <f t="shared" si="9"/>
        <v/>
      </c>
      <c r="Y28" s="27" t="str">
        <f t="shared" si="10"/>
        <v/>
      </c>
      <c r="Z28" s="43"/>
      <c r="AA28" s="107"/>
      <c r="AB28" s="76" t="str">
        <f t="shared" si="11"/>
        <v/>
      </c>
      <c r="AC28" s="74" t="str">
        <f t="shared" si="12"/>
        <v/>
      </c>
    </row>
    <row r="29" ht="18" customHeight="1" spans="1:29">
      <c r="A29" s="32" t="str">
        <f t="shared" si="0"/>
        <v/>
      </c>
      <c r="B29" s="108"/>
      <c r="C29" s="11"/>
      <c r="D29" s="11"/>
      <c r="E29" s="10"/>
      <c r="F29" s="109"/>
      <c r="G29" s="109"/>
      <c r="H29" s="27" t="str">
        <f t="shared" si="13"/>
        <v/>
      </c>
      <c r="I29" s="11" t="s">
        <v>253</v>
      </c>
      <c r="J29" s="27" t="str">
        <f t="shared" si="1"/>
        <v/>
      </c>
      <c r="K29" s="27">
        <v>0</v>
      </c>
      <c r="L29" s="11"/>
      <c r="M29" s="11"/>
      <c r="N29" s="10"/>
      <c r="O29" s="11"/>
      <c r="P29" s="10"/>
      <c r="Q29" s="26" t="str">
        <f t="shared" si="2"/>
        <v/>
      </c>
      <c r="R29" s="27" t="str">
        <f t="shared" si="3"/>
        <v/>
      </c>
      <c r="S29" s="27" t="str">
        <f t="shared" si="4"/>
        <v/>
      </c>
      <c r="T29" s="26" t="str">
        <f t="shared" si="5"/>
        <v/>
      </c>
      <c r="U29" s="27" t="str">
        <f t="shared" si="6"/>
        <v/>
      </c>
      <c r="V29" s="27" t="str">
        <f t="shared" si="7"/>
        <v/>
      </c>
      <c r="W29" s="26" t="str">
        <f t="shared" si="8"/>
        <v/>
      </c>
      <c r="X29" s="27" t="str">
        <f t="shared" si="9"/>
        <v/>
      </c>
      <c r="Y29" s="27" t="str">
        <f t="shared" si="10"/>
        <v/>
      </c>
      <c r="Z29" s="43"/>
      <c r="AA29" s="107"/>
      <c r="AB29" s="76" t="str">
        <f t="shared" si="11"/>
        <v/>
      </c>
      <c r="AC29" s="74" t="str">
        <f t="shared" si="12"/>
        <v/>
      </c>
    </row>
    <row r="30" ht="18" customHeight="1" spans="1:29">
      <c r="A30" s="32" t="str">
        <f t="shared" si="0"/>
        <v/>
      </c>
      <c r="B30" s="108"/>
      <c r="C30" s="11"/>
      <c r="D30" s="11"/>
      <c r="E30" s="10"/>
      <c r="F30" s="109"/>
      <c r="G30" s="109"/>
      <c r="H30" s="27" t="str">
        <f t="shared" si="13"/>
        <v/>
      </c>
      <c r="I30" s="11" t="s">
        <v>253</v>
      </c>
      <c r="J30" s="27" t="str">
        <f t="shared" si="1"/>
        <v/>
      </c>
      <c r="K30" s="27">
        <v>0</v>
      </c>
      <c r="L30" s="11"/>
      <c r="M30" s="11"/>
      <c r="N30" s="10"/>
      <c r="O30" s="11"/>
      <c r="P30" s="10"/>
      <c r="Q30" s="26" t="str">
        <f t="shared" si="2"/>
        <v/>
      </c>
      <c r="R30" s="27" t="str">
        <f t="shared" si="3"/>
        <v/>
      </c>
      <c r="S30" s="27" t="str">
        <f t="shared" si="4"/>
        <v/>
      </c>
      <c r="T30" s="26" t="str">
        <f t="shared" si="5"/>
        <v/>
      </c>
      <c r="U30" s="27" t="str">
        <f t="shared" si="6"/>
        <v/>
      </c>
      <c r="V30" s="27" t="str">
        <f t="shared" si="7"/>
        <v/>
      </c>
      <c r="W30" s="26" t="str">
        <f t="shared" si="8"/>
        <v/>
      </c>
      <c r="X30" s="27" t="str">
        <f t="shared" si="9"/>
        <v/>
      </c>
      <c r="Y30" s="27" t="str">
        <f t="shared" si="10"/>
        <v/>
      </c>
      <c r="Z30" s="43"/>
      <c r="AA30" s="107"/>
      <c r="AB30" s="76" t="str">
        <f t="shared" si="11"/>
        <v/>
      </c>
      <c r="AC30" s="74" t="str">
        <f t="shared" si="12"/>
        <v/>
      </c>
    </row>
    <row r="31" ht="18" customHeight="1" spans="1:29">
      <c r="A31" s="32" t="str">
        <f t="shared" si="0"/>
        <v/>
      </c>
      <c r="B31" s="108"/>
      <c r="C31" s="11"/>
      <c r="D31" s="11"/>
      <c r="E31" s="10"/>
      <c r="F31" s="109"/>
      <c r="G31" s="109"/>
      <c r="H31" s="27" t="str">
        <f t="shared" si="13"/>
        <v/>
      </c>
      <c r="I31" s="11" t="s">
        <v>253</v>
      </c>
      <c r="J31" s="27" t="str">
        <f t="shared" si="1"/>
        <v/>
      </c>
      <c r="K31" s="27">
        <v>0</v>
      </c>
      <c r="L31" s="11"/>
      <c r="M31" s="11"/>
      <c r="N31" s="10"/>
      <c r="O31" s="11"/>
      <c r="P31" s="10"/>
      <c r="Q31" s="26" t="str">
        <f t="shared" si="2"/>
        <v/>
      </c>
      <c r="R31" s="27" t="str">
        <f t="shared" si="3"/>
        <v/>
      </c>
      <c r="S31" s="27" t="str">
        <f t="shared" si="4"/>
        <v/>
      </c>
      <c r="T31" s="26" t="str">
        <f t="shared" si="5"/>
        <v/>
      </c>
      <c r="U31" s="27" t="str">
        <f t="shared" si="6"/>
        <v/>
      </c>
      <c r="V31" s="27" t="str">
        <f t="shared" si="7"/>
        <v/>
      </c>
      <c r="W31" s="26" t="str">
        <f t="shared" si="8"/>
        <v/>
      </c>
      <c r="X31" s="27" t="str">
        <f t="shared" si="9"/>
        <v/>
      </c>
      <c r="Y31" s="27" t="str">
        <f t="shared" si="10"/>
        <v/>
      </c>
      <c r="Z31" s="43"/>
      <c r="AA31" s="107"/>
      <c r="AB31" s="76" t="str">
        <f t="shared" si="11"/>
        <v/>
      </c>
      <c r="AC31" s="74" t="str">
        <f t="shared" si="12"/>
        <v/>
      </c>
    </row>
    <row r="32" ht="18" customHeight="1" spans="1:29">
      <c r="A32" s="32" t="str">
        <f t="shared" si="0"/>
        <v/>
      </c>
      <c r="B32" s="108"/>
      <c r="C32" s="11"/>
      <c r="D32" s="11"/>
      <c r="E32" s="10"/>
      <c r="F32" s="109"/>
      <c r="G32" s="109"/>
      <c r="H32" s="27" t="str">
        <f t="shared" si="13"/>
        <v/>
      </c>
      <c r="I32" s="11" t="s">
        <v>253</v>
      </c>
      <c r="J32" s="27" t="str">
        <f t="shared" si="1"/>
        <v/>
      </c>
      <c r="K32" s="27">
        <v>0</v>
      </c>
      <c r="L32" s="11"/>
      <c r="M32" s="11"/>
      <c r="N32" s="10"/>
      <c r="O32" s="11"/>
      <c r="P32" s="10"/>
      <c r="Q32" s="26" t="str">
        <f t="shared" si="2"/>
        <v/>
      </c>
      <c r="R32" s="27" t="str">
        <f t="shared" si="3"/>
        <v/>
      </c>
      <c r="S32" s="27" t="str">
        <f t="shared" si="4"/>
        <v/>
      </c>
      <c r="T32" s="26" t="str">
        <f t="shared" si="5"/>
        <v/>
      </c>
      <c r="U32" s="27" t="str">
        <f t="shared" si="6"/>
        <v/>
      </c>
      <c r="V32" s="27" t="str">
        <f t="shared" si="7"/>
        <v/>
      </c>
      <c r="W32" s="26" t="str">
        <f t="shared" si="8"/>
        <v/>
      </c>
      <c r="X32" s="27" t="str">
        <f t="shared" si="9"/>
        <v/>
      </c>
      <c r="Y32" s="27" t="str">
        <f t="shared" si="10"/>
        <v/>
      </c>
      <c r="Z32" s="43"/>
      <c r="AA32" s="107"/>
      <c r="AB32" s="76" t="str">
        <f t="shared" si="11"/>
        <v/>
      </c>
      <c r="AC32" s="74" t="str">
        <f t="shared" si="12"/>
        <v/>
      </c>
    </row>
    <row r="33" ht="18" customHeight="1" spans="1:29">
      <c r="A33" s="32" t="str">
        <f t="shared" si="0"/>
        <v/>
      </c>
      <c r="B33" s="108"/>
      <c r="C33" s="11"/>
      <c r="D33" s="11"/>
      <c r="E33" s="10"/>
      <c r="F33" s="109"/>
      <c r="G33" s="109"/>
      <c r="H33" s="27" t="str">
        <f t="shared" si="13"/>
        <v/>
      </c>
      <c r="I33" s="11" t="s">
        <v>253</v>
      </c>
      <c r="J33" s="27" t="str">
        <f t="shared" si="1"/>
        <v/>
      </c>
      <c r="K33" s="27">
        <v>0</v>
      </c>
      <c r="L33" s="11"/>
      <c r="M33" s="11"/>
      <c r="N33" s="10"/>
      <c r="O33" s="11"/>
      <c r="P33" s="10"/>
      <c r="Q33" s="26" t="str">
        <f t="shared" si="2"/>
        <v/>
      </c>
      <c r="R33" s="27" t="str">
        <f t="shared" si="3"/>
        <v/>
      </c>
      <c r="S33" s="27" t="str">
        <f t="shared" si="4"/>
        <v/>
      </c>
      <c r="T33" s="26" t="str">
        <f t="shared" si="5"/>
        <v/>
      </c>
      <c r="U33" s="27" t="str">
        <f t="shared" si="6"/>
        <v/>
      </c>
      <c r="V33" s="27" t="str">
        <f t="shared" si="7"/>
        <v/>
      </c>
      <c r="W33" s="26" t="str">
        <f t="shared" si="8"/>
        <v/>
      </c>
      <c r="X33" s="27" t="str">
        <f t="shared" si="9"/>
        <v/>
      </c>
      <c r="Y33" s="27" t="str">
        <f t="shared" si="10"/>
        <v/>
      </c>
      <c r="Z33" s="43"/>
      <c r="AA33" s="107"/>
      <c r="AB33" s="76" t="str">
        <f t="shared" si="11"/>
        <v/>
      </c>
      <c r="AC33" s="74" t="str">
        <f t="shared" si="12"/>
        <v/>
      </c>
    </row>
    <row r="34" ht="18" customHeight="1" spans="1:29">
      <c r="A34" s="32" t="str">
        <f t="shared" si="0"/>
        <v/>
      </c>
      <c r="B34" s="108"/>
      <c r="C34" s="11"/>
      <c r="D34" s="11"/>
      <c r="E34" s="10"/>
      <c r="F34" s="109"/>
      <c r="G34" s="109"/>
      <c r="H34" s="27" t="str">
        <f t="shared" si="13"/>
        <v/>
      </c>
      <c r="I34" s="11" t="s">
        <v>253</v>
      </c>
      <c r="J34" s="27" t="str">
        <f t="shared" si="1"/>
        <v/>
      </c>
      <c r="K34" s="27">
        <v>0</v>
      </c>
      <c r="L34" s="11"/>
      <c r="M34" s="11"/>
      <c r="N34" s="10"/>
      <c r="O34" s="11"/>
      <c r="P34" s="10"/>
      <c r="Q34" s="26" t="str">
        <f t="shared" si="2"/>
        <v/>
      </c>
      <c r="R34" s="27" t="str">
        <f t="shared" si="3"/>
        <v/>
      </c>
      <c r="S34" s="27" t="str">
        <f t="shared" si="4"/>
        <v/>
      </c>
      <c r="T34" s="26" t="str">
        <f t="shared" si="5"/>
        <v/>
      </c>
      <c r="U34" s="27" t="str">
        <f t="shared" si="6"/>
        <v/>
      </c>
      <c r="V34" s="27" t="str">
        <f t="shared" si="7"/>
        <v/>
      </c>
      <c r="W34" s="26" t="str">
        <f t="shared" si="8"/>
        <v/>
      </c>
      <c r="X34" s="27" t="str">
        <f t="shared" si="9"/>
        <v/>
      </c>
      <c r="Y34" s="27" t="str">
        <f t="shared" si="10"/>
        <v/>
      </c>
      <c r="Z34" s="43"/>
      <c r="AA34" s="107"/>
      <c r="AB34" s="76" t="str">
        <f t="shared" si="11"/>
        <v/>
      </c>
      <c r="AC34" s="74" t="str">
        <f t="shared" si="12"/>
        <v/>
      </c>
    </row>
    <row r="35" ht="18" customHeight="1" spans="1:29">
      <c r="A35" s="32" t="str">
        <f t="shared" si="0"/>
        <v/>
      </c>
      <c r="B35" s="108"/>
      <c r="C35" s="11"/>
      <c r="D35" s="11"/>
      <c r="E35" s="10"/>
      <c r="F35" s="109"/>
      <c r="G35" s="109"/>
      <c r="H35" s="27" t="str">
        <f t="shared" si="13"/>
        <v/>
      </c>
      <c r="I35" s="11" t="s">
        <v>253</v>
      </c>
      <c r="J35" s="27" t="str">
        <f t="shared" si="1"/>
        <v/>
      </c>
      <c r="K35" s="27">
        <v>0</v>
      </c>
      <c r="L35" s="11"/>
      <c r="M35" s="11"/>
      <c r="N35" s="10"/>
      <c r="O35" s="11"/>
      <c r="P35" s="10"/>
      <c r="Q35" s="26" t="str">
        <f t="shared" si="2"/>
        <v/>
      </c>
      <c r="R35" s="27" t="str">
        <f t="shared" si="3"/>
        <v/>
      </c>
      <c r="S35" s="27" t="str">
        <f t="shared" si="4"/>
        <v/>
      </c>
      <c r="T35" s="26" t="str">
        <f t="shared" si="5"/>
        <v/>
      </c>
      <c r="U35" s="27" t="str">
        <f t="shared" si="6"/>
        <v/>
      </c>
      <c r="V35" s="27" t="str">
        <f t="shared" si="7"/>
        <v/>
      </c>
      <c r="W35" s="26" t="str">
        <f t="shared" si="8"/>
        <v/>
      </c>
      <c r="X35" s="27" t="str">
        <f t="shared" si="9"/>
        <v/>
      </c>
      <c r="Y35" s="27" t="str">
        <f t="shared" si="10"/>
        <v/>
      </c>
      <c r="Z35" s="43"/>
      <c r="AA35" s="107"/>
      <c r="AB35" s="76" t="str">
        <f t="shared" si="11"/>
        <v/>
      </c>
      <c r="AC35" s="74" t="str">
        <f t="shared" si="12"/>
        <v/>
      </c>
    </row>
    <row r="36" ht="18" customHeight="1" spans="1:29">
      <c r="A36" s="32" t="str">
        <f t="shared" si="0"/>
        <v/>
      </c>
      <c r="B36" s="108"/>
      <c r="C36" s="11"/>
      <c r="D36" s="11"/>
      <c r="E36" s="10"/>
      <c r="F36" s="109"/>
      <c r="G36" s="109"/>
      <c r="H36" s="27" t="str">
        <f t="shared" si="13"/>
        <v/>
      </c>
      <c r="I36" s="11" t="s">
        <v>253</v>
      </c>
      <c r="J36" s="27" t="str">
        <f t="shared" si="1"/>
        <v/>
      </c>
      <c r="K36" s="27">
        <v>0</v>
      </c>
      <c r="L36" s="11"/>
      <c r="M36" s="11"/>
      <c r="N36" s="10"/>
      <c r="O36" s="11"/>
      <c r="P36" s="10"/>
      <c r="Q36" s="26" t="str">
        <f t="shared" si="2"/>
        <v/>
      </c>
      <c r="R36" s="27" t="str">
        <f t="shared" si="3"/>
        <v/>
      </c>
      <c r="S36" s="27" t="str">
        <f t="shared" si="4"/>
        <v/>
      </c>
      <c r="T36" s="26" t="str">
        <f t="shared" si="5"/>
        <v/>
      </c>
      <c r="U36" s="27" t="str">
        <f t="shared" si="6"/>
        <v/>
      </c>
      <c r="V36" s="27" t="str">
        <f t="shared" si="7"/>
        <v/>
      </c>
      <c r="W36" s="26" t="str">
        <f t="shared" si="8"/>
        <v/>
      </c>
      <c r="X36" s="27" t="str">
        <f t="shared" si="9"/>
        <v/>
      </c>
      <c r="Y36" s="27" t="str">
        <f t="shared" si="10"/>
        <v/>
      </c>
      <c r="Z36" s="43"/>
      <c r="AA36" s="107"/>
      <c r="AB36" s="76" t="str">
        <f t="shared" si="11"/>
        <v/>
      </c>
      <c r="AC36" s="74" t="str">
        <f t="shared" si="12"/>
        <v/>
      </c>
    </row>
    <row r="37" ht="18" customHeight="1" spans="1:29">
      <c r="A37" s="32" t="str">
        <f t="shared" si="0"/>
        <v/>
      </c>
      <c r="B37" s="108"/>
      <c r="C37" s="11"/>
      <c r="D37" s="11"/>
      <c r="E37" s="10"/>
      <c r="F37" s="109"/>
      <c r="G37" s="109"/>
      <c r="H37" s="27" t="str">
        <f t="shared" si="13"/>
        <v/>
      </c>
      <c r="I37" s="11" t="s">
        <v>253</v>
      </c>
      <c r="J37" s="27" t="str">
        <f t="shared" si="1"/>
        <v/>
      </c>
      <c r="K37" s="27">
        <v>0</v>
      </c>
      <c r="L37" s="11"/>
      <c r="M37" s="11"/>
      <c r="N37" s="10"/>
      <c r="O37" s="11"/>
      <c r="P37" s="10"/>
      <c r="Q37" s="26" t="str">
        <f t="shared" si="2"/>
        <v/>
      </c>
      <c r="R37" s="27" t="str">
        <f t="shared" si="3"/>
        <v/>
      </c>
      <c r="S37" s="27" t="str">
        <f t="shared" si="4"/>
        <v/>
      </c>
      <c r="T37" s="26" t="str">
        <f t="shared" si="5"/>
        <v/>
      </c>
      <c r="U37" s="27" t="str">
        <f t="shared" si="6"/>
        <v/>
      </c>
      <c r="V37" s="27" t="str">
        <f t="shared" si="7"/>
        <v/>
      </c>
      <c r="W37" s="26" t="str">
        <f t="shared" si="8"/>
        <v/>
      </c>
      <c r="X37" s="27" t="str">
        <f t="shared" si="9"/>
        <v/>
      </c>
      <c r="Y37" s="27" t="str">
        <f t="shared" si="10"/>
        <v/>
      </c>
      <c r="Z37" s="43"/>
      <c r="AA37" s="107"/>
      <c r="AB37" s="76" t="str">
        <f t="shared" si="11"/>
        <v/>
      </c>
      <c r="AC37" s="74" t="str">
        <f t="shared" si="12"/>
        <v/>
      </c>
    </row>
    <row r="38" ht="18" customHeight="1" spans="1:29">
      <c r="A38" s="32" t="str">
        <f t="shared" si="0"/>
        <v/>
      </c>
      <c r="B38" s="108"/>
      <c r="C38" s="11"/>
      <c r="D38" s="11"/>
      <c r="E38" s="10"/>
      <c r="F38" s="109"/>
      <c r="G38" s="109"/>
      <c r="H38" s="27" t="str">
        <f t="shared" si="13"/>
        <v/>
      </c>
      <c r="I38" s="11" t="s">
        <v>253</v>
      </c>
      <c r="J38" s="27" t="str">
        <f t="shared" si="1"/>
        <v/>
      </c>
      <c r="K38" s="27">
        <v>0</v>
      </c>
      <c r="L38" s="11"/>
      <c r="M38" s="11"/>
      <c r="N38" s="10"/>
      <c r="O38" s="11"/>
      <c r="P38" s="10"/>
      <c r="Q38" s="26" t="str">
        <f t="shared" si="2"/>
        <v/>
      </c>
      <c r="R38" s="27" t="str">
        <f t="shared" si="3"/>
        <v/>
      </c>
      <c r="S38" s="27" t="str">
        <f t="shared" si="4"/>
        <v/>
      </c>
      <c r="T38" s="26" t="str">
        <f t="shared" si="5"/>
        <v/>
      </c>
      <c r="U38" s="27" t="str">
        <f t="shared" si="6"/>
        <v/>
      </c>
      <c r="V38" s="27" t="str">
        <f t="shared" si="7"/>
        <v/>
      </c>
      <c r="W38" s="26" t="str">
        <f t="shared" si="8"/>
        <v/>
      </c>
      <c r="X38" s="27" t="str">
        <f t="shared" si="9"/>
        <v/>
      </c>
      <c r="Y38" s="27" t="str">
        <f t="shared" si="10"/>
        <v/>
      </c>
      <c r="Z38" s="43"/>
      <c r="AA38" s="107"/>
      <c r="AB38" s="76" t="str">
        <f t="shared" si="11"/>
        <v/>
      </c>
      <c r="AC38" s="74" t="str">
        <f t="shared" si="12"/>
        <v/>
      </c>
    </row>
    <row r="39" ht="18" customHeight="1" spans="1:29">
      <c r="A39" s="32" t="str">
        <f t="shared" si="0"/>
        <v/>
      </c>
      <c r="B39" s="108"/>
      <c r="C39" s="11"/>
      <c r="D39" s="11"/>
      <c r="E39" s="10"/>
      <c r="F39" s="109"/>
      <c r="G39" s="109"/>
      <c r="H39" s="27" t="str">
        <f t="shared" si="13"/>
        <v/>
      </c>
      <c r="I39" s="11" t="s">
        <v>253</v>
      </c>
      <c r="J39" s="27" t="str">
        <f t="shared" si="1"/>
        <v/>
      </c>
      <c r="K39" s="27">
        <v>0</v>
      </c>
      <c r="L39" s="11"/>
      <c r="M39" s="11"/>
      <c r="N39" s="10"/>
      <c r="O39" s="11"/>
      <c r="P39" s="10"/>
      <c r="Q39" s="26" t="str">
        <f t="shared" si="2"/>
        <v/>
      </c>
      <c r="R39" s="27" t="str">
        <f t="shared" si="3"/>
        <v/>
      </c>
      <c r="S39" s="27" t="str">
        <f t="shared" si="4"/>
        <v/>
      </c>
      <c r="T39" s="26" t="str">
        <f t="shared" si="5"/>
        <v/>
      </c>
      <c r="U39" s="27" t="str">
        <f t="shared" si="6"/>
        <v/>
      </c>
      <c r="V39" s="27" t="str">
        <f t="shared" si="7"/>
        <v/>
      </c>
      <c r="W39" s="26" t="str">
        <f t="shared" si="8"/>
        <v/>
      </c>
      <c r="X39" s="27" t="str">
        <f t="shared" si="9"/>
        <v/>
      </c>
      <c r="Y39" s="27" t="str">
        <f t="shared" si="10"/>
        <v/>
      </c>
      <c r="Z39" s="43"/>
      <c r="AA39" s="107"/>
      <c r="AB39" s="76" t="str">
        <f t="shared" si="11"/>
        <v/>
      </c>
      <c r="AC39" s="74" t="str">
        <f t="shared" si="12"/>
        <v/>
      </c>
    </row>
    <row r="40" ht="18" customHeight="1" spans="1:29">
      <c r="A40" s="32" t="str">
        <f t="shared" si="0"/>
        <v/>
      </c>
      <c r="B40" s="108"/>
      <c r="C40" s="11"/>
      <c r="D40" s="11"/>
      <c r="E40" s="10"/>
      <c r="F40" s="109"/>
      <c r="G40" s="109"/>
      <c r="H40" s="27" t="str">
        <f t="shared" si="13"/>
        <v/>
      </c>
      <c r="I40" s="11" t="s">
        <v>253</v>
      </c>
      <c r="J40" s="27" t="str">
        <f t="shared" si="1"/>
        <v/>
      </c>
      <c r="K40" s="27">
        <v>0</v>
      </c>
      <c r="L40" s="11"/>
      <c r="M40" s="11"/>
      <c r="N40" s="10"/>
      <c r="O40" s="11"/>
      <c r="P40" s="10"/>
      <c r="Q40" s="26" t="str">
        <f t="shared" si="2"/>
        <v/>
      </c>
      <c r="R40" s="27" t="str">
        <f t="shared" si="3"/>
        <v/>
      </c>
      <c r="S40" s="27" t="str">
        <f t="shared" si="4"/>
        <v/>
      </c>
      <c r="T40" s="26" t="str">
        <f t="shared" si="5"/>
        <v/>
      </c>
      <c r="U40" s="27" t="str">
        <f t="shared" si="6"/>
        <v/>
      </c>
      <c r="V40" s="27" t="str">
        <f t="shared" si="7"/>
        <v/>
      </c>
      <c r="W40" s="26" t="str">
        <f t="shared" si="8"/>
        <v/>
      </c>
      <c r="X40" s="27" t="str">
        <f t="shared" si="9"/>
        <v/>
      </c>
      <c r="Y40" s="27" t="str">
        <f t="shared" si="10"/>
        <v/>
      </c>
      <c r="Z40" s="43"/>
      <c r="AA40" s="107"/>
      <c r="AB40" s="76" t="str">
        <f t="shared" si="11"/>
        <v/>
      </c>
      <c r="AC40" s="74" t="str">
        <f t="shared" si="12"/>
        <v/>
      </c>
    </row>
    <row r="41" ht="18" customHeight="1" spans="1:29">
      <c r="A41" s="32" t="str">
        <f t="shared" si="0"/>
        <v/>
      </c>
      <c r="B41" s="108"/>
      <c r="C41" s="11"/>
      <c r="D41" s="11"/>
      <c r="E41" s="10"/>
      <c r="F41" s="109"/>
      <c r="G41" s="109"/>
      <c r="H41" s="27" t="str">
        <f t="shared" si="13"/>
        <v/>
      </c>
      <c r="I41" s="11" t="s">
        <v>253</v>
      </c>
      <c r="J41" s="27" t="str">
        <f t="shared" si="1"/>
        <v/>
      </c>
      <c r="K41" s="27">
        <v>0</v>
      </c>
      <c r="L41" s="11"/>
      <c r="M41" s="11"/>
      <c r="N41" s="10"/>
      <c r="O41" s="11"/>
      <c r="P41" s="10"/>
      <c r="Q41" s="26" t="str">
        <f t="shared" si="2"/>
        <v/>
      </c>
      <c r="R41" s="27" t="str">
        <f t="shared" si="3"/>
        <v/>
      </c>
      <c r="S41" s="27" t="str">
        <f t="shared" si="4"/>
        <v/>
      </c>
      <c r="T41" s="26" t="str">
        <f t="shared" si="5"/>
        <v/>
      </c>
      <c r="U41" s="27" t="str">
        <f t="shared" si="6"/>
        <v/>
      </c>
      <c r="V41" s="27" t="str">
        <f t="shared" si="7"/>
        <v/>
      </c>
      <c r="W41" s="26" t="str">
        <f t="shared" si="8"/>
        <v/>
      </c>
      <c r="X41" s="27" t="str">
        <f t="shared" si="9"/>
        <v/>
      </c>
      <c r="Y41" s="27" t="str">
        <f t="shared" si="10"/>
        <v/>
      </c>
      <c r="Z41" s="43"/>
      <c r="AA41" s="107"/>
      <c r="AB41" s="76" t="str">
        <f t="shared" si="11"/>
        <v/>
      </c>
      <c r="AC41" s="74" t="str">
        <f t="shared" si="12"/>
        <v/>
      </c>
    </row>
    <row r="42" ht="18" customHeight="1" spans="1:29">
      <c r="A42" s="32" t="str">
        <f t="shared" si="0"/>
        <v/>
      </c>
      <c r="B42" s="108"/>
      <c r="C42" s="11"/>
      <c r="D42" s="11"/>
      <c r="E42" s="10"/>
      <c r="F42" s="109"/>
      <c r="G42" s="109"/>
      <c r="H42" s="27" t="str">
        <f t="shared" si="13"/>
        <v/>
      </c>
      <c r="I42" s="11" t="s">
        <v>253</v>
      </c>
      <c r="J42" s="27" t="str">
        <f t="shared" si="1"/>
        <v/>
      </c>
      <c r="K42" s="27">
        <v>0</v>
      </c>
      <c r="L42" s="11"/>
      <c r="M42" s="11"/>
      <c r="N42" s="10"/>
      <c r="O42" s="11"/>
      <c r="P42" s="10"/>
      <c r="Q42" s="26" t="str">
        <f t="shared" si="2"/>
        <v/>
      </c>
      <c r="R42" s="27" t="str">
        <f t="shared" si="3"/>
        <v/>
      </c>
      <c r="S42" s="27" t="str">
        <f t="shared" si="4"/>
        <v/>
      </c>
      <c r="T42" s="26" t="str">
        <f t="shared" si="5"/>
        <v/>
      </c>
      <c r="U42" s="27" t="str">
        <f t="shared" si="6"/>
        <v/>
      </c>
      <c r="V42" s="27" t="str">
        <f t="shared" si="7"/>
        <v/>
      </c>
      <c r="W42" s="26" t="str">
        <f t="shared" si="8"/>
        <v/>
      </c>
      <c r="X42" s="27" t="str">
        <f t="shared" si="9"/>
        <v/>
      </c>
      <c r="Y42" s="27" t="str">
        <f t="shared" si="10"/>
        <v/>
      </c>
      <c r="Z42" s="43"/>
      <c r="AA42" s="107"/>
      <c r="AB42" s="76" t="str">
        <f t="shared" si="11"/>
        <v/>
      </c>
      <c r="AC42" s="74" t="str">
        <f t="shared" si="12"/>
        <v/>
      </c>
    </row>
    <row r="43" ht="18" customHeight="1" spans="1:29">
      <c r="A43" s="32" t="str">
        <f t="shared" si="0"/>
        <v/>
      </c>
      <c r="B43" s="108"/>
      <c r="C43" s="11"/>
      <c r="D43" s="11"/>
      <c r="E43" s="10"/>
      <c r="F43" s="109"/>
      <c r="G43" s="109"/>
      <c r="H43" s="27" t="str">
        <f t="shared" si="13"/>
        <v/>
      </c>
      <c r="I43" s="11" t="s">
        <v>253</v>
      </c>
      <c r="J43" s="27" t="str">
        <f t="shared" si="1"/>
        <v/>
      </c>
      <c r="K43" s="27">
        <v>0</v>
      </c>
      <c r="L43" s="11"/>
      <c r="M43" s="11"/>
      <c r="N43" s="10"/>
      <c r="O43" s="11"/>
      <c r="P43" s="10"/>
      <c r="Q43" s="26" t="str">
        <f t="shared" si="2"/>
        <v/>
      </c>
      <c r="R43" s="27" t="str">
        <f t="shared" si="3"/>
        <v/>
      </c>
      <c r="S43" s="27" t="str">
        <f t="shared" si="4"/>
        <v/>
      </c>
      <c r="T43" s="26" t="str">
        <f t="shared" si="5"/>
        <v/>
      </c>
      <c r="U43" s="27" t="str">
        <f t="shared" si="6"/>
        <v/>
      </c>
      <c r="V43" s="27" t="str">
        <f t="shared" si="7"/>
        <v/>
      </c>
      <c r="W43" s="26" t="str">
        <f t="shared" si="8"/>
        <v/>
      </c>
      <c r="X43" s="27" t="str">
        <f t="shared" si="9"/>
        <v/>
      </c>
      <c r="Y43" s="27" t="str">
        <f t="shared" si="10"/>
        <v/>
      </c>
      <c r="Z43" s="43"/>
      <c r="AA43" s="107"/>
      <c r="AB43" s="76" t="str">
        <f t="shared" si="11"/>
        <v/>
      </c>
      <c r="AC43" s="74" t="str">
        <f t="shared" si="12"/>
        <v/>
      </c>
    </row>
    <row r="44" ht="18" customHeight="1" spans="1:29">
      <c r="A44" s="32" t="str">
        <f t="shared" si="0"/>
        <v/>
      </c>
      <c r="B44" s="108"/>
      <c r="C44" s="11"/>
      <c r="D44" s="11"/>
      <c r="E44" s="10"/>
      <c r="F44" s="109"/>
      <c r="G44" s="109"/>
      <c r="H44" s="27" t="str">
        <f t="shared" si="13"/>
        <v/>
      </c>
      <c r="I44" s="11" t="s">
        <v>253</v>
      </c>
      <c r="J44" s="27" t="str">
        <f t="shared" si="1"/>
        <v/>
      </c>
      <c r="K44" s="27">
        <v>0</v>
      </c>
      <c r="L44" s="11"/>
      <c r="M44" s="11"/>
      <c r="N44" s="10"/>
      <c r="O44" s="11"/>
      <c r="P44" s="10"/>
      <c r="Q44" s="26" t="str">
        <f t="shared" si="2"/>
        <v/>
      </c>
      <c r="R44" s="27" t="str">
        <f t="shared" si="3"/>
        <v/>
      </c>
      <c r="S44" s="27" t="str">
        <f t="shared" si="4"/>
        <v/>
      </c>
      <c r="T44" s="26" t="str">
        <f t="shared" si="5"/>
        <v/>
      </c>
      <c r="U44" s="27" t="str">
        <f t="shared" si="6"/>
        <v/>
      </c>
      <c r="V44" s="27" t="str">
        <f t="shared" si="7"/>
        <v/>
      </c>
      <c r="W44" s="26" t="str">
        <f t="shared" si="8"/>
        <v/>
      </c>
      <c r="X44" s="27" t="str">
        <f t="shared" si="9"/>
        <v/>
      </c>
      <c r="Y44" s="27" t="str">
        <f t="shared" si="10"/>
        <v/>
      </c>
      <c r="Z44" s="43"/>
      <c r="AA44" s="107"/>
      <c r="AB44" s="76" t="str">
        <f t="shared" si="11"/>
        <v/>
      </c>
      <c r="AC44" s="74" t="str">
        <f t="shared" si="12"/>
        <v/>
      </c>
    </row>
    <row r="45" ht="18" customHeight="1" spans="1:29">
      <c r="A45" s="32" t="str">
        <f t="shared" si="0"/>
        <v/>
      </c>
      <c r="B45" s="108"/>
      <c r="C45" s="11"/>
      <c r="D45" s="11"/>
      <c r="E45" s="10"/>
      <c r="F45" s="109"/>
      <c r="G45" s="109"/>
      <c r="H45" s="27" t="str">
        <f t="shared" si="13"/>
        <v/>
      </c>
      <c r="I45" s="11" t="s">
        <v>253</v>
      </c>
      <c r="J45" s="27" t="str">
        <f t="shared" si="1"/>
        <v/>
      </c>
      <c r="K45" s="27">
        <v>0</v>
      </c>
      <c r="L45" s="11"/>
      <c r="M45" s="11"/>
      <c r="N45" s="10"/>
      <c r="O45" s="11"/>
      <c r="P45" s="10"/>
      <c r="Q45" s="26" t="str">
        <f t="shared" si="2"/>
        <v/>
      </c>
      <c r="R45" s="27" t="str">
        <f t="shared" si="3"/>
        <v/>
      </c>
      <c r="S45" s="27" t="str">
        <f t="shared" si="4"/>
        <v/>
      </c>
      <c r="T45" s="26" t="str">
        <f t="shared" si="5"/>
        <v/>
      </c>
      <c r="U45" s="27" t="str">
        <f t="shared" si="6"/>
        <v/>
      </c>
      <c r="V45" s="27" t="str">
        <f t="shared" si="7"/>
        <v/>
      </c>
      <c r="W45" s="26" t="str">
        <f t="shared" si="8"/>
        <v/>
      </c>
      <c r="X45" s="27" t="str">
        <f t="shared" si="9"/>
        <v/>
      </c>
      <c r="Y45" s="27" t="str">
        <f t="shared" si="10"/>
        <v/>
      </c>
      <c r="Z45" s="43"/>
      <c r="AA45" s="107"/>
      <c r="AB45" s="76" t="str">
        <f t="shared" si="11"/>
        <v/>
      </c>
      <c r="AC45" s="74" t="str">
        <f t="shared" si="12"/>
        <v/>
      </c>
    </row>
    <row r="46" ht="18" customHeight="1" spans="1:29">
      <c r="A46" s="32" t="str">
        <f t="shared" si="0"/>
        <v/>
      </c>
      <c r="B46" s="108"/>
      <c r="C46" s="11"/>
      <c r="D46" s="11"/>
      <c r="E46" s="10"/>
      <c r="F46" s="109"/>
      <c r="G46" s="109"/>
      <c r="H46" s="27" t="str">
        <f t="shared" si="13"/>
        <v/>
      </c>
      <c r="I46" s="11" t="s">
        <v>253</v>
      </c>
      <c r="J46" s="27" t="str">
        <f t="shared" si="1"/>
        <v/>
      </c>
      <c r="K46" s="27">
        <v>0</v>
      </c>
      <c r="L46" s="11"/>
      <c r="M46" s="11"/>
      <c r="N46" s="10"/>
      <c r="O46" s="11"/>
      <c r="P46" s="10"/>
      <c r="Q46" s="26" t="str">
        <f t="shared" si="2"/>
        <v/>
      </c>
      <c r="R46" s="27" t="str">
        <f t="shared" si="3"/>
        <v/>
      </c>
      <c r="S46" s="27" t="str">
        <f t="shared" si="4"/>
        <v/>
      </c>
      <c r="T46" s="26" t="str">
        <f t="shared" si="5"/>
        <v/>
      </c>
      <c r="U46" s="27" t="str">
        <f t="shared" si="6"/>
        <v/>
      </c>
      <c r="V46" s="27" t="str">
        <f t="shared" si="7"/>
        <v/>
      </c>
      <c r="W46" s="26" t="str">
        <f t="shared" si="8"/>
        <v/>
      </c>
      <c r="X46" s="27" t="str">
        <f t="shared" si="9"/>
        <v/>
      </c>
      <c r="Y46" s="27" t="str">
        <f t="shared" si="10"/>
        <v/>
      </c>
      <c r="Z46" s="43"/>
      <c r="AA46" s="107"/>
      <c r="AB46" s="76" t="str">
        <f t="shared" si="11"/>
        <v/>
      </c>
      <c r="AC46" s="74" t="str">
        <f t="shared" si="12"/>
        <v/>
      </c>
    </row>
    <row r="47" ht="18" customHeight="1" spans="1:29">
      <c r="A47" s="32" t="str">
        <f t="shared" si="0"/>
        <v/>
      </c>
      <c r="B47" s="108"/>
      <c r="C47" s="11"/>
      <c r="D47" s="11"/>
      <c r="E47" s="10"/>
      <c r="F47" s="109"/>
      <c r="G47" s="109"/>
      <c r="H47" s="27" t="str">
        <f t="shared" si="13"/>
        <v/>
      </c>
      <c r="I47" s="11" t="s">
        <v>253</v>
      </c>
      <c r="J47" s="27" t="str">
        <f t="shared" si="1"/>
        <v/>
      </c>
      <c r="K47" s="27">
        <v>0</v>
      </c>
      <c r="L47" s="11"/>
      <c r="M47" s="11"/>
      <c r="N47" s="10"/>
      <c r="O47" s="11"/>
      <c r="P47" s="10"/>
      <c r="Q47" s="26" t="str">
        <f t="shared" si="2"/>
        <v/>
      </c>
      <c r="R47" s="27" t="str">
        <f t="shared" si="3"/>
        <v/>
      </c>
      <c r="S47" s="27" t="str">
        <f t="shared" si="4"/>
        <v/>
      </c>
      <c r="T47" s="26" t="str">
        <f t="shared" si="5"/>
        <v/>
      </c>
      <c r="U47" s="27" t="str">
        <f t="shared" si="6"/>
        <v/>
      </c>
      <c r="V47" s="27" t="str">
        <f t="shared" si="7"/>
        <v/>
      </c>
      <c r="W47" s="26" t="str">
        <f t="shared" si="8"/>
        <v/>
      </c>
      <c r="X47" s="27" t="str">
        <f t="shared" si="9"/>
        <v/>
      </c>
      <c r="Y47" s="27" t="str">
        <f t="shared" si="10"/>
        <v/>
      </c>
      <c r="Z47" s="43"/>
      <c r="AA47" s="107"/>
      <c r="AB47" s="76" t="str">
        <f t="shared" si="11"/>
        <v/>
      </c>
      <c r="AC47" s="74" t="str">
        <f t="shared" si="12"/>
        <v/>
      </c>
    </row>
    <row r="48" ht="18" customHeight="1" spans="1:29">
      <c r="A48" s="32" t="str">
        <f t="shared" si="0"/>
        <v/>
      </c>
      <c r="B48" s="108"/>
      <c r="C48" s="11"/>
      <c r="D48" s="11"/>
      <c r="E48" s="10"/>
      <c r="F48" s="109"/>
      <c r="G48" s="109"/>
      <c r="H48" s="27" t="str">
        <f t="shared" si="13"/>
        <v/>
      </c>
      <c r="I48" s="11" t="s">
        <v>253</v>
      </c>
      <c r="J48" s="27" t="str">
        <f t="shared" si="1"/>
        <v/>
      </c>
      <c r="K48" s="27">
        <v>0</v>
      </c>
      <c r="L48" s="11"/>
      <c r="M48" s="11"/>
      <c r="N48" s="10"/>
      <c r="O48" s="11"/>
      <c r="P48" s="10"/>
      <c r="Q48" s="26" t="str">
        <f t="shared" si="2"/>
        <v/>
      </c>
      <c r="R48" s="27" t="str">
        <f t="shared" si="3"/>
        <v/>
      </c>
      <c r="S48" s="27" t="str">
        <f t="shared" si="4"/>
        <v/>
      </c>
      <c r="T48" s="26" t="str">
        <f t="shared" si="5"/>
        <v/>
      </c>
      <c r="U48" s="27" t="str">
        <f t="shared" si="6"/>
        <v/>
      </c>
      <c r="V48" s="27" t="str">
        <f t="shared" si="7"/>
        <v/>
      </c>
      <c r="W48" s="26" t="str">
        <f t="shared" si="8"/>
        <v/>
      </c>
      <c r="X48" s="27" t="str">
        <f t="shared" si="9"/>
        <v/>
      </c>
      <c r="Y48" s="27" t="str">
        <f t="shared" si="10"/>
        <v/>
      </c>
      <c r="Z48" s="43"/>
      <c r="AA48" s="107"/>
      <c r="AB48" s="76" t="str">
        <f t="shared" si="11"/>
        <v/>
      </c>
      <c r="AC48" s="74" t="str">
        <f t="shared" si="12"/>
        <v/>
      </c>
    </row>
    <row r="49" ht="18" customHeight="1" spans="1:29">
      <c r="A49" s="32" t="str">
        <f t="shared" si="0"/>
        <v/>
      </c>
      <c r="B49" s="108"/>
      <c r="C49" s="11"/>
      <c r="D49" s="11"/>
      <c r="E49" s="10"/>
      <c r="F49" s="109"/>
      <c r="G49" s="109"/>
      <c r="H49" s="27" t="str">
        <f t="shared" si="13"/>
        <v/>
      </c>
      <c r="I49" s="11" t="s">
        <v>253</v>
      </c>
      <c r="J49" s="27" t="str">
        <f t="shared" si="1"/>
        <v/>
      </c>
      <c r="K49" s="27">
        <v>0</v>
      </c>
      <c r="L49" s="11"/>
      <c r="M49" s="11"/>
      <c r="N49" s="10"/>
      <c r="O49" s="11"/>
      <c r="P49" s="10"/>
      <c r="Q49" s="26" t="str">
        <f t="shared" si="2"/>
        <v/>
      </c>
      <c r="R49" s="27" t="str">
        <f t="shared" si="3"/>
        <v/>
      </c>
      <c r="S49" s="27" t="str">
        <f t="shared" si="4"/>
        <v/>
      </c>
      <c r="T49" s="26" t="str">
        <f t="shared" si="5"/>
        <v/>
      </c>
      <c r="U49" s="27" t="str">
        <f t="shared" si="6"/>
        <v/>
      </c>
      <c r="V49" s="27" t="str">
        <f t="shared" si="7"/>
        <v/>
      </c>
      <c r="W49" s="26" t="str">
        <f t="shared" si="8"/>
        <v/>
      </c>
      <c r="X49" s="27" t="str">
        <f t="shared" si="9"/>
        <v/>
      </c>
      <c r="Y49" s="27" t="str">
        <f t="shared" si="10"/>
        <v/>
      </c>
      <c r="Z49" s="43"/>
      <c r="AA49" s="107"/>
      <c r="AB49" s="76" t="str">
        <f t="shared" si="11"/>
        <v/>
      </c>
      <c r="AC49" s="74" t="str">
        <f t="shared" si="12"/>
        <v/>
      </c>
    </row>
    <row r="50" ht="18" customHeight="1" spans="1:29">
      <c r="A50" s="32" t="str">
        <f t="shared" si="0"/>
        <v/>
      </c>
      <c r="B50" s="108"/>
      <c r="C50" s="11"/>
      <c r="D50" s="11"/>
      <c r="E50" s="10"/>
      <c r="F50" s="109"/>
      <c r="G50" s="109"/>
      <c r="H50" s="27" t="str">
        <f t="shared" si="13"/>
        <v/>
      </c>
      <c r="I50" s="11" t="s">
        <v>253</v>
      </c>
      <c r="J50" s="27" t="str">
        <f t="shared" si="1"/>
        <v/>
      </c>
      <c r="K50" s="27">
        <v>0</v>
      </c>
      <c r="L50" s="11"/>
      <c r="M50" s="11"/>
      <c r="N50" s="10"/>
      <c r="O50" s="11"/>
      <c r="P50" s="10"/>
      <c r="Q50" s="26" t="str">
        <f t="shared" si="2"/>
        <v/>
      </c>
      <c r="R50" s="27" t="str">
        <f t="shared" si="3"/>
        <v/>
      </c>
      <c r="S50" s="27" t="str">
        <f t="shared" si="4"/>
        <v/>
      </c>
      <c r="T50" s="26" t="str">
        <f t="shared" si="5"/>
        <v/>
      </c>
      <c r="U50" s="27" t="str">
        <f t="shared" si="6"/>
        <v/>
      </c>
      <c r="V50" s="27" t="str">
        <f t="shared" si="7"/>
        <v/>
      </c>
      <c r="W50" s="26" t="str">
        <f t="shared" si="8"/>
        <v/>
      </c>
      <c r="X50" s="27" t="str">
        <f t="shared" si="9"/>
        <v/>
      </c>
      <c r="Y50" s="27" t="str">
        <f t="shared" si="10"/>
        <v/>
      </c>
      <c r="Z50" s="43"/>
      <c r="AA50" s="107"/>
      <c r="AB50" s="76" t="str">
        <f t="shared" si="11"/>
        <v/>
      </c>
      <c r="AC50" s="74" t="str">
        <f t="shared" si="12"/>
        <v/>
      </c>
    </row>
    <row r="51" ht="18" customHeight="1" spans="1:29">
      <c r="A51" s="32" t="str">
        <f t="shared" si="0"/>
        <v/>
      </c>
      <c r="B51" s="108"/>
      <c r="C51" s="11"/>
      <c r="D51" s="11"/>
      <c r="E51" s="10"/>
      <c r="F51" s="109"/>
      <c r="G51" s="109"/>
      <c r="H51" s="27" t="str">
        <f t="shared" si="13"/>
        <v/>
      </c>
      <c r="I51" s="11" t="s">
        <v>253</v>
      </c>
      <c r="J51" s="27" t="str">
        <f t="shared" si="1"/>
        <v/>
      </c>
      <c r="K51" s="27">
        <v>0</v>
      </c>
      <c r="L51" s="11"/>
      <c r="M51" s="11"/>
      <c r="N51" s="10"/>
      <c r="O51" s="11"/>
      <c r="P51" s="10"/>
      <c r="Q51" s="26" t="str">
        <f t="shared" si="2"/>
        <v/>
      </c>
      <c r="R51" s="27" t="str">
        <f t="shared" si="3"/>
        <v/>
      </c>
      <c r="S51" s="27" t="str">
        <f t="shared" si="4"/>
        <v/>
      </c>
      <c r="T51" s="26" t="str">
        <f t="shared" si="5"/>
        <v/>
      </c>
      <c r="U51" s="27" t="str">
        <f t="shared" si="6"/>
        <v/>
      </c>
      <c r="V51" s="27" t="str">
        <f t="shared" si="7"/>
        <v/>
      </c>
      <c r="W51" s="26" t="str">
        <f t="shared" si="8"/>
        <v/>
      </c>
      <c r="X51" s="27" t="str">
        <f t="shared" si="9"/>
        <v/>
      </c>
      <c r="Y51" s="27" t="str">
        <f t="shared" si="10"/>
        <v/>
      </c>
      <c r="Z51" s="43"/>
      <c r="AA51" s="107"/>
      <c r="AB51" s="76" t="str">
        <f t="shared" si="11"/>
        <v/>
      </c>
      <c r="AC51" s="74" t="str">
        <f t="shared" si="12"/>
        <v/>
      </c>
    </row>
    <row r="52" ht="18" customHeight="1" spans="1:29">
      <c r="A52" s="32" t="str">
        <f t="shared" si="0"/>
        <v/>
      </c>
      <c r="B52" s="108"/>
      <c r="C52" s="11"/>
      <c r="D52" s="11"/>
      <c r="E52" s="10"/>
      <c r="F52" s="109"/>
      <c r="G52" s="109"/>
      <c r="H52" s="27" t="str">
        <f t="shared" si="13"/>
        <v/>
      </c>
      <c r="I52" s="11" t="s">
        <v>253</v>
      </c>
      <c r="J52" s="27" t="str">
        <f t="shared" si="1"/>
        <v/>
      </c>
      <c r="K52" s="27">
        <v>0</v>
      </c>
      <c r="L52" s="11"/>
      <c r="M52" s="11"/>
      <c r="N52" s="10"/>
      <c r="O52" s="11"/>
      <c r="P52" s="10"/>
      <c r="Q52" s="26" t="str">
        <f t="shared" si="2"/>
        <v/>
      </c>
      <c r="R52" s="27" t="str">
        <f t="shared" si="3"/>
        <v/>
      </c>
      <c r="S52" s="27" t="str">
        <f t="shared" si="4"/>
        <v/>
      </c>
      <c r="T52" s="26" t="str">
        <f t="shared" si="5"/>
        <v/>
      </c>
      <c r="U52" s="27" t="str">
        <f t="shared" si="6"/>
        <v/>
      </c>
      <c r="V52" s="27" t="str">
        <f t="shared" si="7"/>
        <v/>
      </c>
      <c r="W52" s="26" t="str">
        <f t="shared" si="8"/>
        <v/>
      </c>
      <c r="X52" s="27" t="str">
        <f t="shared" si="9"/>
        <v/>
      </c>
      <c r="Y52" s="27" t="str">
        <f t="shared" si="10"/>
        <v/>
      </c>
      <c r="Z52" s="43"/>
      <c r="AA52" s="107"/>
      <c r="AB52" s="76" t="str">
        <f t="shared" si="11"/>
        <v/>
      </c>
      <c r="AC52" s="74" t="str">
        <f t="shared" si="12"/>
        <v/>
      </c>
    </row>
    <row r="53" ht="18" customHeight="1" spans="1:29">
      <c r="A53" s="32" t="str">
        <f t="shared" si="0"/>
        <v/>
      </c>
      <c r="B53" s="108"/>
      <c r="C53" s="11"/>
      <c r="D53" s="11"/>
      <c r="E53" s="10"/>
      <c r="F53" s="109"/>
      <c r="G53" s="109"/>
      <c r="H53" s="27" t="str">
        <f t="shared" si="13"/>
        <v/>
      </c>
      <c r="I53" s="11" t="s">
        <v>253</v>
      </c>
      <c r="J53" s="27" t="str">
        <f t="shared" si="1"/>
        <v/>
      </c>
      <c r="K53" s="27">
        <v>0</v>
      </c>
      <c r="L53" s="11"/>
      <c r="M53" s="11"/>
      <c r="N53" s="10"/>
      <c r="O53" s="11"/>
      <c r="P53" s="10"/>
      <c r="Q53" s="26" t="str">
        <f t="shared" si="2"/>
        <v/>
      </c>
      <c r="R53" s="27" t="str">
        <f t="shared" si="3"/>
        <v/>
      </c>
      <c r="S53" s="27" t="str">
        <f t="shared" si="4"/>
        <v/>
      </c>
      <c r="T53" s="26" t="str">
        <f t="shared" si="5"/>
        <v/>
      </c>
      <c r="U53" s="27" t="str">
        <f t="shared" si="6"/>
        <v/>
      </c>
      <c r="V53" s="27" t="str">
        <f t="shared" si="7"/>
        <v/>
      </c>
      <c r="W53" s="26" t="str">
        <f t="shared" si="8"/>
        <v/>
      </c>
      <c r="X53" s="27" t="str">
        <f t="shared" si="9"/>
        <v/>
      </c>
      <c r="Y53" s="27" t="str">
        <f t="shared" si="10"/>
        <v/>
      </c>
      <c r="Z53" s="43"/>
      <c r="AA53" s="107"/>
      <c r="AB53" s="76" t="str">
        <f t="shared" si="11"/>
        <v/>
      </c>
      <c r="AC53" s="74" t="str">
        <f t="shared" si="12"/>
        <v/>
      </c>
    </row>
    <row r="54" ht="18" customHeight="1" spans="1:29">
      <c r="A54" s="32" t="str">
        <f t="shared" si="0"/>
        <v/>
      </c>
      <c r="B54" s="108"/>
      <c r="C54" s="11"/>
      <c r="D54" s="11"/>
      <c r="E54" s="10"/>
      <c r="F54" s="109"/>
      <c r="G54" s="109"/>
      <c r="H54" s="27" t="str">
        <f t="shared" si="13"/>
        <v/>
      </c>
      <c r="I54" s="11" t="s">
        <v>253</v>
      </c>
      <c r="J54" s="27" t="str">
        <f t="shared" si="1"/>
        <v/>
      </c>
      <c r="K54" s="27">
        <v>0</v>
      </c>
      <c r="L54" s="11"/>
      <c r="M54" s="11"/>
      <c r="N54" s="10"/>
      <c r="O54" s="11"/>
      <c r="P54" s="10"/>
      <c r="Q54" s="26" t="str">
        <f t="shared" si="2"/>
        <v/>
      </c>
      <c r="R54" s="27" t="str">
        <f t="shared" si="3"/>
        <v/>
      </c>
      <c r="S54" s="27" t="str">
        <f t="shared" si="4"/>
        <v/>
      </c>
      <c r="T54" s="26" t="str">
        <f t="shared" si="5"/>
        <v/>
      </c>
      <c r="U54" s="27" t="str">
        <f t="shared" si="6"/>
        <v/>
      </c>
      <c r="V54" s="27" t="str">
        <f t="shared" si="7"/>
        <v/>
      </c>
      <c r="W54" s="26" t="str">
        <f t="shared" si="8"/>
        <v/>
      </c>
      <c r="X54" s="27" t="str">
        <f t="shared" si="9"/>
        <v/>
      </c>
      <c r="Y54" s="27" t="str">
        <f t="shared" si="10"/>
        <v/>
      </c>
      <c r="Z54" s="43"/>
      <c r="AA54" s="107"/>
      <c r="AB54" s="76" t="str">
        <f t="shared" si="11"/>
        <v/>
      </c>
      <c r="AC54" s="74" t="str">
        <f t="shared" si="12"/>
        <v/>
      </c>
    </row>
    <row r="55" ht="18" customHeight="1" spans="1:29">
      <c r="A55" s="32" t="str">
        <f t="shared" si="0"/>
        <v/>
      </c>
      <c r="B55" s="108"/>
      <c r="C55" s="11"/>
      <c r="D55" s="11"/>
      <c r="E55" s="10"/>
      <c r="F55" s="109"/>
      <c r="G55" s="109"/>
      <c r="H55" s="27" t="str">
        <f t="shared" si="13"/>
        <v/>
      </c>
      <c r="I55" s="11" t="s">
        <v>253</v>
      </c>
      <c r="J55" s="27" t="str">
        <f t="shared" si="1"/>
        <v/>
      </c>
      <c r="K55" s="27">
        <v>0</v>
      </c>
      <c r="L55" s="11"/>
      <c r="M55" s="11"/>
      <c r="N55" s="10"/>
      <c r="O55" s="11"/>
      <c r="P55" s="10"/>
      <c r="Q55" s="26" t="str">
        <f t="shared" si="2"/>
        <v/>
      </c>
      <c r="R55" s="27" t="str">
        <f t="shared" si="3"/>
        <v/>
      </c>
      <c r="S55" s="27" t="str">
        <f t="shared" si="4"/>
        <v/>
      </c>
      <c r="T55" s="26" t="str">
        <f t="shared" si="5"/>
        <v/>
      </c>
      <c r="U55" s="27" t="str">
        <f t="shared" si="6"/>
        <v/>
      </c>
      <c r="V55" s="27" t="str">
        <f t="shared" si="7"/>
        <v/>
      </c>
      <c r="W55" s="26" t="str">
        <f t="shared" si="8"/>
        <v/>
      </c>
      <c r="X55" s="27" t="str">
        <f t="shared" si="9"/>
        <v/>
      </c>
      <c r="Y55" s="27" t="str">
        <f t="shared" si="10"/>
        <v/>
      </c>
      <c r="Z55" s="43"/>
      <c r="AA55" s="107"/>
      <c r="AB55" s="76" t="str">
        <f t="shared" si="11"/>
        <v/>
      </c>
      <c r="AC55" s="74" t="str">
        <f t="shared" si="12"/>
        <v/>
      </c>
    </row>
    <row r="56" ht="18" customHeight="1" spans="1:29">
      <c r="A56" s="32" t="str">
        <f t="shared" si="0"/>
        <v/>
      </c>
      <c r="B56" s="108"/>
      <c r="C56" s="11"/>
      <c r="D56" s="11"/>
      <c r="E56" s="10"/>
      <c r="F56" s="109"/>
      <c r="G56" s="109"/>
      <c r="H56" s="27" t="str">
        <f t="shared" si="13"/>
        <v/>
      </c>
      <c r="I56" s="11" t="s">
        <v>253</v>
      </c>
      <c r="J56" s="27" t="str">
        <f t="shared" si="1"/>
        <v/>
      </c>
      <c r="K56" s="27">
        <v>0</v>
      </c>
      <c r="L56" s="11"/>
      <c r="M56" s="11"/>
      <c r="N56" s="10"/>
      <c r="O56" s="11"/>
      <c r="P56" s="10"/>
      <c r="Q56" s="26" t="str">
        <f t="shared" si="2"/>
        <v/>
      </c>
      <c r="R56" s="27" t="str">
        <f t="shared" si="3"/>
        <v/>
      </c>
      <c r="S56" s="27" t="str">
        <f t="shared" si="4"/>
        <v/>
      </c>
      <c r="T56" s="26" t="str">
        <f t="shared" si="5"/>
        <v/>
      </c>
      <c r="U56" s="27" t="str">
        <f t="shared" si="6"/>
        <v/>
      </c>
      <c r="V56" s="27" t="str">
        <f t="shared" si="7"/>
        <v/>
      </c>
      <c r="W56" s="26" t="str">
        <f t="shared" si="8"/>
        <v/>
      </c>
      <c r="X56" s="27" t="str">
        <f t="shared" si="9"/>
        <v/>
      </c>
      <c r="Y56" s="27" t="str">
        <f t="shared" si="10"/>
        <v/>
      </c>
      <c r="Z56" s="43"/>
      <c r="AA56" s="107"/>
      <c r="AB56" s="76" t="str">
        <f t="shared" si="11"/>
        <v/>
      </c>
      <c r="AC56" s="74" t="str">
        <f t="shared" si="12"/>
        <v/>
      </c>
    </row>
    <row r="57" ht="18" customHeight="1" spans="1:29">
      <c r="A57" s="32" t="str">
        <f t="shared" si="0"/>
        <v/>
      </c>
      <c r="B57" s="108"/>
      <c r="C57" s="11"/>
      <c r="D57" s="11"/>
      <c r="E57" s="10"/>
      <c r="F57" s="109"/>
      <c r="G57" s="109"/>
      <c r="H57" s="27" t="str">
        <f t="shared" si="13"/>
        <v/>
      </c>
      <c r="I57" s="11" t="s">
        <v>253</v>
      </c>
      <c r="J57" s="27" t="str">
        <f t="shared" si="1"/>
        <v/>
      </c>
      <c r="K57" s="27">
        <v>0</v>
      </c>
      <c r="L57" s="11"/>
      <c r="M57" s="11"/>
      <c r="N57" s="10"/>
      <c r="O57" s="11"/>
      <c r="P57" s="10"/>
      <c r="Q57" s="26" t="str">
        <f t="shared" si="2"/>
        <v/>
      </c>
      <c r="R57" s="27" t="str">
        <f t="shared" si="3"/>
        <v/>
      </c>
      <c r="S57" s="27" t="str">
        <f t="shared" si="4"/>
        <v/>
      </c>
      <c r="T57" s="26" t="str">
        <f t="shared" si="5"/>
        <v/>
      </c>
      <c r="U57" s="27" t="str">
        <f t="shared" si="6"/>
        <v/>
      </c>
      <c r="V57" s="27" t="str">
        <f t="shared" si="7"/>
        <v/>
      </c>
      <c r="W57" s="26" t="str">
        <f t="shared" si="8"/>
        <v/>
      </c>
      <c r="X57" s="27" t="str">
        <f t="shared" si="9"/>
        <v/>
      </c>
      <c r="Y57" s="27" t="str">
        <f t="shared" si="10"/>
        <v/>
      </c>
      <c r="Z57" s="43"/>
      <c r="AA57" s="107"/>
      <c r="AB57" s="76" t="str">
        <f t="shared" si="11"/>
        <v/>
      </c>
      <c r="AC57" s="74" t="str">
        <f t="shared" si="12"/>
        <v/>
      </c>
    </row>
    <row r="58" ht="18" customHeight="1" spans="1:29">
      <c r="A58" s="32" t="str">
        <f t="shared" si="0"/>
        <v/>
      </c>
      <c r="B58" s="108"/>
      <c r="C58" s="11"/>
      <c r="D58" s="11"/>
      <c r="E58" s="10"/>
      <c r="F58" s="109"/>
      <c r="G58" s="109"/>
      <c r="H58" s="27" t="str">
        <f t="shared" si="13"/>
        <v/>
      </c>
      <c r="I58" s="11" t="s">
        <v>253</v>
      </c>
      <c r="J58" s="27" t="str">
        <f t="shared" si="1"/>
        <v/>
      </c>
      <c r="K58" s="27">
        <v>0</v>
      </c>
      <c r="L58" s="11"/>
      <c r="M58" s="11"/>
      <c r="N58" s="10"/>
      <c r="O58" s="11"/>
      <c r="P58" s="10"/>
      <c r="Q58" s="26" t="str">
        <f t="shared" si="2"/>
        <v/>
      </c>
      <c r="R58" s="27" t="str">
        <f t="shared" si="3"/>
        <v/>
      </c>
      <c r="S58" s="27" t="str">
        <f t="shared" si="4"/>
        <v/>
      </c>
      <c r="T58" s="26" t="str">
        <f t="shared" si="5"/>
        <v/>
      </c>
      <c r="U58" s="27" t="str">
        <f t="shared" si="6"/>
        <v/>
      </c>
      <c r="V58" s="27" t="str">
        <f t="shared" si="7"/>
        <v/>
      </c>
      <c r="W58" s="26" t="str">
        <f t="shared" si="8"/>
        <v/>
      </c>
      <c r="X58" s="27" t="str">
        <f t="shared" si="9"/>
        <v/>
      </c>
      <c r="Y58" s="27" t="str">
        <f t="shared" si="10"/>
        <v/>
      </c>
      <c r="Z58" s="43"/>
      <c r="AA58" s="107"/>
      <c r="AB58" s="76" t="str">
        <f t="shared" si="11"/>
        <v/>
      </c>
      <c r="AC58" s="74" t="str">
        <f t="shared" si="12"/>
        <v/>
      </c>
    </row>
    <row r="59" ht="18" customHeight="1" spans="1:29">
      <c r="A59" s="32" t="str">
        <f t="shared" si="0"/>
        <v/>
      </c>
      <c r="B59" s="108"/>
      <c r="C59" s="11"/>
      <c r="D59" s="11"/>
      <c r="E59" s="10"/>
      <c r="F59" s="109"/>
      <c r="G59" s="109"/>
      <c r="H59" s="27" t="str">
        <f t="shared" si="13"/>
        <v/>
      </c>
      <c r="I59" s="11" t="s">
        <v>253</v>
      </c>
      <c r="J59" s="27" t="str">
        <f t="shared" si="1"/>
        <v/>
      </c>
      <c r="K59" s="27">
        <v>0</v>
      </c>
      <c r="L59" s="11"/>
      <c r="M59" s="11"/>
      <c r="N59" s="10"/>
      <c r="O59" s="11"/>
      <c r="P59" s="10"/>
      <c r="Q59" s="26" t="str">
        <f t="shared" si="2"/>
        <v/>
      </c>
      <c r="R59" s="27" t="str">
        <f t="shared" si="3"/>
        <v/>
      </c>
      <c r="S59" s="27" t="str">
        <f t="shared" si="4"/>
        <v/>
      </c>
      <c r="T59" s="26" t="str">
        <f t="shared" si="5"/>
        <v/>
      </c>
      <c r="U59" s="27" t="str">
        <f t="shared" si="6"/>
        <v/>
      </c>
      <c r="V59" s="27" t="str">
        <f t="shared" si="7"/>
        <v/>
      </c>
      <c r="W59" s="26" t="str">
        <f t="shared" si="8"/>
        <v/>
      </c>
      <c r="X59" s="27" t="str">
        <f t="shared" si="9"/>
        <v/>
      </c>
      <c r="Y59" s="27" t="str">
        <f t="shared" si="10"/>
        <v/>
      </c>
      <c r="Z59" s="43"/>
      <c r="AA59" s="107"/>
      <c r="AB59" s="76" t="str">
        <f t="shared" si="11"/>
        <v/>
      </c>
      <c r="AC59" s="74" t="str">
        <f t="shared" si="12"/>
        <v/>
      </c>
    </row>
    <row r="60" ht="18" customHeight="1" spans="1:29">
      <c r="A60" s="32" t="str">
        <f t="shared" si="0"/>
        <v/>
      </c>
      <c r="B60" s="108"/>
      <c r="C60" s="11"/>
      <c r="D60" s="11"/>
      <c r="E60" s="10"/>
      <c r="F60" s="109"/>
      <c r="G60" s="109"/>
      <c r="H60" s="27" t="str">
        <f t="shared" si="13"/>
        <v/>
      </c>
      <c r="I60" s="11" t="s">
        <v>253</v>
      </c>
      <c r="J60" s="27" t="str">
        <f t="shared" si="1"/>
        <v/>
      </c>
      <c r="K60" s="27">
        <v>0</v>
      </c>
      <c r="L60" s="11"/>
      <c r="M60" s="11"/>
      <c r="N60" s="10"/>
      <c r="O60" s="11"/>
      <c r="P60" s="10"/>
      <c r="Q60" s="26" t="str">
        <f t="shared" si="2"/>
        <v/>
      </c>
      <c r="R60" s="27" t="str">
        <f t="shared" si="3"/>
        <v/>
      </c>
      <c r="S60" s="27" t="str">
        <f t="shared" si="4"/>
        <v/>
      </c>
      <c r="T60" s="26" t="str">
        <f t="shared" si="5"/>
        <v/>
      </c>
      <c r="U60" s="27" t="str">
        <f t="shared" si="6"/>
        <v/>
      </c>
      <c r="V60" s="27" t="str">
        <f t="shared" si="7"/>
        <v/>
      </c>
      <c r="W60" s="26" t="str">
        <f t="shared" si="8"/>
        <v/>
      </c>
      <c r="X60" s="27" t="str">
        <f t="shared" si="9"/>
        <v/>
      </c>
      <c r="Y60" s="27" t="str">
        <f t="shared" si="10"/>
        <v/>
      </c>
      <c r="Z60" s="43"/>
      <c r="AA60" s="107"/>
      <c r="AB60" s="76" t="str">
        <f t="shared" si="11"/>
        <v/>
      </c>
      <c r="AC60" s="74" t="str">
        <f t="shared" si="12"/>
        <v/>
      </c>
    </row>
    <row r="61" ht="18" customHeight="1" spans="1:29">
      <c r="A61" s="32" t="str">
        <f t="shared" si="0"/>
        <v/>
      </c>
      <c r="B61" s="108"/>
      <c r="C61" s="11"/>
      <c r="D61" s="11"/>
      <c r="E61" s="10"/>
      <c r="F61" s="109"/>
      <c r="G61" s="109"/>
      <c r="H61" s="27" t="str">
        <f t="shared" si="13"/>
        <v/>
      </c>
      <c r="I61" s="11" t="s">
        <v>253</v>
      </c>
      <c r="J61" s="27" t="str">
        <f t="shared" si="1"/>
        <v/>
      </c>
      <c r="K61" s="27">
        <v>0</v>
      </c>
      <c r="L61" s="11"/>
      <c r="M61" s="11"/>
      <c r="N61" s="10"/>
      <c r="O61" s="11"/>
      <c r="P61" s="10"/>
      <c r="Q61" s="26" t="str">
        <f t="shared" si="2"/>
        <v/>
      </c>
      <c r="R61" s="27" t="str">
        <f t="shared" si="3"/>
        <v/>
      </c>
      <c r="S61" s="27" t="str">
        <f t="shared" si="4"/>
        <v/>
      </c>
      <c r="T61" s="26" t="str">
        <f t="shared" si="5"/>
        <v/>
      </c>
      <c r="U61" s="27" t="str">
        <f t="shared" si="6"/>
        <v/>
      </c>
      <c r="V61" s="27" t="str">
        <f t="shared" si="7"/>
        <v/>
      </c>
      <c r="W61" s="26" t="str">
        <f t="shared" si="8"/>
        <v/>
      </c>
      <c r="X61" s="27" t="str">
        <f t="shared" si="9"/>
        <v/>
      </c>
      <c r="Y61" s="27" t="str">
        <f t="shared" si="10"/>
        <v/>
      </c>
      <c r="Z61" s="43"/>
      <c r="AA61" s="107"/>
      <c r="AB61" s="76" t="str">
        <f t="shared" si="11"/>
        <v/>
      </c>
      <c r="AC61" s="74" t="str">
        <f t="shared" si="12"/>
        <v/>
      </c>
    </row>
    <row r="62" ht="18" customHeight="1" spans="1:29">
      <c r="A62" s="32" t="str">
        <f t="shared" si="0"/>
        <v/>
      </c>
      <c r="B62" s="108"/>
      <c r="C62" s="11"/>
      <c r="D62" s="11"/>
      <c r="E62" s="10"/>
      <c r="F62" s="109"/>
      <c r="G62" s="109"/>
      <c r="H62" s="27" t="str">
        <f t="shared" si="13"/>
        <v/>
      </c>
      <c r="I62" s="11" t="s">
        <v>253</v>
      </c>
      <c r="J62" s="27" t="str">
        <f t="shared" si="1"/>
        <v/>
      </c>
      <c r="K62" s="27">
        <v>0</v>
      </c>
      <c r="L62" s="11"/>
      <c r="M62" s="11"/>
      <c r="N62" s="10"/>
      <c r="O62" s="11"/>
      <c r="P62" s="10"/>
      <c r="Q62" s="26" t="str">
        <f t="shared" si="2"/>
        <v/>
      </c>
      <c r="R62" s="27" t="str">
        <f t="shared" si="3"/>
        <v/>
      </c>
      <c r="S62" s="27" t="str">
        <f t="shared" si="4"/>
        <v/>
      </c>
      <c r="T62" s="26" t="str">
        <f t="shared" si="5"/>
        <v/>
      </c>
      <c r="U62" s="27" t="str">
        <f t="shared" si="6"/>
        <v/>
      </c>
      <c r="V62" s="27" t="str">
        <f t="shared" si="7"/>
        <v/>
      </c>
      <c r="W62" s="26" t="str">
        <f t="shared" si="8"/>
        <v/>
      </c>
      <c r="X62" s="27" t="str">
        <f t="shared" si="9"/>
        <v/>
      </c>
      <c r="Y62" s="27" t="str">
        <f t="shared" si="10"/>
        <v/>
      </c>
      <c r="Z62" s="43"/>
      <c r="AA62" s="107"/>
      <c r="AB62" s="76" t="str">
        <f t="shared" si="11"/>
        <v/>
      </c>
      <c r="AC62" s="74" t="str">
        <f t="shared" si="12"/>
        <v/>
      </c>
    </row>
    <row r="63" ht="18" customHeight="1" spans="1:29">
      <c r="A63" s="32" t="str">
        <f t="shared" si="0"/>
        <v/>
      </c>
      <c r="B63" s="108"/>
      <c r="C63" s="11"/>
      <c r="D63" s="11"/>
      <c r="E63" s="10"/>
      <c r="F63" s="109"/>
      <c r="G63" s="109"/>
      <c r="H63" s="27" t="str">
        <f t="shared" si="13"/>
        <v/>
      </c>
      <c r="I63" s="11" t="s">
        <v>253</v>
      </c>
      <c r="J63" s="27" t="str">
        <f t="shared" si="1"/>
        <v/>
      </c>
      <c r="K63" s="27">
        <v>0</v>
      </c>
      <c r="L63" s="11"/>
      <c r="M63" s="11"/>
      <c r="N63" s="10"/>
      <c r="O63" s="11"/>
      <c r="P63" s="10"/>
      <c r="Q63" s="26" t="str">
        <f t="shared" si="2"/>
        <v/>
      </c>
      <c r="R63" s="27" t="str">
        <f t="shared" si="3"/>
        <v/>
      </c>
      <c r="S63" s="27" t="str">
        <f t="shared" si="4"/>
        <v/>
      </c>
      <c r="T63" s="26" t="str">
        <f t="shared" si="5"/>
        <v/>
      </c>
      <c r="U63" s="27" t="str">
        <f t="shared" si="6"/>
        <v/>
      </c>
      <c r="V63" s="27" t="str">
        <f t="shared" si="7"/>
        <v/>
      </c>
      <c r="W63" s="26" t="str">
        <f t="shared" si="8"/>
        <v/>
      </c>
      <c r="X63" s="27" t="str">
        <f t="shared" si="9"/>
        <v/>
      </c>
      <c r="Y63" s="27" t="str">
        <f t="shared" si="10"/>
        <v/>
      </c>
      <c r="Z63" s="43"/>
      <c r="AA63" s="107"/>
      <c r="AB63" s="76" t="str">
        <f t="shared" si="11"/>
        <v/>
      </c>
      <c r="AC63" s="74" t="str">
        <f t="shared" si="12"/>
        <v/>
      </c>
    </row>
    <row r="64" ht="18" customHeight="1" spans="1:29">
      <c r="A64" s="32" t="str">
        <f t="shared" si="0"/>
        <v/>
      </c>
      <c r="B64" s="108"/>
      <c r="C64" s="11"/>
      <c r="D64" s="11"/>
      <c r="E64" s="10"/>
      <c r="F64" s="109"/>
      <c r="G64" s="109"/>
      <c r="H64" s="27" t="str">
        <f t="shared" si="13"/>
        <v/>
      </c>
      <c r="I64" s="11" t="s">
        <v>253</v>
      </c>
      <c r="J64" s="27" t="str">
        <f t="shared" si="1"/>
        <v/>
      </c>
      <c r="K64" s="27">
        <v>0</v>
      </c>
      <c r="L64" s="11"/>
      <c r="M64" s="11"/>
      <c r="N64" s="10"/>
      <c r="O64" s="11"/>
      <c r="P64" s="10"/>
      <c r="Q64" s="26" t="str">
        <f t="shared" si="2"/>
        <v/>
      </c>
      <c r="R64" s="27" t="str">
        <f t="shared" si="3"/>
        <v/>
      </c>
      <c r="S64" s="27" t="str">
        <f t="shared" si="4"/>
        <v/>
      </c>
      <c r="T64" s="26" t="str">
        <f t="shared" si="5"/>
        <v/>
      </c>
      <c r="U64" s="27" t="str">
        <f t="shared" si="6"/>
        <v/>
      </c>
      <c r="V64" s="27" t="str">
        <f t="shared" si="7"/>
        <v/>
      </c>
      <c r="W64" s="26" t="str">
        <f t="shared" si="8"/>
        <v/>
      </c>
      <c r="X64" s="27" t="str">
        <f t="shared" si="9"/>
        <v/>
      </c>
      <c r="Y64" s="27" t="str">
        <f t="shared" si="10"/>
        <v/>
      </c>
      <c r="Z64" s="43"/>
      <c r="AA64" s="107"/>
      <c r="AB64" s="76" t="str">
        <f t="shared" si="11"/>
        <v/>
      </c>
      <c r="AC64" s="74" t="str">
        <f t="shared" si="12"/>
        <v/>
      </c>
    </row>
    <row r="65" ht="18" customHeight="1" spans="1:29">
      <c r="A65" s="32" t="str">
        <f t="shared" si="0"/>
        <v/>
      </c>
      <c r="B65" s="108"/>
      <c r="C65" s="11"/>
      <c r="D65" s="11"/>
      <c r="E65" s="10"/>
      <c r="F65" s="109"/>
      <c r="G65" s="109"/>
      <c r="H65" s="27" t="str">
        <f t="shared" si="13"/>
        <v/>
      </c>
      <c r="I65" s="11" t="s">
        <v>253</v>
      </c>
      <c r="J65" s="27" t="str">
        <f t="shared" si="1"/>
        <v/>
      </c>
      <c r="K65" s="27">
        <v>0</v>
      </c>
      <c r="L65" s="11"/>
      <c r="M65" s="11"/>
      <c r="N65" s="10"/>
      <c r="O65" s="11"/>
      <c r="P65" s="10"/>
      <c r="Q65" s="26" t="str">
        <f t="shared" si="2"/>
        <v/>
      </c>
      <c r="R65" s="27" t="str">
        <f t="shared" si="3"/>
        <v/>
      </c>
      <c r="S65" s="27" t="str">
        <f t="shared" si="4"/>
        <v/>
      </c>
      <c r="T65" s="26" t="str">
        <f t="shared" si="5"/>
        <v/>
      </c>
      <c r="U65" s="27" t="str">
        <f t="shared" si="6"/>
        <v/>
      </c>
      <c r="V65" s="27" t="str">
        <f t="shared" si="7"/>
        <v/>
      </c>
      <c r="W65" s="26" t="str">
        <f t="shared" si="8"/>
        <v/>
      </c>
      <c r="X65" s="27" t="str">
        <f t="shared" si="9"/>
        <v/>
      </c>
      <c r="Y65" s="27" t="str">
        <f t="shared" si="10"/>
        <v/>
      </c>
      <c r="Z65" s="43"/>
      <c r="AA65" s="107"/>
      <c r="AB65" s="76" t="str">
        <f t="shared" si="11"/>
        <v/>
      </c>
      <c r="AC65" s="74" t="str">
        <f t="shared" si="12"/>
        <v/>
      </c>
    </row>
    <row r="66" ht="18" customHeight="1" spans="1:29">
      <c r="A66" s="32" t="str">
        <f t="shared" si="0"/>
        <v/>
      </c>
      <c r="B66" s="108"/>
      <c r="C66" s="11"/>
      <c r="D66" s="11"/>
      <c r="E66" s="10"/>
      <c r="F66" s="109"/>
      <c r="G66" s="109"/>
      <c r="H66" s="27" t="str">
        <f t="shared" si="13"/>
        <v/>
      </c>
      <c r="I66" s="11" t="s">
        <v>253</v>
      </c>
      <c r="J66" s="27" t="str">
        <f t="shared" si="1"/>
        <v/>
      </c>
      <c r="K66" s="27">
        <v>0</v>
      </c>
      <c r="L66" s="11"/>
      <c r="M66" s="11"/>
      <c r="N66" s="10"/>
      <c r="O66" s="11"/>
      <c r="P66" s="10"/>
      <c r="Q66" s="26" t="str">
        <f t="shared" si="2"/>
        <v/>
      </c>
      <c r="R66" s="27" t="str">
        <f t="shared" si="3"/>
        <v/>
      </c>
      <c r="S66" s="27" t="str">
        <f t="shared" si="4"/>
        <v/>
      </c>
      <c r="T66" s="26" t="str">
        <f t="shared" si="5"/>
        <v/>
      </c>
      <c r="U66" s="27" t="str">
        <f t="shared" si="6"/>
        <v/>
      </c>
      <c r="V66" s="27" t="str">
        <f t="shared" si="7"/>
        <v/>
      </c>
      <c r="W66" s="26" t="str">
        <f t="shared" si="8"/>
        <v/>
      </c>
      <c r="X66" s="27" t="str">
        <f t="shared" si="9"/>
        <v/>
      </c>
      <c r="Y66" s="27" t="str">
        <f t="shared" si="10"/>
        <v/>
      </c>
      <c r="Z66" s="43"/>
      <c r="AA66" s="107"/>
      <c r="AB66" s="76" t="str">
        <f t="shared" si="11"/>
        <v/>
      </c>
      <c r="AC66" s="74" t="str">
        <f t="shared" si="12"/>
        <v/>
      </c>
    </row>
    <row r="67" ht="18" customHeight="1" spans="1:29">
      <c r="A67" s="32" t="str">
        <f t="shared" si="0"/>
        <v/>
      </c>
      <c r="B67" s="108"/>
      <c r="C67" s="11"/>
      <c r="D67" s="11"/>
      <c r="E67" s="10"/>
      <c r="F67" s="109"/>
      <c r="G67" s="109"/>
      <c r="H67" s="27" t="str">
        <f t="shared" si="13"/>
        <v/>
      </c>
      <c r="I67" s="11" t="s">
        <v>253</v>
      </c>
      <c r="J67" s="27" t="str">
        <f t="shared" si="1"/>
        <v/>
      </c>
      <c r="K67" s="27">
        <v>0</v>
      </c>
      <c r="L67" s="11"/>
      <c r="M67" s="11"/>
      <c r="N67" s="10"/>
      <c r="O67" s="11"/>
      <c r="P67" s="10"/>
      <c r="Q67" s="26" t="str">
        <f t="shared" si="2"/>
        <v/>
      </c>
      <c r="R67" s="27" t="str">
        <f t="shared" si="3"/>
        <v/>
      </c>
      <c r="S67" s="27" t="str">
        <f t="shared" si="4"/>
        <v/>
      </c>
      <c r="T67" s="26" t="str">
        <f t="shared" si="5"/>
        <v/>
      </c>
      <c r="U67" s="27" t="str">
        <f t="shared" si="6"/>
        <v/>
      </c>
      <c r="V67" s="27" t="str">
        <f t="shared" si="7"/>
        <v/>
      </c>
      <c r="W67" s="26" t="str">
        <f t="shared" si="8"/>
        <v/>
      </c>
      <c r="X67" s="27" t="str">
        <f t="shared" si="9"/>
        <v/>
      </c>
      <c r="Y67" s="27" t="str">
        <f t="shared" si="10"/>
        <v/>
      </c>
      <c r="Z67" s="43"/>
      <c r="AA67" s="107"/>
      <c r="AB67" s="76" t="str">
        <f t="shared" si="11"/>
        <v/>
      </c>
      <c r="AC67" s="74" t="str">
        <f t="shared" si="12"/>
        <v/>
      </c>
    </row>
    <row r="68" ht="18" customHeight="1" spans="1:29">
      <c r="A68" s="32" t="str">
        <f t="shared" ref="A68:A131" si="14">IF($C68="","",ROW()-3)</f>
        <v/>
      </c>
      <c r="B68" s="108"/>
      <c r="C68" s="11"/>
      <c r="D68" s="11"/>
      <c r="E68" s="10"/>
      <c r="F68" s="109"/>
      <c r="G68" s="109"/>
      <c r="H68" s="27" t="str">
        <f t="shared" si="13"/>
        <v/>
      </c>
      <c r="I68" s="11" t="s">
        <v>253</v>
      </c>
      <c r="J68" s="27" t="str">
        <f t="shared" ref="J68:J131" si="15">IF($C68="","",ROUND(N($H68),2))</f>
        <v/>
      </c>
      <c r="K68" s="27">
        <v>0</v>
      </c>
      <c r="L68" s="11"/>
      <c r="M68" s="11"/>
      <c r="N68" s="10"/>
      <c r="O68" s="11"/>
      <c r="P68" s="10"/>
      <c r="Q68" s="26" t="str">
        <f t="shared" ref="Q68:Q131" si="16">IF(OR($C68="",ROUND(N($H68),2)=0),"",$L68)</f>
        <v/>
      </c>
      <c r="R68" s="27" t="str">
        <f t="shared" ref="R68:R131" si="17">IF($Q68="","",ROUND(N($H68),2))</f>
        <v/>
      </c>
      <c r="S68" s="27" t="str">
        <f t="shared" ref="S68:S131" si="18">IF($Q68="","",0)</f>
        <v/>
      </c>
      <c r="T68" s="26" t="str">
        <f t="shared" ref="T68:T131" si="19">""</f>
        <v/>
      </c>
      <c r="U68" s="27" t="str">
        <f t="shared" ref="U68:U131" si="20">IF($T68="","",0)</f>
        <v/>
      </c>
      <c r="V68" s="27" t="str">
        <f t="shared" ref="V68:V131" si="21">IF($T68="","",0)</f>
        <v/>
      </c>
      <c r="W68" s="26" t="str">
        <f t="shared" ref="W68:W131" si="22">IF($Q68="","","应付账款")</f>
        <v/>
      </c>
      <c r="X68" s="27" t="str">
        <f t="shared" ref="X68:X131" si="23">IF($W68="","",0)</f>
        <v/>
      </c>
      <c r="Y68" s="27" t="str">
        <f t="shared" ref="Y68:Y131" si="24">IF($W68="","",ROUND(N($H68),2))</f>
        <v/>
      </c>
      <c r="Z68" s="43"/>
      <c r="AA68" s="107"/>
      <c r="AB68" s="76" t="str">
        <f t="shared" ref="AB68:AB131" si="25">IF($C68="","",ROUND(N($H68)-N($AA68),2))</f>
        <v/>
      </c>
      <c r="AC68" s="74" t="str">
        <f t="shared" ref="AC68:AC131" si="26">IF($B68="","",TEXT($B68,"yyyy年m月"))</f>
        <v/>
      </c>
    </row>
    <row r="69" ht="18" customHeight="1" spans="1:29">
      <c r="A69" s="32" t="str">
        <f t="shared" si="14"/>
        <v/>
      </c>
      <c r="B69" s="108"/>
      <c r="C69" s="11"/>
      <c r="D69" s="11"/>
      <c r="E69" s="10"/>
      <c r="F69" s="109"/>
      <c r="G69" s="109"/>
      <c r="H69" s="27" t="str">
        <f t="shared" si="13"/>
        <v/>
      </c>
      <c r="I69" s="11" t="s">
        <v>253</v>
      </c>
      <c r="J69" s="27" t="str">
        <f t="shared" si="15"/>
        <v/>
      </c>
      <c r="K69" s="27">
        <v>0</v>
      </c>
      <c r="L69" s="11"/>
      <c r="M69" s="11"/>
      <c r="N69" s="10"/>
      <c r="O69" s="11"/>
      <c r="P69" s="10"/>
      <c r="Q69" s="26" t="str">
        <f t="shared" si="16"/>
        <v/>
      </c>
      <c r="R69" s="27" t="str">
        <f t="shared" si="17"/>
        <v/>
      </c>
      <c r="S69" s="27" t="str">
        <f t="shared" si="18"/>
        <v/>
      </c>
      <c r="T69" s="26" t="str">
        <f t="shared" si="19"/>
        <v/>
      </c>
      <c r="U69" s="27" t="str">
        <f t="shared" si="20"/>
        <v/>
      </c>
      <c r="V69" s="27" t="str">
        <f t="shared" si="21"/>
        <v/>
      </c>
      <c r="W69" s="26" t="str">
        <f t="shared" si="22"/>
        <v/>
      </c>
      <c r="X69" s="27" t="str">
        <f t="shared" si="23"/>
        <v/>
      </c>
      <c r="Y69" s="27" t="str">
        <f t="shared" si="24"/>
        <v/>
      </c>
      <c r="Z69" s="43"/>
      <c r="AA69" s="107"/>
      <c r="AB69" s="76" t="str">
        <f t="shared" si="25"/>
        <v/>
      </c>
      <c r="AC69" s="74" t="str">
        <f t="shared" si="26"/>
        <v/>
      </c>
    </row>
    <row r="70" ht="18" customHeight="1" spans="1:29">
      <c r="A70" s="32" t="str">
        <f t="shared" si="14"/>
        <v/>
      </c>
      <c r="B70" s="108"/>
      <c r="C70" s="11"/>
      <c r="D70" s="11"/>
      <c r="E70" s="10"/>
      <c r="F70" s="109"/>
      <c r="G70" s="109"/>
      <c r="H70" s="27" t="str">
        <f t="shared" si="13"/>
        <v/>
      </c>
      <c r="I70" s="11" t="s">
        <v>253</v>
      </c>
      <c r="J70" s="27" t="str">
        <f t="shared" si="15"/>
        <v/>
      </c>
      <c r="K70" s="27">
        <v>0</v>
      </c>
      <c r="L70" s="11"/>
      <c r="M70" s="11"/>
      <c r="N70" s="10"/>
      <c r="O70" s="11"/>
      <c r="P70" s="10"/>
      <c r="Q70" s="26" t="str">
        <f t="shared" si="16"/>
        <v/>
      </c>
      <c r="R70" s="27" t="str">
        <f t="shared" si="17"/>
        <v/>
      </c>
      <c r="S70" s="27" t="str">
        <f t="shared" si="18"/>
        <v/>
      </c>
      <c r="T70" s="26" t="str">
        <f t="shared" si="19"/>
        <v/>
      </c>
      <c r="U70" s="27" t="str">
        <f t="shared" si="20"/>
        <v/>
      </c>
      <c r="V70" s="27" t="str">
        <f t="shared" si="21"/>
        <v/>
      </c>
      <c r="W70" s="26" t="str">
        <f t="shared" si="22"/>
        <v/>
      </c>
      <c r="X70" s="27" t="str">
        <f t="shared" si="23"/>
        <v/>
      </c>
      <c r="Y70" s="27" t="str">
        <f t="shared" si="24"/>
        <v/>
      </c>
      <c r="Z70" s="43"/>
      <c r="AA70" s="107"/>
      <c r="AB70" s="76" t="str">
        <f t="shared" si="25"/>
        <v/>
      </c>
      <c r="AC70" s="74" t="str">
        <f t="shared" si="26"/>
        <v/>
      </c>
    </row>
    <row r="71" ht="18" customHeight="1" spans="1:29">
      <c r="A71" s="32" t="str">
        <f t="shared" si="14"/>
        <v/>
      </c>
      <c r="B71" s="108"/>
      <c r="C71" s="11"/>
      <c r="D71" s="11"/>
      <c r="E71" s="10"/>
      <c r="F71" s="109"/>
      <c r="G71" s="109"/>
      <c r="H71" s="27" t="str">
        <f t="shared" si="13"/>
        <v/>
      </c>
      <c r="I71" s="11" t="s">
        <v>253</v>
      </c>
      <c r="J71" s="27" t="str">
        <f t="shared" si="15"/>
        <v/>
      </c>
      <c r="K71" s="27">
        <v>0</v>
      </c>
      <c r="L71" s="11"/>
      <c r="M71" s="11"/>
      <c r="N71" s="10"/>
      <c r="O71" s="11"/>
      <c r="P71" s="10"/>
      <c r="Q71" s="26" t="str">
        <f t="shared" si="16"/>
        <v/>
      </c>
      <c r="R71" s="27" t="str">
        <f t="shared" si="17"/>
        <v/>
      </c>
      <c r="S71" s="27" t="str">
        <f t="shared" si="18"/>
        <v/>
      </c>
      <c r="T71" s="26" t="str">
        <f t="shared" si="19"/>
        <v/>
      </c>
      <c r="U71" s="27" t="str">
        <f t="shared" si="20"/>
        <v/>
      </c>
      <c r="V71" s="27" t="str">
        <f t="shared" si="21"/>
        <v/>
      </c>
      <c r="W71" s="26" t="str">
        <f t="shared" si="22"/>
        <v/>
      </c>
      <c r="X71" s="27" t="str">
        <f t="shared" si="23"/>
        <v/>
      </c>
      <c r="Y71" s="27" t="str">
        <f t="shared" si="24"/>
        <v/>
      </c>
      <c r="Z71" s="43"/>
      <c r="AA71" s="107"/>
      <c r="AB71" s="76" t="str">
        <f t="shared" si="25"/>
        <v/>
      </c>
      <c r="AC71" s="74" t="str">
        <f t="shared" si="26"/>
        <v/>
      </c>
    </row>
    <row r="72" ht="18" customHeight="1" spans="1:29">
      <c r="A72" s="32" t="str">
        <f t="shared" si="14"/>
        <v/>
      </c>
      <c r="B72" s="108"/>
      <c r="C72" s="11"/>
      <c r="D72" s="11"/>
      <c r="E72" s="10"/>
      <c r="F72" s="109"/>
      <c r="G72" s="109"/>
      <c r="H72" s="27" t="str">
        <f t="shared" ref="H72:H135" si="27">IF($C72="","",ROUND(N($F72)*N($G72),2))</f>
        <v/>
      </c>
      <c r="I72" s="11" t="s">
        <v>253</v>
      </c>
      <c r="J72" s="27" t="str">
        <f t="shared" si="15"/>
        <v/>
      </c>
      <c r="K72" s="27">
        <v>0</v>
      </c>
      <c r="L72" s="11"/>
      <c r="M72" s="11"/>
      <c r="N72" s="10"/>
      <c r="O72" s="11"/>
      <c r="P72" s="10"/>
      <c r="Q72" s="26" t="str">
        <f t="shared" si="16"/>
        <v/>
      </c>
      <c r="R72" s="27" t="str">
        <f t="shared" si="17"/>
        <v/>
      </c>
      <c r="S72" s="27" t="str">
        <f t="shared" si="18"/>
        <v/>
      </c>
      <c r="T72" s="26" t="str">
        <f t="shared" si="19"/>
        <v/>
      </c>
      <c r="U72" s="27" t="str">
        <f t="shared" si="20"/>
        <v/>
      </c>
      <c r="V72" s="27" t="str">
        <f t="shared" si="21"/>
        <v/>
      </c>
      <c r="W72" s="26" t="str">
        <f t="shared" si="22"/>
        <v/>
      </c>
      <c r="X72" s="27" t="str">
        <f t="shared" si="23"/>
        <v/>
      </c>
      <c r="Y72" s="27" t="str">
        <f t="shared" si="24"/>
        <v/>
      </c>
      <c r="Z72" s="43"/>
      <c r="AA72" s="107"/>
      <c r="AB72" s="76" t="str">
        <f t="shared" si="25"/>
        <v/>
      </c>
      <c r="AC72" s="74" t="str">
        <f t="shared" si="26"/>
        <v/>
      </c>
    </row>
    <row r="73" ht="18" customHeight="1" spans="1:29">
      <c r="A73" s="32" t="str">
        <f t="shared" si="14"/>
        <v/>
      </c>
      <c r="B73" s="108"/>
      <c r="C73" s="11"/>
      <c r="D73" s="11"/>
      <c r="E73" s="10"/>
      <c r="F73" s="109"/>
      <c r="G73" s="109"/>
      <c r="H73" s="27" t="str">
        <f t="shared" si="27"/>
        <v/>
      </c>
      <c r="I73" s="11" t="s">
        <v>253</v>
      </c>
      <c r="J73" s="27" t="str">
        <f t="shared" si="15"/>
        <v/>
      </c>
      <c r="K73" s="27">
        <v>0</v>
      </c>
      <c r="L73" s="11"/>
      <c r="M73" s="11"/>
      <c r="N73" s="10"/>
      <c r="O73" s="11"/>
      <c r="P73" s="10"/>
      <c r="Q73" s="26" t="str">
        <f t="shared" si="16"/>
        <v/>
      </c>
      <c r="R73" s="27" t="str">
        <f t="shared" si="17"/>
        <v/>
      </c>
      <c r="S73" s="27" t="str">
        <f t="shared" si="18"/>
        <v/>
      </c>
      <c r="T73" s="26" t="str">
        <f t="shared" si="19"/>
        <v/>
      </c>
      <c r="U73" s="27" t="str">
        <f t="shared" si="20"/>
        <v/>
      </c>
      <c r="V73" s="27" t="str">
        <f t="shared" si="21"/>
        <v/>
      </c>
      <c r="W73" s="26" t="str">
        <f t="shared" si="22"/>
        <v/>
      </c>
      <c r="X73" s="27" t="str">
        <f t="shared" si="23"/>
        <v/>
      </c>
      <c r="Y73" s="27" t="str">
        <f t="shared" si="24"/>
        <v/>
      </c>
      <c r="Z73" s="43"/>
      <c r="AA73" s="107"/>
      <c r="AB73" s="76" t="str">
        <f t="shared" si="25"/>
        <v/>
      </c>
      <c r="AC73" s="74" t="str">
        <f t="shared" si="26"/>
        <v/>
      </c>
    </row>
    <row r="74" ht="18" customHeight="1" spans="1:29">
      <c r="A74" s="32" t="str">
        <f t="shared" si="14"/>
        <v/>
      </c>
      <c r="B74" s="108"/>
      <c r="C74" s="11"/>
      <c r="D74" s="11"/>
      <c r="E74" s="10"/>
      <c r="F74" s="109"/>
      <c r="G74" s="109"/>
      <c r="H74" s="27" t="str">
        <f t="shared" si="27"/>
        <v/>
      </c>
      <c r="I74" s="11" t="s">
        <v>253</v>
      </c>
      <c r="J74" s="27" t="str">
        <f t="shared" si="15"/>
        <v/>
      </c>
      <c r="K74" s="27">
        <v>0</v>
      </c>
      <c r="L74" s="11"/>
      <c r="M74" s="11"/>
      <c r="N74" s="10"/>
      <c r="O74" s="11"/>
      <c r="P74" s="10"/>
      <c r="Q74" s="26" t="str">
        <f t="shared" si="16"/>
        <v/>
      </c>
      <c r="R74" s="27" t="str">
        <f t="shared" si="17"/>
        <v/>
      </c>
      <c r="S74" s="27" t="str">
        <f t="shared" si="18"/>
        <v/>
      </c>
      <c r="T74" s="26" t="str">
        <f t="shared" si="19"/>
        <v/>
      </c>
      <c r="U74" s="27" t="str">
        <f t="shared" si="20"/>
        <v/>
      </c>
      <c r="V74" s="27" t="str">
        <f t="shared" si="21"/>
        <v/>
      </c>
      <c r="W74" s="26" t="str">
        <f t="shared" si="22"/>
        <v/>
      </c>
      <c r="X74" s="27" t="str">
        <f t="shared" si="23"/>
        <v/>
      </c>
      <c r="Y74" s="27" t="str">
        <f t="shared" si="24"/>
        <v/>
      </c>
      <c r="Z74" s="43"/>
      <c r="AA74" s="107"/>
      <c r="AB74" s="76" t="str">
        <f t="shared" si="25"/>
        <v/>
      </c>
      <c r="AC74" s="74" t="str">
        <f t="shared" si="26"/>
        <v/>
      </c>
    </row>
    <row r="75" ht="18" customHeight="1" spans="1:29">
      <c r="A75" s="32" t="str">
        <f t="shared" si="14"/>
        <v/>
      </c>
      <c r="B75" s="108"/>
      <c r="C75" s="11"/>
      <c r="D75" s="11"/>
      <c r="E75" s="10"/>
      <c r="F75" s="109"/>
      <c r="G75" s="109"/>
      <c r="H75" s="27" t="str">
        <f t="shared" si="27"/>
        <v/>
      </c>
      <c r="I75" s="11" t="s">
        <v>253</v>
      </c>
      <c r="J75" s="27" t="str">
        <f t="shared" si="15"/>
        <v/>
      </c>
      <c r="K75" s="27">
        <v>0</v>
      </c>
      <c r="L75" s="11"/>
      <c r="M75" s="11"/>
      <c r="N75" s="10"/>
      <c r="O75" s="11"/>
      <c r="P75" s="10"/>
      <c r="Q75" s="26" t="str">
        <f t="shared" si="16"/>
        <v/>
      </c>
      <c r="R75" s="27" t="str">
        <f t="shared" si="17"/>
        <v/>
      </c>
      <c r="S75" s="27" t="str">
        <f t="shared" si="18"/>
        <v/>
      </c>
      <c r="T75" s="26" t="str">
        <f t="shared" si="19"/>
        <v/>
      </c>
      <c r="U75" s="27" t="str">
        <f t="shared" si="20"/>
        <v/>
      </c>
      <c r="V75" s="27" t="str">
        <f t="shared" si="21"/>
        <v/>
      </c>
      <c r="W75" s="26" t="str">
        <f t="shared" si="22"/>
        <v/>
      </c>
      <c r="X75" s="27" t="str">
        <f t="shared" si="23"/>
        <v/>
      </c>
      <c r="Y75" s="27" t="str">
        <f t="shared" si="24"/>
        <v/>
      </c>
      <c r="Z75" s="43"/>
      <c r="AA75" s="107"/>
      <c r="AB75" s="76" t="str">
        <f t="shared" si="25"/>
        <v/>
      </c>
      <c r="AC75" s="74" t="str">
        <f t="shared" si="26"/>
        <v/>
      </c>
    </row>
    <row r="76" ht="18" customHeight="1" spans="1:29">
      <c r="A76" s="32" t="str">
        <f t="shared" si="14"/>
        <v/>
      </c>
      <c r="B76" s="108"/>
      <c r="C76" s="11"/>
      <c r="D76" s="11"/>
      <c r="E76" s="10"/>
      <c r="F76" s="109"/>
      <c r="G76" s="109"/>
      <c r="H76" s="27" t="str">
        <f t="shared" si="27"/>
        <v/>
      </c>
      <c r="I76" s="11" t="s">
        <v>253</v>
      </c>
      <c r="J76" s="27" t="str">
        <f t="shared" si="15"/>
        <v/>
      </c>
      <c r="K76" s="27">
        <v>0</v>
      </c>
      <c r="L76" s="11"/>
      <c r="M76" s="11"/>
      <c r="N76" s="10"/>
      <c r="O76" s="11"/>
      <c r="P76" s="10"/>
      <c r="Q76" s="26" t="str">
        <f t="shared" si="16"/>
        <v/>
      </c>
      <c r="R76" s="27" t="str">
        <f t="shared" si="17"/>
        <v/>
      </c>
      <c r="S76" s="27" t="str">
        <f t="shared" si="18"/>
        <v/>
      </c>
      <c r="T76" s="26" t="str">
        <f t="shared" si="19"/>
        <v/>
      </c>
      <c r="U76" s="27" t="str">
        <f t="shared" si="20"/>
        <v/>
      </c>
      <c r="V76" s="27" t="str">
        <f t="shared" si="21"/>
        <v/>
      </c>
      <c r="W76" s="26" t="str">
        <f t="shared" si="22"/>
        <v/>
      </c>
      <c r="X76" s="27" t="str">
        <f t="shared" si="23"/>
        <v/>
      </c>
      <c r="Y76" s="27" t="str">
        <f t="shared" si="24"/>
        <v/>
      </c>
      <c r="Z76" s="43"/>
      <c r="AA76" s="107"/>
      <c r="AB76" s="76" t="str">
        <f t="shared" si="25"/>
        <v/>
      </c>
      <c r="AC76" s="74" t="str">
        <f t="shared" si="26"/>
        <v/>
      </c>
    </row>
    <row r="77" ht="18" customHeight="1" spans="1:29">
      <c r="A77" s="32" t="str">
        <f t="shared" si="14"/>
        <v/>
      </c>
      <c r="B77" s="108"/>
      <c r="C77" s="11"/>
      <c r="D77" s="11"/>
      <c r="E77" s="10"/>
      <c r="F77" s="109"/>
      <c r="G77" s="109"/>
      <c r="H77" s="27" t="str">
        <f t="shared" si="27"/>
        <v/>
      </c>
      <c r="I77" s="11" t="s">
        <v>253</v>
      </c>
      <c r="J77" s="27" t="str">
        <f t="shared" si="15"/>
        <v/>
      </c>
      <c r="K77" s="27">
        <v>0</v>
      </c>
      <c r="L77" s="11"/>
      <c r="M77" s="11"/>
      <c r="N77" s="10"/>
      <c r="O77" s="11"/>
      <c r="P77" s="10"/>
      <c r="Q77" s="26" t="str">
        <f t="shared" si="16"/>
        <v/>
      </c>
      <c r="R77" s="27" t="str">
        <f t="shared" si="17"/>
        <v/>
      </c>
      <c r="S77" s="27" t="str">
        <f t="shared" si="18"/>
        <v/>
      </c>
      <c r="T77" s="26" t="str">
        <f t="shared" si="19"/>
        <v/>
      </c>
      <c r="U77" s="27" t="str">
        <f t="shared" si="20"/>
        <v/>
      </c>
      <c r="V77" s="27" t="str">
        <f t="shared" si="21"/>
        <v/>
      </c>
      <c r="W77" s="26" t="str">
        <f t="shared" si="22"/>
        <v/>
      </c>
      <c r="X77" s="27" t="str">
        <f t="shared" si="23"/>
        <v/>
      </c>
      <c r="Y77" s="27" t="str">
        <f t="shared" si="24"/>
        <v/>
      </c>
      <c r="Z77" s="43"/>
      <c r="AA77" s="107"/>
      <c r="AB77" s="76" t="str">
        <f t="shared" si="25"/>
        <v/>
      </c>
      <c r="AC77" s="74" t="str">
        <f t="shared" si="26"/>
        <v/>
      </c>
    </row>
    <row r="78" ht="18" customHeight="1" spans="1:29">
      <c r="A78" s="32" t="str">
        <f t="shared" si="14"/>
        <v/>
      </c>
      <c r="B78" s="108"/>
      <c r="C78" s="11"/>
      <c r="D78" s="11"/>
      <c r="E78" s="10"/>
      <c r="F78" s="109"/>
      <c r="G78" s="109"/>
      <c r="H78" s="27" t="str">
        <f t="shared" si="27"/>
        <v/>
      </c>
      <c r="I78" s="11" t="s">
        <v>253</v>
      </c>
      <c r="J78" s="27" t="str">
        <f t="shared" si="15"/>
        <v/>
      </c>
      <c r="K78" s="27">
        <v>0</v>
      </c>
      <c r="L78" s="11"/>
      <c r="M78" s="11"/>
      <c r="N78" s="10"/>
      <c r="O78" s="11"/>
      <c r="P78" s="10"/>
      <c r="Q78" s="26" t="str">
        <f t="shared" si="16"/>
        <v/>
      </c>
      <c r="R78" s="27" t="str">
        <f t="shared" si="17"/>
        <v/>
      </c>
      <c r="S78" s="27" t="str">
        <f t="shared" si="18"/>
        <v/>
      </c>
      <c r="T78" s="26" t="str">
        <f t="shared" si="19"/>
        <v/>
      </c>
      <c r="U78" s="27" t="str">
        <f t="shared" si="20"/>
        <v/>
      </c>
      <c r="V78" s="27" t="str">
        <f t="shared" si="21"/>
        <v/>
      </c>
      <c r="W78" s="26" t="str">
        <f t="shared" si="22"/>
        <v/>
      </c>
      <c r="X78" s="27" t="str">
        <f t="shared" si="23"/>
        <v/>
      </c>
      <c r="Y78" s="27" t="str">
        <f t="shared" si="24"/>
        <v/>
      </c>
      <c r="Z78" s="43"/>
      <c r="AA78" s="107"/>
      <c r="AB78" s="76" t="str">
        <f t="shared" si="25"/>
        <v/>
      </c>
      <c r="AC78" s="74" t="str">
        <f t="shared" si="26"/>
        <v/>
      </c>
    </row>
    <row r="79" ht="18" customHeight="1" spans="1:29">
      <c r="A79" s="32" t="str">
        <f t="shared" si="14"/>
        <v/>
      </c>
      <c r="B79" s="108"/>
      <c r="C79" s="11"/>
      <c r="D79" s="11"/>
      <c r="E79" s="10"/>
      <c r="F79" s="109"/>
      <c r="G79" s="109"/>
      <c r="H79" s="27" t="str">
        <f t="shared" si="27"/>
        <v/>
      </c>
      <c r="I79" s="11" t="s">
        <v>253</v>
      </c>
      <c r="J79" s="27" t="str">
        <f t="shared" si="15"/>
        <v/>
      </c>
      <c r="K79" s="27">
        <v>0</v>
      </c>
      <c r="L79" s="11"/>
      <c r="M79" s="11"/>
      <c r="N79" s="10"/>
      <c r="O79" s="11"/>
      <c r="P79" s="10"/>
      <c r="Q79" s="26" t="str">
        <f t="shared" si="16"/>
        <v/>
      </c>
      <c r="R79" s="27" t="str">
        <f t="shared" si="17"/>
        <v/>
      </c>
      <c r="S79" s="27" t="str">
        <f t="shared" si="18"/>
        <v/>
      </c>
      <c r="T79" s="26" t="str">
        <f t="shared" si="19"/>
        <v/>
      </c>
      <c r="U79" s="27" t="str">
        <f t="shared" si="20"/>
        <v/>
      </c>
      <c r="V79" s="27" t="str">
        <f t="shared" si="21"/>
        <v/>
      </c>
      <c r="W79" s="26" t="str">
        <f t="shared" si="22"/>
        <v/>
      </c>
      <c r="X79" s="27" t="str">
        <f t="shared" si="23"/>
        <v/>
      </c>
      <c r="Y79" s="27" t="str">
        <f t="shared" si="24"/>
        <v/>
      </c>
      <c r="Z79" s="43"/>
      <c r="AA79" s="107"/>
      <c r="AB79" s="76" t="str">
        <f t="shared" si="25"/>
        <v/>
      </c>
      <c r="AC79" s="74" t="str">
        <f t="shared" si="26"/>
        <v/>
      </c>
    </row>
    <row r="80" ht="18" customHeight="1" spans="1:29">
      <c r="A80" s="32" t="str">
        <f t="shared" si="14"/>
        <v/>
      </c>
      <c r="B80" s="108"/>
      <c r="C80" s="11"/>
      <c r="D80" s="11"/>
      <c r="E80" s="10"/>
      <c r="F80" s="109"/>
      <c r="G80" s="109"/>
      <c r="H80" s="27" t="str">
        <f t="shared" si="27"/>
        <v/>
      </c>
      <c r="I80" s="11" t="s">
        <v>253</v>
      </c>
      <c r="J80" s="27" t="str">
        <f t="shared" si="15"/>
        <v/>
      </c>
      <c r="K80" s="27">
        <v>0</v>
      </c>
      <c r="L80" s="11"/>
      <c r="M80" s="11"/>
      <c r="N80" s="10"/>
      <c r="O80" s="11"/>
      <c r="P80" s="10"/>
      <c r="Q80" s="26" t="str">
        <f t="shared" si="16"/>
        <v/>
      </c>
      <c r="R80" s="27" t="str">
        <f t="shared" si="17"/>
        <v/>
      </c>
      <c r="S80" s="27" t="str">
        <f t="shared" si="18"/>
        <v/>
      </c>
      <c r="T80" s="26" t="str">
        <f t="shared" si="19"/>
        <v/>
      </c>
      <c r="U80" s="27" t="str">
        <f t="shared" si="20"/>
        <v/>
      </c>
      <c r="V80" s="27" t="str">
        <f t="shared" si="21"/>
        <v/>
      </c>
      <c r="W80" s="26" t="str">
        <f t="shared" si="22"/>
        <v/>
      </c>
      <c r="X80" s="27" t="str">
        <f t="shared" si="23"/>
        <v/>
      </c>
      <c r="Y80" s="27" t="str">
        <f t="shared" si="24"/>
        <v/>
      </c>
      <c r="Z80" s="43"/>
      <c r="AA80" s="107"/>
      <c r="AB80" s="76" t="str">
        <f t="shared" si="25"/>
        <v/>
      </c>
      <c r="AC80" s="74" t="str">
        <f t="shared" si="26"/>
        <v/>
      </c>
    </row>
    <row r="81" ht="18" customHeight="1" spans="1:29">
      <c r="A81" s="32" t="str">
        <f t="shared" si="14"/>
        <v/>
      </c>
      <c r="B81" s="108"/>
      <c r="C81" s="11"/>
      <c r="D81" s="11"/>
      <c r="E81" s="10"/>
      <c r="F81" s="109"/>
      <c r="G81" s="109"/>
      <c r="H81" s="27" t="str">
        <f t="shared" si="27"/>
        <v/>
      </c>
      <c r="I81" s="11" t="s">
        <v>253</v>
      </c>
      <c r="J81" s="27" t="str">
        <f t="shared" si="15"/>
        <v/>
      </c>
      <c r="K81" s="27">
        <v>0</v>
      </c>
      <c r="L81" s="11"/>
      <c r="M81" s="11"/>
      <c r="N81" s="10"/>
      <c r="O81" s="11"/>
      <c r="P81" s="10"/>
      <c r="Q81" s="26" t="str">
        <f t="shared" si="16"/>
        <v/>
      </c>
      <c r="R81" s="27" t="str">
        <f t="shared" si="17"/>
        <v/>
      </c>
      <c r="S81" s="27" t="str">
        <f t="shared" si="18"/>
        <v/>
      </c>
      <c r="T81" s="26" t="str">
        <f t="shared" si="19"/>
        <v/>
      </c>
      <c r="U81" s="27" t="str">
        <f t="shared" si="20"/>
        <v/>
      </c>
      <c r="V81" s="27" t="str">
        <f t="shared" si="21"/>
        <v/>
      </c>
      <c r="W81" s="26" t="str">
        <f t="shared" si="22"/>
        <v/>
      </c>
      <c r="X81" s="27" t="str">
        <f t="shared" si="23"/>
        <v/>
      </c>
      <c r="Y81" s="27" t="str">
        <f t="shared" si="24"/>
        <v/>
      </c>
      <c r="Z81" s="43"/>
      <c r="AA81" s="107"/>
      <c r="AB81" s="76" t="str">
        <f t="shared" si="25"/>
        <v/>
      </c>
      <c r="AC81" s="74" t="str">
        <f t="shared" si="26"/>
        <v/>
      </c>
    </row>
    <row r="82" ht="18" customHeight="1" spans="1:29">
      <c r="A82" s="32" t="str">
        <f t="shared" si="14"/>
        <v/>
      </c>
      <c r="B82" s="108"/>
      <c r="C82" s="11"/>
      <c r="D82" s="11"/>
      <c r="E82" s="10"/>
      <c r="F82" s="109"/>
      <c r="G82" s="109"/>
      <c r="H82" s="27" t="str">
        <f t="shared" si="27"/>
        <v/>
      </c>
      <c r="I82" s="11" t="s">
        <v>253</v>
      </c>
      <c r="J82" s="27" t="str">
        <f t="shared" si="15"/>
        <v/>
      </c>
      <c r="K82" s="27">
        <v>0</v>
      </c>
      <c r="L82" s="11"/>
      <c r="M82" s="11"/>
      <c r="N82" s="10"/>
      <c r="O82" s="11"/>
      <c r="P82" s="10"/>
      <c r="Q82" s="26" t="str">
        <f t="shared" si="16"/>
        <v/>
      </c>
      <c r="R82" s="27" t="str">
        <f t="shared" si="17"/>
        <v/>
      </c>
      <c r="S82" s="27" t="str">
        <f t="shared" si="18"/>
        <v/>
      </c>
      <c r="T82" s="26" t="str">
        <f t="shared" si="19"/>
        <v/>
      </c>
      <c r="U82" s="27" t="str">
        <f t="shared" si="20"/>
        <v/>
      </c>
      <c r="V82" s="27" t="str">
        <f t="shared" si="21"/>
        <v/>
      </c>
      <c r="W82" s="26" t="str">
        <f t="shared" si="22"/>
        <v/>
      </c>
      <c r="X82" s="27" t="str">
        <f t="shared" si="23"/>
        <v/>
      </c>
      <c r="Y82" s="27" t="str">
        <f t="shared" si="24"/>
        <v/>
      </c>
      <c r="Z82" s="43"/>
      <c r="AA82" s="107"/>
      <c r="AB82" s="76" t="str">
        <f t="shared" si="25"/>
        <v/>
      </c>
      <c r="AC82" s="74" t="str">
        <f t="shared" si="26"/>
        <v/>
      </c>
    </row>
    <row r="83" ht="18" customHeight="1" spans="1:29">
      <c r="A83" s="32" t="str">
        <f t="shared" si="14"/>
        <v/>
      </c>
      <c r="B83" s="108"/>
      <c r="C83" s="11"/>
      <c r="D83" s="11"/>
      <c r="E83" s="10"/>
      <c r="F83" s="109"/>
      <c r="G83" s="109"/>
      <c r="H83" s="27" t="str">
        <f t="shared" si="27"/>
        <v/>
      </c>
      <c r="I83" s="11" t="s">
        <v>253</v>
      </c>
      <c r="J83" s="27" t="str">
        <f t="shared" si="15"/>
        <v/>
      </c>
      <c r="K83" s="27">
        <v>0</v>
      </c>
      <c r="L83" s="11"/>
      <c r="M83" s="11"/>
      <c r="N83" s="10"/>
      <c r="O83" s="11"/>
      <c r="P83" s="10"/>
      <c r="Q83" s="26" t="str">
        <f t="shared" si="16"/>
        <v/>
      </c>
      <c r="R83" s="27" t="str">
        <f t="shared" si="17"/>
        <v/>
      </c>
      <c r="S83" s="27" t="str">
        <f t="shared" si="18"/>
        <v/>
      </c>
      <c r="T83" s="26" t="str">
        <f t="shared" si="19"/>
        <v/>
      </c>
      <c r="U83" s="27" t="str">
        <f t="shared" si="20"/>
        <v/>
      </c>
      <c r="V83" s="27" t="str">
        <f t="shared" si="21"/>
        <v/>
      </c>
      <c r="W83" s="26" t="str">
        <f t="shared" si="22"/>
        <v/>
      </c>
      <c r="X83" s="27" t="str">
        <f t="shared" si="23"/>
        <v/>
      </c>
      <c r="Y83" s="27" t="str">
        <f t="shared" si="24"/>
        <v/>
      </c>
      <c r="Z83" s="43"/>
      <c r="AA83" s="107"/>
      <c r="AB83" s="76" t="str">
        <f t="shared" si="25"/>
        <v/>
      </c>
      <c r="AC83" s="74" t="str">
        <f t="shared" si="26"/>
        <v/>
      </c>
    </row>
    <row r="84" ht="18" customHeight="1" spans="1:29">
      <c r="A84" s="32" t="str">
        <f t="shared" si="14"/>
        <v/>
      </c>
      <c r="B84" s="108"/>
      <c r="C84" s="11"/>
      <c r="D84" s="11"/>
      <c r="E84" s="10"/>
      <c r="F84" s="109"/>
      <c r="G84" s="109"/>
      <c r="H84" s="27" t="str">
        <f t="shared" si="27"/>
        <v/>
      </c>
      <c r="I84" s="11" t="s">
        <v>253</v>
      </c>
      <c r="J84" s="27" t="str">
        <f t="shared" si="15"/>
        <v/>
      </c>
      <c r="K84" s="27">
        <v>0</v>
      </c>
      <c r="L84" s="11"/>
      <c r="M84" s="11"/>
      <c r="N84" s="10"/>
      <c r="O84" s="11"/>
      <c r="P84" s="10"/>
      <c r="Q84" s="26" t="str">
        <f t="shared" si="16"/>
        <v/>
      </c>
      <c r="R84" s="27" t="str">
        <f t="shared" si="17"/>
        <v/>
      </c>
      <c r="S84" s="27" t="str">
        <f t="shared" si="18"/>
        <v/>
      </c>
      <c r="T84" s="26" t="str">
        <f t="shared" si="19"/>
        <v/>
      </c>
      <c r="U84" s="27" t="str">
        <f t="shared" si="20"/>
        <v/>
      </c>
      <c r="V84" s="27" t="str">
        <f t="shared" si="21"/>
        <v/>
      </c>
      <c r="W84" s="26" t="str">
        <f t="shared" si="22"/>
        <v/>
      </c>
      <c r="X84" s="27" t="str">
        <f t="shared" si="23"/>
        <v/>
      </c>
      <c r="Y84" s="27" t="str">
        <f t="shared" si="24"/>
        <v/>
      </c>
      <c r="Z84" s="43"/>
      <c r="AA84" s="107"/>
      <c r="AB84" s="76" t="str">
        <f t="shared" si="25"/>
        <v/>
      </c>
      <c r="AC84" s="74" t="str">
        <f t="shared" si="26"/>
        <v/>
      </c>
    </row>
    <row r="85" ht="18" customHeight="1" spans="1:29">
      <c r="A85" s="32" t="str">
        <f t="shared" si="14"/>
        <v/>
      </c>
      <c r="B85" s="108"/>
      <c r="C85" s="11"/>
      <c r="D85" s="11"/>
      <c r="E85" s="10"/>
      <c r="F85" s="109"/>
      <c r="G85" s="109"/>
      <c r="H85" s="27" t="str">
        <f t="shared" si="27"/>
        <v/>
      </c>
      <c r="I85" s="11" t="s">
        <v>253</v>
      </c>
      <c r="J85" s="27" t="str">
        <f t="shared" si="15"/>
        <v/>
      </c>
      <c r="K85" s="27">
        <v>0</v>
      </c>
      <c r="L85" s="11"/>
      <c r="M85" s="11"/>
      <c r="N85" s="10"/>
      <c r="O85" s="11"/>
      <c r="P85" s="10"/>
      <c r="Q85" s="26" t="str">
        <f t="shared" si="16"/>
        <v/>
      </c>
      <c r="R85" s="27" t="str">
        <f t="shared" si="17"/>
        <v/>
      </c>
      <c r="S85" s="27" t="str">
        <f t="shared" si="18"/>
        <v/>
      </c>
      <c r="T85" s="26" t="str">
        <f t="shared" si="19"/>
        <v/>
      </c>
      <c r="U85" s="27" t="str">
        <f t="shared" si="20"/>
        <v/>
      </c>
      <c r="V85" s="27" t="str">
        <f t="shared" si="21"/>
        <v/>
      </c>
      <c r="W85" s="26" t="str">
        <f t="shared" si="22"/>
        <v/>
      </c>
      <c r="X85" s="27" t="str">
        <f t="shared" si="23"/>
        <v/>
      </c>
      <c r="Y85" s="27" t="str">
        <f t="shared" si="24"/>
        <v/>
      </c>
      <c r="Z85" s="43"/>
      <c r="AA85" s="107"/>
      <c r="AB85" s="76" t="str">
        <f t="shared" si="25"/>
        <v/>
      </c>
      <c r="AC85" s="74" t="str">
        <f t="shared" si="26"/>
        <v/>
      </c>
    </row>
    <row r="86" ht="18" customHeight="1" spans="1:29">
      <c r="A86" s="32" t="str">
        <f t="shared" si="14"/>
        <v/>
      </c>
      <c r="B86" s="108"/>
      <c r="C86" s="11"/>
      <c r="D86" s="11"/>
      <c r="E86" s="10"/>
      <c r="F86" s="109"/>
      <c r="G86" s="109"/>
      <c r="H86" s="27" t="str">
        <f t="shared" si="27"/>
        <v/>
      </c>
      <c r="I86" s="11" t="s">
        <v>253</v>
      </c>
      <c r="J86" s="27" t="str">
        <f t="shared" si="15"/>
        <v/>
      </c>
      <c r="K86" s="27">
        <v>0</v>
      </c>
      <c r="L86" s="11"/>
      <c r="M86" s="11"/>
      <c r="N86" s="10"/>
      <c r="O86" s="11"/>
      <c r="P86" s="10"/>
      <c r="Q86" s="26" t="str">
        <f t="shared" si="16"/>
        <v/>
      </c>
      <c r="R86" s="27" t="str">
        <f t="shared" si="17"/>
        <v/>
      </c>
      <c r="S86" s="27" t="str">
        <f t="shared" si="18"/>
        <v/>
      </c>
      <c r="T86" s="26" t="str">
        <f t="shared" si="19"/>
        <v/>
      </c>
      <c r="U86" s="27" t="str">
        <f t="shared" si="20"/>
        <v/>
      </c>
      <c r="V86" s="27" t="str">
        <f t="shared" si="21"/>
        <v/>
      </c>
      <c r="W86" s="26" t="str">
        <f t="shared" si="22"/>
        <v/>
      </c>
      <c r="X86" s="27" t="str">
        <f t="shared" si="23"/>
        <v/>
      </c>
      <c r="Y86" s="27" t="str">
        <f t="shared" si="24"/>
        <v/>
      </c>
      <c r="Z86" s="43"/>
      <c r="AA86" s="107"/>
      <c r="AB86" s="76" t="str">
        <f t="shared" si="25"/>
        <v/>
      </c>
      <c r="AC86" s="74" t="str">
        <f t="shared" si="26"/>
        <v/>
      </c>
    </row>
    <row r="87" ht="18" customHeight="1" spans="1:29">
      <c r="A87" s="32" t="str">
        <f t="shared" si="14"/>
        <v/>
      </c>
      <c r="B87" s="108"/>
      <c r="C87" s="11"/>
      <c r="D87" s="11"/>
      <c r="E87" s="10"/>
      <c r="F87" s="109"/>
      <c r="G87" s="109"/>
      <c r="H87" s="27" t="str">
        <f t="shared" si="27"/>
        <v/>
      </c>
      <c r="I87" s="11" t="s">
        <v>253</v>
      </c>
      <c r="J87" s="27" t="str">
        <f t="shared" si="15"/>
        <v/>
      </c>
      <c r="K87" s="27">
        <v>0</v>
      </c>
      <c r="L87" s="11"/>
      <c r="M87" s="11"/>
      <c r="N87" s="10"/>
      <c r="O87" s="11"/>
      <c r="P87" s="10"/>
      <c r="Q87" s="26" t="str">
        <f t="shared" si="16"/>
        <v/>
      </c>
      <c r="R87" s="27" t="str">
        <f t="shared" si="17"/>
        <v/>
      </c>
      <c r="S87" s="27" t="str">
        <f t="shared" si="18"/>
        <v/>
      </c>
      <c r="T87" s="26" t="str">
        <f t="shared" si="19"/>
        <v/>
      </c>
      <c r="U87" s="27" t="str">
        <f t="shared" si="20"/>
        <v/>
      </c>
      <c r="V87" s="27" t="str">
        <f t="shared" si="21"/>
        <v/>
      </c>
      <c r="W87" s="26" t="str">
        <f t="shared" si="22"/>
        <v/>
      </c>
      <c r="X87" s="27" t="str">
        <f t="shared" si="23"/>
        <v/>
      </c>
      <c r="Y87" s="27" t="str">
        <f t="shared" si="24"/>
        <v/>
      </c>
      <c r="Z87" s="43"/>
      <c r="AA87" s="107"/>
      <c r="AB87" s="76" t="str">
        <f t="shared" si="25"/>
        <v/>
      </c>
      <c r="AC87" s="74" t="str">
        <f t="shared" si="26"/>
        <v/>
      </c>
    </row>
    <row r="88" ht="18" customHeight="1" spans="1:29">
      <c r="A88" s="32" t="str">
        <f t="shared" si="14"/>
        <v/>
      </c>
      <c r="B88" s="108"/>
      <c r="C88" s="11"/>
      <c r="D88" s="11"/>
      <c r="E88" s="10"/>
      <c r="F88" s="109"/>
      <c r="G88" s="109"/>
      <c r="H88" s="27" t="str">
        <f t="shared" si="27"/>
        <v/>
      </c>
      <c r="I88" s="11" t="s">
        <v>253</v>
      </c>
      <c r="J88" s="27" t="str">
        <f t="shared" si="15"/>
        <v/>
      </c>
      <c r="K88" s="27">
        <v>0</v>
      </c>
      <c r="L88" s="11"/>
      <c r="M88" s="11"/>
      <c r="N88" s="10"/>
      <c r="O88" s="11"/>
      <c r="P88" s="10"/>
      <c r="Q88" s="26" t="str">
        <f t="shared" si="16"/>
        <v/>
      </c>
      <c r="R88" s="27" t="str">
        <f t="shared" si="17"/>
        <v/>
      </c>
      <c r="S88" s="27" t="str">
        <f t="shared" si="18"/>
        <v/>
      </c>
      <c r="T88" s="26" t="str">
        <f t="shared" si="19"/>
        <v/>
      </c>
      <c r="U88" s="27" t="str">
        <f t="shared" si="20"/>
        <v/>
      </c>
      <c r="V88" s="27" t="str">
        <f t="shared" si="21"/>
        <v/>
      </c>
      <c r="W88" s="26" t="str">
        <f t="shared" si="22"/>
        <v/>
      </c>
      <c r="X88" s="27" t="str">
        <f t="shared" si="23"/>
        <v/>
      </c>
      <c r="Y88" s="27" t="str">
        <f t="shared" si="24"/>
        <v/>
      </c>
      <c r="Z88" s="43"/>
      <c r="AA88" s="107"/>
      <c r="AB88" s="76" t="str">
        <f t="shared" si="25"/>
        <v/>
      </c>
      <c r="AC88" s="74" t="str">
        <f t="shared" si="26"/>
        <v/>
      </c>
    </row>
    <row r="89" ht="18" customHeight="1" spans="1:29">
      <c r="A89" s="32" t="str">
        <f t="shared" si="14"/>
        <v/>
      </c>
      <c r="B89" s="108"/>
      <c r="C89" s="11"/>
      <c r="D89" s="11"/>
      <c r="E89" s="10"/>
      <c r="F89" s="109"/>
      <c r="G89" s="109"/>
      <c r="H89" s="27" t="str">
        <f t="shared" si="27"/>
        <v/>
      </c>
      <c r="I89" s="11" t="s">
        <v>253</v>
      </c>
      <c r="J89" s="27" t="str">
        <f t="shared" si="15"/>
        <v/>
      </c>
      <c r="K89" s="27">
        <v>0</v>
      </c>
      <c r="L89" s="11"/>
      <c r="M89" s="11"/>
      <c r="N89" s="10"/>
      <c r="O89" s="11"/>
      <c r="P89" s="10"/>
      <c r="Q89" s="26" t="str">
        <f t="shared" si="16"/>
        <v/>
      </c>
      <c r="R89" s="27" t="str">
        <f t="shared" si="17"/>
        <v/>
      </c>
      <c r="S89" s="27" t="str">
        <f t="shared" si="18"/>
        <v/>
      </c>
      <c r="T89" s="26" t="str">
        <f t="shared" si="19"/>
        <v/>
      </c>
      <c r="U89" s="27" t="str">
        <f t="shared" si="20"/>
        <v/>
      </c>
      <c r="V89" s="27" t="str">
        <f t="shared" si="21"/>
        <v/>
      </c>
      <c r="W89" s="26" t="str">
        <f t="shared" si="22"/>
        <v/>
      </c>
      <c r="X89" s="27" t="str">
        <f t="shared" si="23"/>
        <v/>
      </c>
      <c r="Y89" s="27" t="str">
        <f t="shared" si="24"/>
        <v/>
      </c>
      <c r="Z89" s="43"/>
      <c r="AA89" s="107"/>
      <c r="AB89" s="76" t="str">
        <f t="shared" si="25"/>
        <v/>
      </c>
      <c r="AC89" s="74" t="str">
        <f t="shared" si="26"/>
        <v/>
      </c>
    </row>
    <row r="90" ht="18" customHeight="1" spans="1:29">
      <c r="A90" s="32" t="str">
        <f t="shared" si="14"/>
        <v/>
      </c>
      <c r="B90" s="108"/>
      <c r="C90" s="11"/>
      <c r="D90" s="11"/>
      <c r="E90" s="10"/>
      <c r="F90" s="109"/>
      <c r="G90" s="109"/>
      <c r="H90" s="27" t="str">
        <f t="shared" si="27"/>
        <v/>
      </c>
      <c r="I90" s="11" t="s">
        <v>253</v>
      </c>
      <c r="J90" s="27" t="str">
        <f t="shared" si="15"/>
        <v/>
      </c>
      <c r="K90" s="27">
        <v>0</v>
      </c>
      <c r="L90" s="11"/>
      <c r="M90" s="11"/>
      <c r="N90" s="10"/>
      <c r="O90" s="11"/>
      <c r="P90" s="10"/>
      <c r="Q90" s="26" t="str">
        <f t="shared" si="16"/>
        <v/>
      </c>
      <c r="R90" s="27" t="str">
        <f t="shared" si="17"/>
        <v/>
      </c>
      <c r="S90" s="27" t="str">
        <f t="shared" si="18"/>
        <v/>
      </c>
      <c r="T90" s="26" t="str">
        <f t="shared" si="19"/>
        <v/>
      </c>
      <c r="U90" s="27" t="str">
        <f t="shared" si="20"/>
        <v/>
      </c>
      <c r="V90" s="27" t="str">
        <f t="shared" si="21"/>
        <v/>
      </c>
      <c r="W90" s="26" t="str">
        <f t="shared" si="22"/>
        <v/>
      </c>
      <c r="X90" s="27" t="str">
        <f t="shared" si="23"/>
        <v/>
      </c>
      <c r="Y90" s="27" t="str">
        <f t="shared" si="24"/>
        <v/>
      </c>
      <c r="Z90" s="43"/>
      <c r="AA90" s="107"/>
      <c r="AB90" s="76" t="str">
        <f t="shared" si="25"/>
        <v/>
      </c>
      <c r="AC90" s="74" t="str">
        <f t="shared" si="26"/>
        <v/>
      </c>
    </row>
    <row r="91" ht="18" customHeight="1" spans="1:29">
      <c r="A91" s="32" t="str">
        <f t="shared" si="14"/>
        <v/>
      </c>
      <c r="B91" s="108"/>
      <c r="C91" s="11"/>
      <c r="D91" s="11"/>
      <c r="E91" s="10"/>
      <c r="F91" s="109"/>
      <c r="G91" s="109"/>
      <c r="H91" s="27" t="str">
        <f t="shared" si="27"/>
        <v/>
      </c>
      <c r="I91" s="11" t="s">
        <v>253</v>
      </c>
      <c r="J91" s="27" t="str">
        <f t="shared" si="15"/>
        <v/>
      </c>
      <c r="K91" s="27">
        <v>0</v>
      </c>
      <c r="L91" s="11"/>
      <c r="M91" s="11"/>
      <c r="N91" s="10"/>
      <c r="O91" s="11"/>
      <c r="P91" s="10"/>
      <c r="Q91" s="26" t="str">
        <f t="shared" si="16"/>
        <v/>
      </c>
      <c r="R91" s="27" t="str">
        <f t="shared" si="17"/>
        <v/>
      </c>
      <c r="S91" s="27" t="str">
        <f t="shared" si="18"/>
        <v/>
      </c>
      <c r="T91" s="26" t="str">
        <f t="shared" si="19"/>
        <v/>
      </c>
      <c r="U91" s="27" t="str">
        <f t="shared" si="20"/>
        <v/>
      </c>
      <c r="V91" s="27" t="str">
        <f t="shared" si="21"/>
        <v/>
      </c>
      <c r="W91" s="26" t="str">
        <f t="shared" si="22"/>
        <v/>
      </c>
      <c r="X91" s="27" t="str">
        <f t="shared" si="23"/>
        <v/>
      </c>
      <c r="Y91" s="27" t="str">
        <f t="shared" si="24"/>
        <v/>
      </c>
      <c r="Z91" s="43"/>
      <c r="AA91" s="107"/>
      <c r="AB91" s="76" t="str">
        <f t="shared" si="25"/>
        <v/>
      </c>
      <c r="AC91" s="74" t="str">
        <f t="shared" si="26"/>
        <v/>
      </c>
    </row>
    <row r="92" ht="18" customHeight="1" spans="1:29">
      <c r="A92" s="32" t="str">
        <f t="shared" si="14"/>
        <v/>
      </c>
      <c r="B92" s="108"/>
      <c r="C92" s="11"/>
      <c r="D92" s="11"/>
      <c r="E92" s="10"/>
      <c r="F92" s="109"/>
      <c r="G92" s="109"/>
      <c r="H92" s="27" t="str">
        <f t="shared" si="27"/>
        <v/>
      </c>
      <c r="I92" s="11" t="s">
        <v>253</v>
      </c>
      <c r="J92" s="27" t="str">
        <f t="shared" si="15"/>
        <v/>
      </c>
      <c r="K92" s="27">
        <v>0</v>
      </c>
      <c r="L92" s="11"/>
      <c r="M92" s="11"/>
      <c r="N92" s="10"/>
      <c r="O92" s="11"/>
      <c r="P92" s="10"/>
      <c r="Q92" s="26" t="str">
        <f t="shared" si="16"/>
        <v/>
      </c>
      <c r="R92" s="27" t="str">
        <f t="shared" si="17"/>
        <v/>
      </c>
      <c r="S92" s="27" t="str">
        <f t="shared" si="18"/>
        <v/>
      </c>
      <c r="T92" s="26" t="str">
        <f t="shared" si="19"/>
        <v/>
      </c>
      <c r="U92" s="27" t="str">
        <f t="shared" si="20"/>
        <v/>
      </c>
      <c r="V92" s="27" t="str">
        <f t="shared" si="21"/>
        <v/>
      </c>
      <c r="W92" s="26" t="str">
        <f t="shared" si="22"/>
        <v/>
      </c>
      <c r="X92" s="27" t="str">
        <f t="shared" si="23"/>
        <v/>
      </c>
      <c r="Y92" s="27" t="str">
        <f t="shared" si="24"/>
        <v/>
      </c>
      <c r="Z92" s="43"/>
      <c r="AA92" s="107"/>
      <c r="AB92" s="76" t="str">
        <f t="shared" si="25"/>
        <v/>
      </c>
      <c r="AC92" s="74" t="str">
        <f t="shared" si="26"/>
        <v/>
      </c>
    </row>
    <row r="93" ht="18" customHeight="1" spans="1:29">
      <c r="A93" s="32" t="str">
        <f t="shared" si="14"/>
        <v/>
      </c>
      <c r="B93" s="108"/>
      <c r="C93" s="11"/>
      <c r="D93" s="11"/>
      <c r="E93" s="10"/>
      <c r="F93" s="109"/>
      <c r="G93" s="109"/>
      <c r="H93" s="27" t="str">
        <f t="shared" si="27"/>
        <v/>
      </c>
      <c r="I93" s="11" t="s">
        <v>253</v>
      </c>
      <c r="J93" s="27" t="str">
        <f t="shared" si="15"/>
        <v/>
      </c>
      <c r="K93" s="27">
        <v>0</v>
      </c>
      <c r="L93" s="11"/>
      <c r="M93" s="11"/>
      <c r="N93" s="10"/>
      <c r="O93" s="11"/>
      <c r="P93" s="10"/>
      <c r="Q93" s="26" t="str">
        <f t="shared" si="16"/>
        <v/>
      </c>
      <c r="R93" s="27" t="str">
        <f t="shared" si="17"/>
        <v/>
      </c>
      <c r="S93" s="27" t="str">
        <f t="shared" si="18"/>
        <v/>
      </c>
      <c r="T93" s="26" t="str">
        <f t="shared" si="19"/>
        <v/>
      </c>
      <c r="U93" s="27" t="str">
        <f t="shared" si="20"/>
        <v/>
      </c>
      <c r="V93" s="27" t="str">
        <f t="shared" si="21"/>
        <v/>
      </c>
      <c r="W93" s="26" t="str">
        <f t="shared" si="22"/>
        <v/>
      </c>
      <c r="X93" s="27" t="str">
        <f t="shared" si="23"/>
        <v/>
      </c>
      <c r="Y93" s="27" t="str">
        <f t="shared" si="24"/>
        <v/>
      </c>
      <c r="Z93" s="43"/>
      <c r="AA93" s="107"/>
      <c r="AB93" s="76" t="str">
        <f t="shared" si="25"/>
        <v/>
      </c>
      <c r="AC93" s="74" t="str">
        <f t="shared" si="26"/>
        <v/>
      </c>
    </row>
    <row r="94" ht="18" customHeight="1" spans="1:29">
      <c r="A94" s="32" t="str">
        <f t="shared" si="14"/>
        <v/>
      </c>
      <c r="B94" s="108"/>
      <c r="C94" s="11"/>
      <c r="D94" s="11"/>
      <c r="E94" s="10"/>
      <c r="F94" s="109"/>
      <c r="G94" s="109"/>
      <c r="H94" s="27" t="str">
        <f t="shared" si="27"/>
        <v/>
      </c>
      <c r="I94" s="11" t="s">
        <v>253</v>
      </c>
      <c r="J94" s="27" t="str">
        <f t="shared" si="15"/>
        <v/>
      </c>
      <c r="K94" s="27">
        <v>0</v>
      </c>
      <c r="L94" s="11"/>
      <c r="M94" s="11"/>
      <c r="N94" s="10"/>
      <c r="O94" s="11"/>
      <c r="P94" s="10"/>
      <c r="Q94" s="26" t="str">
        <f t="shared" si="16"/>
        <v/>
      </c>
      <c r="R94" s="27" t="str">
        <f t="shared" si="17"/>
        <v/>
      </c>
      <c r="S94" s="27" t="str">
        <f t="shared" si="18"/>
        <v/>
      </c>
      <c r="T94" s="26" t="str">
        <f t="shared" si="19"/>
        <v/>
      </c>
      <c r="U94" s="27" t="str">
        <f t="shared" si="20"/>
        <v/>
      </c>
      <c r="V94" s="27" t="str">
        <f t="shared" si="21"/>
        <v/>
      </c>
      <c r="W94" s="26" t="str">
        <f t="shared" si="22"/>
        <v/>
      </c>
      <c r="X94" s="27" t="str">
        <f t="shared" si="23"/>
        <v/>
      </c>
      <c r="Y94" s="27" t="str">
        <f t="shared" si="24"/>
        <v/>
      </c>
      <c r="Z94" s="43"/>
      <c r="AA94" s="107"/>
      <c r="AB94" s="76" t="str">
        <f t="shared" si="25"/>
        <v/>
      </c>
      <c r="AC94" s="74" t="str">
        <f t="shared" si="26"/>
        <v/>
      </c>
    </row>
    <row r="95" ht="18" customHeight="1" spans="1:29">
      <c r="A95" s="32" t="str">
        <f t="shared" si="14"/>
        <v/>
      </c>
      <c r="B95" s="108"/>
      <c r="C95" s="11"/>
      <c r="D95" s="11"/>
      <c r="E95" s="10"/>
      <c r="F95" s="109"/>
      <c r="G95" s="109"/>
      <c r="H95" s="27" t="str">
        <f t="shared" si="27"/>
        <v/>
      </c>
      <c r="I95" s="11" t="s">
        <v>253</v>
      </c>
      <c r="J95" s="27" t="str">
        <f t="shared" si="15"/>
        <v/>
      </c>
      <c r="K95" s="27">
        <v>0</v>
      </c>
      <c r="L95" s="11"/>
      <c r="M95" s="11"/>
      <c r="N95" s="10"/>
      <c r="O95" s="11"/>
      <c r="P95" s="10"/>
      <c r="Q95" s="26" t="str">
        <f t="shared" si="16"/>
        <v/>
      </c>
      <c r="R95" s="27" t="str">
        <f t="shared" si="17"/>
        <v/>
      </c>
      <c r="S95" s="27" t="str">
        <f t="shared" si="18"/>
        <v/>
      </c>
      <c r="T95" s="26" t="str">
        <f t="shared" si="19"/>
        <v/>
      </c>
      <c r="U95" s="27" t="str">
        <f t="shared" si="20"/>
        <v/>
      </c>
      <c r="V95" s="27" t="str">
        <f t="shared" si="21"/>
        <v/>
      </c>
      <c r="W95" s="26" t="str">
        <f t="shared" si="22"/>
        <v/>
      </c>
      <c r="X95" s="27" t="str">
        <f t="shared" si="23"/>
        <v/>
      </c>
      <c r="Y95" s="27" t="str">
        <f t="shared" si="24"/>
        <v/>
      </c>
      <c r="Z95" s="43"/>
      <c r="AA95" s="107"/>
      <c r="AB95" s="76" t="str">
        <f t="shared" si="25"/>
        <v/>
      </c>
      <c r="AC95" s="74" t="str">
        <f t="shared" si="26"/>
        <v/>
      </c>
    </row>
    <row r="96" ht="18" customHeight="1" spans="1:29">
      <c r="A96" s="32" t="str">
        <f t="shared" si="14"/>
        <v/>
      </c>
      <c r="B96" s="108"/>
      <c r="C96" s="11"/>
      <c r="D96" s="11"/>
      <c r="E96" s="10"/>
      <c r="F96" s="109"/>
      <c r="G96" s="109"/>
      <c r="H96" s="27" t="str">
        <f t="shared" si="27"/>
        <v/>
      </c>
      <c r="I96" s="11" t="s">
        <v>253</v>
      </c>
      <c r="J96" s="27" t="str">
        <f t="shared" si="15"/>
        <v/>
      </c>
      <c r="K96" s="27">
        <v>0</v>
      </c>
      <c r="L96" s="11"/>
      <c r="M96" s="11"/>
      <c r="N96" s="10"/>
      <c r="O96" s="11"/>
      <c r="P96" s="10"/>
      <c r="Q96" s="26" t="str">
        <f t="shared" si="16"/>
        <v/>
      </c>
      <c r="R96" s="27" t="str">
        <f t="shared" si="17"/>
        <v/>
      </c>
      <c r="S96" s="27" t="str">
        <f t="shared" si="18"/>
        <v/>
      </c>
      <c r="T96" s="26" t="str">
        <f t="shared" si="19"/>
        <v/>
      </c>
      <c r="U96" s="27" t="str">
        <f t="shared" si="20"/>
        <v/>
      </c>
      <c r="V96" s="27" t="str">
        <f t="shared" si="21"/>
        <v/>
      </c>
      <c r="W96" s="26" t="str">
        <f t="shared" si="22"/>
        <v/>
      </c>
      <c r="X96" s="27" t="str">
        <f t="shared" si="23"/>
        <v/>
      </c>
      <c r="Y96" s="27" t="str">
        <f t="shared" si="24"/>
        <v/>
      </c>
      <c r="Z96" s="43"/>
      <c r="AA96" s="107"/>
      <c r="AB96" s="76" t="str">
        <f t="shared" si="25"/>
        <v/>
      </c>
      <c r="AC96" s="74" t="str">
        <f t="shared" si="26"/>
        <v/>
      </c>
    </row>
    <row r="97" ht="18" customHeight="1" spans="1:29">
      <c r="A97" s="32" t="str">
        <f t="shared" si="14"/>
        <v/>
      </c>
      <c r="B97" s="108"/>
      <c r="C97" s="11"/>
      <c r="D97" s="11"/>
      <c r="E97" s="10"/>
      <c r="F97" s="109"/>
      <c r="G97" s="109"/>
      <c r="H97" s="27" t="str">
        <f t="shared" si="27"/>
        <v/>
      </c>
      <c r="I97" s="11" t="s">
        <v>253</v>
      </c>
      <c r="J97" s="27" t="str">
        <f t="shared" si="15"/>
        <v/>
      </c>
      <c r="K97" s="27">
        <v>0</v>
      </c>
      <c r="L97" s="11"/>
      <c r="M97" s="11"/>
      <c r="N97" s="10"/>
      <c r="O97" s="11"/>
      <c r="P97" s="10"/>
      <c r="Q97" s="26" t="str">
        <f t="shared" si="16"/>
        <v/>
      </c>
      <c r="R97" s="27" t="str">
        <f t="shared" si="17"/>
        <v/>
      </c>
      <c r="S97" s="27" t="str">
        <f t="shared" si="18"/>
        <v/>
      </c>
      <c r="T97" s="26" t="str">
        <f t="shared" si="19"/>
        <v/>
      </c>
      <c r="U97" s="27" t="str">
        <f t="shared" si="20"/>
        <v/>
      </c>
      <c r="V97" s="27" t="str">
        <f t="shared" si="21"/>
        <v/>
      </c>
      <c r="W97" s="26" t="str">
        <f t="shared" si="22"/>
        <v/>
      </c>
      <c r="X97" s="27" t="str">
        <f t="shared" si="23"/>
        <v/>
      </c>
      <c r="Y97" s="27" t="str">
        <f t="shared" si="24"/>
        <v/>
      </c>
      <c r="Z97" s="43"/>
      <c r="AA97" s="107"/>
      <c r="AB97" s="76" t="str">
        <f t="shared" si="25"/>
        <v/>
      </c>
      <c r="AC97" s="74" t="str">
        <f t="shared" si="26"/>
        <v/>
      </c>
    </row>
    <row r="98" ht="18" customHeight="1" spans="1:29">
      <c r="A98" s="32" t="str">
        <f t="shared" si="14"/>
        <v/>
      </c>
      <c r="B98" s="108"/>
      <c r="C98" s="11"/>
      <c r="D98" s="11"/>
      <c r="E98" s="10"/>
      <c r="F98" s="109"/>
      <c r="G98" s="109"/>
      <c r="H98" s="27" t="str">
        <f t="shared" si="27"/>
        <v/>
      </c>
      <c r="I98" s="11" t="s">
        <v>253</v>
      </c>
      <c r="J98" s="27" t="str">
        <f t="shared" si="15"/>
        <v/>
      </c>
      <c r="K98" s="27">
        <v>0</v>
      </c>
      <c r="L98" s="11"/>
      <c r="M98" s="11"/>
      <c r="N98" s="10"/>
      <c r="O98" s="11"/>
      <c r="P98" s="10"/>
      <c r="Q98" s="26" t="str">
        <f t="shared" si="16"/>
        <v/>
      </c>
      <c r="R98" s="27" t="str">
        <f t="shared" si="17"/>
        <v/>
      </c>
      <c r="S98" s="27" t="str">
        <f t="shared" si="18"/>
        <v/>
      </c>
      <c r="T98" s="26" t="str">
        <f t="shared" si="19"/>
        <v/>
      </c>
      <c r="U98" s="27" t="str">
        <f t="shared" si="20"/>
        <v/>
      </c>
      <c r="V98" s="27" t="str">
        <f t="shared" si="21"/>
        <v/>
      </c>
      <c r="W98" s="26" t="str">
        <f t="shared" si="22"/>
        <v/>
      </c>
      <c r="X98" s="27" t="str">
        <f t="shared" si="23"/>
        <v/>
      </c>
      <c r="Y98" s="27" t="str">
        <f t="shared" si="24"/>
        <v/>
      </c>
      <c r="Z98" s="43"/>
      <c r="AA98" s="107"/>
      <c r="AB98" s="76" t="str">
        <f t="shared" si="25"/>
        <v/>
      </c>
      <c r="AC98" s="74" t="str">
        <f t="shared" si="26"/>
        <v/>
      </c>
    </row>
    <row r="99" ht="18" customHeight="1" spans="1:29">
      <c r="A99" s="32" t="str">
        <f t="shared" si="14"/>
        <v/>
      </c>
      <c r="B99" s="108"/>
      <c r="C99" s="11"/>
      <c r="D99" s="11"/>
      <c r="E99" s="10"/>
      <c r="F99" s="109"/>
      <c r="G99" s="109"/>
      <c r="H99" s="27" t="str">
        <f t="shared" si="27"/>
        <v/>
      </c>
      <c r="I99" s="11" t="s">
        <v>253</v>
      </c>
      <c r="J99" s="27" t="str">
        <f t="shared" si="15"/>
        <v/>
      </c>
      <c r="K99" s="27">
        <v>0</v>
      </c>
      <c r="L99" s="11"/>
      <c r="M99" s="11"/>
      <c r="N99" s="10"/>
      <c r="O99" s="11"/>
      <c r="P99" s="10"/>
      <c r="Q99" s="26" t="str">
        <f t="shared" si="16"/>
        <v/>
      </c>
      <c r="R99" s="27" t="str">
        <f t="shared" si="17"/>
        <v/>
      </c>
      <c r="S99" s="27" t="str">
        <f t="shared" si="18"/>
        <v/>
      </c>
      <c r="T99" s="26" t="str">
        <f t="shared" si="19"/>
        <v/>
      </c>
      <c r="U99" s="27" t="str">
        <f t="shared" si="20"/>
        <v/>
      </c>
      <c r="V99" s="27" t="str">
        <f t="shared" si="21"/>
        <v/>
      </c>
      <c r="W99" s="26" t="str">
        <f t="shared" si="22"/>
        <v/>
      </c>
      <c r="X99" s="27" t="str">
        <f t="shared" si="23"/>
        <v/>
      </c>
      <c r="Y99" s="27" t="str">
        <f t="shared" si="24"/>
        <v/>
      </c>
      <c r="Z99" s="43"/>
      <c r="AA99" s="107"/>
      <c r="AB99" s="76" t="str">
        <f t="shared" si="25"/>
        <v/>
      </c>
      <c r="AC99" s="74" t="str">
        <f t="shared" si="26"/>
        <v/>
      </c>
    </row>
    <row r="100" ht="18" customHeight="1" spans="1:29">
      <c r="A100" s="32" t="str">
        <f t="shared" si="14"/>
        <v/>
      </c>
      <c r="B100" s="108"/>
      <c r="C100" s="11"/>
      <c r="D100" s="11"/>
      <c r="E100" s="10"/>
      <c r="F100" s="109"/>
      <c r="G100" s="109"/>
      <c r="H100" s="27" t="str">
        <f t="shared" si="27"/>
        <v/>
      </c>
      <c r="I100" s="11" t="s">
        <v>253</v>
      </c>
      <c r="J100" s="27" t="str">
        <f t="shared" si="15"/>
        <v/>
      </c>
      <c r="K100" s="27">
        <v>0</v>
      </c>
      <c r="L100" s="11"/>
      <c r="M100" s="11"/>
      <c r="N100" s="10"/>
      <c r="O100" s="11"/>
      <c r="P100" s="10"/>
      <c r="Q100" s="26" t="str">
        <f t="shared" si="16"/>
        <v/>
      </c>
      <c r="R100" s="27" t="str">
        <f t="shared" si="17"/>
        <v/>
      </c>
      <c r="S100" s="27" t="str">
        <f t="shared" si="18"/>
        <v/>
      </c>
      <c r="T100" s="26" t="str">
        <f t="shared" si="19"/>
        <v/>
      </c>
      <c r="U100" s="27" t="str">
        <f t="shared" si="20"/>
        <v/>
      </c>
      <c r="V100" s="27" t="str">
        <f t="shared" si="21"/>
        <v/>
      </c>
      <c r="W100" s="26" t="str">
        <f t="shared" si="22"/>
        <v/>
      </c>
      <c r="X100" s="27" t="str">
        <f t="shared" si="23"/>
        <v/>
      </c>
      <c r="Y100" s="27" t="str">
        <f t="shared" si="24"/>
        <v/>
      </c>
      <c r="Z100" s="43"/>
      <c r="AA100" s="107"/>
      <c r="AB100" s="76" t="str">
        <f t="shared" si="25"/>
        <v/>
      </c>
      <c r="AC100" s="74" t="str">
        <f t="shared" si="26"/>
        <v/>
      </c>
    </row>
    <row r="101" ht="18" customHeight="1" spans="1:29">
      <c r="A101" s="32" t="str">
        <f t="shared" si="14"/>
        <v/>
      </c>
      <c r="B101" s="108"/>
      <c r="C101" s="11"/>
      <c r="D101" s="11"/>
      <c r="E101" s="10"/>
      <c r="F101" s="109"/>
      <c r="G101" s="109"/>
      <c r="H101" s="27" t="str">
        <f t="shared" si="27"/>
        <v/>
      </c>
      <c r="I101" s="11" t="s">
        <v>253</v>
      </c>
      <c r="J101" s="27" t="str">
        <f t="shared" si="15"/>
        <v/>
      </c>
      <c r="K101" s="27">
        <v>0</v>
      </c>
      <c r="L101" s="11"/>
      <c r="M101" s="11"/>
      <c r="N101" s="10"/>
      <c r="O101" s="11"/>
      <c r="P101" s="10"/>
      <c r="Q101" s="26" t="str">
        <f t="shared" si="16"/>
        <v/>
      </c>
      <c r="R101" s="27" t="str">
        <f t="shared" si="17"/>
        <v/>
      </c>
      <c r="S101" s="27" t="str">
        <f t="shared" si="18"/>
        <v/>
      </c>
      <c r="T101" s="26" t="str">
        <f t="shared" si="19"/>
        <v/>
      </c>
      <c r="U101" s="27" t="str">
        <f t="shared" si="20"/>
        <v/>
      </c>
      <c r="V101" s="27" t="str">
        <f t="shared" si="21"/>
        <v/>
      </c>
      <c r="W101" s="26" t="str">
        <f t="shared" si="22"/>
        <v/>
      </c>
      <c r="X101" s="27" t="str">
        <f t="shared" si="23"/>
        <v/>
      </c>
      <c r="Y101" s="27" t="str">
        <f t="shared" si="24"/>
        <v/>
      </c>
      <c r="Z101" s="43"/>
      <c r="AA101" s="107"/>
      <c r="AB101" s="76" t="str">
        <f t="shared" si="25"/>
        <v/>
      </c>
      <c r="AC101" s="74" t="str">
        <f t="shared" si="26"/>
        <v/>
      </c>
    </row>
    <row r="102" ht="18" customHeight="1" spans="1:29">
      <c r="A102" s="32" t="str">
        <f t="shared" si="14"/>
        <v/>
      </c>
      <c r="B102" s="108"/>
      <c r="C102" s="11"/>
      <c r="D102" s="11"/>
      <c r="E102" s="10"/>
      <c r="F102" s="109"/>
      <c r="G102" s="109"/>
      <c r="H102" s="27" t="str">
        <f t="shared" si="27"/>
        <v/>
      </c>
      <c r="I102" s="11" t="s">
        <v>253</v>
      </c>
      <c r="J102" s="27" t="str">
        <f t="shared" si="15"/>
        <v/>
      </c>
      <c r="K102" s="27">
        <v>0</v>
      </c>
      <c r="L102" s="11"/>
      <c r="M102" s="11"/>
      <c r="N102" s="10"/>
      <c r="O102" s="11"/>
      <c r="P102" s="10"/>
      <c r="Q102" s="26" t="str">
        <f t="shared" si="16"/>
        <v/>
      </c>
      <c r="R102" s="27" t="str">
        <f t="shared" si="17"/>
        <v/>
      </c>
      <c r="S102" s="27" t="str">
        <f t="shared" si="18"/>
        <v/>
      </c>
      <c r="T102" s="26" t="str">
        <f t="shared" si="19"/>
        <v/>
      </c>
      <c r="U102" s="27" t="str">
        <f t="shared" si="20"/>
        <v/>
      </c>
      <c r="V102" s="27" t="str">
        <f t="shared" si="21"/>
        <v/>
      </c>
      <c r="W102" s="26" t="str">
        <f t="shared" si="22"/>
        <v/>
      </c>
      <c r="X102" s="27" t="str">
        <f t="shared" si="23"/>
        <v/>
      </c>
      <c r="Y102" s="27" t="str">
        <f t="shared" si="24"/>
        <v/>
      </c>
      <c r="Z102" s="43"/>
      <c r="AA102" s="107"/>
      <c r="AB102" s="76" t="str">
        <f t="shared" si="25"/>
        <v/>
      </c>
      <c r="AC102" s="74" t="str">
        <f t="shared" si="26"/>
        <v/>
      </c>
    </row>
    <row r="103" ht="18" customHeight="1" spans="1:29">
      <c r="A103" s="32" t="str">
        <f t="shared" si="14"/>
        <v/>
      </c>
      <c r="B103" s="108"/>
      <c r="C103" s="11"/>
      <c r="D103" s="11"/>
      <c r="E103" s="10"/>
      <c r="F103" s="109"/>
      <c r="G103" s="109"/>
      <c r="H103" s="27" t="str">
        <f t="shared" si="27"/>
        <v/>
      </c>
      <c r="I103" s="11" t="s">
        <v>253</v>
      </c>
      <c r="J103" s="27" t="str">
        <f t="shared" si="15"/>
        <v/>
      </c>
      <c r="K103" s="27">
        <v>0</v>
      </c>
      <c r="L103" s="11"/>
      <c r="M103" s="11"/>
      <c r="N103" s="10"/>
      <c r="O103" s="11"/>
      <c r="P103" s="10"/>
      <c r="Q103" s="26" t="str">
        <f t="shared" si="16"/>
        <v/>
      </c>
      <c r="R103" s="27" t="str">
        <f t="shared" si="17"/>
        <v/>
      </c>
      <c r="S103" s="27" t="str">
        <f t="shared" si="18"/>
        <v/>
      </c>
      <c r="T103" s="26" t="str">
        <f t="shared" si="19"/>
        <v/>
      </c>
      <c r="U103" s="27" t="str">
        <f t="shared" si="20"/>
        <v/>
      </c>
      <c r="V103" s="27" t="str">
        <f t="shared" si="21"/>
        <v/>
      </c>
      <c r="W103" s="26" t="str">
        <f t="shared" si="22"/>
        <v/>
      </c>
      <c r="X103" s="27" t="str">
        <f t="shared" si="23"/>
        <v/>
      </c>
      <c r="Y103" s="27" t="str">
        <f t="shared" si="24"/>
        <v/>
      </c>
      <c r="Z103" s="43"/>
      <c r="AA103" s="107"/>
      <c r="AB103" s="76" t="str">
        <f t="shared" si="25"/>
        <v/>
      </c>
      <c r="AC103" s="74" t="str">
        <f t="shared" si="26"/>
        <v/>
      </c>
    </row>
    <row r="104" ht="18" customHeight="1" spans="1:29">
      <c r="A104" s="32" t="str">
        <f t="shared" si="14"/>
        <v/>
      </c>
      <c r="B104" s="108"/>
      <c r="C104" s="11"/>
      <c r="D104" s="11"/>
      <c r="E104" s="10"/>
      <c r="F104" s="109"/>
      <c r="G104" s="109"/>
      <c r="H104" s="27" t="str">
        <f t="shared" si="27"/>
        <v/>
      </c>
      <c r="I104" s="11" t="s">
        <v>253</v>
      </c>
      <c r="J104" s="27" t="str">
        <f t="shared" si="15"/>
        <v/>
      </c>
      <c r="K104" s="27">
        <v>0</v>
      </c>
      <c r="L104" s="11"/>
      <c r="M104" s="11"/>
      <c r="N104" s="10"/>
      <c r="O104" s="11"/>
      <c r="P104" s="10"/>
      <c r="Q104" s="26" t="str">
        <f t="shared" si="16"/>
        <v/>
      </c>
      <c r="R104" s="27" t="str">
        <f t="shared" si="17"/>
        <v/>
      </c>
      <c r="S104" s="27" t="str">
        <f t="shared" si="18"/>
        <v/>
      </c>
      <c r="T104" s="26" t="str">
        <f t="shared" si="19"/>
        <v/>
      </c>
      <c r="U104" s="27" t="str">
        <f t="shared" si="20"/>
        <v/>
      </c>
      <c r="V104" s="27" t="str">
        <f t="shared" si="21"/>
        <v/>
      </c>
      <c r="W104" s="26" t="str">
        <f t="shared" si="22"/>
        <v/>
      </c>
      <c r="X104" s="27" t="str">
        <f t="shared" si="23"/>
        <v/>
      </c>
      <c r="Y104" s="27" t="str">
        <f t="shared" si="24"/>
        <v/>
      </c>
      <c r="Z104" s="43"/>
      <c r="AA104" s="107"/>
      <c r="AB104" s="76" t="str">
        <f t="shared" si="25"/>
        <v/>
      </c>
      <c r="AC104" s="74" t="str">
        <f t="shared" si="26"/>
        <v/>
      </c>
    </row>
    <row r="105" ht="18" customHeight="1" spans="1:29">
      <c r="A105" s="32" t="str">
        <f t="shared" si="14"/>
        <v/>
      </c>
      <c r="B105" s="108"/>
      <c r="C105" s="11"/>
      <c r="D105" s="11"/>
      <c r="E105" s="10"/>
      <c r="F105" s="109"/>
      <c r="G105" s="109"/>
      <c r="H105" s="27" t="str">
        <f t="shared" si="27"/>
        <v/>
      </c>
      <c r="I105" s="11" t="s">
        <v>253</v>
      </c>
      <c r="J105" s="27" t="str">
        <f t="shared" si="15"/>
        <v/>
      </c>
      <c r="K105" s="27">
        <v>0</v>
      </c>
      <c r="L105" s="11"/>
      <c r="M105" s="11"/>
      <c r="N105" s="10"/>
      <c r="O105" s="11"/>
      <c r="P105" s="10"/>
      <c r="Q105" s="26" t="str">
        <f t="shared" si="16"/>
        <v/>
      </c>
      <c r="R105" s="27" t="str">
        <f t="shared" si="17"/>
        <v/>
      </c>
      <c r="S105" s="27" t="str">
        <f t="shared" si="18"/>
        <v/>
      </c>
      <c r="T105" s="26" t="str">
        <f t="shared" si="19"/>
        <v/>
      </c>
      <c r="U105" s="27" t="str">
        <f t="shared" si="20"/>
        <v/>
      </c>
      <c r="V105" s="27" t="str">
        <f t="shared" si="21"/>
        <v/>
      </c>
      <c r="W105" s="26" t="str">
        <f t="shared" si="22"/>
        <v/>
      </c>
      <c r="X105" s="27" t="str">
        <f t="shared" si="23"/>
        <v/>
      </c>
      <c r="Y105" s="27" t="str">
        <f t="shared" si="24"/>
        <v/>
      </c>
      <c r="Z105" s="43"/>
      <c r="AA105" s="107"/>
      <c r="AB105" s="76" t="str">
        <f t="shared" si="25"/>
        <v/>
      </c>
      <c r="AC105" s="74" t="str">
        <f t="shared" si="26"/>
        <v/>
      </c>
    </row>
    <row r="106" ht="18" customHeight="1" spans="1:29">
      <c r="A106" s="32" t="str">
        <f t="shared" si="14"/>
        <v/>
      </c>
      <c r="B106" s="108"/>
      <c r="C106" s="11"/>
      <c r="D106" s="11"/>
      <c r="E106" s="10"/>
      <c r="F106" s="109"/>
      <c r="G106" s="109"/>
      <c r="H106" s="27" t="str">
        <f t="shared" si="27"/>
        <v/>
      </c>
      <c r="I106" s="11" t="s">
        <v>253</v>
      </c>
      <c r="J106" s="27" t="str">
        <f t="shared" si="15"/>
        <v/>
      </c>
      <c r="K106" s="27">
        <v>0</v>
      </c>
      <c r="L106" s="11"/>
      <c r="M106" s="11"/>
      <c r="N106" s="10"/>
      <c r="O106" s="11"/>
      <c r="P106" s="10"/>
      <c r="Q106" s="26" t="str">
        <f t="shared" si="16"/>
        <v/>
      </c>
      <c r="R106" s="27" t="str">
        <f t="shared" si="17"/>
        <v/>
      </c>
      <c r="S106" s="27" t="str">
        <f t="shared" si="18"/>
        <v/>
      </c>
      <c r="T106" s="26" t="str">
        <f t="shared" si="19"/>
        <v/>
      </c>
      <c r="U106" s="27" t="str">
        <f t="shared" si="20"/>
        <v/>
      </c>
      <c r="V106" s="27" t="str">
        <f t="shared" si="21"/>
        <v/>
      </c>
      <c r="W106" s="26" t="str">
        <f t="shared" si="22"/>
        <v/>
      </c>
      <c r="X106" s="27" t="str">
        <f t="shared" si="23"/>
        <v/>
      </c>
      <c r="Y106" s="27" t="str">
        <f t="shared" si="24"/>
        <v/>
      </c>
      <c r="Z106" s="43"/>
      <c r="AA106" s="107"/>
      <c r="AB106" s="76" t="str">
        <f t="shared" si="25"/>
        <v/>
      </c>
      <c r="AC106" s="74" t="str">
        <f t="shared" si="26"/>
        <v/>
      </c>
    </row>
    <row r="107" ht="18" customHeight="1" spans="1:29">
      <c r="A107" s="32" t="str">
        <f t="shared" si="14"/>
        <v/>
      </c>
      <c r="B107" s="108"/>
      <c r="C107" s="11"/>
      <c r="D107" s="11"/>
      <c r="E107" s="10"/>
      <c r="F107" s="109"/>
      <c r="G107" s="109"/>
      <c r="H107" s="27" t="str">
        <f t="shared" si="27"/>
        <v/>
      </c>
      <c r="I107" s="11" t="s">
        <v>253</v>
      </c>
      <c r="J107" s="27" t="str">
        <f t="shared" si="15"/>
        <v/>
      </c>
      <c r="K107" s="27">
        <v>0</v>
      </c>
      <c r="L107" s="11"/>
      <c r="M107" s="11"/>
      <c r="N107" s="10"/>
      <c r="O107" s="11"/>
      <c r="P107" s="10"/>
      <c r="Q107" s="26" t="str">
        <f t="shared" si="16"/>
        <v/>
      </c>
      <c r="R107" s="27" t="str">
        <f t="shared" si="17"/>
        <v/>
      </c>
      <c r="S107" s="27" t="str">
        <f t="shared" si="18"/>
        <v/>
      </c>
      <c r="T107" s="26" t="str">
        <f t="shared" si="19"/>
        <v/>
      </c>
      <c r="U107" s="27" t="str">
        <f t="shared" si="20"/>
        <v/>
      </c>
      <c r="V107" s="27" t="str">
        <f t="shared" si="21"/>
        <v/>
      </c>
      <c r="W107" s="26" t="str">
        <f t="shared" si="22"/>
        <v/>
      </c>
      <c r="X107" s="27" t="str">
        <f t="shared" si="23"/>
        <v/>
      </c>
      <c r="Y107" s="27" t="str">
        <f t="shared" si="24"/>
        <v/>
      </c>
      <c r="Z107" s="43"/>
      <c r="AA107" s="107"/>
      <c r="AB107" s="76" t="str">
        <f t="shared" si="25"/>
        <v/>
      </c>
      <c r="AC107" s="74" t="str">
        <f t="shared" si="26"/>
        <v/>
      </c>
    </row>
    <row r="108" ht="18" customHeight="1" spans="1:29">
      <c r="A108" s="32" t="str">
        <f t="shared" si="14"/>
        <v/>
      </c>
      <c r="B108" s="108"/>
      <c r="C108" s="11"/>
      <c r="D108" s="11"/>
      <c r="E108" s="10"/>
      <c r="F108" s="109"/>
      <c r="G108" s="109"/>
      <c r="H108" s="27" t="str">
        <f t="shared" si="27"/>
        <v/>
      </c>
      <c r="I108" s="11" t="s">
        <v>253</v>
      </c>
      <c r="J108" s="27" t="str">
        <f t="shared" si="15"/>
        <v/>
      </c>
      <c r="K108" s="27">
        <v>0</v>
      </c>
      <c r="L108" s="11"/>
      <c r="M108" s="11"/>
      <c r="N108" s="10"/>
      <c r="O108" s="11"/>
      <c r="P108" s="10"/>
      <c r="Q108" s="26" t="str">
        <f t="shared" si="16"/>
        <v/>
      </c>
      <c r="R108" s="27" t="str">
        <f t="shared" si="17"/>
        <v/>
      </c>
      <c r="S108" s="27" t="str">
        <f t="shared" si="18"/>
        <v/>
      </c>
      <c r="T108" s="26" t="str">
        <f t="shared" si="19"/>
        <v/>
      </c>
      <c r="U108" s="27" t="str">
        <f t="shared" si="20"/>
        <v/>
      </c>
      <c r="V108" s="27" t="str">
        <f t="shared" si="21"/>
        <v/>
      </c>
      <c r="W108" s="26" t="str">
        <f t="shared" si="22"/>
        <v/>
      </c>
      <c r="X108" s="27" t="str">
        <f t="shared" si="23"/>
        <v/>
      </c>
      <c r="Y108" s="27" t="str">
        <f t="shared" si="24"/>
        <v/>
      </c>
      <c r="Z108" s="43"/>
      <c r="AA108" s="107"/>
      <c r="AB108" s="76" t="str">
        <f t="shared" si="25"/>
        <v/>
      </c>
      <c r="AC108" s="74" t="str">
        <f t="shared" si="26"/>
        <v/>
      </c>
    </row>
    <row r="109" ht="18" customHeight="1" spans="1:29">
      <c r="A109" s="32" t="str">
        <f t="shared" si="14"/>
        <v/>
      </c>
      <c r="B109" s="108"/>
      <c r="C109" s="11"/>
      <c r="D109" s="11"/>
      <c r="E109" s="10"/>
      <c r="F109" s="109"/>
      <c r="G109" s="109"/>
      <c r="H109" s="27" t="str">
        <f t="shared" si="27"/>
        <v/>
      </c>
      <c r="I109" s="11" t="s">
        <v>253</v>
      </c>
      <c r="J109" s="27" t="str">
        <f t="shared" si="15"/>
        <v/>
      </c>
      <c r="K109" s="27">
        <v>0</v>
      </c>
      <c r="L109" s="11"/>
      <c r="M109" s="11"/>
      <c r="N109" s="10"/>
      <c r="O109" s="11"/>
      <c r="P109" s="10"/>
      <c r="Q109" s="26" t="str">
        <f t="shared" si="16"/>
        <v/>
      </c>
      <c r="R109" s="27" t="str">
        <f t="shared" si="17"/>
        <v/>
      </c>
      <c r="S109" s="27" t="str">
        <f t="shared" si="18"/>
        <v/>
      </c>
      <c r="T109" s="26" t="str">
        <f t="shared" si="19"/>
        <v/>
      </c>
      <c r="U109" s="27" t="str">
        <f t="shared" si="20"/>
        <v/>
      </c>
      <c r="V109" s="27" t="str">
        <f t="shared" si="21"/>
        <v/>
      </c>
      <c r="W109" s="26" t="str">
        <f t="shared" si="22"/>
        <v/>
      </c>
      <c r="X109" s="27" t="str">
        <f t="shared" si="23"/>
        <v/>
      </c>
      <c r="Y109" s="27" t="str">
        <f t="shared" si="24"/>
        <v/>
      </c>
      <c r="Z109" s="43"/>
      <c r="AA109" s="107"/>
      <c r="AB109" s="76" t="str">
        <f t="shared" si="25"/>
        <v/>
      </c>
      <c r="AC109" s="74" t="str">
        <f t="shared" si="26"/>
        <v/>
      </c>
    </row>
    <row r="110" ht="18" customHeight="1" spans="1:29">
      <c r="A110" s="32" t="str">
        <f t="shared" si="14"/>
        <v/>
      </c>
      <c r="B110" s="108"/>
      <c r="C110" s="11"/>
      <c r="D110" s="11"/>
      <c r="E110" s="10"/>
      <c r="F110" s="109"/>
      <c r="G110" s="109"/>
      <c r="H110" s="27" t="str">
        <f t="shared" si="27"/>
        <v/>
      </c>
      <c r="I110" s="11" t="s">
        <v>253</v>
      </c>
      <c r="J110" s="27" t="str">
        <f t="shared" si="15"/>
        <v/>
      </c>
      <c r="K110" s="27">
        <v>0</v>
      </c>
      <c r="L110" s="11"/>
      <c r="M110" s="11"/>
      <c r="N110" s="10"/>
      <c r="O110" s="11"/>
      <c r="P110" s="10"/>
      <c r="Q110" s="26" t="str">
        <f t="shared" si="16"/>
        <v/>
      </c>
      <c r="R110" s="27" t="str">
        <f t="shared" si="17"/>
        <v/>
      </c>
      <c r="S110" s="27" t="str">
        <f t="shared" si="18"/>
        <v/>
      </c>
      <c r="T110" s="26" t="str">
        <f t="shared" si="19"/>
        <v/>
      </c>
      <c r="U110" s="27" t="str">
        <f t="shared" si="20"/>
        <v/>
      </c>
      <c r="V110" s="27" t="str">
        <f t="shared" si="21"/>
        <v/>
      </c>
      <c r="W110" s="26" t="str">
        <f t="shared" si="22"/>
        <v/>
      </c>
      <c r="X110" s="27" t="str">
        <f t="shared" si="23"/>
        <v/>
      </c>
      <c r="Y110" s="27" t="str">
        <f t="shared" si="24"/>
        <v/>
      </c>
      <c r="Z110" s="43"/>
      <c r="AA110" s="107"/>
      <c r="AB110" s="76" t="str">
        <f t="shared" si="25"/>
        <v/>
      </c>
      <c r="AC110" s="74" t="str">
        <f t="shared" si="26"/>
        <v/>
      </c>
    </row>
    <row r="111" ht="18" customHeight="1" spans="1:29">
      <c r="A111" s="32" t="str">
        <f t="shared" si="14"/>
        <v/>
      </c>
      <c r="B111" s="108"/>
      <c r="C111" s="11"/>
      <c r="D111" s="11"/>
      <c r="E111" s="10"/>
      <c r="F111" s="109"/>
      <c r="G111" s="109"/>
      <c r="H111" s="27" t="str">
        <f t="shared" si="27"/>
        <v/>
      </c>
      <c r="I111" s="11" t="s">
        <v>253</v>
      </c>
      <c r="J111" s="27" t="str">
        <f t="shared" si="15"/>
        <v/>
      </c>
      <c r="K111" s="27">
        <v>0</v>
      </c>
      <c r="L111" s="11"/>
      <c r="M111" s="11"/>
      <c r="N111" s="10"/>
      <c r="O111" s="11"/>
      <c r="P111" s="10"/>
      <c r="Q111" s="26" t="str">
        <f t="shared" si="16"/>
        <v/>
      </c>
      <c r="R111" s="27" t="str">
        <f t="shared" si="17"/>
        <v/>
      </c>
      <c r="S111" s="27" t="str">
        <f t="shared" si="18"/>
        <v/>
      </c>
      <c r="T111" s="26" t="str">
        <f t="shared" si="19"/>
        <v/>
      </c>
      <c r="U111" s="27" t="str">
        <f t="shared" si="20"/>
        <v/>
      </c>
      <c r="V111" s="27" t="str">
        <f t="shared" si="21"/>
        <v/>
      </c>
      <c r="W111" s="26" t="str">
        <f t="shared" si="22"/>
        <v/>
      </c>
      <c r="X111" s="27" t="str">
        <f t="shared" si="23"/>
        <v/>
      </c>
      <c r="Y111" s="27" t="str">
        <f t="shared" si="24"/>
        <v/>
      </c>
      <c r="Z111" s="43"/>
      <c r="AA111" s="107"/>
      <c r="AB111" s="76" t="str">
        <f t="shared" si="25"/>
        <v/>
      </c>
      <c r="AC111" s="74" t="str">
        <f t="shared" si="26"/>
        <v/>
      </c>
    </row>
    <row r="112" ht="18" customHeight="1" spans="1:29">
      <c r="A112" s="32" t="str">
        <f t="shared" si="14"/>
        <v/>
      </c>
      <c r="B112" s="108"/>
      <c r="C112" s="11"/>
      <c r="D112" s="11"/>
      <c r="E112" s="10"/>
      <c r="F112" s="109"/>
      <c r="G112" s="109"/>
      <c r="H112" s="27" t="str">
        <f t="shared" si="27"/>
        <v/>
      </c>
      <c r="I112" s="11" t="s">
        <v>253</v>
      </c>
      <c r="J112" s="27" t="str">
        <f t="shared" si="15"/>
        <v/>
      </c>
      <c r="K112" s="27">
        <v>0</v>
      </c>
      <c r="L112" s="11"/>
      <c r="M112" s="11"/>
      <c r="N112" s="10"/>
      <c r="O112" s="11"/>
      <c r="P112" s="10"/>
      <c r="Q112" s="26" t="str">
        <f t="shared" si="16"/>
        <v/>
      </c>
      <c r="R112" s="27" t="str">
        <f t="shared" si="17"/>
        <v/>
      </c>
      <c r="S112" s="27" t="str">
        <f t="shared" si="18"/>
        <v/>
      </c>
      <c r="T112" s="26" t="str">
        <f t="shared" si="19"/>
        <v/>
      </c>
      <c r="U112" s="27" t="str">
        <f t="shared" si="20"/>
        <v/>
      </c>
      <c r="V112" s="27" t="str">
        <f t="shared" si="21"/>
        <v/>
      </c>
      <c r="W112" s="26" t="str">
        <f t="shared" si="22"/>
        <v/>
      </c>
      <c r="X112" s="27" t="str">
        <f t="shared" si="23"/>
        <v/>
      </c>
      <c r="Y112" s="27" t="str">
        <f t="shared" si="24"/>
        <v/>
      </c>
      <c r="Z112" s="43"/>
      <c r="AA112" s="107"/>
      <c r="AB112" s="76" t="str">
        <f t="shared" si="25"/>
        <v/>
      </c>
      <c r="AC112" s="74" t="str">
        <f t="shared" si="26"/>
        <v/>
      </c>
    </row>
    <row r="113" ht="18" customHeight="1" spans="1:29">
      <c r="A113" s="32" t="str">
        <f t="shared" si="14"/>
        <v/>
      </c>
      <c r="B113" s="108"/>
      <c r="C113" s="11"/>
      <c r="D113" s="11"/>
      <c r="E113" s="10"/>
      <c r="F113" s="109"/>
      <c r="G113" s="109"/>
      <c r="H113" s="27" t="str">
        <f t="shared" si="27"/>
        <v/>
      </c>
      <c r="I113" s="11" t="s">
        <v>253</v>
      </c>
      <c r="J113" s="27" t="str">
        <f t="shared" si="15"/>
        <v/>
      </c>
      <c r="K113" s="27">
        <v>0</v>
      </c>
      <c r="L113" s="11"/>
      <c r="M113" s="11"/>
      <c r="N113" s="10"/>
      <c r="O113" s="11"/>
      <c r="P113" s="10"/>
      <c r="Q113" s="26" t="str">
        <f t="shared" si="16"/>
        <v/>
      </c>
      <c r="R113" s="27" t="str">
        <f t="shared" si="17"/>
        <v/>
      </c>
      <c r="S113" s="27" t="str">
        <f t="shared" si="18"/>
        <v/>
      </c>
      <c r="T113" s="26" t="str">
        <f t="shared" si="19"/>
        <v/>
      </c>
      <c r="U113" s="27" t="str">
        <f t="shared" si="20"/>
        <v/>
      </c>
      <c r="V113" s="27" t="str">
        <f t="shared" si="21"/>
        <v/>
      </c>
      <c r="W113" s="26" t="str">
        <f t="shared" si="22"/>
        <v/>
      </c>
      <c r="X113" s="27" t="str">
        <f t="shared" si="23"/>
        <v/>
      </c>
      <c r="Y113" s="27" t="str">
        <f t="shared" si="24"/>
        <v/>
      </c>
      <c r="Z113" s="43"/>
      <c r="AA113" s="107"/>
      <c r="AB113" s="76" t="str">
        <f t="shared" si="25"/>
        <v/>
      </c>
      <c r="AC113" s="74" t="str">
        <f t="shared" si="26"/>
        <v/>
      </c>
    </row>
    <row r="114" ht="18" customHeight="1" spans="1:29">
      <c r="A114" s="32" t="str">
        <f t="shared" si="14"/>
        <v/>
      </c>
      <c r="B114" s="108"/>
      <c r="C114" s="11"/>
      <c r="D114" s="11"/>
      <c r="E114" s="10"/>
      <c r="F114" s="109"/>
      <c r="G114" s="109"/>
      <c r="H114" s="27" t="str">
        <f t="shared" si="27"/>
        <v/>
      </c>
      <c r="I114" s="11" t="s">
        <v>253</v>
      </c>
      <c r="J114" s="27" t="str">
        <f t="shared" si="15"/>
        <v/>
      </c>
      <c r="K114" s="27">
        <v>0</v>
      </c>
      <c r="L114" s="11"/>
      <c r="M114" s="11"/>
      <c r="N114" s="10"/>
      <c r="O114" s="11"/>
      <c r="P114" s="10"/>
      <c r="Q114" s="26" t="str">
        <f t="shared" si="16"/>
        <v/>
      </c>
      <c r="R114" s="27" t="str">
        <f t="shared" si="17"/>
        <v/>
      </c>
      <c r="S114" s="27" t="str">
        <f t="shared" si="18"/>
        <v/>
      </c>
      <c r="T114" s="26" t="str">
        <f t="shared" si="19"/>
        <v/>
      </c>
      <c r="U114" s="27" t="str">
        <f t="shared" si="20"/>
        <v/>
      </c>
      <c r="V114" s="27" t="str">
        <f t="shared" si="21"/>
        <v/>
      </c>
      <c r="W114" s="26" t="str">
        <f t="shared" si="22"/>
        <v/>
      </c>
      <c r="X114" s="27" t="str">
        <f t="shared" si="23"/>
        <v/>
      </c>
      <c r="Y114" s="27" t="str">
        <f t="shared" si="24"/>
        <v/>
      </c>
      <c r="Z114" s="43"/>
      <c r="AA114" s="107"/>
      <c r="AB114" s="76" t="str">
        <f t="shared" si="25"/>
        <v/>
      </c>
      <c r="AC114" s="74" t="str">
        <f t="shared" si="26"/>
        <v/>
      </c>
    </row>
    <row r="115" ht="18" customHeight="1" spans="1:29">
      <c r="A115" s="32" t="str">
        <f t="shared" si="14"/>
        <v/>
      </c>
      <c r="B115" s="108"/>
      <c r="C115" s="11"/>
      <c r="D115" s="11"/>
      <c r="E115" s="10"/>
      <c r="F115" s="109"/>
      <c r="G115" s="109"/>
      <c r="H115" s="27" t="str">
        <f t="shared" si="27"/>
        <v/>
      </c>
      <c r="I115" s="11" t="s">
        <v>253</v>
      </c>
      <c r="J115" s="27" t="str">
        <f t="shared" si="15"/>
        <v/>
      </c>
      <c r="K115" s="27">
        <v>0</v>
      </c>
      <c r="L115" s="11"/>
      <c r="M115" s="11"/>
      <c r="N115" s="10"/>
      <c r="O115" s="11"/>
      <c r="P115" s="10"/>
      <c r="Q115" s="26" t="str">
        <f t="shared" si="16"/>
        <v/>
      </c>
      <c r="R115" s="27" t="str">
        <f t="shared" si="17"/>
        <v/>
      </c>
      <c r="S115" s="27" t="str">
        <f t="shared" si="18"/>
        <v/>
      </c>
      <c r="T115" s="26" t="str">
        <f t="shared" si="19"/>
        <v/>
      </c>
      <c r="U115" s="27" t="str">
        <f t="shared" si="20"/>
        <v/>
      </c>
      <c r="V115" s="27" t="str">
        <f t="shared" si="21"/>
        <v/>
      </c>
      <c r="W115" s="26" t="str">
        <f t="shared" si="22"/>
        <v/>
      </c>
      <c r="X115" s="27" t="str">
        <f t="shared" si="23"/>
        <v/>
      </c>
      <c r="Y115" s="27" t="str">
        <f t="shared" si="24"/>
        <v/>
      </c>
      <c r="Z115" s="43"/>
      <c r="AA115" s="107"/>
      <c r="AB115" s="76" t="str">
        <f t="shared" si="25"/>
        <v/>
      </c>
      <c r="AC115" s="74" t="str">
        <f t="shared" si="26"/>
        <v/>
      </c>
    </row>
    <row r="116" ht="18" customHeight="1" spans="1:29">
      <c r="A116" s="32" t="str">
        <f t="shared" si="14"/>
        <v/>
      </c>
      <c r="B116" s="108"/>
      <c r="C116" s="11"/>
      <c r="D116" s="11"/>
      <c r="E116" s="10"/>
      <c r="F116" s="109"/>
      <c r="G116" s="109"/>
      <c r="H116" s="27" t="str">
        <f t="shared" si="27"/>
        <v/>
      </c>
      <c r="I116" s="11" t="s">
        <v>253</v>
      </c>
      <c r="J116" s="27" t="str">
        <f t="shared" si="15"/>
        <v/>
      </c>
      <c r="K116" s="27">
        <v>0</v>
      </c>
      <c r="L116" s="11"/>
      <c r="M116" s="11"/>
      <c r="N116" s="10"/>
      <c r="O116" s="11"/>
      <c r="P116" s="10"/>
      <c r="Q116" s="26" t="str">
        <f t="shared" si="16"/>
        <v/>
      </c>
      <c r="R116" s="27" t="str">
        <f t="shared" si="17"/>
        <v/>
      </c>
      <c r="S116" s="27" t="str">
        <f t="shared" si="18"/>
        <v/>
      </c>
      <c r="T116" s="26" t="str">
        <f t="shared" si="19"/>
        <v/>
      </c>
      <c r="U116" s="27" t="str">
        <f t="shared" si="20"/>
        <v/>
      </c>
      <c r="V116" s="27" t="str">
        <f t="shared" si="21"/>
        <v/>
      </c>
      <c r="W116" s="26" t="str">
        <f t="shared" si="22"/>
        <v/>
      </c>
      <c r="X116" s="27" t="str">
        <f t="shared" si="23"/>
        <v/>
      </c>
      <c r="Y116" s="27" t="str">
        <f t="shared" si="24"/>
        <v/>
      </c>
      <c r="Z116" s="43"/>
      <c r="AA116" s="107"/>
      <c r="AB116" s="76" t="str">
        <f t="shared" si="25"/>
        <v/>
      </c>
      <c r="AC116" s="74" t="str">
        <f t="shared" si="26"/>
        <v/>
      </c>
    </row>
    <row r="117" ht="18" customHeight="1" spans="1:29">
      <c r="A117" s="32" t="str">
        <f t="shared" si="14"/>
        <v/>
      </c>
      <c r="B117" s="108"/>
      <c r="C117" s="11"/>
      <c r="D117" s="11"/>
      <c r="E117" s="10"/>
      <c r="F117" s="109"/>
      <c r="G117" s="109"/>
      <c r="H117" s="27" t="str">
        <f t="shared" si="27"/>
        <v/>
      </c>
      <c r="I117" s="11" t="s">
        <v>253</v>
      </c>
      <c r="J117" s="27" t="str">
        <f t="shared" si="15"/>
        <v/>
      </c>
      <c r="K117" s="27">
        <v>0</v>
      </c>
      <c r="L117" s="11"/>
      <c r="M117" s="11"/>
      <c r="N117" s="10"/>
      <c r="O117" s="11"/>
      <c r="P117" s="10"/>
      <c r="Q117" s="26" t="str">
        <f t="shared" si="16"/>
        <v/>
      </c>
      <c r="R117" s="27" t="str">
        <f t="shared" si="17"/>
        <v/>
      </c>
      <c r="S117" s="27" t="str">
        <f t="shared" si="18"/>
        <v/>
      </c>
      <c r="T117" s="26" t="str">
        <f t="shared" si="19"/>
        <v/>
      </c>
      <c r="U117" s="27" t="str">
        <f t="shared" si="20"/>
        <v/>
      </c>
      <c r="V117" s="27" t="str">
        <f t="shared" si="21"/>
        <v/>
      </c>
      <c r="W117" s="26" t="str">
        <f t="shared" si="22"/>
        <v/>
      </c>
      <c r="X117" s="27" t="str">
        <f t="shared" si="23"/>
        <v/>
      </c>
      <c r="Y117" s="27" t="str">
        <f t="shared" si="24"/>
        <v/>
      </c>
      <c r="Z117" s="43"/>
      <c r="AA117" s="107"/>
      <c r="AB117" s="76" t="str">
        <f t="shared" si="25"/>
        <v/>
      </c>
      <c r="AC117" s="74" t="str">
        <f t="shared" si="26"/>
        <v/>
      </c>
    </row>
    <row r="118" ht="18" customHeight="1" spans="1:29">
      <c r="A118" s="32" t="str">
        <f t="shared" si="14"/>
        <v/>
      </c>
      <c r="B118" s="108"/>
      <c r="C118" s="11"/>
      <c r="D118" s="11"/>
      <c r="E118" s="10"/>
      <c r="F118" s="109"/>
      <c r="G118" s="109"/>
      <c r="H118" s="27" t="str">
        <f t="shared" si="27"/>
        <v/>
      </c>
      <c r="I118" s="11" t="s">
        <v>253</v>
      </c>
      <c r="J118" s="27" t="str">
        <f t="shared" si="15"/>
        <v/>
      </c>
      <c r="K118" s="27">
        <v>0</v>
      </c>
      <c r="L118" s="11"/>
      <c r="M118" s="11"/>
      <c r="N118" s="10"/>
      <c r="O118" s="11"/>
      <c r="P118" s="10"/>
      <c r="Q118" s="26" t="str">
        <f t="shared" si="16"/>
        <v/>
      </c>
      <c r="R118" s="27" t="str">
        <f t="shared" si="17"/>
        <v/>
      </c>
      <c r="S118" s="27" t="str">
        <f t="shared" si="18"/>
        <v/>
      </c>
      <c r="T118" s="26" t="str">
        <f t="shared" si="19"/>
        <v/>
      </c>
      <c r="U118" s="27" t="str">
        <f t="shared" si="20"/>
        <v/>
      </c>
      <c r="V118" s="27" t="str">
        <f t="shared" si="21"/>
        <v/>
      </c>
      <c r="W118" s="26" t="str">
        <f t="shared" si="22"/>
        <v/>
      </c>
      <c r="X118" s="27" t="str">
        <f t="shared" si="23"/>
        <v/>
      </c>
      <c r="Y118" s="27" t="str">
        <f t="shared" si="24"/>
        <v/>
      </c>
      <c r="Z118" s="43"/>
      <c r="AA118" s="107"/>
      <c r="AB118" s="76" t="str">
        <f t="shared" si="25"/>
        <v/>
      </c>
      <c r="AC118" s="74" t="str">
        <f t="shared" si="26"/>
        <v/>
      </c>
    </row>
    <row r="119" ht="18" customHeight="1" spans="1:29">
      <c r="A119" s="32" t="str">
        <f t="shared" si="14"/>
        <v/>
      </c>
      <c r="B119" s="108"/>
      <c r="C119" s="11"/>
      <c r="D119" s="11"/>
      <c r="E119" s="10"/>
      <c r="F119" s="109"/>
      <c r="G119" s="109"/>
      <c r="H119" s="27" t="str">
        <f t="shared" si="27"/>
        <v/>
      </c>
      <c r="I119" s="11" t="s">
        <v>253</v>
      </c>
      <c r="J119" s="27" t="str">
        <f t="shared" si="15"/>
        <v/>
      </c>
      <c r="K119" s="27">
        <v>0</v>
      </c>
      <c r="L119" s="11"/>
      <c r="M119" s="11"/>
      <c r="N119" s="10"/>
      <c r="O119" s="11"/>
      <c r="P119" s="10"/>
      <c r="Q119" s="26" t="str">
        <f t="shared" si="16"/>
        <v/>
      </c>
      <c r="R119" s="27" t="str">
        <f t="shared" si="17"/>
        <v/>
      </c>
      <c r="S119" s="27" t="str">
        <f t="shared" si="18"/>
        <v/>
      </c>
      <c r="T119" s="26" t="str">
        <f t="shared" si="19"/>
        <v/>
      </c>
      <c r="U119" s="27" t="str">
        <f t="shared" si="20"/>
        <v/>
      </c>
      <c r="V119" s="27" t="str">
        <f t="shared" si="21"/>
        <v/>
      </c>
      <c r="W119" s="26" t="str">
        <f t="shared" si="22"/>
        <v/>
      </c>
      <c r="X119" s="27" t="str">
        <f t="shared" si="23"/>
        <v/>
      </c>
      <c r="Y119" s="27" t="str">
        <f t="shared" si="24"/>
        <v/>
      </c>
      <c r="Z119" s="43"/>
      <c r="AA119" s="107"/>
      <c r="AB119" s="76" t="str">
        <f t="shared" si="25"/>
        <v/>
      </c>
      <c r="AC119" s="74" t="str">
        <f t="shared" si="26"/>
        <v/>
      </c>
    </row>
    <row r="120" ht="18" customHeight="1" spans="1:29">
      <c r="A120" s="32" t="str">
        <f t="shared" si="14"/>
        <v/>
      </c>
      <c r="B120" s="108"/>
      <c r="C120" s="11"/>
      <c r="D120" s="11"/>
      <c r="E120" s="10"/>
      <c r="F120" s="109"/>
      <c r="G120" s="109"/>
      <c r="H120" s="27" t="str">
        <f t="shared" si="27"/>
        <v/>
      </c>
      <c r="I120" s="11" t="s">
        <v>253</v>
      </c>
      <c r="J120" s="27" t="str">
        <f t="shared" si="15"/>
        <v/>
      </c>
      <c r="K120" s="27">
        <v>0</v>
      </c>
      <c r="L120" s="11"/>
      <c r="M120" s="11"/>
      <c r="N120" s="10"/>
      <c r="O120" s="11"/>
      <c r="P120" s="10"/>
      <c r="Q120" s="26" t="str">
        <f t="shared" si="16"/>
        <v/>
      </c>
      <c r="R120" s="27" t="str">
        <f t="shared" si="17"/>
        <v/>
      </c>
      <c r="S120" s="27" t="str">
        <f t="shared" si="18"/>
        <v/>
      </c>
      <c r="T120" s="26" t="str">
        <f t="shared" si="19"/>
        <v/>
      </c>
      <c r="U120" s="27" t="str">
        <f t="shared" si="20"/>
        <v/>
      </c>
      <c r="V120" s="27" t="str">
        <f t="shared" si="21"/>
        <v/>
      </c>
      <c r="W120" s="26" t="str">
        <f t="shared" si="22"/>
        <v/>
      </c>
      <c r="X120" s="27" t="str">
        <f t="shared" si="23"/>
        <v/>
      </c>
      <c r="Y120" s="27" t="str">
        <f t="shared" si="24"/>
        <v/>
      </c>
      <c r="Z120" s="43"/>
      <c r="AA120" s="107"/>
      <c r="AB120" s="76" t="str">
        <f t="shared" si="25"/>
        <v/>
      </c>
      <c r="AC120" s="74" t="str">
        <f t="shared" si="26"/>
        <v/>
      </c>
    </row>
    <row r="121" ht="18" customHeight="1" spans="1:29">
      <c r="A121" s="32" t="str">
        <f t="shared" si="14"/>
        <v/>
      </c>
      <c r="B121" s="108"/>
      <c r="C121" s="11"/>
      <c r="D121" s="11"/>
      <c r="E121" s="10"/>
      <c r="F121" s="109"/>
      <c r="G121" s="109"/>
      <c r="H121" s="27" t="str">
        <f t="shared" si="27"/>
        <v/>
      </c>
      <c r="I121" s="11" t="s">
        <v>253</v>
      </c>
      <c r="J121" s="27" t="str">
        <f t="shared" si="15"/>
        <v/>
      </c>
      <c r="K121" s="27">
        <v>0</v>
      </c>
      <c r="L121" s="11"/>
      <c r="M121" s="11"/>
      <c r="N121" s="10"/>
      <c r="O121" s="11"/>
      <c r="P121" s="10"/>
      <c r="Q121" s="26" t="str">
        <f t="shared" si="16"/>
        <v/>
      </c>
      <c r="R121" s="27" t="str">
        <f t="shared" si="17"/>
        <v/>
      </c>
      <c r="S121" s="27" t="str">
        <f t="shared" si="18"/>
        <v/>
      </c>
      <c r="T121" s="26" t="str">
        <f t="shared" si="19"/>
        <v/>
      </c>
      <c r="U121" s="27" t="str">
        <f t="shared" si="20"/>
        <v/>
      </c>
      <c r="V121" s="27" t="str">
        <f t="shared" si="21"/>
        <v/>
      </c>
      <c r="W121" s="26" t="str">
        <f t="shared" si="22"/>
        <v/>
      </c>
      <c r="X121" s="27" t="str">
        <f t="shared" si="23"/>
        <v/>
      </c>
      <c r="Y121" s="27" t="str">
        <f t="shared" si="24"/>
        <v/>
      </c>
      <c r="Z121" s="43"/>
      <c r="AA121" s="107"/>
      <c r="AB121" s="76" t="str">
        <f t="shared" si="25"/>
        <v/>
      </c>
      <c r="AC121" s="74" t="str">
        <f t="shared" si="26"/>
        <v/>
      </c>
    </row>
    <row r="122" ht="18" customHeight="1" spans="1:29">
      <c r="A122" s="32" t="str">
        <f t="shared" si="14"/>
        <v/>
      </c>
      <c r="B122" s="108"/>
      <c r="C122" s="11"/>
      <c r="D122" s="11"/>
      <c r="E122" s="10"/>
      <c r="F122" s="109"/>
      <c r="G122" s="109"/>
      <c r="H122" s="27" t="str">
        <f t="shared" si="27"/>
        <v/>
      </c>
      <c r="I122" s="11" t="s">
        <v>253</v>
      </c>
      <c r="J122" s="27" t="str">
        <f t="shared" si="15"/>
        <v/>
      </c>
      <c r="K122" s="27">
        <v>0</v>
      </c>
      <c r="L122" s="11"/>
      <c r="M122" s="11"/>
      <c r="N122" s="10"/>
      <c r="O122" s="11"/>
      <c r="P122" s="10"/>
      <c r="Q122" s="26" t="str">
        <f t="shared" si="16"/>
        <v/>
      </c>
      <c r="R122" s="27" t="str">
        <f t="shared" si="17"/>
        <v/>
      </c>
      <c r="S122" s="27" t="str">
        <f t="shared" si="18"/>
        <v/>
      </c>
      <c r="T122" s="26" t="str">
        <f t="shared" si="19"/>
        <v/>
      </c>
      <c r="U122" s="27" t="str">
        <f t="shared" si="20"/>
        <v/>
      </c>
      <c r="V122" s="27" t="str">
        <f t="shared" si="21"/>
        <v/>
      </c>
      <c r="W122" s="26" t="str">
        <f t="shared" si="22"/>
        <v/>
      </c>
      <c r="X122" s="27" t="str">
        <f t="shared" si="23"/>
        <v/>
      </c>
      <c r="Y122" s="27" t="str">
        <f t="shared" si="24"/>
        <v/>
      </c>
      <c r="Z122" s="43"/>
      <c r="AA122" s="107"/>
      <c r="AB122" s="76" t="str">
        <f t="shared" si="25"/>
        <v/>
      </c>
      <c r="AC122" s="74" t="str">
        <f t="shared" si="26"/>
        <v/>
      </c>
    </row>
    <row r="123" ht="18" customHeight="1" spans="1:29">
      <c r="A123" s="32" t="str">
        <f t="shared" si="14"/>
        <v/>
      </c>
      <c r="B123" s="108"/>
      <c r="C123" s="11"/>
      <c r="D123" s="11"/>
      <c r="E123" s="10"/>
      <c r="F123" s="109"/>
      <c r="G123" s="109"/>
      <c r="H123" s="27" t="str">
        <f t="shared" si="27"/>
        <v/>
      </c>
      <c r="I123" s="11" t="s">
        <v>253</v>
      </c>
      <c r="J123" s="27" t="str">
        <f t="shared" si="15"/>
        <v/>
      </c>
      <c r="K123" s="27">
        <v>0</v>
      </c>
      <c r="L123" s="11"/>
      <c r="M123" s="11"/>
      <c r="N123" s="10"/>
      <c r="O123" s="11"/>
      <c r="P123" s="10"/>
      <c r="Q123" s="26" t="str">
        <f t="shared" si="16"/>
        <v/>
      </c>
      <c r="R123" s="27" t="str">
        <f t="shared" si="17"/>
        <v/>
      </c>
      <c r="S123" s="27" t="str">
        <f t="shared" si="18"/>
        <v/>
      </c>
      <c r="T123" s="26" t="str">
        <f t="shared" si="19"/>
        <v/>
      </c>
      <c r="U123" s="27" t="str">
        <f t="shared" si="20"/>
        <v/>
      </c>
      <c r="V123" s="27" t="str">
        <f t="shared" si="21"/>
        <v/>
      </c>
      <c r="W123" s="26" t="str">
        <f t="shared" si="22"/>
        <v/>
      </c>
      <c r="X123" s="27" t="str">
        <f t="shared" si="23"/>
        <v/>
      </c>
      <c r="Y123" s="27" t="str">
        <f t="shared" si="24"/>
        <v/>
      </c>
      <c r="Z123" s="43"/>
      <c r="AA123" s="107"/>
      <c r="AB123" s="76" t="str">
        <f t="shared" si="25"/>
        <v/>
      </c>
      <c r="AC123" s="74" t="str">
        <f t="shared" si="26"/>
        <v/>
      </c>
    </row>
    <row r="124" ht="18" customHeight="1" spans="1:29">
      <c r="A124" s="32" t="str">
        <f t="shared" si="14"/>
        <v/>
      </c>
      <c r="B124" s="108"/>
      <c r="C124" s="11"/>
      <c r="D124" s="11"/>
      <c r="E124" s="10"/>
      <c r="F124" s="109"/>
      <c r="G124" s="109"/>
      <c r="H124" s="27" t="str">
        <f t="shared" si="27"/>
        <v/>
      </c>
      <c r="I124" s="11" t="s">
        <v>253</v>
      </c>
      <c r="J124" s="27" t="str">
        <f t="shared" si="15"/>
        <v/>
      </c>
      <c r="K124" s="27">
        <v>0</v>
      </c>
      <c r="L124" s="11"/>
      <c r="M124" s="11"/>
      <c r="N124" s="10"/>
      <c r="O124" s="11"/>
      <c r="P124" s="10"/>
      <c r="Q124" s="26" t="str">
        <f t="shared" si="16"/>
        <v/>
      </c>
      <c r="R124" s="27" t="str">
        <f t="shared" si="17"/>
        <v/>
      </c>
      <c r="S124" s="27" t="str">
        <f t="shared" si="18"/>
        <v/>
      </c>
      <c r="T124" s="26" t="str">
        <f t="shared" si="19"/>
        <v/>
      </c>
      <c r="U124" s="27" t="str">
        <f t="shared" si="20"/>
        <v/>
      </c>
      <c r="V124" s="27" t="str">
        <f t="shared" si="21"/>
        <v/>
      </c>
      <c r="W124" s="26" t="str">
        <f t="shared" si="22"/>
        <v/>
      </c>
      <c r="X124" s="27" t="str">
        <f t="shared" si="23"/>
        <v/>
      </c>
      <c r="Y124" s="27" t="str">
        <f t="shared" si="24"/>
        <v/>
      </c>
      <c r="Z124" s="43"/>
      <c r="AA124" s="107"/>
      <c r="AB124" s="76" t="str">
        <f t="shared" si="25"/>
        <v/>
      </c>
      <c r="AC124" s="74" t="str">
        <f t="shared" si="26"/>
        <v/>
      </c>
    </row>
    <row r="125" ht="18" customHeight="1" spans="1:29">
      <c r="A125" s="32" t="str">
        <f t="shared" si="14"/>
        <v/>
      </c>
      <c r="B125" s="108"/>
      <c r="C125" s="11"/>
      <c r="D125" s="11"/>
      <c r="E125" s="10"/>
      <c r="F125" s="109"/>
      <c r="G125" s="109"/>
      <c r="H125" s="27" t="str">
        <f t="shared" si="27"/>
        <v/>
      </c>
      <c r="I125" s="11" t="s">
        <v>253</v>
      </c>
      <c r="J125" s="27" t="str">
        <f t="shared" si="15"/>
        <v/>
      </c>
      <c r="K125" s="27">
        <v>0</v>
      </c>
      <c r="L125" s="11"/>
      <c r="M125" s="11"/>
      <c r="N125" s="10"/>
      <c r="O125" s="11"/>
      <c r="P125" s="10"/>
      <c r="Q125" s="26" t="str">
        <f t="shared" si="16"/>
        <v/>
      </c>
      <c r="R125" s="27" t="str">
        <f t="shared" si="17"/>
        <v/>
      </c>
      <c r="S125" s="27" t="str">
        <f t="shared" si="18"/>
        <v/>
      </c>
      <c r="T125" s="26" t="str">
        <f t="shared" si="19"/>
        <v/>
      </c>
      <c r="U125" s="27" t="str">
        <f t="shared" si="20"/>
        <v/>
      </c>
      <c r="V125" s="27" t="str">
        <f t="shared" si="21"/>
        <v/>
      </c>
      <c r="W125" s="26" t="str">
        <f t="shared" si="22"/>
        <v/>
      </c>
      <c r="X125" s="27" t="str">
        <f t="shared" si="23"/>
        <v/>
      </c>
      <c r="Y125" s="27" t="str">
        <f t="shared" si="24"/>
        <v/>
      </c>
      <c r="Z125" s="43"/>
      <c r="AA125" s="107"/>
      <c r="AB125" s="76" t="str">
        <f t="shared" si="25"/>
        <v/>
      </c>
      <c r="AC125" s="74" t="str">
        <f t="shared" si="26"/>
        <v/>
      </c>
    </row>
    <row r="126" ht="18" customHeight="1" spans="1:29">
      <c r="A126" s="32" t="str">
        <f t="shared" si="14"/>
        <v/>
      </c>
      <c r="B126" s="108"/>
      <c r="C126" s="11"/>
      <c r="D126" s="11"/>
      <c r="E126" s="10"/>
      <c r="F126" s="109"/>
      <c r="G126" s="109"/>
      <c r="H126" s="27" t="str">
        <f t="shared" si="27"/>
        <v/>
      </c>
      <c r="I126" s="11" t="s">
        <v>253</v>
      </c>
      <c r="J126" s="27" t="str">
        <f t="shared" si="15"/>
        <v/>
      </c>
      <c r="K126" s="27">
        <v>0</v>
      </c>
      <c r="L126" s="11"/>
      <c r="M126" s="11"/>
      <c r="N126" s="10"/>
      <c r="O126" s="11"/>
      <c r="P126" s="10"/>
      <c r="Q126" s="26" t="str">
        <f t="shared" si="16"/>
        <v/>
      </c>
      <c r="R126" s="27" t="str">
        <f t="shared" si="17"/>
        <v/>
      </c>
      <c r="S126" s="27" t="str">
        <f t="shared" si="18"/>
        <v/>
      </c>
      <c r="T126" s="26" t="str">
        <f t="shared" si="19"/>
        <v/>
      </c>
      <c r="U126" s="27" t="str">
        <f t="shared" si="20"/>
        <v/>
      </c>
      <c r="V126" s="27" t="str">
        <f t="shared" si="21"/>
        <v/>
      </c>
      <c r="W126" s="26" t="str">
        <f t="shared" si="22"/>
        <v/>
      </c>
      <c r="X126" s="27" t="str">
        <f t="shared" si="23"/>
        <v/>
      </c>
      <c r="Y126" s="27" t="str">
        <f t="shared" si="24"/>
        <v/>
      </c>
      <c r="Z126" s="43"/>
      <c r="AA126" s="107"/>
      <c r="AB126" s="76" t="str">
        <f t="shared" si="25"/>
        <v/>
      </c>
      <c r="AC126" s="74" t="str">
        <f t="shared" si="26"/>
        <v/>
      </c>
    </row>
    <row r="127" ht="18" customHeight="1" spans="1:29">
      <c r="A127" s="32" t="str">
        <f t="shared" si="14"/>
        <v/>
      </c>
      <c r="B127" s="108"/>
      <c r="C127" s="11"/>
      <c r="D127" s="11"/>
      <c r="E127" s="10"/>
      <c r="F127" s="109"/>
      <c r="G127" s="109"/>
      <c r="H127" s="27" t="str">
        <f t="shared" si="27"/>
        <v/>
      </c>
      <c r="I127" s="11" t="s">
        <v>253</v>
      </c>
      <c r="J127" s="27" t="str">
        <f t="shared" si="15"/>
        <v/>
      </c>
      <c r="K127" s="27">
        <v>0</v>
      </c>
      <c r="L127" s="11"/>
      <c r="M127" s="11"/>
      <c r="N127" s="10"/>
      <c r="O127" s="11"/>
      <c r="P127" s="10"/>
      <c r="Q127" s="26" t="str">
        <f t="shared" si="16"/>
        <v/>
      </c>
      <c r="R127" s="27" t="str">
        <f t="shared" si="17"/>
        <v/>
      </c>
      <c r="S127" s="27" t="str">
        <f t="shared" si="18"/>
        <v/>
      </c>
      <c r="T127" s="26" t="str">
        <f t="shared" si="19"/>
        <v/>
      </c>
      <c r="U127" s="27" t="str">
        <f t="shared" si="20"/>
        <v/>
      </c>
      <c r="V127" s="27" t="str">
        <f t="shared" si="21"/>
        <v/>
      </c>
      <c r="W127" s="26" t="str">
        <f t="shared" si="22"/>
        <v/>
      </c>
      <c r="X127" s="27" t="str">
        <f t="shared" si="23"/>
        <v/>
      </c>
      <c r="Y127" s="27" t="str">
        <f t="shared" si="24"/>
        <v/>
      </c>
      <c r="Z127" s="43"/>
      <c r="AA127" s="107"/>
      <c r="AB127" s="76" t="str">
        <f t="shared" si="25"/>
        <v/>
      </c>
      <c r="AC127" s="74" t="str">
        <f t="shared" si="26"/>
        <v/>
      </c>
    </row>
    <row r="128" ht="18" customHeight="1" spans="1:29">
      <c r="A128" s="32" t="str">
        <f t="shared" si="14"/>
        <v/>
      </c>
      <c r="B128" s="108"/>
      <c r="C128" s="11"/>
      <c r="D128" s="11"/>
      <c r="E128" s="10"/>
      <c r="F128" s="109"/>
      <c r="G128" s="109"/>
      <c r="H128" s="27" t="str">
        <f t="shared" si="27"/>
        <v/>
      </c>
      <c r="I128" s="11" t="s">
        <v>253</v>
      </c>
      <c r="J128" s="27" t="str">
        <f t="shared" si="15"/>
        <v/>
      </c>
      <c r="K128" s="27">
        <v>0</v>
      </c>
      <c r="L128" s="11"/>
      <c r="M128" s="11"/>
      <c r="N128" s="10"/>
      <c r="O128" s="11"/>
      <c r="P128" s="10"/>
      <c r="Q128" s="26" t="str">
        <f t="shared" si="16"/>
        <v/>
      </c>
      <c r="R128" s="27" t="str">
        <f t="shared" si="17"/>
        <v/>
      </c>
      <c r="S128" s="27" t="str">
        <f t="shared" si="18"/>
        <v/>
      </c>
      <c r="T128" s="26" t="str">
        <f t="shared" si="19"/>
        <v/>
      </c>
      <c r="U128" s="27" t="str">
        <f t="shared" si="20"/>
        <v/>
      </c>
      <c r="V128" s="27" t="str">
        <f t="shared" si="21"/>
        <v/>
      </c>
      <c r="W128" s="26" t="str">
        <f t="shared" si="22"/>
        <v/>
      </c>
      <c r="X128" s="27" t="str">
        <f t="shared" si="23"/>
        <v/>
      </c>
      <c r="Y128" s="27" t="str">
        <f t="shared" si="24"/>
        <v/>
      </c>
      <c r="Z128" s="43"/>
      <c r="AA128" s="107"/>
      <c r="AB128" s="76" t="str">
        <f t="shared" si="25"/>
        <v/>
      </c>
      <c r="AC128" s="74" t="str">
        <f t="shared" si="26"/>
        <v/>
      </c>
    </row>
    <row r="129" ht="18" customHeight="1" spans="1:29">
      <c r="A129" s="32" t="str">
        <f t="shared" si="14"/>
        <v/>
      </c>
      <c r="B129" s="108"/>
      <c r="C129" s="11"/>
      <c r="D129" s="11"/>
      <c r="E129" s="10"/>
      <c r="F129" s="109"/>
      <c r="G129" s="109"/>
      <c r="H129" s="27" t="str">
        <f t="shared" si="27"/>
        <v/>
      </c>
      <c r="I129" s="11" t="s">
        <v>253</v>
      </c>
      <c r="J129" s="27" t="str">
        <f t="shared" si="15"/>
        <v/>
      </c>
      <c r="K129" s="27">
        <v>0</v>
      </c>
      <c r="L129" s="11"/>
      <c r="M129" s="11"/>
      <c r="N129" s="10"/>
      <c r="O129" s="11"/>
      <c r="P129" s="10"/>
      <c r="Q129" s="26" t="str">
        <f t="shared" si="16"/>
        <v/>
      </c>
      <c r="R129" s="27" t="str">
        <f t="shared" si="17"/>
        <v/>
      </c>
      <c r="S129" s="27" t="str">
        <f t="shared" si="18"/>
        <v/>
      </c>
      <c r="T129" s="26" t="str">
        <f t="shared" si="19"/>
        <v/>
      </c>
      <c r="U129" s="27" t="str">
        <f t="shared" si="20"/>
        <v/>
      </c>
      <c r="V129" s="27" t="str">
        <f t="shared" si="21"/>
        <v/>
      </c>
      <c r="W129" s="26" t="str">
        <f t="shared" si="22"/>
        <v/>
      </c>
      <c r="X129" s="27" t="str">
        <f t="shared" si="23"/>
        <v/>
      </c>
      <c r="Y129" s="27" t="str">
        <f t="shared" si="24"/>
        <v/>
      </c>
      <c r="Z129" s="43"/>
      <c r="AA129" s="107"/>
      <c r="AB129" s="76" t="str">
        <f t="shared" si="25"/>
        <v/>
      </c>
      <c r="AC129" s="74" t="str">
        <f t="shared" si="26"/>
        <v/>
      </c>
    </row>
    <row r="130" ht="18" customHeight="1" spans="1:29">
      <c r="A130" s="32" t="str">
        <f t="shared" si="14"/>
        <v/>
      </c>
      <c r="B130" s="108"/>
      <c r="C130" s="11"/>
      <c r="D130" s="11"/>
      <c r="E130" s="10"/>
      <c r="F130" s="109"/>
      <c r="G130" s="109"/>
      <c r="H130" s="27" t="str">
        <f t="shared" si="27"/>
        <v/>
      </c>
      <c r="I130" s="11" t="s">
        <v>253</v>
      </c>
      <c r="J130" s="27" t="str">
        <f t="shared" si="15"/>
        <v/>
      </c>
      <c r="K130" s="27">
        <v>0</v>
      </c>
      <c r="L130" s="11"/>
      <c r="M130" s="11"/>
      <c r="N130" s="10"/>
      <c r="O130" s="11"/>
      <c r="P130" s="10"/>
      <c r="Q130" s="26" t="str">
        <f t="shared" si="16"/>
        <v/>
      </c>
      <c r="R130" s="27" t="str">
        <f t="shared" si="17"/>
        <v/>
      </c>
      <c r="S130" s="27" t="str">
        <f t="shared" si="18"/>
        <v/>
      </c>
      <c r="T130" s="26" t="str">
        <f t="shared" si="19"/>
        <v/>
      </c>
      <c r="U130" s="27" t="str">
        <f t="shared" si="20"/>
        <v/>
      </c>
      <c r="V130" s="27" t="str">
        <f t="shared" si="21"/>
        <v/>
      </c>
      <c r="W130" s="26" t="str">
        <f t="shared" si="22"/>
        <v/>
      </c>
      <c r="X130" s="27" t="str">
        <f t="shared" si="23"/>
        <v/>
      </c>
      <c r="Y130" s="27" t="str">
        <f t="shared" si="24"/>
        <v/>
      </c>
      <c r="Z130" s="43"/>
      <c r="AA130" s="107"/>
      <c r="AB130" s="76" t="str">
        <f t="shared" si="25"/>
        <v/>
      </c>
      <c r="AC130" s="74" t="str">
        <f t="shared" si="26"/>
        <v/>
      </c>
    </row>
    <row r="131" ht="18" customHeight="1" spans="1:29">
      <c r="A131" s="32" t="str">
        <f t="shared" si="14"/>
        <v/>
      </c>
      <c r="B131" s="108"/>
      <c r="C131" s="11"/>
      <c r="D131" s="11"/>
      <c r="E131" s="10"/>
      <c r="F131" s="109"/>
      <c r="G131" s="109"/>
      <c r="H131" s="27" t="str">
        <f t="shared" si="27"/>
        <v/>
      </c>
      <c r="I131" s="11" t="s">
        <v>253</v>
      </c>
      <c r="J131" s="27" t="str">
        <f t="shared" si="15"/>
        <v/>
      </c>
      <c r="K131" s="27">
        <v>0</v>
      </c>
      <c r="L131" s="11"/>
      <c r="M131" s="11"/>
      <c r="N131" s="10"/>
      <c r="O131" s="11"/>
      <c r="P131" s="10"/>
      <c r="Q131" s="26" t="str">
        <f t="shared" si="16"/>
        <v/>
      </c>
      <c r="R131" s="27" t="str">
        <f t="shared" si="17"/>
        <v/>
      </c>
      <c r="S131" s="27" t="str">
        <f t="shared" si="18"/>
        <v/>
      </c>
      <c r="T131" s="26" t="str">
        <f t="shared" si="19"/>
        <v/>
      </c>
      <c r="U131" s="27" t="str">
        <f t="shared" si="20"/>
        <v/>
      </c>
      <c r="V131" s="27" t="str">
        <f t="shared" si="21"/>
        <v/>
      </c>
      <c r="W131" s="26" t="str">
        <f t="shared" si="22"/>
        <v/>
      </c>
      <c r="X131" s="27" t="str">
        <f t="shared" si="23"/>
        <v/>
      </c>
      <c r="Y131" s="27" t="str">
        <f t="shared" si="24"/>
        <v/>
      </c>
      <c r="Z131" s="43"/>
      <c r="AA131" s="107"/>
      <c r="AB131" s="76" t="str">
        <f t="shared" si="25"/>
        <v/>
      </c>
      <c r="AC131" s="74" t="str">
        <f t="shared" si="26"/>
        <v/>
      </c>
    </row>
    <row r="132" ht="18" customHeight="1" spans="1:29">
      <c r="A132" s="32" t="str">
        <f t="shared" ref="A132:A195" si="28">IF($C132="","",ROW()-3)</f>
        <v/>
      </c>
      <c r="B132" s="108"/>
      <c r="C132" s="11"/>
      <c r="D132" s="11"/>
      <c r="E132" s="10"/>
      <c r="F132" s="109"/>
      <c r="G132" s="109"/>
      <c r="H132" s="27" t="str">
        <f t="shared" si="27"/>
        <v/>
      </c>
      <c r="I132" s="11" t="s">
        <v>253</v>
      </c>
      <c r="J132" s="27" t="str">
        <f t="shared" ref="J132:J195" si="29">IF($C132="","",ROUND(N($H132),2))</f>
        <v/>
      </c>
      <c r="K132" s="27">
        <v>0</v>
      </c>
      <c r="L132" s="11"/>
      <c r="M132" s="11"/>
      <c r="N132" s="10"/>
      <c r="O132" s="11"/>
      <c r="P132" s="10"/>
      <c r="Q132" s="26" t="str">
        <f t="shared" ref="Q132:Q195" si="30">IF(OR($C132="",ROUND(N($H132),2)=0),"",$L132)</f>
        <v/>
      </c>
      <c r="R132" s="27" t="str">
        <f t="shared" ref="R132:R195" si="31">IF($Q132="","",ROUND(N($H132),2))</f>
        <v/>
      </c>
      <c r="S132" s="27" t="str">
        <f t="shared" ref="S132:S195" si="32">IF($Q132="","",0)</f>
        <v/>
      </c>
      <c r="T132" s="26" t="str">
        <f t="shared" ref="T132:T195" si="33">""</f>
        <v/>
      </c>
      <c r="U132" s="27" t="str">
        <f t="shared" ref="U132:U195" si="34">IF($T132="","",0)</f>
        <v/>
      </c>
      <c r="V132" s="27" t="str">
        <f t="shared" ref="V132:V195" si="35">IF($T132="","",0)</f>
        <v/>
      </c>
      <c r="W132" s="26" t="str">
        <f t="shared" ref="W132:W195" si="36">IF($Q132="","","应付账款")</f>
        <v/>
      </c>
      <c r="X132" s="27" t="str">
        <f t="shared" ref="X132:X195" si="37">IF($W132="","",0)</f>
        <v/>
      </c>
      <c r="Y132" s="27" t="str">
        <f t="shared" ref="Y132:Y195" si="38">IF($W132="","",ROUND(N($H132),2))</f>
        <v/>
      </c>
      <c r="Z132" s="43"/>
      <c r="AA132" s="107"/>
      <c r="AB132" s="76" t="str">
        <f t="shared" ref="AB132:AB195" si="39">IF($C132="","",ROUND(N($H132)-N($AA132),2))</f>
        <v/>
      </c>
      <c r="AC132" s="74" t="str">
        <f t="shared" ref="AC132:AC195" si="40">IF($B132="","",TEXT($B132,"yyyy年m月"))</f>
        <v/>
      </c>
    </row>
    <row r="133" ht="18" customHeight="1" spans="1:29">
      <c r="A133" s="32" t="str">
        <f t="shared" si="28"/>
        <v/>
      </c>
      <c r="B133" s="108"/>
      <c r="C133" s="11"/>
      <c r="D133" s="11"/>
      <c r="E133" s="10"/>
      <c r="F133" s="109"/>
      <c r="G133" s="109"/>
      <c r="H133" s="27" t="str">
        <f t="shared" si="27"/>
        <v/>
      </c>
      <c r="I133" s="11" t="s">
        <v>253</v>
      </c>
      <c r="J133" s="27" t="str">
        <f t="shared" si="29"/>
        <v/>
      </c>
      <c r="K133" s="27">
        <v>0</v>
      </c>
      <c r="L133" s="11"/>
      <c r="M133" s="11"/>
      <c r="N133" s="10"/>
      <c r="O133" s="11"/>
      <c r="P133" s="10"/>
      <c r="Q133" s="26" t="str">
        <f t="shared" si="30"/>
        <v/>
      </c>
      <c r="R133" s="27" t="str">
        <f t="shared" si="31"/>
        <v/>
      </c>
      <c r="S133" s="27" t="str">
        <f t="shared" si="32"/>
        <v/>
      </c>
      <c r="T133" s="26" t="str">
        <f t="shared" si="33"/>
        <v/>
      </c>
      <c r="U133" s="27" t="str">
        <f t="shared" si="34"/>
        <v/>
      </c>
      <c r="V133" s="27" t="str">
        <f t="shared" si="35"/>
        <v/>
      </c>
      <c r="W133" s="26" t="str">
        <f t="shared" si="36"/>
        <v/>
      </c>
      <c r="X133" s="27" t="str">
        <f t="shared" si="37"/>
        <v/>
      </c>
      <c r="Y133" s="27" t="str">
        <f t="shared" si="38"/>
        <v/>
      </c>
      <c r="Z133" s="43"/>
      <c r="AA133" s="107"/>
      <c r="AB133" s="76" t="str">
        <f t="shared" si="39"/>
        <v/>
      </c>
      <c r="AC133" s="74" t="str">
        <f t="shared" si="40"/>
        <v/>
      </c>
    </row>
    <row r="134" ht="18" customHeight="1" spans="1:29">
      <c r="A134" s="32" t="str">
        <f t="shared" si="28"/>
        <v/>
      </c>
      <c r="B134" s="108"/>
      <c r="C134" s="11"/>
      <c r="D134" s="11"/>
      <c r="E134" s="10"/>
      <c r="F134" s="109"/>
      <c r="G134" s="109"/>
      <c r="H134" s="27" t="str">
        <f t="shared" si="27"/>
        <v/>
      </c>
      <c r="I134" s="11" t="s">
        <v>253</v>
      </c>
      <c r="J134" s="27" t="str">
        <f t="shared" si="29"/>
        <v/>
      </c>
      <c r="K134" s="27">
        <v>0</v>
      </c>
      <c r="L134" s="11"/>
      <c r="M134" s="11"/>
      <c r="N134" s="10"/>
      <c r="O134" s="11"/>
      <c r="P134" s="10"/>
      <c r="Q134" s="26" t="str">
        <f t="shared" si="30"/>
        <v/>
      </c>
      <c r="R134" s="27" t="str">
        <f t="shared" si="31"/>
        <v/>
      </c>
      <c r="S134" s="27" t="str">
        <f t="shared" si="32"/>
        <v/>
      </c>
      <c r="T134" s="26" t="str">
        <f t="shared" si="33"/>
        <v/>
      </c>
      <c r="U134" s="27" t="str">
        <f t="shared" si="34"/>
        <v/>
      </c>
      <c r="V134" s="27" t="str">
        <f t="shared" si="35"/>
        <v/>
      </c>
      <c r="W134" s="26" t="str">
        <f t="shared" si="36"/>
        <v/>
      </c>
      <c r="X134" s="27" t="str">
        <f t="shared" si="37"/>
        <v/>
      </c>
      <c r="Y134" s="27" t="str">
        <f t="shared" si="38"/>
        <v/>
      </c>
      <c r="Z134" s="43"/>
      <c r="AA134" s="107"/>
      <c r="AB134" s="76" t="str">
        <f t="shared" si="39"/>
        <v/>
      </c>
      <c r="AC134" s="74" t="str">
        <f t="shared" si="40"/>
        <v/>
      </c>
    </row>
    <row r="135" ht="18" customHeight="1" spans="1:29">
      <c r="A135" s="32" t="str">
        <f t="shared" si="28"/>
        <v/>
      </c>
      <c r="B135" s="108"/>
      <c r="C135" s="11"/>
      <c r="D135" s="11"/>
      <c r="E135" s="10"/>
      <c r="F135" s="109"/>
      <c r="G135" s="109"/>
      <c r="H135" s="27" t="str">
        <f t="shared" si="27"/>
        <v/>
      </c>
      <c r="I135" s="11" t="s">
        <v>253</v>
      </c>
      <c r="J135" s="27" t="str">
        <f t="shared" si="29"/>
        <v/>
      </c>
      <c r="K135" s="27">
        <v>0</v>
      </c>
      <c r="L135" s="11"/>
      <c r="M135" s="11"/>
      <c r="N135" s="10"/>
      <c r="O135" s="11"/>
      <c r="P135" s="10"/>
      <c r="Q135" s="26" t="str">
        <f t="shared" si="30"/>
        <v/>
      </c>
      <c r="R135" s="27" t="str">
        <f t="shared" si="31"/>
        <v/>
      </c>
      <c r="S135" s="27" t="str">
        <f t="shared" si="32"/>
        <v/>
      </c>
      <c r="T135" s="26" t="str">
        <f t="shared" si="33"/>
        <v/>
      </c>
      <c r="U135" s="27" t="str">
        <f t="shared" si="34"/>
        <v/>
      </c>
      <c r="V135" s="27" t="str">
        <f t="shared" si="35"/>
        <v/>
      </c>
      <c r="W135" s="26" t="str">
        <f t="shared" si="36"/>
        <v/>
      </c>
      <c r="X135" s="27" t="str">
        <f t="shared" si="37"/>
        <v/>
      </c>
      <c r="Y135" s="27" t="str">
        <f t="shared" si="38"/>
        <v/>
      </c>
      <c r="Z135" s="43"/>
      <c r="AA135" s="107"/>
      <c r="AB135" s="76" t="str">
        <f t="shared" si="39"/>
        <v/>
      </c>
      <c r="AC135" s="74" t="str">
        <f t="shared" si="40"/>
        <v/>
      </c>
    </row>
    <row r="136" ht="18" customHeight="1" spans="1:29">
      <c r="A136" s="32" t="str">
        <f t="shared" si="28"/>
        <v/>
      </c>
      <c r="B136" s="108"/>
      <c r="C136" s="11"/>
      <c r="D136" s="11"/>
      <c r="E136" s="10"/>
      <c r="F136" s="109"/>
      <c r="G136" s="109"/>
      <c r="H136" s="27" t="str">
        <f t="shared" ref="H136:H199" si="41">IF($C136="","",ROUND(N($F136)*N($G136),2))</f>
        <v/>
      </c>
      <c r="I136" s="11" t="s">
        <v>253</v>
      </c>
      <c r="J136" s="27" t="str">
        <f t="shared" si="29"/>
        <v/>
      </c>
      <c r="K136" s="27">
        <v>0</v>
      </c>
      <c r="L136" s="11"/>
      <c r="M136" s="11"/>
      <c r="N136" s="10"/>
      <c r="O136" s="11"/>
      <c r="P136" s="10"/>
      <c r="Q136" s="26" t="str">
        <f t="shared" si="30"/>
        <v/>
      </c>
      <c r="R136" s="27" t="str">
        <f t="shared" si="31"/>
        <v/>
      </c>
      <c r="S136" s="27" t="str">
        <f t="shared" si="32"/>
        <v/>
      </c>
      <c r="T136" s="26" t="str">
        <f t="shared" si="33"/>
        <v/>
      </c>
      <c r="U136" s="27" t="str">
        <f t="shared" si="34"/>
        <v/>
      </c>
      <c r="V136" s="27" t="str">
        <f t="shared" si="35"/>
        <v/>
      </c>
      <c r="W136" s="26" t="str">
        <f t="shared" si="36"/>
        <v/>
      </c>
      <c r="X136" s="27" t="str">
        <f t="shared" si="37"/>
        <v/>
      </c>
      <c r="Y136" s="27" t="str">
        <f t="shared" si="38"/>
        <v/>
      </c>
      <c r="Z136" s="43"/>
      <c r="AA136" s="107"/>
      <c r="AB136" s="76" t="str">
        <f t="shared" si="39"/>
        <v/>
      </c>
      <c r="AC136" s="74" t="str">
        <f t="shared" si="40"/>
        <v/>
      </c>
    </row>
    <row r="137" ht="18" customHeight="1" spans="1:29">
      <c r="A137" s="32" t="str">
        <f t="shared" si="28"/>
        <v/>
      </c>
      <c r="B137" s="108"/>
      <c r="C137" s="11"/>
      <c r="D137" s="11"/>
      <c r="E137" s="10"/>
      <c r="F137" s="109"/>
      <c r="G137" s="109"/>
      <c r="H137" s="27" t="str">
        <f t="shared" si="41"/>
        <v/>
      </c>
      <c r="I137" s="11" t="s">
        <v>253</v>
      </c>
      <c r="J137" s="27" t="str">
        <f t="shared" si="29"/>
        <v/>
      </c>
      <c r="K137" s="27">
        <v>0</v>
      </c>
      <c r="L137" s="11"/>
      <c r="M137" s="11"/>
      <c r="N137" s="10"/>
      <c r="O137" s="11"/>
      <c r="P137" s="10"/>
      <c r="Q137" s="26" t="str">
        <f t="shared" si="30"/>
        <v/>
      </c>
      <c r="R137" s="27" t="str">
        <f t="shared" si="31"/>
        <v/>
      </c>
      <c r="S137" s="27" t="str">
        <f t="shared" si="32"/>
        <v/>
      </c>
      <c r="T137" s="26" t="str">
        <f t="shared" si="33"/>
        <v/>
      </c>
      <c r="U137" s="27" t="str">
        <f t="shared" si="34"/>
        <v/>
      </c>
      <c r="V137" s="27" t="str">
        <f t="shared" si="35"/>
        <v/>
      </c>
      <c r="W137" s="26" t="str">
        <f t="shared" si="36"/>
        <v/>
      </c>
      <c r="X137" s="27" t="str">
        <f t="shared" si="37"/>
        <v/>
      </c>
      <c r="Y137" s="27" t="str">
        <f t="shared" si="38"/>
        <v/>
      </c>
      <c r="Z137" s="43"/>
      <c r="AA137" s="107"/>
      <c r="AB137" s="76" t="str">
        <f t="shared" si="39"/>
        <v/>
      </c>
      <c r="AC137" s="74" t="str">
        <f t="shared" si="40"/>
        <v/>
      </c>
    </row>
    <row r="138" ht="18" customHeight="1" spans="1:29">
      <c r="A138" s="32" t="str">
        <f t="shared" si="28"/>
        <v/>
      </c>
      <c r="B138" s="108"/>
      <c r="C138" s="11"/>
      <c r="D138" s="11"/>
      <c r="E138" s="10"/>
      <c r="F138" s="109"/>
      <c r="G138" s="109"/>
      <c r="H138" s="27" t="str">
        <f t="shared" si="41"/>
        <v/>
      </c>
      <c r="I138" s="11" t="s">
        <v>253</v>
      </c>
      <c r="J138" s="27" t="str">
        <f t="shared" si="29"/>
        <v/>
      </c>
      <c r="K138" s="27">
        <v>0</v>
      </c>
      <c r="L138" s="11"/>
      <c r="M138" s="11"/>
      <c r="N138" s="10"/>
      <c r="O138" s="11"/>
      <c r="P138" s="10"/>
      <c r="Q138" s="26" t="str">
        <f t="shared" si="30"/>
        <v/>
      </c>
      <c r="R138" s="27" t="str">
        <f t="shared" si="31"/>
        <v/>
      </c>
      <c r="S138" s="27" t="str">
        <f t="shared" si="32"/>
        <v/>
      </c>
      <c r="T138" s="26" t="str">
        <f t="shared" si="33"/>
        <v/>
      </c>
      <c r="U138" s="27" t="str">
        <f t="shared" si="34"/>
        <v/>
      </c>
      <c r="V138" s="27" t="str">
        <f t="shared" si="35"/>
        <v/>
      </c>
      <c r="W138" s="26" t="str">
        <f t="shared" si="36"/>
        <v/>
      </c>
      <c r="X138" s="27" t="str">
        <f t="shared" si="37"/>
        <v/>
      </c>
      <c r="Y138" s="27" t="str">
        <f t="shared" si="38"/>
        <v/>
      </c>
      <c r="Z138" s="43"/>
      <c r="AA138" s="107"/>
      <c r="AB138" s="76" t="str">
        <f t="shared" si="39"/>
        <v/>
      </c>
      <c r="AC138" s="74" t="str">
        <f t="shared" si="40"/>
        <v/>
      </c>
    </row>
    <row r="139" ht="18" customHeight="1" spans="1:29">
      <c r="A139" s="32" t="str">
        <f t="shared" si="28"/>
        <v/>
      </c>
      <c r="B139" s="108"/>
      <c r="C139" s="11"/>
      <c r="D139" s="11"/>
      <c r="E139" s="10"/>
      <c r="F139" s="109"/>
      <c r="G139" s="109"/>
      <c r="H139" s="27" t="str">
        <f t="shared" si="41"/>
        <v/>
      </c>
      <c r="I139" s="11" t="s">
        <v>253</v>
      </c>
      <c r="J139" s="27" t="str">
        <f t="shared" si="29"/>
        <v/>
      </c>
      <c r="K139" s="27">
        <v>0</v>
      </c>
      <c r="L139" s="11"/>
      <c r="M139" s="11"/>
      <c r="N139" s="10"/>
      <c r="O139" s="11"/>
      <c r="P139" s="10"/>
      <c r="Q139" s="26" t="str">
        <f t="shared" si="30"/>
        <v/>
      </c>
      <c r="R139" s="27" t="str">
        <f t="shared" si="31"/>
        <v/>
      </c>
      <c r="S139" s="27" t="str">
        <f t="shared" si="32"/>
        <v/>
      </c>
      <c r="T139" s="26" t="str">
        <f t="shared" si="33"/>
        <v/>
      </c>
      <c r="U139" s="27" t="str">
        <f t="shared" si="34"/>
        <v/>
      </c>
      <c r="V139" s="27" t="str">
        <f t="shared" si="35"/>
        <v/>
      </c>
      <c r="W139" s="26" t="str">
        <f t="shared" si="36"/>
        <v/>
      </c>
      <c r="X139" s="27" t="str">
        <f t="shared" si="37"/>
        <v/>
      </c>
      <c r="Y139" s="27" t="str">
        <f t="shared" si="38"/>
        <v/>
      </c>
      <c r="Z139" s="43"/>
      <c r="AA139" s="107"/>
      <c r="AB139" s="76" t="str">
        <f t="shared" si="39"/>
        <v/>
      </c>
      <c r="AC139" s="74" t="str">
        <f t="shared" si="40"/>
        <v/>
      </c>
    </row>
    <row r="140" ht="18" customHeight="1" spans="1:29">
      <c r="A140" s="32" t="str">
        <f t="shared" si="28"/>
        <v/>
      </c>
      <c r="B140" s="108"/>
      <c r="C140" s="11"/>
      <c r="D140" s="11"/>
      <c r="E140" s="10"/>
      <c r="F140" s="109"/>
      <c r="G140" s="109"/>
      <c r="H140" s="27" t="str">
        <f t="shared" si="41"/>
        <v/>
      </c>
      <c r="I140" s="11" t="s">
        <v>253</v>
      </c>
      <c r="J140" s="27" t="str">
        <f t="shared" si="29"/>
        <v/>
      </c>
      <c r="K140" s="27">
        <v>0</v>
      </c>
      <c r="L140" s="11"/>
      <c r="M140" s="11"/>
      <c r="N140" s="10"/>
      <c r="O140" s="11"/>
      <c r="P140" s="10"/>
      <c r="Q140" s="26" t="str">
        <f t="shared" si="30"/>
        <v/>
      </c>
      <c r="R140" s="27" t="str">
        <f t="shared" si="31"/>
        <v/>
      </c>
      <c r="S140" s="27" t="str">
        <f t="shared" si="32"/>
        <v/>
      </c>
      <c r="T140" s="26" t="str">
        <f t="shared" si="33"/>
        <v/>
      </c>
      <c r="U140" s="27" t="str">
        <f t="shared" si="34"/>
        <v/>
      </c>
      <c r="V140" s="27" t="str">
        <f t="shared" si="35"/>
        <v/>
      </c>
      <c r="W140" s="26" t="str">
        <f t="shared" si="36"/>
        <v/>
      </c>
      <c r="X140" s="27" t="str">
        <f t="shared" si="37"/>
        <v/>
      </c>
      <c r="Y140" s="27" t="str">
        <f t="shared" si="38"/>
        <v/>
      </c>
      <c r="Z140" s="43"/>
      <c r="AA140" s="107"/>
      <c r="AB140" s="76" t="str">
        <f t="shared" si="39"/>
        <v/>
      </c>
      <c r="AC140" s="74" t="str">
        <f t="shared" si="40"/>
        <v/>
      </c>
    </row>
    <row r="141" ht="18" customHeight="1" spans="1:29">
      <c r="A141" s="32" t="str">
        <f t="shared" si="28"/>
        <v/>
      </c>
      <c r="B141" s="108"/>
      <c r="C141" s="11"/>
      <c r="D141" s="11"/>
      <c r="E141" s="10"/>
      <c r="F141" s="109"/>
      <c r="G141" s="109"/>
      <c r="H141" s="27" t="str">
        <f t="shared" si="41"/>
        <v/>
      </c>
      <c r="I141" s="11" t="s">
        <v>253</v>
      </c>
      <c r="J141" s="27" t="str">
        <f t="shared" si="29"/>
        <v/>
      </c>
      <c r="K141" s="27">
        <v>0</v>
      </c>
      <c r="L141" s="11"/>
      <c r="M141" s="11"/>
      <c r="N141" s="10"/>
      <c r="O141" s="11"/>
      <c r="P141" s="10"/>
      <c r="Q141" s="26" t="str">
        <f t="shared" si="30"/>
        <v/>
      </c>
      <c r="R141" s="27" t="str">
        <f t="shared" si="31"/>
        <v/>
      </c>
      <c r="S141" s="27" t="str">
        <f t="shared" si="32"/>
        <v/>
      </c>
      <c r="T141" s="26" t="str">
        <f t="shared" si="33"/>
        <v/>
      </c>
      <c r="U141" s="27" t="str">
        <f t="shared" si="34"/>
        <v/>
      </c>
      <c r="V141" s="27" t="str">
        <f t="shared" si="35"/>
        <v/>
      </c>
      <c r="W141" s="26" t="str">
        <f t="shared" si="36"/>
        <v/>
      </c>
      <c r="X141" s="27" t="str">
        <f t="shared" si="37"/>
        <v/>
      </c>
      <c r="Y141" s="27" t="str">
        <f t="shared" si="38"/>
        <v/>
      </c>
      <c r="Z141" s="43"/>
      <c r="AA141" s="107"/>
      <c r="AB141" s="76" t="str">
        <f t="shared" si="39"/>
        <v/>
      </c>
      <c r="AC141" s="74" t="str">
        <f t="shared" si="40"/>
        <v/>
      </c>
    </row>
    <row r="142" ht="18" customHeight="1" spans="1:29">
      <c r="A142" s="32" t="str">
        <f t="shared" si="28"/>
        <v/>
      </c>
      <c r="B142" s="108"/>
      <c r="C142" s="11"/>
      <c r="D142" s="11"/>
      <c r="E142" s="10"/>
      <c r="F142" s="109"/>
      <c r="G142" s="109"/>
      <c r="H142" s="27" t="str">
        <f t="shared" si="41"/>
        <v/>
      </c>
      <c r="I142" s="11" t="s">
        <v>253</v>
      </c>
      <c r="J142" s="27" t="str">
        <f t="shared" si="29"/>
        <v/>
      </c>
      <c r="K142" s="27">
        <v>0</v>
      </c>
      <c r="L142" s="11"/>
      <c r="M142" s="11"/>
      <c r="N142" s="10"/>
      <c r="O142" s="11"/>
      <c r="P142" s="10"/>
      <c r="Q142" s="26" t="str">
        <f t="shared" si="30"/>
        <v/>
      </c>
      <c r="R142" s="27" t="str">
        <f t="shared" si="31"/>
        <v/>
      </c>
      <c r="S142" s="27" t="str">
        <f t="shared" si="32"/>
        <v/>
      </c>
      <c r="T142" s="26" t="str">
        <f t="shared" si="33"/>
        <v/>
      </c>
      <c r="U142" s="27" t="str">
        <f t="shared" si="34"/>
        <v/>
      </c>
      <c r="V142" s="27" t="str">
        <f t="shared" si="35"/>
        <v/>
      </c>
      <c r="W142" s="26" t="str">
        <f t="shared" si="36"/>
        <v/>
      </c>
      <c r="X142" s="27" t="str">
        <f t="shared" si="37"/>
        <v/>
      </c>
      <c r="Y142" s="27" t="str">
        <f t="shared" si="38"/>
        <v/>
      </c>
      <c r="Z142" s="43"/>
      <c r="AA142" s="107"/>
      <c r="AB142" s="76" t="str">
        <f t="shared" si="39"/>
        <v/>
      </c>
      <c r="AC142" s="74" t="str">
        <f t="shared" si="40"/>
        <v/>
      </c>
    </row>
    <row r="143" ht="18" customHeight="1" spans="1:29">
      <c r="A143" s="32" t="str">
        <f t="shared" si="28"/>
        <v/>
      </c>
      <c r="B143" s="108"/>
      <c r="C143" s="11"/>
      <c r="D143" s="11"/>
      <c r="E143" s="10"/>
      <c r="F143" s="109"/>
      <c r="G143" s="109"/>
      <c r="H143" s="27" t="str">
        <f t="shared" si="41"/>
        <v/>
      </c>
      <c r="I143" s="11" t="s">
        <v>253</v>
      </c>
      <c r="J143" s="27" t="str">
        <f t="shared" si="29"/>
        <v/>
      </c>
      <c r="K143" s="27">
        <v>0</v>
      </c>
      <c r="L143" s="11"/>
      <c r="M143" s="11"/>
      <c r="N143" s="10"/>
      <c r="O143" s="11"/>
      <c r="P143" s="10"/>
      <c r="Q143" s="26" t="str">
        <f t="shared" si="30"/>
        <v/>
      </c>
      <c r="R143" s="27" t="str">
        <f t="shared" si="31"/>
        <v/>
      </c>
      <c r="S143" s="27" t="str">
        <f t="shared" si="32"/>
        <v/>
      </c>
      <c r="T143" s="26" t="str">
        <f t="shared" si="33"/>
        <v/>
      </c>
      <c r="U143" s="27" t="str">
        <f t="shared" si="34"/>
        <v/>
      </c>
      <c r="V143" s="27" t="str">
        <f t="shared" si="35"/>
        <v/>
      </c>
      <c r="W143" s="26" t="str">
        <f t="shared" si="36"/>
        <v/>
      </c>
      <c r="X143" s="27" t="str">
        <f t="shared" si="37"/>
        <v/>
      </c>
      <c r="Y143" s="27" t="str">
        <f t="shared" si="38"/>
        <v/>
      </c>
      <c r="Z143" s="43"/>
      <c r="AA143" s="107"/>
      <c r="AB143" s="76" t="str">
        <f t="shared" si="39"/>
        <v/>
      </c>
      <c r="AC143" s="74" t="str">
        <f t="shared" si="40"/>
        <v/>
      </c>
    </row>
    <row r="144" ht="18" customHeight="1" spans="1:29">
      <c r="A144" s="32" t="str">
        <f t="shared" si="28"/>
        <v/>
      </c>
      <c r="B144" s="108"/>
      <c r="C144" s="11"/>
      <c r="D144" s="11"/>
      <c r="E144" s="10"/>
      <c r="F144" s="109"/>
      <c r="G144" s="109"/>
      <c r="H144" s="27" t="str">
        <f t="shared" si="41"/>
        <v/>
      </c>
      <c r="I144" s="11" t="s">
        <v>253</v>
      </c>
      <c r="J144" s="27" t="str">
        <f t="shared" si="29"/>
        <v/>
      </c>
      <c r="K144" s="27">
        <v>0</v>
      </c>
      <c r="L144" s="11"/>
      <c r="M144" s="11"/>
      <c r="N144" s="10"/>
      <c r="O144" s="11"/>
      <c r="P144" s="10"/>
      <c r="Q144" s="26" t="str">
        <f t="shared" si="30"/>
        <v/>
      </c>
      <c r="R144" s="27" t="str">
        <f t="shared" si="31"/>
        <v/>
      </c>
      <c r="S144" s="27" t="str">
        <f t="shared" si="32"/>
        <v/>
      </c>
      <c r="T144" s="26" t="str">
        <f t="shared" si="33"/>
        <v/>
      </c>
      <c r="U144" s="27" t="str">
        <f t="shared" si="34"/>
        <v/>
      </c>
      <c r="V144" s="27" t="str">
        <f t="shared" si="35"/>
        <v/>
      </c>
      <c r="W144" s="26" t="str">
        <f t="shared" si="36"/>
        <v/>
      </c>
      <c r="X144" s="27" t="str">
        <f t="shared" si="37"/>
        <v/>
      </c>
      <c r="Y144" s="27" t="str">
        <f t="shared" si="38"/>
        <v/>
      </c>
      <c r="Z144" s="43"/>
      <c r="AA144" s="107"/>
      <c r="AB144" s="76" t="str">
        <f t="shared" si="39"/>
        <v/>
      </c>
      <c r="AC144" s="74" t="str">
        <f t="shared" si="40"/>
        <v/>
      </c>
    </row>
    <row r="145" ht="18" customHeight="1" spans="1:29">
      <c r="A145" s="32" t="str">
        <f t="shared" si="28"/>
        <v/>
      </c>
      <c r="B145" s="108"/>
      <c r="C145" s="11"/>
      <c r="D145" s="11"/>
      <c r="E145" s="10"/>
      <c r="F145" s="109"/>
      <c r="G145" s="109"/>
      <c r="H145" s="27" t="str">
        <f t="shared" si="41"/>
        <v/>
      </c>
      <c r="I145" s="11" t="s">
        <v>253</v>
      </c>
      <c r="J145" s="27" t="str">
        <f t="shared" si="29"/>
        <v/>
      </c>
      <c r="K145" s="27">
        <v>0</v>
      </c>
      <c r="L145" s="11"/>
      <c r="M145" s="11"/>
      <c r="N145" s="10"/>
      <c r="O145" s="11"/>
      <c r="P145" s="10"/>
      <c r="Q145" s="26" t="str">
        <f t="shared" si="30"/>
        <v/>
      </c>
      <c r="R145" s="27" t="str">
        <f t="shared" si="31"/>
        <v/>
      </c>
      <c r="S145" s="27" t="str">
        <f t="shared" si="32"/>
        <v/>
      </c>
      <c r="T145" s="26" t="str">
        <f t="shared" si="33"/>
        <v/>
      </c>
      <c r="U145" s="27" t="str">
        <f t="shared" si="34"/>
        <v/>
      </c>
      <c r="V145" s="27" t="str">
        <f t="shared" si="35"/>
        <v/>
      </c>
      <c r="W145" s="26" t="str">
        <f t="shared" si="36"/>
        <v/>
      </c>
      <c r="X145" s="27" t="str">
        <f t="shared" si="37"/>
        <v/>
      </c>
      <c r="Y145" s="27" t="str">
        <f t="shared" si="38"/>
        <v/>
      </c>
      <c r="Z145" s="43"/>
      <c r="AA145" s="107"/>
      <c r="AB145" s="76" t="str">
        <f t="shared" si="39"/>
        <v/>
      </c>
      <c r="AC145" s="74" t="str">
        <f t="shared" si="40"/>
        <v/>
      </c>
    </row>
    <row r="146" ht="18" customHeight="1" spans="1:29">
      <c r="A146" s="32" t="str">
        <f t="shared" si="28"/>
        <v/>
      </c>
      <c r="B146" s="108"/>
      <c r="C146" s="11"/>
      <c r="D146" s="11"/>
      <c r="E146" s="10"/>
      <c r="F146" s="109"/>
      <c r="G146" s="109"/>
      <c r="H146" s="27" t="str">
        <f t="shared" si="41"/>
        <v/>
      </c>
      <c r="I146" s="11" t="s">
        <v>253</v>
      </c>
      <c r="J146" s="27" t="str">
        <f t="shared" si="29"/>
        <v/>
      </c>
      <c r="K146" s="27">
        <v>0</v>
      </c>
      <c r="L146" s="11"/>
      <c r="M146" s="11"/>
      <c r="N146" s="10"/>
      <c r="O146" s="11"/>
      <c r="P146" s="10"/>
      <c r="Q146" s="26" t="str">
        <f t="shared" si="30"/>
        <v/>
      </c>
      <c r="R146" s="27" t="str">
        <f t="shared" si="31"/>
        <v/>
      </c>
      <c r="S146" s="27" t="str">
        <f t="shared" si="32"/>
        <v/>
      </c>
      <c r="T146" s="26" t="str">
        <f t="shared" si="33"/>
        <v/>
      </c>
      <c r="U146" s="27" t="str">
        <f t="shared" si="34"/>
        <v/>
      </c>
      <c r="V146" s="27" t="str">
        <f t="shared" si="35"/>
        <v/>
      </c>
      <c r="W146" s="26" t="str">
        <f t="shared" si="36"/>
        <v/>
      </c>
      <c r="X146" s="27" t="str">
        <f t="shared" si="37"/>
        <v/>
      </c>
      <c r="Y146" s="27" t="str">
        <f t="shared" si="38"/>
        <v/>
      </c>
      <c r="Z146" s="43"/>
      <c r="AA146" s="107"/>
      <c r="AB146" s="76" t="str">
        <f t="shared" si="39"/>
        <v/>
      </c>
      <c r="AC146" s="74" t="str">
        <f t="shared" si="40"/>
        <v/>
      </c>
    </row>
    <row r="147" ht="18" customHeight="1" spans="1:29">
      <c r="A147" s="32" t="str">
        <f t="shared" si="28"/>
        <v/>
      </c>
      <c r="B147" s="108"/>
      <c r="C147" s="11"/>
      <c r="D147" s="11"/>
      <c r="E147" s="10"/>
      <c r="F147" s="109"/>
      <c r="G147" s="109"/>
      <c r="H147" s="27" t="str">
        <f t="shared" si="41"/>
        <v/>
      </c>
      <c r="I147" s="11" t="s">
        <v>253</v>
      </c>
      <c r="J147" s="27" t="str">
        <f t="shared" si="29"/>
        <v/>
      </c>
      <c r="K147" s="27">
        <v>0</v>
      </c>
      <c r="L147" s="11"/>
      <c r="M147" s="11"/>
      <c r="N147" s="10"/>
      <c r="O147" s="11"/>
      <c r="P147" s="10"/>
      <c r="Q147" s="26" t="str">
        <f t="shared" si="30"/>
        <v/>
      </c>
      <c r="R147" s="27" t="str">
        <f t="shared" si="31"/>
        <v/>
      </c>
      <c r="S147" s="27" t="str">
        <f t="shared" si="32"/>
        <v/>
      </c>
      <c r="T147" s="26" t="str">
        <f t="shared" si="33"/>
        <v/>
      </c>
      <c r="U147" s="27" t="str">
        <f t="shared" si="34"/>
        <v/>
      </c>
      <c r="V147" s="27" t="str">
        <f t="shared" si="35"/>
        <v/>
      </c>
      <c r="W147" s="26" t="str">
        <f t="shared" si="36"/>
        <v/>
      </c>
      <c r="X147" s="27" t="str">
        <f t="shared" si="37"/>
        <v/>
      </c>
      <c r="Y147" s="27" t="str">
        <f t="shared" si="38"/>
        <v/>
      </c>
      <c r="Z147" s="43"/>
      <c r="AA147" s="107"/>
      <c r="AB147" s="76" t="str">
        <f t="shared" si="39"/>
        <v/>
      </c>
      <c r="AC147" s="74" t="str">
        <f t="shared" si="40"/>
        <v/>
      </c>
    </row>
    <row r="148" ht="18" customHeight="1" spans="1:29">
      <c r="A148" s="32" t="str">
        <f t="shared" si="28"/>
        <v/>
      </c>
      <c r="B148" s="108"/>
      <c r="C148" s="11"/>
      <c r="D148" s="11"/>
      <c r="E148" s="10"/>
      <c r="F148" s="109"/>
      <c r="G148" s="109"/>
      <c r="H148" s="27" t="str">
        <f t="shared" si="41"/>
        <v/>
      </c>
      <c r="I148" s="11" t="s">
        <v>253</v>
      </c>
      <c r="J148" s="27" t="str">
        <f t="shared" si="29"/>
        <v/>
      </c>
      <c r="K148" s="27">
        <v>0</v>
      </c>
      <c r="L148" s="11"/>
      <c r="M148" s="11"/>
      <c r="N148" s="10"/>
      <c r="O148" s="11"/>
      <c r="P148" s="10"/>
      <c r="Q148" s="26" t="str">
        <f t="shared" si="30"/>
        <v/>
      </c>
      <c r="R148" s="27" t="str">
        <f t="shared" si="31"/>
        <v/>
      </c>
      <c r="S148" s="27" t="str">
        <f t="shared" si="32"/>
        <v/>
      </c>
      <c r="T148" s="26" t="str">
        <f t="shared" si="33"/>
        <v/>
      </c>
      <c r="U148" s="27" t="str">
        <f t="shared" si="34"/>
        <v/>
      </c>
      <c r="V148" s="27" t="str">
        <f t="shared" si="35"/>
        <v/>
      </c>
      <c r="W148" s="26" t="str">
        <f t="shared" si="36"/>
        <v/>
      </c>
      <c r="X148" s="27" t="str">
        <f t="shared" si="37"/>
        <v/>
      </c>
      <c r="Y148" s="27" t="str">
        <f t="shared" si="38"/>
        <v/>
      </c>
      <c r="Z148" s="43"/>
      <c r="AA148" s="107"/>
      <c r="AB148" s="76" t="str">
        <f t="shared" si="39"/>
        <v/>
      </c>
      <c r="AC148" s="74" t="str">
        <f t="shared" si="40"/>
        <v/>
      </c>
    </row>
    <row r="149" ht="18" customHeight="1" spans="1:29">
      <c r="A149" s="32" t="str">
        <f t="shared" si="28"/>
        <v/>
      </c>
      <c r="B149" s="108"/>
      <c r="C149" s="11"/>
      <c r="D149" s="11"/>
      <c r="E149" s="10"/>
      <c r="F149" s="109"/>
      <c r="G149" s="109"/>
      <c r="H149" s="27" t="str">
        <f t="shared" si="41"/>
        <v/>
      </c>
      <c r="I149" s="11" t="s">
        <v>253</v>
      </c>
      <c r="J149" s="27" t="str">
        <f t="shared" si="29"/>
        <v/>
      </c>
      <c r="K149" s="27">
        <v>0</v>
      </c>
      <c r="L149" s="11"/>
      <c r="M149" s="11"/>
      <c r="N149" s="10"/>
      <c r="O149" s="11"/>
      <c r="P149" s="10"/>
      <c r="Q149" s="26" t="str">
        <f t="shared" si="30"/>
        <v/>
      </c>
      <c r="R149" s="27" t="str">
        <f t="shared" si="31"/>
        <v/>
      </c>
      <c r="S149" s="27" t="str">
        <f t="shared" si="32"/>
        <v/>
      </c>
      <c r="T149" s="26" t="str">
        <f t="shared" si="33"/>
        <v/>
      </c>
      <c r="U149" s="27" t="str">
        <f t="shared" si="34"/>
        <v/>
      </c>
      <c r="V149" s="27" t="str">
        <f t="shared" si="35"/>
        <v/>
      </c>
      <c r="W149" s="26" t="str">
        <f t="shared" si="36"/>
        <v/>
      </c>
      <c r="X149" s="27" t="str">
        <f t="shared" si="37"/>
        <v/>
      </c>
      <c r="Y149" s="27" t="str">
        <f t="shared" si="38"/>
        <v/>
      </c>
      <c r="Z149" s="43"/>
      <c r="AA149" s="107"/>
      <c r="AB149" s="76" t="str">
        <f t="shared" si="39"/>
        <v/>
      </c>
      <c r="AC149" s="74" t="str">
        <f t="shared" si="40"/>
        <v/>
      </c>
    </row>
    <row r="150" ht="18" customHeight="1" spans="1:29">
      <c r="A150" s="32" t="str">
        <f t="shared" si="28"/>
        <v/>
      </c>
      <c r="B150" s="108"/>
      <c r="C150" s="11"/>
      <c r="D150" s="11"/>
      <c r="E150" s="10"/>
      <c r="F150" s="109"/>
      <c r="G150" s="109"/>
      <c r="H150" s="27" t="str">
        <f t="shared" si="41"/>
        <v/>
      </c>
      <c r="I150" s="11" t="s">
        <v>253</v>
      </c>
      <c r="J150" s="27" t="str">
        <f t="shared" si="29"/>
        <v/>
      </c>
      <c r="K150" s="27">
        <v>0</v>
      </c>
      <c r="L150" s="11"/>
      <c r="M150" s="11"/>
      <c r="N150" s="10"/>
      <c r="O150" s="11"/>
      <c r="P150" s="10"/>
      <c r="Q150" s="26" t="str">
        <f t="shared" si="30"/>
        <v/>
      </c>
      <c r="R150" s="27" t="str">
        <f t="shared" si="31"/>
        <v/>
      </c>
      <c r="S150" s="27" t="str">
        <f t="shared" si="32"/>
        <v/>
      </c>
      <c r="T150" s="26" t="str">
        <f t="shared" si="33"/>
        <v/>
      </c>
      <c r="U150" s="27" t="str">
        <f t="shared" si="34"/>
        <v/>
      </c>
      <c r="V150" s="27" t="str">
        <f t="shared" si="35"/>
        <v/>
      </c>
      <c r="W150" s="26" t="str">
        <f t="shared" si="36"/>
        <v/>
      </c>
      <c r="X150" s="27" t="str">
        <f t="shared" si="37"/>
        <v/>
      </c>
      <c r="Y150" s="27" t="str">
        <f t="shared" si="38"/>
        <v/>
      </c>
      <c r="Z150" s="43"/>
      <c r="AA150" s="107"/>
      <c r="AB150" s="76" t="str">
        <f t="shared" si="39"/>
        <v/>
      </c>
      <c r="AC150" s="74" t="str">
        <f t="shared" si="40"/>
        <v/>
      </c>
    </row>
    <row r="151" ht="18" customHeight="1" spans="1:29">
      <c r="A151" s="32" t="str">
        <f t="shared" si="28"/>
        <v/>
      </c>
      <c r="B151" s="108"/>
      <c r="C151" s="11"/>
      <c r="D151" s="11"/>
      <c r="E151" s="10"/>
      <c r="F151" s="109"/>
      <c r="G151" s="109"/>
      <c r="H151" s="27" t="str">
        <f t="shared" si="41"/>
        <v/>
      </c>
      <c r="I151" s="11" t="s">
        <v>253</v>
      </c>
      <c r="J151" s="27" t="str">
        <f t="shared" si="29"/>
        <v/>
      </c>
      <c r="K151" s="27">
        <v>0</v>
      </c>
      <c r="L151" s="11"/>
      <c r="M151" s="11"/>
      <c r="N151" s="10"/>
      <c r="O151" s="11"/>
      <c r="P151" s="10"/>
      <c r="Q151" s="26" t="str">
        <f t="shared" si="30"/>
        <v/>
      </c>
      <c r="R151" s="27" t="str">
        <f t="shared" si="31"/>
        <v/>
      </c>
      <c r="S151" s="27" t="str">
        <f t="shared" si="32"/>
        <v/>
      </c>
      <c r="T151" s="26" t="str">
        <f t="shared" si="33"/>
        <v/>
      </c>
      <c r="U151" s="27" t="str">
        <f t="shared" si="34"/>
        <v/>
      </c>
      <c r="V151" s="27" t="str">
        <f t="shared" si="35"/>
        <v/>
      </c>
      <c r="W151" s="26" t="str">
        <f t="shared" si="36"/>
        <v/>
      </c>
      <c r="X151" s="27" t="str">
        <f t="shared" si="37"/>
        <v/>
      </c>
      <c r="Y151" s="27" t="str">
        <f t="shared" si="38"/>
        <v/>
      </c>
      <c r="Z151" s="43"/>
      <c r="AA151" s="107"/>
      <c r="AB151" s="76" t="str">
        <f t="shared" si="39"/>
        <v/>
      </c>
      <c r="AC151" s="74" t="str">
        <f t="shared" si="40"/>
        <v/>
      </c>
    </row>
    <row r="152" ht="18" customHeight="1" spans="1:29">
      <c r="A152" s="32" t="str">
        <f t="shared" si="28"/>
        <v/>
      </c>
      <c r="B152" s="108"/>
      <c r="C152" s="11"/>
      <c r="D152" s="11"/>
      <c r="E152" s="10"/>
      <c r="F152" s="109"/>
      <c r="G152" s="109"/>
      <c r="H152" s="27" t="str">
        <f t="shared" si="41"/>
        <v/>
      </c>
      <c r="I152" s="11" t="s">
        <v>253</v>
      </c>
      <c r="J152" s="27" t="str">
        <f t="shared" si="29"/>
        <v/>
      </c>
      <c r="K152" s="27">
        <v>0</v>
      </c>
      <c r="L152" s="11"/>
      <c r="M152" s="11"/>
      <c r="N152" s="10"/>
      <c r="O152" s="11"/>
      <c r="P152" s="10"/>
      <c r="Q152" s="26" t="str">
        <f t="shared" si="30"/>
        <v/>
      </c>
      <c r="R152" s="27" t="str">
        <f t="shared" si="31"/>
        <v/>
      </c>
      <c r="S152" s="27" t="str">
        <f t="shared" si="32"/>
        <v/>
      </c>
      <c r="T152" s="26" t="str">
        <f t="shared" si="33"/>
        <v/>
      </c>
      <c r="U152" s="27" t="str">
        <f t="shared" si="34"/>
        <v/>
      </c>
      <c r="V152" s="27" t="str">
        <f t="shared" si="35"/>
        <v/>
      </c>
      <c r="W152" s="26" t="str">
        <f t="shared" si="36"/>
        <v/>
      </c>
      <c r="X152" s="27" t="str">
        <f t="shared" si="37"/>
        <v/>
      </c>
      <c r="Y152" s="27" t="str">
        <f t="shared" si="38"/>
        <v/>
      </c>
      <c r="Z152" s="43"/>
      <c r="AA152" s="107"/>
      <c r="AB152" s="76" t="str">
        <f t="shared" si="39"/>
        <v/>
      </c>
      <c r="AC152" s="74" t="str">
        <f t="shared" si="40"/>
        <v/>
      </c>
    </row>
    <row r="153" ht="18" customHeight="1" spans="1:29">
      <c r="A153" s="32" t="str">
        <f t="shared" si="28"/>
        <v/>
      </c>
      <c r="B153" s="108"/>
      <c r="C153" s="11"/>
      <c r="D153" s="11"/>
      <c r="E153" s="10"/>
      <c r="F153" s="109"/>
      <c r="G153" s="109"/>
      <c r="H153" s="27" t="str">
        <f t="shared" si="41"/>
        <v/>
      </c>
      <c r="I153" s="11" t="s">
        <v>253</v>
      </c>
      <c r="J153" s="27" t="str">
        <f t="shared" si="29"/>
        <v/>
      </c>
      <c r="K153" s="27">
        <v>0</v>
      </c>
      <c r="L153" s="11"/>
      <c r="M153" s="11"/>
      <c r="N153" s="10"/>
      <c r="O153" s="11"/>
      <c r="P153" s="10"/>
      <c r="Q153" s="26" t="str">
        <f t="shared" si="30"/>
        <v/>
      </c>
      <c r="R153" s="27" t="str">
        <f t="shared" si="31"/>
        <v/>
      </c>
      <c r="S153" s="27" t="str">
        <f t="shared" si="32"/>
        <v/>
      </c>
      <c r="T153" s="26" t="str">
        <f t="shared" si="33"/>
        <v/>
      </c>
      <c r="U153" s="27" t="str">
        <f t="shared" si="34"/>
        <v/>
      </c>
      <c r="V153" s="27" t="str">
        <f t="shared" si="35"/>
        <v/>
      </c>
      <c r="W153" s="26" t="str">
        <f t="shared" si="36"/>
        <v/>
      </c>
      <c r="X153" s="27" t="str">
        <f t="shared" si="37"/>
        <v/>
      </c>
      <c r="Y153" s="27" t="str">
        <f t="shared" si="38"/>
        <v/>
      </c>
      <c r="Z153" s="43"/>
      <c r="AA153" s="107"/>
      <c r="AB153" s="76" t="str">
        <f t="shared" si="39"/>
        <v/>
      </c>
      <c r="AC153" s="74" t="str">
        <f t="shared" si="40"/>
        <v/>
      </c>
    </row>
    <row r="154" ht="18" customHeight="1" spans="1:29">
      <c r="A154" s="32" t="str">
        <f t="shared" si="28"/>
        <v/>
      </c>
      <c r="B154" s="108"/>
      <c r="C154" s="11"/>
      <c r="D154" s="11"/>
      <c r="E154" s="10"/>
      <c r="F154" s="109"/>
      <c r="G154" s="109"/>
      <c r="H154" s="27" t="str">
        <f t="shared" si="41"/>
        <v/>
      </c>
      <c r="I154" s="11" t="s">
        <v>253</v>
      </c>
      <c r="J154" s="27" t="str">
        <f t="shared" si="29"/>
        <v/>
      </c>
      <c r="K154" s="27">
        <v>0</v>
      </c>
      <c r="L154" s="11"/>
      <c r="M154" s="11"/>
      <c r="N154" s="10"/>
      <c r="O154" s="11"/>
      <c r="P154" s="10"/>
      <c r="Q154" s="26" t="str">
        <f t="shared" si="30"/>
        <v/>
      </c>
      <c r="R154" s="27" t="str">
        <f t="shared" si="31"/>
        <v/>
      </c>
      <c r="S154" s="27" t="str">
        <f t="shared" si="32"/>
        <v/>
      </c>
      <c r="T154" s="26" t="str">
        <f t="shared" si="33"/>
        <v/>
      </c>
      <c r="U154" s="27" t="str">
        <f t="shared" si="34"/>
        <v/>
      </c>
      <c r="V154" s="27" t="str">
        <f t="shared" si="35"/>
        <v/>
      </c>
      <c r="W154" s="26" t="str">
        <f t="shared" si="36"/>
        <v/>
      </c>
      <c r="X154" s="27" t="str">
        <f t="shared" si="37"/>
        <v/>
      </c>
      <c r="Y154" s="27" t="str">
        <f t="shared" si="38"/>
        <v/>
      </c>
      <c r="Z154" s="43"/>
      <c r="AA154" s="107"/>
      <c r="AB154" s="76" t="str">
        <f t="shared" si="39"/>
        <v/>
      </c>
      <c r="AC154" s="74" t="str">
        <f t="shared" si="40"/>
        <v/>
      </c>
    </row>
    <row r="155" ht="18" customHeight="1" spans="1:29">
      <c r="A155" s="32" t="str">
        <f t="shared" si="28"/>
        <v/>
      </c>
      <c r="B155" s="108"/>
      <c r="C155" s="11"/>
      <c r="D155" s="11"/>
      <c r="E155" s="10"/>
      <c r="F155" s="109"/>
      <c r="G155" s="109"/>
      <c r="H155" s="27" t="str">
        <f t="shared" si="41"/>
        <v/>
      </c>
      <c r="I155" s="11" t="s">
        <v>253</v>
      </c>
      <c r="J155" s="27" t="str">
        <f t="shared" si="29"/>
        <v/>
      </c>
      <c r="K155" s="27">
        <v>0</v>
      </c>
      <c r="L155" s="11"/>
      <c r="M155" s="11"/>
      <c r="N155" s="10"/>
      <c r="O155" s="11"/>
      <c r="P155" s="10"/>
      <c r="Q155" s="26" t="str">
        <f t="shared" si="30"/>
        <v/>
      </c>
      <c r="R155" s="27" t="str">
        <f t="shared" si="31"/>
        <v/>
      </c>
      <c r="S155" s="27" t="str">
        <f t="shared" si="32"/>
        <v/>
      </c>
      <c r="T155" s="26" t="str">
        <f t="shared" si="33"/>
        <v/>
      </c>
      <c r="U155" s="27" t="str">
        <f t="shared" si="34"/>
        <v/>
      </c>
      <c r="V155" s="27" t="str">
        <f t="shared" si="35"/>
        <v/>
      </c>
      <c r="W155" s="26" t="str">
        <f t="shared" si="36"/>
        <v/>
      </c>
      <c r="X155" s="27" t="str">
        <f t="shared" si="37"/>
        <v/>
      </c>
      <c r="Y155" s="27" t="str">
        <f t="shared" si="38"/>
        <v/>
      </c>
      <c r="Z155" s="43"/>
      <c r="AA155" s="107"/>
      <c r="AB155" s="76" t="str">
        <f t="shared" si="39"/>
        <v/>
      </c>
      <c r="AC155" s="74" t="str">
        <f t="shared" si="40"/>
        <v/>
      </c>
    </row>
    <row r="156" ht="18" customHeight="1" spans="1:29">
      <c r="A156" s="32" t="str">
        <f t="shared" si="28"/>
        <v/>
      </c>
      <c r="B156" s="108"/>
      <c r="C156" s="11"/>
      <c r="D156" s="11"/>
      <c r="E156" s="10"/>
      <c r="F156" s="109"/>
      <c r="G156" s="109"/>
      <c r="H156" s="27" t="str">
        <f t="shared" si="41"/>
        <v/>
      </c>
      <c r="I156" s="11" t="s">
        <v>253</v>
      </c>
      <c r="J156" s="27" t="str">
        <f t="shared" si="29"/>
        <v/>
      </c>
      <c r="K156" s="27">
        <v>0</v>
      </c>
      <c r="L156" s="11"/>
      <c r="M156" s="11"/>
      <c r="N156" s="10"/>
      <c r="O156" s="11"/>
      <c r="P156" s="10"/>
      <c r="Q156" s="26" t="str">
        <f t="shared" si="30"/>
        <v/>
      </c>
      <c r="R156" s="27" t="str">
        <f t="shared" si="31"/>
        <v/>
      </c>
      <c r="S156" s="27" t="str">
        <f t="shared" si="32"/>
        <v/>
      </c>
      <c r="T156" s="26" t="str">
        <f t="shared" si="33"/>
        <v/>
      </c>
      <c r="U156" s="27" t="str">
        <f t="shared" si="34"/>
        <v/>
      </c>
      <c r="V156" s="27" t="str">
        <f t="shared" si="35"/>
        <v/>
      </c>
      <c r="W156" s="26" t="str">
        <f t="shared" si="36"/>
        <v/>
      </c>
      <c r="X156" s="27" t="str">
        <f t="shared" si="37"/>
        <v/>
      </c>
      <c r="Y156" s="27" t="str">
        <f t="shared" si="38"/>
        <v/>
      </c>
      <c r="Z156" s="43"/>
      <c r="AA156" s="107"/>
      <c r="AB156" s="76" t="str">
        <f t="shared" si="39"/>
        <v/>
      </c>
      <c r="AC156" s="74" t="str">
        <f t="shared" si="40"/>
        <v/>
      </c>
    </row>
    <row r="157" ht="18" customHeight="1" spans="1:29">
      <c r="A157" s="32" t="str">
        <f t="shared" si="28"/>
        <v/>
      </c>
      <c r="B157" s="108"/>
      <c r="C157" s="11"/>
      <c r="D157" s="11"/>
      <c r="E157" s="10"/>
      <c r="F157" s="109"/>
      <c r="G157" s="109"/>
      <c r="H157" s="27" t="str">
        <f t="shared" si="41"/>
        <v/>
      </c>
      <c r="I157" s="11" t="s">
        <v>253</v>
      </c>
      <c r="J157" s="27" t="str">
        <f t="shared" si="29"/>
        <v/>
      </c>
      <c r="K157" s="27">
        <v>0</v>
      </c>
      <c r="L157" s="11"/>
      <c r="M157" s="11"/>
      <c r="N157" s="10"/>
      <c r="O157" s="11"/>
      <c r="P157" s="10"/>
      <c r="Q157" s="26" t="str">
        <f t="shared" si="30"/>
        <v/>
      </c>
      <c r="R157" s="27" t="str">
        <f t="shared" si="31"/>
        <v/>
      </c>
      <c r="S157" s="27" t="str">
        <f t="shared" si="32"/>
        <v/>
      </c>
      <c r="T157" s="26" t="str">
        <f t="shared" si="33"/>
        <v/>
      </c>
      <c r="U157" s="27" t="str">
        <f t="shared" si="34"/>
        <v/>
      </c>
      <c r="V157" s="27" t="str">
        <f t="shared" si="35"/>
        <v/>
      </c>
      <c r="W157" s="26" t="str">
        <f t="shared" si="36"/>
        <v/>
      </c>
      <c r="X157" s="27" t="str">
        <f t="shared" si="37"/>
        <v/>
      </c>
      <c r="Y157" s="27" t="str">
        <f t="shared" si="38"/>
        <v/>
      </c>
      <c r="Z157" s="43"/>
      <c r="AA157" s="107"/>
      <c r="AB157" s="76" t="str">
        <f t="shared" si="39"/>
        <v/>
      </c>
      <c r="AC157" s="74" t="str">
        <f t="shared" si="40"/>
        <v/>
      </c>
    </row>
    <row r="158" ht="18" customHeight="1" spans="1:29">
      <c r="A158" s="32" t="str">
        <f t="shared" si="28"/>
        <v/>
      </c>
      <c r="B158" s="108"/>
      <c r="C158" s="11"/>
      <c r="D158" s="11"/>
      <c r="E158" s="10"/>
      <c r="F158" s="109"/>
      <c r="G158" s="109"/>
      <c r="H158" s="27" t="str">
        <f t="shared" si="41"/>
        <v/>
      </c>
      <c r="I158" s="11" t="s">
        <v>253</v>
      </c>
      <c r="J158" s="27" t="str">
        <f t="shared" si="29"/>
        <v/>
      </c>
      <c r="K158" s="27">
        <v>0</v>
      </c>
      <c r="L158" s="11"/>
      <c r="M158" s="11"/>
      <c r="N158" s="10"/>
      <c r="O158" s="11"/>
      <c r="P158" s="10"/>
      <c r="Q158" s="26" t="str">
        <f t="shared" si="30"/>
        <v/>
      </c>
      <c r="R158" s="27" t="str">
        <f t="shared" si="31"/>
        <v/>
      </c>
      <c r="S158" s="27" t="str">
        <f t="shared" si="32"/>
        <v/>
      </c>
      <c r="T158" s="26" t="str">
        <f t="shared" si="33"/>
        <v/>
      </c>
      <c r="U158" s="27" t="str">
        <f t="shared" si="34"/>
        <v/>
      </c>
      <c r="V158" s="27" t="str">
        <f t="shared" si="35"/>
        <v/>
      </c>
      <c r="W158" s="26" t="str">
        <f t="shared" si="36"/>
        <v/>
      </c>
      <c r="X158" s="27" t="str">
        <f t="shared" si="37"/>
        <v/>
      </c>
      <c r="Y158" s="27" t="str">
        <f t="shared" si="38"/>
        <v/>
      </c>
      <c r="Z158" s="43"/>
      <c r="AA158" s="107"/>
      <c r="AB158" s="76" t="str">
        <f t="shared" si="39"/>
        <v/>
      </c>
      <c r="AC158" s="74" t="str">
        <f t="shared" si="40"/>
        <v/>
      </c>
    </row>
    <row r="159" ht="18" customHeight="1" spans="1:29">
      <c r="A159" s="32" t="str">
        <f t="shared" si="28"/>
        <v/>
      </c>
      <c r="B159" s="108"/>
      <c r="C159" s="11"/>
      <c r="D159" s="11"/>
      <c r="E159" s="10"/>
      <c r="F159" s="109"/>
      <c r="G159" s="109"/>
      <c r="H159" s="27" t="str">
        <f t="shared" si="41"/>
        <v/>
      </c>
      <c r="I159" s="11" t="s">
        <v>253</v>
      </c>
      <c r="J159" s="27" t="str">
        <f t="shared" si="29"/>
        <v/>
      </c>
      <c r="K159" s="27">
        <v>0</v>
      </c>
      <c r="L159" s="11"/>
      <c r="M159" s="11"/>
      <c r="N159" s="10"/>
      <c r="O159" s="11"/>
      <c r="P159" s="10"/>
      <c r="Q159" s="26" t="str">
        <f t="shared" si="30"/>
        <v/>
      </c>
      <c r="R159" s="27" t="str">
        <f t="shared" si="31"/>
        <v/>
      </c>
      <c r="S159" s="27" t="str">
        <f t="shared" si="32"/>
        <v/>
      </c>
      <c r="T159" s="26" t="str">
        <f t="shared" si="33"/>
        <v/>
      </c>
      <c r="U159" s="27" t="str">
        <f t="shared" si="34"/>
        <v/>
      </c>
      <c r="V159" s="27" t="str">
        <f t="shared" si="35"/>
        <v/>
      </c>
      <c r="W159" s="26" t="str">
        <f t="shared" si="36"/>
        <v/>
      </c>
      <c r="X159" s="27" t="str">
        <f t="shared" si="37"/>
        <v/>
      </c>
      <c r="Y159" s="27" t="str">
        <f t="shared" si="38"/>
        <v/>
      </c>
      <c r="Z159" s="43"/>
      <c r="AA159" s="107"/>
      <c r="AB159" s="76" t="str">
        <f t="shared" si="39"/>
        <v/>
      </c>
      <c r="AC159" s="74" t="str">
        <f t="shared" si="40"/>
        <v/>
      </c>
    </row>
    <row r="160" ht="18" customHeight="1" spans="1:29">
      <c r="A160" s="32" t="str">
        <f t="shared" si="28"/>
        <v/>
      </c>
      <c r="B160" s="108"/>
      <c r="C160" s="11"/>
      <c r="D160" s="11"/>
      <c r="E160" s="10"/>
      <c r="F160" s="109"/>
      <c r="G160" s="109"/>
      <c r="H160" s="27" t="str">
        <f t="shared" si="41"/>
        <v/>
      </c>
      <c r="I160" s="11" t="s">
        <v>253</v>
      </c>
      <c r="J160" s="27" t="str">
        <f t="shared" si="29"/>
        <v/>
      </c>
      <c r="K160" s="27">
        <v>0</v>
      </c>
      <c r="L160" s="11"/>
      <c r="M160" s="11"/>
      <c r="N160" s="10"/>
      <c r="O160" s="11"/>
      <c r="P160" s="10"/>
      <c r="Q160" s="26" t="str">
        <f t="shared" si="30"/>
        <v/>
      </c>
      <c r="R160" s="27" t="str">
        <f t="shared" si="31"/>
        <v/>
      </c>
      <c r="S160" s="27" t="str">
        <f t="shared" si="32"/>
        <v/>
      </c>
      <c r="T160" s="26" t="str">
        <f t="shared" si="33"/>
        <v/>
      </c>
      <c r="U160" s="27" t="str">
        <f t="shared" si="34"/>
        <v/>
      </c>
      <c r="V160" s="27" t="str">
        <f t="shared" si="35"/>
        <v/>
      </c>
      <c r="W160" s="26" t="str">
        <f t="shared" si="36"/>
        <v/>
      </c>
      <c r="X160" s="27" t="str">
        <f t="shared" si="37"/>
        <v/>
      </c>
      <c r="Y160" s="27" t="str">
        <f t="shared" si="38"/>
        <v/>
      </c>
      <c r="Z160" s="43"/>
      <c r="AA160" s="107"/>
      <c r="AB160" s="76" t="str">
        <f t="shared" si="39"/>
        <v/>
      </c>
      <c r="AC160" s="74" t="str">
        <f t="shared" si="40"/>
        <v/>
      </c>
    </row>
    <row r="161" ht="18" customHeight="1" spans="1:29">
      <c r="A161" s="32" t="str">
        <f t="shared" si="28"/>
        <v/>
      </c>
      <c r="B161" s="108"/>
      <c r="C161" s="11"/>
      <c r="D161" s="11"/>
      <c r="E161" s="10"/>
      <c r="F161" s="109"/>
      <c r="G161" s="109"/>
      <c r="H161" s="27" t="str">
        <f t="shared" si="41"/>
        <v/>
      </c>
      <c r="I161" s="11" t="s">
        <v>253</v>
      </c>
      <c r="J161" s="27" t="str">
        <f t="shared" si="29"/>
        <v/>
      </c>
      <c r="K161" s="27">
        <v>0</v>
      </c>
      <c r="L161" s="11"/>
      <c r="M161" s="11"/>
      <c r="N161" s="10"/>
      <c r="O161" s="11"/>
      <c r="P161" s="10"/>
      <c r="Q161" s="26" t="str">
        <f t="shared" si="30"/>
        <v/>
      </c>
      <c r="R161" s="27" t="str">
        <f t="shared" si="31"/>
        <v/>
      </c>
      <c r="S161" s="27" t="str">
        <f t="shared" si="32"/>
        <v/>
      </c>
      <c r="T161" s="26" t="str">
        <f t="shared" si="33"/>
        <v/>
      </c>
      <c r="U161" s="27" t="str">
        <f t="shared" si="34"/>
        <v/>
      </c>
      <c r="V161" s="27" t="str">
        <f t="shared" si="35"/>
        <v/>
      </c>
      <c r="W161" s="26" t="str">
        <f t="shared" si="36"/>
        <v/>
      </c>
      <c r="X161" s="27" t="str">
        <f t="shared" si="37"/>
        <v/>
      </c>
      <c r="Y161" s="27" t="str">
        <f t="shared" si="38"/>
        <v/>
      </c>
      <c r="Z161" s="43"/>
      <c r="AA161" s="107"/>
      <c r="AB161" s="76" t="str">
        <f t="shared" si="39"/>
        <v/>
      </c>
      <c r="AC161" s="74" t="str">
        <f t="shared" si="40"/>
        <v/>
      </c>
    </row>
    <row r="162" ht="18" customHeight="1" spans="1:29">
      <c r="A162" s="32" t="str">
        <f t="shared" si="28"/>
        <v/>
      </c>
      <c r="B162" s="108"/>
      <c r="C162" s="11"/>
      <c r="D162" s="11"/>
      <c r="E162" s="10"/>
      <c r="F162" s="109"/>
      <c r="G162" s="109"/>
      <c r="H162" s="27" t="str">
        <f t="shared" si="41"/>
        <v/>
      </c>
      <c r="I162" s="11" t="s">
        <v>253</v>
      </c>
      <c r="J162" s="27" t="str">
        <f t="shared" si="29"/>
        <v/>
      </c>
      <c r="K162" s="27">
        <v>0</v>
      </c>
      <c r="L162" s="11"/>
      <c r="M162" s="11"/>
      <c r="N162" s="10"/>
      <c r="O162" s="11"/>
      <c r="P162" s="10"/>
      <c r="Q162" s="26" t="str">
        <f t="shared" si="30"/>
        <v/>
      </c>
      <c r="R162" s="27" t="str">
        <f t="shared" si="31"/>
        <v/>
      </c>
      <c r="S162" s="27" t="str">
        <f t="shared" si="32"/>
        <v/>
      </c>
      <c r="T162" s="26" t="str">
        <f t="shared" si="33"/>
        <v/>
      </c>
      <c r="U162" s="27" t="str">
        <f t="shared" si="34"/>
        <v/>
      </c>
      <c r="V162" s="27" t="str">
        <f t="shared" si="35"/>
        <v/>
      </c>
      <c r="W162" s="26" t="str">
        <f t="shared" si="36"/>
        <v/>
      </c>
      <c r="X162" s="27" t="str">
        <f t="shared" si="37"/>
        <v/>
      </c>
      <c r="Y162" s="27" t="str">
        <f t="shared" si="38"/>
        <v/>
      </c>
      <c r="Z162" s="43"/>
      <c r="AA162" s="107"/>
      <c r="AB162" s="76" t="str">
        <f t="shared" si="39"/>
        <v/>
      </c>
      <c r="AC162" s="74" t="str">
        <f t="shared" si="40"/>
        <v/>
      </c>
    </row>
    <row r="163" ht="18" customHeight="1" spans="1:29">
      <c r="A163" s="32" t="str">
        <f t="shared" si="28"/>
        <v/>
      </c>
      <c r="B163" s="108"/>
      <c r="C163" s="11"/>
      <c r="D163" s="11"/>
      <c r="E163" s="10"/>
      <c r="F163" s="109"/>
      <c r="G163" s="109"/>
      <c r="H163" s="27" t="str">
        <f t="shared" si="41"/>
        <v/>
      </c>
      <c r="I163" s="11" t="s">
        <v>253</v>
      </c>
      <c r="J163" s="27" t="str">
        <f t="shared" si="29"/>
        <v/>
      </c>
      <c r="K163" s="27">
        <v>0</v>
      </c>
      <c r="L163" s="11"/>
      <c r="M163" s="11"/>
      <c r="N163" s="10"/>
      <c r="O163" s="11"/>
      <c r="P163" s="10"/>
      <c r="Q163" s="26" t="str">
        <f t="shared" si="30"/>
        <v/>
      </c>
      <c r="R163" s="27" t="str">
        <f t="shared" si="31"/>
        <v/>
      </c>
      <c r="S163" s="27" t="str">
        <f t="shared" si="32"/>
        <v/>
      </c>
      <c r="T163" s="26" t="str">
        <f t="shared" si="33"/>
        <v/>
      </c>
      <c r="U163" s="27" t="str">
        <f t="shared" si="34"/>
        <v/>
      </c>
      <c r="V163" s="27" t="str">
        <f t="shared" si="35"/>
        <v/>
      </c>
      <c r="W163" s="26" t="str">
        <f t="shared" si="36"/>
        <v/>
      </c>
      <c r="X163" s="27" t="str">
        <f t="shared" si="37"/>
        <v/>
      </c>
      <c r="Y163" s="27" t="str">
        <f t="shared" si="38"/>
        <v/>
      </c>
      <c r="Z163" s="43"/>
      <c r="AA163" s="107"/>
      <c r="AB163" s="76" t="str">
        <f t="shared" si="39"/>
        <v/>
      </c>
      <c r="AC163" s="74" t="str">
        <f t="shared" si="40"/>
        <v/>
      </c>
    </row>
    <row r="164" ht="18" customHeight="1" spans="1:29">
      <c r="A164" s="32" t="str">
        <f t="shared" si="28"/>
        <v/>
      </c>
      <c r="B164" s="108"/>
      <c r="C164" s="11"/>
      <c r="D164" s="11"/>
      <c r="E164" s="10"/>
      <c r="F164" s="109"/>
      <c r="G164" s="109"/>
      <c r="H164" s="27" t="str">
        <f t="shared" si="41"/>
        <v/>
      </c>
      <c r="I164" s="11" t="s">
        <v>253</v>
      </c>
      <c r="J164" s="27" t="str">
        <f t="shared" si="29"/>
        <v/>
      </c>
      <c r="K164" s="27">
        <v>0</v>
      </c>
      <c r="L164" s="11"/>
      <c r="M164" s="11"/>
      <c r="N164" s="10"/>
      <c r="O164" s="11"/>
      <c r="P164" s="10"/>
      <c r="Q164" s="26" t="str">
        <f t="shared" si="30"/>
        <v/>
      </c>
      <c r="R164" s="27" t="str">
        <f t="shared" si="31"/>
        <v/>
      </c>
      <c r="S164" s="27" t="str">
        <f t="shared" si="32"/>
        <v/>
      </c>
      <c r="T164" s="26" t="str">
        <f t="shared" si="33"/>
        <v/>
      </c>
      <c r="U164" s="27" t="str">
        <f t="shared" si="34"/>
        <v/>
      </c>
      <c r="V164" s="27" t="str">
        <f t="shared" si="35"/>
        <v/>
      </c>
      <c r="W164" s="26" t="str">
        <f t="shared" si="36"/>
        <v/>
      </c>
      <c r="X164" s="27" t="str">
        <f t="shared" si="37"/>
        <v/>
      </c>
      <c r="Y164" s="27" t="str">
        <f t="shared" si="38"/>
        <v/>
      </c>
      <c r="Z164" s="43"/>
      <c r="AA164" s="107"/>
      <c r="AB164" s="76" t="str">
        <f t="shared" si="39"/>
        <v/>
      </c>
      <c r="AC164" s="74" t="str">
        <f t="shared" si="40"/>
        <v/>
      </c>
    </row>
    <row r="165" ht="18" customHeight="1" spans="1:29">
      <c r="A165" s="32" t="str">
        <f t="shared" si="28"/>
        <v/>
      </c>
      <c r="B165" s="108"/>
      <c r="C165" s="11"/>
      <c r="D165" s="11"/>
      <c r="E165" s="10"/>
      <c r="F165" s="109"/>
      <c r="G165" s="109"/>
      <c r="H165" s="27" t="str">
        <f t="shared" si="41"/>
        <v/>
      </c>
      <c r="I165" s="11" t="s">
        <v>253</v>
      </c>
      <c r="J165" s="27" t="str">
        <f t="shared" si="29"/>
        <v/>
      </c>
      <c r="K165" s="27">
        <v>0</v>
      </c>
      <c r="L165" s="11"/>
      <c r="M165" s="11"/>
      <c r="N165" s="10"/>
      <c r="O165" s="11"/>
      <c r="P165" s="10"/>
      <c r="Q165" s="26" t="str">
        <f t="shared" si="30"/>
        <v/>
      </c>
      <c r="R165" s="27" t="str">
        <f t="shared" si="31"/>
        <v/>
      </c>
      <c r="S165" s="27" t="str">
        <f t="shared" si="32"/>
        <v/>
      </c>
      <c r="T165" s="26" t="str">
        <f t="shared" si="33"/>
        <v/>
      </c>
      <c r="U165" s="27" t="str">
        <f t="shared" si="34"/>
        <v/>
      </c>
      <c r="V165" s="27" t="str">
        <f t="shared" si="35"/>
        <v/>
      </c>
      <c r="W165" s="26" t="str">
        <f t="shared" si="36"/>
        <v/>
      </c>
      <c r="X165" s="27" t="str">
        <f t="shared" si="37"/>
        <v/>
      </c>
      <c r="Y165" s="27" t="str">
        <f t="shared" si="38"/>
        <v/>
      </c>
      <c r="Z165" s="43"/>
      <c r="AA165" s="107"/>
      <c r="AB165" s="76" t="str">
        <f t="shared" si="39"/>
        <v/>
      </c>
      <c r="AC165" s="74" t="str">
        <f t="shared" si="40"/>
        <v/>
      </c>
    </row>
    <row r="166" ht="18" customHeight="1" spans="1:29">
      <c r="A166" s="32" t="str">
        <f t="shared" si="28"/>
        <v/>
      </c>
      <c r="B166" s="108"/>
      <c r="C166" s="11"/>
      <c r="D166" s="11"/>
      <c r="E166" s="10"/>
      <c r="F166" s="109"/>
      <c r="G166" s="109"/>
      <c r="H166" s="27" t="str">
        <f t="shared" si="41"/>
        <v/>
      </c>
      <c r="I166" s="11" t="s">
        <v>253</v>
      </c>
      <c r="J166" s="27" t="str">
        <f t="shared" si="29"/>
        <v/>
      </c>
      <c r="K166" s="27">
        <v>0</v>
      </c>
      <c r="L166" s="11"/>
      <c r="M166" s="11"/>
      <c r="N166" s="10"/>
      <c r="O166" s="11"/>
      <c r="P166" s="10"/>
      <c r="Q166" s="26" t="str">
        <f t="shared" si="30"/>
        <v/>
      </c>
      <c r="R166" s="27" t="str">
        <f t="shared" si="31"/>
        <v/>
      </c>
      <c r="S166" s="27" t="str">
        <f t="shared" si="32"/>
        <v/>
      </c>
      <c r="T166" s="26" t="str">
        <f t="shared" si="33"/>
        <v/>
      </c>
      <c r="U166" s="27" t="str">
        <f t="shared" si="34"/>
        <v/>
      </c>
      <c r="V166" s="27" t="str">
        <f t="shared" si="35"/>
        <v/>
      </c>
      <c r="W166" s="26" t="str">
        <f t="shared" si="36"/>
        <v/>
      </c>
      <c r="X166" s="27" t="str">
        <f t="shared" si="37"/>
        <v/>
      </c>
      <c r="Y166" s="27" t="str">
        <f t="shared" si="38"/>
        <v/>
      </c>
      <c r="Z166" s="43"/>
      <c r="AA166" s="107"/>
      <c r="AB166" s="76" t="str">
        <f t="shared" si="39"/>
        <v/>
      </c>
      <c r="AC166" s="74" t="str">
        <f t="shared" si="40"/>
        <v/>
      </c>
    </row>
    <row r="167" ht="18" customHeight="1" spans="1:29">
      <c r="A167" s="32" t="str">
        <f t="shared" si="28"/>
        <v/>
      </c>
      <c r="B167" s="108"/>
      <c r="C167" s="11"/>
      <c r="D167" s="11"/>
      <c r="E167" s="10"/>
      <c r="F167" s="109"/>
      <c r="G167" s="109"/>
      <c r="H167" s="27" t="str">
        <f t="shared" si="41"/>
        <v/>
      </c>
      <c r="I167" s="11" t="s">
        <v>253</v>
      </c>
      <c r="J167" s="27" t="str">
        <f t="shared" si="29"/>
        <v/>
      </c>
      <c r="K167" s="27">
        <v>0</v>
      </c>
      <c r="L167" s="11"/>
      <c r="M167" s="11"/>
      <c r="N167" s="10"/>
      <c r="O167" s="11"/>
      <c r="P167" s="10"/>
      <c r="Q167" s="26" t="str">
        <f t="shared" si="30"/>
        <v/>
      </c>
      <c r="R167" s="27" t="str">
        <f t="shared" si="31"/>
        <v/>
      </c>
      <c r="S167" s="27" t="str">
        <f t="shared" si="32"/>
        <v/>
      </c>
      <c r="T167" s="26" t="str">
        <f t="shared" si="33"/>
        <v/>
      </c>
      <c r="U167" s="27" t="str">
        <f t="shared" si="34"/>
        <v/>
      </c>
      <c r="V167" s="27" t="str">
        <f t="shared" si="35"/>
        <v/>
      </c>
      <c r="W167" s="26" t="str">
        <f t="shared" si="36"/>
        <v/>
      </c>
      <c r="X167" s="27" t="str">
        <f t="shared" si="37"/>
        <v/>
      </c>
      <c r="Y167" s="27" t="str">
        <f t="shared" si="38"/>
        <v/>
      </c>
      <c r="Z167" s="43"/>
      <c r="AA167" s="107"/>
      <c r="AB167" s="76" t="str">
        <f t="shared" si="39"/>
        <v/>
      </c>
      <c r="AC167" s="74" t="str">
        <f t="shared" si="40"/>
        <v/>
      </c>
    </row>
    <row r="168" ht="18" customHeight="1" spans="1:29">
      <c r="A168" s="32" t="str">
        <f t="shared" si="28"/>
        <v/>
      </c>
      <c r="B168" s="108"/>
      <c r="C168" s="11"/>
      <c r="D168" s="11"/>
      <c r="E168" s="10"/>
      <c r="F168" s="109"/>
      <c r="G168" s="109"/>
      <c r="H168" s="27" t="str">
        <f t="shared" si="41"/>
        <v/>
      </c>
      <c r="I168" s="11" t="s">
        <v>253</v>
      </c>
      <c r="J168" s="27" t="str">
        <f t="shared" si="29"/>
        <v/>
      </c>
      <c r="K168" s="27">
        <v>0</v>
      </c>
      <c r="L168" s="11"/>
      <c r="M168" s="11"/>
      <c r="N168" s="10"/>
      <c r="O168" s="11"/>
      <c r="P168" s="10"/>
      <c r="Q168" s="26" t="str">
        <f t="shared" si="30"/>
        <v/>
      </c>
      <c r="R168" s="27" t="str">
        <f t="shared" si="31"/>
        <v/>
      </c>
      <c r="S168" s="27" t="str">
        <f t="shared" si="32"/>
        <v/>
      </c>
      <c r="T168" s="26" t="str">
        <f t="shared" si="33"/>
        <v/>
      </c>
      <c r="U168" s="27" t="str">
        <f t="shared" si="34"/>
        <v/>
      </c>
      <c r="V168" s="27" t="str">
        <f t="shared" si="35"/>
        <v/>
      </c>
      <c r="W168" s="26" t="str">
        <f t="shared" si="36"/>
        <v/>
      </c>
      <c r="X168" s="27" t="str">
        <f t="shared" si="37"/>
        <v/>
      </c>
      <c r="Y168" s="27" t="str">
        <f t="shared" si="38"/>
        <v/>
      </c>
      <c r="Z168" s="43"/>
      <c r="AA168" s="107"/>
      <c r="AB168" s="76" t="str">
        <f t="shared" si="39"/>
        <v/>
      </c>
      <c r="AC168" s="74" t="str">
        <f t="shared" si="40"/>
        <v/>
      </c>
    </row>
    <row r="169" ht="18" customHeight="1" spans="1:29">
      <c r="A169" s="32" t="str">
        <f t="shared" si="28"/>
        <v/>
      </c>
      <c r="B169" s="108"/>
      <c r="C169" s="11"/>
      <c r="D169" s="11"/>
      <c r="E169" s="10"/>
      <c r="F169" s="109"/>
      <c r="G169" s="109"/>
      <c r="H169" s="27" t="str">
        <f t="shared" si="41"/>
        <v/>
      </c>
      <c r="I169" s="11" t="s">
        <v>253</v>
      </c>
      <c r="J169" s="27" t="str">
        <f t="shared" si="29"/>
        <v/>
      </c>
      <c r="K169" s="27">
        <v>0</v>
      </c>
      <c r="L169" s="11"/>
      <c r="M169" s="11"/>
      <c r="N169" s="10"/>
      <c r="O169" s="11"/>
      <c r="P169" s="10"/>
      <c r="Q169" s="26" t="str">
        <f t="shared" si="30"/>
        <v/>
      </c>
      <c r="R169" s="27" t="str">
        <f t="shared" si="31"/>
        <v/>
      </c>
      <c r="S169" s="27" t="str">
        <f t="shared" si="32"/>
        <v/>
      </c>
      <c r="T169" s="26" t="str">
        <f t="shared" si="33"/>
        <v/>
      </c>
      <c r="U169" s="27" t="str">
        <f t="shared" si="34"/>
        <v/>
      </c>
      <c r="V169" s="27" t="str">
        <f t="shared" si="35"/>
        <v/>
      </c>
      <c r="W169" s="26" t="str">
        <f t="shared" si="36"/>
        <v/>
      </c>
      <c r="X169" s="27" t="str">
        <f t="shared" si="37"/>
        <v/>
      </c>
      <c r="Y169" s="27" t="str">
        <f t="shared" si="38"/>
        <v/>
      </c>
      <c r="Z169" s="43"/>
      <c r="AA169" s="107"/>
      <c r="AB169" s="76" t="str">
        <f t="shared" si="39"/>
        <v/>
      </c>
      <c r="AC169" s="74" t="str">
        <f t="shared" si="40"/>
        <v/>
      </c>
    </row>
    <row r="170" ht="18" customHeight="1" spans="1:29">
      <c r="A170" s="32" t="str">
        <f t="shared" si="28"/>
        <v/>
      </c>
      <c r="B170" s="108"/>
      <c r="C170" s="11"/>
      <c r="D170" s="11"/>
      <c r="E170" s="10"/>
      <c r="F170" s="109"/>
      <c r="G170" s="109"/>
      <c r="H170" s="27" t="str">
        <f t="shared" si="41"/>
        <v/>
      </c>
      <c r="I170" s="11" t="s">
        <v>253</v>
      </c>
      <c r="J170" s="27" t="str">
        <f t="shared" si="29"/>
        <v/>
      </c>
      <c r="K170" s="27">
        <v>0</v>
      </c>
      <c r="L170" s="11"/>
      <c r="M170" s="11"/>
      <c r="N170" s="10"/>
      <c r="O170" s="11"/>
      <c r="P170" s="10"/>
      <c r="Q170" s="26" t="str">
        <f t="shared" si="30"/>
        <v/>
      </c>
      <c r="R170" s="27" t="str">
        <f t="shared" si="31"/>
        <v/>
      </c>
      <c r="S170" s="27" t="str">
        <f t="shared" si="32"/>
        <v/>
      </c>
      <c r="T170" s="26" t="str">
        <f t="shared" si="33"/>
        <v/>
      </c>
      <c r="U170" s="27" t="str">
        <f t="shared" si="34"/>
        <v/>
      </c>
      <c r="V170" s="27" t="str">
        <f t="shared" si="35"/>
        <v/>
      </c>
      <c r="W170" s="26" t="str">
        <f t="shared" si="36"/>
        <v/>
      </c>
      <c r="X170" s="27" t="str">
        <f t="shared" si="37"/>
        <v/>
      </c>
      <c r="Y170" s="27" t="str">
        <f t="shared" si="38"/>
        <v/>
      </c>
      <c r="Z170" s="43"/>
      <c r="AA170" s="107"/>
      <c r="AB170" s="76" t="str">
        <f t="shared" si="39"/>
        <v/>
      </c>
      <c r="AC170" s="74" t="str">
        <f t="shared" si="40"/>
        <v/>
      </c>
    </row>
    <row r="171" ht="18" customHeight="1" spans="1:29">
      <c r="A171" s="32" t="str">
        <f t="shared" si="28"/>
        <v/>
      </c>
      <c r="B171" s="108"/>
      <c r="C171" s="11"/>
      <c r="D171" s="11"/>
      <c r="E171" s="10"/>
      <c r="F171" s="109"/>
      <c r="G171" s="109"/>
      <c r="H171" s="27" t="str">
        <f t="shared" si="41"/>
        <v/>
      </c>
      <c r="I171" s="11" t="s">
        <v>253</v>
      </c>
      <c r="J171" s="27" t="str">
        <f t="shared" si="29"/>
        <v/>
      </c>
      <c r="K171" s="27">
        <v>0</v>
      </c>
      <c r="L171" s="11"/>
      <c r="M171" s="11"/>
      <c r="N171" s="10"/>
      <c r="O171" s="11"/>
      <c r="P171" s="10"/>
      <c r="Q171" s="26" t="str">
        <f t="shared" si="30"/>
        <v/>
      </c>
      <c r="R171" s="27" t="str">
        <f t="shared" si="31"/>
        <v/>
      </c>
      <c r="S171" s="27" t="str">
        <f t="shared" si="32"/>
        <v/>
      </c>
      <c r="T171" s="26" t="str">
        <f t="shared" si="33"/>
        <v/>
      </c>
      <c r="U171" s="27" t="str">
        <f t="shared" si="34"/>
        <v/>
      </c>
      <c r="V171" s="27" t="str">
        <f t="shared" si="35"/>
        <v/>
      </c>
      <c r="W171" s="26" t="str">
        <f t="shared" si="36"/>
        <v/>
      </c>
      <c r="X171" s="27" t="str">
        <f t="shared" si="37"/>
        <v/>
      </c>
      <c r="Y171" s="27" t="str">
        <f t="shared" si="38"/>
        <v/>
      </c>
      <c r="Z171" s="43"/>
      <c r="AA171" s="107"/>
      <c r="AB171" s="76" t="str">
        <f t="shared" si="39"/>
        <v/>
      </c>
      <c r="AC171" s="74" t="str">
        <f t="shared" si="40"/>
        <v/>
      </c>
    </row>
    <row r="172" ht="18" customHeight="1" spans="1:29">
      <c r="A172" s="32" t="str">
        <f t="shared" si="28"/>
        <v/>
      </c>
      <c r="B172" s="108"/>
      <c r="C172" s="11"/>
      <c r="D172" s="11"/>
      <c r="E172" s="10"/>
      <c r="F172" s="109"/>
      <c r="G172" s="109"/>
      <c r="H172" s="27" t="str">
        <f t="shared" si="41"/>
        <v/>
      </c>
      <c r="I172" s="11" t="s">
        <v>253</v>
      </c>
      <c r="J172" s="27" t="str">
        <f t="shared" si="29"/>
        <v/>
      </c>
      <c r="K172" s="27">
        <v>0</v>
      </c>
      <c r="L172" s="11"/>
      <c r="M172" s="11"/>
      <c r="N172" s="10"/>
      <c r="O172" s="11"/>
      <c r="P172" s="10"/>
      <c r="Q172" s="26" t="str">
        <f t="shared" si="30"/>
        <v/>
      </c>
      <c r="R172" s="27" t="str">
        <f t="shared" si="31"/>
        <v/>
      </c>
      <c r="S172" s="27" t="str">
        <f t="shared" si="32"/>
        <v/>
      </c>
      <c r="T172" s="26" t="str">
        <f t="shared" si="33"/>
        <v/>
      </c>
      <c r="U172" s="27" t="str">
        <f t="shared" si="34"/>
        <v/>
      </c>
      <c r="V172" s="27" t="str">
        <f t="shared" si="35"/>
        <v/>
      </c>
      <c r="W172" s="26" t="str">
        <f t="shared" si="36"/>
        <v/>
      </c>
      <c r="X172" s="27" t="str">
        <f t="shared" si="37"/>
        <v/>
      </c>
      <c r="Y172" s="27" t="str">
        <f t="shared" si="38"/>
        <v/>
      </c>
      <c r="Z172" s="43"/>
      <c r="AA172" s="107"/>
      <c r="AB172" s="76" t="str">
        <f t="shared" si="39"/>
        <v/>
      </c>
      <c r="AC172" s="74" t="str">
        <f t="shared" si="40"/>
        <v/>
      </c>
    </row>
    <row r="173" ht="18" customHeight="1" spans="1:29">
      <c r="A173" s="32" t="str">
        <f t="shared" si="28"/>
        <v/>
      </c>
      <c r="B173" s="108"/>
      <c r="C173" s="11"/>
      <c r="D173" s="11"/>
      <c r="E173" s="10"/>
      <c r="F173" s="109"/>
      <c r="G173" s="109"/>
      <c r="H173" s="27" t="str">
        <f t="shared" si="41"/>
        <v/>
      </c>
      <c r="I173" s="11" t="s">
        <v>253</v>
      </c>
      <c r="J173" s="27" t="str">
        <f t="shared" si="29"/>
        <v/>
      </c>
      <c r="K173" s="27">
        <v>0</v>
      </c>
      <c r="L173" s="11"/>
      <c r="M173" s="11"/>
      <c r="N173" s="10"/>
      <c r="O173" s="11"/>
      <c r="P173" s="10"/>
      <c r="Q173" s="26" t="str">
        <f t="shared" si="30"/>
        <v/>
      </c>
      <c r="R173" s="27" t="str">
        <f t="shared" si="31"/>
        <v/>
      </c>
      <c r="S173" s="27" t="str">
        <f t="shared" si="32"/>
        <v/>
      </c>
      <c r="T173" s="26" t="str">
        <f t="shared" si="33"/>
        <v/>
      </c>
      <c r="U173" s="27" t="str">
        <f t="shared" si="34"/>
        <v/>
      </c>
      <c r="V173" s="27" t="str">
        <f t="shared" si="35"/>
        <v/>
      </c>
      <c r="W173" s="26" t="str">
        <f t="shared" si="36"/>
        <v/>
      </c>
      <c r="X173" s="27" t="str">
        <f t="shared" si="37"/>
        <v/>
      </c>
      <c r="Y173" s="27" t="str">
        <f t="shared" si="38"/>
        <v/>
      </c>
      <c r="Z173" s="43"/>
      <c r="AA173" s="107"/>
      <c r="AB173" s="76" t="str">
        <f t="shared" si="39"/>
        <v/>
      </c>
      <c r="AC173" s="74" t="str">
        <f t="shared" si="40"/>
        <v/>
      </c>
    </row>
    <row r="174" ht="18" customHeight="1" spans="1:29">
      <c r="A174" s="32" t="str">
        <f t="shared" si="28"/>
        <v/>
      </c>
      <c r="B174" s="108"/>
      <c r="C174" s="11"/>
      <c r="D174" s="11"/>
      <c r="E174" s="10"/>
      <c r="F174" s="109"/>
      <c r="G174" s="109"/>
      <c r="H174" s="27" t="str">
        <f t="shared" si="41"/>
        <v/>
      </c>
      <c r="I174" s="11" t="s">
        <v>253</v>
      </c>
      <c r="J174" s="27" t="str">
        <f t="shared" si="29"/>
        <v/>
      </c>
      <c r="K174" s="27">
        <v>0</v>
      </c>
      <c r="L174" s="11"/>
      <c r="M174" s="11"/>
      <c r="N174" s="10"/>
      <c r="O174" s="11"/>
      <c r="P174" s="10"/>
      <c r="Q174" s="26" t="str">
        <f t="shared" si="30"/>
        <v/>
      </c>
      <c r="R174" s="27" t="str">
        <f t="shared" si="31"/>
        <v/>
      </c>
      <c r="S174" s="27" t="str">
        <f t="shared" si="32"/>
        <v/>
      </c>
      <c r="T174" s="26" t="str">
        <f t="shared" si="33"/>
        <v/>
      </c>
      <c r="U174" s="27" t="str">
        <f t="shared" si="34"/>
        <v/>
      </c>
      <c r="V174" s="27" t="str">
        <f t="shared" si="35"/>
        <v/>
      </c>
      <c r="W174" s="26" t="str">
        <f t="shared" si="36"/>
        <v/>
      </c>
      <c r="X174" s="27" t="str">
        <f t="shared" si="37"/>
        <v/>
      </c>
      <c r="Y174" s="27" t="str">
        <f t="shared" si="38"/>
        <v/>
      </c>
      <c r="Z174" s="43"/>
      <c r="AA174" s="107"/>
      <c r="AB174" s="76" t="str">
        <f t="shared" si="39"/>
        <v/>
      </c>
      <c r="AC174" s="74" t="str">
        <f t="shared" si="40"/>
        <v/>
      </c>
    </row>
    <row r="175" ht="18" customHeight="1" spans="1:29">
      <c r="A175" s="32" t="str">
        <f t="shared" si="28"/>
        <v/>
      </c>
      <c r="B175" s="108"/>
      <c r="C175" s="11"/>
      <c r="D175" s="11"/>
      <c r="E175" s="10"/>
      <c r="F175" s="109"/>
      <c r="G175" s="109"/>
      <c r="H175" s="27" t="str">
        <f t="shared" si="41"/>
        <v/>
      </c>
      <c r="I175" s="11" t="s">
        <v>253</v>
      </c>
      <c r="J175" s="27" t="str">
        <f t="shared" si="29"/>
        <v/>
      </c>
      <c r="K175" s="27">
        <v>0</v>
      </c>
      <c r="L175" s="11"/>
      <c r="M175" s="11"/>
      <c r="N175" s="10"/>
      <c r="O175" s="11"/>
      <c r="P175" s="10"/>
      <c r="Q175" s="26" t="str">
        <f t="shared" si="30"/>
        <v/>
      </c>
      <c r="R175" s="27" t="str">
        <f t="shared" si="31"/>
        <v/>
      </c>
      <c r="S175" s="27" t="str">
        <f t="shared" si="32"/>
        <v/>
      </c>
      <c r="T175" s="26" t="str">
        <f t="shared" si="33"/>
        <v/>
      </c>
      <c r="U175" s="27" t="str">
        <f t="shared" si="34"/>
        <v/>
      </c>
      <c r="V175" s="27" t="str">
        <f t="shared" si="35"/>
        <v/>
      </c>
      <c r="W175" s="26" t="str">
        <f t="shared" si="36"/>
        <v/>
      </c>
      <c r="X175" s="27" t="str">
        <f t="shared" si="37"/>
        <v/>
      </c>
      <c r="Y175" s="27" t="str">
        <f t="shared" si="38"/>
        <v/>
      </c>
      <c r="Z175" s="43"/>
      <c r="AA175" s="107"/>
      <c r="AB175" s="76" t="str">
        <f t="shared" si="39"/>
        <v/>
      </c>
      <c r="AC175" s="74" t="str">
        <f t="shared" si="40"/>
        <v/>
      </c>
    </row>
    <row r="176" ht="18" customHeight="1" spans="1:29">
      <c r="A176" s="32" t="str">
        <f t="shared" si="28"/>
        <v/>
      </c>
      <c r="B176" s="108"/>
      <c r="C176" s="11"/>
      <c r="D176" s="11"/>
      <c r="E176" s="10"/>
      <c r="F176" s="109"/>
      <c r="G176" s="109"/>
      <c r="H176" s="27" t="str">
        <f t="shared" si="41"/>
        <v/>
      </c>
      <c r="I176" s="11" t="s">
        <v>253</v>
      </c>
      <c r="J176" s="27" t="str">
        <f t="shared" si="29"/>
        <v/>
      </c>
      <c r="K176" s="27">
        <v>0</v>
      </c>
      <c r="L176" s="11"/>
      <c r="M176" s="11"/>
      <c r="N176" s="10"/>
      <c r="O176" s="11"/>
      <c r="P176" s="10"/>
      <c r="Q176" s="26" t="str">
        <f t="shared" si="30"/>
        <v/>
      </c>
      <c r="R176" s="27" t="str">
        <f t="shared" si="31"/>
        <v/>
      </c>
      <c r="S176" s="27" t="str">
        <f t="shared" si="32"/>
        <v/>
      </c>
      <c r="T176" s="26" t="str">
        <f t="shared" si="33"/>
        <v/>
      </c>
      <c r="U176" s="27" t="str">
        <f t="shared" si="34"/>
        <v/>
      </c>
      <c r="V176" s="27" t="str">
        <f t="shared" si="35"/>
        <v/>
      </c>
      <c r="W176" s="26" t="str">
        <f t="shared" si="36"/>
        <v/>
      </c>
      <c r="X176" s="27" t="str">
        <f t="shared" si="37"/>
        <v/>
      </c>
      <c r="Y176" s="27" t="str">
        <f t="shared" si="38"/>
        <v/>
      </c>
      <c r="Z176" s="43"/>
      <c r="AA176" s="107"/>
      <c r="AB176" s="76" t="str">
        <f t="shared" si="39"/>
        <v/>
      </c>
      <c r="AC176" s="74" t="str">
        <f t="shared" si="40"/>
        <v/>
      </c>
    </row>
    <row r="177" ht="18" customHeight="1" spans="1:29">
      <c r="A177" s="32" t="str">
        <f t="shared" si="28"/>
        <v/>
      </c>
      <c r="B177" s="108"/>
      <c r="C177" s="11"/>
      <c r="D177" s="11"/>
      <c r="E177" s="10"/>
      <c r="F177" s="109"/>
      <c r="G177" s="109"/>
      <c r="H177" s="27" t="str">
        <f t="shared" si="41"/>
        <v/>
      </c>
      <c r="I177" s="11" t="s">
        <v>253</v>
      </c>
      <c r="J177" s="27" t="str">
        <f t="shared" si="29"/>
        <v/>
      </c>
      <c r="K177" s="27">
        <v>0</v>
      </c>
      <c r="L177" s="11"/>
      <c r="M177" s="11"/>
      <c r="N177" s="10"/>
      <c r="O177" s="11"/>
      <c r="P177" s="10"/>
      <c r="Q177" s="26" t="str">
        <f t="shared" si="30"/>
        <v/>
      </c>
      <c r="R177" s="27" t="str">
        <f t="shared" si="31"/>
        <v/>
      </c>
      <c r="S177" s="27" t="str">
        <f t="shared" si="32"/>
        <v/>
      </c>
      <c r="T177" s="26" t="str">
        <f t="shared" si="33"/>
        <v/>
      </c>
      <c r="U177" s="27" t="str">
        <f t="shared" si="34"/>
        <v/>
      </c>
      <c r="V177" s="27" t="str">
        <f t="shared" si="35"/>
        <v/>
      </c>
      <c r="W177" s="26" t="str">
        <f t="shared" si="36"/>
        <v/>
      </c>
      <c r="X177" s="27" t="str">
        <f t="shared" si="37"/>
        <v/>
      </c>
      <c r="Y177" s="27" t="str">
        <f t="shared" si="38"/>
        <v/>
      </c>
      <c r="Z177" s="43"/>
      <c r="AA177" s="107"/>
      <c r="AB177" s="76" t="str">
        <f t="shared" si="39"/>
        <v/>
      </c>
      <c r="AC177" s="74" t="str">
        <f t="shared" si="40"/>
        <v/>
      </c>
    </row>
    <row r="178" ht="18" customHeight="1" spans="1:29">
      <c r="A178" s="32" t="str">
        <f t="shared" si="28"/>
        <v/>
      </c>
      <c r="B178" s="108"/>
      <c r="C178" s="11"/>
      <c r="D178" s="11"/>
      <c r="E178" s="10"/>
      <c r="F178" s="109"/>
      <c r="G178" s="109"/>
      <c r="H178" s="27" t="str">
        <f t="shared" si="41"/>
        <v/>
      </c>
      <c r="I178" s="11" t="s">
        <v>253</v>
      </c>
      <c r="J178" s="27" t="str">
        <f t="shared" si="29"/>
        <v/>
      </c>
      <c r="K178" s="27">
        <v>0</v>
      </c>
      <c r="L178" s="11"/>
      <c r="M178" s="11"/>
      <c r="N178" s="10"/>
      <c r="O178" s="11"/>
      <c r="P178" s="10"/>
      <c r="Q178" s="26" t="str">
        <f t="shared" si="30"/>
        <v/>
      </c>
      <c r="R178" s="27" t="str">
        <f t="shared" si="31"/>
        <v/>
      </c>
      <c r="S178" s="27" t="str">
        <f t="shared" si="32"/>
        <v/>
      </c>
      <c r="T178" s="26" t="str">
        <f t="shared" si="33"/>
        <v/>
      </c>
      <c r="U178" s="27" t="str">
        <f t="shared" si="34"/>
        <v/>
      </c>
      <c r="V178" s="27" t="str">
        <f t="shared" si="35"/>
        <v/>
      </c>
      <c r="W178" s="26" t="str">
        <f t="shared" si="36"/>
        <v/>
      </c>
      <c r="X178" s="27" t="str">
        <f t="shared" si="37"/>
        <v/>
      </c>
      <c r="Y178" s="27" t="str">
        <f t="shared" si="38"/>
        <v/>
      </c>
      <c r="Z178" s="43"/>
      <c r="AA178" s="107"/>
      <c r="AB178" s="76" t="str">
        <f t="shared" si="39"/>
        <v/>
      </c>
      <c r="AC178" s="74" t="str">
        <f t="shared" si="40"/>
        <v/>
      </c>
    </row>
    <row r="179" ht="18" customHeight="1" spans="1:29">
      <c r="A179" s="32" t="str">
        <f t="shared" si="28"/>
        <v/>
      </c>
      <c r="B179" s="108"/>
      <c r="C179" s="11"/>
      <c r="D179" s="11"/>
      <c r="E179" s="10"/>
      <c r="F179" s="109"/>
      <c r="G179" s="109"/>
      <c r="H179" s="27" t="str">
        <f t="shared" si="41"/>
        <v/>
      </c>
      <c r="I179" s="11" t="s">
        <v>253</v>
      </c>
      <c r="J179" s="27" t="str">
        <f t="shared" si="29"/>
        <v/>
      </c>
      <c r="K179" s="27">
        <v>0</v>
      </c>
      <c r="L179" s="11"/>
      <c r="M179" s="11"/>
      <c r="N179" s="10"/>
      <c r="O179" s="11"/>
      <c r="P179" s="10"/>
      <c r="Q179" s="26" t="str">
        <f t="shared" si="30"/>
        <v/>
      </c>
      <c r="R179" s="27" t="str">
        <f t="shared" si="31"/>
        <v/>
      </c>
      <c r="S179" s="27" t="str">
        <f t="shared" si="32"/>
        <v/>
      </c>
      <c r="T179" s="26" t="str">
        <f t="shared" si="33"/>
        <v/>
      </c>
      <c r="U179" s="27" t="str">
        <f t="shared" si="34"/>
        <v/>
      </c>
      <c r="V179" s="27" t="str">
        <f t="shared" si="35"/>
        <v/>
      </c>
      <c r="W179" s="26" t="str">
        <f t="shared" si="36"/>
        <v/>
      </c>
      <c r="X179" s="27" t="str">
        <f t="shared" si="37"/>
        <v/>
      </c>
      <c r="Y179" s="27" t="str">
        <f t="shared" si="38"/>
        <v/>
      </c>
      <c r="Z179" s="43"/>
      <c r="AA179" s="107"/>
      <c r="AB179" s="76" t="str">
        <f t="shared" si="39"/>
        <v/>
      </c>
      <c r="AC179" s="74" t="str">
        <f t="shared" si="40"/>
        <v/>
      </c>
    </row>
    <row r="180" ht="18" customHeight="1" spans="1:29">
      <c r="A180" s="32" t="str">
        <f t="shared" si="28"/>
        <v/>
      </c>
      <c r="B180" s="108"/>
      <c r="C180" s="11"/>
      <c r="D180" s="11"/>
      <c r="E180" s="10"/>
      <c r="F180" s="109"/>
      <c r="G180" s="109"/>
      <c r="H180" s="27" t="str">
        <f t="shared" si="41"/>
        <v/>
      </c>
      <c r="I180" s="11" t="s">
        <v>253</v>
      </c>
      <c r="J180" s="27" t="str">
        <f t="shared" si="29"/>
        <v/>
      </c>
      <c r="K180" s="27">
        <v>0</v>
      </c>
      <c r="L180" s="11"/>
      <c r="M180" s="11"/>
      <c r="N180" s="10"/>
      <c r="O180" s="11"/>
      <c r="P180" s="10"/>
      <c r="Q180" s="26" t="str">
        <f t="shared" si="30"/>
        <v/>
      </c>
      <c r="R180" s="27" t="str">
        <f t="shared" si="31"/>
        <v/>
      </c>
      <c r="S180" s="27" t="str">
        <f t="shared" si="32"/>
        <v/>
      </c>
      <c r="T180" s="26" t="str">
        <f t="shared" si="33"/>
        <v/>
      </c>
      <c r="U180" s="27" t="str">
        <f t="shared" si="34"/>
        <v/>
      </c>
      <c r="V180" s="27" t="str">
        <f t="shared" si="35"/>
        <v/>
      </c>
      <c r="W180" s="26" t="str">
        <f t="shared" si="36"/>
        <v/>
      </c>
      <c r="X180" s="27" t="str">
        <f t="shared" si="37"/>
        <v/>
      </c>
      <c r="Y180" s="27" t="str">
        <f t="shared" si="38"/>
        <v/>
      </c>
      <c r="Z180" s="43"/>
      <c r="AA180" s="107"/>
      <c r="AB180" s="76" t="str">
        <f t="shared" si="39"/>
        <v/>
      </c>
      <c r="AC180" s="74" t="str">
        <f t="shared" si="40"/>
        <v/>
      </c>
    </row>
    <row r="181" ht="18" customHeight="1" spans="1:29">
      <c r="A181" s="32" t="str">
        <f t="shared" si="28"/>
        <v/>
      </c>
      <c r="B181" s="108"/>
      <c r="C181" s="11"/>
      <c r="D181" s="11"/>
      <c r="E181" s="10"/>
      <c r="F181" s="109"/>
      <c r="G181" s="109"/>
      <c r="H181" s="27" t="str">
        <f t="shared" si="41"/>
        <v/>
      </c>
      <c r="I181" s="11" t="s">
        <v>253</v>
      </c>
      <c r="J181" s="27" t="str">
        <f t="shared" si="29"/>
        <v/>
      </c>
      <c r="K181" s="27">
        <v>0</v>
      </c>
      <c r="L181" s="11"/>
      <c r="M181" s="11"/>
      <c r="N181" s="10"/>
      <c r="O181" s="11"/>
      <c r="P181" s="10"/>
      <c r="Q181" s="26" t="str">
        <f t="shared" si="30"/>
        <v/>
      </c>
      <c r="R181" s="27" t="str">
        <f t="shared" si="31"/>
        <v/>
      </c>
      <c r="S181" s="27" t="str">
        <f t="shared" si="32"/>
        <v/>
      </c>
      <c r="T181" s="26" t="str">
        <f t="shared" si="33"/>
        <v/>
      </c>
      <c r="U181" s="27" t="str">
        <f t="shared" si="34"/>
        <v/>
      </c>
      <c r="V181" s="27" t="str">
        <f t="shared" si="35"/>
        <v/>
      </c>
      <c r="W181" s="26" t="str">
        <f t="shared" si="36"/>
        <v/>
      </c>
      <c r="X181" s="27" t="str">
        <f t="shared" si="37"/>
        <v/>
      </c>
      <c r="Y181" s="27" t="str">
        <f t="shared" si="38"/>
        <v/>
      </c>
      <c r="Z181" s="43"/>
      <c r="AA181" s="107"/>
      <c r="AB181" s="76" t="str">
        <f t="shared" si="39"/>
        <v/>
      </c>
      <c r="AC181" s="74" t="str">
        <f t="shared" si="40"/>
        <v/>
      </c>
    </row>
    <row r="182" ht="18" customHeight="1" spans="1:29">
      <c r="A182" s="32" t="str">
        <f t="shared" si="28"/>
        <v/>
      </c>
      <c r="B182" s="108"/>
      <c r="C182" s="11"/>
      <c r="D182" s="11"/>
      <c r="E182" s="10"/>
      <c r="F182" s="109"/>
      <c r="G182" s="109"/>
      <c r="H182" s="27" t="str">
        <f t="shared" si="41"/>
        <v/>
      </c>
      <c r="I182" s="11" t="s">
        <v>253</v>
      </c>
      <c r="J182" s="27" t="str">
        <f t="shared" si="29"/>
        <v/>
      </c>
      <c r="K182" s="27">
        <v>0</v>
      </c>
      <c r="L182" s="11"/>
      <c r="M182" s="11"/>
      <c r="N182" s="10"/>
      <c r="O182" s="11"/>
      <c r="P182" s="10"/>
      <c r="Q182" s="26" t="str">
        <f t="shared" si="30"/>
        <v/>
      </c>
      <c r="R182" s="27" t="str">
        <f t="shared" si="31"/>
        <v/>
      </c>
      <c r="S182" s="27" t="str">
        <f t="shared" si="32"/>
        <v/>
      </c>
      <c r="T182" s="26" t="str">
        <f t="shared" si="33"/>
        <v/>
      </c>
      <c r="U182" s="27" t="str">
        <f t="shared" si="34"/>
        <v/>
      </c>
      <c r="V182" s="27" t="str">
        <f t="shared" si="35"/>
        <v/>
      </c>
      <c r="W182" s="26" t="str">
        <f t="shared" si="36"/>
        <v/>
      </c>
      <c r="X182" s="27" t="str">
        <f t="shared" si="37"/>
        <v/>
      </c>
      <c r="Y182" s="27" t="str">
        <f t="shared" si="38"/>
        <v/>
      </c>
      <c r="Z182" s="43"/>
      <c r="AA182" s="107"/>
      <c r="AB182" s="76" t="str">
        <f t="shared" si="39"/>
        <v/>
      </c>
      <c r="AC182" s="74" t="str">
        <f t="shared" si="40"/>
        <v/>
      </c>
    </row>
    <row r="183" ht="18" customHeight="1" spans="1:29">
      <c r="A183" s="32" t="str">
        <f t="shared" si="28"/>
        <v/>
      </c>
      <c r="B183" s="108"/>
      <c r="C183" s="11"/>
      <c r="D183" s="11"/>
      <c r="E183" s="10"/>
      <c r="F183" s="109"/>
      <c r="G183" s="109"/>
      <c r="H183" s="27" t="str">
        <f t="shared" si="41"/>
        <v/>
      </c>
      <c r="I183" s="11" t="s">
        <v>253</v>
      </c>
      <c r="J183" s="27" t="str">
        <f t="shared" si="29"/>
        <v/>
      </c>
      <c r="K183" s="27">
        <v>0</v>
      </c>
      <c r="L183" s="11"/>
      <c r="M183" s="11"/>
      <c r="N183" s="10"/>
      <c r="O183" s="11"/>
      <c r="P183" s="10"/>
      <c r="Q183" s="26" t="str">
        <f t="shared" si="30"/>
        <v/>
      </c>
      <c r="R183" s="27" t="str">
        <f t="shared" si="31"/>
        <v/>
      </c>
      <c r="S183" s="27" t="str">
        <f t="shared" si="32"/>
        <v/>
      </c>
      <c r="T183" s="26" t="str">
        <f t="shared" si="33"/>
        <v/>
      </c>
      <c r="U183" s="27" t="str">
        <f t="shared" si="34"/>
        <v/>
      </c>
      <c r="V183" s="27" t="str">
        <f t="shared" si="35"/>
        <v/>
      </c>
      <c r="W183" s="26" t="str">
        <f t="shared" si="36"/>
        <v/>
      </c>
      <c r="X183" s="27" t="str">
        <f t="shared" si="37"/>
        <v/>
      </c>
      <c r="Y183" s="27" t="str">
        <f t="shared" si="38"/>
        <v/>
      </c>
      <c r="Z183" s="43"/>
      <c r="AA183" s="107"/>
      <c r="AB183" s="76" t="str">
        <f t="shared" si="39"/>
        <v/>
      </c>
      <c r="AC183" s="74" t="str">
        <f t="shared" si="40"/>
        <v/>
      </c>
    </row>
    <row r="184" ht="18" customHeight="1" spans="1:29">
      <c r="A184" s="32" t="str">
        <f t="shared" si="28"/>
        <v/>
      </c>
      <c r="B184" s="108"/>
      <c r="C184" s="11"/>
      <c r="D184" s="11"/>
      <c r="E184" s="10"/>
      <c r="F184" s="109"/>
      <c r="G184" s="109"/>
      <c r="H184" s="27" t="str">
        <f t="shared" si="41"/>
        <v/>
      </c>
      <c r="I184" s="11" t="s">
        <v>253</v>
      </c>
      <c r="J184" s="27" t="str">
        <f t="shared" si="29"/>
        <v/>
      </c>
      <c r="K184" s="27">
        <v>0</v>
      </c>
      <c r="L184" s="11"/>
      <c r="M184" s="11"/>
      <c r="N184" s="10"/>
      <c r="O184" s="11"/>
      <c r="P184" s="10"/>
      <c r="Q184" s="26" t="str">
        <f t="shared" si="30"/>
        <v/>
      </c>
      <c r="R184" s="27" t="str">
        <f t="shared" si="31"/>
        <v/>
      </c>
      <c r="S184" s="27" t="str">
        <f t="shared" si="32"/>
        <v/>
      </c>
      <c r="T184" s="26" t="str">
        <f t="shared" si="33"/>
        <v/>
      </c>
      <c r="U184" s="27" t="str">
        <f t="shared" si="34"/>
        <v/>
      </c>
      <c r="V184" s="27" t="str">
        <f t="shared" si="35"/>
        <v/>
      </c>
      <c r="W184" s="26" t="str">
        <f t="shared" si="36"/>
        <v/>
      </c>
      <c r="X184" s="27" t="str">
        <f t="shared" si="37"/>
        <v/>
      </c>
      <c r="Y184" s="27" t="str">
        <f t="shared" si="38"/>
        <v/>
      </c>
      <c r="Z184" s="43"/>
      <c r="AA184" s="107"/>
      <c r="AB184" s="76" t="str">
        <f t="shared" si="39"/>
        <v/>
      </c>
      <c r="AC184" s="74" t="str">
        <f t="shared" si="40"/>
        <v/>
      </c>
    </row>
    <row r="185" ht="18" customHeight="1" spans="1:29">
      <c r="A185" s="32" t="str">
        <f t="shared" si="28"/>
        <v/>
      </c>
      <c r="B185" s="108"/>
      <c r="C185" s="11"/>
      <c r="D185" s="11"/>
      <c r="E185" s="10"/>
      <c r="F185" s="109"/>
      <c r="G185" s="109"/>
      <c r="H185" s="27" t="str">
        <f t="shared" si="41"/>
        <v/>
      </c>
      <c r="I185" s="11" t="s">
        <v>253</v>
      </c>
      <c r="J185" s="27" t="str">
        <f t="shared" si="29"/>
        <v/>
      </c>
      <c r="K185" s="27">
        <v>0</v>
      </c>
      <c r="L185" s="11"/>
      <c r="M185" s="11"/>
      <c r="N185" s="10"/>
      <c r="O185" s="11"/>
      <c r="P185" s="10"/>
      <c r="Q185" s="26" t="str">
        <f t="shared" si="30"/>
        <v/>
      </c>
      <c r="R185" s="27" t="str">
        <f t="shared" si="31"/>
        <v/>
      </c>
      <c r="S185" s="27" t="str">
        <f t="shared" si="32"/>
        <v/>
      </c>
      <c r="T185" s="26" t="str">
        <f t="shared" si="33"/>
        <v/>
      </c>
      <c r="U185" s="27" t="str">
        <f t="shared" si="34"/>
        <v/>
      </c>
      <c r="V185" s="27" t="str">
        <f t="shared" si="35"/>
        <v/>
      </c>
      <c r="W185" s="26" t="str">
        <f t="shared" si="36"/>
        <v/>
      </c>
      <c r="X185" s="27" t="str">
        <f t="shared" si="37"/>
        <v/>
      </c>
      <c r="Y185" s="27" t="str">
        <f t="shared" si="38"/>
        <v/>
      </c>
      <c r="Z185" s="43"/>
      <c r="AA185" s="107"/>
      <c r="AB185" s="76" t="str">
        <f t="shared" si="39"/>
        <v/>
      </c>
      <c r="AC185" s="74" t="str">
        <f t="shared" si="40"/>
        <v/>
      </c>
    </row>
    <row r="186" ht="18" customHeight="1" spans="1:29">
      <c r="A186" s="32" t="str">
        <f t="shared" si="28"/>
        <v/>
      </c>
      <c r="B186" s="108"/>
      <c r="C186" s="11"/>
      <c r="D186" s="11"/>
      <c r="E186" s="10"/>
      <c r="F186" s="109"/>
      <c r="G186" s="109"/>
      <c r="H186" s="27" t="str">
        <f t="shared" si="41"/>
        <v/>
      </c>
      <c r="I186" s="11" t="s">
        <v>253</v>
      </c>
      <c r="J186" s="27" t="str">
        <f t="shared" si="29"/>
        <v/>
      </c>
      <c r="K186" s="27">
        <v>0</v>
      </c>
      <c r="L186" s="11"/>
      <c r="M186" s="11"/>
      <c r="N186" s="10"/>
      <c r="O186" s="11"/>
      <c r="P186" s="10"/>
      <c r="Q186" s="26" t="str">
        <f t="shared" si="30"/>
        <v/>
      </c>
      <c r="R186" s="27" t="str">
        <f t="shared" si="31"/>
        <v/>
      </c>
      <c r="S186" s="27" t="str">
        <f t="shared" si="32"/>
        <v/>
      </c>
      <c r="T186" s="26" t="str">
        <f t="shared" si="33"/>
        <v/>
      </c>
      <c r="U186" s="27" t="str">
        <f t="shared" si="34"/>
        <v/>
      </c>
      <c r="V186" s="27" t="str">
        <f t="shared" si="35"/>
        <v/>
      </c>
      <c r="W186" s="26" t="str">
        <f t="shared" si="36"/>
        <v/>
      </c>
      <c r="X186" s="27" t="str">
        <f t="shared" si="37"/>
        <v/>
      </c>
      <c r="Y186" s="27" t="str">
        <f t="shared" si="38"/>
        <v/>
      </c>
      <c r="Z186" s="43"/>
      <c r="AA186" s="107"/>
      <c r="AB186" s="76" t="str">
        <f t="shared" si="39"/>
        <v/>
      </c>
      <c r="AC186" s="74" t="str">
        <f t="shared" si="40"/>
        <v/>
      </c>
    </row>
    <row r="187" ht="18" customHeight="1" spans="1:29">
      <c r="A187" s="32" t="str">
        <f t="shared" si="28"/>
        <v/>
      </c>
      <c r="B187" s="108"/>
      <c r="C187" s="11"/>
      <c r="D187" s="11"/>
      <c r="E187" s="10"/>
      <c r="F187" s="109"/>
      <c r="G187" s="109"/>
      <c r="H187" s="27" t="str">
        <f t="shared" si="41"/>
        <v/>
      </c>
      <c r="I187" s="11" t="s">
        <v>253</v>
      </c>
      <c r="J187" s="27" t="str">
        <f t="shared" si="29"/>
        <v/>
      </c>
      <c r="K187" s="27">
        <v>0</v>
      </c>
      <c r="L187" s="11"/>
      <c r="M187" s="11"/>
      <c r="N187" s="10"/>
      <c r="O187" s="11"/>
      <c r="P187" s="10"/>
      <c r="Q187" s="26" t="str">
        <f t="shared" si="30"/>
        <v/>
      </c>
      <c r="R187" s="27" t="str">
        <f t="shared" si="31"/>
        <v/>
      </c>
      <c r="S187" s="27" t="str">
        <f t="shared" si="32"/>
        <v/>
      </c>
      <c r="T187" s="26" t="str">
        <f t="shared" si="33"/>
        <v/>
      </c>
      <c r="U187" s="27" t="str">
        <f t="shared" si="34"/>
        <v/>
      </c>
      <c r="V187" s="27" t="str">
        <f t="shared" si="35"/>
        <v/>
      </c>
      <c r="W187" s="26" t="str">
        <f t="shared" si="36"/>
        <v/>
      </c>
      <c r="X187" s="27" t="str">
        <f t="shared" si="37"/>
        <v/>
      </c>
      <c r="Y187" s="27" t="str">
        <f t="shared" si="38"/>
        <v/>
      </c>
      <c r="Z187" s="43"/>
      <c r="AA187" s="107"/>
      <c r="AB187" s="76" t="str">
        <f t="shared" si="39"/>
        <v/>
      </c>
      <c r="AC187" s="74" t="str">
        <f t="shared" si="40"/>
        <v/>
      </c>
    </row>
    <row r="188" ht="18" customHeight="1" spans="1:29">
      <c r="A188" s="32" t="str">
        <f t="shared" si="28"/>
        <v/>
      </c>
      <c r="B188" s="108"/>
      <c r="C188" s="11"/>
      <c r="D188" s="11"/>
      <c r="E188" s="10"/>
      <c r="F188" s="109"/>
      <c r="G188" s="109"/>
      <c r="H188" s="27" t="str">
        <f t="shared" si="41"/>
        <v/>
      </c>
      <c r="I188" s="11" t="s">
        <v>253</v>
      </c>
      <c r="J188" s="27" t="str">
        <f t="shared" si="29"/>
        <v/>
      </c>
      <c r="K188" s="27">
        <v>0</v>
      </c>
      <c r="L188" s="11"/>
      <c r="M188" s="11"/>
      <c r="N188" s="10"/>
      <c r="O188" s="11"/>
      <c r="P188" s="10"/>
      <c r="Q188" s="26" t="str">
        <f t="shared" si="30"/>
        <v/>
      </c>
      <c r="R188" s="27" t="str">
        <f t="shared" si="31"/>
        <v/>
      </c>
      <c r="S188" s="27" t="str">
        <f t="shared" si="32"/>
        <v/>
      </c>
      <c r="T188" s="26" t="str">
        <f t="shared" si="33"/>
        <v/>
      </c>
      <c r="U188" s="27" t="str">
        <f t="shared" si="34"/>
        <v/>
      </c>
      <c r="V188" s="27" t="str">
        <f t="shared" si="35"/>
        <v/>
      </c>
      <c r="W188" s="26" t="str">
        <f t="shared" si="36"/>
        <v/>
      </c>
      <c r="X188" s="27" t="str">
        <f t="shared" si="37"/>
        <v/>
      </c>
      <c r="Y188" s="27" t="str">
        <f t="shared" si="38"/>
        <v/>
      </c>
      <c r="Z188" s="43"/>
      <c r="AA188" s="107"/>
      <c r="AB188" s="76" t="str">
        <f t="shared" si="39"/>
        <v/>
      </c>
      <c r="AC188" s="74" t="str">
        <f t="shared" si="40"/>
        <v/>
      </c>
    </row>
    <row r="189" ht="18" customHeight="1" spans="1:29">
      <c r="A189" s="32" t="str">
        <f t="shared" si="28"/>
        <v/>
      </c>
      <c r="B189" s="108"/>
      <c r="C189" s="11"/>
      <c r="D189" s="11"/>
      <c r="E189" s="10"/>
      <c r="F189" s="109"/>
      <c r="G189" s="109"/>
      <c r="H189" s="27" t="str">
        <f t="shared" si="41"/>
        <v/>
      </c>
      <c r="I189" s="11" t="s">
        <v>253</v>
      </c>
      <c r="J189" s="27" t="str">
        <f t="shared" si="29"/>
        <v/>
      </c>
      <c r="K189" s="27">
        <v>0</v>
      </c>
      <c r="L189" s="11"/>
      <c r="M189" s="11"/>
      <c r="N189" s="10"/>
      <c r="O189" s="11"/>
      <c r="P189" s="10"/>
      <c r="Q189" s="26" t="str">
        <f t="shared" si="30"/>
        <v/>
      </c>
      <c r="R189" s="27" t="str">
        <f t="shared" si="31"/>
        <v/>
      </c>
      <c r="S189" s="27" t="str">
        <f t="shared" si="32"/>
        <v/>
      </c>
      <c r="T189" s="26" t="str">
        <f t="shared" si="33"/>
        <v/>
      </c>
      <c r="U189" s="27" t="str">
        <f t="shared" si="34"/>
        <v/>
      </c>
      <c r="V189" s="27" t="str">
        <f t="shared" si="35"/>
        <v/>
      </c>
      <c r="W189" s="26" t="str">
        <f t="shared" si="36"/>
        <v/>
      </c>
      <c r="X189" s="27" t="str">
        <f t="shared" si="37"/>
        <v/>
      </c>
      <c r="Y189" s="27" t="str">
        <f t="shared" si="38"/>
        <v/>
      </c>
      <c r="Z189" s="43"/>
      <c r="AA189" s="107"/>
      <c r="AB189" s="76" t="str">
        <f t="shared" si="39"/>
        <v/>
      </c>
      <c r="AC189" s="74" t="str">
        <f t="shared" si="40"/>
        <v/>
      </c>
    </row>
    <row r="190" ht="18" customHeight="1" spans="1:29">
      <c r="A190" s="32" t="str">
        <f t="shared" si="28"/>
        <v/>
      </c>
      <c r="B190" s="108"/>
      <c r="C190" s="11"/>
      <c r="D190" s="11"/>
      <c r="E190" s="10"/>
      <c r="F190" s="109"/>
      <c r="G190" s="109"/>
      <c r="H190" s="27" t="str">
        <f t="shared" si="41"/>
        <v/>
      </c>
      <c r="I190" s="11" t="s">
        <v>253</v>
      </c>
      <c r="J190" s="27" t="str">
        <f t="shared" si="29"/>
        <v/>
      </c>
      <c r="K190" s="27">
        <v>0</v>
      </c>
      <c r="L190" s="11"/>
      <c r="M190" s="11"/>
      <c r="N190" s="10"/>
      <c r="O190" s="11"/>
      <c r="P190" s="10"/>
      <c r="Q190" s="26" t="str">
        <f t="shared" si="30"/>
        <v/>
      </c>
      <c r="R190" s="27" t="str">
        <f t="shared" si="31"/>
        <v/>
      </c>
      <c r="S190" s="27" t="str">
        <f t="shared" si="32"/>
        <v/>
      </c>
      <c r="T190" s="26" t="str">
        <f t="shared" si="33"/>
        <v/>
      </c>
      <c r="U190" s="27" t="str">
        <f t="shared" si="34"/>
        <v/>
      </c>
      <c r="V190" s="27" t="str">
        <f t="shared" si="35"/>
        <v/>
      </c>
      <c r="W190" s="26" t="str">
        <f t="shared" si="36"/>
        <v/>
      </c>
      <c r="X190" s="27" t="str">
        <f t="shared" si="37"/>
        <v/>
      </c>
      <c r="Y190" s="27" t="str">
        <f t="shared" si="38"/>
        <v/>
      </c>
      <c r="Z190" s="43"/>
      <c r="AA190" s="107"/>
      <c r="AB190" s="76" t="str">
        <f t="shared" si="39"/>
        <v/>
      </c>
      <c r="AC190" s="74" t="str">
        <f t="shared" si="40"/>
        <v/>
      </c>
    </row>
    <row r="191" ht="18" customHeight="1" spans="1:29">
      <c r="A191" s="32" t="str">
        <f t="shared" si="28"/>
        <v/>
      </c>
      <c r="B191" s="108"/>
      <c r="C191" s="11"/>
      <c r="D191" s="11"/>
      <c r="E191" s="10"/>
      <c r="F191" s="109"/>
      <c r="G191" s="109"/>
      <c r="H191" s="27" t="str">
        <f t="shared" si="41"/>
        <v/>
      </c>
      <c r="I191" s="11" t="s">
        <v>253</v>
      </c>
      <c r="J191" s="27" t="str">
        <f t="shared" si="29"/>
        <v/>
      </c>
      <c r="K191" s="27">
        <v>0</v>
      </c>
      <c r="L191" s="11"/>
      <c r="M191" s="11"/>
      <c r="N191" s="10"/>
      <c r="O191" s="11"/>
      <c r="P191" s="10"/>
      <c r="Q191" s="26" t="str">
        <f t="shared" si="30"/>
        <v/>
      </c>
      <c r="R191" s="27" t="str">
        <f t="shared" si="31"/>
        <v/>
      </c>
      <c r="S191" s="27" t="str">
        <f t="shared" si="32"/>
        <v/>
      </c>
      <c r="T191" s="26" t="str">
        <f t="shared" si="33"/>
        <v/>
      </c>
      <c r="U191" s="27" t="str">
        <f t="shared" si="34"/>
        <v/>
      </c>
      <c r="V191" s="27" t="str">
        <f t="shared" si="35"/>
        <v/>
      </c>
      <c r="W191" s="26" t="str">
        <f t="shared" si="36"/>
        <v/>
      </c>
      <c r="X191" s="27" t="str">
        <f t="shared" si="37"/>
        <v/>
      </c>
      <c r="Y191" s="27" t="str">
        <f t="shared" si="38"/>
        <v/>
      </c>
      <c r="Z191" s="43"/>
      <c r="AA191" s="107"/>
      <c r="AB191" s="76" t="str">
        <f t="shared" si="39"/>
        <v/>
      </c>
      <c r="AC191" s="74" t="str">
        <f t="shared" si="40"/>
        <v/>
      </c>
    </row>
    <row r="192" ht="18" customHeight="1" spans="1:29">
      <c r="A192" s="32" t="str">
        <f t="shared" si="28"/>
        <v/>
      </c>
      <c r="B192" s="108"/>
      <c r="C192" s="11"/>
      <c r="D192" s="11"/>
      <c r="E192" s="10"/>
      <c r="F192" s="109"/>
      <c r="G192" s="109"/>
      <c r="H192" s="27" t="str">
        <f t="shared" si="41"/>
        <v/>
      </c>
      <c r="I192" s="11" t="s">
        <v>253</v>
      </c>
      <c r="J192" s="27" t="str">
        <f t="shared" si="29"/>
        <v/>
      </c>
      <c r="K192" s="27">
        <v>0</v>
      </c>
      <c r="L192" s="11"/>
      <c r="M192" s="11"/>
      <c r="N192" s="10"/>
      <c r="O192" s="11"/>
      <c r="P192" s="10"/>
      <c r="Q192" s="26" t="str">
        <f t="shared" si="30"/>
        <v/>
      </c>
      <c r="R192" s="27" t="str">
        <f t="shared" si="31"/>
        <v/>
      </c>
      <c r="S192" s="27" t="str">
        <f t="shared" si="32"/>
        <v/>
      </c>
      <c r="T192" s="26" t="str">
        <f t="shared" si="33"/>
        <v/>
      </c>
      <c r="U192" s="27" t="str">
        <f t="shared" si="34"/>
        <v/>
      </c>
      <c r="V192" s="27" t="str">
        <f t="shared" si="35"/>
        <v/>
      </c>
      <c r="W192" s="26" t="str">
        <f t="shared" si="36"/>
        <v/>
      </c>
      <c r="X192" s="27" t="str">
        <f t="shared" si="37"/>
        <v/>
      </c>
      <c r="Y192" s="27" t="str">
        <f t="shared" si="38"/>
        <v/>
      </c>
      <c r="Z192" s="43"/>
      <c r="AA192" s="107"/>
      <c r="AB192" s="76" t="str">
        <f t="shared" si="39"/>
        <v/>
      </c>
      <c r="AC192" s="74" t="str">
        <f t="shared" si="40"/>
        <v/>
      </c>
    </row>
    <row r="193" ht="18" customHeight="1" spans="1:29">
      <c r="A193" s="32" t="str">
        <f t="shared" si="28"/>
        <v/>
      </c>
      <c r="B193" s="108"/>
      <c r="C193" s="11"/>
      <c r="D193" s="11"/>
      <c r="E193" s="10"/>
      <c r="F193" s="109"/>
      <c r="G193" s="109"/>
      <c r="H193" s="27" t="str">
        <f t="shared" si="41"/>
        <v/>
      </c>
      <c r="I193" s="11" t="s">
        <v>253</v>
      </c>
      <c r="J193" s="27" t="str">
        <f t="shared" si="29"/>
        <v/>
      </c>
      <c r="K193" s="27">
        <v>0</v>
      </c>
      <c r="L193" s="11"/>
      <c r="M193" s="11"/>
      <c r="N193" s="10"/>
      <c r="O193" s="11"/>
      <c r="P193" s="10"/>
      <c r="Q193" s="26" t="str">
        <f t="shared" si="30"/>
        <v/>
      </c>
      <c r="R193" s="27" t="str">
        <f t="shared" si="31"/>
        <v/>
      </c>
      <c r="S193" s="27" t="str">
        <f t="shared" si="32"/>
        <v/>
      </c>
      <c r="T193" s="26" t="str">
        <f t="shared" si="33"/>
        <v/>
      </c>
      <c r="U193" s="27" t="str">
        <f t="shared" si="34"/>
        <v/>
      </c>
      <c r="V193" s="27" t="str">
        <f t="shared" si="35"/>
        <v/>
      </c>
      <c r="W193" s="26" t="str">
        <f t="shared" si="36"/>
        <v/>
      </c>
      <c r="X193" s="27" t="str">
        <f t="shared" si="37"/>
        <v/>
      </c>
      <c r="Y193" s="27" t="str">
        <f t="shared" si="38"/>
        <v/>
      </c>
      <c r="Z193" s="43"/>
      <c r="AA193" s="107"/>
      <c r="AB193" s="76" t="str">
        <f t="shared" si="39"/>
        <v/>
      </c>
      <c r="AC193" s="74" t="str">
        <f t="shared" si="40"/>
        <v/>
      </c>
    </row>
    <row r="194" ht="18" customHeight="1" spans="1:29">
      <c r="A194" s="32" t="str">
        <f t="shared" si="28"/>
        <v/>
      </c>
      <c r="B194" s="108"/>
      <c r="C194" s="11"/>
      <c r="D194" s="11"/>
      <c r="E194" s="10"/>
      <c r="F194" s="109"/>
      <c r="G194" s="109"/>
      <c r="H194" s="27" t="str">
        <f t="shared" si="41"/>
        <v/>
      </c>
      <c r="I194" s="11" t="s">
        <v>253</v>
      </c>
      <c r="J194" s="27" t="str">
        <f t="shared" si="29"/>
        <v/>
      </c>
      <c r="K194" s="27">
        <v>0</v>
      </c>
      <c r="L194" s="11"/>
      <c r="M194" s="11"/>
      <c r="N194" s="10"/>
      <c r="O194" s="11"/>
      <c r="P194" s="10"/>
      <c r="Q194" s="26" t="str">
        <f t="shared" si="30"/>
        <v/>
      </c>
      <c r="R194" s="27" t="str">
        <f t="shared" si="31"/>
        <v/>
      </c>
      <c r="S194" s="27" t="str">
        <f t="shared" si="32"/>
        <v/>
      </c>
      <c r="T194" s="26" t="str">
        <f t="shared" si="33"/>
        <v/>
      </c>
      <c r="U194" s="27" t="str">
        <f t="shared" si="34"/>
        <v/>
      </c>
      <c r="V194" s="27" t="str">
        <f t="shared" si="35"/>
        <v/>
      </c>
      <c r="W194" s="26" t="str">
        <f t="shared" si="36"/>
        <v/>
      </c>
      <c r="X194" s="27" t="str">
        <f t="shared" si="37"/>
        <v/>
      </c>
      <c r="Y194" s="27" t="str">
        <f t="shared" si="38"/>
        <v/>
      </c>
      <c r="Z194" s="43"/>
      <c r="AA194" s="107"/>
      <c r="AB194" s="76" t="str">
        <f t="shared" si="39"/>
        <v/>
      </c>
      <c r="AC194" s="74" t="str">
        <f t="shared" si="40"/>
        <v/>
      </c>
    </row>
    <row r="195" ht="18" customHeight="1" spans="1:29">
      <c r="A195" s="32" t="str">
        <f t="shared" si="28"/>
        <v/>
      </c>
      <c r="B195" s="108"/>
      <c r="C195" s="11"/>
      <c r="D195" s="11"/>
      <c r="E195" s="10"/>
      <c r="F195" s="109"/>
      <c r="G195" s="109"/>
      <c r="H195" s="27" t="str">
        <f t="shared" si="41"/>
        <v/>
      </c>
      <c r="I195" s="11" t="s">
        <v>253</v>
      </c>
      <c r="J195" s="27" t="str">
        <f t="shared" si="29"/>
        <v/>
      </c>
      <c r="K195" s="27">
        <v>0</v>
      </c>
      <c r="L195" s="11"/>
      <c r="M195" s="11"/>
      <c r="N195" s="10"/>
      <c r="O195" s="11"/>
      <c r="P195" s="10"/>
      <c r="Q195" s="26" t="str">
        <f t="shared" si="30"/>
        <v/>
      </c>
      <c r="R195" s="27" t="str">
        <f t="shared" si="31"/>
        <v/>
      </c>
      <c r="S195" s="27" t="str">
        <f t="shared" si="32"/>
        <v/>
      </c>
      <c r="T195" s="26" t="str">
        <f t="shared" si="33"/>
        <v/>
      </c>
      <c r="U195" s="27" t="str">
        <f t="shared" si="34"/>
        <v/>
      </c>
      <c r="V195" s="27" t="str">
        <f t="shared" si="35"/>
        <v/>
      </c>
      <c r="W195" s="26" t="str">
        <f t="shared" si="36"/>
        <v/>
      </c>
      <c r="X195" s="27" t="str">
        <f t="shared" si="37"/>
        <v/>
      </c>
      <c r="Y195" s="27" t="str">
        <f t="shared" si="38"/>
        <v/>
      </c>
      <c r="Z195" s="43"/>
      <c r="AA195" s="107"/>
      <c r="AB195" s="76" t="str">
        <f t="shared" si="39"/>
        <v/>
      </c>
      <c r="AC195" s="74" t="str">
        <f t="shared" si="40"/>
        <v/>
      </c>
    </row>
    <row r="196" ht="18" customHeight="1" spans="1:29">
      <c r="A196" s="32" t="str">
        <f t="shared" ref="A196:A259" si="42">IF($C196="","",ROW()-3)</f>
        <v/>
      </c>
      <c r="B196" s="108"/>
      <c r="C196" s="11"/>
      <c r="D196" s="11"/>
      <c r="E196" s="10"/>
      <c r="F196" s="109"/>
      <c r="G196" s="109"/>
      <c r="H196" s="27" t="str">
        <f t="shared" si="41"/>
        <v/>
      </c>
      <c r="I196" s="11" t="s">
        <v>253</v>
      </c>
      <c r="J196" s="27" t="str">
        <f t="shared" ref="J196:J259" si="43">IF($C196="","",ROUND(N($H196),2))</f>
        <v/>
      </c>
      <c r="K196" s="27">
        <v>0</v>
      </c>
      <c r="L196" s="11"/>
      <c r="M196" s="11"/>
      <c r="N196" s="10"/>
      <c r="O196" s="11"/>
      <c r="P196" s="10"/>
      <c r="Q196" s="26" t="str">
        <f t="shared" ref="Q196:Q259" si="44">IF(OR($C196="",ROUND(N($H196),2)=0),"",$L196)</f>
        <v/>
      </c>
      <c r="R196" s="27" t="str">
        <f t="shared" ref="R196:R259" si="45">IF($Q196="","",ROUND(N($H196),2))</f>
        <v/>
      </c>
      <c r="S196" s="27" t="str">
        <f t="shared" ref="S196:S259" si="46">IF($Q196="","",0)</f>
        <v/>
      </c>
      <c r="T196" s="26" t="str">
        <f t="shared" ref="T196:T259" si="47">""</f>
        <v/>
      </c>
      <c r="U196" s="27" t="str">
        <f t="shared" ref="U196:U259" si="48">IF($T196="","",0)</f>
        <v/>
      </c>
      <c r="V196" s="27" t="str">
        <f t="shared" ref="V196:V259" si="49">IF($T196="","",0)</f>
        <v/>
      </c>
      <c r="W196" s="26" t="str">
        <f t="shared" ref="W196:W259" si="50">IF($Q196="","","应付账款")</f>
        <v/>
      </c>
      <c r="X196" s="27" t="str">
        <f t="shared" ref="X196:X259" si="51">IF($W196="","",0)</f>
        <v/>
      </c>
      <c r="Y196" s="27" t="str">
        <f t="shared" ref="Y196:Y259" si="52">IF($W196="","",ROUND(N($H196),2))</f>
        <v/>
      </c>
      <c r="Z196" s="43"/>
      <c r="AA196" s="107"/>
      <c r="AB196" s="76" t="str">
        <f t="shared" ref="AB196:AB259" si="53">IF($C196="","",ROUND(N($H196)-N($AA196),2))</f>
        <v/>
      </c>
      <c r="AC196" s="74" t="str">
        <f t="shared" ref="AC196:AC259" si="54">IF($B196="","",TEXT($B196,"yyyy年m月"))</f>
        <v/>
      </c>
    </row>
    <row r="197" ht="18" customHeight="1" spans="1:29">
      <c r="A197" s="32" t="str">
        <f t="shared" si="42"/>
        <v/>
      </c>
      <c r="B197" s="108"/>
      <c r="C197" s="11"/>
      <c r="D197" s="11"/>
      <c r="E197" s="10"/>
      <c r="F197" s="109"/>
      <c r="G197" s="109"/>
      <c r="H197" s="27" t="str">
        <f t="shared" si="41"/>
        <v/>
      </c>
      <c r="I197" s="11" t="s">
        <v>253</v>
      </c>
      <c r="J197" s="27" t="str">
        <f t="shared" si="43"/>
        <v/>
      </c>
      <c r="K197" s="27">
        <v>0</v>
      </c>
      <c r="L197" s="11"/>
      <c r="M197" s="11"/>
      <c r="N197" s="10"/>
      <c r="O197" s="11"/>
      <c r="P197" s="10"/>
      <c r="Q197" s="26" t="str">
        <f t="shared" si="44"/>
        <v/>
      </c>
      <c r="R197" s="27" t="str">
        <f t="shared" si="45"/>
        <v/>
      </c>
      <c r="S197" s="27" t="str">
        <f t="shared" si="46"/>
        <v/>
      </c>
      <c r="T197" s="26" t="str">
        <f t="shared" si="47"/>
        <v/>
      </c>
      <c r="U197" s="27" t="str">
        <f t="shared" si="48"/>
        <v/>
      </c>
      <c r="V197" s="27" t="str">
        <f t="shared" si="49"/>
        <v/>
      </c>
      <c r="W197" s="26" t="str">
        <f t="shared" si="50"/>
        <v/>
      </c>
      <c r="X197" s="27" t="str">
        <f t="shared" si="51"/>
        <v/>
      </c>
      <c r="Y197" s="27" t="str">
        <f t="shared" si="52"/>
        <v/>
      </c>
      <c r="Z197" s="43"/>
      <c r="AA197" s="107"/>
      <c r="AB197" s="76" t="str">
        <f t="shared" si="53"/>
        <v/>
      </c>
      <c r="AC197" s="74" t="str">
        <f t="shared" si="54"/>
        <v/>
      </c>
    </row>
    <row r="198" ht="18" customHeight="1" spans="1:29">
      <c r="A198" s="32" t="str">
        <f t="shared" si="42"/>
        <v/>
      </c>
      <c r="B198" s="108"/>
      <c r="C198" s="11"/>
      <c r="D198" s="11"/>
      <c r="E198" s="10"/>
      <c r="F198" s="109"/>
      <c r="G198" s="109"/>
      <c r="H198" s="27" t="str">
        <f t="shared" si="41"/>
        <v/>
      </c>
      <c r="I198" s="11" t="s">
        <v>253</v>
      </c>
      <c r="J198" s="27" t="str">
        <f t="shared" si="43"/>
        <v/>
      </c>
      <c r="K198" s="27">
        <v>0</v>
      </c>
      <c r="L198" s="11"/>
      <c r="M198" s="11"/>
      <c r="N198" s="10"/>
      <c r="O198" s="11"/>
      <c r="P198" s="10"/>
      <c r="Q198" s="26" t="str">
        <f t="shared" si="44"/>
        <v/>
      </c>
      <c r="R198" s="27" t="str">
        <f t="shared" si="45"/>
        <v/>
      </c>
      <c r="S198" s="27" t="str">
        <f t="shared" si="46"/>
        <v/>
      </c>
      <c r="T198" s="26" t="str">
        <f t="shared" si="47"/>
        <v/>
      </c>
      <c r="U198" s="27" t="str">
        <f t="shared" si="48"/>
        <v/>
      </c>
      <c r="V198" s="27" t="str">
        <f t="shared" si="49"/>
        <v/>
      </c>
      <c r="W198" s="26" t="str">
        <f t="shared" si="50"/>
        <v/>
      </c>
      <c r="X198" s="27" t="str">
        <f t="shared" si="51"/>
        <v/>
      </c>
      <c r="Y198" s="27" t="str">
        <f t="shared" si="52"/>
        <v/>
      </c>
      <c r="Z198" s="43"/>
      <c r="AA198" s="107"/>
      <c r="AB198" s="76" t="str">
        <f t="shared" si="53"/>
        <v/>
      </c>
      <c r="AC198" s="74" t="str">
        <f t="shared" si="54"/>
        <v/>
      </c>
    </row>
    <row r="199" ht="18" customHeight="1" spans="1:29">
      <c r="A199" s="32" t="str">
        <f t="shared" si="42"/>
        <v/>
      </c>
      <c r="B199" s="108"/>
      <c r="C199" s="11"/>
      <c r="D199" s="11"/>
      <c r="E199" s="10"/>
      <c r="F199" s="109"/>
      <c r="G199" s="109"/>
      <c r="H199" s="27" t="str">
        <f t="shared" si="41"/>
        <v/>
      </c>
      <c r="I199" s="11" t="s">
        <v>253</v>
      </c>
      <c r="J199" s="27" t="str">
        <f t="shared" si="43"/>
        <v/>
      </c>
      <c r="K199" s="27">
        <v>0</v>
      </c>
      <c r="L199" s="11"/>
      <c r="M199" s="11"/>
      <c r="N199" s="10"/>
      <c r="O199" s="11"/>
      <c r="P199" s="10"/>
      <c r="Q199" s="26" t="str">
        <f t="shared" si="44"/>
        <v/>
      </c>
      <c r="R199" s="27" t="str">
        <f t="shared" si="45"/>
        <v/>
      </c>
      <c r="S199" s="27" t="str">
        <f t="shared" si="46"/>
        <v/>
      </c>
      <c r="T199" s="26" t="str">
        <f t="shared" si="47"/>
        <v/>
      </c>
      <c r="U199" s="27" t="str">
        <f t="shared" si="48"/>
        <v/>
      </c>
      <c r="V199" s="27" t="str">
        <f t="shared" si="49"/>
        <v/>
      </c>
      <c r="W199" s="26" t="str">
        <f t="shared" si="50"/>
        <v/>
      </c>
      <c r="X199" s="27" t="str">
        <f t="shared" si="51"/>
        <v/>
      </c>
      <c r="Y199" s="27" t="str">
        <f t="shared" si="52"/>
        <v/>
      </c>
      <c r="Z199" s="43"/>
      <c r="AA199" s="107"/>
      <c r="AB199" s="76" t="str">
        <f t="shared" si="53"/>
        <v/>
      </c>
      <c r="AC199" s="74" t="str">
        <f t="shared" si="54"/>
        <v/>
      </c>
    </row>
    <row r="200" ht="18" customHeight="1" spans="1:29">
      <c r="A200" s="32" t="str">
        <f t="shared" si="42"/>
        <v/>
      </c>
      <c r="B200" s="108"/>
      <c r="C200" s="11"/>
      <c r="D200" s="11"/>
      <c r="E200" s="10"/>
      <c r="F200" s="109"/>
      <c r="G200" s="109"/>
      <c r="H200" s="27" t="str">
        <f t="shared" ref="H200:H263" si="55">IF($C200="","",ROUND(N($F200)*N($G200),2))</f>
        <v/>
      </c>
      <c r="I200" s="11" t="s">
        <v>253</v>
      </c>
      <c r="J200" s="27" t="str">
        <f t="shared" si="43"/>
        <v/>
      </c>
      <c r="K200" s="27">
        <v>0</v>
      </c>
      <c r="L200" s="11"/>
      <c r="M200" s="11"/>
      <c r="N200" s="10"/>
      <c r="O200" s="11"/>
      <c r="P200" s="10"/>
      <c r="Q200" s="26" t="str">
        <f t="shared" si="44"/>
        <v/>
      </c>
      <c r="R200" s="27" t="str">
        <f t="shared" si="45"/>
        <v/>
      </c>
      <c r="S200" s="27" t="str">
        <f t="shared" si="46"/>
        <v/>
      </c>
      <c r="T200" s="26" t="str">
        <f t="shared" si="47"/>
        <v/>
      </c>
      <c r="U200" s="27" t="str">
        <f t="shared" si="48"/>
        <v/>
      </c>
      <c r="V200" s="27" t="str">
        <f t="shared" si="49"/>
        <v/>
      </c>
      <c r="W200" s="26" t="str">
        <f t="shared" si="50"/>
        <v/>
      </c>
      <c r="X200" s="27" t="str">
        <f t="shared" si="51"/>
        <v/>
      </c>
      <c r="Y200" s="27" t="str">
        <f t="shared" si="52"/>
        <v/>
      </c>
      <c r="Z200" s="43"/>
      <c r="AA200" s="107"/>
      <c r="AB200" s="76" t="str">
        <f t="shared" si="53"/>
        <v/>
      </c>
      <c r="AC200" s="74" t="str">
        <f t="shared" si="54"/>
        <v/>
      </c>
    </row>
    <row r="201" ht="18" customHeight="1" spans="1:29">
      <c r="A201" s="32" t="str">
        <f t="shared" si="42"/>
        <v/>
      </c>
      <c r="B201" s="108"/>
      <c r="C201" s="11"/>
      <c r="D201" s="11"/>
      <c r="E201" s="10"/>
      <c r="F201" s="109"/>
      <c r="G201" s="109"/>
      <c r="H201" s="27" t="str">
        <f t="shared" si="55"/>
        <v/>
      </c>
      <c r="I201" s="11" t="s">
        <v>253</v>
      </c>
      <c r="J201" s="27" t="str">
        <f t="shared" si="43"/>
        <v/>
      </c>
      <c r="K201" s="27">
        <v>0</v>
      </c>
      <c r="L201" s="11"/>
      <c r="M201" s="11"/>
      <c r="N201" s="10"/>
      <c r="O201" s="11"/>
      <c r="P201" s="10"/>
      <c r="Q201" s="26" t="str">
        <f t="shared" si="44"/>
        <v/>
      </c>
      <c r="R201" s="27" t="str">
        <f t="shared" si="45"/>
        <v/>
      </c>
      <c r="S201" s="27" t="str">
        <f t="shared" si="46"/>
        <v/>
      </c>
      <c r="T201" s="26" t="str">
        <f t="shared" si="47"/>
        <v/>
      </c>
      <c r="U201" s="27" t="str">
        <f t="shared" si="48"/>
        <v/>
      </c>
      <c r="V201" s="27" t="str">
        <f t="shared" si="49"/>
        <v/>
      </c>
      <c r="W201" s="26" t="str">
        <f t="shared" si="50"/>
        <v/>
      </c>
      <c r="X201" s="27" t="str">
        <f t="shared" si="51"/>
        <v/>
      </c>
      <c r="Y201" s="27" t="str">
        <f t="shared" si="52"/>
        <v/>
      </c>
      <c r="Z201" s="43"/>
      <c r="AA201" s="107"/>
      <c r="AB201" s="76" t="str">
        <f t="shared" si="53"/>
        <v/>
      </c>
      <c r="AC201" s="74" t="str">
        <f t="shared" si="54"/>
        <v/>
      </c>
    </row>
    <row r="202" ht="18" customHeight="1" spans="1:29">
      <c r="A202" s="32" t="str">
        <f t="shared" si="42"/>
        <v/>
      </c>
      <c r="B202" s="108"/>
      <c r="C202" s="11"/>
      <c r="D202" s="11"/>
      <c r="E202" s="10"/>
      <c r="F202" s="109"/>
      <c r="G202" s="109"/>
      <c r="H202" s="27" t="str">
        <f t="shared" si="55"/>
        <v/>
      </c>
      <c r="I202" s="11" t="s">
        <v>253</v>
      </c>
      <c r="J202" s="27" t="str">
        <f t="shared" si="43"/>
        <v/>
      </c>
      <c r="K202" s="27">
        <v>0</v>
      </c>
      <c r="L202" s="11"/>
      <c r="M202" s="11"/>
      <c r="N202" s="10"/>
      <c r="O202" s="11"/>
      <c r="P202" s="10"/>
      <c r="Q202" s="26" t="str">
        <f t="shared" si="44"/>
        <v/>
      </c>
      <c r="R202" s="27" t="str">
        <f t="shared" si="45"/>
        <v/>
      </c>
      <c r="S202" s="27" t="str">
        <f t="shared" si="46"/>
        <v/>
      </c>
      <c r="T202" s="26" t="str">
        <f t="shared" si="47"/>
        <v/>
      </c>
      <c r="U202" s="27" t="str">
        <f t="shared" si="48"/>
        <v/>
      </c>
      <c r="V202" s="27" t="str">
        <f t="shared" si="49"/>
        <v/>
      </c>
      <c r="W202" s="26" t="str">
        <f t="shared" si="50"/>
        <v/>
      </c>
      <c r="X202" s="27" t="str">
        <f t="shared" si="51"/>
        <v/>
      </c>
      <c r="Y202" s="27" t="str">
        <f t="shared" si="52"/>
        <v/>
      </c>
      <c r="Z202" s="43"/>
      <c r="AA202" s="107"/>
      <c r="AB202" s="76" t="str">
        <f t="shared" si="53"/>
        <v/>
      </c>
      <c r="AC202" s="74" t="str">
        <f t="shared" si="54"/>
        <v/>
      </c>
    </row>
    <row r="203" ht="18" customHeight="1" spans="1:29">
      <c r="A203" s="32" t="str">
        <f t="shared" si="42"/>
        <v/>
      </c>
      <c r="B203" s="108"/>
      <c r="C203" s="11"/>
      <c r="D203" s="11"/>
      <c r="E203" s="10"/>
      <c r="F203" s="109"/>
      <c r="G203" s="109"/>
      <c r="H203" s="27" t="str">
        <f t="shared" si="55"/>
        <v/>
      </c>
      <c r="I203" s="11" t="s">
        <v>253</v>
      </c>
      <c r="J203" s="27" t="str">
        <f t="shared" si="43"/>
        <v/>
      </c>
      <c r="K203" s="27">
        <v>0</v>
      </c>
      <c r="L203" s="11"/>
      <c r="M203" s="11"/>
      <c r="N203" s="10"/>
      <c r="O203" s="11"/>
      <c r="P203" s="10"/>
      <c r="Q203" s="26" t="str">
        <f t="shared" si="44"/>
        <v/>
      </c>
      <c r="R203" s="27" t="str">
        <f t="shared" si="45"/>
        <v/>
      </c>
      <c r="S203" s="27" t="str">
        <f t="shared" si="46"/>
        <v/>
      </c>
      <c r="T203" s="26" t="str">
        <f t="shared" si="47"/>
        <v/>
      </c>
      <c r="U203" s="27" t="str">
        <f t="shared" si="48"/>
        <v/>
      </c>
      <c r="V203" s="27" t="str">
        <f t="shared" si="49"/>
        <v/>
      </c>
      <c r="W203" s="26" t="str">
        <f t="shared" si="50"/>
        <v/>
      </c>
      <c r="X203" s="27" t="str">
        <f t="shared" si="51"/>
        <v/>
      </c>
      <c r="Y203" s="27" t="str">
        <f t="shared" si="52"/>
        <v/>
      </c>
      <c r="Z203" s="43"/>
      <c r="AA203" s="107"/>
      <c r="AB203" s="76" t="str">
        <f t="shared" si="53"/>
        <v/>
      </c>
      <c r="AC203" s="74" t="str">
        <f t="shared" si="54"/>
        <v/>
      </c>
    </row>
    <row r="204" ht="18" customHeight="1" spans="1:29">
      <c r="A204" s="32" t="str">
        <f t="shared" si="42"/>
        <v/>
      </c>
      <c r="B204" s="108"/>
      <c r="C204" s="11"/>
      <c r="D204" s="11"/>
      <c r="E204" s="10"/>
      <c r="F204" s="109"/>
      <c r="G204" s="109"/>
      <c r="H204" s="27" t="str">
        <f t="shared" si="55"/>
        <v/>
      </c>
      <c r="I204" s="11" t="s">
        <v>253</v>
      </c>
      <c r="J204" s="27" t="str">
        <f t="shared" si="43"/>
        <v/>
      </c>
      <c r="K204" s="27">
        <v>0</v>
      </c>
      <c r="L204" s="11"/>
      <c r="M204" s="11"/>
      <c r="N204" s="10"/>
      <c r="O204" s="11"/>
      <c r="P204" s="10"/>
      <c r="Q204" s="26" t="str">
        <f t="shared" si="44"/>
        <v/>
      </c>
      <c r="R204" s="27" t="str">
        <f t="shared" si="45"/>
        <v/>
      </c>
      <c r="S204" s="27" t="str">
        <f t="shared" si="46"/>
        <v/>
      </c>
      <c r="T204" s="26" t="str">
        <f t="shared" si="47"/>
        <v/>
      </c>
      <c r="U204" s="27" t="str">
        <f t="shared" si="48"/>
        <v/>
      </c>
      <c r="V204" s="27" t="str">
        <f t="shared" si="49"/>
        <v/>
      </c>
      <c r="W204" s="26" t="str">
        <f t="shared" si="50"/>
        <v/>
      </c>
      <c r="X204" s="27" t="str">
        <f t="shared" si="51"/>
        <v/>
      </c>
      <c r="Y204" s="27" t="str">
        <f t="shared" si="52"/>
        <v/>
      </c>
      <c r="Z204" s="43"/>
      <c r="AA204" s="107"/>
      <c r="AB204" s="76" t="str">
        <f t="shared" si="53"/>
        <v/>
      </c>
      <c r="AC204" s="74" t="str">
        <f t="shared" si="54"/>
        <v/>
      </c>
    </row>
    <row r="205" ht="18" customHeight="1" spans="1:29">
      <c r="A205" s="32" t="str">
        <f t="shared" si="42"/>
        <v/>
      </c>
      <c r="B205" s="108"/>
      <c r="C205" s="11"/>
      <c r="D205" s="11"/>
      <c r="E205" s="10"/>
      <c r="F205" s="109"/>
      <c r="G205" s="109"/>
      <c r="H205" s="27" t="str">
        <f t="shared" si="55"/>
        <v/>
      </c>
      <c r="I205" s="11" t="s">
        <v>253</v>
      </c>
      <c r="J205" s="27" t="str">
        <f t="shared" si="43"/>
        <v/>
      </c>
      <c r="K205" s="27">
        <v>0</v>
      </c>
      <c r="L205" s="11"/>
      <c r="M205" s="11"/>
      <c r="N205" s="10"/>
      <c r="O205" s="11"/>
      <c r="P205" s="10"/>
      <c r="Q205" s="26" t="str">
        <f t="shared" si="44"/>
        <v/>
      </c>
      <c r="R205" s="27" t="str">
        <f t="shared" si="45"/>
        <v/>
      </c>
      <c r="S205" s="27" t="str">
        <f t="shared" si="46"/>
        <v/>
      </c>
      <c r="T205" s="26" t="str">
        <f t="shared" si="47"/>
        <v/>
      </c>
      <c r="U205" s="27" t="str">
        <f t="shared" si="48"/>
        <v/>
      </c>
      <c r="V205" s="27" t="str">
        <f t="shared" si="49"/>
        <v/>
      </c>
      <c r="W205" s="26" t="str">
        <f t="shared" si="50"/>
        <v/>
      </c>
      <c r="X205" s="27" t="str">
        <f t="shared" si="51"/>
        <v/>
      </c>
      <c r="Y205" s="27" t="str">
        <f t="shared" si="52"/>
        <v/>
      </c>
      <c r="Z205" s="43"/>
      <c r="AA205" s="107"/>
      <c r="AB205" s="76" t="str">
        <f t="shared" si="53"/>
        <v/>
      </c>
      <c r="AC205" s="74" t="str">
        <f t="shared" si="54"/>
        <v/>
      </c>
    </row>
    <row r="206" ht="18" customHeight="1" spans="1:29">
      <c r="A206" s="32" t="str">
        <f t="shared" si="42"/>
        <v/>
      </c>
      <c r="B206" s="108"/>
      <c r="C206" s="11"/>
      <c r="D206" s="11"/>
      <c r="E206" s="10"/>
      <c r="F206" s="109"/>
      <c r="G206" s="109"/>
      <c r="H206" s="27" t="str">
        <f t="shared" si="55"/>
        <v/>
      </c>
      <c r="I206" s="11" t="s">
        <v>253</v>
      </c>
      <c r="J206" s="27" t="str">
        <f t="shared" si="43"/>
        <v/>
      </c>
      <c r="K206" s="27">
        <v>0</v>
      </c>
      <c r="L206" s="11"/>
      <c r="M206" s="11"/>
      <c r="N206" s="10"/>
      <c r="O206" s="11"/>
      <c r="P206" s="10"/>
      <c r="Q206" s="26" t="str">
        <f t="shared" si="44"/>
        <v/>
      </c>
      <c r="R206" s="27" t="str">
        <f t="shared" si="45"/>
        <v/>
      </c>
      <c r="S206" s="27" t="str">
        <f t="shared" si="46"/>
        <v/>
      </c>
      <c r="T206" s="26" t="str">
        <f t="shared" si="47"/>
        <v/>
      </c>
      <c r="U206" s="27" t="str">
        <f t="shared" si="48"/>
        <v/>
      </c>
      <c r="V206" s="27" t="str">
        <f t="shared" si="49"/>
        <v/>
      </c>
      <c r="W206" s="26" t="str">
        <f t="shared" si="50"/>
        <v/>
      </c>
      <c r="X206" s="27" t="str">
        <f t="shared" si="51"/>
        <v/>
      </c>
      <c r="Y206" s="27" t="str">
        <f t="shared" si="52"/>
        <v/>
      </c>
      <c r="Z206" s="43"/>
      <c r="AA206" s="107"/>
      <c r="AB206" s="76" t="str">
        <f t="shared" si="53"/>
        <v/>
      </c>
      <c r="AC206" s="74" t="str">
        <f t="shared" si="54"/>
        <v/>
      </c>
    </row>
    <row r="207" ht="18" customHeight="1" spans="1:29">
      <c r="A207" s="32" t="str">
        <f t="shared" si="42"/>
        <v/>
      </c>
      <c r="B207" s="108"/>
      <c r="C207" s="11"/>
      <c r="D207" s="11"/>
      <c r="E207" s="10"/>
      <c r="F207" s="109"/>
      <c r="G207" s="109"/>
      <c r="H207" s="27" t="str">
        <f t="shared" si="55"/>
        <v/>
      </c>
      <c r="I207" s="11" t="s">
        <v>253</v>
      </c>
      <c r="J207" s="27" t="str">
        <f t="shared" si="43"/>
        <v/>
      </c>
      <c r="K207" s="27">
        <v>0</v>
      </c>
      <c r="L207" s="11"/>
      <c r="M207" s="11"/>
      <c r="N207" s="10"/>
      <c r="O207" s="11"/>
      <c r="P207" s="10"/>
      <c r="Q207" s="26" t="str">
        <f t="shared" si="44"/>
        <v/>
      </c>
      <c r="R207" s="27" t="str">
        <f t="shared" si="45"/>
        <v/>
      </c>
      <c r="S207" s="27" t="str">
        <f t="shared" si="46"/>
        <v/>
      </c>
      <c r="T207" s="26" t="str">
        <f t="shared" si="47"/>
        <v/>
      </c>
      <c r="U207" s="27" t="str">
        <f t="shared" si="48"/>
        <v/>
      </c>
      <c r="V207" s="27" t="str">
        <f t="shared" si="49"/>
        <v/>
      </c>
      <c r="W207" s="26" t="str">
        <f t="shared" si="50"/>
        <v/>
      </c>
      <c r="X207" s="27" t="str">
        <f t="shared" si="51"/>
        <v/>
      </c>
      <c r="Y207" s="27" t="str">
        <f t="shared" si="52"/>
        <v/>
      </c>
      <c r="Z207" s="43"/>
      <c r="AA207" s="107"/>
      <c r="AB207" s="76" t="str">
        <f t="shared" si="53"/>
        <v/>
      </c>
      <c r="AC207" s="74" t="str">
        <f t="shared" si="54"/>
        <v/>
      </c>
    </row>
    <row r="208" ht="18" customHeight="1" spans="1:29">
      <c r="A208" s="32" t="str">
        <f t="shared" si="42"/>
        <v/>
      </c>
      <c r="B208" s="108"/>
      <c r="C208" s="11"/>
      <c r="D208" s="11"/>
      <c r="E208" s="10"/>
      <c r="F208" s="109"/>
      <c r="G208" s="109"/>
      <c r="H208" s="27" t="str">
        <f t="shared" si="55"/>
        <v/>
      </c>
      <c r="I208" s="11" t="s">
        <v>253</v>
      </c>
      <c r="J208" s="27" t="str">
        <f t="shared" si="43"/>
        <v/>
      </c>
      <c r="K208" s="27">
        <v>0</v>
      </c>
      <c r="L208" s="11"/>
      <c r="M208" s="11"/>
      <c r="N208" s="10"/>
      <c r="O208" s="11"/>
      <c r="P208" s="10"/>
      <c r="Q208" s="26" t="str">
        <f t="shared" si="44"/>
        <v/>
      </c>
      <c r="R208" s="27" t="str">
        <f t="shared" si="45"/>
        <v/>
      </c>
      <c r="S208" s="27" t="str">
        <f t="shared" si="46"/>
        <v/>
      </c>
      <c r="T208" s="26" t="str">
        <f t="shared" si="47"/>
        <v/>
      </c>
      <c r="U208" s="27" t="str">
        <f t="shared" si="48"/>
        <v/>
      </c>
      <c r="V208" s="27" t="str">
        <f t="shared" si="49"/>
        <v/>
      </c>
      <c r="W208" s="26" t="str">
        <f t="shared" si="50"/>
        <v/>
      </c>
      <c r="X208" s="27" t="str">
        <f t="shared" si="51"/>
        <v/>
      </c>
      <c r="Y208" s="27" t="str">
        <f t="shared" si="52"/>
        <v/>
      </c>
      <c r="Z208" s="43"/>
      <c r="AA208" s="107"/>
      <c r="AB208" s="76" t="str">
        <f t="shared" si="53"/>
        <v/>
      </c>
      <c r="AC208" s="74" t="str">
        <f t="shared" si="54"/>
        <v/>
      </c>
    </row>
    <row r="209" ht="18" customHeight="1" spans="1:29">
      <c r="A209" s="32" t="str">
        <f t="shared" si="42"/>
        <v/>
      </c>
      <c r="B209" s="108"/>
      <c r="C209" s="11"/>
      <c r="D209" s="11"/>
      <c r="E209" s="10"/>
      <c r="F209" s="109"/>
      <c r="G209" s="109"/>
      <c r="H209" s="27" t="str">
        <f t="shared" si="55"/>
        <v/>
      </c>
      <c r="I209" s="11" t="s">
        <v>253</v>
      </c>
      <c r="J209" s="27" t="str">
        <f t="shared" si="43"/>
        <v/>
      </c>
      <c r="K209" s="27">
        <v>0</v>
      </c>
      <c r="L209" s="11"/>
      <c r="M209" s="11"/>
      <c r="N209" s="10"/>
      <c r="O209" s="11"/>
      <c r="P209" s="10"/>
      <c r="Q209" s="26" t="str">
        <f t="shared" si="44"/>
        <v/>
      </c>
      <c r="R209" s="27" t="str">
        <f t="shared" si="45"/>
        <v/>
      </c>
      <c r="S209" s="27" t="str">
        <f t="shared" si="46"/>
        <v/>
      </c>
      <c r="T209" s="26" t="str">
        <f t="shared" si="47"/>
        <v/>
      </c>
      <c r="U209" s="27" t="str">
        <f t="shared" si="48"/>
        <v/>
      </c>
      <c r="V209" s="27" t="str">
        <f t="shared" si="49"/>
        <v/>
      </c>
      <c r="W209" s="26" t="str">
        <f t="shared" si="50"/>
        <v/>
      </c>
      <c r="X209" s="27" t="str">
        <f t="shared" si="51"/>
        <v/>
      </c>
      <c r="Y209" s="27" t="str">
        <f t="shared" si="52"/>
        <v/>
      </c>
      <c r="Z209" s="43"/>
      <c r="AA209" s="107"/>
      <c r="AB209" s="76" t="str">
        <f t="shared" si="53"/>
        <v/>
      </c>
      <c r="AC209" s="74" t="str">
        <f t="shared" si="54"/>
        <v/>
      </c>
    </row>
    <row r="210" ht="18" customHeight="1" spans="1:29">
      <c r="A210" s="32" t="str">
        <f t="shared" si="42"/>
        <v/>
      </c>
      <c r="B210" s="108"/>
      <c r="C210" s="11"/>
      <c r="D210" s="11"/>
      <c r="E210" s="10"/>
      <c r="F210" s="109"/>
      <c r="G210" s="109"/>
      <c r="H210" s="27" t="str">
        <f t="shared" si="55"/>
        <v/>
      </c>
      <c r="I210" s="11" t="s">
        <v>253</v>
      </c>
      <c r="J210" s="27" t="str">
        <f t="shared" si="43"/>
        <v/>
      </c>
      <c r="K210" s="27">
        <v>0</v>
      </c>
      <c r="L210" s="11"/>
      <c r="M210" s="11"/>
      <c r="N210" s="10"/>
      <c r="O210" s="11"/>
      <c r="P210" s="10"/>
      <c r="Q210" s="26" t="str">
        <f t="shared" si="44"/>
        <v/>
      </c>
      <c r="R210" s="27" t="str">
        <f t="shared" si="45"/>
        <v/>
      </c>
      <c r="S210" s="27" t="str">
        <f t="shared" si="46"/>
        <v/>
      </c>
      <c r="T210" s="26" t="str">
        <f t="shared" si="47"/>
        <v/>
      </c>
      <c r="U210" s="27" t="str">
        <f t="shared" si="48"/>
        <v/>
      </c>
      <c r="V210" s="27" t="str">
        <f t="shared" si="49"/>
        <v/>
      </c>
      <c r="W210" s="26" t="str">
        <f t="shared" si="50"/>
        <v/>
      </c>
      <c r="X210" s="27" t="str">
        <f t="shared" si="51"/>
        <v/>
      </c>
      <c r="Y210" s="27" t="str">
        <f t="shared" si="52"/>
        <v/>
      </c>
      <c r="Z210" s="43"/>
      <c r="AA210" s="107"/>
      <c r="AB210" s="76" t="str">
        <f t="shared" si="53"/>
        <v/>
      </c>
      <c r="AC210" s="74" t="str">
        <f t="shared" si="54"/>
        <v/>
      </c>
    </row>
    <row r="211" ht="18" customHeight="1" spans="1:29">
      <c r="A211" s="32" t="str">
        <f t="shared" si="42"/>
        <v/>
      </c>
      <c r="B211" s="108"/>
      <c r="C211" s="11"/>
      <c r="D211" s="11"/>
      <c r="E211" s="10"/>
      <c r="F211" s="109"/>
      <c r="G211" s="109"/>
      <c r="H211" s="27" t="str">
        <f t="shared" si="55"/>
        <v/>
      </c>
      <c r="I211" s="11" t="s">
        <v>253</v>
      </c>
      <c r="J211" s="27" t="str">
        <f t="shared" si="43"/>
        <v/>
      </c>
      <c r="K211" s="27">
        <v>0</v>
      </c>
      <c r="L211" s="11"/>
      <c r="M211" s="11"/>
      <c r="N211" s="10"/>
      <c r="O211" s="11"/>
      <c r="P211" s="10"/>
      <c r="Q211" s="26" t="str">
        <f t="shared" si="44"/>
        <v/>
      </c>
      <c r="R211" s="27" t="str">
        <f t="shared" si="45"/>
        <v/>
      </c>
      <c r="S211" s="27" t="str">
        <f t="shared" si="46"/>
        <v/>
      </c>
      <c r="T211" s="26" t="str">
        <f t="shared" si="47"/>
        <v/>
      </c>
      <c r="U211" s="27" t="str">
        <f t="shared" si="48"/>
        <v/>
      </c>
      <c r="V211" s="27" t="str">
        <f t="shared" si="49"/>
        <v/>
      </c>
      <c r="W211" s="26" t="str">
        <f t="shared" si="50"/>
        <v/>
      </c>
      <c r="X211" s="27" t="str">
        <f t="shared" si="51"/>
        <v/>
      </c>
      <c r="Y211" s="27" t="str">
        <f t="shared" si="52"/>
        <v/>
      </c>
      <c r="Z211" s="43"/>
      <c r="AA211" s="107"/>
      <c r="AB211" s="76" t="str">
        <f t="shared" si="53"/>
        <v/>
      </c>
      <c r="AC211" s="74" t="str">
        <f t="shared" si="54"/>
        <v/>
      </c>
    </row>
    <row r="212" ht="18" customHeight="1" spans="1:29">
      <c r="A212" s="32" t="str">
        <f t="shared" si="42"/>
        <v/>
      </c>
      <c r="B212" s="108"/>
      <c r="C212" s="11"/>
      <c r="D212" s="11"/>
      <c r="E212" s="10"/>
      <c r="F212" s="109"/>
      <c r="G212" s="109"/>
      <c r="H212" s="27" t="str">
        <f t="shared" si="55"/>
        <v/>
      </c>
      <c r="I212" s="11" t="s">
        <v>253</v>
      </c>
      <c r="J212" s="27" t="str">
        <f t="shared" si="43"/>
        <v/>
      </c>
      <c r="K212" s="27">
        <v>0</v>
      </c>
      <c r="L212" s="11"/>
      <c r="M212" s="11"/>
      <c r="N212" s="10"/>
      <c r="O212" s="11"/>
      <c r="P212" s="10"/>
      <c r="Q212" s="26" t="str">
        <f t="shared" si="44"/>
        <v/>
      </c>
      <c r="R212" s="27" t="str">
        <f t="shared" si="45"/>
        <v/>
      </c>
      <c r="S212" s="27" t="str">
        <f t="shared" si="46"/>
        <v/>
      </c>
      <c r="T212" s="26" t="str">
        <f t="shared" si="47"/>
        <v/>
      </c>
      <c r="U212" s="27" t="str">
        <f t="shared" si="48"/>
        <v/>
      </c>
      <c r="V212" s="27" t="str">
        <f t="shared" si="49"/>
        <v/>
      </c>
      <c r="W212" s="26" t="str">
        <f t="shared" si="50"/>
        <v/>
      </c>
      <c r="X212" s="27" t="str">
        <f t="shared" si="51"/>
        <v/>
      </c>
      <c r="Y212" s="27" t="str">
        <f t="shared" si="52"/>
        <v/>
      </c>
      <c r="Z212" s="43"/>
      <c r="AA212" s="107"/>
      <c r="AB212" s="76" t="str">
        <f t="shared" si="53"/>
        <v/>
      </c>
      <c r="AC212" s="74" t="str">
        <f t="shared" si="54"/>
        <v/>
      </c>
    </row>
    <row r="213" ht="18" customHeight="1" spans="1:29">
      <c r="A213" s="32" t="str">
        <f t="shared" si="42"/>
        <v/>
      </c>
      <c r="B213" s="108"/>
      <c r="C213" s="11"/>
      <c r="D213" s="11"/>
      <c r="E213" s="10"/>
      <c r="F213" s="109"/>
      <c r="G213" s="109"/>
      <c r="H213" s="27" t="str">
        <f t="shared" si="55"/>
        <v/>
      </c>
      <c r="I213" s="11" t="s">
        <v>253</v>
      </c>
      <c r="J213" s="27" t="str">
        <f t="shared" si="43"/>
        <v/>
      </c>
      <c r="K213" s="27">
        <v>0</v>
      </c>
      <c r="L213" s="11"/>
      <c r="M213" s="11"/>
      <c r="N213" s="10"/>
      <c r="O213" s="11"/>
      <c r="P213" s="10"/>
      <c r="Q213" s="26" t="str">
        <f t="shared" si="44"/>
        <v/>
      </c>
      <c r="R213" s="27" t="str">
        <f t="shared" si="45"/>
        <v/>
      </c>
      <c r="S213" s="27" t="str">
        <f t="shared" si="46"/>
        <v/>
      </c>
      <c r="T213" s="26" t="str">
        <f t="shared" si="47"/>
        <v/>
      </c>
      <c r="U213" s="27" t="str">
        <f t="shared" si="48"/>
        <v/>
      </c>
      <c r="V213" s="27" t="str">
        <f t="shared" si="49"/>
        <v/>
      </c>
      <c r="W213" s="26" t="str">
        <f t="shared" si="50"/>
        <v/>
      </c>
      <c r="X213" s="27" t="str">
        <f t="shared" si="51"/>
        <v/>
      </c>
      <c r="Y213" s="27" t="str">
        <f t="shared" si="52"/>
        <v/>
      </c>
      <c r="Z213" s="43"/>
      <c r="AA213" s="107"/>
      <c r="AB213" s="76" t="str">
        <f t="shared" si="53"/>
        <v/>
      </c>
      <c r="AC213" s="74" t="str">
        <f t="shared" si="54"/>
        <v/>
      </c>
    </row>
    <row r="214" ht="18" customHeight="1" spans="1:29">
      <c r="A214" s="32" t="str">
        <f t="shared" si="42"/>
        <v/>
      </c>
      <c r="B214" s="108"/>
      <c r="C214" s="11"/>
      <c r="D214" s="11"/>
      <c r="E214" s="10"/>
      <c r="F214" s="109"/>
      <c r="G214" s="109"/>
      <c r="H214" s="27" t="str">
        <f t="shared" si="55"/>
        <v/>
      </c>
      <c r="I214" s="11" t="s">
        <v>253</v>
      </c>
      <c r="J214" s="27" t="str">
        <f t="shared" si="43"/>
        <v/>
      </c>
      <c r="K214" s="27">
        <v>0</v>
      </c>
      <c r="L214" s="11"/>
      <c r="M214" s="11"/>
      <c r="N214" s="10"/>
      <c r="O214" s="11"/>
      <c r="P214" s="10"/>
      <c r="Q214" s="26" t="str">
        <f t="shared" si="44"/>
        <v/>
      </c>
      <c r="R214" s="27" t="str">
        <f t="shared" si="45"/>
        <v/>
      </c>
      <c r="S214" s="27" t="str">
        <f t="shared" si="46"/>
        <v/>
      </c>
      <c r="T214" s="26" t="str">
        <f t="shared" si="47"/>
        <v/>
      </c>
      <c r="U214" s="27" t="str">
        <f t="shared" si="48"/>
        <v/>
      </c>
      <c r="V214" s="27" t="str">
        <f t="shared" si="49"/>
        <v/>
      </c>
      <c r="W214" s="26" t="str">
        <f t="shared" si="50"/>
        <v/>
      </c>
      <c r="X214" s="27" t="str">
        <f t="shared" si="51"/>
        <v/>
      </c>
      <c r="Y214" s="27" t="str">
        <f t="shared" si="52"/>
        <v/>
      </c>
      <c r="Z214" s="43"/>
      <c r="AA214" s="107"/>
      <c r="AB214" s="76" t="str">
        <f t="shared" si="53"/>
        <v/>
      </c>
      <c r="AC214" s="74" t="str">
        <f t="shared" si="54"/>
        <v/>
      </c>
    </row>
    <row r="215" ht="18" customHeight="1" spans="1:29">
      <c r="A215" s="32" t="str">
        <f t="shared" si="42"/>
        <v/>
      </c>
      <c r="B215" s="108"/>
      <c r="C215" s="11"/>
      <c r="D215" s="11"/>
      <c r="E215" s="10"/>
      <c r="F215" s="109"/>
      <c r="G215" s="109"/>
      <c r="H215" s="27" t="str">
        <f t="shared" si="55"/>
        <v/>
      </c>
      <c r="I215" s="11" t="s">
        <v>253</v>
      </c>
      <c r="J215" s="27" t="str">
        <f t="shared" si="43"/>
        <v/>
      </c>
      <c r="K215" s="27">
        <v>0</v>
      </c>
      <c r="L215" s="11"/>
      <c r="M215" s="11"/>
      <c r="N215" s="10"/>
      <c r="O215" s="11"/>
      <c r="P215" s="10"/>
      <c r="Q215" s="26" t="str">
        <f t="shared" si="44"/>
        <v/>
      </c>
      <c r="R215" s="27" t="str">
        <f t="shared" si="45"/>
        <v/>
      </c>
      <c r="S215" s="27" t="str">
        <f t="shared" si="46"/>
        <v/>
      </c>
      <c r="T215" s="26" t="str">
        <f t="shared" si="47"/>
        <v/>
      </c>
      <c r="U215" s="27" t="str">
        <f t="shared" si="48"/>
        <v/>
      </c>
      <c r="V215" s="27" t="str">
        <f t="shared" si="49"/>
        <v/>
      </c>
      <c r="W215" s="26" t="str">
        <f t="shared" si="50"/>
        <v/>
      </c>
      <c r="X215" s="27" t="str">
        <f t="shared" si="51"/>
        <v/>
      </c>
      <c r="Y215" s="27" t="str">
        <f t="shared" si="52"/>
        <v/>
      </c>
      <c r="Z215" s="43"/>
      <c r="AA215" s="107"/>
      <c r="AB215" s="76" t="str">
        <f t="shared" si="53"/>
        <v/>
      </c>
      <c r="AC215" s="74" t="str">
        <f t="shared" si="54"/>
        <v/>
      </c>
    </row>
    <row r="216" ht="18" customHeight="1" spans="1:29">
      <c r="A216" s="32" t="str">
        <f t="shared" si="42"/>
        <v/>
      </c>
      <c r="B216" s="108"/>
      <c r="C216" s="11"/>
      <c r="D216" s="11"/>
      <c r="E216" s="10"/>
      <c r="F216" s="109"/>
      <c r="G216" s="109"/>
      <c r="H216" s="27" t="str">
        <f t="shared" si="55"/>
        <v/>
      </c>
      <c r="I216" s="11" t="s">
        <v>253</v>
      </c>
      <c r="J216" s="27" t="str">
        <f t="shared" si="43"/>
        <v/>
      </c>
      <c r="K216" s="27">
        <v>0</v>
      </c>
      <c r="L216" s="11"/>
      <c r="M216" s="11"/>
      <c r="N216" s="10"/>
      <c r="O216" s="11"/>
      <c r="P216" s="10"/>
      <c r="Q216" s="26" t="str">
        <f t="shared" si="44"/>
        <v/>
      </c>
      <c r="R216" s="27" t="str">
        <f t="shared" si="45"/>
        <v/>
      </c>
      <c r="S216" s="27" t="str">
        <f t="shared" si="46"/>
        <v/>
      </c>
      <c r="T216" s="26" t="str">
        <f t="shared" si="47"/>
        <v/>
      </c>
      <c r="U216" s="27" t="str">
        <f t="shared" si="48"/>
        <v/>
      </c>
      <c r="V216" s="27" t="str">
        <f t="shared" si="49"/>
        <v/>
      </c>
      <c r="W216" s="26" t="str">
        <f t="shared" si="50"/>
        <v/>
      </c>
      <c r="X216" s="27" t="str">
        <f t="shared" si="51"/>
        <v/>
      </c>
      <c r="Y216" s="27" t="str">
        <f t="shared" si="52"/>
        <v/>
      </c>
      <c r="Z216" s="43"/>
      <c r="AA216" s="107"/>
      <c r="AB216" s="76" t="str">
        <f t="shared" si="53"/>
        <v/>
      </c>
      <c r="AC216" s="74" t="str">
        <f t="shared" si="54"/>
        <v/>
      </c>
    </row>
    <row r="217" ht="18" customHeight="1" spans="1:29">
      <c r="A217" s="32" t="str">
        <f t="shared" si="42"/>
        <v/>
      </c>
      <c r="B217" s="108"/>
      <c r="C217" s="11"/>
      <c r="D217" s="11"/>
      <c r="E217" s="10"/>
      <c r="F217" s="109"/>
      <c r="G217" s="109"/>
      <c r="H217" s="27" t="str">
        <f t="shared" si="55"/>
        <v/>
      </c>
      <c r="I217" s="11" t="s">
        <v>253</v>
      </c>
      <c r="J217" s="27" t="str">
        <f t="shared" si="43"/>
        <v/>
      </c>
      <c r="K217" s="27">
        <v>0</v>
      </c>
      <c r="L217" s="11"/>
      <c r="M217" s="11"/>
      <c r="N217" s="10"/>
      <c r="O217" s="11"/>
      <c r="P217" s="10"/>
      <c r="Q217" s="26" t="str">
        <f t="shared" si="44"/>
        <v/>
      </c>
      <c r="R217" s="27" t="str">
        <f t="shared" si="45"/>
        <v/>
      </c>
      <c r="S217" s="27" t="str">
        <f t="shared" si="46"/>
        <v/>
      </c>
      <c r="T217" s="26" t="str">
        <f t="shared" si="47"/>
        <v/>
      </c>
      <c r="U217" s="27" t="str">
        <f t="shared" si="48"/>
        <v/>
      </c>
      <c r="V217" s="27" t="str">
        <f t="shared" si="49"/>
        <v/>
      </c>
      <c r="W217" s="26" t="str">
        <f t="shared" si="50"/>
        <v/>
      </c>
      <c r="X217" s="27" t="str">
        <f t="shared" si="51"/>
        <v/>
      </c>
      <c r="Y217" s="27" t="str">
        <f t="shared" si="52"/>
        <v/>
      </c>
      <c r="Z217" s="43"/>
      <c r="AA217" s="107"/>
      <c r="AB217" s="76" t="str">
        <f t="shared" si="53"/>
        <v/>
      </c>
      <c r="AC217" s="74" t="str">
        <f t="shared" si="54"/>
        <v/>
      </c>
    </row>
    <row r="218" ht="18" customHeight="1" spans="1:29">
      <c r="A218" s="32" t="str">
        <f t="shared" si="42"/>
        <v/>
      </c>
      <c r="B218" s="108"/>
      <c r="C218" s="11"/>
      <c r="D218" s="11"/>
      <c r="E218" s="10"/>
      <c r="F218" s="109"/>
      <c r="G218" s="109"/>
      <c r="H218" s="27" t="str">
        <f t="shared" si="55"/>
        <v/>
      </c>
      <c r="I218" s="11" t="s">
        <v>253</v>
      </c>
      <c r="J218" s="27" t="str">
        <f t="shared" si="43"/>
        <v/>
      </c>
      <c r="K218" s="27">
        <v>0</v>
      </c>
      <c r="L218" s="11"/>
      <c r="M218" s="11"/>
      <c r="N218" s="10"/>
      <c r="O218" s="11"/>
      <c r="P218" s="10"/>
      <c r="Q218" s="26" t="str">
        <f t="shared" si="44"/>
        <v/>
      </c>
      <c r="R218" s="27" t="str">
        <f t="shared" si="45"/>
        <v/>
      </c>
      <c r="S218" s="27" t="str">
        <f t="shared" si="46"/>
        <v/>
      </c>
      <c r="T218" s="26" t="str">
        <f t="shared" si="47"/>
        <v/>
      </c>
      <c r="U218" s="27" t="str">
        <f t="shared" si="48"/>
        <v/>
      </c>
      <c r="V218" s="27" t="str">
        <f t="shared" si="49"/>
        <v/>
      </c>
      <c r="W218" s="26" t="str">
        <f t="shared" si="50"/>
        <v/>
      </c>
      <c r="X218" s="27" t="str">
        <f t="shared" si="51"/>
        <v/>
      </c>
      <c r="Y218" s="27" t="str">
        <f t="shared" si="52"/>
        <v/>
      </c>
      <c r="Z218" s="43"/>
      <c r="AA218" s="107"/>
      <c r="AB218" s="76" t="str">
        <f t="shared" si="53"/>
        <v/>
      </c>
      <c r="AC218" s="74" t="str">
        <f t="shared" si="54"/>
        <v/>
      </c>
    </row>
    <row r="219" ht="18" customHeight="1" spans="1:29">
      <c r="A219" s="32" t="str">
        <f t="shared" si="42"/>
        <v/>
      </c>
      <c r="B219" s="108"/>
      <c r="C219" s="11"/>
      <c r="D219" s="11"/>
      <c r="E219" s="10"/>
      <c r="F219" s="109"/>
      <c r="G219" s="109"/>
      <c r="H219" s="27" t="str">
        <f t="shared" si="55"/>
        <v/>
      </c>
      <c r="I219" s="11" t="s">
        <v>253</v>
      </c>
      <c r="J219" s="27" t="str">
        <f t="shared" si="43"/>
        <v/>
      </c>
      <c r="K219" s="27">
        <v>0</v>
      </c>
      <c r="L219" s="11"/>
      <c r="M219" s="11"/>
      <c r="N219" s="10"/>
      <c r="O219" s="11"/>
      <c r="P219" s="10"/>
      <c r="Q219" s="26" t="str">
        <f t="shared" si="44"/>
        <v/>
      </c>
      <c r="R219" s="27" t="str">
        <f t="shared" si="45"/>
        <v/>
      </c>
      <c r="S219" s="27" t="str">
        <f t="shared" si="46"/>
        <v/>
      </c>
      <c r="T219" s="26" t="str">
        <f t="shared" si="47"/>
        <v/>
      </c>
      <c r="U219" s="27" t="str">
        <f t="shared" si="48"/>
        <v/>
      </c>
      <c r="V219" s="27" t="str">
        <f t="shared" si="49"/>
        <v/>
      </c>
      <c r="W219" s="26" t="str">
        <f t="shared" si="50"/>
        <v/>
      </c>
      <c r="X219" s="27" t="str">
        <f t="shared" si="51"/>
        <v/>
      </c>
      <c r="Y219" s="27" t="str">
        <f t="shared" si="52"/>
        <v/>
      </c>
      <c r="Z219" s="43"/>
      <c r="AA219" s="107"/>
      <c r="AB219" s="76" t="str">
        <f t="shared" si="53"/>
        <v/>
      </c>
      <c r="AC219" s="74" t="str">
        <f t="shared" si="54"/>
        <v/>
      </c>
    </row>
    <row r="220" ht="18" customHeight="1" spans="1:29">
      <c r="A220" s="32" t="str">
        <f t="shared" si="42"/>
        <v/>
      </c>
      <c r="B220" s="108"/>
      <c r="C220" s="11"/>
      <c r="D220" s="11"/>
      <c r="E220" s="10"/>
      <c r="F220" s="109"/>
      <c r="G220" s="109"/>
      <c r="H220" s="27" t="str">
        <f t="shared" si="55"/>
        <v/>
      </c>
      <c r="I220" s="11" t="s">
        <v>253</v>
      </c>
      <c r="J220" s="27" t="str">
        <f t="shared" si="43"/>
        <v/>
      </c>
      <c r="K220" s="27">
        <v>0</v>
      </c>
      <c r="L220" s="11"/>
      <c r="M220" s="11"/>
      <c r="N220" s="10"/>
      <c r="O220" s="11"/>
      <c r="P220" s="10"/>
      <c r="Q220" s="26" t="str">
        <f t="shared" si="44"/>
        <v/>
      </c>
      <c r="R220" s="27" t="str">
        <f t="shared" si="45"/>
        <v/>
      </c>
      <c r="S220" s="27" t="str">
        <f t="shared" si="46"/>
        <v/>
      </c>
      <c r="T220" s="26" t="str">
        <f t="shared" si="47"/>
        <v/>
      </c>
      <c r="U220" s="27" t="str">
        <f t="shared" si="48"/>
        <v/>
      </c>
      <c r="V220" s="27" t="str">
        <f t="shared" si="49"/>
        <v/>
      </c>
      <c r="W220" s="26" t="str">
        <f t="shared" si="50"/>
        <v/>
      </c>
      <c r="X220" s="27" t="str">
        <f t="shared" si="51"/>
        <v/>
      </c>
      <c r="Y220" s="27" t="str">
        <f t="shared" si="52"/>
        <v/>
      </c>
      <c r="Z220" s="43"/>
      <c r="AA220" s="107"/>
      <c r="AB220" s="76" t="str">
        <f t="shared" si="53"/>
        <v/>
      </c>
      <c r="AC220" s="74" t="str">
        <f t="shared" si="54"/>
        <v/>
      </c>
    </row>
    <row r="221" ht="18" customHeight="1" spans="1:29">
      <c r="A221" s="32" t="str">
        <f t="shared" si="42"/>
        <v/>
      </c>
      <c r="B221" s="108"/>
      <c r="C221" s="11"/>
      <c r="D221" s="11"/>
      <c r="E221" s="10"/>
      <c r="F221" s="109"/>
      <c r="G221" s="109"/>
      <c r="H221" s="27" t="str">
        <f t="shared" si="55"/>
        <v/>
      </c>
      <c r="I221" s="11" t="s">
        <v>253</v>
      </c>
      <c r="J221" s="27" t="str">
        <f t="shared" si="43"/>
        <v/>
      </c>
      <c r="K221" s="27">
        <v>0</v>
      </c>
      <c r="L221" s="11"/>
      <c r="M221" s="11"/>
      <c r="N221" s="10"/>
      <c r="O221" s="11"/>
      <c r="P221" s="10"/>
      <c r="Q221" s="26" t="str">
        <f t="shared" si="44"/>
        <v/>
      </c>
      <c r="R221" s="27" t="str">
        <f t="shared" si="45"/>
        <v/>
      </c>
      <c r="S221" s="27" t="str">
        <f t="shared" si="46"/>
        <v/>
      </c>
      <c r="T221" s="26" t="str">
        <f t="shared" si="47"/>
        <v/>
      </c>
      <c r="U221" s="27" t="str">
        <f t="shared" si="48"/>
        <v/>
      </c>
      <c r="V221" s="27" t="str">
        <f t="shared" si="49"/>
        <v/>
      </c>
      <c r="W221" s="26" t="str">
        <f t="shared" si="50"/>
        <v/>
      </c>
      <c r="X221" s="27" t="str">
        <f t="shared" si="51"/>
        <v/>
      </c>
      <c r="Y221" s="27" t="str">
        <f t="shared" si="52"/>
        <v/>
      </c>
      <c r="Z221" s="43"/>
      <c r="AA221" s="107"/>
      <c r="AB221" s="76" t="str">
        <f t="shared" si="53"/>
        <v/>
      </c>
      <c r="AC221" s="74" t="str">
        <f t="shared" si="54"/>
        <v/>
      </c>
    </row>
    <row r="222" ht="18" customHeight="1" spans="1:29">
      <c r="A222" s="32" t="str">
        <f t="shared" si="42"/>
        <v/>
      </c>
      <c r="B222" s="108"/>
      <c r="C222" s="11"/>
      <c r="D222" s="11"/>
      <c r="E222" s="10"/>
      <c r="F222" s="109"/>
      <c r="G222" s="109"/>
      <c r="H222" s="27" t="str">
        <f t="shared" si="55"/>
        <v/>
      </c>
      <c r="I222" s="11" t="s">
        <v>253</v>
      </c>
      <c r="J222" s="27" t="str">
        <f t="shared" si="43"/>
        <v/>
      </c>
      <c r="K222" s="27">
        <v>0</v>
      </c>
      <c r="L222" s="11"/>
      <c r="M222" s="11"/>
      <c r="N222" s="10"/>
      <c r="O222" s="11"/>
      <c r="P222" s="10"/>
      <c r="Q222" s="26" t="str">
        <f t="shared" si="44"/>
        <v/>
      </c>
      <c r="R222" s="27" t="str">
        <f t="shared" si="45"/>
        <v/>
      </c>
      <c r="S222" s="27" t="str">
        <f t="shared" si="46"/>
        <v/>
      </c>
      <c r="T222" s="26" t="str">
        <f t="shared" si="47"/>
        <v/>
      </c>
      <c r="U222" s="27" t="str">
        <f t="shared" si="48"/>
        <v/>
      </c>
      <c r="V222" s="27" t="str">
        <f t="shared" si="49"/>
        <v/>
      </c>
      <c r="W222" s="26" t="str">
        <f t="shared" si="50"/>
        <v/>
      </c>
      <c r="X222" s="27" t="str">
        <f t="shared" si="51"/>
        <v/>
      </c>
      <c r="Y222" s="27" t="str">
        <f t="shared" si="52"/>
        <v/>
      </c>
      <c r="Z222" s="43"/>
      <c r="AA222" s="107"/>
      <c r="AB222" s="76" t="str">
        <f t="shared" si="53"/>
        <v/>
      </c>
      <c r="AC222" s="74" t="str">
        <f t="shared" si="54"/>
        <v/>
      </c>
    </row>
    <row r="223" ht="18" customHeight="1" spans="1:29">
      <c r="A223" s="32" t="str">
        <f t="shared" si="42"/>
        <v/>
      </c>
      <c r="B223" s="108"/>
      <c r="C223" s="11"/>
      <c r="D223" s="11"/>
      <c r="E223" s="10"/>
      <c r="F223" s="109"/>
      <c r="G223" s="109"/>
      <c r="H223" s="27" t="str">
        <f t="shared" si="55"/>
        <v/>
      </c>
      <c r="I223" s="11" t="s">
        <v>253</v>
      </c>
      <c r="J223" s="27" t="str">
        <f t="shared" si="43"/>
        <v/>
      </c>
      <c r="K223" s="27">
        <v>0</v>
      </c>
      <c r="L223" s="11"/>
      <c r="M223" s="11"/>
      <c r="N223" s="10"/>
      <c r="O223" s="11"/>
      <c r="P223" s="10"/>
      <c r="Q223" s="26" t="str">
        <f t="shared" si="44"/>
        <v/>
      </c>
      <c r="R223" s="27" t="str">
        <f t="shared" si="45"/>
        <v/>
      </c>
      <c r="S223" s="27" t="str">
        <f t="shared" si="46"/>
        <v/>
      </c>
      <c r="T223" s="26" t="str">
        <f t="shared" si="47"/>
        <v/>
      </c>
      <c r="U223" s="27" t="str">
        <f t="shared" si="48"/>
        <v/>
      </c>
      <c r="V223" s="27" t="str">
        <f t="shared" si="49"/>
        <v/>
      </c>
      <c r="W223" s="26" t="str">
        <f t="shared" si="50"/>
        <v/>
      </c>
      <c r="X223" s="27" t="str">
        <f t="shared" si="51"/>
        <v/>
      </c>
      <c r="Y223" s="27" t="str">
        <f t="shared" si="52"/>
        <v/>
      </c>
      <c r="Z223" s="43"/>
      <c r="AA223" s="107"/>
      <c r="AB223" s="76" t="str">
        <f t="shared" si="53"/>
        <v/>
      </c>
      <c r="AC223" s="74" t="str">
        <f t="shared" si="54"/>
        <v/>
      </c>
    </row>
    <row r="224" ht="18" customHeight="1" spans="1:29">
      <c r="A224" s="32" t="str">
        <f t="shared" si="42"/>
        <v/>
      </c>
      <c r="B224" s="108"/>
      <c r="C224" s="11"/>
      <c r="D224" s="11"/>
      <c r="E224" s="10"/>
      <c r="F224" s="109"/>
      <c r="G224" s="109"/>
      <c r="H224" s="27" t="str">
        <f t="shared" si="55"/>
        <v/>
      </c>
      <c r="I224" s="11" t="s">
        <v>253</v>
      </c>
      <c r="J224" s="27" t="str">
        <f t="shared" si="43"/>
        <v/>
      </c>
      <c r="K224" s="27">
        <v>0</v>
      </c>
      <c r="L224" s="11"/>
      <c r="M224" s="11"/>
      <c r="N224" s="10"/>
      <c r="O224" s="11"/>
      <c r="P224" s="10"/>
      <c r="Q224" s="26" t="str">
        <f t="shared" si="44"/>
        <v/>
      </c>
      <c r="R224" s="27" t="str">
        <f t="shared" si="45"/>
        <v/>
      </c>
      <c r="S224" s="27" t="str">
        <f t="shared" si="46"/>
        <v/>
      </c>
      <c r="T224" s="26" t="str">
        <f t="shared" si="47"/>
        <v/>
      </c>
      <c r="U224" s="27" t="str">
        <f t="shared" si="48"/>
        <v/>
      </c>
      <c r="V224" s="27" t="str">
        <f t="shared" si="49"/>
        <v/>
      </c>
      <c r="W224" s="26" t="str">
        <f t="shared" si="50"/>
        <v/>
      </c>
      <c r="X224" s="27" t="str">
        <f t="shared" si="51"/>
        <v/>
      </c>
      <c r="Y224" s="27" t="str">
        <f t="shared" si="52"/>
        <v/>
      </c>
      <c r="Z224" s="43"/>
      <c r="AA224" s="107"/>
      <c r="AB224" s="76" t="str">
        <f t="shared" si="53"/>
        <v/>
      </c>
      <c r="AC224" s="74" t="str">
        <f t="shared" si="54"/>
        <v/>
      </c>
    </row>
    <row r="225" ht="18" customHeight="1" spans="1:29">
      <c r="A225" s="32" t="str">
        <f t="shared" si="42"/>
        <v/>
      </c>
      <c r="B225" s="108"/>
      <c r="C225" s="11"/>
      <c r="D225" s="11"/>
      <c r="E225" s="10"/>
      <c r="F225" s="109"/>
      <c r="G225" s="109"/>
      <c r="H225" s="27" t="str">
        <f t="shared" si="55"/>
        <v/>
      </c>
      <c r="I225" s="11" t="s">
        <v>253</v>
      </c>
      <c r="J225" s="27" t="str">
        <f t="shared" si="43"/>
        <v/>
      </c>
      <c r="K225" s="27">
        <v>0</v>
      </c>
      <c r="L225" s="11"/>
      <c r="M225" s="11"/>
      <c r="N225" s="10"/>
      <c r="O225" s="11"/>
      <c r="P225" s="10"/>
      <c r="Q225" s="26" t="str">
        <f t="shared" si="44"/>
        <v/>
      </c>
      <c r="R225" s="27" t="str">
        <f t="shared" si="45"/>
        <v/>
      </c>
      <c r="S225" s="27" t="str">
        <f t="shared" si="46"/>
        <v/>
      </c>
      <c r="T225" s="26" t="str">
        <f t="shared" si="47"/>
        <v/>
      </c>
      <c r="U225" s="27" t="str">
        <f t="shared" si="48"/>
        <v/>
      </c>
      <c r="V225" s="27" t="str">
        <f t="shared" si="49"/>
        <v/>
      </c>
      <c r="W225" s="26" t="str">
        <f t="shared" si="50"/>
        <v/>
      </c>
      <c r="X225" s="27" t="str">
        <f t="shared" si="51"/>
        <v/>
      </c>
      <c r="Y225" s="27" t="str">
        <f t="shared" si="52"/>
        <v/>
      </c>
      <c r="Z225" s="43"/>
      <c r="AA225" s="107"/>
      <c r="AB225" s="76" t="str">
        <f t="shared" si="53"/>
        <v/>
      </c>
      <c r="AC225" s="74" t="str">
        <f t="shared" si="54"/>
        <v/>
      </c>
    </row>
    <row r="226" ht="18" customHeight="1" spans="1:29">
      <c r="A226" s="32" t="str">
        <f t="shared" si="42"/>
        <v/>
      </c>
      <c r="B226" s="108"/>
      <c r="C226" s="11"/>
      <c r="D226" s="11"/>
      <c r="E226" s="10"/>
      <c r="F226" s="109"/>
      <c r="G226" s="109"/>
      <c r="H226" s="27" t="str">
        <f t="shared" si="55"/>
        <v/>
      </c>
      <c r="I226" s="11" t="s">
        <v>253</v>
      </c>
      <c r="J226" s="27" t="str">
        <f t="shared" si="43"/>
        <v/>
      </c>
      <c r="K226" s="27">
        <v>0</v>
      </c>
      <c r="L226" s="11"/>
      <c r="M226" s="11"/>
      <c r="N226" s="10"/>
      <c r="O226" s="11"/>
      <c r="P226" s="10"/>
      <c r="Q226" s="26" t="str">
        <f t="shared" si="44"/>
        <v/>
      </c>
      <c r="R226" s="27" t="str">
        <f t="shared" si="45"/>
        <v/>
      </c>
      <c r="S226" s="27" t="str">
        <f t="shared" si="46"/>
        <v/>
      </c>
      <c r="T226" s="26" t="str">
        <f t="shared" si="47"/>
        <v/>
      </c>
      <c r="U226" s="27" t="str">
        <f t="shared" si="48"/>
        <v/>
      </c>
      <c r="V226" s="27" t="str">
        <f t="shared" si="49"/>
        <v/>
      </c>
      <c r="W226" s="26" t="str">
        <f t="shared" si="50"/>
        <v/>
      </c>
      <c r="X226" s="27" t="str">
        <f t="shared" si="51"/>
        <v/>
      </c>
      <c r="Y226" s="27" t="str">
        <f t="shared" si="52"/>
        <v/>
      </c>
      <c r="Z226" s="43"/>
      <c r="AA226" s="107"/>
      <c r="AB226" s="76" t="str">
        <f t="shared" si="53"/>
        <v/>
      </c>
      <c r="AC226" s="74" t="str">
        <f t="shared" si="54"/>
        <v/>
      </c>
    </row>
    <row r="227" ht="18" customHeight="1" spans="1:29">
      <c r="A227" s="32" t="str">
        <f t="shared" si="42"/>
        <v/>
      </c>
      <c r="B227" s="108"/>
      <c r="C227" s="11"/>
      <c r="D227" s="11"/>
      <c r="E227" s="10"/>
      <c r="F227" s="109"/>
      <c r="G227" s="109"/>
      <c r="H227" s="27" t="str">
        <f t="shared" si="55"/>
        <v/>
      </c>
      <c r="I227" s="11" t="s">
        <v>253</v>
      </c>
      <c r="J227" s="27" t="str">
        <f t="shared" si="43"/>
        <v/>
      </c>
      <c r="K227" s="27">
        <v>0</v>
      </c>
      <c r="L227" s="11"/>
      <c r="M227" s="11"/>
      <c r="N227" s="10"/>
      <c r="O227" s="11"/>
      <c r="P227" s="10"/>
      <c r="Q227" s="26" t="str">
        <f t="shared" si="44"/>
        <v/>
      </c>
      <c r="R227" s="27" t="str">
        <f t="shared" si="45"/>
        <v/>
      </c>
      <c r="S227" s="27" t="str">
        <f t="shared" si="46"/>
        <v/>
      </c>
      <c r="T227" s="26" t="str">
        <f t="shared" si="47"/>
        <v/>
      </c>
      <c r="U227" s="27" t="str">
        <f t="shared" si="48"/>
        <v/>
      </c>
      <c r="V227" s="27" t="str">
        <f t="shared" si="49"/>
        <v/>
      </c>
      <c r="W227" s="26" t="str">
        <f t="shared" si="50"/>
        <v/>
      </c>
      <c r="X227" s="27" t="str">
        <f t="shared" si="51"/>
        <v/>
      </c>
      <c r="Y227" s="27" t="str">
        <f t="shared" si="52"/>
        <v/>
      </c>
      <c r="Z227" s="43"/>
      <c r="AA227" s="107"/>
      <c r="AB227" s="76" t="str">
        <f t="shared" si="53"/>
        <v/>
      </c>
      <c r="AC227" s="74" t="str">
        <f t="shared" si="54"/>
        <v/>
      </c>
    </row>
    <row r="228" ht="18" customHeight="1" spans="1:29">
      <c r="A228" s="32" t="str">
        <f t="shared" si="42"/>
        <v/>
      </c>
      <c r="B228" s="108"/>
      <c r="C228" s="11"/>
      <c r="D228" s="11"/>
      <c r="E228" s="10"/>
      <c r="F228" s="109"/>
      <c r="G228" s="109"/>
      <c r="H228" s="27" t="str">
        <f t="shared" si="55"/>
        <v/>
      </c>
      <c r="I228" s="11" t="s">
        <v>253</v>
      </c>
      <c r="J228" s="27" t="str">
        <f t="shared" si="43"/>
        <v/>
      </c>
      <c r="K228" s="27">
        <v>0</v>
      </c>
      <c r="L228" s="11"/>
      <c r="M228" s="11"/>
      <c r="N228" s="10"/>
      <c r="O228" s="11"/>
      <c r="P228" s="10"/>
      <c r="Q228" s="26" t="str">
        <f t="shared" si="44"/>
        <v/>
      </c>
      <c r="R228" s="27" t="str">
        <f t="shared" si="45"/>
        <v/>
      </c>
      <c r="S228" s="27" t="str">
        <f t="shared" si="46"/>
        <v/>
      </c>
      <c r="T228" s="26" t="str">
        <f t="shared" si="47"/>
        <v/>
      </c>
      <c r="U228" s="27" t="str">
        <f t="shared" si="48"/>
        <v/>
      </c>
      <c r="V228" s="27" t="str">
        <f t="shared" si="49"/>
        <v/>
      </c>
      <c r="W228" s="26" t="str">
        <f t="shared" si="50"/>
        <v/>
      </c>
      <c r="X228" s="27" t="str">
        <f t="shared" si="51"/>
        <v/>
      </c>
      <c r="Y228" s="27" t="str">
        <f t="shared" si="52"/>
        <v/>
      </c>
      <c r="Z228" s="43"/>
      <c r="AA228" s="107"/>
      <c r="AB228" s="76" t="str">
        <f t="shared" si="53"/>
        <v/>
      </c>
      <c r="AC228" s="74" t="str">
        <f t="shared" si="54"/>
        <v/>
      </c>
    </row>
    <row r="229" ht="18" customHeight="1" spans="1:29">
      <c r="A229" s="32" t="str">
        <f t="shared" si="42"/>
        <v/>
      </c>
      <c r="B229" s="108"/>
      <c r="C229" s="11"/>
      <c r="D229" s="11"/>
      <c r="E229" s="10"/>
      <c r="F229" s="109"/>
      <c r="G229" s="109"/>
      <c r="H229" s="27" t="str">
        <f t="shared" si="55"/>
        <v/>
      </c>
      <c r="I229" s="11" t="s">
        <v>253</v>
      </c>
      <c r="J229" s="27" t="str">
        <f t="shared" si="43"/>
        <v/>
      </c>
      <c r="K229" s="27">
        <v>0</v>
      </c>
      <c r="L229" s="11"/>
      <c r="M229" s="11"/>
      <c r="N229" s="10"/>
      <c r="O229" s="11"/>
      <c r="P229" s="10"/>
      <c r="Q229" s="26" t="str">
        <f t="shared" si="44"/>
        <v/>
      </c>
      <c r="R229" s="27" t="str">
        <f t="shared" si="45"/>
        <v/>
      </c>
      <c r="S229" s="27" t="str">
        <f t="shared" si="46"/>
        <v/>
      </c>
      <c r="T229" s="26" t="str">
        <f t="shared" si="47"/>
        <v/>
      </c>
      <c r="U229" s="27" t="str">
        <f t="shared" si="48"/>
        <v/>
      </c>
      <c r="V229" s="27" t="str">
        <f t="shared" si="49"/>
        <v/>
      </c>
      <c r="W229" s="26" t="str">
        <f t="shared" si="50"/>
        <v/>
      </c>
      <c r="X229" s="27" t="str">
        <f t="shared" si="51"/>
        <v/>
      </c>
      <c r="Y229" s="27" t="str">
        <f t="shared" si="52"/>
        <v/>
      </c>
      <c r="Z229" s="43"/>
      <c r="AA229" s="107"/>
      <c r="AB229" s="76" t="str">
        <f t="shared" si="53"/>
        <v/>
      </c>
      <c r="AC229" s="74" t="str">
        <f t="shared" si="54"/>
        <v/>
      </c>
    </row>
    <row r="230" ht="18" customHeight="1" spans="1:29">
      <c r="A230" s="32" t="str">
        <f t="shared" si="42"/>
        <v/>
      </c>
      <c r="B230" s="108"/>
      <c r="C230" s="11"/>
      <c r="D230" s="11"/>
      <c r="E230" s="10"/>
      <c r="F230" s="109"/>
      <c r="G230" s="109"/>
      <c r="H230" s="27" t="str">
        <f t="shared" si="55"/>
        <v/>
      </c>
      <c r="I230" s="11" t="s">
        <v>253</v>
      </c>
      <c r="J230" s="27" t="str">
        <f t="shared" si="43"/>
        <v/>
      </c>
      <c r="K230" s="27">
        <v>0</v>
      </c>
      <c r="L230" s="11"/>
      <c r="M230" s="11"/>
      <c r="N230" s="10"/>
      <c r="O230" s="11"/>
      <c r="P230" s="10"/>
      <c r="Q230" s="26" t="str">
        <f t="shared" si="44"/>
        <v/>
      </c>
      <c r="R230" s="27" t="str">
        <f t="shared" si="45"/>
        <v/>
      </c>
      <c r="S230" s="27" t="str">
        <f t="shared" si="46"/>
        <v/>
      </c>
      <c r="T230" s="26" t="str">
        <f t="shared" si="47"/>
        <v/>
      </c>
      <c r="U230" s="27" t="str">
        <f t="shared" si="48"/>
        <v/>
      </c>
      <c r="V230" s="27" t="str">
        <f t="shared" si="49"/>
        <v/>
      </c>
      <c r="W230" s="26" t="str">
        <f t="shared" si="50"/>
        <v/>
      </c>
      <c r="X230" s="27" t="str">
        <f t="shared" si="51"/>
        <v/>
      </c>
      <c r="Y230" s="27" t="str">
        <f t="shared" si="52"/>
        <v/>
      </c>
      <c r="Z230" s="43"/>
      <c r="AA230" s="107"/>
      <c r="AB230" s="76" t="str">
        <f t="shared" si="53"/>
        <v/>
      </c>
      <c r="AC230" s="74" t="str">
        <f t="shared" si="54"/>
        <v/>
      </c>
    </row>
    <row r="231" ht="18" customHeight="1" spans="1:29">
      <c r="A231" s="32" t="str">
        <f t="shared" si="42"/>
        <v/>
      </c>
      <c r="B231" s="108"/>
      <c r="C231" s="11"/>
      <c r="D231" s="11"/>
      <c r="E231" s="10"/>
      <c r="F231" s="109"/>
      <c r="G231" s="109"/>
      <c r="H231" s="27" t="str">
        <f t="shared" si="55"/>
        <v/>
      </c>
      <c r="I231" s="11" t="s">
        <v>253</v>
      </c>
      <c r="J231" s="27" t="str">
        <f t="shared" si="43"/>
        <v/>
      </c>
      <c r="K231" s="27">
        <v>0</v>
      </c>
      <c r="L231" s="11"/>
      <c r="M231" s="11"/>
      <c r="N231" s="10"/>
      <c r="O231" s="11"/>
      <c r="P231" s="10"/>
      <c r="Q231" s="26" t="str">
        <f t="shared" si="44"/>
        <v/>
      </c>
      <c r="R231" s="27" t="str">
        <f t="shared" si="45"/>
        <v/>
      </c>
      <c r="S231" s="27" t="str">
        <f t="shared" si="46"/>
        <v/>
      </c>
      <c r="T231" s="26" t="str">
        <f t="shared" si="47"/>
        <v/>
      </c>
      <c r="U231" s="27" t="str">
        <f t="shared" si="48"/>
        <v/>
      </c>
      <c r="V231" s="27" t="str">
        <f t="shared" si="49"/>
        <v/>
      </c>
      <c r="W231" s="26" t="str">
        <f t="shared" si="50"/>
        <v/>
      </c>
      <c r="X231" s="27" t="str">
        <f t="shared" si="51"/>
        <v/>
      </c>
      <c r="Y231" s="27" t="str">
        <f t="shared" si="52"/>
        <v/>
      </c>
      <c r="Z231" s="43"/>
      <c r="AA231" s="107"/>
      <c r="AB231" s="76" t="str">
        <f t="shared" si="53"/>
        <v/>
      </c>
      <c r="AC231" s="74" t="str">
        <f t="shared" si="54"/>
        <v/>
      </c>
    </row>
    <row r="232" ht="18" customHeight="1" spans="1:29">
      <c r="A232" s="32" t="str">
        <f t="shared" si="42"/>
        <v/>
      </c>
      <c r="B232" s="108"/>
      <c r="C232" s="11"/>
      <c r="D232" s="11"/>
      <c r="E232" s="10"/>
      <c r="F232" s="109"/>
      <c r="G232" s="109"/>
      <c r="H232" s="27" t="str">
        <f t="shared" si="55"/>
        <v/>
      </c>
      <c r="I232" s="11" t="s">
        <v>253</v>
      </c>
      <c r="J232" s="27" t="str">
        <f t="shared" si="43"/>
        <v/>
      </c>
      <c r="K232" s="27">
        <v>0</v>
      </c>
      <c r="L232" s="11"/>
      <c r="M232" s="11"/>
      <c r="N232" s="10"/>
      <c r="O232" s="11"/>
      <c r="P232" s="10"/>
      <c r="Q232" s="26" t="str">
        <f t="shared" si="44"/>
        <v/>
      </c>
      <c r="R232" s="27" t="str">
        <f t="shared" si="45"/>
        <v/>
      </c>
      <c r="S232" s="27" t="str">
        <f t="shared" si="46"/>
        <v/>
      </c>
      <c r="T232" s="26" t="str">
        <f t="shared" si="47"/>
        <v/>
      </c>
      <c r="U232" s="27" t="str">
        <f t="shared" si="48"/>
        <v/>
      </c>
      <c r="V232" s="27" t="str">
        <f t="shared" si="49"/>
        <v/>
      </c>
      <c r="W232" s="26" t="str">
        <f t="shared" si="50"/>
        <v/>
      </c>
      <c r="X232" s="27" t="str">
        <f t="shared" si="51"/>
        <v/>
      </c>
      <c r="Y232" s="27" t="str">
        <f t="shared" si="52"/>
        <v/>
      </c>
      <c r="Z232" s="43"/>
      <c r="AA232" s="107"/>
      <c r="AB232" s="76" t="str">
        <f t="shared" si="53"/>
        <v/>
      </c>
      <c r="AC232" s="74" t="str">
        <f t="shared" si="54"/>
        <v/>
      </c>
    </row>
    <row r="233" ht="18" customHeight="1" spans="1:29">
      <c r="A233" s="32" t="str">
        <f t="shared" si="42"/>
        <v/>
      </c>
      <c r="B233" s="108"/>
      <c r="C233" s="11"/>
      <c r="D233" s="11"/>
      <c r="E233" s="10"/>
      <c r="F233" s="109"/>
      <c r="G233" s="109"/>
      <c r="H233" s="27" t="str">
        <f t="shared" si="55"/>
        <v/>
      </c>
      <c r="I233" s="11" t="s">
        <v>253</v>
      </c>
      <c r="J233" s="27" t="str">
        <f t="shared" si="43"/>
        <v/>
      </c>
      <c r="K233" s="27">
        <v>0</v>
      </c>
      <c r="L233" s="11"/>
      <c r="M233" s="11"/>
      <c r="N233" s="10"/>
      <c r="O233" s="11"/>
      <c r="P233" s="10"/>
      <c r="Q233" s="26" t="str">
        <f t="shared" si="44"/>
        <v/>
      </c>
      <c r="R233" s="27" t="str">
        <f t="shared" si="45"/>
        <v/>
      </c>
      <c r="S233" s="27" t="str">
        <f t="shared" si="46"/>
        <v/>
      </c>
      <c r="T233" s="26" t="str">
        <f t="shared" si="47"/>
        <v/>
      </c>
      <c r="U233" s="27" t="str">
        <f t="shared" si="48"/>
        <v/>
      </c>
      <c r="V233" s="27" t="str">
        <f t="shared" si="49"/>
        <v/>
      </c>
      <c r="W233" s="26" t="str">
        <f t="shared" si="50"/>
        <v/>
      </c>
      <c r="X233" s="27" t="str">
        <f t="shared" si="51"/>
        <v/>
      </c>
      <c r="Y233" s="27" t="str">
        <f t="shared" si="52"/>
        <v/>
      </c>
      <c r="Z233" s="43"/>
      <c r="AA233" s="107"/>
      <c r="AB233" s="76" t="str">
        <f t="shared" si="53"/>
        <v/>
      </c>
      <c r="AC233" s="74" t="str">
        <f t="shared" si="54"/>
        <v/>
      </c>
    </row>
    <row r="234" ht="18" customHeight="1" spans="1:29">
      <c r="A234" s="32" t="str">
        <f t="shared" si="42"/>
        <v/>
      </c>
      <c r="B234" s="108"/>
      <c r="C234" s="11"/>
      <c r="D234" s="11"/>
      <c r="E234" s="10"/>
      <c r="F234" s="109"/>
      <c r="G234" s="109"/>
      <c r="H234" s="27" t="str">
        <f t="shared" si="55"/>
        <v/>
      </c>
      <c r="I234" s="11" t="s">
        <v>253</v>
      </c>
      <c r="J234" s="27" t="str">
        <f t="shared" si="43"/>
        <v/>
      </c>
      <c r="K234" s="27">
        <v>0</v>
      </c>
      <c r="L234" s="11"/>
      <c r="M234" s="11"/>
      <c r="N234" s="10"/>
      <c r="O234" s="11"/>
      <c r="P234" s="10"/>
      <c r="Q234" s="26" t="str">
        <f t="shared" si="44"/>
        <v/>
      </c>
      <c r="R234" s="27" t="str">
        <f t="shared" si="45"/>
        <v/>
      </c>
      <c r="S234" s="27" t="str">
        <f t="shared" si="46"/>
        <v/>
      </c>
      <c r="T234" s="26" t="str">
        <f t="shared" si="47"/>
        <v/>
      </c>
      <c r="U234" s="27" t="str">
        <f t="shared" si="48"/>
        <v/>
      </c>
      <c r="V234" s="27" t="str">
        <f t="shared" si="49"/>
        <v/>
      </c>
      <c r="W234" s="26" t="str">
        <f t="shared" si="50"/>
        <v/>
      </c>
      <c r="X234" s="27" t="str">
        <f t="shared" si="51"/>
        <v/>
      </c>
      <c r="Y234" s="27" t="str">
        <f t="shared" si="52"/>
        <v/>
      </c>
      <c r="Z234" s="43"/>
      <c r="AA234" s="107"/>
      <c r="AB234" s="76" t="str">
        <f t="shared" si="53"/>
        <v/>
      </c>
      <c r="AC234" s="74" t="str">
        <f t="shared" si="54"/>
        <v/>
      </c>
    </row>
    <row r="235" ht="18" customHeight="1" spans="1:29">
      <c r="A235" s="32" t="str">
        <f t="shared" si="42"/>
        <v/>
      </c>
      <c r="B235" s="108"/>
      <c r="C235" s="11"/>
      <c r="D235" s="11"/>
      <c r="E235" s="10"/>
      <c r="F235" s="109"/>
      <c r="G235" s="109"/>
      <c r="H235" s="27" t="str">
        <f t="shared" si="55"/>
        <v/>
      </c>
      <c r="I235" s="11" t="s">
        <v>253</v>
      </c>
      <c r="J235" s="27" t="str">
        <f t="shared" si="43"/>
        <v/>
      </c>
      <c r="K235" s="27">
        <v>0</v>
      </c>
      <c r="L235" s="11"/>
      <c r="M235" s="11"/>
      <c r="N235" s="10"/>
      <c r="O235" s="11"/>
      <c r="P235" s="10"/>
      <c r="Q235" s="26" t="str">
        <f t="shared" si="44"/>
        <v/>
      </c>
      <c r="R235" s="27" t="str">
        <f t="shared" si="45"/>
        <v/>
      </c>
      <c r="S235" s="27" t="str">
        <f t="shared" si="46"/>
        <v/>
      </c>
      <c r="T235" s="26" t="str">
        <f t="shared" si="47"/>
        <v/>
      </c>
      <c r="U235" s="27" t="str">
        <f t="shared" si="48"/>
        <v/>
      </c>
      <c r="V235" s="27" t="str">
        <f t="shared" si="49"/>
        <v/>
      </c>
      <c r="W235" s="26" t="str">
        <f t="shared" si="50"/>
        <v/>
      </c>
      <c r="X235" s="27" t="str">
        <f t="shared" si="51"/>
        <v/>
      </c>
      <c r="Y235" s="27" t="str">
        <f t="shared" si="52"/>
        <v/>
      </c>
      <c r="Z235" s="43"/>
      <c r="AA235" s="107"/>
      <c r="AB235" s="76" t="str">
        <f t="shared" si="53"/>
        <v/>
      </c>
      <c r="AC235" s="74" t="str">
        <f t="shared" si="54"/>
        <v/>
      </c>
    </row>
    <row r="236" ht="18" customHeight="1" spans="1:29">
      <c r="A236" s="32" t="str">
        <f t="shared" si="42"/>
        <v/>
      </c>
      <c r="B236" s="108"/>
      <c r="C236" s="11"/>
      <c r="D236" s="11"/>
      <c r="E236" s="10"/>
      <c r="F236" s="109"/>
      <c r="G236" s="109"/>
      <c r="H236" s="27" t="str">
        <f t="shared" si="55"/>
        <v/>
      </c>
      <c r="I236" s="11" t="s">
        <v>253</v>
      </c>
      <c r="J236" s="27" t="str">
        <f t="shared" si="43"/>
        <v/>
      </c>
      <c r="K236" s="27">
        <v>0</v>
      </c>
      <c r="L236" s="11"/>
      <c r="M236" s="11"/>
      <c r="N236" s="10"/>
      <c r="O236" s="11"/>
      <c r="P236" s="10"/>
      <c r="Q236" s="26" t="str">
        <f t="shared" si="44"/>
        <v/>
      </c>
      <c r="R236" s="27" t="str">
        <f t="shared" si="45"/>
        <v/>
      </c>
      <c r="S236" s="27" t="str">
        <f t="shared" si="46"/>
        <v/>
      </c>
      <c r="T236" s="26" t="str">
        <f t="shared" si="47"/>
        <v/>
      </c>
      <c r="U236" s="27" t="str">
        <f t="shared" si="48"/>
        <v/>
      </c>
      <c r="V236" s="27" t="str">
        <f t="shared" si="49"/>
        <v/>
      </c>
      <c r="W236" s="26" t="str">
        <f t="shared" si="50"/>
        <v/>
      </c>
      <c r="X236" s="27" t="str">
        <f t="shared" si="51"/>
        <v/>
      </c>
      <c r="Y236" s="27" t="str">
        <f t="shared" si="52"/>
        <v/>
      </c>
      <c r="Z236" s="43"/>
      <c r="AA236" s="107"/>
      <c r="AB236" s="76" t="str">
        <f t="shared" si="53"/>
        <v/>
      </c>
      <c r="AC236" s="74" t="str">
        <f t="shared" si="54"/>
        <v/>
      </c>
    </row>
    <row r="237" ht="18" customHeight="1" spans="1:29">
      <c r="A237" s="32" t="str">
        <f t="shared" si="42"/>
        <v/>
      </c>
      <c r="B237" s="108"/>
      <c r="C237" s="11"/>
      <c r="D237" s="11"/>
      <c r="E237" s="10"/>
      <c r="F237" s="109"/>
      <c r="G237" s="109"/>
      <c r="H237" s="27" t="str">
        <f t="shared" si="55"/>
        <v/>
      </c>
      <c r="I237" s="11" t="s">
        <v>253</v>
      </c>
      <c r="J237" s="27" t="str">
        <f t="shared" si="43"/>
        <v/>
      </c>
      <c r="K237" s="27">
        <v>0</v>
      </c>
      <c r="L237" s="11"/>
      <c r="M237" s="11"/>
      <c r="N237" s="10"/>
      <c r="O237" s="11"/>
      <c r="P237" s="10"/>
      <c r="Q237" s="26" t="str">
        <f t="shared" si="44"/>
        <v/>
      </c>
      <c r="R237" s="27" t="str">
        <f t="shared" si="45"/>
        <v/>
      </c>
      <c r="S237" s="27" t="str">
        <f t="shared" si="46"/>
        <v/>
      </c>
      <c r="T237" s="26" t="str">
        <f t="shared" si="47"/>
        <v/>
      </c>
      <c r="U237" s="27" t="str">
        <f t="shared" si="48"/>
        <v/>
      </c>
      <c r="V237" s="27" t="str">
        <f t="shared" si="49"/>
        <v/>
      </c>
      <c r="W237" s="26" t="str">
        <f t="shared" si="50"/>
        <v/>
      </c>
      <c r="X237" s="27" t="str">
        <f t="shared" si="51"/>
        <v/>
      </c>
      <c r="Y237" s="27" t="str">
        <f t="shared" si="52"/>
        <v/>
      </c>
      <c r="Z237" s="43"/>
      <c r="AA237" s="107"/>
      <c r="AB237" s="76" t="str">
        <f t="shared" si="53"/>
        <v/>
      </c>
      <c r="AC237" s="74" t="str">
        <f t="shared" si="54"/>
        <v/>
      </c>
    </row>
    <row r="238" ht="18" customHeight="1" spans="1:29">
      <c r="A238" s="32" t="str">
        <f t="shared" si="42"/>
        <v/>
      </c>
      <c r="B238" s="108"/>
      <c r="C238" s="11"/>
      <c r="D238" s="11"/>
      <c r="E238" s="10"/>
      <c r="F238" s="109"/>
      <c r="G238" s="109"/>
      <c r="H238" s="27" t="str">
        <f t="shared" si="55"/>
        <v/>
      </c>
      <c r="I238" s="11" t="s">
        <v>253</v>
      </c>
      <c r="J238" s="27" t="str">
        <f t="shared" si="43"/>
        <v/>
      </c>
      <c r="K238" s="27">
        <v>0</v>
      </c>
      <c r="L238" s="11"/>
      <c r="M238" s="11"/>
      <c r="N238" s="10"/>
      <c r="O238" s="11"/>
      <c r="P238" s="10"/>
      <c r="Q238" s="26" t="str">
        <f t="shared" si="44"/>
        <v/>
      </c>
      <c r="R238" s="27" t="str">
        <f t="shared" si="45"/>
        <v/>
      </c>
      <c r="S238" s="27" t="str">
        <f t="shared" si="46"/>
        <v/>
      </c>
      <c r="T238" s="26" t="str">
        <f t="shared" si="47"/>
        <v/>
      </c>
      <c r="U238" s="27" t="str">
        <f t="shared" si="48"/>
        <v/>
      </c>
      <c r="V238" s="27" t="str">
        <f t="shared" si="49"/>
        <v/>
      </c>
      <c r="W238" s="26" t="str">
        <f t="shared" si="50"/>
        <v/>
      </c>
      <c r="X238" s="27" t="str">
        <f t="shared" si="51"/>
        <v/>
      </c>
      <c r="Y238" s="27" t="str">
        <f t="shared" si="52"/>
        <v/>
      </c>
      <c r="Z238" s="43"/>
      <c r="AA238" s="107"/>
      <c r="AB238" s="76" t="str">
        <f t="shared" si="53"/>
        <v/>
      </c>
      <c r="AC238" s="74" t="str">
        <f t="shared" si="54"/>
        <v/>
      </c>
    </row>
    <row r="239" ht="18" customHeight="1" spans="1:29">
      <c r="A239" s="32" t="str">
        <f t="shared" si="42"/>
        <v/>
      </c>
      <c r="B239" s="108"/>
      <c r="C239" s="11"/>
      <c r="D239" s="11"/>
      <c r="E239" s="10"/>
      <c r="F239" s="109"/>
      <c r="G239" s="109"/>
      <c r="H239" s="27" t="str">
        <f t="shared" si="55"/>
        <v/>
      </c>
      <c r="I239" s="11" t="s">
        <v>253</v>
      </c>
      <c r="J239" s="27" t="str">
        <f t="shared" si="43"/>
        <v/>
      </c>
      <c r="K239" s="27">
        <v>0</v>
      </c>
      <c r="L239" s="11"/>
      <c r="M239" s="11"/>
      <c r="N239" s="10"/>
      <c r="O239" s="11"/>
      <c r="P239" s="10"/>
      <c r="Q239" s="26" t="str">
        <f t="shared" si="44"/>
        <v/>
      </c>
      <c r="R239" s="27" t="str">
        <f t="shared" si="45"/>
        <v/>
      </c>
      <c r="S239" s="27" t="str">
        <f t="shared" si="46"/>
        <v/>
      </c>
      <c r="T239" s="26" t="str">
        <f t="shared" si="47"/>
        <v/>
      </c>
      <c r="U239" s="27" t="str">
        <f t="shared" si="48"/>
        <v/>
      </c>
      <c r="V239" s="27" t="str">
        <f t="shared" si="49"/>
        <v/>
      </c>
      <c r="W239" s="26" t="str">
        <f t="shared" si="50"/>
        <v/>
      </c>
      <c r="X239" s="27" t="str">
        <f t="shared" si="51"/>
        <v/>
      </c>
      <c r="Y239" s="27" t="str">
        <f t="shared" si="52"/>
        <v/>
      </c>
      <c r="Z239" s="43"/>
      <c r="AA239" s="107"/>
      <c r="AB239" s="76" t="str">
        <f t="shared" si="53"/>
        <v/>
      </c>
      <c r="AC239" s="74" t="str">
        <f t="shared" si="54"/>
        <v/>
      </c>
    </row>
    <row r="240" ht="18" customHeight="1" spans="1:29">
      <c r="A240" s="32" t="str">
        <f t="shared" si="42"/>
        <v/>
      </c>
      <c r="B240" s="108"/>
      <c r="C240" s="11"/>
      <c r="D240" s="11"/>
      <c r="E240" s="10"/>
      <c r="F240" s="109"/>
      <c r="G240" s="109"/>
      <c r="H240" s="27" t="str">
        <f t="shared" si="55"/>
        <v/>
      </c>
      <c r="I240" s="11" t="s">
        <v>253</v>
      </c>
      <c r="J240" s="27" t="str">
        <f t="shared" si="43"/>
        <v/>
      </c>
      <c r="K240" s="27">
        <v>0</v>
      </c>
      <c r="L240" s="11"/>
      <c r="M240" s="11"/>
      <c r="N240" s="10"/>
      <c r="O240" s="11"/>
      <c r="P240" s="10"/>
      <c r="Q240" s="26" t="str">
        <f t="shared" si="44"/>
        <v/>
      </c>
      <c r="R240" s="27" t="str">
        <f t="shared" si="45"/>
        <v/>
      </c>
      <c r="S240" s="27" t="str">
        <f t="shared" si="46"/>
        <v/>
      </c>
      <c r="T240" s="26" t="str">
        <f t="shared" si="47"/>
        <v/>
      </c>
      <c r="U240" s="27" t="str">
        <f t="shared" si="48"/>
        <v/>
      </c>
      <c r="V240" s="27" t="str">
        <f t="shared" si="49"/>
        <v/>
      </c>
      <c r="W240" s="26" t="str">
        <f t="shared" si="50"/>
        <v/>
      </c>
      <c r="X240" s="27" t="str">
        <f t="shared" si="51"/>
        <v/>
      </c>
      <c r="Y240" s="27" t="str">
        <f t="shared" si="52"/>
        <v/>
      </c>
      <c r="Z240" s="43"/>
      <c r="AA240" s="107"/>
      <c r="AB240" s="76" t="str">
        <f t="shared" si="53"/>
        <v/>
      </c>
      <c r="AC240" s="74" t="str">
        <f t="shared" si="54"/>
        <v/>
      </c>
    </row>
    <row r="241" ht="18" customHeight="1" spans="1:29">
      <c r="A241" s="32" t="str">
        <f t="shared" si="42"/>
        <v/>
      </c>
      <c r="B241" s="108"/>
      <c r="C241" s="11"/>
      <c r="D241" s="11"/>
      <c r="E241" s="10"/>
      <c r="F241" s="109"/>
      <c r="G241" s="109"/>
      <c r="H241" s="27" t="str">
        <f t="shared" si="55"/>
        <v/>
      </c>
      <c r="I241" s="11" t="s">
        <v>253</v>
      </c>
      <c r="J241" s="27" t="str">
        <f t="shared" si="43"/>
        <v/>
      </c>
      <c r="K241" s="27">
        <v>0</v>
      </c>
      <c r="L241" s="11"/>
      <c r="M241" s="11"/>
      <c r="N241" s="10"/>
      <c r="O241" s="11"/>
      <c r="P241" s="10"/>
      <c r="Q241" s="26" t="str">
        <f t="shared" si="44"/>
        <v/>
      </c>
      <c r="R241" s="27" t="str">
        <f t="shared" si="45"/>
        <v/>
      </c>
      <c r="S241" s="27" t="str">
        <f t="shared" si="46"/>
        <v/>
      </c>
      <c r="T241" s="26" t="str">
        <f t="shared" si="47"/>
        <v/>
      </c>
      <c r="U241" s="27" t="str">
        <f t="shared" si="48"/>
        <v/>
      </c>
      <c r="V241" s="27" t="str">
        <f t="shared" si="49"/>
        <v/>
      </c>
      <c r="W241" s="26" t="str">
        <f t="shared" si="50"/>
        <v/>
      </c>
      <c r="X241" s="27" t="str">
        <f t="shared" si="51"/>
        <v/>
      </c>
      <c r="Y241" s="27" t="str">
        <f t="shared" si="52"/>
        <v/>
      </c>
      <c r="Z241" s="43"/>
      <c r="AA241" s="107"/>
      <c r="AB241" s="76" t="str">
        <f t="shared" si="53"/>
        <v/>
      </c>
      <c r="AC241" s="74" t="str">
        <f t="shared" si="54"/>
        <v/>
      </c>
    </row>
    <row r="242" ht="18" customHeight="1" spans="1:29">
      <c r="A242" s="32" t="str">
        <f t="shared" si="42"/>
        <v/>
      </c>
      <c r="B242" s="108"/>
      <c r="C242" s="11"/>
      <c r="D242" s="11"/>
      <c r="E242" s="10"/>
      <c r="F242" s="109"/>
      <c r="G242" s="109"/>
      <c r="H242" s="27" t="str">
        <f t="shared" si="55"/>
        <v/>
      </c>
      <c r="I242" s="11" t="s">
        <v>253</v>
      </c>
      <c r="J242" s="27" t="str">
        <f t="shared" si="43"/>
        <v/>
      </c>
      <c r="K242" s="27">
        <v>0</v>
      </c>
      <c r="L242" s="11"/>
      <c r="M242" s="11"/>
      <c r="N242" s="10"/>
      <c r="O242" s="11"/>
      <c r="P242" s="10"/>
      <c r="Q242" s="26" t="str">
        <f t="shared" si="44"/>
        <v/>
      </c>
      <c r="R242" s="27" t="str">
        <f t="shared" si="45"/>
        <v/>
      </c>
      <c r="S242" s="27" t="str">
        <f t="shared" si="46"/>
        <v/>
      </c>
      <c r="T242" s="26" t="str">
        <f t="shared" si="47"/>
        <v/>
      </c>
      <c r="U242" s="27" t="str">
        <f t="shared" si="48"/>
        <v/>
      </c>
      <c r="V242" s="27" t="str">
        <f t="shared" si="49"/>
        <v/>
      </c>
      <c r="W242" s="26" t="str">
        <f t="shared" si="50"/>
        <v/>
      </c>
      <c r="X242" s="27" t="str">
        <f t="shared" si="51"/>
        <v/>
      </c>
      <c r="Y242" s="27" t="str">
        <f t="shared" si="52"/>
        <v/>
      </c>
      <c r="Z242" s="43"/>
      <c r="AA242" s="107"/>
      <c r="AB242" s="76" t="str">
        <f t="shared" si="53"/>
        <v/>
      </c>
      <c r="AC242" s="74" t="str">
        <f t="shared" si="54"/>
        <v/>
      </c>
    </row>
    <row r="243" ht="18" customHeight="1" spans="1:29">
      <c r="A243" s="32" t="str">
        <f t="shared" si="42"/>
        <v/>
      </c>
      <c r="B243" s="108"/>
      <c r="C243" s="11"/>
      <c r="D243" s="11"/>
      <c r="E243" s="10"/>
      <c r="F243" s="109"/>
      <c r="G243" s="109"/>
      <c r="H243" s="27" t="str">
        <f t="shared" si="55"/>
        <v/>
      </c>
      <c r="I243" s="11" t="s">
        <v>253</v>
      </c>
      <c r="J243" s="27" t="str">
        <f t="shared" si="43"/>
        <v/>
      </c>
      <c r="K243" s="27">
        <v>0</v>
      </c>
      <c r="L243" s="11"/>
      <c r="M243" s="11"/>
      <c r="N243" s="10"/>
      <c r="O243" s="11"/>
      <c r="P243" s="10"/>
      <c r="Q243" s="26" t="str">
        <f t="shared" si="44"/>
        <v/>
      </c>
      <c r="R243" s="27" t="str">
        <f t="shared" si="45"/>
        <v/>
      </c>
      <c r="S243" s="27" t="str">
        <f t="shared" si="46"/>
        <v/>
      </c>
      <c r="T243" s="26" t="str">
        <f t="shared" si="47"/>
        <v/>
      </c>
      <c r="U243" s="27" t="str">
        <f t="shared" si="48"/>
        <v/>
      </c>
      <c r="V243" s="27" t="str">
        <f t="shared" si="49"/>
        <v/>
      </c>
      <c r="W243" s="26" t="str">
        <f t="shared" si="50"/>
        <v/>
      </c>
      <c r="X243" s="27" t="str">
        <f t="shared" si="51"/>
        <v/>
      </c>
      <c r="Y243" s="27" t="str">
        <f t="shared" si="52"/>
        <v/>
      </c>
      <c r="Z243" s="43"/>
      <c r="AA243" s="107"/>
      <c r="AB243" s="76" t="str">
        <f t="shared" si="53"/>
        <v/>
      </c>
      <c r="AC243" s="74" t="str">
        <f t="shared" si="54"/>
        <v/>
      </c>
    </row>
    <row r="244" ht="18" customHeight="1" spans="1:29">
      <c r="A244" s="32" t="str">
        <f t="shared" si="42"/>
        <v/>
      </c>
      <c r="B244" s="108"/>
      <c r="C244" s="11"/>
      <c r="D244" s="11"/>
      <c r="E244" s="10"/>
      <c r="F244" s="109"/>
      <c r="G244" s="109"/>
      <c r="H244" s="27" t="str">
        <f t="shared" si="55"/>
        <v/>
      </c>
      <c r="I244" s="11" t="s">
        <v>253</v>
      </c>
      <c r="J244" s="27" t="str">
        <f t="shared" si="43"/>
        <v/>
      </c>
      <c r="K244" s="27">
        <v>0</v>
      </c>
      <c r="L244" s="11"/>
      <c r="M244" s="11"/>
      <c r="N244" s="10"/>
      <c r="O244" s="11"/>
      <c r="P244" s="10"/>
      <c r="Q244" s="26" t="str">
        <f t="shared" si="44"/>
        <v/>
      </c>
      <c r="R244" s="27" t="str">
        <f t="shared" si="45"/>
        <v/>
      </c>
      <c r="S244" s="27" t="str">
        <f t="shared" si="46"/>
        <v/>
      </c>
      <c r="T244" s="26" t="str">
        <f t="shared" si="47"/>
        <v/>
      </c>
      <c r="U244" s="27" t="str">
        <f t="shared" si="48"/>
        <v/>
      </c>
      <c r="V244" s="27" t="str">
        <f t="shared" si="49"/>
        <v/>
      </c>
      <c r="W244" s="26" t="str">
        <f t="shared" si="50"/>
        <v/>
      </c>
      <c r="X244" s="27" t="str">
        <f t="shared" si="51"/>
        <v/>
      </c>
      <c r="Y244" s="27" t="str">
        <f t="shared" si="52"/>
        <v/>
      </c>
      <c r="Z244" s="43"/>
      <c r="AA244" s="107"/>
      <c r="AB244" s="76" t="str">
        <f t="shared" si="53"/>
        <v/>
      </c>
      <c r="AC244" s="74" t="str">
        <f t="shared" si="54"/>
        <v/>
      </c>
    </row>
    <row r="245" ht="18" customHeight="1" spans="1:29">
      <c r="A245" s="32" t="str">
        <f t="shared" si="42"/>
        <v/>
      </c>
      <c r="B245" s="108"/>
      <c r="C245" s="11"/>
      <c r="D245" s="11"/>
      <c r="E245" s="10"/>
      <c r="F245" s="109"/>
      <c r="G245" s="109"/>
      <c r="H245" s="27" t="str">
        <f t="shared" si="55"/>
        <v/>
      </c>
      <c r="I245" s="11" t="s">
        <v>253</v>
      </c>
      <c r="J245" s="27" t="str">
        <f t="shared" si="43"/>
        <v/>
      </c>
      <c r="K245" s="27">
        <v>0</v>
      </c>
      <c r="L245" s="11"/>
      <c r="M245" s="11"/>
      <c r="N245" s="10"/>
      <c r="O245" s="11"/>
      <c r="P245" s="10"/>
      <c r="Q245" s="26" t="str">
        <f t="shared" si="44"/>
        <v/>
      </c>
      <c r="R245" s="27" t="str">
        <f t="shared" si="45"/>
        <v/>
      </c>
      <c r="S245" s="27" t="str">
        <f t="shared" si="46"/>
        <v/>
      </c>
      <c r="T245" s="26" t="str">
        <f t="shared" si="47"/>
        <v/>
      </c>
      <c r="U245" s="27" t="str">
        <f t="shared" si="48"/>
        <v/>
      </c>
      <c r="V245" s="27" t="str">
        <f t="shared" si="49"/>
        <v/>
      </c>
      <c r="W245" s="26" t="str">
        <f t="shared" si="50"/>
        <v/>
      </c>
      <c r="X245" s="27" t="str">
        <f t="shared" si="51"/>
        <v/>
      </c>
      <c r="Y245" s="27" t="str">
        <f t="shared" si="52"/>
        <v/>
      </c>
      <c r="Z245" s="43"/>
      <c r="AA245" s="107"/>
      <c r="AB245" s="76" t="str">
        <f t="shared" si="53"/>
        <v/>
      </c>
      <c r="AC245" s="74" t="str">
        <f t="shared" si="54"/>
        <v/>
      </c>
    </row>
    <row r="246" ht="18" customHeight="1" spans="1:29">
      <c r="A246" s="32" t="str">
        <f t="shared" si="42"/>
        <v/>
      </c>
      <c r="B246" s="108"/>
      <c r="C246" s="11"/>
      <c r="D246" s="11"/>
      <c r="E246" s="10"/>
      <c r="F246" s="109"/>
      <c r="G246" s="109"/>
      <c r="H246" s="27" t="str">
        <f t="shared" si="55"/>
        <v/>
      </c>
      <c r="I246" s="11" t="s">
        <v>253</v>
      </c>
      <c r="J246" s="27" t="str">
        <f t="shared" si="43"/>
        <v/>
      </c>
      <c r="K246" s="27">
        <v>0</v>
      </c>
      <c r="L246" s="11"/>
      <c r="M246" s="11"/>
      <c r="N246" s="10"/>
      <c r="O246" s="11"/>
      <c r="P246" s="10"/>
      <c r="Q246" s="26" t="str">
        <f t="shared" si="44"/>
        <v/>
      </c>
      <c r="R246" s="27" t="str">
        <f t="shared" si="45"/>
        <v/>
      </c>
      <c r="S246" s="27" t="str">
        <f t="shared" si="46"/>
        <v/>
      </c>
      <c r="T246" s="26" t="str">
        <f t="shared" si="47"/>
        <v/>
      </c>
      <c r="U246" s="27" t="str">
        <f t="shared" si="48"/>
        <v/>
      </c>
      <c r="V246" s="27" t="str">
        <f t="shared" si="49"/>
        <v/>
      </c>
      <c r="W246" s="26" t="str">
        <f t="shared" si="50"/>
        <v/>
      </c>
      <c r="X246" s="27" t="str">
        <f t="shared" si="51"/>
        <v/>
      </c>
      <c r="Y246" s="27" t="str">
        <f t="shared" si="52"/>
        <v/>
      </c>
      <c r="Z246" s="43"/>
      <c r="AA246" s="107"/>
      <c r="AB246" s="76" t="str">
        <f t="shared" si="53"/>
        <v/>
      </c>
      <c r="AC246" s="74" t="str">
        <f t="shared" si="54"/>
        <v/>
      </c>
    </row>
    <row r="247" ht="18" customHeight="1" spans="1:29">
      <c r="A247" s="32" t="str">
        <f t="shared" si="42"/>
        <v/>
      </c>
      <c r="B247" s="108"/>
      <c r="C247" s="11"/>
      <c r="D247" s="11"/>
      <c r="E247" s="10"/>
      <c r="F247" s="109"/>
      <c r="G247" s="109"/>
      <c r="H247" s="27" t="str">
        <f t="shared" si="55"/>
        <v/>
      </c>
      <c r="I247" s="11" t="s">
        <v>253</v>
      </c>
      <c r="J247" s="27" t="str">
        <f t="shared" si="43"/>
        <v/>
      </c>
      <c r="K247" s="27">
        <v>0</v>
      </c>
      <c r="L247" s="11"/>
      <c r="M247" s="11"/>
      <c r="N247" s="10"/>
      <c r="O247" s="11"/>
      <c r="P247" s="10"/>
      <c r="Q247" s="26" t="str">
        <f t="shared" si="44"/>
        <v/>
      </c>
      <c r="R247" s="27" t="str">
        <f t="shared" si="45"/>
        <v/>
      </c>
      <c r="S247" s="27" t="str">
        <f t="shared" si="46"/>
        <v/>
      </c>
      <c r="T247" s="26" t="str">
        <f t="shared" si="47"/>
        <v/>
      </c>
      <c r="U247" s="27" t="str">
        <f t="shared" si="48"/>
        <v/>
      </c>
      <c r="V247" s="27" t="str">
        <f t="shared" si="49"/>
        <v/>
      </c>
      <c r="W247" s="26" t="str">
        <f t="shared" si="50"/>
        <v/>
      </c>
      <c r="X247" s="27" t="str">
        <f t="shared" si="51"/>
        <v/>
      </c>
      <c r="Y247" s="27" t="str">
        <f t="shared" si="52"/>
        <v/>
      </c>
      <c r="Z247" s="43"/>
      <c r="AA247" s="107"/>
      <c r="AB247" s="76" t="str">
        <f t="shared" si="53"/>
        <v/>
      </c>
      <c r="AC247" s="74" t="str">
        <f t="shared" si="54"/>
        <v/>
      </c>
    </row>
    <row r="248" ht="18" customHeight="1" spans="1:29">
      <c r="A248" s="32" t="str">
        <f t="shared" si="42"/>
        <v/>
      </c>
      <c r="B248" s="108"/>
      <c r="C248" s="11"/>
      <c r="D248" s="11"/>
      <c r="E248" s="10"/>
      <c r="F248" s="109"/>
      <c r="G248" s="109"/>
      <c r="H248" s="27" t="str">
        <f t="shared" si="55"/>
        <v/>
      </c>
      <c r="I248" s="11" t="s">
        <v>253</v>
      </c>
      <c r="J248" s="27" t="str">
        <f t="shared" si="43"/>
        <v/>
      </c>
      <c r="K248" s="27">
        <v>0</v>
      </c>
      <c r="L248" s="11"/>
      <c r="M248" s="11"/>
      <c r="N248" s="10"/>
      <c r="O248" s="11"/>
      <c r="P248" s="10"/>
      <c r="Q248" s="26" t="str">
        <f t="shared" si="44"/>
        <v/>
      </c>
      <c r="R248" s="27" t="str">
        <f t="shared" si="45"/>
        <v/>
      </c>
      <c r="S248" s="27" t="str">
        <f t="shared" si="46"/>
        <v/>
      </c>
      <c r="T248" s="26" t="str">
        <f t="shared" si="47"/>
        <v/>
      </c>
      <c r="U248" s="27" t="str">
        <f t="shared" si="48"/>
        <v/>
      </c>
      <c r="V248" s="27" t="str">
        <f t="shared" si="49"/>
        <v/>
      </c>
      <c r="W248" s="26" t="str">
        <f t="shared" si="50"/>
        <v/>
      </c>
      <c r="X248" s="27" t="str">
        <f t="shared" si="51"/>
        <v/>
      </c>
      <c r="Y248" s="27" t="str">
        <f t="shared" si="52"/>
        <v/>
      </c>
      <c r="Z248" s="43"/>
      <c r="AA248" s="107"/>
      <c r="AB248" s="76" t="str">
        <f t="shared" si="53"/>
        <v/>
      </c>
      <c r="AC248" s="74" t="str">
        <f t="shared" si="54"/>
        <v/>
      </c>
    </row>
    <row r="249" ht="18" customHeight="1" spans="1:29">
      <c r="A249" s="32" t="str">
        <f t="shared" si="42"/>
        <v/>
      </c>
      <c r="B249" s="108"/>
      <c r="C249" s="11"/>
      <c r="D249" s="11"/>
      <c r="E249" s="10"/>
      <c r="F249" s="109"/>
      <c r="G249" s="109"/>
      <c r="H249" s="27" t="str">
        <f t="shared" si="55"/>
        <v/>
      </c>
      <c r="I249" s="11" t="s">
        <v>253</v>
      </c>
      <c r="J249" s="27" t="str">
        <f t="shared" si="43"/>
        <v/>
      </c>
      <c r="K249" s="27">
        <v>0</v>
      </c>
      <c r="L249" s="11"/>
      <c r="M249" s="11"/>
      <c r="N249" s="10"/>
      <c r="O249" s="11"/>
      <c r="P249" s="10"/>
      <c r="Q249" s="26" t="str">
        <f t="shared" si="44"/>
        <v/>
      </c>
      <c r="R249" s="27" t="str">
        <f t="shared" si="45"/>
        <v/>
      </c>
      <c r="S249" s="27" t="str">
        <f t="shared" si="46"/>
        <v/>
      </c>
      <c r="T249" s="26" t="str">
        <f t="shared" si="47"/>
        <v/>
      </c>
      <c r="U249" s="27" t="str">
        <f t="shared" si="48"/>
        <v/>
      </c>
      <c r="V249" s="27" t="str">
        <f t="shared" si="49"/>
        <v/>
      </c>
      <c r="W249" s="26" t="str">
        <f t="shared" si="50"/>
        <v/>
      </c>
      <c r="X249" s="27" t="str">
        <f t="shared" si="51"/>
        <v/>
      </c>
      <c r="Y249" s="27" t="str">
        <f t="shared" si="52"/>
        <v/>
      </c>
      <c r="Z249" s="43"/>
      <c r="AA249" s="107"/>
      <c r="AB249" s="76" t="str">
        <f t="shared" si="53"/>
        <v/>
      </c>
      <c r="AC249" s="74" t="str">
        <f t="shared" si="54"/>
        <v/>
      </c>
    </row>
    <row r="250" ht="18" customHeight="1" spans="1:29">
      <c r="A250" s="32" t="str">
        <f t="shared" si="42"/>
        <v/>
      </c>
      <c r="B250" s="108"/>
      <c r="C250" s="11"/>
      <c r="D250" s="11"/>
      <c r="E250" s="10"/>
      <c r="F250" s="109"/>
      <c r="G250" s="109"/>
      <c r="H250" s="27" t="str">
        <f t="shared" si="55"/>
        <v/>
      </c>
      <c r="I250" s="11" t="s">
        <v>253</v>
      </c>
      <c r="J250" s="27" t="str">
        <f t="shared" si="43"/>
        <v/>
      </c>
      <c r="K250" s="27">
        <v>0</v>
      </c>
      <c r="L250" s="11"/>
      <c r="M250" s="11"/>
      <c r="N250" s="10"/>
      <c r="O250" s="11"/>
      <c r="P250" s="10"/>
      <c r="Q250" s="26" t="str">
        <f t="shared" si="44"/>
        <v/>
      </c>
      <c r="R250" s="27" t="str">
        <f t="shared" si="45"/>
        <v/>
      </c>
      <c r="S250" s="27" t="str">
        <f t="shared" si="46"/>
        <v/>
      </c>
      <c r="T250" s="26" t="str">
        <f t="shared" si="47"/>
        <v/>
      </c>
      <c r="U250" s="27" t="str">
        <f t="shared" si="48"/>
        <v/>
      </c>
      <c r="V250" s="27" t="str">
        <f t="shared" si="49"/>
        <v/>
      </c>
      <c r="W250" s="26" t="str">
        <f t="shared" si="50"/>
        <v/>
      </c>
      <c r="X250" s="27" t="str">
        <f t="shared" si="51"/>
        <v/>
      </c>
      <c r="Y250" s="27" t="str">
        <f t="shared" si="52"/>
        <v/>
      </c>
      <c r="Z250" s="43"/>
      <c r="AA250" s="107"/>
      <c r="AB250" s="76" t="str">
        <f t="shared" si="53"/>
        <v/>
      </c>
      <c r="AC250" s="74" t="str">
        <f t="shared" si="54"/>
        <v/>
      </c>
    </row>
    <row r="251" ht="18" customHeight="1" spans="1:29">
      <c r="A251" s="32" t="str">
        <f t="shared" si="42"/>
        <v/>
      </c>
      <c r="B251" s="108"/>
      <c r="C251" s="11"/>
      <c r="D251" s="11"/>
      <c r="E251" s="10"/>
      <c r="F251" s="109"/>
      <c r="G251" s="109"/>
      <c r="H251" s="27" t="str">
        <f t="shared" si="55"/>
        <v/>
      </c>
      <c r="I251" s="11" t="s">
        <v>253</v>
      </c>
      <c r="J251" s="27" t="str">
        <f t="shared" si="43"/>
        <v/>
      </c>
      <c r="K251" s="27">
        <v>0</v>
      </c>
      <c r="L251" s="11"/>
      <c r="M251" s="11"/>
      <c r="N251" s="10"/>
      <c r="O251" s="11"/>
      <c r="P251" s="10"/>
      <c r="Q251" s="26" t="str">
        <f t="shared" si="44"/>
        <v/>
      </c>
      <c r="R251" s="27" t="str">
        <f t="shared" si="45"/>
        <v/>
      </c>
      <c r="S251" s="27" t="str">
        <f t="shared" si="46"/>
        <v/>
      </c>
      <c r="T251" s="26" t="str">
        <f t="shared" si="47"/>
        <v/>
      </c>
      <c r="U251" s="27" t="str">
        <f t="shared" si="48"/>
        <v/>
      </c>
      <c r="V251" s="27" t="str">
        <f t="shared" si="49"/>
        <v/>
      </c>
      <c r="W251" s="26" t="str">
        <f t="shared" si="50"/>
        <v/>
      </c>
      <c r="X251" s="27" t="str">
        <f t="shared" si="51"/>
        <v/>
      </c>
      <c r="Y251" s="27" t="str">
        <f t="shared" si="52"/>
        <v/>
      </c>
      <c r="Z251" s="43"/>
      <c r="AA251" s="107"/>
      <c r="AB251" s="76" t="str">
        <f t="shared" si="53"/>
        <v/>
      </c>
      <c r="AC251" s="74" t="str">
        <f t="shared" si="54"/>
        <v/>
      </c>
    </row>
    <row r="252" ht="18" customHeight="1" spans="1:29">
      <c r="A252" s="32" t="str">
        <f t="shared" si="42"/>
        <v/>
      </c>
      <c r="B252" s="108"/>
      <c r="C252" s="11"/>
      <c r="D252" s="11"/>
      <c r="E252" s="10"/>
      <c r="F252" s="109"/>
      <c r="G252" s="109"/>
      <c r="H252" s="27" t="str">
        <f t="shared" si="55"/>
        <v/>
      </c>
      <c r="I252" s="11" t="s">
        <v>253</v>
      </c>
      <c r="J252" s="27" t="str">
        <f t="shared" si="43"/>
        <v/>
      </c>
      <c r="K252" s="27">
        <v>0</v>
      </c>
      <c r="L252" s="11"/>
      <c r="M252" s="11"/>
      <c r="N252" s="10"/>
      <c r="O252" s="11"/>
      <c r="P252" s="10"/>
      <c r="Q252" s="26" t="str">
        <f t="shared" si="44"/>
        <v/>
      </c>
      <c r="R252" s="27" t="str">
        <f t="shared" si="45"/>
        <v/>
      </c>
      <c r="S252" s="27" t="str">
        <f t="shared" si="46"/>
        <v/>
      </c>
      <c r="T252" s="26" t="str">
        <f t="shared" si="47"/>
        <v/>
      </c>
      <c r="U252" s="27" t="str">
        <f t="shared" si="48"/>
        <v/>
      </c>
      <c r="V252" s="27" t="str">
        <f t="shared" si="49"/>
        <v/>
      </c>
      <c r="W252" s="26" t="str">
        <f t="shared" si="50"/>
        <v/>
      </c>
      <c r="X252" s="27" t="str">
        <f t="shared" si="51"/>
        <v/>
      </c>
      <c r="Y252" s="27" t="str">
        <f t="shared" si="52"/>
        <v/>
      </c>
      <c r="Z252" s="43"/>
      <c r="AA252" s="107"/>
      <c r="AB252" s="76" t="str">
        <f t="shared" si="53"/>
        <v/>
      </c>
      <c r="AC252" s="74" t="str">
        <f t="shared" si="54"/>
        <v/>
      </c>
    </row>
    <row r="253" ht="18" customHeight="1" spans="1:29">
      <c r="A253" s="32" t="str">
        <f t="shared" si="42"/>
        <v/>
      </c>
      <c r="B253" s="108"/>
      <c r="C253" s="11"/>
      <c r="D253" s="11"/>
      <c r="E253" s="10"/>
      <c r="F253" s="109"/>
      <c r="G253" s="109"/>
      <c r="H253" s="27" t="str">
        <f t="shared" si="55"/>
        <v/>
      </c>
      <c r="I253" s="11" t="s">
        <v>253</v>
      </c>
      <c r="J253" s="27" t="str">
        <f t="shared" si="43"/>
        <v/>
      </c>
      <c r="K253" s="27">
        <v>0</v>
      </c>
      <c r="L253" s="11"/>
      <c r="M253" s="11"/>
      <c r="N253" s="10"/>
      <c r="O253" s="11"/>
      <c r="P253" s="10"/>
      <c r="Q253" s="26" t="str">
        <f t="shared" si="44"/>
        <v/>
      </c>
      <c r="R253" s="27" t="str">
        <f t="shared" si="45"/>
        <v/>
      </c>
      <c r="S253" s="27" t="str">
        <f t="shared" si="46"/>
        <v/>
      </c>
      <c r="T253" s="26" t="str">
        <f t="shared" si="47"/>
        <v/>
      </c>
      <c r="U253" s="27" t="str">
        <f t="shared" si="48"/>
        <v/>
      </c>
      <c r="V253" s="27" t="str">
        <f t="shared" si="49"/>
        <v/>
      </c>
      <c r="W253" s="26" t="str">
        <f t="shared" si="50"/>
        <v/>
      </c>
      <c r="X253" s="27" t="str">
        <f t="shared" si="51"/>
        <v/>
      </c>
      <c r="Y253" s="27" t="str">
        <f t="shared" si="52"/>
        <v/>
      </c>
      <c r="Z253" s="43"/>
      <c r="AA253" s="107"/>
      <c r="AB253" s="76" t="str">
        <f t="shared" si="53"/>
        <v/>
      </c>
      <c r="AC253" s="74" t="str">
        <f t="shared" si="54"/>
        <v/>
      </c>
    </row>
    <row r="254" ht="18" customHeight="1" spans="1:29">
      <c r="A254" s="32" t="str">
        <f t="shared" si="42"/>
        <v/>
      </c>
      <c r="B254" s="108"/>
      <c r="C254" s="11"/>
      <c r="D254" s="11"/>
      <c r="E254" s="10"/>
      <c r="F254" s="109"/>
      <c r="G254" s="109"/>
      <c r="H254" s="27" t="str">
        <f t="shared" si="55"/>
        <v/>
      </c>
      <c r="I254" s="11" t="s">
        <v>253</v>
      </c>
      <c r="J254" s="27" t="str">
        <f t="shared" si="43"/>
        <v/>
      </c>
      <c r="K254" s="27">
        <v>0</v>
      </c>
      <c r="L254" s="11"/>
      <c r="M254" s="11"/>
      <c r="N254" s="10"/>
      <c r="O254" s="11"/>
      <c r="P254" s="10"/>
      <c r="Q254" s="26" t="str">
        <f t="shared" si="44"/>
        <v/>
      </c>
      <c r="R254" s="27" t="str">
        <f t="shared" si="45"/>
        <v/>
      </c>
      <c r="S254" s="27" t="str">
        <f t="shared" si="46"/>
        <v/>
      </c>
      <c r="T254" s="26" t="str">
        <f t="shared" si="47"/>
        <v/>
      </c>
      <c r="U254" s="27" t="str">
        <f t="shared" si="48"/>
        <v/>
      </c>
      <c r="V254" s="27" t="str">
        <f t="shared" si="49"/>
        <v/>
      </c>
      <c r="W254" s="26" t="str">
        <f t="shared" si="50"/>
        <v/>
      </c>
      <c r="X254" s="27" t="str">
        <f t="shared" si="51"/>
        <v/>
      </c>
      <c r="Y254" s="27" t="str">
        <f t="shared" si="52"/>
        <v/>
      </c>
      <c r="Z254" s="43"/>
      <c r="AA254" s="107"/>
      <c r="AB254" s="76" t="str">
        <f t="shared" si="53"/>
        <v/>
      </c>
      <c r="AC254" s="74" t="str">
        <f t="shared" si="54"/>
        <v/>
      </c>
    </row>
    <row r="255" ht="18" customHeight="1" spans="1:29">
      <c r="A255" s="32" t="str">
        <f t="shared" si="42"/>
        <v/>
      </c>
      <c r="B255" s="108"/>
      <c r="C255" s="11"/>
      <c r="D255" s="11"/>
      <c r="E255" s="10"/>
      <c r="F255" s="109"/>
      <c r="G255" s="109"/>
      <c r="H255" s="27" t="str">
        <f t="shared" si="55"/>
        <v/>
      </c>
      <c r="I255" s="11" t="s">
        <v>253</v>
      </c>
      <c r="J255" s="27" t="str">
        <f t="shared" si="43"/>
        <v/>
      </c>
      <c r="K255" s="27">
        <v>0</v>
      </c>
      <c r="L255" s="11"/>
      <c r="M255" s="11"/>
      <c r="N255" s="10"/>
      <c r="O255" s="11"/>
      <c r="P255" s="10"/>
      <c r="Q255" s="26" t="str">
        <f t="shared" si="44"/>
        <v/>
      </c>
      <c r="R255" s="27" t="str">
        <f t="shared" si="45"/>
        <v/>
      </c>
      <c r="S255" s="27" t="str">
        <f t="shared" si="46"/>
        <v/>
      </c>
      <c r="T255" s="26" t="str">
        <f t="shared" si="47"/>
        <v/>
      </c>
      <c r="U255" s="27" t="str">
        <f t="shared" si="48"/>
        <v/>
      </c>
      <c r="V255" s="27" t="str">
        <f t="shared" si="49"/>
        <v/>
      </c>
      <c r="W255" s="26" t="str">
        <f t="shared" si="50"/>
        <v/>
      </c>
      <c r="X255" s="27" t="str">
        <f t="shared" si="51"/>
        <v/>
      </c>
      <c r="Y255" s="27" t="str">
        <f t="shared" si="52"/>
        <v/>
      </c>
      <c r="Z255" s="43"/>
      <c r="AA255" s="107"/>
      <c r="AB255" s="76" t="str">
        <f t="shared" si="53"/>
        <v/>
      </c>
      <c r="AC255" s="74" t="str">
        <f t="shared" si="54"/>
        <v/>
      </c>
    </row>
    <row r="256" ht="18" customHeight="1" spans="1:29">
      <c r="A256" s="32" t="str">
        <f t="shared" si="42"/>
        <v/>
      </c>
      <c r="B256" s="108"/>
      <c r="C256" s="11"/>
      <c r="D256" s="11"/>
      <c r="E256" s="10"/>
      <c r="F256" s="109"/>
      <c r="G256" s="109"/>
      <c r="H256" s="27" t="str">
        <f t="shared" si="55"/>
        <v/>
      </c>
      <c r="I256" s="11" t="s">
        <v>253</v>
      </c>
      <c r="J256" s="27" t="str">
        <f t="shared" si="43"/>
        <v/>
      </c>
      <c r="K256" s="27">
        <v>0</v>
      </c>
      <c r="L256" s="11"/>
      <c r="M256" s="11"/>
      <c r="N256" s="10"/>
      <c r="O256" s="11"/>
      <c r="P256" s="10"/>
      <c r="Q256" s="26" t="str">
        <f t="shared" si="44"/>
        <v/>
      </c>
      <c r="R256" s="27" t="str">
        <f t="shared" si="45"/>
        <v/>
      </c>
      <c r="S256" s="27" t="str">
        <f t="shared" si="46"/>
        <v/>
      </c>
      <c r="T256" s="26" t="str">
        <f t="shared" si="47"/>
        <v/>
      </c>
      <c r="U256" s="27" t="str">
        <f t="shared" si="48"/>
        <v/>
      </c>
      <c r="V256" s="27" t="str">
        <f t="shared" si="49"/>
        <v/>
      </c>
      <c r="W256" s="26" t="str">
        <f t="shared" si="50"/>
        <v/>
      </c>
      <c r="X256" s="27" t="str">
        <f t="shared" si="51"/>
        <v/>
      </c>
      <c r="Y256" s="27" t="str">
        <f t="shared" si="52"/>
        <v/>
      </c>
      <c r="Z256" s="43"/>
      <c r="AA256" s="107"/>
      <c r="AB256" s="76" t="str">
        <f t="shared" si="53"/>
        <v/>
      </c>
      <c r="AC256" s="74" t="str">
        <f t="shared" si="54"/>
        <v/>
      </c>
    </row>
    <row r="257" ht="18" customHeight="1" spans="1:29">
      <c r="A257" s="32" t="str">
        <f t="shared" si="42"/>
        <v/>
      </c>
      <c r="B257" s="108"/>
      <c r="C257" s="11"/>
      <c r="D257" s="11"/>
      <c r="E257" s="10"/>
      <c r="F257" s="109"/>
      <c r="G257" s="109"/>
      <c r="H257" s="27" t="str">
        <f t="shared" si="55"/>
        <v/>
      </c>
      <c r="I257" s="11" t="s">
        <v>253</v>
      </c>
      <c r="J257" s="27" t="str">
        <f t="shared" si="43"/>
        <v/>
      </c>
      <c r="K257" s="27">
        <v>0</v>
      </c>
      <c r="L257" s="11"/>
      <c r="M257" s="11"/>
      <c r="N257" s="10"/>
      <c r="O257" s="11"/>
      <c r="P257" s="10"/>
      <c r="Q257" s="26" t="str">
        <f t="shared" si="44"/>
        <v/>
      </c>
      <c r="R257" s="27" t="str">
        <f t="shared" si="45"/>
        <v/>
      </c>
      <c r="S257" s="27" t="str">
        <f t="shared" si="46"/>
        <v/>
      </c>
      <c r="T257" s="26" t="str">
        <f t="shared" si="47"/>
        <v/>
      </c>
      <c r="U257" s="27" t="str">
        <f t="shared" si="48"/>
        <v/>
      </c>
      <c r="V257" s="27" t="str">
        <f t="shared" si="49"/>
        <v/>
      </c>
      <c r="W257" s="26" t="str">
        <f t="shared" si="50"/>
        <v/>
      </c>
      <c r="X257" s="27" t="str">
        <f t="shared" si="51"/>
        <v/>
      </c>
      <c r="Y257" s="27" t="str">
        <f t="shared" si="52"/>
        <v/>
      </c>
      <c r="Z257" s="43"/>
      <c r="AA257" s="107"/>
      <c r="AB257" s="76" t="str">
        <f t="shared" si="53"/>
        <v/>
      </c>
      <c r="AC257" s="74" t="str">
        <f t="shared" si="54"/>
        <v/>
      </c>
    </row>
    <row r="258" ht="18" customHeight="1" spans="1:29">
      <c r="A258" s="32" t="str">
        <f t="shared" si="42"/>
        <v/>
      </c>
      <c r="B258" s="108"/>
      <c r="C258" s="11"/>
      <c r="D258" s="11"/>
      <c r="E258" s="10"/>
      <c r="F258" s="109"/>
      <c r="G258" s="109"/>
      <c r="H258" s="27" t="str">
        <f t="shared" si="55"/>
        <v/>
      </c>
      <c r="I258" s="11" t="s">
        <v>253</v>
      </c>
      <c r="J258" s="27" t="str">
        <f t="shared" si="43"/>
        <v/>
      </c>
      <c r="K258" s="27">
        <v>0</v>
      </c>
      <c r="L258" s="11"/>
      <c r="M258" s="11"/>
      <c r="N258" s="10"/>
      <c r="O258" s="11"/>
      <c r="P258" s="10"/>
      <c r="Q258" s="26" t="str">
        <f t="shared" si="44"/>
        <v/>
      </c>
      <c r="R258" s="27" t="str">
        <f t="shared" si="45"/>
        <v/>
      </c>
      <c r="S258" s="27" t="str">
        <f t="shared" si="46"/>
        <v/>
      </c>
      <c r="T258" s="26" t="str">
        <f t="shared" si="47"/>
        <v/>
      </c>
      <c r="U258" s="27" t="str">
        <f t="shared" si="48"/>
        <v/>
      </c>
      <c r="V258" s="27" t="str">
        <f t="shared" si="49"/>
        <v/>
      </c>
      <c r="W258" s="26" t="str">
        <f t="shared" si="50"/>
        <v/>
      </c>
      <c r="X258" s="27" t="str">
        <f t="shared" si="51"/>
        <v/>
      </c>
      <c r="Y258" s="27" t="str">
        <f t="shared" si="52"/>
        <v/>
      </c>
      <c r="Z258" s="43"/>
      <c r="AA258" s="107"/>
      <c r="AB258" s="76" t="str">
        <f t="shared" si="53"/>
        <v/>
      </c>
      <c r="AC258" s="74" t="str">
        <f t="shared" si="54"/>
        <v/>
      </c>
    </row>
    <row r="259" ht="18" customHeight="1" spans="1:29">
      <c r="A259" s="32" t="str">
        <f t="shared" si="42"/>
        <v/>
      </c>
      <c r="B259" s="108"/>
      <c r="C259" s="11"/>
      <c r="D259" s="11"/>
      <c r="E259" s="10"/>
      <c r="F259" s="109"/>
      <c r="G259" s="109"/>
      <c r="H259" s="27" t="str">
        <f t="shared" si="55"/>
        <v/>
      </c>
      <c r="I259" s="11" t="s">
        <v>253</v>
      </c>
      <c r="J259" s="27" t="str">
        <f t="shared" si="43"/>
        <v/>
      </c>
      <c r="K259" s="27">
        <v>0</v>
      </c>
      <c r="L259" s="11"/>
      <c r="M259" s="11"/>
      <c r="N259" s="10"/>
      <c r="O259" s="11"/>
      <c r="P259" s="10"/>
      <c r="Q259" s="26" t="str">
        <f t="shared" si="44"/>
        <v/>
      </c>
      <c r="R259" s="27" t="str">
        <f t="shared" si="45"/>
        <v/>
      </c>
      <c r="S259" s="27" t="str">
        <f t="shared" si="46"/>
        <v/>
      </c>
      <c r="T259" s="26" t="str">
        <f t="shared" si="47"/>
        <v/>
      </c>
      <c r="U259" s="27" t="str">
        <f t="shared" si="48"/>
        <v/>
      </c>
      <c r="V259" s="27" t="str">
        <f t="shared" si="49"/>
        <v/>
      </c>
      <c r="W259" s="26" t="str">
        <f t="shared" si="50"/>
        <v/>
      </c>
      <c r="X259" s="27" t="str">
        <f t="shared" si="51"/>
        <v/>
      </c>
      <c r="Y259" s="27" t="str">
        <f t="shared" si="52"/>
        <v/>
      </c>
      <c r="Z259" s="43"/>
      <c r="AA259" s="107"/>
      <c r="AB259" s="76" t="str">
        <f t="shared" si="53"/>
        <v/>
      </c>
      <c r="AC259" s="74" t="str">
        <f t="shared" si="54"/>
        <v/>
      </c>
    </row>
    <row r="260" ht="18" customHeight="1" spans="1:29">
      <c r="A260" s="32" t="str">
        <f t="shared" ref="A260:A303" si="56">IF($C260="","",ROW()-3)</f>
        <v/>
      </c>
      <c r="B260" s="108"/>
      <c r="C260" s="11"/>
      <c r="D260" s="11"/>
      <c r="E260" s="10"/>
      <c r="F260" s="109"/>
      <c r="G260" s="109"/>
      <c r="H260" s="27" t="str">
        <f t="shared" si="55"/>
        <v/>
      </c>
      <c r="I260" s="11" t="s">
        <v>253</v>
      </c>
      <c r="J260" s="27" t="str">
        <f t="shared" ref="J260:J303" si="57">IF($C260="","",ROUND(N($H260),2))</f>
        <v/>
      </c>
      <c r="K260" s="27">
        <v>0</v>
      </c>
      <c r="L260" s="11"/>
      <c r="M260" s="11"/>
      <c r="N260" s="10"/>
      <c r="O260" s="11"/>
      <c r="P260" s="10"/>
      <c r="Q260" s="26" t="str">
        <f t="shared" ref="Q260:Q303" si="58">IF(OR($C260="",ROUND(N($H260),2)=0),"",$L260)</f>
        <v/>
      </c>
      <c r="R260" s="27" t="str">
        <f t="shared" ref="R260:R303" si="59">IF($Q260="","",ROUND(N($H260),2))</f>
        <v/>
      </c>
      <c r="S260" s="27" t="str">
        <f t="shared" ref="S260:S303" si="60">IF($Q260="","",0)</f>
        <v/>
      </c>
      <c r="T260" s="26" t="str">
        <f t="shared" ref="T260:T303" si="61">""</f>
        <v/>
      </c>
      <c r="U260" s="27" t="str">
        <f t="shared" ref="U260:U303" si="62">IF($T260="","",0)</f>
        <v/>
      </c>
      <c r="V260" s="27" t="str">
        <f t="shared" ref="V260:V303" si="63">IF($T260="","",0)</f>
        <v/>
      </c>
      <c r="W260" s="26" t="str">
        <f t="shared" ref="W260:W303" si="64">IF($Q260="","","应付账款")</f>
        <v/>
      </c>
      <c r="X260" s="27" t="str">
        <f t="shared" ref="X260:X303" si="65">IF($W260="","",0)</f>
        <v/>
      </c>
      <c r="Y260" s="27" t="str">
        <f t="shared" ref="Y260:Y303" si="66">IF($W260="","",ROUND(N($H260),2))</f>
        <v/>
      </c>
      <c r="Z260" s="43"/>
      <c r="AA260" s="107"/>
      <c r="AB260" s="76" t="str">
        <f t="shared" ref="AB260:AB303" si="67">IF($C260="","",ROUND(N($H260)-N($AA260),2))</f>
        <v/>
      </c>
      <c r="AC260" s="74" t="str">
        <f t="shared" ref="AC260:AC303" si="68">IF($B260="","",TEXT($B260,"yyyy年m月"))</f>
        <v/>
      </c>
    </row>
    <row r="261" ht="18" customHeight="1" spans="1:29">
      <c r="A261" s="32" t="str">
        <f t="shared" si="56"/>
        <v/>
      </c>
      <c r="B261" s="108"/>
      <c r="C261" s="11"/>
      <c r="D261" s="11"/>
      <c r="E261" s="10"/>
      <c r="F261" s="109"/>
      <c r="G261" s="109"/>
      <c r="H261" s="27" t="str">
        <f t="shared" si="55"/>
        <v/>
      </c>
      <c r="I261" s="11" t="s">
        <v>253</v>
      </c>
      <c r="J261" s="27" t="str">
        <f t="shared" si="57"/>
        <v/>
      </c>
      <c r="K261" s="27">
        <v>0</v>
      </c>
      <c r="L261" s="11"/>
      <c r="M261" s="11"/>
      <c r="N261" s="10"/>
      <c r="O261" s="11"/>
      <c r="P261" s="10"/>
      <c r="Q261" s="26" t="str">
        <f t="shared" si="58"/>
        <v/>
      </c>
      <c r="R261" s="27" t="str">
        <f t="shared" si="59"/>
        <v/>
      </c>
      <c r="S261" s="27" t="str">
        <f t="shared" si="60"/>
        <v/>
      </c>
      <c r="T261" s="26" t="str">
        <f t="shared" si="61"/>
        <v/>
      </c>
      <c r="U261" s="27" t="str">
        <f t="shared" si="62"/>
        <v/>
      </c>
      <c r="V261" s="27" t="str">
        <f t="shared" si="63"/>
        <v/>
      </c>
      <c r="W261" s="26" t="str">
        <f t="shared" si="64"/>
        <v/>
      </c>
      <c r="X261" s="27" t="str">
        <f t="shared" si="65"/>
        <v/>
      </c>
      <c r="Y261" s="27" t="str">
        <f t="shared" si="66"/>
        <v/>
      </c>
      <c r="Z261" s="43"/>
      <c r="AA261" s="107"/>
      <c r="AB261" s="76" t="str">
        <f t="shared" si="67"/>
        <v/>
      </c>
      <c r="AC261" s="74" t="str">
        <f t="shared" si="68"/>
        <v/>
      </c>
    </row>
    <row r="262" ht="18" customHeight="1" spans="1:29">
      <c r="A262" s="32" t="str">
        <f t="shared" si="56"/>
        <v/>
      </c>
      <c r="B262" s="108"/>
      <c r="C262" s="11"/>
      <c r="D262" s="11"/>
      <c r="E262" s="10"/>
      <c r="F262" s="109"/>
      <c r="G262" s="109"/>
      <c r="H262" s="27" t="str">
        <f t="shared" si="55"/>
        <v/>
      </c>
      <c r="I262" s="11" t="s">
        <v>253</v>
      </c>
      <c r="J262" s="27" t="str">
        <f t="shared" si="57"/>
        <v/>
      </c>
      <c r="K262" s="27">
        <v>0</v>
      </c>
      <c r="L262" s="11"/>
      <c r="M262" s="11"/>
      <c r="N262" s="10"/>
      <c r="O262" s="11"/>
      <c r="P262" s="10"/>
      <c r="Q262" s="26" t="str">
        <f t="shared" si="58"/>
        <v/>
      </c>
      <c r="R262" s="27" t="str">
        <f t="shared" si="59"/>
        <v/>
      </c>
      <c r="S262" s="27" t="str">
        <f t="shared" si="60"/>
        <v/>
      </c>
      <c r="T262" s="26" t="str">
        <f t="shared" si="61"/>
        <v/>
      </c>
      <c r="U262" s="27" t="str">
        <f t="shared" si="62"/>
        <v/>
      </c>
      <c r="V262" s="27" t="str">
        <f t="shared" si="63"/>
        <v/>
      </c>
      <c r="W262" s="26" t="str">
        <f t="shared" si="64"/>
        <v/>
      </c>
      <c r="X262" s="27" t="str">
        <f t="shared" si="65"/>
        <v/>
      </c>
      <c r="Y262" s="27" t="str">
        <f t="shared" si="66"/>
        <v/>
      </c>
      <c r="Z262" s="43"/>
      <c r="AA262" s="107"/>
      <c r="AB262" s="76" t="str">
        <f t="shared" si="67"/>
        <v/>
      </c>
      <c r="AC262" s="74" t="str">
        <f t="shared" si="68"/>
        <v/>
      </c>
    </row>
    <row r="263" ht="18" customHeight="1" spans="1:29">
      <c r="A263" s="32" t="str">
        <f t="shared" si="56"/>
        <v/>
      </c>
      <c r="B263" s="108"/>
      <c r="C263" s="11"/>
      <c r="D263" s="11"/>
      <c r="E263" s="10"/>
      <c r="F263" s="109"/>
      <c r="G263" s="109"/>
      <c r="H263" s="27" t="str">
        <f t="shared" si="55"/>
        <v/>
      </c>
      <c r="I263" s="11" t="s">
        <v>253</v>
      </c>
      <c r="J263" s="27" t="str">
        <f t="shared" si="57"/>
        <v/>
      </c>
      <c r="K263" s="27">
        <v>0</v>
      </c>
      <c r="L263" s="11"/>
      <c r="M263" s="11"/>
      <c r="N263" s="10"/>
      <c r="O263" s="11"/>
      <c r="P263" s="10"/>
      <c r="Q263" s="26" t="str">
        <f t="shared" si="58"/>
        <v/>
      </c>
      <c r="R263" s="27" t="str">
        <f t="shared" si="59"/>
        <v/>
      </c>
      <c r="S263" s="27" t="str">
        <f t="shared" si="60"/>
        <v/>
      </c>
      <c r="T263" s="26" t="str">
        <f t="shared" si="61"/>
        <v/>
      </c>
      <c r="U263" s="27" t="str">
        <f t="shared" si="62"/>
        <v/>
      </c>
      <c r="V263" s="27" t="str">
        <f t="shared" si="63"/>
        <v/>
      </c>
      <c r="W263" s="26" t="str">
        <f t="shared" si="64"/>
        <v/>
      </c>
      <c r="X263" s="27" t="str">
        <f t="shared" si="65"/>
        <v/>
      </c>
      <c r="Y263" s="27" t="str">
        <f t="shared" si="66"/>
        <v/>
      </c>
      <c r="Z263" s="43"/>
      <c r="AA263" s="107"/>
      <c r="AB263" s="76" t="str">
        <f t="shared" si="67"/>
        <v/>
      </c>
      <c r="AC263" s="74" t="str">
        <f t="shared" si="68"/>
        <v/>
      </c>
    </row>
    <row r="264" ht="18" customHeight="1" spans="1:29">
      <c r="A264" s="32" t="str">
        <f t="shared" si="56"/>
        <v/>
      </c>
      <c r="B264" s="108"/>
      <c r="C264" s="11"/>
      <c r="D264" s="11"/>
      <c r="E264" s="10"/>
      <c r="F264" s="109"/>
      <c r="G264" s="109"/>
      <c r="H264" s="27" t="str">
        <f t="shared" ref="H264:H303" si="69">IF($C264="","",ROUND(N($F264)*N($G264),2))</f>
        <v/>
      </c>
      <c r="I264" s="11" t="s">
        <v>253</v>
      </c>
      <c r="J264" s="27" t="str">
        <f t="shared" si="57"/>
        <v/>
      </c>
      <c r="K264" s="27">
        <v>0</v>
      </c>
      <c r="L264" s="11"/>
      <c r="M264" s="11"/>
      <c r="N264" s="10"/>
      <c r="O264" s="11"/>
      <c r="P264" s="10"/>
      <c r="Q264" s="26" t="str">
        <f t="shared" si="58"/>
        <v/>
      </c>
      <c r="R264" s="27" t="str">
        <f t="shared" si="59"/>
        <v/>
      </c>
      <c r="S264" s="27" t="str">
        <f t="shared" si="60"/>
        <v/>
      </c>
      <c r="T264" s="26" t="str">
        <f t="shared" si="61"/>
        <v/>
      </c>
      <c r="U264" s="27" t="str">
        <f t="shared" si="62"/>
        <v/>
      </c>
      <c r="V264" s="27" t="str">
        <f t="shared" si="63"/>
        <v/>
      </c>
      <c r="W264" s="26" t="str">
        <f t="shared" si="64"/>
        <v/>
      </c>
      <c r="X264" s="27" t="str">
        <f t="shared" si="65"/>
        <v/>
      </c>
      <c r="Y264" s="27" t="str">
        <f t="shared" si="66"/>
        <v/>
      </c>
      <c r="Z264" s="43"/>
      <c r="AA264" s="107"/>
      <c r="AB264" s="76" t="str">
        <f t="shared" si="67"/>
        <v/>
      </c>
      <c r="AC264" s="74" t="str">
        <f t="shared" si="68"/>
        <v/>
      </c>
    </row>
    <row r="265" ht="18" customHeight="1" spans="1:29">
      <c r="A265" s="32" t="str">
        <f t="shared" si="56"/>
        <v/>
      </c>
      <c r="B265" s="108"/>
      <c r="C265" s="11"/>
      <c r="D265" s="11"/>
      <c r="E265" s="10"/>
      <c r="F265" s="109"/>
      <c r="G265" s="109"/>
      <c r="H265" s="27" t="str">
        <f t="shared" si="69"/>
        <v/>
      </c>
      <c r="I265" s="11" t="s">
        <v>253</v>
      </c>
      <c r="J265" s="27" t="str">
        <f t="shared" si="57"/>
        <v/>
      </c>
      <c r="K265" s="27">
        <v>0</v>
      </c>
      <c r="L265" s="11"/>
      <c r="M265" s="11"/>
      <c r="N265" s="10"/>
      <c r="O265" s="11"/>
      <c r="P265" s="10"/>
      <c r="Q265" s="26" t="str">
        <f t="shared" si="58"/>
        <v/>
      </c>
      <c r="R265" s="27" t="str">
        <f t="shared" si="59"/>
        <v/>
      </c>
      <c r="S265" s="27" t="str">
        <f t="shared" si="60"/>
        <v/>
      </c>
      <c r="T265" s="26" t="str">
        <f t="shared" si="61"/>
        <v/>
      </c>
      <c r="U265" s="27" t="str">
        <f t="shared" si="62"/>
        <v/>
      </c>
      <c r="V265" s="27" t="str">
        <f t="shared" si="63"/>
        <v/>
      </c>
      <c r="W265" s="26" t="str">
        <f t="shared" si="64"/>
        <v/>
      </c>
      <c r="X265" s="27" t="str">
        <f t="shared" si="65"/>
        <v/>
      </c>
      <c r="Y265" s="27" t="str">
        <f t="shared" si="66"/>
        <v/>
      </c>
      <c r="Z265" s="43"/>
      <c r="AA265" s="107"/>
      <c r="AB265" s="76" t="str">
        <f t="shared" si="67"/>
        <v/>
      </c>
      <c r="AC265" s="74" t="str">
        <f t="shared" si="68"/>
        <v/>
      </c>
    </row>
    <row r="266" ht="18" customHeight="1" spans="1:29">
      <c r="A266" s="32" t="str">
        <f t="shared" si="56"/>
        <v/>
      </c>
      <c r="B266" s="108"/>
      <c r="C266" s="11"/>
      <c r="D266" s="11"/>
      <c r="E266" s="10"/>
      <c r="F266" s="109"/>
      <c r="G266" s="109"/>
      <c r="H266" s="27" t="str">
        <f t="shared" si="69"/>
        <v/>
      </c>
      <c r="I266" s="11" t="s">
        <v>253</v>
      </c>
      <c r="J266" s="27" t="str">
        <f t="shared" si="57"/>
        <v/>
      </c>
      <c r="K266" s="27">
        <v>0</v>
      </c>
      <c r="L266" s="11"/>
      <c r="M266" s="11"/>
      <c r="N266" s="10"/>
      <c r="O266" s="11"/>
      <c r="P266" s="10"/>
      <c r="Q266" s="26" t="str">
        <f t="shared" si="58"/>
        <v/>
      </c>
      <c r="R266" s="27" t="str">
        <f t="shared" si="59"/>
        <v/>
      </c>
      <c r="S266" s="27" t="str">
        <f t="shared" si="60"/>
        <v/>
      </c>
      <c r="T266" s="26" t="str">
        <f t="shared" si="61"/>
        <v/>
      </c>
      <c r="U266" s="27" t="str">
        <f t="shared" si="62"/>
        <v/>
      </c>
      <c r="V266" s="27" t="str">
        <f t="shared" si="63"/>
        <v/>
      </c>
      <c r="W266" s="26" t="str">
        <f t="shared" si="64"/>
        <v/>
      </c>
      <c r="X266" s="27" t="str">
        <f t="shared" si="65"/>
        <v/>
      </c>
      <c r="Y266" s="27" t="str">
        <f t="shared" si="66"/>
        <v/>
      </c>
      <c r="Z266" s="43"/>
      <c r="AA266" s="107"/>
      <c r="AB266" s="76" t="str">
        <f t="shared" si="67"/>
        <v/>
      </c>
      <c r="AC266" s="74" t="str">
        <f t="shared" si="68"/>
        <v/>
      </c>
    </row>
    <row r="267" ht="18" customHeight="1" spans="1:29">
      <c r="A267" s="32" t="str">
        <f t="shared" si="56"/>
        <v/>
      </c>
      <c r="B267" s="108"/>
      <c r="C267" s="11"/>
      <c r="D267" s="11"/>
      <c r="E267" s="10"/>
      <c r="F267" s="109"/>
      <c r="G267" s="109"/>
      <c r="H267" s="27" t="str">
        <f t="shared" si="69"/>
        <v/>
      </c>
      <c r="I267" s="11" t="s">
        <v>253</v>
      </c>
      <c r="J267" s="27" t="str">
        <f t="shared" si="57"/>
        <v/>
      </c>
      <c r="K267" s="27">
        <v>0</v>
      </c>
      <c r="L267" s="11"/>
      <c r="M267" s="11"/>
      <c r="N267" s="10"/>
      <c r="O267" s="11"/>
      <c r="P267" s="10"/>
      <c r="Q267" s="26" t="str">
        <f t="shared" si="58"/>
        <v/>
      </c>
      <c r="R267" s="27" t="str">
        <f t="shared" si="59"/>
        <v/>
      </c>
      <c r="S267" s="27" t="str">
        <f t="shared" si="60"/>
        <v/>
      </c>
      <c r="T267" s="26" t="str">
        <f t="shared" si="61"/>
        <v/>
      </c>
      <c r="U267" s="27" t="str">
        <f t="shared" si="62"/>
        <v/>
      </c>
      <c r="V267" s="27" t="str">
        <f t="shared" si="63"/>
        <v/>
      </c>
      <c r="W267" s="26" t="str">
        <f t="shared" si="64"/>
        <v/>
      </c>
      <c r="X267" s="27" t="str">
        <f t="shared" si="65"/>
        <v/>
      </c>
      <c r="Y267" s="27" t="str">
        <f t="shared" si="66"/>
        <v/>
      </c>
      <c r="Z267" s="43"/>
      <c r="AA267" s="107"/>
      <c r="AB267" s="76" t="str">
        <f t="shared" si="67"/>
        <v/>
      </c>
      <c r="AC267" s="74" t="str">
        <f t="shared" si="68"/>
        <v/>
      </c>
    </row>
    <row r="268" ht="18" customHeight="1" spans="1:29">
      <c r="A268" s="32" t="str">
        <f t="shared" si="56"/>
        <v/>
      </c>
      <c r="B268" s="108"/>
      <c r="C268" s="11"/>
      <c r="D268" s="11"/>
      <c r="E268" s="10"/>
      <c r="F268" s="109"/>
      <c r="G268" s="109"/>
      <c r="H268" s="27" t="str">
        <f t="shared" si="69"/>
        <v/>
      </c>
      <c r="I268" s="11" t="s">
        <v>253</v>
      </c>
      <c r="J268" s="27" t="str">
        <f t="shared" si="57"/>
        <v/>
      </c>
      <c r="K268" s="27">
        <v>0</v>
      </c>
      <c r="L268" s="11"/>
      <c r="M268" s="11"/>
      <c r="N268" s="10"/>
      <c r="O268" s="11"/>
      <c r="P268" s="10"/>
      <c r="Q268" s="26" t="str">
        <f t="shared" si="58"/>
        <v/>
      </c>
      <c r="R268" s="27" t="str">
        <f t="shared" si="59"/>
        <v/>
      </c>
      <c r="S268" s="27" t="str">
        <f t="shared" si="60"/>
        <v/>
      </c>
      <c r="T268" s="26" t="str">
        <f t="shared" si="61"/>
        <v/>
      </c>
      <c r="U268" s="27" t="str">
        <f t="shared" si="62"/>
        <v/>
      </c>
      <c r="V268" s="27" t="str">
        <f t="shared" si="63"/>
        <v/>
      </c>
      <c r="W268" s="26" t="str">
        <f t="shared" si="64"/>
        <v/>
      </c>
      <c r="X268" s="27" t="str">
        <f t="shared" si="65"/>
        <v/>
      </c>
      <c r="Y268" s="27" t="str">
        <f t="shared" si="66"/>
        <v/>
      </c>
      <c r="Z268" s="43"/>
      <c r="AA268" s="107"/>
      <c r="AB268" s="76" t="str">
        <f t="shared" si="67"/>
        <v/>
      </c>
      <c r="AC268" s="74" t="str">
        <f t="shared" si="68"/>
        <v/>
      </c>
    </row>
    <row r="269" ht="18" customHeight="1" spans="1:29">
      <c r="A269" s="32" t="str">
        <f t="shared" si="56"/>
        <v/>
      </c>
      <c r="B269" s="108"/>
      <c r="C269" s="11"/>
      <c r="D269" s="11"/>
      <c r="E269" s="10"/>
      <c r="F269" s="109"/>
      <c r="G269" s="109"/>
      <c r="H269" s="27" t="str">
        <f t="shared" si="69"/>
        <v/>
      </c>
      <c r="I269" s="11" t="s">
        <v>253</v>
      </c>
      <c r="J269" s="27" t="str">
        <f t="shared" si="57"/>
        <v/>
      </c>
      <c r="K269" s="27">
        <v>0</v>
      </c>
      <c r="L269" s="11"/>
      <c r="M269" s="11"/>
      <c r="N269" s="10"/>
      <c r="O269" s="11"/>
      <c r="P269" s="10"/>
      <c r="Q269" s="26" t="str">
        <f t="shared" si="58"/>
        <v/>
      </c>
      <c r="R269" s="27" t="str">
        <f t="shared" si="59"/>
        <v/>
      </c>
      <c r="S269" s="27" t="str">
        <f t="shared" si="60"/>
        <v/>
      </c>
      <c r="T269" s="26" t="str">
        <f t="shared" si="61"/>
        <v/>
      </c>
      <c r="U269" s="27" t="str">
        <f t="shared" si="62"/>
        <v/>
      </c>
      <c r="V269" s="27" t="str">
        <f t="shared" si="63"/>
        <v/>
      </c>
      <c r="W269" s="26" t="str">
        <f t="shared" si="64"/>
        <v/>
      </c>
      <c r="X269" s="27" t="str">
        <f t="shared" si="65"/>
        <v/>
      </c>
      <c r="Y269" s="27" t="str">
        <f t="shared" si="66"/>
        <v/>
      </c>
      <c r="Z269" s="43"/>
      <c r="AA269" s="107"/>
      <c r="AB269" s="76" t="str">
        <f t="shared" si="67"/>
        <v/>
      </c>
      <c r="AC269" s="74" t="str">
        <f t="shared" si="68"/>
        <v/>
      </c>
    </row>
    <row r="270" ht="18" customHeight="1" spans="1:29">
      <c r="A270" s="32" t="str">
        <f t="shared" si="56"/>
        <v/>
      </c>
      <c r="B270" s="108"/>
      <c r="C270" s="11"/>
      <c r="D270" s="11"/>
      <c r="E270" s="10"/>
      <c r="F270" s="109"/>
      <c r="G270" s="109"/>
      <c r="H270" s="27" t="str">
        <f t="shared" si="69"/>
        <v/>
      </c>
      <c r="I270" s="11" t="s">
        <v>253</v>
      </c>
      <c r="J270" s="27" t="str">
        <f t="shared" si="57"/>
        <v/>
      </c>
      <c r="K270" s="27">
        <v>0</v>
      </c>
      <c r="L270" s="11"/>
      <c r="M270" s="11"/>
      <c r="N270" s="10"/>
      <c r="O270" s="11"/>
      <c r="P270" s="10"/>
      <c r="Q270" s="26" t="str">
        <f t="shared" si="58"/>
        <v/>
      </c>
      <c r="R270" s="27" t="str">
        <f t="shared" si="59"/>
        <v/>
      </c>
      <c r="S270" s="27" t="str">
        <f t="shared" si="60"/>
        <v/>
      </c>
      <c r="T270" s="26" t="str">
        <f t="shared" si="61"/>
        <v/>
      </c>
      <c r="U270" s="27" t="str">
        <f t="shared" si="62"/>
        <v/>
      </c>
      <c r="V270" s="27" t="str">
        <f t="shared" si="63"/>
        <v/>
      </c>
      <c r="W270" s="26" t="str">
        <f t="shared" si="64"/>
        <v/>
      </c>
      <c r="X270" s="27" t="str">
        <f t="shared" si="65"/>
        <v/>
      </c>
      <c r="Y270" s="27" t="str">
        <f t="shared" si="66"/>
        <v/>
      </c>
      <c r="Z270" s="43"/>
      <c r="AA270" s="107"/>
      <c r="AB270" s="76" t="str">
        <f t="shared" si="67"/>
        <v/>
      </c>
      <c r="AC270" s="74" t="str">
        <f t="shared" si="68"/>
        <v/>
      </c>
    </row>
    <row r="271" ht="18" customHeight="1" spans="1:29">
      <c r="A271" s="32" t="str">
        <f t="shared" si="56"/>
        <v/>
      </c>
      <c r="B271" s="108"/>
      <c r="C271" s="11"/>
      <c r="D271" s="11"/>
      <c r="E271" s="10"/>
      <c r="F271" s="109"/>
      <c r="G271" s="109"/>
      <c r="H271" s="27" t="str">
        <f t="shared" si="69"/>
        <v/>
      </c>
      <c r="I271" s="11" t="s">
        <v>253</v>
      </c>
      <c r="J271" s="27" t="str">
        <f t="shared" si="57"/>
        <v/>
      </c>
      <c r="K271" s="27">
        <v>0</v>
      </c>
      <c r="L271" s="11"/>
      <c r="M271" s="11"/>
      <c r="N271" s="10"/>
      <c r="O271" s="11"/>
      <c r="P271" s="10"/>
      <c r="Q271" s="26" t="str">
        <f t="shared" si="58"/>
        <v/>
      </c>
      <c r="R271" s="27" t="str">
        <f t="shared" si="59"/>
        <v/>
      </c>
      <c r="S271" s="27" t="str">
        <f t="shared" si="60"/>
        <v/>
      </c>
      <c r="T271" s="26" t="str">
        <f t="shared" si="61"/>
        <v/>
      </c>
      <c r="U271" s="27" t="str">
        <f t="shared" si="62"/>
        <v/>
      </c>
      <c r="V271" s="27" t="str">
        <f t="shared" si="63"/>
        <v/>
      </c>
      <c r="W271" s="26" t="str">
        <f t="shared" si="64"/>
        <v/>
      </c>
      <c r="X271" s="27" t="str">
        <f t="shared" si="65"/>
        <v/>
      </c>
      <c r="Y271" s="27" t="str">
        <f t="shared" si="66"/>
        <v/>
      </c>
      <c r="Z271" s="43"/>
      <c r="AA271" s="107"/>
      <c r="AB271" s="76" t="str">
        <f t="shared" si="67"/>
        <v/>
      </c>
      <c r="AC271" s="74" t="str">
        <f t="shared" si="68"/>
        <v/>
      </c>
    </row>
    <row r="272" ht="18" customHeight="1" spans="1:29">
      <c r="A272" s="32" t="str">
        <f t="shared" si="56"/>
        <v/>
      </c>
      <c r="B272" s="108"/>
      <c r="C272" s="11"/>
      <c r="D272" s="11"/>
      <c r="E272" s="10"/>
      <c r="F272" s="109"/>
      <c r="G272" s="109"/>
      <c r="H272" s="27" t="str">
        <f t="shared" si="69"/>
        <v/>
      </c>
      <c r="I272" s="11" t="s">
        <v>253</v>
      </c>
      <c r="J272" s="27" t="str">
        <f t="shared" si="57"/>
        <v/>
      </c>
      <c r="K272" s="27">
        <v>0</v>
      </c>
      <c r="L272" s="11"/>
      <c r="M272" s="11"/>
      <c r="N272" s="10"/>
      <c r="O272" s="11"/>
      <c r="P272" s="10"/>
      <c r="Q272" s="26" t="str">
        <f t="shared" si="58"/>
        <v/>
      </c>
      <c r="R272" s="27" t="str">
        <f t="shared" si="59"/>
        <v/>
      </c>
      <c r="S272" s="27" t="str">
        <f t="shared" si="60"/>
        <v/>
      </c>
      <c r="T272" s="26" t="str">
        <f t="shared" si="61"/>
        <v/>
      </c>
      <c r="U272" s="27" t="str">
        <f t="shared" si="62"/>
        <v/>
      </c>
      <c r="V272" s="27" t="str">
        <f t="shared" si="63"/>
        <v/>
      </c>
      <c r="W272" s="26" t="str">
        <f t="shared" si="64"/>
        <v/>
      </c>
      <c r="X272" s="27" t="str">
        <f t="shared" si="65"/>
        <v/>
      </c>
      <c r="Y272" s="27" t="str">
        <f t="shared" si="66"/>
        <v/>
      </c>
      <c r="Z272" s="43"/>
      <c r="AA272" s="107"/>
      <c r="AB272" s="76" t="str">
        <f t="shared" si="67"/>
        <v/>
      </c>
      <c r="AC272" s="74" t="str">
        <f t="shared" si="68"/>
        <v/>
      </c>
    </row>
    <row r="273" ht="18" customHeight="1" spans="1:29">
      <c r="A273" s="32" t="str">
        <f t="shared" si="56"/>
        <v/>
      </c>
      <c r="B273" s="108"/>
      <c r="C273" s="11"/>
      <c r="D273" s="11"/>
      <c r="E273" s="10"/>
      <c r="F273" s="109"/>
      <c r="G273" s="109"/>
      <c r="H273" s="27" t="str">
        <f t="shared" si="69"/>
        <v/>
      </c>
      <c r="I273" s="11" t="s">
        <v>253</v>
      </c>
      <c r="J273" s="27" t="str">
        <f t="shared" si="57"/>
        <v/>
      </c>
      <c r="K273" s="27">
        <v>0</v>
      </c>
      <c r="L273" s="11"/>
      <c r="M273" s="11"/>
      <c r="N273" s="10"/>
      <c r="O273" s="11"/>
      <c r="P273" s="10"/>
      <c r="Q273" s="26" t="str">
        <f t="shared" si="58"/>
        <v/>
      </c>
      <c r="R273" s="27" t="str">
        <f t="shared" si="59"/>
        <v/>
      </c>
      <c r="S273" s="27" t="str">
        <f t="shared" si="60"/>
        <v/>
      </c>
      <c r="T273" s="26" t="str">
        <f t="shared" si="61"/>
        <v/>
      </c>
      <c r="U273" s="27" t="str">
        <f t="shared" si="62"/>
        <v/>
      </c>
      <c r="V273" s="27" t="str">
        <f t="shared" si="63"/>
        <v/>
      </c>
      <c r="W273" s="26" t="str">
        <f t="shared" si="64"/>
        <v/>
      </c>
      <c r="X273" s="27" t="str">
        <f t="shared" si="65"/>
        <v/>
      </c>
      <c r="Y273" s="27" t="str">
        <f t="shared" si="66"/>
        <v/>
      </c>
      <c r="Z273" s="43"/>
      <c r="AA273" s="107"/>
      <c r="AB273" s="76" t="str">
        <f t="shared" si="67"/>
        <v/>
      </c>
      <c r="AC273" s="74" t="str">
        <f t="shared" si="68"/>
        <v/>
      </c>
    </row>
    <row r="274" ht="18" customHeight="1" spans="1:29">
      <c r="A274" s="32" t="str">
        <f t="shared" si="56"/>
        <v/>
      </c>
      <c r="B274" s="108"/>
      <c r="C274" s="11"/>
      <c r="D274" s="11"/>
      <c r="E274" s="10"/>
      <c r="F274" s="109"/>
      <c r="G274" s="109"/>
      <c r="H274" s="27" t="str">
        <f t="shared" si="69"/>
        <v/>
      </c>
      <c r="I274" s="11" t="s">
        <v>253</v>
      </c>
      <c r="J274" s="27" t="str">
        <f t="shared" si="57"/>
        <v/>
      </c>
      <c r="K274" s="27">
        <v>0</v>
      </c>
      <c r="L274" s="11"/>
      <c r="M274" s="11"/>
      <c r="N274" s="10"/>
      <c r="O274" s="11"/>
      <c r="P274" s="10"/>
      <c r="Q274" s="26" t="str">
        <f t="shared" si="58"/>
        <v/>
      </c>
      <c r="R274" s="27" t="str">
        <f t="shared" si="59"/>
        <v/>
      </c>
      <c r="S274" s="27" t="str">
        <f t="shared" si="60"/>
        <v/>
      </c>
      <c r="T274" s="26" t="str">
        <f t="shared" si="61"/>
        <v/>
      </c>
      <c r="U274" s="27" t="str">
        <f t="shared" si="62"/>
        <v/>
      </c>
      <c r="V274" s="27" t="str">
        <f t="shared" si="63"/>
        <v/>
      </c>
      <c r="W274" s="26" t="str">
        <f t="shared" si="64"/>
        <v/>
      </c>
      <c r="X274" s="27" t="str">
        <f t="shared" si="65"/>
        <v/>
      </c>
      <c r="Y274" s="27" t="str">
        <f t="shared" si="66"/>
        <v/>
      </c>
      <c r="Z274" s="43"/>
      <c r="AA274" s="107"/>
      <c r="AB274" s="76" t="str">
        <f t="shared" si="67"/>
        <v/>
      </c>
      <c r="AC274" s="74" t="str">
        <f t="shared" si="68"/>
        <v/>
      </c>
    </row>
    <row r="275" ht="18" customHeight="1" spans="1:29">
      <c r="A275" s="32" t="str">
        <f t="shared" si="56"/>
        <v/>
      </c>
      <c r="B275" s="108"/>
      <c r="C275" s="11"/>
      <c r="D275" s="11"/>
      <c r="E275" s="10"/>
      <c r="F275" s="109"/>
      <c r="G275" s="109"/>
      <c r="H275" s="27" t="str">
        <f t="shared" si="69"/>
        <v/>
      </c>
      <c r="I275" s="11" t="s">
        <v>253</v>
      </c>
      <c r="J275" s="27" t="str">
        <f t="shared" si="57"/>
        <v/>
      </c>
      <c r="K275" s="27">
        <v>0</v>
      </c>
      <c r="L275" s="11"/>
      <c r="M275" s="11"/>
      <c r="N275" s="10"/>
      <c r="O275" s="11"/>
      <c r="P275" s="10"/>
      <c r="Q275" s="26" t="str">
        <f t="shared" si="58"/>
        <v/>
      </c>
      <c r="R275" s="27" t="str">
        <f t="shared" si="59"/>
        <v/>
      </c>
      <c r="S275" s="27" t="str">
        <f t="shared" si="60"/>
        <v/>
      </c>
      <c r="T275" s="26" t="str">
        <f t="shared" si="61"/>
        <v/>
      </c>
      <c r="U275" s="27" t="str">
        <f t="shared" si="62"/>
        <v/>
      </c>
      <c r="V275" s="27" t="str">
        <f t="shared" si="63"/>
        <v/>
      </c>
      <c r="W275" s="26" t="str">
        <f t="shared" si="64"/>
        <v/>
      </c>
      <c r="X275" s="27" t="str">
        <f t="shared" si="65"/>
        <v/>
      </c>
      <c r="Y275" s="27" t="str">
        <f t="shared" si="66"/>
        <v/>
      </c>
      <c r="Z275" s="43"/>
      <c r="AA275" s="107"/>
      <c r="AB275" s="76" t="str">
        <f t="shared" si="67"/>
        <v/>
      </c>
      <c r="AC275" s="74" t="str">
        <f t="shared" si="68"/>
        <v/>
      </c>
    </row>
    <row r="276" ht="18" customHeight="1" spans="1:29">
      <c r="A276" s="32" t="str">
        <f t="shared" si="56"/>
        <v/>
      </c>
      <c r="B276" s="108"/>
      <c r="C276" s="11"/>
      <c r="D276" s="11"/>
      <c r="E276" s="10"/>
      <c r="F276" s="109"/>
      <c r="G276" s="109"/>
      <c r="H276" s="27" t="str">
        <f t="shared" si="69"/>
        <v/>
      </c>
      <c r="I276" s="11" t="s">
        <v>253</v>
      </c>
      <c r="J276" s="27" t="str">
        <f t="shared" si="57"/>
        <v/>
      </c>
      <c r="K276" s="27">
        <v>0</v>
      </c>
      <c r="L276" s="11"/>
      <c r="M276" s="11"/>
      <c r="N276" s="10"/>
      <c r="O276" s="11"/>
      <c r="P276" s="10"/>
      <c r="Q276" s="26" t="str">
        <f t="shared" si="58"/>
        <v/>
      </c>
      <c r="R276" s="27" t="str">
        <f t="shared" si="59"/>
        <v/>
      </c>
      <c r="S276" s="27" t="str">
        <f t="shared" si="60"/>
        <v/>
      </c>
      <c r="T276" s="26" t="str">
        <f t="shared" si="61"/>
        <v/>
      </c>
      <c r="U276" s="27" t="str">
        <f t="shared" si="62"/>
        <v/>
      </c>
      <c r="V276" s="27" t="str">
        <f t="shared" si="63"/>
        <v/>
      </c>
      <c r="W276" s="26" t="str">
        <f t="shared" si="64"/>
        <v/>
      </c>
      <c r="X276" s="27" t="str">
        <f t="shared" si="65"/>
        <v/>
      </c>
      <c r="Y276" s="27" t="str">
        <f t="shared" si="66"/>
        <v/>
      </c>
      <c r="Z276" s="43"/>
      <c r="AA276" s="107"/>
      <c r="AB276" s="76" t="str">
        <f t="shared" si="67"/>
        <v/>
      </c>
      <c r="AC276" s="74" t="str">
        <f t="shared" si="68"/>
        <v/>
      </c>
    </row>
    <row r="277" ht="18" customHeight="1" spans="1:29">
      <c r="A277" s="32" t="str">
        <f t="shared" si="56"/>
        <v/>
      </c>
      <c r="B277" s="108"/>
      <c r="C277" s="11"/>
      <c r="D277" s="11"/>
      <c r="E277" s="10"/>
      <c r="F277" s="109"/>
      <c r="G277" s="109"/>
      <c r="H277" s="27" t="str">
        <f t="shared" si="69"/>
        <v/>
      </c>
      <c r="I277" s="11" t="s">
        <v>253</v>
      </c>
      <c r="J277" s="27" t="str">
        <f t="shared" si="57"/>
        <v/>
      </c>
      <c r="K277" s="27">
        <v>0</v>
      </c>
      <c r="L277" s="11"/>
      <c r="M277" s="11"/>
      <c r="N277" s="10"/>
      <c r="O277" s="11"/>
      <c r="P277" s="10"/>
      <c r="Q277" s="26" t="str">
        <f t="shared" si="58"/>
        <v/>
      </c>
      <c r="R277" s="27" t="str">
        <f t="shared" si="59"/>
        <v/>
      </c>
      <c r="S277" s="27" t="str">
        <f t="shared" si="60"/>
        <v/>
      </c>
      <c r="T277" s="26" t="str">
        <f t="shared" si="61"/>
        <v/>
      </c>
      <c r="U277" s="27" t="str">
        <f t="shared" si="62"/>
        <v/>
      </c>
      <c r="V277" s="27" t="str">
        <f t="shared" si="63"/>
        <v/>
      </c>
      <c r="W277" s="26" t="str">
        <f t="shared" si="64"/>
        <v/>
      </c>
      <c r="X277" s="27" t="str">
        <f t="shared" si="65"/>
        <v/>
      </c>
      <c r="Y277" s="27" t="str">
        <f t="shared" si="66"/>
        <v/>
      </c>
      <c r="Z277" s="43"/>
      <c r="AA277" s="107"/>
      <c r="AB277" s="76" t="str">
        <f t="shared" si="67"/>
        <v/>
      </c>
      <c r="AC277" s="74" t="str">
        <f t="shared" si="68"/>
        <v/>
      </c>
    </row>
    <row r="278" ht="18" customHeight="1" spans="1:29">
      <c r="A278" s="32" t="str">
        <f t="shared" si="56"/>
        <v/>
      </c>
      <c r="B278" s="108"/>
      <c r="C278" s="11"/>
      <c r="D278" s="11"/>
      <c r="E278" s="10"/>
      <c r="F278" s="109"/>
      <c r="G278" s="109"/>
      <c r="H278" s="27" t="str">
        <f t="shared" si="69"/>
        <v/>
      </c>
      <c r="I278" s="11" t="s">
        <v>253</v>
      </c>
      <c r="J278" s="27" t="str">
        <f t="shared" si="57"/>
        <v/>
      </c>
      <c r="K278" s="27">
        <v>0</v>
      </c>
      <c r="L278" s="11"/>
      <c r="M278" s="11"/>
      <c r="N278" s="10"/>
      <c r="O278" s="11"/>
      <c r="P278" s="10"/>
      <c r="Q278" s="26" t="str">
        <f t="shared" si="58"/>
        <v/>
      </c>
      <c r="R278" s="27" t="str">
        <f t="shared" si="59"/>
        <v/>
      </c>
      <c r="S278" s="27" t="str">
        <f t="shared" si="60"/>
        <v/>
      </c>
      <c r="T278" s="26" t="str">
        <f t="shared" si="61"/>
        <v/>
      </c>
      <c r="U278" s="27" t="str">
        <f t="shared" si="62"/>
        <v/>
      </c>
      <c r="V278" s="27" t="str">
        <f t="shared" si="63"/>
        <v/>
      </c>
      <c r="W278" s="26" t="str">
        <f t="shared" si="64"/>
        <v/>
      </c>
      <c r="X278" s="27" t="str">
        <f t="shared" si="65"/>
        <v/>
      </c>
      <c r="Y278" s="27" t="str">
        <f t="shared" si="66"/>
        <v/>
      </c>
      <c r="Z278" s="43"/>
      <c r="AA278" s="107"/>
      <c r="AB278" s="76" t="str">
        <f t="shared" si="67"/>
        <v/>
      </c>
      <c r="AC278" s="74" t="str">
        <f t="shared" si="68"/>
        <v/>
      </c>
    </row>
    <row r="279" ht="18" customHeight="1" spans="1:29">
      <c r="A279" s="32" t="str">
        <f t="shared" si="56"/>
        <v/>
      </c>
      <c r="B279" s="108"/>
      <c r="C279" s="11"/>
      <c r="D279" s="11"/>
      <c r="E279" s="10"/>
      <c r="F279" s="109"/>
      <c r="G279" s="109"/>
      <c r="H279" s="27" t="str">
        <f t="shared" si="69"/>
        <v/>
      </c>
      <c r="I279" s="11" t="s">
        <v>253</v>
      </c>
      <c r="J279" s="27" t="str">
        <f t="shared" si="57"/>
        <v/>
      </c>
      <c r="K279" s="27">
        <v>0</v>
      </c>
      <c r="L279" s="11"/>
      <c r="M279" s="11"/>
      <c r="N279" s="10"/>
      <c r="O279" s="11"/>
      <c r="P279" s="10"/>
      <c r="Q279" s="26" t="str">
        <f t="shared" si="58"/>
        <v/>
      </c>
      <c r="R279" s="27" t="str">
        <f t="shared" si="59"/>
        <v/>
      </c>
      <c r="S279" s="27" t="str">
        <f t="shared" si="60"/>
        <v/>
      </c>
      <c r="T279" s="26" t="str">
        <f t="shared" si="61"/>
        <v/>
      </c>
      <c r="U279" s="27" t="str">
        <f t="shared" si="62"/>
        <v/>
      </c>
      <c r="V279" s="27" t="str">
        <f t="shared" si="63"/>
        <v/>
      </c>
      <c r="W279" s="26" t="str">
        <f t="shared" si="64"/>
        <v/>
      </c>
      <c r="X279" s="27" t="str">
        <f t="shared" si="65"/>
        <v/>
      </c>
      <c r="Y279" s="27" t="str">
        <f t="shared" si="66"/>
        <v/>
      </c>
      <c r="Z279" s="43"/>
      <c r="AA279" s="107"/>
      <c r="AB279" s="76" t="str">
        <f t="shared" si="67"/>
        <v/>
      </c>
      <c r="AC279" s="74" t="str">
        <f t="shared" si="68"/>
        <v/>
      </c>
    </row>
    <row r="280" ht="18" customHeight="1" spans="1:29">
      <c r="A280" s="32" t="str">
        <f t="shared" si="56"/>
        <v/>
      </c>
      <c r="B280" s="108"/>
      <c r="C280" s="11"/>
      <c r="D280" s="11"/>
      <c r="E280" s="10"/>
      <c r="F280" s="109"/>
      <c r="G280" s="109"/>
      <c r="H280" s="27" t="str">
        <f t="shared" si="69"/>
        <v/>
      </c>
      <c r="I280" s="11" t="s">
        <v>253</v>
      </c>
      <c r="J280" s="27" t="str">
        <f t="shared" si="57"/>
        <v/>
      </c>
      <c r="K280" s="27">
        <v>0</v>
      </c>
      <c r="L280" s="11"/>
      <c r="M280" s="11"/>
      <c r="N280" s="10"/>
      <c r="O280" s="11"/>
      <c r="P280" s="10"/>
      <c r="Q280" s="26" t="str">
        <f t="shared" si="58"/>
        <v/>
      </c>
      <c r="R280" s="27" t="str">
        <f t="shared" si="59"/>
        <v/>
      </c>
      <c r="S280" s="27" t="str">
        <f t="shared" si="60"/>
        <v/>
      </c>
      <c r="T280" s="26" t="str">
        <f t="shared" si="61"/>
        <v/>
      </c>
      <c r="U280" s="27" t="str">
        <f t="shared" si="62"/>
        <v/>
      </c>
      <c r="V280" s="27" t="str">
        <f t="shared" si="63"/>
        <v/>
      </c>
      <c r="W280" s="26" t="str">
        <f t="shared" si="64"/>
        <v/>
      </c>
      <c r="X280" s="27" t="str">
        <f t="shared" si="65"/>
        <v/>
      </c>
      <c r="Y280" s="27" t="str">
        <f t="shared" si="66"/>
        <v/>
      </c>
      <c r="Z280" s="43"/>
      <c r="AA280" s="107"/>
      <c r="AB280" s="76" t="str">
        <f t="shared" si="67"/>
        <v/>
      </c>
      <c r="AC280" s="74" t="str">
        <f t="shared" si="68"/>
        <v/>
      </c>
    </row>
    <row r="281" ht="18" customHeight="1" spans="1:29">
      <c r="A281" s="32" t="str">
        <f t="shared" si="56"/>
        <v/>
      </c>
      <c r="B281" s="108"/>
      <c r="C281" s="11"/>
      <c r="D281" s="11"/>
      <c r="E281" s="10"/>
      <c r="F281" s="109"/>
      <c r="G281" s="109"/>
      <c r="H281" s="27" t="str">
        <f t="shared" si="69"/>
        <v/>
      </c>
      <c r="I281" s="11" t="s">
        <v>253</v>
      </c>
      <c r="J281" s="27" t="str">
        <f t="shared" si="57"/>
        <v/>
      </c>
      <c r="K281" s="27">
        <v>0</v>
      </c>
      <c r="L281" s="11"/>
      <c r="M281" s="11"/>
      <c r="N281" s="10"/>
      <c r="O281" s="11"/>
      <c r="P281" s="10"/>
      <c r="Q281" s="26" t="str">
        <f t="shared" si="58"/>
        <v/>
      </c>
      <c r="R281" s="27" t="str">
        <f t="shared" si="59"/>
        <v/>
      </c>
      <c r="S281" s="27" t="str">
        <f t="shared" si="60"/>
        <v/>
      </c>
      <c r="T281" s="26" t="str">
        <f t="shared" si="61"/>
        <v/>
      </c>
      <c r="U281" s="27" t="str">
        <f t="shared" si="62"/>
        <v/>
      </c>
      <c r="V281" s="27" t="str">
        <f t="shared" si="63"/>
        <v/>
      </c>
      <c r="W281" s="26" t="str">
        <f t="shared" si="64"/>
        <v/>
      </c>
      <c r="X281" s="27" t="str">
        <f t="shared" si="65"/>
        <v/>
      </c>
      <c r="Y281" s="27" t="str">
        <f t="shared" si="66"/>
        <v/>
      </c>
      <c r="Z281" s="43"/>
      <c r="AA281" s="107"/>
      <c r="AB281" s="76" t="str">
        <f t="shared" si="67"/>
        <v/>
      </c>
      <c r="AC281" s="74" t="str">
        <f t="shared" si="68"/>
        <v/>
      </c>
    </row>
    <row r="282" ht="18" customHeight="1" spans="1:29">
      <c r="A282" s="32" t="str">
        <f t="shared" si="56"/>
        <v/>
      </c>
      <c r="B282" s="108"/>
      <c r="C282" s="11"/>
      <c r="D282" s="11"/>
      <c r="E282" s="10"/>
      <c r="F282" s="109"/>
      <c r="G282" s="109"/>
      <c r="H282" s="27" t="str">
        <f t="shared" si="69"/>
        <v/>
      </c>
      <c r="I282" s="11" t="s">
        <v>253</v>
      </c>
      <c r="J282" s="27" t="str">
        <f t="shared" si="57"/>
        <v/>
      </c>
      <c r="K282" s="27">
        <v>0</v>
      </c>
      <c r="L282" s="11"/>
      <c r="M282" s="11"/>
      <c r="N282" s="10"/>
      <c r="O282" s="11"/>
      <c r="P282" s="10"/>
      <c r="Q282" s="26" t="str">
        <f t="shared" si="58"/>
        <v/>
      </c>
      <c r="R282" s="27" t="str">
        <f t="shared" si="59"/>
        <v/>
      </c>
      <c r="S282" s="27" t="str">
        <f t="shared" si="60"/>
        <v/>
      </c>
      <c r="T282" s="26" t="str">
        <f t="shared" si="61"/>
        <v/>
      </c>
      <c r="U282" s="27" t="str">
        <f t="shared" si="62"/>
        <v/>
      </c>
      <c r="V282" s="27" t="str">
        <f t="shared" si="63"/>
        <v/>
      </c>
      <c r="W282" s="26" t="str">
        <f t="shared" si="64"/>
        <v/>
      </c>
      <c r="X282" s="27" t="str">
        <f t="shared" si="65"/>
        <v/>
      </c>
      <c r="Y282" s="27" t="str">
        <f t="shared" si="66"/>
        <v/>
      </c>
      <c r="Z282" s="43"/>
      <c r="AA282" s="107"/>
      <c r="AB282" s="76" t="str">
        <f t="shared" si="67"/>
        <v/>
      </c>
      <c r="AC282" s="74" t="str">
        <f t="shared" si="68"/>
        <v/>
      </c>
    </row>
    <row r="283" ht="18" customHeight="1" spans="1:29">
      <c r="A283" s="32" t="str">
        <f t="shared" si="56"/>
        <v/>
      </c>
      <c r="B283" s="108"/>
      <c r="C283" s="11"/>
      <c r="D283" s="11"/>
      <c r="E283" s="10"/>
      <c r="F283" s="109"/>
      <c r="G283" s="109"/>
      <c r="H283" s="27" t="str">
        <f t="shared" si="69"/>
        <v/>
      </c>
      <c r="I283" s="11" t="s">
        <v>253</v>
      </c>
      <c r="J283" s="27" t="str">
        <f t="shared" si="57"/>
        <v/>
      </c>
      <c r="K283" s="27">
        <v>0</v>
      </c>
      <c r="L283" s="11"/>
      <c r="M283" s="11"/>
      <c r="N283" s="10"/>
      <c r="O283" s="11"/>
      <c r="P283" s="10"/>
      <c r="Q283" s="26" t="str">
        <f t="shared" si="58"/>
        <v/>
      </c>
      <c r="R283" s="27" t="str">
        <f t="shared" si="59"/>
        <v/>
      </c>
      <c r="S283" s="27" t="str">
        <f t="shared" si="60"/>
        <v/>
      </c>
      <c r="T283" s="26" t="str">
        <f t="shared" si="61"/>
        <v/>
      </c>
      <c r="U283" s="27" t="str">
        <f t="shared" si="62"/>
        <v/>
      </c>
      <c r="V283" s="27" t="str">
        <f t="shared" si="63"/>
        <v/>
      </c>
      <c r="W283" s="26" t="str">
        <f t="shared" si="64"/>
        <v/>
      </c>
      <c r="X283" s="27" t="str">
        <f t="shared" si="65"/>
        <v/>
      </c>
      <c r="Y283" s="27" t="str">
        <f t="shared" si="66"/>
        <v/>
      </c>
      <c r="Z283" s="43"/>
      <c r="AA283" s="107"/>
      <c r="AB283" s="76" t="str">
        <f t="shared" si="67"/>
        <v/>
      </c>
      <c r="AC283" s="74" t="str">
        <f t="shared" si="68"/>
        <v/>
      </c>
    </row>
    <row r="284" ht="18" customHeight="1" spans="1:29">
      <c r="A284" s="32" t="str">
        <f t="shared" si="56"/>
        <v/>
      </c>
      <c r="B284" s="108"/>
      <c r="C284" s="11"/>
      <c r="D284" s="11"/>
      <c r="E284" s="10"/>
      <c r="F284" s="109"/>
      <c r="G284" s="109"/>
      <c r="H284" s="27" t="str">
        <f t="shared" si="69"/>
        <v/>
      </c>
      <c r="I284" s="11" t="s">
        <v>253</v>
      </c>
      <c r="J284" s="27" t="str">
        <f t="shared" si="57"/>
        <v/>
      </c>
      <c r="K284" s="27">
        <v>0</v>
      </c>
      <c r="L284" s="11"/>
      <c r="M284" s="11"/>
      <c r="N284" s="10"/>
      <c r="O284" s="11"/>
      <c r="P284" s="10"/>
      <c r="Q284" s="26" t="str">
        <f t="shared" si="58"/>
        <v/>
      </c>
      <c r="R284" s="27" t="str">
        <f t="shared" si="59"/>
        <v/>
      </c>
      <c r="S284" s="27" t="str">
        <f t="shared" si="60"/>
        <v/>
      </c>
      <c r="T284" s="26" t="str">
        <f t="shared" si="61"/>
        <v/>
      </c>
      <c r="U284" s="27" t="str">
        <f t="shared" si="62"/>
        <v/>
      </c>
      <c r="V284" s="27" t="str">
        <f t="shared" si="63"/>
        <v/>
      </c>
      <c r="W284" s="26" t="str">
        <f t="shared" si="64"/>
        <v/>
      </c>
      <c r="X284" s="27" t="str">
        <f t="shared" si="65"/>
        <v/>
      </c>
      <c r="Y284" s="27" t="str">
        <f t="shared" si="66"/>
        <v/>
      </c>
      <c r="Z284" s="43"/>
      <c r="AA284" s="107"/>
      <c r="AB284" s="76" t="str">
        <f t="shared" si="67"/>
        <v/>
      </c>
      <c r="AC284" s="74" t="str">
        <f t="shared" si="68"/>
        <v/>
      </c>
    </row>
    <row r="285" ht="18" customHeight="1" spans="1:29">
      <c r="A285" s="32" t="str">
        <f t="shared" si="56"/>
        <v/>
      </c>
      <c r="B285" s="108"/>
      <c r="C285" s="11"/>
      <c r="D285" s="11"/>
      <c r="E285" s="10"/>
      <c r="F285" s="109"/>
      <c r="G285" s="109"/>
      <c r="H285" s="27" t="str">
        <f t="shared" si="69"/>
        <v/>
      </c>
      <c r="I285" s="11" t="s">
        <v>253</v>
      </c>
      <c r="J285" s="27" t="str">
        <f t="shared" si="57"/>
        <v/>
      </c>
      <c r="K285" s="27">
        <v>0</v>
      </c>
      <c r="L285" s="11"/>
      <c r="M285" s="11"/>
      <c r="N285" s="10"/>
      <c r="O285" s="11"/>
      <c r="P285" s="10"/>
      <c r="Q285" s="26" t="str">
        <f t="shared" si="58"/>
        <v/>
      </c>
      <c r="R285" s="27" t="str">
        <f t="shared" si="59"/>
        <v/>
      </c>
      <c r="S285" s="27" t="str">
        <f t="shared" si="60"/>
        <v/>
      </c>
      <c r="T285" s="26" t="str">
        <f t="shared" si="61"/>
        <v/>
      </c>
      <c r="U285" s="27" t="str">
        <f t="shared" si="62"/>
        <v/>
      </c>
      <c r="V285" s="27" t="str">
        <f t="shared" si="63"/>
        <v/>
      </c>
      <c r="W285" s="26" t="str">
        <f t="shared" si="64"/>
        <v/>
      </c>
      <c r="X285" s="27" t="str">
        <f t="shared" si="65"/>
        <v/>
      </c>
      <c r="Y285" s="27" t="str">
        <f t="shared" si="66"/>
        <v/>
      </c>
      <c r="Z285" s="43"/>
      <c r="AA285" s="107"/>
      <c r="AB285" s="76" t="str">
        <f t="shared" si="67"/>
        <v/>
      </c>
      <c r="AC285" s="74" t="str">
        <f t="shared" si="68"/>
        <v/>
      </c>
    </row>
    <row r="286" ht="18" customHeight="1" spans="1:29">
      <c r="A286" s="32" t="str">
        <f t="shared" si="56"/>
        <v/>
      </c>
      <c r="B286" s="108"/>
      <c r="C286" s="11"/>
      <c r="D286" s="11"/>
      <c r="E286" s="10"/>
      <c r="F286" s="109"/>
      <c r="G286" s="109"/>
      <c r="H286" s="27" t="str">
        <f t="shared" si="69"/>
        <v/>
      </c>
      <c r="I286" s="11" t="s">
        <v>253</v>
      </c>
      <c r="J286" s="27" t="str">
        <f t="shared" si="57"/>
        <v/>
      </c>
      <c r="K286" s="27">
        <v>0</v>
      </c>
      <c r="L286" s="11"/>
      <c r="M286" s="11"/>
      <c r="N286" s="10"/>
      <c r="O286" s="11"/>
      <c r="P286" s="10"/>
      <c r="Q286" s="26" t="str">
        <f t="shared" si="58"/>
        <v/>
      </c>
      <c r="R286" s="27" t="str">
        <f t="shared" si="59"/>
        <v/>
      </c>
      <c r="S286" s="27" t="str">
        <f t="shared" si="60"/>
        <v/>
      </c>
      <c r="T286" s="26" t="str">
        <f t="shared" si="61"/>
        <v/>
      </c>
      <c r="U286" s="27" t="str">
        <f t="shared" si="62"/>
        <v/>
      </c>
      <c r="V286" s="27" t="str">
        <f t="shared" si="63"/>
        <v/>
      </c>
      <c r="W286" s="26" t="str">
        <f t="shared" si="64"/>
        <v/>
      </c>
      <c r="X286" s="27" t="str">
        <f t="shared" si="65"/>
        <v/>
      </c>
      <c r="Y286" s="27" t="str">
        <f t="shared" si="66"/>
        <v/>
      </c>
      <c r="Z286" s="43"/>
      <c r="AA286" s="107"/>
      <c r="AB286" s="76" t="str">
        <f t="shared" si="67"/>
        <v/>
      </c>
      <c r="AC286" s="74" t="str">
        <f t="shared" si="68"/>
        <v/>
      </c>
    </row>
    <row r="287" ht="18" customHeight="1" spans="1:29">
      <c r="A287" s="32" t="str">
        <f t="shared" si="56"/>
        <v/>
      </c>
      <c r="B287" s="108"/>
      <c r="C287" s="11"/>
      <c r="D287" s="11"/>
      <c r="E287" s="10"/>
      <c r="F287" s="109"/>
      <c r="G287" s="109"/>
      <c r="H287" s="27" t="str">
        <f t="shared" si="69"/>
        <v/>
      </c>
      <c r="I287" s="11" t="s">
        <v>253</v>
      </c>
      <c r="J287" s="27" t="str">
        <f t="shared" si="57"/>
        <v/>
      </c>
      <c r="K287" s="27">
        <v>0</v>
      </c>
      <c r="L287" s="11"/>
      <c r="M287" s="11"/>
      <c r="N287" s="10"/>
      <c r="O287" s="11"/>
      <c r="P287" s="10"/>
      <c r="Q287" s="26" t="str">
        <f t="shared" si="58"/>
        <v/>
      </c>
      <c r="R287" s="27" t="str">
        <f t="shared" si="59"/>
        <v/>
      </c>
      <c r="S287" s="27" t="str">
        <f t="shared" si="60"/>
        <v/>
      </c>
      <c r="T287" s="26" t="str">
        <f t="shared" si="61"/>
        <v/>
      </c>
      <c r="U287" s="27" t="str">
        <f t="shared" si="62"/>
        <v/>
      </c>
      <c r="V287" s="27" t="str">
        <f t="shared" si="63"/>
        <v/>
      </c>
      <c r="W287" s="26" t="str">
        <f t="shared" si="64"/>
        <v/>
      </c>
      <c r="X287" s="27" t="str">
        <f t="shared" si="65"/>
        <v/>
      </c>
      <c r="Y287" s="27" t="str">
        <f t="shared" si="66"/>
        <v/>
      </c>
      <c r="Z287" s="43"/>
      <c r="AA287" s="107"/>
      <c r="AB287" s="76" t="str">
        <f t="shared" si="67"/>
        <v/>
      </c>
      <c r="AC287" s="74" t="str">
        <f t="shared" si="68"/>
        <v/>
      </c>
    </row>
    <row r="288" ht="18" customHeight="1" spans="1:29">
      <c r="A288" s="32" t="str">
        <f t="shared" si="56"/>
        <v/>
      </c>
      <c r="B288" s="108"/>
      <c r="C288" s="11"/>
      <c r="D288" s="11"/>
      <c r="E288" s="10"/>
      <c r="F288" s="109"/>
      <c r="G288" s="109"/>
      <c r="H288" s="27" t="str">
        <f t="shared" si="69"/>
        <v/>
      </c>
      <c r="I288" s="11" t="s">
        <v>253</v>
      </c>
      <c r="J288" s="27" t="str">
        <f t="shared" si="57"/>
        <v/>
      </c>
      <c r="K288" s="27">
        <v>0</v>
      </c>
      <c r="L288" s="11"/>
      <c r="M288" s="11"/>
      <c r="N288" s="10"/>
      <c r="O288" s="11"/>
      <c r="P288" s="10"/>
      <c r="Q288" s="26" t="str">
        <f t="shared" si="58"/>
        <v/>
      </c>
      <c r="R288" s="27" t="str">
        <f t="shared" si="59"/>
        <v/>
      </c>
      <c r="S288" s="27" t="str">
        <f t="shared" si="60"/>
        <v/>
      </c>
      <c r="T288" s="26" t="str">
        <f t="shared" si="61"/>
        <v/>
      </c>
      <c r="U288" s="27" t="str">
        <f t="shared" si="62"/>
        <v/>
      </c>
      <c r="V288" s="27" t="str">
        <f t="shared" si="63"/>
        <v/>
      </c>
      <c r="W288" s="26" t="str">
        <f t="shared" si="64"/>
        <v/>
      </c>
      <c r="X288" s="27" t="str">
        <f t="shared" si="65"/>
        <v/>
      </c>
      <c r="Y288" s="27" t="str">
        <f t="shared" si="66"/>
        <v/>
      </c>
      <c r="Z288" s="43"/>
      <c r="AA288" s="107"/>
      <c r="AB288" s="76" t="str">
        <f t="shared" si="67"/>
        <v/>
      </c>
      <c r="AC288" s="74" t="str">
        <f t="shared" si="68"/>
        <v/>
      </c>
    </row>
    <row r="289" ht="18" customHeight="1" spans="1:29">
      <c r="A289" s="32" t="str">
        <f t="shared" si="56"/>
        <v/>
      </c>
      <c r="B289" s="108"/>
      <c r="C289" s="11"/>
      <c r="D289" s="11"/>
      <c r="E289" s="10"/>
      <c r="F289" s="109"/>
      <c r="G289" s="109"/>
      <c r="H289" s="27" t="str">
        <f t="shared" si="69"/>
        <v/>
      </c>
      <c r="I289" s="11" t="s">
        <v>253</v>
      </c>
      <c r="J289" s="27" t="str">
        <f t="shared" si="57"/>
        <v/>
      </c>
      <c r="K289" s="27">
        <v>0</v>
      </c>
      <c r="L289" s="11"/>
      <c r="M289" s="11"/>
      <c r="N289" s="10"/>
      <c r="O289" s="11"/>
      <c r="P289" s="10"/>
      <c r="Q289" s="26" t="str">
        <f t="shared" si="58"/>
        <v/>
      </c>
      <c r="R289" s="27" t="str">
        <f t="shared" si="59"/>
        <v/>
      </c>
      <c r="S289" s="27" t="str">
        <f t="shared" si="60"/>
        <v/>
      </c>
      <c r="T289" s="26" t="str">
        <f t="shared" si="61"/>
        <v/>
      </c>
      <c r="U289" s="27" t="str">
        <f t="shared" si="62"/>
        <v/>
      </c>
      <c r="V289" s="27" t="str">
        <f t="shared" si="63"/>
        <v/>
      </c>
      <c r="W289" s="26" t="str">
        <f t="shared" si="64"/>
        <v/>
      </c>
      <c r="X289" s="27" t="str">
        <f t="shared" si="65"/>
        <v/>
      </c>
      <c r="Y289" s="27" t="str">
        <f t="shared" si="66"/>
        <v/>
      </c>
      <c r="Z289" s="43"/>
      <c r="AA289" s="107"/>
      <c r="AB289" s="76" t="str">
        <f t="shared" si="67"/>
        <v/>
      </c>
      <c r="AC289" s="74" t="str">
        <f t="shared" si="68"/>
        <v/>
      </c>
    </row>
    <row r="290" ht="18" customHeight="1" spans="1:29">
      <c r="A290" s="32" t="str">
        <f t="shared" si="56"/>
        <v/>
      </c>
      <c r="B290" s="108"/>
      <c r="C290" s="11"/>
      <c r="D290" s="11"/>
      <c r="E290" s="10"/>
      <c r="F290" s="109"/>
      <c r="G290" s="109"/>
      <c r="H290" s="27" t="str">
        <f t="shared" si="69"/>
        <v/>
      </c>
      <c r="I290" s="11" t="s">
        <v>253</v>
      </c>
      <c r="J290" s="27" t="str">
        <f t="shared" si="57"/>
        <v/>
      </c>
      <c r="K290" s="27">
        <v>0</v>
      </c>
      <c r="L290" s="11"/>
      <c r="M290" s="11"/>
      <c r="N290" s="10"/>
      <c r="O290" s="11"/>
      <c r="P290" s="10"/>
      <c r="Q290" s="26" t="str">
        <f t="shared" si="58"/>
        <v/>
      </c>
      <c r="R290" s="27" t="str">
        <f t="shared" si="59"/>
        <v/>
      </c>
      <c r="S290" s="27" t="str">
        <f t="shared" si="60"/>
        <v/>
      </c>
      <c r="T290" s="26" t="str">
        <f t="shared" si="61"/>
        <v/>
      </c>
      <c r="U290" s="27" t="str">
        <f t="shared" si="62"/>
        <v/>
      </c>
      <c r="V290" s="27" t="str">
        <f t="shared" si="63"/>
        <v/>
      </c>
      <c r="W290" s="26" t="str">
        <f t="shared" si="64"/>
        <v/>
      </c>
      <c r="X290" s="27" t="str">
        <f t="shared" si="65"/>
        <v/>
      </c>
      <c r="Y290" s="27" t="str">
        <f t="shared" si="66"/>
        <v/>
      </c>
      <c r="Z290" s="43"/>
      <c r="AA290" s="107"/>
      <c r="AB290" s="76" t="str">
        <f t="shared" si="67"/>
        <v/>
      </c>
      <c r="AC290" s="74" t="str">
        <f t="shared" si="68"/>
        <v/>
      </c>
    </row>
    <row r="291" ht="18" customHeight="1" spans="1:29">
      <c r="A291" s="32" t="str">
        <f t="shared" si="56"/>
        <v/>
      </c>
      <c r="B291" s="108"/>
      <c r="C291" s="11"/>
      <c r="D291" s="11"/>
      <c r="E291" s="10"/>
      <c r="F291" s="109"/>
      <c r="G291" s="109"/>
      <c r="H291" s="27" t="str">
        <f t="shared" si="69"/>
        <v/>
      </c>
      <c r="I291" s="11" t="s">
        <v>253</v>
      </c>
      <c r="J291" s="27" t="str">
        <f t="shared" si="57"/>
        <v/>
      </c>
      <c r="K291" s="27">
        <v>0</v>
      </c>
      <c r="L291" s="11"/>
      <c r="M291" s="11"/>
      <c r="N291" s="10"/>
      <c r="O291" s="11"/>
      <c r="P291" s="10"/>
      <c r="Q291" s="26" t="str">
        <f t="shared" si="58"/>
        <v/>
      </c>
      <c r="R291" s="27" t="str">
        <f t="shared" si="59"/>
        <v/>
      </c>
      <c r="S291" s="27" t="str">
        <f t="shared" si="60"/>
        <v/>
      </c>
      <c r="T291" s="26" t="str">
        <f t="shared" si="61"/>
        <v/>
      </c>
      <c r="U291" s="27" t="str">
        <f t="shared" si="62"/>
        <v/>
      </c>
      <c r="V291" s="27" t="str">
        <f t="shared" si="63"/>
        <v/>
      </c>
      <c r="W291" s="26" t="str">
        <f t="shared" si="64"/>
        <v/>
      </c>
      <c r="X291" s="27" t="str">
        <f t="shared" si="65"/>
        <v/>
      </c>
      <c r="Y291" s="27" t="str">
        <f t="shared" si="66"/>
        <v/>
      </c>
      <c r="Z291" s="43"/>
      <c r="AA291" s="107"/>
      <c r="AB291" s="76" t="str">
        <f t="shared" si="67"/>
        <v/>
      </c>
      <c r="AC291" s="74" t="str">
        <f t="shared" si="68"/>
        <v/>
      </c>
    </row>
    <row r="292" ht="18" customHeight="1" spans="1:29">
      <c r="A292" s="32" t="str">
        <f t="shared" si="56"/>
        <v/>
      </c>
      <c r="B292" s="108"/>
      <c r="C292" s="11"/>
      <c r="D292" s="11"/>
      <c r="E292" s="10"/>
      <c r="F292" s="109"/>
      <c r="G292" s="109"/>
      <c r="H292" s="27" t="str">
        <f t="shared" si="69"/>
        <v/>
      </c>
      <c r="I292" s="11" t="s">
        <v>253</v>
      </c>
      <c r="J292" s="27" t="str">
        <f t="shared" si="57"/>
        <v/>
      </c>
      <c r="K292" s="27">
        <v>0</v>
      </c>
      <c r="L292" s="11"/>
      <c r="M292" s="11"/>
      <c r="N292" s="10"/>
      <c r="O292" s="11"/>
      <c r="P292" s="10"/>
      <c r="Q292" s="26" t="str">
        <f t="shared" si="58"/>
        <v/>
      </c>
      <c r="R292" s="27" t="str">
        <f t="shared" si="59"/>
        <v/>
      </c>
      <c r="S292" s="27" t="str">
        <f t="shared" si="60"/>
        <v/>
      </c>
      <c r="T292" s="26" t="str">
        <f t="shared" si="61"/>
        <v/>
      </c>
      <c r="U292" s="27" t="str">
        <f t="shared" si="62"/>
        <v/>
      </c>
      <c r="V292" s="27" t="str">
        <f t="shared" si="63"/>
        <v/>
      </c>
      <c r="W292" s="26" t="str">
        <f t="shared" si="64"/>
        <v/>
      </c>
      <c r="X292" s="27" t="str">
        <f t="shared" si="65"/>
        <v/>
      </c>
      <c r="Y292" s="27" t="str">
        <f t="shared" si="66"/>
        <v/>
      </c>
      <c r="Z292" s="43"/>
      <c r="AA292" s="107"/>
      <c r="AB292" s="76" t="str">
        <f t="shared" si="67"/>
        <v/>
      </c>
      <c r="AC292" s="74" t="str">
        <f t="shared" si="68"/>
        <v/>
      </c>
    </row>
    <row r="293" ht="18" customHeight="1" spans="1:29">
      <c r="A293" s="32" t="str">
        <f t="shared" si="56"/>
        <v/>
      </c>
      <c r="B293" s="108"/>
      <c r="C293" s="11"/>
      <c r="D293" s="11"/>
      <c r="E293" s="10"/>
      <c r="F293" s="109"/>
      <c r="G293" s="109"/>
      <c r="H293" s="27" t="str">
        <f t="shared" si="69"/>
        <v/>
      </c>
      <c r="I293" s="11" t="s">
        <v>253</v>
      </c>
      <c r="J293" s="27" t="str">
        <f t="shared" si="57"/>
        <v/>
      </c>
      <c r="K293" s="27">
        <v>0</v>
      </c>
      <c r="L293" s="11"/>
      <c r="M293" s="11"/>
      <c r="N293" s="10"/>
      <c r="O293" s="11"/>
      <c r="P293" s="10"/>
      <c r="Q293" s="26" t="str">
        <f t="shared" si="58"/>
        <v/>
      </c>
      <c r="R293" s="27" t="str">
        <f t="shared" si="59"/>
        <v/>
      </c>
      <c r="S293" s="27" t="str">
        <f t="shared" si="60"/>
        <v/>
      </c>
      <c r="T293" s="26" t="str">
        <f t="shared" si="61"/>
        <v/>
      </c>
      <c r="U293" s="27" t="str">
        <f t="shared" si="62"/>
        <v/>
      </c>
      <c r="V293" s="27" t="str">
        <f t="shared" si="63"/>
        <v/>
      </c>
      <c r="W293" s="26" t="str">
        <f t="shared" si="64"/>
        <v/>
      </c>
      <c r="X293" s="27" t="str">
        <f t="shared" si="65"/>
        <v/>
      </c>
      <c r="Y293" s="27" t="str">
        <f t="shared" si="66"/>
        <v/>
      </c>
      <c r="Z293" s="43"/>
      <c r="AA293" s="107"/>
      <c r="AB293" s="76" t="str">
        <f t="shared" si="67"/>
        <v/>
      </c>
      <c r="AC293" s="74" t="str">
        <f t="shared" si="68"/>
        <v/>
      </c>
    </row>
    <row r="294" ht="18" customHeight="1" spans="1:29">
      <c r="A294" s="32" t="str">
        <f t="shared" si="56"/>
        <v/>
      </c>
      <c r="B294" s="108"/>
      <c r="C294" s="11"/>
      <c r="D294" s="11"/>
      <c r="E294" s="10"/>
      <c r="F294" s="109"/>
      <c r="G294" s="109"/>
      <c r="H294" s="27" t="str">
        <f t="shared" si="69"/>
        <v/>
      </c>
      <c r="I294" s="11" t="s">
        <v>253</v>
      </c>
      <c r="J294" s="27" t="str">
        <f t="shared" si="57"/>
        <v/>
      </c>
      <c r="K294" s="27">
        <v>0</v>
      </c>
      <c r="L294" s="11"/>
      <c r="M294" s="11"/>
      <c r="N294" s="10"/>
      <c r="O294" s="11"/>
      <c r="P294" s="10"/>
      <c r="Q294" s="26" t="str">
        <f t="shared" si="58"/>
        <v/>
      </c>
      <c r="R294" s="27" t="str">
        <f t="shared" si="59"/>
        <v/>
      </c>
      <c r="S294" s="27" t="str">
        <f t="shared" si="60"/>
        <v/>
      </c>
      <c r="T294" s="26" t="str">
        <f t="shared" si="61"/>
        <v/>
      </c>
      <c r="U294" s="27" t="str">
        <f t="shared" si="62"/>
        <v/>
      </c>
      <c r="V294" s="27" t="str">
        <f t="shared" si="63"/>
        <v/>
      </c>
      <c r="W294" s="26" t="str">
        <f t="shared" si="64"/>
        <v/>
      </c>
      <c r="X294" s="27" t="str">
        <f t="shared" si="65"/>
        <v/>
      </c>
      <c r="Y294" s="27" t="str">
        <f t="shared" si="66"/>
        <v/>
      </c>
      <c r="Z294" s="43"/>
      <c r="AA294" s="107"/>
      <c r="AB294" s="76" t="str">
        <f t="shared" si="67"/>
        <v/>
      </c>
      <c r="AC294" s="74" t="str">
        <f t="shared" si="68"/>
        <v/>
      </c>
    </row>
    <row r="295" ht="18" customHeight="1" spans="1:29">
      <c r="A295" s="32" t="str">
        <f t="shared" si="56"/>
        <v/>
      </c>
      <c r="B295" s="108"/>
      <c r="C295" s="11"/>
      <c r="D295" s="11"/>
      <c r="E295" s="10"/>
      <c r="F295" s="109"/>
      <c r="G295" s="109"/>
      <c r="H295" s="27" t="str">
        <f t="shared" si="69"/>
        <v/>
      </c>
      <c r="I295" s="11" t="s">
        <v>253</v>
      </c>
      <c r="J295" s="27" t="str">
        <f t="shared" si="57"/>
        <v/>
      </c>
      <c r="K295" s="27">
        <v>0</v>
      </c>
      <c r="L295" s="11"/>
      <c r="M295" s="11"/>
      <c r="N295" s="10"/>
      <c r="O295" s="11"/>
      <c r="P295" s="10"/>
      <c r="Q295" s="26" t="str">
        <f t="shared" si="58"/>
        <v/>
      </c>
      <c r="R295" s="27" t="str">
        <f t="shared" si="59"/>
        <v/>
      </c>
      <c r="S295" s="27" t="str">
        <f t="shared" si="60"/>
        <v/>
      </c>
      <c r="T295" s="26" t="str">
        <f t="shared" si="61"/>
        <v/>
      </c>
      <c r="U295" s="27" t="str">
        <f t="shared" si="62"/>
        <v/>
      </c>
      <c r="V295" s="27" t="str">
        <f t="shared" si="63"/>
        <v/>
      </c>
      <c r="W295" s="26" t="str">
        <f t="shared" si="64"/>
        <v/>
      </c>
      <c r="X295" s="27" t="str">
        <f t="shared" si="65"/>
        <v/>
      </c>
      <c r="Y295" s="27" t="str">
        <f t="shared" si="66"/>
        <v/>
      </c>
      <c r="Z295" s="43"/>
      <c r="AA295" s="107"/>
      <c r="AB295" s="76" t="str">
        <f t="shared" si="67"/>
        <v/>
      </c>
      <c r="AC295" s="74" t="str">
        <f t="shared" si="68"/>
        <v/>
      </c>
    </row>
    <row r="296" ht="18" customHeight="1" spans="1:29">
      <c r="A296" s="32" t="str">
        <f t="shared" si="56"/>
        <v/>
      </c>
      <c r="B296" s="108"/>
      <c r="C296" s="11"/>
      <c r="D296" s="11"/>
      <c r="E296" s="10"/>
      <c r="F296" s="109"/>
      <c r="G296" s="109"/>
      <c r="H296" s="27" t="str">
        <f t="shared" si="69"/>
        <v/>
      </c>
      <c r="I296" s="11" t="s">
        <v>253</v>
      </c>
      <c r="J296" s="27" t="str">
        <f t="shared" si="57"/>
        <v/>
      </c>
      <c r="K296" s="27">
        <v>0</v>
      </c>
      <c r="L296" s="11"/>
      <c r="M296" s="11"/>
      <c r="N296" s="10"/>
      <c r="O296" s="11"/>
      <c r="P296" s="10"/>
      <c r="Q296" s="26" t="str">
        <f t="shared" si="58"/>
        <v/>
      </c>
      <c r="R296" s="27" t="str">
        <f t="shared" si="59"/>
        <v/>
      </c>
      <c r="S296" s="27" t="str">
        <f t="shared" si="60"/>
        <v/>
      </c>
      <c r="T296" s="26" t="str">
        <f t="shared" si="61"/>
        <v/>
      </c>
      <c r="U296" s="27" t="str">
        <f t="shared" si="62"/>
        <v/>
      </c>
      <c r="V296" s="27" t="str">
        <f t="shared" si="63"/>
        <v/>
      </c>
      <c r="W296" s="26" t="str">
        <f t="shared" si="64"/>
        <v/>
      </c>
      <c r="X296" s="27" t="str">
        <f t="shared" si="65"/>
        <v/>
      </c>
      <c r="Y296" s="27" t="str">
        <f t="shared" si="66"/>
        <v/>
      </c>
      <c r="Z296" s="43"/>
      <c r="AA296" s="107"/>
      <c r="AB296" s="76" t="str">
        <f t="shared" si="67"/>
        <v/>
      </c>
      <c r="AC296" s="74" t="str">
        <f t="shared" si="68"/>
        <v/>
      </c>
    </row>
    <row r="297" ht="18" customHeight="1" spans="1:29">
      <c r="A297" s="32" t="str">
        <f t="shared" si="56"/>
        <v/>
      </c>
      <c r="B297" s="108"/>
      <c r="C297" s="11"/>
      <c r="D297" s="11"/>
      <c r="E297" s="10"/>
      <c r="F297" s="109"/>
      <c r="G297" s="109"/>
      <c r="H297" s="27" t="str">
        <f t="shared" si="69"/>
        <v/>
      </c>
      <c r="I297" s="11" t="s">
        <v>253</v>
      </c>
      <c r="J297" s="27" t="str">
        <f t="shared" si="57"/>
        <v/>
      </c>
      <c r="K297" s="27">
        <v>0</v>
      </c>
      <c r="L297" s="11"/>
      <c r="M297" s="11"/>
      <c r="N297" s="10"/>
      <c r="O297" s="11"/>
      <c r="P297" s="10"/>
      <c r="Q297" s="26" t="str">
        <f t="shared" si="58"/>
        <v/>
      </c>
      <c r="R297" s="27" t="str">
        <f t="shared" si="59"/>
        <v/>
      </c>
      <c r="S297" s="27" t="str">
        <f t="shared" si="60"/>
        <v/>
      </c>
      <c r="T297" s="26" t="str">
        <f t="shared" si="61"/>
        <v/>
      </c>
      <c r="U297" s="27" t="str">
        <f t="shared" si="62"/>
        <v/>
      </c>
      <c r="V297" s="27" t="str">
        <f t="shared" si="63"/>
        <v/>
      </c>
      <c r="W297" s="26" t="str">
        <f t="shared" si="64"/>
        <v/>
      </c>
      <c r="X297" s="27" t="str">
        <f t="shared" si="65"/>
        <v/>
      </c>
      <c r="Y297" s="27" t="str">
        <f t="shared" si="66"/>
        <v/>
      </c>
      <c r="Z297" s="43"/>
      <c r="AA297" s="107"/>
      <c r="AB297" s="76" t="str">
        <f t="shared" si="67"/>
        <v/>
      </c>
      <c r="AC297" s="74" t="str">
        <f t="shared" si="68"/>
        <v/>
      </c>
    </row>
    <row r="298" ht="18" customHeight="1" spans="1:29">
      <c r="A298" s="32" t="str">
        <f t="shared" si="56"/>
        <v/>
      </c>
      <c r="B298" s="108"/>
      <c r="C298" s="11"/>
      <c r="D298" s="11"/>
      <c r="E298" s="10"/>
      <c r="F298" s="109"/>
      <c r="G298" s="109"/>
      <c r="H298" s="27" t="str">
        <f t="shared" si="69"/>
        <v/>
      </c>
      <c r="I298" s="11" t="s">
        <v>253</v>
      </c>
      <c r="J298" s="27" t="str">
        <f t="shared" si="57"/>
        <v/>
      </c>
      <c r="K298" s="27">
        <v>0</v>
      </c>
      <c r="L298" s="11"/>
      <c r="M298" s="11"/>
      <c r="N298" s="10"/>
      <c r="O298" s="11"/>
      <c r="P298" s="10"/>
      <c r="Q298" s="26" t="str">
        <f t="shared" si="58"/>
        <v/>
      </c>
      <c r="R298" s="27" t="str">
        <f t="shared" si="59"/>
        <v/>
      </c>
      <c r="S298" s="27" t="str">
        <f t="shared" si="60"/>
        <v/>
      </c>
      <c r="T298" s="26" t="str">
        <f t="shared" si="61"/>
        <v/>
      </c>
      <c r="U298" s="27" t="str">
        <f t="shared" si="62"/>
        <v/>
      </c>
      <c r="V298" s="27" t="str">
        <f t="shared" si="63"/>
        <v/>
      </c>
      <c r="W298" s="26" t="str">
        <f t="shared" si="64"/>
        <v/>
      </c>
      <c r="X298" s="27" t="str">
        <f t="shared" si="65"/>
        <v/>
      </c>
      <c r="Y298" s="27" t="str">
        <f t="shared" si="66"/>
        <v/>
      </c>
      <c r="Z298" s="43"/>
      <c r="AA298" s="107"/>
      <c r="AB298" s="76" t="str">
        <f t="shared" si="67"/>
        <v/>
      </c>
      <c r="AC298" s="74" t="str">
        <f t="shared" si="68"/>
        <v/>
      </c>
    </row>
    <row r="299" ht="18" customHeight="1" spans="1:29">
      <c r="A299" s="32" t="str">
        <f t="shared" si="56"/>
        <v/>
      </c>
      <c r="B299" s="108"/>
      <c r="C299" s="11"/>
      <c r="D299" s="11"/>
      <c r="E299" s="10"/>
      <c r="F299" s="109"/>
      <c r="G299" s="109"/>
      <c r="H299" s="27" t="str">
        <f t="shared" si="69"/>
        <v/>
      </c>
      <c r="I299" s="11" t="s">
        <v>253</v>
      </c>
      <c r="J299" s="27" t="str">
        <f t="shared" si="57"/>
        <v/>
      </c>
      <c r="K299" s="27">
        <v>0</v>
      </c>
      <c r="L299" s="11"/>
      <c r="M299" s="11"/>
      <c r="N299" s="10"/>
      <c r="O299" s="11"/>
      <c r="P299" s="10"/>
      <c r="Q299" s="26" t="str">
        <f t="shared" si="58"/>
        <v/>
      </c>
      <c r="R299" s="27" t="str">
        <f t="shared" si="59"/>
        <v/>
      </c>
      <c r="S299" s="27" t="str">
        <f t="shared" si="60"/>
        <v/>
      </c>
      <c r="T299" s="26" t="str">
        <f t="shared" si="61"/>
        <v/>
      </c>
      <c r="U299" s="27" t="str">
        <f t="shared" si="62"/>
        <v/>
      </c>
      <c r="V299" s="27" t="str">
        <f t="shared" si="63"/>
        <v/>
      </c>
      <c r="W299" s="26" t="str">
        <f t="shared" si="64"/>
        <v/>
      </c>
      <c r="X299" s="27" t="str">
        <f t="shared" si="65"/>
        <v/>
      </c>
      <c r="Y299" s="27" t="str">
        <f t="shared" si="66"/>
        <v/>
      </c>
      <c r="Z299" s="43"/>
      <c r="AA299" s="107"/>
      <c r="AB299" s="76" t="str">
        <f t="shared" si="67"/>
        <v/>
      </c>
      <c r="AC299" s="74" t="str">
        <f t="shared" si="68"/>
        <v/>
      </c>
    </row>
    <row r="300" ht="18" customHeight="1" spans="1:29">
      <c r="A300" s="32" t="str">
        <f t="shared" si="56"/>
        <v/>
      </c>
      <c r="B300" s="108"/>
      <c r="C300" s="11"/>
      <c r="D300" s="11"/>
      <c r="E300" s="10"/>
      <c r="F300" s="109"/>
      <c r="G300" s="109"/>
      <c r="H300" s="27" t="str">
        <f t="shared" si="69"/>
        <v/>
      </c>
      <c r="I300" s="11" t="s">
        <v>253</v>
      </c>
      <c r="J300" s="27" t="str">
        <f t="shared" si="57"/>
        <v/>
      </c>
      <c r="K300" s="27">
        <v>0</v>
      </c>
      <c r="L300" s="11"/>
      <c r="M300" s="11"/>
      <c r="N300" s="10"/>
      <c r="O300" s="11"/>
      <c r="P300" s="10"/>
      <c r="Q300" s="26" t="str">
        <f t="shared" si="58"/>
        <v/>
      </c>
      <c r="R300" s="27" t="str">
        <f t="shared" si="59"/>
        <v/>
      </c>
      <c r="S300" s="27" t="str">
        <f t="shared" si="60"/>
        <v/>
      </c>
      <c r="T300" s="26" t="str">
        <f t="shared" si="61"/>
        <v/>
      </c>
      <c r="U300" s="27" t="str">
        <f t="shared" si="62"/>
        <v/>
      </c>
      <c r="V300" s="27" t="str">
        <f t="shared" si="63"/>
        <v/>
      </c>
      <c r="W300" s="26" t="str">
        <f t="shared" si="64"/>
        <v/>
      </c>
      <c r="X300" s="27" t="str">
        <f t="shared" si="65"/>
        <v/>
      </c>
      <c r="Y300" s="27" t="str">
        <f t="shared" si="66"/>
        <v/>
      </c>
      <c r="Z300" s="43"/>
      <c r="AA300" s="107"/>
      <c r="AB300" s="76" t="str">
        <f t="shared" si="67"/>
        <v/>
      </c>
      <c r="AC300" s="74" t="str">
        <f t="shared" si="68"/>
        <v/>
      </c>
    </row>
    <row r="301" ht="18" customHeight="1" spans="1:29">
      <c r="A301" s="32" t="str">
        <f t="shared" si="56"/>
        <v/>
      </c>
      <c r="B301" s="108"/>
      <c r="C301" s="11"/>
      <c r="D301" s="11"/>
      <c r="E301" s="10"/>
      <c r="F301" s="109"/>
      <c r="G301" s="109"/>
      <c r="H301" s="27" t="str">
        <f t="shared" si="69"/>
        <v/>
      </c>
      <c r="I301" s="11" t="s">
        <v>253</v>
      </c>
      <c r="J301" s="27" t="str">
        <f t="shared" si="57"/>
        <v/>
      </c>
      <c r="K301" s="27">
        <v>0</v>
      </c>
      <c r="L301" s="11"/>
      <c r="M301" s="11"/>
      <c r="N301" s="10"/>
      <c r="O301" s="11"/>
      <c r="P301" s="10"/>
      <c r="Q301" s="26" t="str">
        <f t="shared" si="58"/>
        <v/>
      </c>
      <c r="R301" s="27" t="str">
        <f t="shared" si="59"/>
        <v/>
      </c>
      <c r="S301" s="27" t="str">
        <f t="shared" si="60"/>
        <v/>
      </c>
      <c r="T301" s="26" t="str">
        <f t="shared" si="61"/>
        <v/>
      </c>
      <c r="U301" s="27" t="str">
        <f t="shared" si="62"/>
        <v/>
      </c>
      <c r="V301" s="27" t="str">
        <f t="shared" si="63"/>
        <v/>
      </c>
      <c r="W301" s="26" t="str">
        <f t="shared" si="64"/>
        <v/>
      </c>
      <c r="X301" s="27" t="str">
        <f t="shared" si="65"/>
        <v/>
      </c>
      <c r="Y301" s="27" t="str">
        <f t="shared" si="66"/>
        <v/>
      </c>
      <c r="Z301" s="43"/>
      <c r="AA301" s="107"/>
      <c r="AB301" s="76" t="str">
        <f t="shared" si="67"/>
        <v/>
      </c>
      <c r="AC301" s="74" t="str">
        <f t="shared" si="68"/>
        <v/>
      </c>
    </row>
    <row r="302" ht="18" customHeight="1" spans="1:29">
      <c r="A302" s="32" t="str">
        <f t="shared" si="56"/>
        <v/>
      </c>
      <c r="B302" s="108"/>
      <c r="C302" s="11"/>
      <c r="D302" s="11"/>
      <c r="E302" s="10"/>
      <c r="F302" s="109"/>
      <c r="G302" s="109"/>
      <c r="H302" s="27" t="str">
        <f t="shared" si="69"/>
        <v/>
      </c>
      <c r="I302" s="11" t="s">
        <v>253</v>
      </c>
      <c r="J302" s="27" t="str">
        <f t="shared" si="57"/>
        <v/>
      </c>
      <c r="K302" s="27">
        <v>0</v>
      </c>
      <c r="L302" s="11"/>
      <c r="M302" s="11"/>
      <c r="N302" s="10"/>
      <c r="O302" s="11"/>
      <c r="P302" s="10"/>
      <c r="Q302" s="26" t="str">
        <f t="shared" si="58"/>
        <v/>
      </c>
      <c r="R302" s="27" t="str">
        <f t="shared" si="59"/>
        <v/>
      </c>
      <c r="S302" s="27" t="str">
        <f t="shared" si="60"/>
        <v/>
      </c>
      <c r="T302" s="26" t="str">
        <f t="shared" si="61"/>
        <v/>
      </c>
      <c r="U302" s="27" t="str">
        <f t="shared" si="62"/>
        <v/>
      </c>
      <c r="V302" s="27" t="str">
        <f t="shared" si="63"/>
        <v/>
      </c>
      <c r="W302" s="26" t="str">
        <f t="shared" si="64"/>
        <v/>
      </c>
      <c r="X302" s="27" t="str">
        <f t="shared" si="65"/>
        <v/>
      </c>
      <c r="Y302" s="27" t="str">
        <f t="shared" si="66"/>
        <v/>
      </c>
      <c r="Z302" s="43"/>
      <c r="AA302" s="107"/>
      <c r="AB302" s="76" t="str">
        <f t="shared" si="67"/>
        <v/>
      </c>
      <c r="AC302" s="74" t="str">
        <f t="shared" si="68"/>
        <v/>
      </c>
    </row>
    <row r="303" ht="18" customHeight="1" spans="1:29">
      <c r="A303" s="32" t="str">
        <f t="shared" si="56"/>
        <v/>
      </c>
      <c r="B303" s="108"/>
      <c r="C303" s="11"/>
      <c r="D303" s="11"/>
      <c r="E303" s="10"/>
      <c r="F303" s="109"/>
      <c r="G303" s="109"/>
      <c r="H303" s="27" t="str">
        <f t="shared" si="69"/>
        <v/>
      </c>
      <c r="I303" s="11" t="s">
        <v>253</v>
      </c>
      <c r="J303" s="27" t="str">
        <f t="shared" si="57"/>
        <v/>
      </c>
      <c r="K303" s="27">
        <v>0</v>
      </c>
      <c r="L303" s="11"/>
      <c r="M303" s="11"/>
      <c r="N303" s="10"/>
      <c r="O303" s="11"/>
      <c r="P303" s="10"/>
      <c r="Q303" s="26" t="str">
        <f t="shared" si="58"/>
        <v/>
      </c>
      <c r="R303" s="27" t="str">
        <f t="shared" si="59"/>
        <v/>
      </c>
      <c r="S303" s="27" t="str">
        <f t="shared" si="60"/>
        <v/>
      </c>
      <c r="T303" s="26" t="str">
        <f t="shared" si="61"/>
        <v/>
      </c>
      <c r="U303" s="27" t="str">
        <f t="shared" si="62"/>
        <v/>
      </c>
      <c r="V303" s="27" t="str">
        <f t="shared" si="63"/>
        <v/>
      </c>
      <c r="W303" s="26" t="str">
        <f t="shared" si="64"/>
        <v/>
      </c>
      <c r="X303" s="27" t="str">
        <f t="shared" si="65"/>
        <v/>
      </c>
      <c r="Y303" s="27" t="str">
        <f t="shared" si="66"/>
        <v/>
      </c>
      <c r="Z303" s="43"/>
      <c r="AA303" s="107"/>
      <c r="AB303" s="76" t="str">
        <f t="shared" si="67"/>
        <v/>
      </c>
      <c r="AC303" s="74" t="str">
        <f t="shared" si="68"/>
        <v/>
      </c>
    </row>
    <row r="304" ht="16.5" customHeight="1" spans="1:29">
      <c r="A304" s="28"/>
      <c r="B304" s="28"/>
      <c r="C304" s="28"/>
      <c r="D304" s="29" t="s">
        <v>220</v>
      </c>
      <c r="E304" s="28"/>
      <c r="F304" s="28"/>
      <c r="G304" s="28"/>
      <c r="H304" s="30">
        <f>ROUND(SUM(H4:H303),2)</f>
        <v>0</v>
      </c>
      <c r="I304" s="28"/>
      <c r="J304" s="30">
        <f>ROUND(SUM(J4:J303),2)</f>
        <v>0</v>
      </c>
      <c r="K304" s="30">
        <f>ROUND(SUM(K4:K303),2)</f>
        <v>0</v>
      </c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</sheetData>
  <autoFilter xmlns:etc="http://www.wps.cn/officeDocument/2017/etCustomData" ref="A3:Y304" etc:filterBottomFollowUsedRange="0">
    <extLst/>
  </autoFilter>
  <mergeCells count="2">
    <mergeCell ref="A1:Y1"/>
    <mergeCell ref="A2:Y2"/>
  </mergeCells>
  <dataValidations count="7">
    <dataValidation type="list" allowBlank="1" sqref="C4:C303">
      <formula1>科目表!$I$4:$I$140</formula1>
    </dataValidation>
    <dataValidation type="list" allowBlank="1" sqref="D4:D303">
      <formula1>科目表!$M$4:$M$123</formula1>
    </dataValidation>
    <dataValidation type="list" allowBlank="1" sqref="I4:I303">
      <formula1>科目表!$O$4:$O$140</formula1>
    </dataValidation>
    <dataValidation type="list" allowBlank="1" sqref="L4:L303">
      <formula1>科目表!$B$4:$B$81</formula1>
    </dataValidation>
    <dataValidation type="list" allowBlank="1" sqref="M4:M303">
      <formula1>科目表!$N$4:$N$140</formula1>
    </dataValidation>
    <dataValidation type="list" allowBlank="1" sqref="O4:O303">
      <formula1>科目表!$P$4:$P$140</formula1>
    </dataValidation>
    <dataValidation type="list" allowBlank="1" sqref="Z4:Z303">
      <formula1>"已付清,部分付款,未付款,无需付款"</formula1>
    </dataValidation>
  </dataValidations>
  <pageMargins left="0.3" right="0.3" top="0.4" bottom="0.4" header="0.5" footer="0.5"/>
  <pageSetup paperSize="9" fitToHeight="0" orientation="landscape"/>
  <headerFooter>
    <oddFooter>&amp;L&amp;A&amp;R第 &amp;P 页 / 共 &amp;N 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DC3E6"/>
  </sheetPr>
  <dimension ref="A1:K303"/>
  <sheetViews>
    <sheetView workbookViewId="0">
      <pane ySplit="3" topLeftCell="A4" activePane="bottomLeft" state="frozen"/>
      <selection/>
      <selection pane="bottomLeft" activeCell="A1" sqref="A1:K1"/>
    </sheetView>
  </sheetViews>
  <sheetFormatPr defaultColWidth="9" defaultRowHeight="13.5"/>
  <cols>
    <col min="1" max="1" width="6" customWidth="1"/>
    <col min="2" max="2" width="12" customWidth="1"/>
    <col min="3" max="3" width="16" customWidth="1"/>
    <col min="4" max="4" width="22" customWidth="1"/>
    <col min="5" max="5" width="8" customWidth="1"/>
    <col min="6" max="6" width="11" customWidth="1"/>
    <col min="7" max="7" width="10" customWidth="1"/>
    <col min="8" max="8" width="14" customWidth="1"/>
    <col min="9" max="9" width="13" customWidth="1"/>
    <col min="10" max="10" width="20" customWidth="1"/>
    <col min="11" max="11" width="14" customWidth="1"/>
  </cols>
  <sheetData>
    <row r="1" ht="30" customHeight="1" spans="1:11">
      <c r="A1" s="71" t="s">
        <v>625</v>
      </c>
    </row>
    <row r="2" ht="18" customHeight="1" spans="1:11">
      <c r="A2" s="72" t="s">
        <v>626</v>
      </c>
    </row>
    <row r="3" ht="30" customHeight="1" spans="1:11">
      <c r="A3" s="73" t="s">
        <v>3</v>
      </c>
      <c r="B3" s="73" t="s">
        <v>602</v>
      </c>
      <c r="C3" s="73" t="s">
        <v>371</v>
      </c>
      <c r="D3" s="73" t="s">
        <v>603</v>
      </c>
      <c r="E3" s="73" t="s">
        <v>627</v>
      </c>
      <c r="F3" s="73" t="s">
        <v>616</v>
      </c>
      <c r="G3" s="73" t="s">
        <v>617</v>
      </c>
      <c r="H3" s="73" t="s">
        <v>232</v>
      </c>
      <c r="I3" s="73" t="s">
        <v>628</v>
      </c>
      <c r="J3" s="73" t="s">
        <v>172</v>
      </c>
      <c r="K3" s="73" t="s">
        <v>629</v>
      </c>
    </row>
    <row r="4" spans="1:11">
      <c r="A4" s="74" t="str">
        <f t="shared" ref="A4:A67" si="0">IF($C4="","",ROW()-3)</f>
        <v/>
      </c>
      <c r="B4" s="7"/>
      <c r="C4" s="106"/>
      <c r="D4" s="106"/>
      <c r="E4" s="43"/>
      <c r="F4" s="107"/>
      <c r="G4" s="107"/>
      <c r="H4" s="76" t="str">
        <f t="shared" ref="H4:H67" si="1">IF($C4="","",IF($K4&lt;&gt;"",ROUND(N($K4),2),IF(AND(N($F4)&lt;&gt;0,N($G4)&lt;&gt;0),ROUND(N($F4)*N($G4),2),"")))</f>
        <v/>
      </c>
      <c r="I4" s="107"/>
      <c r="J4" s="106"/>
      <c r="K4" s="107"/>
    </row>
    <row r="5" spans="1:11">
      <c r="A5" s="74" t="str">
        <f t="shared" si="0"/>
        <v/>
      </c>
      <c r="B5" s="7"/>
      <c r="C5" s="106"/>
      <c r="D5" s="106"/>
      <c r="E5" s="43"/>
      <c r="F5" s="107"/>
      <c r="G5" s="107"/>
      <c r="H5" s="76" t="str">
        <f t="shared" si="1"/>
        <v/>
      </c>
      <c r="I5" s="107"/>
      <c r="J5" s="106"/>
      <c r="K5" s="107"/>
    </row>
    <row r="6" spans="1:11">
      <c r="A6" s="74" t="str">
        <f t="shared" si="0"/>
        <v/>
      </c>
      <c r="B6" s="7"/>
      <c r="C6" s="106"/>
      <c r="D6" s="106"/>
      <c r="E6" s="43"/>
      <c r="F6" s="107"/>
      <c r="G6" s="107"/>
      <c r="H6" s="76" t="str">
        <f t="shared" si="1"/>
        <v/>
      </c>
      <c r="I6" s="107"/>
      <c r="J6" s="106"/>
      <c r="K6" s="107"/>
    </row>
    <row r="7" spans="1:11">
      <c r="A7" s="74" t="str">
        <f t="shared" si="0"/>
        <v/>
      </c>
      <c r="B7" s="7"/>
      <c r="C7" s="106"/>
      <c r="D7" s="106"/>
      <c r="E7" s="43"/>
      <c r="F7" s="107"/>
      <c r="G7" s="107"/>
      <c r="H7" s="76" t="str">
        <f t="shared" si="1"/>
        <v/>
      </c>
      <c r="I7" s="107"/>
      <c r="J7" s="106"/>
      <c r="K7" s="107"/>
    </row>
    <row r="8" spans="1:11">
      <c r="A8" s="74" t="str">
        <f t="shared" si="0"/>
        <v/>
      </c>
      <c r="B8" s="7"/>
      <c r="C8" s="106"/>
      <c r="D8" s="106"/>
      <c r="E8" s="43"/>
      <c r="F8" s="107"/>
      <c r="G8" s="107"/>
      <c r="H8" s="76" t="str">
        <f t="shared" si="1"/>
        <v/>
      </c>
      <c r="I8" s="107"/>
      <c r="J8" s="106"/>
      <c r="K8" s="107"/>
    </row>
    <row r="9" spans="1:11">
      <c r="A9" s="74" t="str">
        <f t="shared" si="0"/>
        <v/>
      </c>
      <c r="B9" s="7"/>
      <c r="C9" s="106"/>
      <c r="D9" s="106"/>
      <c r="E9" s="43"/>
      <c r="F9" s="107"/>
      <c r="G9" s="107"/>
      <c r="H9" s="76" t="str">
        <f t="shared" si="1"/>
        <v/>
      </c>
      <c r="I9" s="107"/>
      <c r="J9" s="106"/>
      <c r="K9" s="107"/>
    </row>
    <row r="10" spans="1:11">
      <c r="A10" s="74" t="str">
        <f t="shared" si="0"/>
        <v/>
      </c>
      <c r="B10" s="7"/>
      <c r="C10" s="106"/>
      <c r="D10" s="106"/>
      <c r="E10" s="43"/>
      <c r="F10" s="107"/>
      <c r="G10" s="107"/>
      <c r="H10" s="76" t="str">
        <f t="shared" si="1"/>
        <v/>
      </c>
      <c r="I10" s="107"/>
      <c r="J10" s="106"/>
      <c r="K10" s="107"/>
    </row>
    <row r="11" spans="1:11">
      <c r="A11" s="74" t="str">
        <f t="shared" si="0"/>
        <v/>
      </c>
      <c r="B11" s="7"/>
      <c r="C11" s="106"/>
      <c r="D11" s="106"/>
      <c r="E11" s="43"/>
      <c r="F11" s="107"/>
      <c r="G11" s="107"/>
      <c r="H11" s="76" t="str">
        <f t="shared" si="1"/>
        <v/>
      </c>
      <c r="I11" s="107"/>
      <c r="J11" s="106"/>
      <c r="K11" s="107"/>
    </row>
    <row r="12" spans="1:11">
      <c r="A12" s="74" t="str">
        <f t="shared" si="0"/>
        <v/>
      </c>
      <c r="B12" s="7"/>
      <c r="C12" s="106"/>
      <c r="D12" s="106"/>
      <c r="E12" s="43"/>
      <c r="F12" s="107"/>
      <c r="G12" s="107"/>
      <c r="H12" s="76" t="str">
        <f t="shared" si="1"/>
        <v/>
      </c>
      <c r="I12" s="107"/>
      <c r="J12" s="106"/>
      <c r="K12" s="107"/>
    </row>
    <row r="13" spans="1:11">
      <c r="A13" s="74" t="str">
        <f t="shared" si="0"/>
        <v/>
      </c>
      <c r="B13" s="7"/>
      <c r="C13" s="106"/>
      <c r="D13" s="106"/>
      <c r="E13" s="43"/>
      <c r="F13" s="107"/>
      <c r="G13" s="107"/>
      <c r="H13" s="76" t="str">
        <f t="shared" si="1"/>
        <v/>
      </c>
      <c r="I13" s="107"/>
      <c r="J13" s="106"/>
      <c r="K13" s="107"/>
    </row>
    <row r="14" spans="1:11">
      <c r="A14" s="74" t="str">
        <f t="shared" si="0"/>
        <v/>
      </c>
      <c r="B14" s="7"/>
      <c r="C14" s="106"/>
      <c r="D14" s="106"/>
      <c r="E14" s="43"/>
      <c r="F14" s="107"/>
      <c r="G14" s="107"/>
      <c r="H14" s="76" t="str">
        <f t="shared" si="1"/>
        <v/>
      </c>
      <c r="I14" s="107"/>
      <c r="J14" s="106"/>
      <c r="K14" s="107"/>
    </row>
    <row r="15" spans="1:11">
      <c r="A15" s="74" t="str">
        <f t="shared" si="0"/>
        <v/>
      </c>
      <c r="B15" s="7"/>
      <c r="C15" s="106"/>
      <c r="D15" s="106"/>
      <c r="E15" s="43"/>
      <c r="F15" s="107"/>
      <c r="G15" s="107"/>
      <c r="H15" s="76" t="str">
        <f t="shared" si="1"/>
        <v/>
      </c>
      <c r="I15" s="107"/>
      <c r="J15" s="106"/>
      <c r="K15" s="107"/>
    </row>
    <row r="16" spans="1:11">
      <c r="A16" s="74" t="str">
        <f t="shared" si="0"/>
        <v/>
      </c>
      <c r="B16" s="7"/>
      <c r="C16" s="106"/>
      <c r="D16" s="106"/>
      <c r="E16" s="43"/>
      <c r="F16" s="107"/>
      <c r="G16" s="107"/>
      <c r="H16" s="76" t="str">
        <f t="shared" si="1"/>
        <v/>
      </c>
      <c r="I16" s="107"/>
      <c r="J16" s="106"/>
      <c r="K16" s="107"/>
    </row>
    <row r="17" spans="1:11">
      <c r="A17" s="74" t="str">
        <f t="shared" si="0"/>
        <v/>
      </c>
      <c r="B17" s="7"/>
      <c r="C17" s="106"/>
      <c r="D17" s="106"/>
      <c r="E17" s="43"/>
      <c r="F17" s="107"/>
      <c r="G17" s="107"/>
      <c r="H17" s="76" t="str">
        <f t="shared" si="1"/>
        <v/>
      </c>
      <c r="I17" s="107"/>
      <c r="J17" s="106"/>
      <c r="K17" s="107"/>
    </row>
    <row r="18" spans="1:11">
      <c r="A18" s="74" t="str">
        <f t="shared" si="0"/>
        <v/>
      </c>
      <c r="B18" s="7"/>
      <c r="C18" s="106"/>
      <c r="D18" s="106"/>
      <c r="E18" s="43"/>
      <c r="F18" s="107"/>
      <c r="G18" s="107"/>
      <c r="H18" s="76" t="str">
        <f t="shared" si="1"/>
        <v/>
      </c>
      <c r="I18" s="107"/>
      <c r="J18" s="106"/>
      <c r="K18" s="107"/>
    </row>
    <row r="19" spans="1:11">
      <c r="A19" s="74" t="str">
        <f t="shared" si="0"/>
        <v/>
      </c>
      <c r="B19" s="7"/>
      <c r="C19" s="106"/>
      <c r="D19" s="106"/>
      <c r="E19" s="43"/>
      <c r="F19" s="107"/>
      <c r="G19" s="107"/>
      <c r="H19" s="76" t="str">
        <f t="shared" si="1"/>
        <v/>
      </c>
      <c r="I19" s="107"/>
      <c r="J19" s="106"/>
      <c r="K19" s="107"/>
    </row>
    <row r="20" spans="1:11">
      <c r="A20" s="74" t="str">
        <f t="shared" si="0"/>
        <v/>
      </c>
      <c r="B20" s="7"/>
      <c r="C20" s="106"/>
      <c r="D20" s="106"/>
      <c r="E20" s="43"/>
      <c r="F20" s="107"/>
      <c r="G20" s="107"/>
      <c r="H20" s="76" t="str">
        <f t="shared" si="1"/>
        <v/>
      </c>
      <c r="I20" s="107"/>
      <c r="J20" s="106"/>
      <c r="K20" s="107"/>
    </row>
    <row r="21" spans="1:11">
      <c r="A21" s="74" t="str">
        <f t="shared" si="0"/>
        <v/>
      </c>
      <c r="B21" s="7"/>
      <c r="C21" s="106"/>
      <c r="D21" s="106"/>
      <c r="E21" s="43"/>
      <c r="F21" s="107"/>
      <c r="G21" s="107"/>
      <c r="H21" s="76" t="str">
        <f t="shared" si="1"/>
        <v/>
      </c>
      <c r="I21" s="107"/>
      <c r="J21" s="106"/>
      <c r="K21" s="107"/>
    </row>
    <row r="22" spans="1:11">
      <c r="A22" s="74" t="str">
        <f t="shared" si="0"/>
        <v/>
      </c>
      <c r="B22" s="7"/>
      <c r="C22" s="106"/>
      <c r="D22" s="106"/>
      <c r="E22" s="43"/>
      <c r="F22" s="107"/>
      <c r="G22" s="107"/>
      <c r="H22" s="76" t="str">
        <f t="shared" si="1"/>
        <v/>
      </c>
      <c r="I22" s="107"/>
      <c r="J22" s="106"/>
      <c r="K22" s="107"/>
    </row>
    <row r="23" spans="1:11">
      <c r="A23" s="74" t="str">
        <f t="shared" si="0"/>
        <v/>
      </c>
      <c r="B23" s="7"/>
      <c r="C23" s="106"/>
      <c r="D23" s="106"/>
      <c r="E23" s="43"/>
      <c r="F23" s="107"/>
      <c r="G23" s="107"/>
      <c r="H23" s="76" t="str">
        <f t="shared" si="1"/>
        <v/>
      </c>
      <c r="I23" s="107"/>
      <c r="J23" s="106"/>
      <c r="K23" s="107"/>
    </row>
    <row r="24" spans="1:11">
      <c r="A24" s="74" t="str">
        <f t="shared" si="0"/>
        <v/>
      </c>
      <c r="B24" s="7"/>
      <c r="C24" s="106"/>
      <c r="D24" s="106"/>
      <c r="E24" s="43"/>
      <c r="F24" s="107"/>
      <c r="G24" s="107"/>
      <c r="H24" s="76" t="str">
        <f t="shared" si="1"/>
        <v/>
      </c>
      <c r="I24" s="107"/>
      <c r="J24" s="106"/>
      <c r="K24" s="107"/>
    </row>
    <row r="25" spans="1:11">
      <c r="A25" s="74" t="str">
        <f t="shared" si="0"/>
        <v/>
      </c>
      <c r="B25" s="7"/>
      <c r="C25" s="106"/>
      <c r="D25" s="106"/>
      <c r="E25" s="43"/>
      <c r="F25" s="107"/>
      <c r="G25" s="107"/>
      <c r="H25" s="76" t="str">
        <f t="shared" si="1"/>
        <v/>
      </c>
      <c r="I25" s="107"/>
      <c r="J25" s="106"/>
      <c r="K25" s="107"/>
    </row>
    <row r="26" spans="1:11">
      <c r="A26" s="74" t="str">
        <f t="shared" si="0"/>
        <v/>
      </c>
      <c r="B26" s="7"/>
      <c r="C26" s="106"/>
      <c r="D26" s="106"/>
      <c r="E26" s="43"/>
      <c r="F26" s="107"/>
      <c r="G26" s="107"/>
      <c r="H26" s="76" t="str">
        <f t="shared" si="1"/>
        <v/>
      </c>
      <c r="I26" s="107"/>
      <c r="J26" s="106"/>
      <c r="K26" s="107"/>
    </row>
    <row r="27" spans="1:11">
      <c r="A27" s="74" t="str">
        <f t="shared" si="0"/>
        <v/>
      </c>
      <c r="B27" s="7"/>
      <c r="C27" s="106"/>
      <c r="D27" s="106"/>
      <c r="E27" s="43"/>
      <c r="F27" s="107"/>
      <c r="G27" s="107"/>
      <c r="H27" s="76" t="str">
        <f t="shared" si="1"/>
        <v/>
      </c>
      <c r="I27" s="107"/>
      <c r="J27" s="106"/>
      <c r="K27" s="107"/>
    </row>
    <row r="28" spans="1:11">
      <c r="A28" s="74" t="str">
        <f t="shared" si="0"/>
        <v/>
      </c>
      <c r="B28" s="7"/>
      <c r="C28" s="106"/>
      <c r="D28" s="106"/>
      <c r="E28" s="43"/>
      <c r="F28" s="107"/>
      <c r="G28" s="107"/>
      <c r="H28" s="76" t="str">
        <f t="shared" si="1"/>
        <v/>
      </c>
      <c r="I28" s="107"/>
      <c r="J28" s="106"/>
      <c r="K28" s="107"/>
    </row>
    <row r="29" spans="1:11">
      <c r="A29" s="74" t="str">
        <f t="shared" si="0"/>
        <v/>
      </c>
      <c r="B29" s="7"/>
      <c r="C29" s="106"/>
      <c r="D29" s="106"/>
      <c r="E29" s="43"/>
      <c r="F29" s="107"/>
      <c r="G29" s="107"/>
      <c r="H29" s="76" t="str">
        <f t="shared" si="1"/>
        <v/>
      </c>
      <c r="I29" s="107"/>
      <c r="J29" s="106"/>
      <c r="K29" s="107"/>
    </row>
    <row r="30" spans="1:11">
      <c r="A30" s="74" t="str">
        <f t="shared" si="0"/>
        <v/>
      </c>
      <c r="B30" s="7"/>
      <c r="C30" s="106"/>
      <c r="D30" s="106"/>
      <c r="E30" s="43"/>
      <c r="F30" s="107"/>
      <c r="G30" s="107"/>
      <c r="H30" s="76" t="str">
        <f t="shared" si="1"/>
        <v/>
      </c>
      <c r="I30" s="107"/>
      <c r="J30" s="106"/>
      <c r="K30" s="107"/>
    </row>
    <row r="31" spans="1:11">
      <c r="A31" s="74" t="str">
        <f t="shared" si="0"/>
        <v/>
      </c>
      <c r="B31" s="7"/>
      <c r="C31" s="106"/>
      <c r="D31" s="106"/>
      <c r="E31" s="43"/>
      <c r="F31" s="107"/>
      <c r="G31" s="107"/>
      <c r="H31" s="76" t="str">
        <f t="shared" si="1"/>
        <v/>
      </c>
      <c r="I31" s="107"/>
      <c r="J31" s="106"/>
      <c r="K31" s="107"/>
    </row>
    <row r="32" spans="1:11">
      <c r="A32" s="74" t="str">
        <f t="shared" si="0"/>
        <v/>
      </c>
      <c r="B32" s="7"/>
      <c r="C32" s="106"/>
      <c r="D32" s="106"/>
      <c r="E32" s="43"/>
      <c r="F32" s="107"/>
      <c r="G32" s="107"/>
      <c r="H32" s="76" t="str">
        <f t="shared" si="1"/>
        <v/>
      </c>
      <c r="I32" s="107"/>
      <c r="J32" s="106"/>
      <c r="K32" s="107"/>
    </row>
    <row r="33" spans="1:11">
      <c r="A33" s="74" t="str">
        <f t="shared" si="0"/>
        <v/>
      </c>
      <c r="B33" s="7"/>
      <c r="C33" s="106"/>
      <c r="D33" s="106"/>
      <c r="E33" s="43"/>
      <c r="F33" s="107"/>
      <c r="G33" s="107"/>
      <c r="H33" s="76" t="str">
        <f t="shared" si="1"/>
        <v/>
      </c>
      <c r="I33" s="107"/>
      <c r="J33" s="106"/>
      <c r="K33" s="107"/>
    </row>
    <row r="34" spans="1:11">
      <c r="A34" s="74" t="str">
        <f t="shared" si="0"/>
        <v/>
      </c>
      <c r="B34" s="7"/>
      <c r="C34" s="106"/>
      <c r="D34" s="106"/>
      <c r="E34" s="43"/>
      <c r="F34" s="107"/>
      <c r="G34" s="107"/>
      <c r="H34" s="76" t="str">
        <f t="shared" si="1"/>
        <v/>
      </c>
      <c r="I34" s="107"/>
      <c r="J34" s="106"/>
      <c r="K34" s="107"/>
    </row>
    <row r="35" spans="1:11">
      <c r="A35" s="74" t="str">
        <f t="shared" si="0"/>
        <v/>
      </c>
      <c r="B35" s="7"/>
      <c r="C35" s="106"/>
      <c r="D35" s="106"/>
      <c r="E35" s="43"/>
      <c r="F35" s="107"/>
      <c r="G35" s="107"/>
      <c r="H35" s="76" t="str">
        <f t="shared" si="1"/>
        <v/>
      </c>
      <c r="I35" s="107"/>
      <c r="J35" s="106"/>
      <c r="K35" s="107"/>
    </row>
    <row r="36" spans="1:11">
      <c r="A36" s="74" t="str">
        <f t="shared" si="0"/>
        <v/>
      </c>
      <c r="B36" s="7"/>
      <c r="C36" s="106"/>
      <c r="D36" s="106"/>
      <c r="E36" s="43"/>
      <c r="F36" s="107"/>
      <c r="G36" s="107"/>
      <c r="H36" s="76" t="str">
        <f t="shared" si="1"/>
        <v/>
      </c>
      <c r="I36" s="107"/>
      <c r="J36" s="106"/>
      <c r="K36" s="107"/>
    </row>
    <row r="37" spans="1:11">
      <c r="A37" s="74" t="str">
        <f t="shared" si="0"/>
        <v/>
      </c>
      <c r="B37" s="7"/>
      <c r="C37" s="106"/>
      <c r="D37" s="106"/>
      <c r="E37" s="43"/>
      <c r="F37" s="107"/>
      <c r="G37" s="107"/>
      <c r="H37" s="76" t="str">
        <f t="shared" si="1"/>
        <v/>
      </c>
      <c r="I37" s="107"/>
      <c r="J37" s="106"/>
      <c r="K37" s="107"/>
    </row>
    <row r="38" spans="1:11">
      <c r="A38" s="74" t="str">
        <f t="shared" si="0"/>
        <v/>
      </c>
      <c r="B38" s="7"/>
      <c r="C38" s="106"/>
      <c r="D38" s="106"/>
      <c r="E38" s="43"/>
      <c r="F38" s="107"/>
      <c r="G38" s="107"/>
      <c r="H38" s="76" t="str">
        <f t="shared" si="1"/>
        <v/>
      </c>
      <c r="I38" s="107"/>
      <c r="J38" s="106"/>
      <c r="K38" s="107"/>
    </row>
    <row r="39" spans="1:11">
      <c r="A39" s="74" t="str">
        <f t="shared" si="0"/>
        <v/>
      </c>
      <c r="B39" s="7"/>
      <c r="C39" s="106"/>
      <c r="D39" s="106"/>
      <c r="E39" s="43"/>
      <c r="F39" s="107"/>
      <c r="G39" s="107"/>
      <c r="H39" s="76" t="str">
        <f t="shared" si="1"/>
        <v/>
      </c>
      <c r="I39" s="107"/>
      <c r="J39" s="106"/>
      <c r="K39" s="107"/>
    </row>
    <row r="40" spans="1:11">
      <c r="A40" s="74" t="str">
        <f t="shared" si="0"/>
        <v/>
      </c>
      <c r="B40" s="7"/>
      <c r="C40" s="106"/>
      <c r="D40" s="106"/>
      <c r="E40" s="43"/>
      <c r="F40" s="107"/>
      <c r="G40" s="107"/>
      <c r="H40" s="76" t="str">
        <f t="shared" si="1"/>
        <v/>
      </c>
      <c r="I40" s="107"/>
      <c r="J40" s="106"/>
      <c r="K40" s="107"/>
    </row>
    <row r="41" spans="1:11">
      <c r="A41" s="74" t="str">
        <f t="shared" si="0"/>
        <v/>
      </c>
      <c r="B41" s="7"/>
      <c r="C41" s="106"/>
      <c r="D41" s="106"/>
      <c r="E41" s="43"/>
      <c r="F41" s="107"/>
      <c r="G41" s="107"/>
      <c r="H41" s="76" t="str">
        <f t="shared" si="1"/>
        <v/>
      </c>
      <c r="I41" s="107"/>
      <c r="J41" s="106"/>
      <c r="K41" s="107"/>
    </row>
    <row r="42" spans="1:11">
      <c r="A42" s="74" t="str">
        <f t="shared" si="0"/>
        <v/>
      </c>
      <c r="B42" s="7"/>
      <c r="C42" s="106"/>
      <c r="D42" s="106"/>
      <c r="E42" s="43"/>
      <c r="F42" s="107"/>
      <c r="G42" s="107"/>
      <c r="H42" s="76" t="str">
        <f t="shared" si="1"/>
        <v/>
      </c>
      <c r="I42" s="107"/>
      <c r="J42" s="106"/>
      <c r="K42" s="107"/>
    </row>
    <row r="43" spans="1:11">
      <c r="A43" s="74" t="str">
        <f t="shared" si="0"/>
        <v/>
      </c>
      <c r="B43" s="7"/>
      <c r="C43" s="106"/>
      <c r="D43" s="106"/>
      <c r="E43" s="43"/>
      <c r="F43" s="107"/>
      <c r="G43" s="107"/>
      <c r="H43" s="76" t="str">
        <f t="shared" si="1"/>
        <v/>
      </c>
      <c r="I43" s="107"/>
      <c r="J43" s="106"/>
      <c r="K43" s="107"/>
    </row>
    <row r="44" spans="1:11">
      <c r="A44" s="74" t="str">
        <f t="shared" si="0"/>
        <v/>
      </c>
      <c r="B44" s="7"/>
      <c r="C44" s="106"/>
      <c r="D44" s="106"/>
      <c r="E44" s="43"/>
      <c r="F44" s="107"/>
      <c r="G44" s="107"/>
      <c r="H44" s="76" t="str">
        <f t="shared" si="1"/>
        <v/>
      </c>
      <c r="I44" s="107"/>
      <c r="J44" s="106"/>
      <c r="K44" s="107"/>
    </row>
    <row r="45" spans="1:11">
      <c r="A45" s="74" t="str">
        <f t="shared" si="0"/>
        <v/>
      </c>
      <c r="B45" s="7"/>
      <c r="C45" s="106"/>
      <c r="D45" s="106"/>
      <c r="E45" s="43"/>
      <c r="F45" s="107"/>
      <c r="G45" s="107"/>
      <c r="H45" s="76" t="str">
        <f t="shared" si="1"/>
        <v/>
      </c>
      <c r="I45" s="107"/>
      <c r="J45" s="106"/>
      <c r="K45" s="107"/>
    </row>
    <row r="46" spans="1:11">
      <c r="A46" s="74" t="str">
        <f t="shared" si="0"/>
        <v/>
      </c>
      <c r="B46" s="7"/>
      <c r="C46" s="106"/>
      <c r="D46" s="106"/>
      <c r="E46" s="43"/>
      <c r="F46" s="107"/>
      <c r="G46" s="107"/>
      <c r="H46" s="76" t="str">
        <f t="shared" si="1"/>
        <v/>
      </c>
      <c r="I46" s="107"/>
      <c r="J46" s="106"/>
      <c r="K46" s="107"/>
    </row>
    <row r="47" spans="1:11">
      <c r="A47" s="74" t="str">
        <f t="shared" si="0"/>
        <v/>
      </c>
      <c r="B47" s="7"/>
      <c r="C47" s="106"/>
      <c r="D47" s="106"/>
      <c r="E47" s="43"/>
      <c r="F47" s="107"/>
      <c r="G47" s="107"/>
      <c r="H47" s="76" t="str">
        <f t="shared" si="1"/>
        <v/>
      </c>
      <c r="I47" s="107"/>
      <c r="J47" s="106"/>
      <c r="K47" s="107"/>
    </row>
    <row r="48" spans="1:11">
      <c r="A48" s="74" t="str">
        <f t="shared" si="0"/>
        <v/>
      </c>
      <c r="B48" s="7"/>
      <c r="C48" s="106"/>
      <c r="D48" s="106"/>
      <c r="E48" s="43"/>
      <c r="F48" s="107"/>
      <c r="G48" s="107"/>
      <c r="H48" s="76" t="str">
        <f t="shared" si="1"/>
        <v/>
      </c>
      <c r="I48" s="107"/>
      <c r="J48" s="106"/>
      <c r="K48" s="107"/>
    </row>
    <row r="49" spans="1:11">
      <c r="A49" s="74" t="str">
        <f t="shared" si="0"/>
        <v/>
      </c>
      <c r="B49" s="7"/>
      <c r="C49" s="106"/>
      <c r="D49" s="106"/>
      <c r="E49" s="43"/>
      <c r="F49" s="107"/>
      <c r="G49" s="107"/>
      <c r="H49" s="76" t="str">
        <f t="shared" si="1"/>
        <v/>
      </c>
      <c r="I49" s="107"/>
      <c r="J49" s="106"/>
      <c r="K49" s="107"/>
    </row>
    <row r="50" spans="1:11">
      <c r="A50" s="74" t="str">
        <f t="shared" si="0"/>
        <v/>
      </c>
      <c r="B50" s="7"/>
      <c r="C50" s="106"/>
      <c r="D50" s="106"/>
      <c r="E50" s="43"/>
      <c r="F50" s="107"/>
      <c r="G50" s="107"/>
      <c r="H50" s="76" t="str">
        <f t="shared" si="1"/>
        <v/>
      </c>
      <c r="I50" s="107"/>
      <c r="J50" s="106"/>
      <c r="K50" s="107"/>
    </row>
    <row r="51" spans="1:11">
      <c r="A51" s="74" t="str">
        <f t="shared" si="0"/>
        <v/>
      </c>
      <c r="B51" s="7"/>
      <c r="C51" s="106"/>
      <c r="D51" s="106"/>
      <c r="E51" s="43"/>
      <c r="F51" s="107"/>
      <c r="G51" s="107"/>
      <c r="H51" s="76" t="str">
        <f t="shared" si="1"/>
        <v/>
      </c>
      <c r="I51" s="107"/>
      <c r="J51" s="106"/>
      <c r="K51" s="107"/>
    </row>
    <row r="52" spans="1:11">
      <c r="A52" s="74" t="str">
        <f t="shared" si="0"/>
        <v/>
      </c>
      <c r="B52" s="7"/>
      <c r="C52" s="106"/>
      <c r="D52" s="106"/>
      <c r="E52" s="43"/>
      <c r="F52" s="107"/>
      <c r="G52" s="107"/>
      <c r="H52" s="76" t="str">
        <f t="shared" si="1"/>
        <v/>
      </c>
      <c r="I52" s="107"/>
      <c r="J52" s="106"/>
      <c r="K52" s="107"/>
    </row>
    <row r="53" spans="1:11">
      <c r="A53" s="74" t="str">
        <f t="shared" si="0"/>
        <v/>
      </c>
      <c r="B53" s="7"/>
      <c r="C53" s="106"/>
      <c r="D53" s="106"/>
      <c r="E53" s="43"/>
      <c r="F53" s="107"/>
      <c r="G53" s="107"/>
      <c r="H53" s="76" t="str">
        <f t="shared" si="1"/>
        <v/>
      </c>
      <c r="I53" s="107"/>
      <c r="J53" s="106"/>
      <c r="K53" s="107"/>
    </row>
    <row r="54" spans="1:11">
      <c r="A54" s="74" t="str">
        <f t="shared" si="0"/>
        <v/>
      </c>
      <c r="B54" s="7"/>
      <c r="C54" s="106"/>
      <c r="D54" s="106"/>
      <c r="E54" s="43"/>
      <c r="F54" s="107"/>
      <c r="G54" s="107"/>
      <c r="H54" s="76" t="str">
        <f t="shared" si="1"/>
        <v/>
      </c>
      <c r="I54" s="107"/>
      <c r="J54" s="106"/>
      <c r="K54" s="107"/>
    </row>
    <row r="55" spans="1:11">
      <c r="A55" s="74" t="str">
        <f t="shared" si="0"/>
        <v/>
      </c>
      <c r="B55" s="7"/>
      <c r="C55" s="106"/>
      <c r="D55" s="106"/>
      <c r="E55" s="43"/>
      <c r="F55" s="107"/>
      <c r="G55" s="107"/>
      <c r="H55" s="76" t="str">
        <f t="shared" si="1"/>
        <v/>
      </c>
      <c r="I55" s="107"/>
      <c r="J55" s="106"/>
      <c r="K55" s="107"/>
    </row>
    <row r="56" spans="1:11">
      <c r="A56" s="74" t="str">
        <f t="shared" si="0"/>
        <v/>
      </c>
      <c r="B56" s="7"/>
      <c r="C56" s="106"/>
      <c r="D56" s="106"/>
      <c r="E56" s="43"/>
      <c r="F56" s="107"/>
      <c r="G56" s="107"/>
      <c r="H56" s="76" t="str">
        <f t="shared" si="1"/>
        <v/>
      </c>
      <c r="I56" s="107"/>
      <c r="J56" s="106"/>
      <c r="K56" s="107"/>
    </row>
    <row r="57" spans="1:11">
      <c r="A57" s="74" t="str">
        <f t="shared" si="0"/>
        <v/>
      </c>
      <c r="B57" s="7"/>
      <c r="C57" s="106"/>
      <c r="D57" s="106"/>
      <c r="E57" s="43"/>
      <c r="F57" s="107"/>
      <c r="G57" s="107"/>
      <c r="H57" s="76" t="str">
        <f t="shared" si="1"/>
        <v/>
      </c>
      <c r="I57" s="107"/>
      <c r="J57" s="106"/>
      <c r="K57" s="107"/>
    </row>
    <row r="58" spans="1:11">
      <c r="A58" s="74" t="str">
        <f t="shared" si="0"/>
        <v/>
      </c>
      <c r="B58" s="7"/>
      <c r="C58" s="106"/>
      <c r="D58" s="106"/>
      <c r="E58" s="43"/>
      <c r="F58" s="107"/>
      <c r="G58" s="107"/>
      <c r="H58" s="76" t="str">
        <f t="shared" si="1"/>
        <v/>
      </c>
      <c r="I58" s="107"/>
      <c r="J58" s="106"/>
      <c r="K58" s="107"/>
    </row>
    <row r="59" spans="1:11">
      <c r="A59" s="74" t="str">
        <f t="shared" si="0"/>
        <v/>
      </c>
      <c r="B59" s="7"/>
      <c r="C59" s="106"/>
      <c r="D59" s="106"/>
      <c r="E59" s="43"/>
      <c r="F59" s="107"/>
      <c r="G59" s="107"/>
      <c r="H59" s="76" t="str">
        <f t="shared" si="1"/>
        <v/>
      </c>
      <c r="I59" s="107"/>
      <c r="J59" s="106"/>
      <c r="K59" s="107"/>
    </row>
    <row r="60" spans="1:11">
      <c r="A60" s="74" t="str">
        <f t="shared" si="0"/>
        <v/>
      </c>
      <c r="B60" s="7"/>
      <c r="C60" s="106"/>
      <c r="D60" s="106"/>
      <c r="E60" s="43"/>
      <c r="F60" s="107"/>
      <c r="G60" s="107"/>
      <c r="H60" s="76" t="str">
        <f t="shared" si="1"/>
        <v/>
      </c>
      <c r="I60" s="107"/>
      <c r="J60" s="106"/>
      <c r="K60" s="107"/>
    </row>
    <row r="61" spans="1:11">
      <c r="A61" s="74" t="str">
        <f t="shared" si="0"/>
        <v/>
      </c>
      <c r="B61" s="7"/>
      <c r="C61" s="106"/>
      <c r="D61" s="106"/>
      <c r="E61" s="43"/>
      <c r="F61" s="107"/>
      <c r="G61" s="107"/>
      <c r="H61" s="76" t="str">
        <f t="shared" si="1"/>
        <v/>
      </c>
      <c r="I61" s="107"/>
      <c r="J61" s="106"/>
      <c r="K61" s="107"/>
    </row>
    <row r="62" spans="1:11">
      <c r="A62" s="74" t="str">
        <f t="shared" si="0"/>
        <v/>
      </c>
      <c r="B62" s="7"/>
      <c r="C62" s="106"/>
      <c r="D62" s="106"/>
      <c r="E62" s="43"/>
      <c r="F62" s="107"/>
      <c r="G62" s="107"/>
      <c r="H62" s="76" t="str">
        <f t="shared" si="1"/>
        <v/>
      </c>
      <c r="I62" s="107"/>
      <c r="J62" s="106"/>
      <c r="K62" s="107"/>
    </row>
    <row r="63" spans="1:11">
      <c r="A63" s="74" t="str">
        <f t="shared" si="0"/>
        <v/>
      </c>
      <c r="B63" s="7"/>
      <c r="C63" s="106"/>
      <c r="D63" s="106"/>
      <c r="E63" s="43"/>
      <c r="F63" s="107"/>
      <c r="G63" s="107"/>
      <c r="H63" s="76" t="str">
        <f t="shared" si="1"/>
        <v/>
      </c>
      <c r="I63" s="107"/>
      <c r="J63" s="106"/>
      <c r="K63" s="107"/>
    </row>
    <row r="64" spans="1:11">
      <c r="A64" s="74" t="str">
        <f t="shared" si="0"/>
        <v/>
      </c>
      <c r="B64" s="7"/>
      <c r="C64" s="106"/>
      <c r="D64" s="106"/>
      <c r="E64" s="43"/>
      <c r="F64" s="107"/>
      <c r="G64" s="107"/>
      <c r="H64" s="76" t="str">
        <f t="shared" si="1"/>
        <v/>
      </c>
      <c r="I64" s="107"/>
      <c r="J64" s="106"/>
      <c r="K64" s="107"/>
    </row>
    <row r="65" spans="1:11">
      <c r="A65" s="74" t="str">
        <f t="shared" si="0"/>
        <v/>
      </c>
      <c r="B65" s="7"/>
      <c r="C65" s="106"/>
      <c r="D65" s="106"/>
      <c r="E65" s="43"/>
      <c r="F65" s="107"/>
      <c r="G65" s="107"/>
      <c r="H65" s="76" t="str">
        <f t="shared" si="1"/>
        <v/>
      </c>
      <c r="I65" s="107"/>
      <c r="J65" s="106"/>
      <c r="K65" s="107"/>
    </row>
    <row r="66" spans="1:11">
      <c r="A66" s="74" t="str">
        <f t="shared" si="0"/>
        <v/>
      </c>
      <c r="B66" s="7"/>
      <c r="C66" s="106"/>
      <c r="D66" s="106"/>
      <c r="E66" s="43"/>
      <c r="F66" s="107"/>
      <c r="G66" s="107"/>
      <c r="H66" s="76" t="str">
        <f t="shared" si="1"/>
        <v/>
      </c>
      <c r="I66" s="107"/>
      <c r="J66" s="106"/>
      <c r="K66" s="107"/>
    </row>
    <row r="67" spans="1:11">
      <c r="A67" s="74" t="str">
        <f t="shared" si="0"/>
        <v/>
      </c>
      <c r="B67" s="7"/>
      <c r="C67" s="106"/>
      <c r="D67" s="106"/>
      <c r="E67" s="43"/>
      <c r="F67" s="107"/>
      <c r="G67" s="107"/>
      <c r="H67" s="76" t="str">
        <f t="shared" si="1"/>
        <v/>
      </c>
      <c r="I67" s="107"/>
      <c r="J67" s="106"/>
      <c r="K67" s="107"/>
    </row>
    <row r="68" spans="1:11">
      <c r="A68" s="74" t="str">
        <f t="shared" ref="A68:A131" si="2">IF($C68="","",ROW()-3)</f>
        <v/>
      </c>
      <c r="B68" s="7"/>
      <c r="C68" s="106"/>
      <c r="D68" s="106"/>
      <c r="E68" s="43"/>
      <c r="F68" s="107"/>
      <c r="G68" s="107"/>
      <c r="H68" s="76" t="str">
        <f t="shared" ref="H68:H131" si="3">IF($C68="","",IF($K68&lt;&gt;"",ROUND(N($K68),2),IF(AND(N($F68)&lt;&gt;0,N($G68)&lt;&gt;0),ROUND(N($F68)*N($G68),2),"")))</f>
        <v/>
      </c>
      <c r="I68" s="107"/>
      <c r="J68" s="106"/>
      <c r="K68" s="107"/>
    </row>
    <row r="69" spans="1:11">
      <c r="A69" s="74" t="str">
        <f t="shared" si="2"/>
        <v/>
      </c>
      <c r="B69" s="7"/>
      <c r="C69" s="106"/>
      <c r="D69" s="106"/>
      <c r="E69" s="43"/>
      <c r="F69" s="107"/>
      <c r="G69" s="107"/>
      <c r="H69" s="76" t="str">
        <f t="shared" si="3"/>
        <v/>
      </c>
      <c r="I69" s="107"/>
      <c r="J69" s="106"/>
      <c r="K69" s="107"/>
    </row>
    <row r="70" spans="1:11">
      <c r="A70" s="74" t="str">
        <f t="shared" si="2"/>
        <v/>
      </c>
      <c r="B70" s="7"/>
      <c r="C70" s="106"/>
      <c r="D70" s="106"/>
      <c r="E70" s="43"/>
      <c r="F70" s="107"/>
      <c r="G70" s="107"/>
      <c r="H70" s="76" t="str">
        <f t="shared" si="3"/>
        <v/>
      </c>
      <c r="I70" s="107"/>
      <c r="J70" s="106"/>
      <c r="K70" s="107"/>
    </row>
    <row r="71" spans="1:11">
      <c r="A71" s="74" t="str">
        <f t="shared" si="2"/>
        <v/>
      </c>
      <c r="B71" s="7"/>
      <c r="C71" s="106"/>
      <c r="D71" s="106"/>
      <c r="E71" s="43"/>
      <c r="F71" s="107"/>
      <c r="G71" s="107"/>
      <c r="H71" s="76" t="str">
        <f t="shared" si="3"/>
        <v/>
      </c>
      <c r="I71" s="107"/>
      <c r="J71" s="106"/>
      <c r="K71" s="107"/>
    </row>
    <row r="72" spans="1:11">
      <c r="A72" s="74" t="str">
        <f t="shared" si="2"/>
        <v/>
      </c>
      <c r="B72" s="7"/>
      <c r="C72" s="106"/>
      <c r="D72" s="106"/>
      <c r="E72" s="43"/>
      <c r="F72" s="107"/>
      <c r="G72" s="107"/>
      <c r="H72" s="76" t="str">
        <f t="shared" si="3"/>
        <v/>
      </c>
      <c r="I72" s="107"/>
      <c r="J72" s="106"/>
      <c r="K72" s="107"/>
    </row>
    <row r="73" spans="1:11">
      <c r="A73" s="74" t="str">
        <f t="shared" si="2"/>
        <v/>
      </c>
      <c r="B73" s="7"/>
      <c r="C73" s="106"/>
      <c r="D73" s="106"/>
      <c r="E73" s="43"/>
      <c r="F73" s="107"/>
      <c r="G73" s="107"/>
      <c r="H73" s="76" t="str">
        <f t="shared" si="3"/>
        <v/>
      </c>
      <c r="I73" s="107"/>
      <c r="J73" s="106"/>
      <c r="K73" s="107"/>
    </row>
    <row r="74" spans="1:11">
      <c r="A74" s="74" t="str">
        <f t="shared" si="2"/>
        <v/>
      </c>
      <c r="B74" s="7"/>
      <c r="C74" s="106"/>
      <c r="D74" s="106"/>
      <c r="E74" s="43"/>
      <c r="F74" s="107"/>
      <c r="G74" s="107"/>
      <c r="H74" s="76" t="str">
        <f t="shared" si="3"/>
        <v/>
      </c>
      <c r="I74" s="107"/>
      <c r="J74" s="106"/>
      <c r="K74" s="107"/>
    </row>
    <row r="75" spans="1:11">
      <c r="A75" s="74" t="str">
        <f t="shared" si="2"/>
        <v/>
      </c>
      <c r="B75" s="7"/>
      <c r="C75" s="106"/>
      <c r="D75" s="106"/>
      <c r="E75" s="43"/>
      <c r="F75" s="107"/>
      <c r="G75" s="107"/>
      <c r="H75" s="76" t="str">
        <f t="shared" si="3"/>
        <v/>
      </c>
      <c r="I75" s="107"/>
      <c r="J75" s="106"/>
      <c r="K75" s="107"/>
    </row>
    <row r="76" spans="1:11">
      <c r="A76" s="74" t="str">
        <f t="shared" si="2"/>
        <v/>
      </c>
      <c r="B76" s="7"/>
      <c r="C76" s="106"/>
      <c r="D76" s="106"/>
      <c r="E76" s="43"/>
      <c r="F76" s="107"/>
      <c r="G76" s="107"/>
      <c r="H76" s="76" t="str">
        <f t="shared" si="3"/>
        <v/>
      </c>
      <c r="I76" s="107"/>
      <c r="J76" s="106"/>
      <c r="K76" s="107"/>
    </row>
    <row r="77" spans="1:11">
      <c r="A77" s="74" t="str">
        <f t="shared" si="2"/>
        <v/>
      </c>
      <c r="B77" s="7"/>
      <c r="C77" s="106"/>
      <c r="D77" s="106"/>
      <c r="E77" s="43"/>
      <c r="F77" s="107"/>
      <c r="G77" s="107"/>
      <c r="H77" s="76" t="str">
        <f t="shared" si="3"/>
        <v/>
      </c>
      <c r="I77" s="107"/>
      <c r="J77" s="106"/>
      <c r="K77" s="107"/>
    </row>
    <row r="78" spans="1:11">
      <c r="A78" s="74" t="str">
        <f t="shared" si="2"/>
        <v/>
      </c>
      <c r="B78" s="7"/>
      <c r="C78" s="106"/>
      <c r="D78" s="106"/>
      <c r="E78" s="43"/>
      <c r="F78" s="107"/>
      <c r="G78" s="107"/>
      <c r="H78" s="76" t="str">
        <f t="shared" si="3"/>
        <v/>
      </c>
      <c r="I78" s="107"/>
      <c r="J78" s="106"/>
      <c r="K78" s="107"/>
    </row>
    <row r="79" spans="1:11">
      <c r="A79" s="74" t="str">
        <f t="shared" si="2"/>
        <v/>
      </c>
      <c r="B79" s="7"/>
      <c r="C79" s="106"/>
      <c r="D79" s="106"/>
      <c r="E79" s="43"/>
      <c r="F79" s="107"/>
      <c r="G79" s="107"/>
      <c r="H79" s="76" t="str">
        <f t="shared" si="3"/>
        <v/>
      </c>
      <c r="I79" s="107"/>
      <c r="J79" s="106"/>
      <c r="K79" s="107"/>
    </row>
    <row r="80" spans="1:11">
      <c r="A80" s="74" t="str">
        <f t="shared" si="2"/>
        <v/>
      </c>
      <c r="B80" s="7"/>
      <c r="C80" s="106"/>
      <c r="D80" s="106"/>
      <c r="E80" s="43"/>
      <c r="F80" s="107"/>
      <c r="G80" s="107"/>
      <c r="H80" s="76" t="str">
        <f t="shared" si="3"/>
        <v/>
      </c>
      <c r="I80" s="107"/>
      <c r="J80" s="106"/>
      <c r="K80" s="107"/>
    </row>
    <row r="81" spans="1:11">
      <c r="A81" s="74" t="str">
        <f t="shared" si="2"/>
        <v/>
      </c>
      <c r="B81" s="7"/>
      <c r="C81" s="106"/>
      <c r="D81" s="106"/>
      <c r="E81" s="43"/>
      <c r="F81" s="107"/>
      <c r="G81" s="107"/>
      <c r="H81" s="76" t="str">
        <f t="shared" si="3"/>
        <v/>
      </c>
      <c r="I81" s="107"/>
      <c r="J81" s="106"/>
      <c r="K81" s="107"/>
    </row>
    <row r="82" spans="1:11">
      <c r="A82" s="74" t="str">
        <f t="shared" si="2"/>
        <v/>
      </c>
      <c r="B82" s="7"/>
      <c r="C82" s="106"/>
      <c r="D82" s="106"/>
      <c r="E82" s="43"/>
      <c r="F82" s="107"/>
      <c r="G82" s="107"/>
      <c r="H82" s="76" t="str">
        <f t="shared" si="3"/>
        <v/>
      </c>
      <c r="I82" s="107"/>
      <c r="J82" s="106"/>
      <c r="K82" s="107"/>
    </row>
    <row r="83" spans="1:11">
      <c r="A83" s="74" t="str">
        <f t="shared" si="2"/>
        <v/>
      </c>
      <c r="B83" s="7"/>
      <c r="C83" s="106"/>
      <c r="D83" s="106"/>
      <c r="E83" s="43"/>
      <c r="F83" s="107"/>
      <c r="G83" s="107"/>
      <c r="H83" s="76" t="str">
        <f t="shared" si="3"/>
        <v/>
      </c>
      <c r="I83" s="107"/>
      <c r="J83" s="106"/>
      <c r="K83" s="107"/>
    </row>
    <row r="84" spans="1:11">
      <c r="A84" s="74" t="str">
        <f t="shared" si="2"/>
        <v/>
      </c>
      <c r="B84" s="7"/>
      <c r="C84" s="106"/>
      <c r="D84" s="106"/>
      <c r="E84" s="43"/>
      <c r="F84" s="107"/>
      <c r="G84" s="107"/>
      <c r="H84" s="76" t="str">
        <f t="shared" si="3"/>
        <v/>
      </c>
      <c r="I84" s="107"/>
      <c r="J84" s="106"/>
      <c r="K84" s="107"/>
    </row>
    <row r="85" spans="1:11">
      <c r="A85" s="74" t="str">
        <f t="shared" si="2"/>
        <v/>
      </c>
      <c r="B85" s="7"/>
      <c r="C85" s="106"/>
      <c r="D85" s="106"/>
      <c r="E85" s="43"/>
      <c r="F85" s="107"/>
      <c r="G85" s="107"/>
      <c r="H85" s="76" t="str">
        <f t="shared" si="3"/>
        <v/>
      </c>
      <c r="I85" s="107"/>
      <c r="J85" s="106"/>
      <c r="K85" s="107"/>
    </row>
    <row r="86" spans="1:11">
      <c r="A86" s="74" t="str">
        <f t="shared" si="2"/>
        <v/>
      </c>
      <c r="B86" s="7"/>
      <c r="C86" s="106"/>
      <c r="D86" s="106"/>
      <c r="E86" s="43"/>
      <c r="F86" s="107"/>
      <c r="G86" s="107"/>
      <c r="H86" s="76" t="str">
        <f t="shared" si="3"/>
        <v/>
      </c>
      <c r="I86" s="107"/>
      <c r="J86" s="106"/>
      <c r="K86" s="107"/>
    </row>
    <row r="87" spans="1:11">
      <c r="A87" s="74" t="str">
        <f t="shared" si="2"/>
        <v/>
      </c>
      <c r="B87" s="7"/>
      <c r="C87" s="106"/>
      <c r="D87" s="106"/>
      <c r="E87" s="43"/>
      <c r="F87" s="107"/>
      <c r="G87" s="107"/>
      <c r="H87" s="76" t="str">
        <f t="shared" si="3"/>
        <v/>
      </c>
      <c r="I87" s="107"/>
      <c r="J87" s="106"/>
      <c r="K87" s="107"/>
    </row>
    <row r="88" spans="1:11">
      <c r="A88" s="74" t="str">
        <f t="shared" si="2"/>
        <v/>
      </c>
      <c r="B88" s="7"/>
      <c r="C88" s="106"/>
      <c r="D88" s="106"/>
      <c r="E88" s="43"/>
      <c r="F88" s="107"/>
      <c r="G88" s="107"/>
      <c r="H88" s="76" t="str">
        <f t="shared" si="3"/>
        <v/>
      </c>
      <c r="I88" s="107"/>
      <c r="J88" s="106"/>
      <c r="K88" s="107"/>
    </row>
    <row r="89" spans="1:11">
      <c r="A89" s="74" t="str">
        <f t="shared" si="2"/>
        <v/>
      </c>
      <c r="B89" s="7"/>
      <c r="C89" s="106"/>
      <c r="D89" s="106"/>
      <c r="E89" s="43"/>
      <c r="F89" s="107"/>
      <c r="G89" s="107"/>
      <c r="H89" s="76" t="str">
        <f t="shared" si="3"/>
        <v/>
      </c>
      <c r="I89" s="107"/>
      <c r="J89" s="106"/>
      <c r="K89" s="107"/>
    </row>
    <row r="90" spans="1:11">
      <c r="A90" s="74" t="str">
        <f t="shared" si="2"/>
        <v/>
      </c>
      <c r="B90" s="7"/>
      <c r="C90" s="106"/>
      <c r="D90" s="106"/>
      <c r="E90" s="43"/>
      <c r="F90" s="107"/>
      <c r="G90" s="107"/>
      <c r="H90" s="76" t="str">
        <f t="shared" si="3"/>
        <v/>
      </c>
      <c r="I90" s="107"/>
      <c r="J90" s="106"/>
      <c r="K90" s="107"/>
    </row>
    <row r="91" spans="1:11">
      <c r="A91" s="74" t="str">
        <f t="shared" si="2"/>
        <v/>
      </c>
      <c r="B91" s="7"/>
      <c r="C91" s="106"/>
      <c r="D91" s="106"/>
      <c r="E91" s="43"/>
      <c r="F91" s="107"/>
      <c r="G91" s="107"/>
      <c r="H91" s="76" t="str">
        <f t="shared" si="3"/>
        <v/>
      </c>
      <c r="I91" s="107"/>
      <c r="J91" s="106"/>
      <c r="K91" s="107"/>
    </row>
    <row r="92" spans="1:11">
      <c r="A92" s="74" t="str">
        <f t="shared" si="2"/>
        <v/>
      </c>
      <c r="B92" s="7"/>
      <c r="C92" s="106"/>
      <c r="D92" s="106"/>
      <c r="E92" s="43"/>
      <c r="F92" s="107"/>
      <c r="G92" s="107"/>
      <c r="H92" s="76" t="str">
        <f t="shared" si="3"/>
        <v/>
      </c>
      <c r="I92" s="107"/>
      <c r="J92" s="106"/>
      <c r="K92" s="107"/>
    </row>
    <row r="93" spans="1:11">
      <c r="A93" s="74" t="str">
        <f t="shared" si="2"/>
        <v/>
      </c>
      <c r="B93" s="7"/>
      <c r="C93" s="106"/>
      <c r="D93" s="106"/>
      <c r="E93" s="43"/>
      <c r="F93" s="107"/>
      <c r="G93" s="107"/>
      <c r="H93" s="76" t="str">
        <f t="shared" si="3"/>
        <v/>
      </c>
      <c r="I93" s="107"/>
      <c r="J93" s="106"/>
      <c r="K93" s="107"/>
    </row>
    <row r="94" spans="1:11">
      <c r="A94" s="74" t="str">
        <f t="shared" si="2"/>
        <v/>
      </c>
      <c r="B94" s="7"/>
      <c r="C94" s="106"/>
      <c r="D94" s="106"/>
      <c r="E94" s="43"/>
      <c r="F94" s="107"/>
      <c r="G94" s="107"/>
      <c r="H94" s="76" t="str">
        <f t="shared" si="3"/>
        <v/>
      </c>
      <c r="I94" s="107"/>
      <c r="J94" s="106"/>
      <c r="K94" s="107"/>
    </row>
    <row r="95" spans="1:11">
      <c r="A95" s="74" t="str">
        <f t="shared" si="2"/>
        <v/>
      </c>
      <c r="B95" s="7"/>
      <c r="C95" s="106"/>
      <c r="D95" s="106"/>
      <c r="E95" s="43"/>
      <c r="F95" s="107"/>
      <c r="G95" s="107"/>
      <c r="H95" s="76" t="str">
        <f t="shared" si="3"/>
        <v/>
      </c>
      <c r="I95" s="107"/>
      <c r="J95" s="106"/>
      <c r="K95" s="107"/>
    </row>
    <row r="96" spans="1:11">
      <c r="A96" s="74" t="str">
        <f t="shared" si="2"/>
        <v/>
      </c>
      <c r="B96" s="7"/>
      <c r="C96" s="106"/>
      <c r="D96" s="106"/>
      <c r="E96" s="43"/>
      <c r="F96" s="107"/>
      <c r="G96" s="107"/>
      <c r="H96" s="76" t="str">
        <f t="shared" si="3"/>
        <v/>
      </c>
      <c r="I96" s="107"/>
      <c r="J96" s="106"/>
      <c r="K96" s="107"/>
    </row>
    <row r="97" spans="1:11">
      <c r="A97" s="74" t="str">
        <f t="shared" si="2"/>
        <v/>
      </c>
      <c r="B97" s="7"/>
      <c r="C97" s="106"/>
      <c r="D97" s="106"/>
      <c r="E97" s="43"/>
      <c r="F97" s="107"/>
      <c r="G97" s="107"/>
      <c r="H97" s="76" t="str">
        <f t="shared" si="3"/>
        <v/>
      </c>
      <c r="I97" s="107"/>
      <c r="J97" s="106"/>
      <c r="K97" s="107"/>
    </row>
    <row r="98" spans="1:11">
      <c r="A98" s="74" t="str">
        <f t="shared" si="2"/>
        <v/>
      </c>
      <c r="B98" s="7"/>
      <c r="C98" s="106"/>
      <c r="D98" s="106"/>
      <c r="E98" s="43"/>
      <c r="F98" s="107"/>
      <c r="G98" s="107"/>
      <c r="H98" s="76" t="str">
        <f t="shared" si="3"/>
        <v/>
      </c>
      <c r="I98" s="107"/>
      <c r="J98" s="106"/>
      <c r="K98" s="107"/>
    </row>
    <row r="99" spans="1:11">
      <c r="A99" s="74" t="str">
        <f t="shared" si="2"/>
        <v/>
      </c>
      <c r="B99" s="7"/>
      <c r="C99" s="106"/>
      <c r="D99" s="106"/>
      <c r="E99" s="43"/>
      <c r="F99" s="107"/>
      <c r="G99" s="107"/>
      <c r="H99" s="76" t="str">
        <f t="shared" si="3"/>
        <v/>
      </c>
      <c r="I99" s="107"/>
      <c r="J99" s="106"/>
      <c r="K99" s="107"/>
    </row>
    <row r="100" spans="1:11">
      <c r="A100" s="74" t="str">
        <f t="shared" si="2"/>
        <v/>
      </c>
      <c r="B100" s="7"/>
      <c r="C100" s="106"/>
      <c r="D100" s="106"/>
      <c r="E100" s="43"/>
      <c r="F100" s="107"/>
      <c r="G100" s="107"/>
      <c r="H100" s="76" t="str">
        <f t="shared" si="3"/>
        <v/>
      </c>
      <c r="I100" s="107"/>
      <c r="J100" s="106"/>
      <c r="K100" s="107"/>
    </row>
    <row r="101" spans="1:11">
      <c r="A101" s="74" t="str">
        <f t="shared" si="2"/>
        <v/>
      </c>
      <c r="B101" s="7"/>
      <c r="C101" s="106"/>
      <c r="D101" s="106"/>
      <c r="E101" s="43"/>
      <c r="F101" s="107"/>
      <c r="G101" s="107"/>
      <c r="H101" s="76" t="str">
        <f t="shared" si="3"/>
        <v/>
      </c>
      <c r="I101" s="107"/>
      <c r="J101" s="106"/>
      <c r="K101" s="107"/>
    </row>
    <row r="102" spans="1:11">
      <c r="A102" s="74" t="str">
        <f t="shared" si="2"/>
        <v/>
      </c>
      <c r="B102" s="7"/>
      <c r="C102" s="106"/>
      <c r="D102" s="106"/>
      <c r="E102" s="43"/>
      <c r="F102" s="107"/>
      <c r="G102" s="107"/>
      <c r="H102" s="76" t="str">
        <f t="shared" si="3"/>
        <v/>
      </c>
      <c r="I102" s="107"/>
      <c r="J102" s="106"/>
      <c r="K102" s="107"/>
    </row>
    <row r="103" spans="1:11">
      <c r="A103" s="74" t="str">
        <f t="shared" si="2"/>
        <v/>
      </c>
      <c r="B103" s="7"/>
      <c r="C103" s="106"/>
      <c r="D103" s="106"/>
      <c r="E103" s="43"/>
      <c r="F103" s="107"/>
      <c r="G103" s="107"/>
      <c r="H103" s="76" t="str">
        <f t="shared" si="3"/>
        <v/>
      </c>
      <c r="I103" s="107"/>
      <c r="J103" s="106"/>
      <c r="K103" s="107"/>
    </row>
    <row r="104" spans="1:11">
      <c r="A104" s="74" t="str">
        <f t="shared" si="2"/>
        <v/>
      </c>
      <c r="B104" s="7"/>
      <c r="C104" s="106"/>
      <c r="D104" s="106"/>
      <c r="E104" s="43"/>
      <c r="F104" s="107"/>
      <c r="G104" s="107"/>
      <c r="H104" s="76" t="str">
        <f t="shared" si="3"/>
        <v/>
      </c>
      <c r="I104" s="107"/>
      <c r="J104" s="106"/>
      <c r="K104" s="107"/>
    </row>
    <row r="105" spans="1:11">
      <c r="A105" s="74" t="str">
        <f t="shared" si="2"/>
        <v/>
      </c>
      <c r="B105" s="7"/>
      <c r="C105" s="106"/>
      <c r="D105" s="106"/>
      <c r="E105" s="43"/>
      <c r="F105" s="107"/>
      <c r="G105" s="107"/>
      <c r="H105" s="76" t="str">
        <f t="shared" si="3"/>
        <v/>
      </c>
      <c r="I105" s="107"/>
      <c r="J105" s="106"/>
      <c r="K105" s="107"/>
    </row>
    <row r="106" spans="1:11">
      <c r="A106" s="74" t="str">
        <f t="shared" si="2"/>
        <v/>
      </c>
      <c r="B106" s="7"/>
      <c r="C106" s="106"/>
      <c r="D106" s="106"/>
      <c r="E106" s="43"/>
      <c r="F106" s="107"/>
      <c r="G106" s="107"/>
      <c r="H106" s="76" t="str">
        <f t="shared" si="3"/>
        <v/>
      </c>
      <c r="I106" s="107"/>
      <c r="J106" s="106"/>
      <c r="K106" s="107"/>
    </row>
    <row r="107" spans="1:11">
      <c r="A107" s="74" t="str">
        <f t="shared" si="2"/>
        <v/>
      </c>
      <c r="B107" s="7"/>
      <c r="C107" s="106"/>
      <c r="D107" s="106"/>
      <c r="E107" s="43"/>
      <c r="F107" s="107"/>
      <c r="G107" s="107"/>
      <c r="H107" s="76" t="str">
        <f t="shared" si="3"/>
        <v/>
      </c>
      <c r="I107" s="107"/>
      <c r="J107" s="106"/>
      <c r="K107" s="107"/>
    </row>
    <row r="108" spans="1:11">
      <c r="A108" s="74" t="str">
        <f t="shared" si="2"/>
        <v/>
      </c>
      <c r="B108" s="7"/>
      <c r="C108" s="106"/>
      <c r="D108" s="106"/>
      <c r="E108" s="43"/>
      <c r="F108" s="107"/>
      <c r="G108" s="107"/>
      <c r="H108" s="76" t="str">
        <f t="shared" si="3"/>
        <v/>
      </c>
      <c r="I108" s="107"/>
      <c r="J108" s="106"/>
      <c r="K108" s="107"/>
    </row>
    <row r="109" spans="1:11">
      <c r="A109" s="74" t="str">
        <f t="shared" si="2"/>
        <v/>
      </c>
      <c r="B109" s="7"/>
      <c r="C109" s="106"/>
      <c r="D109" s="106"/>
      <c r="E109" s="43"/>
      <c r="F109" s="107"/>
      <c r="G109" s="107"/>
      <c r="H109" s="76" t="str">
        <f t="shared" si="3"/>
        <v/>
      </c>
      <c r="I109" s="107"/>
      <c r="J109" s="106"/>
      <c r="K109" s="107"/>
    </row>
    <row r="110" spans="1:11">
      <c r="A110" s="74" t="str">
        <f t="shared" si="2"/>
        <v/>
      </c>
      <c r="B110" s="7"/>
      <c r="C110" s="106"/>
      <c r="D110" s="106"/>
      <c r="E110" s="43"/>
      <c r="F110" s="107"/>
      <c r="G110" s="107"/>
      <c r="H110" s="76" t="str">
        <f t="shared" si="3"/>
        <v/>
      </c>
      <c r="I110" s="107"/>
      <c r="J110" s="106"/>
      <c r="K110" s="107"/>
    </row>
    <row r="111" spans="1:11">
      <c r="A111" s="74" t="str">
        <f t="shared" si="2"/>
        <v/>
      </c>
      <c r="B111" s="7"/>
      <c r="C111" s="106"/>
      <c r="D111" s="106"/>
      <c r="E111" s="43"/>
      <c r="F111" s="107"/>
      <c r="G111" s="107"/>
      <c r="H111" s="76" t="str">
        <f t="shared" si="3"/>
        <v/>
      </c>
      <c r="I111" s="107"/>
      <c r="J111" s="106"/>
      <c r="K111" s="107"/>
    </row>
    <row r="112" spans="1:11">
      <c r="A112" s="74" t="str">
        <f t="shared" si="2"/>
        <v/>
      </c>
      <c r="B112" s="7"/>
      <c r="C112" s="106"/>
      <c r="D112" s="106"/>
      <c r="E112" s="43"/>
      <c r="F112" s="107"/>
      <c r="G112" s="107"/>
      <c r="H112" s="76" t="str">
        <f t="shared" si="3"/>
        <v/>
      </c>
      <c r="I112" s="107"/>
      <c r="J112" s="106"/>
      <c r="K112" s="107"/>
    </row>
    <row r="113" spans="1:11">
      <c r="A113" s="74" t="str">
        <f t="shared" si="2"/>
        <v/>
      </c>
      <c r="B113" s="7"/>
      <c r="C113" s="106"/>
      <c r="D113" s="106"/>
      <c r="E113" s="43"/>
      <c r="F113" s="107"/>
      <c r="G113" s="107"/>
      <c r="H113" s="76" t="str">
        <f t="shared" si="3"/>
        <v/>
      </c>
      <c r="I113" s="107"/>
      <c r="J113" s="106"/>
      <c r="K113" s="107"/>
    </row>
    <row r="114" spans="1:11">
      <c r="A114" s="74" t="str">
        <f t="shared" si="2"/>
        <v/>
      </c>
      <c r="B114" s="7"/>
      <c r="C114" s="106"/>
      <c r="D114" s="106"/>
      <c r="E114" s="43"/>
      <c r="F114" s="107"/>
      <c r="G114" s="107"/>
      <c r="H114" s="76" t="str">
        <f t="shared" si="3"/>
        <v/>
      </c>
      <c r="I114" s="107"/>
      <c r="J114" s="106"/>
      <c r="K114" s="107"/>
    </row>
    <row r="115" spans="1:11">
      <c r="A115" s="74" t="str">
        <f t="shared" si="2"/>
        <v/>
      </c>
      <c r="B115" s="7"/>
      <c r="C115" s="106"/>
      <c r="D115" s="106"/>
      <c r="E115" s="43"/>
      <c r="F115" s="107"/>
      <c r="G115" s="107"/>
      <c r="H115" s="76" t="str">
        <f t="shared" si="3"/>
        <v/>
      </c>
      <c r="I115" s="107"/>
      <c r="J115" s="106"/>
      <c r="K115" s="107"/>
    </row>
    <row r="116" spans="1:11">
      <c r="A116" s="74" t="str">
        <f t="shared" si="2"/>
        <v/>
      </c>
      <c r="B116" s="7"/>
      <c r="C116" s="106"/>
      <c r="D116" s="106"/>
      <c r="E116" s="43"/>
      <c r="F116" s="107"/>
      <c r="G116" s="107"/>
      <c r="H116" s="76" t="str">
        <f t="shared" si="3"/>
        <v/>
      </c>
      <c r="I116" s="107"/>
      <c r="J116" s="106"/>
      <c r="K116" s="107"/>
    </row>
    <row r="117" spans="1:11">
      <c r="A117" s="74" t="str">
        <f t="shared" si="2"/>
        <v/>
      </c>
      <c r="B117" s="7"/>
      <c r="C117" s="106"/>
      <c r="D117" s="106"/>
      <c r="E117" s="43"/>
      <c r="F117" s="107"/>
      <c r="G117" s="107"/>
      <c r="H117" s="76" t="str">
        <f t="shared" si="3"/>
        <v/>
      </c>
      <c r="I117" s="107"/>
      <c r="J117" s="106"/>
      <c r="K117" s="107"/>
    </row>
    <row r="118" spans="1:11">
      <c r="A118" s="74" t="str">
        <f t="shared" si="2"/>
        <v/>
      </c>
      <c r="B118" s="7"/>
      <c r="C118" s="106"/>
      <c r="D118" s="106"/>
      <c r="E118" s="43"/>
      <c r="F118" s="107"/>
      <c r="G118" s="107"/>
      <c r="H118" s="76" t="str">
        <f t="shared" si="3"/>
        <v/>
      </c>
      <c r="I118" s="107"/>
      <c r="J118" s="106"/>
      <c r="K118" s="107"/>
    </row>
    <row r="119" spans="1:11">
      <c r="A119" s="74" t="str">
        <f t="shared" si="2"/>
        <v/>
      </c>
      <c r="B119" s="7"/>
      <c r="C119" s="106"/>
      <c r="D119" s="106"/>
      <c r="E119" s="43"/>
      <c r="F119" s="107"/>
      <c r="G119" s="107"/>
      <c r="H119" s="76" t="str">
        <f t="shared" si="3"/>
        <v/>
      </c>
      <c r="I119" s="107"/>
      <c r="J119" s="106"/>
      <c r="K119" s="107"/>
    </row>
    <row r="120" spans="1:11">
      <c r="A120" s="74" t="str">
        <f t="shared" si="2"/>
        <v/>
      </c>
      <c r="B120" s="7"/>
      <c r="C120" s="106"/>
      <c r="D120" s="106"/>
      <c r="E120" s="43"/>
      <c r="F120" s="107"/>
      <c r="G120" s="107"/>
      <c r="H120" s="76" t="str">
        <f t="shared" si="3"/>
        <v/>
      </c>
      <c r="I120" s="107"/>
      <c r="J120" s="106"/>
      <c r="K120" s="107"/>
    </row>
    <row r="121" spans="1:11">
      <c r="A121" s="74" t="str">
        <f t="shared" si="2"/>
        <v/>
      </c>
      <c r="B121" s="7"/>
      <c r="C121" s="106"/>
      <c r="D121" s="106"/>
      <c r="E121" s="43"/>
      <c r="F121" s="107"/>
      <c r="G121" s="107"/>
      <c r="H121" s="76" t="str">
        <f t="shared" si="3"/>
        <v/>
      </c>
      <c r="I121" s="107"/>
      <c r="J121" s="106"/>
      <c r="K121" s="107"/>
    </row>
    <row r="122" spans="1:11">
      <c r="A122" s="74" t="str">
        <f t="shared" si="2"/>
        <v/>
      </c>
      <c r="B122" s="7"/>
      <c r="C122" s="106"/>
      <c r="D122" s="106"/>
      <c r="E122" s="43"/>
      <c r="F122" s="107"/>
      <c r="G122" s="107"/>
      <c r="H122" s="76" t="str">
        <f t="shared" si="3"/>
        <v/>
      </c>
      <c r="I122" s="107"/>
      <c r="J122" s="106"/>
      <c r="K122" s="107"/>
    </row>
    <row r="123" spans="1:11">
      <c r="A123" s="74" t="str">
        <f t="shared" si="2"/>
        <v/>
      </c>
      <c r="B123" s="7"/>
      <c r="C123" s="106"/>
      <c r="D123" s="106"/>
      <c r="E123" s="43"/>
      <c r="F123" s="107"/>
      <c r="G123" s="107"/>
      <c r="H123" s="76" t="str">
        <f t="shared" si="3"/>
        <v/>
      </c>
      <c r="I123" s="107"/>
      <c r="J123" s="106"/>
      <c r="K123" s="107"/>
    </row>
    <row r="124" spans="1:11">
      <c r="A124" s="74" t="str">
        <f t="shared" si="2"/>
        <v/>
      </c>
      <c r="B124" s="7"/>
      <c r="C124" s="106"/>
      <c r="D124" s="106"/>
      <c r="E124" s="43"/>
      <c r="F124" s="107"/>
      <c r="G124" s="107"/>
      <c r="H124" s="76" t="str">
        <f t="shared" si="3"/>
        <v/>
      </c>
      <c r="I124" s="107"/>
      <c r="J124" s="106"/>
      <c r="K124" s="107"/>
    </row>
    <row r="125" spans="1:11">
      <c r="A125" s="74" t="str">
        <f t="shared" si="2"/>
        <v/>
      </c>
      <c r="B125" s="7"/>
      <c r="C125" s="106"/>
      <c r="D125" s="106"/>
      <c r="E125" s="43"/>
      <c r="F125" s="107"/>
      <c r="G125" s="107"/>
      <c r="H125" s="76" t="str">
        <f t="shared" si="3"/>
        <v/>
      </c>
      <c r="I125" s="107"/>
      <c r="J125" s="106"/>
      <c r="K125" s="107"/>
    </row>
    <row r="126" spans="1:11">
      <c r="A126" s="74" t="str">
        <f t="shared" si="2"/>
        <v/>
      </c>
      <c r="B126" s="7"/>
      <c r="C126" s="106"/>
      <c r="D126" s="106"/>
      <c r="E126" s="43"/>
      <c r="F126" s="107"/>
      <c r="G126" s="107"/>
      <c r="H126" s="76" t="str">
        <f t="shared" si="3"/>
        <v/>
      </c>
      <c r="I126" s="107"/>
      <c r="J126" s="106"/>
      <c r="K126" s="107"/>
    </row>
    <row r="127" spans="1:11">
      <c r="A127" s="74" t="str">
        <f t="shared" si="2"/>
        <v/>
      </c>
      <c r="B127" s="7"/>
      <c r="C127" s="106"/>
      <c r="D127" s="106"/>
      <c r="E127" s="43"/>
      <c r="F127" s="107"/>
      <c r="G127" s="107"/>
      <c r="H127" s="76" t="str">
        <f t="shared" si="3"/>
        <v/>
      </c>
      <c r="I127" s="107"/>
      <c r="J127" s="106"/>
      <c r="K127" s="107"/>
    </row>
    <row r="128" spans="1:11">
      <c r="A128" s="74" t="str">
        <f t="shared" si="2"/>
        <v/>
      </c>
      <c r="B128" s="7"/>
      <c r="C128" s="106"/>
      <c r="D128" s="106"/>
      <c r="E128" s="43"/>
      <c r="F128" s="107"/>
      <c r="G128" s="107"/>
      <c r="H128" s="76" t="str">
        <f t="shared" si="3"/>
        <v/>
      </c>
      <c r="I128" s="107"/>
      <c r="J128" s="106"/>
      <c r="K128" s="107"/>
    </row>
    <row r="129" spans="1:11">
      <c r="A129" s="74" t="str">
        <f t="shared" si="2"/>
        <v/>
      </c>
      <c r="B129" s="7"/>
      <c r="C129" s="106"/>
      <c r="D129" s="106"/>
      <c r="E129" s="43"/>
      <c r="F129" s="107"/>
      <c r="G129" s="107"/>
      <c r="H129" s="76" t="str">
        <f t="shared" si="3"/>
        <v/>
      </c>
      <c r="I129" s="107"/>
      <c r="J129" s="106"/>
      <c r="K129" s="107"/>
    </row>
    <row r="130" spans="1:11">
      <c r="A130" s="74" t="str">
        <f t="shared" si="2"/>
        <v/>
      </c>
      <c r="B130" s="7"/>
      <c r="C130" s="106"/>
      <c r="D130" s="106"/>
      <c r="E130" s="43"/>
      <c r="F130" s="107"/>
      <c r="G130" s="107"/>
      <c r="H130" s="76" t="str">
        <f t="shared" si="3"/>
        <v/>
      </c>
      <c r="I130" s="107"/>
      <c r="J130" s="106"/>
      <c r="K130" s="107"/>
    </row>
    <row r="131" spans="1:11">
      <c r="A131" s="74" t="str">
        <f t="shared" si="2"/>
        <v/>
      </c>
      <c r="B131" s="7"/>
      <c r="C131" s="106"/>
      <c r="D131" s="106"/>
      <c r="E131" s="43"/>
      <c r="F131" s="107"/>
      <c r="G131" s="107"/>
      <c r="H131" s="76" t="str">
        <f t="shared" si="3"/>
        <v/>
      </c>
      <c r="I131" s="107"/>
      <c r="J131" s="106"/>
      <c r="K131" s="107"/>
    </row>
    <row r="132" spans="1:11">
      <c r="A132" s="74" t="str">
        <f t="shared" ref="A132:A195" si="4">IF($C132="","",ROW()-3)</f>
        <v/>
      </c>
      <c r="B132" s="7"/>
      <c r="C132" s="106"/>
      <c r="D132" s="106"/>
      <c r="E132" s="43"/>
      <c r="F132" s="107"/>
      <c r="G132" s="107"/>
      <c r="H132" s="76" t="str">
        <f t="shared" ref="H132:H195" si="5">IF($C132="","",IF($K132&lt;&gt;"",ROUND(N($K132),2),IF(AND(N($F132)&lt;&gt;0,N($G132)&lt;&gt;0),ROUND(N($F132)*N($G132),2),"")))</f>
        <v/>
      </c>
      <c r="I132" s="107"/>
      <c r="J132" s="106"/>
      <c r="K132" s="107"/>
    </row>
    <row r="133" spans="1:11">
      <c r="A133" s="74" t="str">
        <f t="shared" si="4"/>
        <v/>
      </c>
      <c r="B133" s="7"/>
      <c r="C133" s="106"/>
      <c r="D133" s="106"/>
      <c r="E133" s="43"/>
      <c r="F133" s="107"/>
      <c r="G133" s="107"/>
      <c r="H133" s="76" t="str">
        <f t="shared" si="5"/>
        <v/>
      </c>
      <c r="I133" s="107"/>
      <c r="J133" s="106"/>
      <c r="K133" s="107"/>
    </row>
    <row r="134" spans="1:11">
      <c r="A134" s="74" t="str">
        <f t="shared" si="4"/>
        <v/>
      </c>
      <c r="B134" s="7"/>
      <c r="C134" s="106"/>
      <c r="D134" s="106"/>
      <c r="E134" s="43"/>
      <c r="F134" s="107"/>
      <c r="G134" s="107"/>
      <c r="H134" s="76" t="str">
        <f t="shared" si="5"/>
        <v/>
      </c>
      <c r="I134" s="107"/>
      <c r="J134" s="106"/>
      <c r="K134" s="107"/>
    </row>
    <row r="135" spans="1:11">
      <c r="A135" s="74" t="str">
        <f t="shared" si="4"/>
        <v/>
      </c>
      <c r="B135" s="7"/>
      <c r="C135" s="106"/>
      <c r="D135" s="106"/>
      <c r="E135" s="43"/>
      <c r="F135" s="107"/>
      <c r="G135" s="107"/>
      <c r="H135" s="76" t="str">
        <f t="shared" si="5"/>
        <v/>
      </c>
      <c r="I135" s="107"/>
      <c r="J135" s="106"/>
      <c r="K135" s="107"/>
    </row>
    <row r="136" spans="1:11">
      <c r="A136" s="74" t="str">
        <f t="shared" si="4"/>
        <v/>
      </c>
      <c r="B136" s="7"/>
      <c r="C136" s="106"/>
      <c r="D136" s="106"/>
      <c r="E136" s="43"/>
      <c r="F136" s="107"/>
      <c r="G136" s="107"/>
      <c r="H136" s="76" t="str">
        <f t="shared" si="5"/>
        <v/>
      </c>
      <c r="I136" s="107"/>
      <c r="J136" s="106"/>
      <c r="K136" s="107"/>
    </row>
    <row r="137" spans="1:11">
      <c r="A137" s="74" t="str">
        <f t="shared" si="4"/>
        <v/>
      </c>
      <c r="B137" s="7"/>
      <c r="C137" s="106"/>
      <c r="D137" s="106"/>
      <c r="E137" s="43"/>
      <c r="F137" s="107"/>
      <c r="G137" s="107"/>
      <c r="H137" s="76" t="str">
        <f t="shared" si="5"/>
        <v/>
      </c>
      <c r="I137" s="107"/>
      <c r="J137" s="106"/>
      <c r="K137" s="107"/>
    </row>
    <row r="138" spans="1:11">
      <c r="A138" s="74" t="str">
        <f t="shared" si="4"/>
        <v/>
      </c>
      <c r="B138" s="7"/>
      <c r="C138" s="106"/>
      <c r="D138" s="106"/>
      <c r="E138" s="43"/>
      <c r="F138" s="107"/>
      <c r="G138" s="107"/>
      <c r="H138" s="76" t="str">
        <f t="shared" si="5"/>
        <v/>
      </c>
      <c r="I138" s="107"/>
      <c r="J138" s="106"/>
      <c r="K138" s="107"/>
    </row>
    <row r="139" spans="1:11">
      <c r="A139" s="74" t="str">
        <f t="shared" si="4"/>
        <v/>
      </c>
      <c r="B139" s="7"/>
      <c r="C139" s="106"/>
      <c r="D139" s="106"/>
      <c r="E139" s="43"/>
      <c r="F139" s="107"/>
      <c r="G139" s="107"/>
      <c r="H139" s="76" t="str">
        <f t="shared" si="5"/>
        <v/>
      </c>
      <c r="I139" s="107"/>
      <c r="J139" s="106"/>
      <c r="K139" s="107"/>
    </row>
    <row r="140" spans="1:11">
      <c r="A140" s="74" t="str">
        <f t="shared" si="4"/>
        <v/>
      </c>
      <c r="B140" s="7"/>
      <c r="C140" s="106"/>
      <c r="D140" s="106"/>
      <c r="E140" s="43"/>
      <c r="F140" s="107"/>
      <c r="G140" s="107"/>
      <c r="H140" s="76" t="str">
        <f t="shared" si="5"/>
        <v/>
      </c>
      <c r="I140" s="107"/>
      <c r="J140" s="106"/>
      <c r="K140" s="107"/>
    </row>
    <row r="141" spans="1:11">
      <c r="A141" s="74" t="str">
        <f t="shared" si="4"/>
        <v/>
      </c>
      <c r="B141" s="7"/>
      <c r="C141" s="106"/>
      <c r="D141" s="106"/>
      <c r="E141" s="43"/>
      <c r="F141" s="107"/>
      <c r="G141" s="107"/>
      <c r="H141" s="76" t="str">
        <f t="shared" si="5"/>
        <v/>
      </c>
      <c r="I141" s="107"/>
      <c r="J141" s="106"/>
      <c r="K141" s="107"/>
    </row>
    <row r="142" spans="1:11">
      <c r="A142" s="74" t="str">
        <f t="shared" si="4"/>
        <v/>
      </c>
      <c r="B142" s="7"/>
      <c r="C142" s="106"/>
      <c r="D142" s="106"/>
      <c r="E142" s="43"/>
      <c r="F142" s="107"/>
      <c r="G142" s="107"/>
      <c r="H142" s="76" t="str">
        <f t="shared" si="5"/>
        <v/>
      </c>
      <c r="I142" s="107"/>
      <c r="J142" s="106"/>
      <c r="K142" s="107"/>
    </row>
    <row r="143" spans="1:11">
      <c r="A143" s="74" t="str">
        <f t="shared" si="4"/>
        <v/>
      </c>
      <c r="B143" s="7"/>
      <c r="C143" s="106"/>
      <c r="D143" s="106"/>
      <c r="E143" s="43"/>
      <c r="F143" s="107"/>
      <c r="G143" s="107"/>
      <c r="H143" s="76" t="str">
        <f t="shared" si="5"/>
        <v/>
      </c>
      <c r="I143" s="107"/>
      <c r="J143" s="106"/>
      <c r="K143" s="107"/>
    </row>
    <row r="144" spans="1:11">
      <c r="A144" s="74" t="str">
        <f t="shared" si="4"/>
        <v/>
      </c>
      <c r="B144" s="7"/>
      <c r="C144" s="106"/>
      <c r="D144" s="106"/>
      <c r="E144" s="43"/>
      <c r="F144" s="107"/>
      <c r="G144" s="107"/>
      <c r="H144" s="76" t="str">
        <f t="shared" si="5"/>
        <v/>
      </c>
      <c r="I144" s="107"/>
      <c r="J144" s="106"/>
      <c r="K144" s="107"/>
    </row>
    <row r="145" spans="1:11">
      <c r="A145" s="74" t="str">
        <f t="shared" si="4"/>
        <v/>
      </c>
      <c r="B145" s="7"/>
      <c r="C145" s="106"/>
      <c r="D145" s="106"/>
      <c r="E145" s="43"/>
      <c r="F145" s="107"/>
      <c r="G145" s="107"/>
      <c r="H145" s="76" t="str">
        <f t="shared" si="5"/>
        <v/>
      </c>
      <c r="I145" s="107"/>
      <c r="J145" s="106"/>
      <c r="K145" s="107"/>
    </row>
    <row r="146" spans="1:11">
      <c r="A146" s="74" t="str">
        <f t="shared" si="4"/>
        <v/>
      </c>
      <c r="B146" s="7"/>
      <c r="C146" s="106"/>
      <c r="D146" s="106"/>
      <c r="E146" s="43"/>
      <c r="F146" s="107"/>
      <c r="G146" s="107"/>
      <c r="H146" s="76" t="str">
        <f t="shared" si="5"/>
        <v/>
      </c>
      <c r="I146" s="107"/>
      <c r="J146" s="106"/>
      <c r="K146" s="107"/>
    </row>
    <row r="147" spans="1:11">
      <c r="A147" s="74" t="str">
        <f t="shared" si="4"/>
        <v/>
      </c>
      <c r="B147" s="7"/>
      <c r="C147" s="106"/>
      <c r="D147" s="106"/>
      <c r="E147" s="43"/>
      <c r="F147" s="107"/>
      <c r="G147" s="107"/>
      <c r="H147" s="76" t="str">
        <f t="shared" si="5"/>
        <v/>
      </c>
      <c r="I147" s="107"/>
      <c r="J147" s="106"/>
      <c r="K147" s="107"/>
    </row>
    <row r="148" spans="1:11">
      <c r="A148" s="74" t="str">
        <f t="shared" si="4"/>
        <v/>
      </c>
      <c r="B148" s="7"/>
      <c r="C148" s="106"/>
      <c r="D148" s="106"/>
      <c r="E148" s="43"/>
      <c r="F148" s="107"/>
      <c r="G148" s="107"/>
      <c r="H148" s="76" t="str">
        <f t="shared" si="5"/>
        <v/>
      </c>
      <c r="I148" s="107"/>
      <c r="J148" s="106"/>
      <c r="K148" s="107"/>
    </row>
    <row r="149" spans="1:11">
      <c r="A149" s="74" t="str">
        <f t="shared" si="4"/>
        <v/>
      </c>
      <c r="B149" s="7"/>
      <c r="C149" s="106"/>
      <c r="D149" s="106"/>
      <c r="E149" s="43"/>
      <c r="F149" s="107"/>
      <c r="G149" s="107"/>
      <c r="H149" s="76" t="str">
        <f t="shared" si="5"/>
        <v/>
      </c>
      <c r="I149" s="107"/>
      <c r="J149" s="106"/>
      <c r="K149" s="107"/>
    </row>
    <row r="150" spans="1:11">
      <c r="A150" s="74" t="str">
        <f t="shared" si="4"/>
        <v/>
      </c>
      <c r="B150" s="7"/>
      <c r="C150" s="106"/>
      <c r="D150" s="106"/>
      <c r="E150" s="43"/>
      <c r="F150" s="107"/>
      <c r="G150" s="107"/>
      <c r="H150" s="76" t="str">
        <f t="shared" si="5"/>
        <v/>
      </c>
      <c r="I150" s="107"/>
      <c r="J150" s="106"/>
      <c r="K150" s="107"/>
    </row>
    <row r="151" spans="1:11">
      <c r="A151" s="74" t="str">
        <f t="shared" si="4"/>
        <v/>
      </c>
      <c r="B151" s="7"/>
      <c r="C151" s="106"/>
      <c r="D151" s="106"/>
      <c r="E151" s="43"/>
      <c r="F151" s="107"/>
      <c r="G151" s="107"/>
      <c r="H151" s="76" t="str">
        <f t="shared" si="5"/>
        <v/>
      </c>
      <c r="I151" s="107"/>
      <c r="J151" s="106"/>
      <c r="K151" s="107"/>
    </row>
    <row r="152" spans="1:11">
      <c r="A152" s="74" t="str">
        <f t="shared" si="4"/>
        <v/>
      </c>
      <c r="B152" s="7"/>
      <c r="C152" s="106"/>
      <c r="D152" s="106"/>
      <c r="E152" s="43"/>
      <c r="F152" s="107"/>
      <c r="G152" s="107"/>
      <c r="H152" s="76" t="str">
        <f t="shared" si="5"/>
        <v/>
      </c>
      <c r="I152" s="107"/>
      <c r="J152" s="106"/>
      <c r="K152" s="107"/>
    </row>
    <row r="153" spans="1:11">
      <c r="A153" s="74" t="str">
        <f t="shared" si="4"/>
        <v/>
      </c>
      <c r="B153" s="7"/>
      <c r="C153" s="106"/>
      <c r="D153" s="106"/>
      <c r="E153" s="43"/>
      <c r="F153" s="107"/>
      <c r="G153" s="107"/>
      <c r="H153" s="76" t="str">
        <f t="shared" si="5"/>
        <v/>
      </c>
      <c r="I153" s="107"/>
      <c r="J153" s="106"/>
      <c r="K153" s="107"/>
    </row>
    <row r="154" spans="1:11">
      <c r="A154" s="74" t="str">
        <f t="shared" si="4"/>
        <v/>
      </c>
      <c r="B154" s="7"/>
      <c r="C154" s="106"/>
      <c r="D154" s="106"/>
      <c r="E154" s="43"/>
      <c r="F154" s="107"/>
      <c r="G154" s="107"/>
      <c r="H154" s="76" t="str">
        <f t="shared" si="5"/>
        <v/>
      </c>
      <c r="I154" s="107"/>
      <c r="J154" s="106"/>
      <c r="K154" s="107"/>
    </row>
    <row r="155" spans="1:11">
      <c r="A155" s="74" t="str">
        <f t="shared" si="4"/>
        <v/>
      </c>
      <c r="B155" s="7"/>
      <c r="C155" s="106"/>
      <c r="D155" s="106"/>
      <c r="E155" s="43"/>
      <c r="F155" s="107"/>
      <c r="G155" s="107"/>
      <c r="H155" s="76" t="str">
        <f t="shared" si="5"/>
        <v/>
      </c>
      <c r="I155" s="107"/>
      <c r="J155" s="106"/>
      <c r="K155" s="107"/>
    </row>
    <row r="156" spans="1:11">
      <c r="A156" s="74" t="str">
        <f t="shared" si="4"/>
        <v/>
      </c>
      <c r="B156" s="7"/>
      <c r="C156" s="106"/>
      <c r="D156" s="106"/>
      <c r="E156" s="43"/>
      <c r="F156" s="107"/>
      <c r="G156" s="107"/>
      <c r="H156" s="76" t="str">
        <f t="shared" si="5"/>
        <v/>
      </c>
      <c r="I156" s="107"/>
      <c r="J156" s="106"/>
      <c r="K156" s="107"/>
    </row>
    <row r="157" spans="1:11">
      <c r="A157" s="74" t="str">
        <f t="shared" si="4"/>
        <v/>
      </c>
      <c r="B157" s="7"/>
      <c r="C157" s="106"/>
      <c r="D157" s="106"/>
      <c r="E157" s="43"/>
      <c r="F157" s="107"/>
      <c r="G157" s="107"/>
      <c r="H157" s="76" t="str">
        <f t="shared" si="5"/>
        <v/>
      </c>
      <c r="I157" s="107"/>
      <c r="J157" s="106"/>
      <c r="K157" s="107"/>
    </row>
    <row r="158" spans="1:11">
      <c r="A158" s="74" t="str">
        <f t="shared" si="4"/>
        <v/>
      </c>
      <c r="B158" s="7"/>
      <c r="C158" s="106"/>
      <c r="D158" s="106"/>
      <c r="E158" s="43"/>
      <c r="F158" s="107"/>
      <c r="G158" s="107"/>
      <c r="H158" s="76" t="str">
        <f t="shared" si="5"/>
        <v/>
      </c>
      <c r="I158" s="107"/>
      <c r="J158" s="106"/>
      <c r="K158" s="107"/>
    </row>
    <row r="159" spans="1:11">
      <c r="A159" s="74" t="str">
        <f t="shared" si="4"/>
        <v/>
      </c>
      <c r="B159" s="7"/>
      <c r="C159" s="106"/>
      <c r="D159" s="106"/>
      <c r="E159" s="43"/>
      <c r="F159" s="107"/>
      <c r="G159" s="107"/>
      <c r="H159" s="76" t="str">
        <f t="shared" si="5"/>
        <v/>
      </c>
      <c r="I159" s="107"/>
      <c r="J159" s="106"/>
      <c r="K159" s="107"/>
    </row>
    <row r="160" spans="1:11">
      <c r="A160" s="74" t="str">
        <f t="shared" si="4"/>
        <v/>
      </c>
      <c r="B160" s="7"/>
      <c r="C160" s="106"/>
      <c r="D160" s="106"/>
      <c r="E160" s="43"/>
      <c r="F160" s="107"/>
      <c r="G160" s="107"/>
      <c r="H160" s="76" t="str">
        <f t="shared" si="5"/>
        <v/>
      </c>
      <c r="I160" s="107"/>
      <c r="J160" s="106"/>
      <c r="K160" s="107"/>
    </row>
    <row r="161" spans="1:11">
      <c r="A161" s="74" t="str">
        <f t="shared" si="4"/>
        <v/>
      </c>
      <c r="B161" s="7"/>
      <c r="C161" s="106"/>
      <c r="D161" s="106"/>
      <c r="E161" s="43"/>
      <c r="F161" s="107"/>
      <c r="G161" s="107"/>
      <c r="H161" s="76" t="str">
        <f t="shared" si="5"/>
        <v/>
      </c>
      <c r="I161" s="107"/>
      <c r="J161" s="106"/>
      <c r="K161" s="107"/>
    </row>
    <row r="162" spans="1:11">
      <c r="A162" s="74" t="str">
        <f t="shared" si="4"/>
        <v/>
      </c>
      <c r="B162" s="7"/>
      <c r="C162" s="106"/>
      <c r="D162" s="106"/>
      <c r="E162" s="43"/>
      <c r="F162" s="107"/>
      <c r="G162" s="107"/>
      <c r="H162" s="76" t="str">
        <f t="shared" si="5"/>
        <v/>
      </c>
      <c r="I162" s="107"/>
      <c r="J162" s="106"/>
      <c r="K162" s="107"/>
    </row>
    <row r="163" spans="1:11">
      <c r="A163" s="74" t="str">
        <f t="shared" si="4"/>
        <v/>
      </c>
      <c r="B163" s="7"/>
      <c r="C163" s="106"/>
      <c r="D163" s="106"/>
      <c r="E163" s="43"/>
      <c r="F163" s="107"/>
      <c r="G163" s="107"/>
      <c r="H163" s="76" t="str">
        <f t="shared" si="5"/>
        <v/>
      </c>
      <c r="I163" s="107"/>
      <c r="J163" s="106"/>
      <c r="K163" s="107"/>
    </row>
    <row r="164" spans="1:11">
      <c r="A164" s="74" t="str">
        <f t="shared" si="4"/>
        <v/>
      </c>
      <c r="B164" s="7"/>
      <c r="C164" s="106"/>
      <c r="D164" s="106"/>
      <c r="E164" s="43"/>
      <c r="F164" s="107"/>
      <c r="G164" s="107"/>
      <c r="H164" s="76" t="str">
        <f t="shared" si="5"/>
        <v/>
      </c>
      <c r="I164" s="107"/>
      <c r="J164" s="106"/>
      <c r="K164" s="107"/>
    </row>
    <row r="165" spans="1:11">
      <c r="A165" s="74" t="str">
        <f t="shared" si="4"/>
        <v/>
      </c>
      <c r="B165" s="7"/>
      <c r="C165" s="106"/>
      <c r="D165" s="106"/>
      <c r="E165" s="43"/>
      <c r="F165" s="107"/>
      <c r="G165" s="107"/>
      <c r="H165" s="76" t="str">
        <f t="shared" si="5"/>
        <v/>
      </c>
      <c r="I165" s="107"/>
      <c r="J165" s="106"/>
      <c r="K165" s="107"/>
    </row>
    <row r="166" spans="1:11">
      <c r="A166" s="74" t="str">
        <f t="shared" si="4"/>
        <v/>
      </c>
      <c r="B166" s="7"/>
      <c r="C166" s="106"/>
      <c r="D166" s="106"/>
      <c r="E166" s="43"/>
      <c r="F166" s="107"/>
      <c r="G166" s="107"/>
      <c r="H166" s="76" t="str">
        <f t="shared" si="5"/>
        <v/>
      </c>
      <c r="I166" s="107"/>
      <c r="J166" s="106"/>
      <c r="K166" s="107"/>
    </row>
    <row r="167" spans="1:11">
      <c r="A167" s="74" t="str">
        <f t="shared" si="4"/>
        <v/>
      </c>
      <c r="B167" s="7"/>
      <c r="C167" s="106"/>
      <c r="D167" s="106"/>
      <c r="E167" s="43"/>
      <c r="F167" s="107"/>
      <c r="G167" s="107"/>
      <c r="H167" s="76" t="str">
        <f t="shared" si="5"/>
        <v/>
      </c>
      <c r="I167" s="107"/>
      <c r="J167" s="106"/>
      <c r="K167" s="107"/>
    </row>
    <row r="168" spans="1:11">
      <c r="A168" s="74" t="str">
        <f t="shared" si="4"/>
        <v/>
      </c>
      <c r="B168" s="7"/>
      <c r="C168" s="106"/>
      <c r="D168" s="106"/>
      <c r="E168" s="43"/>
      <c r="F168" s="107"/>
      <c r="G168" s="107"/>
      <c r="H168" s="76" t="str">
        <f t="shared" si="5"/>
        <v/>
      </c>
      <c r="I168" s="107"/>
      <c r="J168" s="106"/>
      <c r="K168" s="107"/>
    </row>
    <row r="169" spans="1:11">
      <c r="A169" s="74" t="str">
        <f t="shared" si="4"/>
        <v/>
      </c>
      <c r="B169" s="7"/>
      <c r="C169" s="106"/>
      <c r="D169" s="106"/>
      <c r="E169" s="43"/>
      <c r="F169" s="107"/>
      <c r="G169" s="107"/>
      <c r="H169" s="76" t="str">
        <f t="shared" si="5"/>
        <v/>
      </c>
      <c r="I169" s="107"/>
      <c r="J169" s="106"/>
      <c r="K169" s="107"/>
    </row>
    <row r="170" spans="1:11">
      <c r="A170" s="74" t="str">
        <f t="shared" si="4"/>
        <v/>
      </c>
      <c r="B170" s="7"/>
      <c r="C170" s="106"/>
      <c r="D170" s="106"/>
      <c r="E170" s="43"/>
      <c r="F170" s="107"/>
      <c r="G170" s="107"/>
      <c r="H170" s="76" t="str">
        <f t="shared" si="5"/>
        <v/>
      </c>
      <c r="I170" s="107"/>
      <c r="J170" s="106"/>
      <c r="K170" s="107"/>
    </row>
    <row r="171" spans="1:11">
      <c r="A171" s="74" t="str">
        <f t="shared" si="4"/>
        <v/>
      </c>
      <c r="B171" s="7"/>
      <c r="C171" s="106"/>
      <c r="D171" s="106"/>
      <c r="E171" s="43"/>
      <c r="F171" s="107"/>
      <c r="G171" s="107"/>
      <c r="H171" s="76" t="str">
        <f t="shared" si="5"/>
        <v/>
      </c>
      <c r="I171" s="107"/>
      <c r="J171" s="106"/>
      <c r="K171" s="107"/>
    </row>
    <row r="172" spans="1:11">
      <c r="A172" s="74" t="str">
        <f t="shared" si="4"/>
        <v/>
      </c>
      <c r="B172" s="7"/>
      <c r="C172" s="106"/>
      <c r="D172" s="106"/>
      <c r="E172" s="43"/>
      <c r="F172" s="107"/>
      <c r="G172" s="107"/>
      <c r="H172" s="76" t="str">
        <f t="shared" si="5"/>
        <v/>
      </c>
      <c r="I172" s="107"/>
      <c r="J172" s="106"/>
      <c r="K172" s="107"/>
    </row>
    <row r="173" spans="1:11">
      <c r="A173" s="74" t="str">
        <f t="shared" si="4"/>
        <v/>
      </c>
      <c r="B173" s="7"/>
      <c r="C173" s="106"/>
      <c r="D173" s="106"/>
      <c r="E173" s="43"/>
      <c r="F173" s="107"/>
      <c r="G173" s="107"/>
      <c r="H173" s="76" t="str">
        <f t="shared" si="5"/>
        <v/>
      </c>
      <c r="I173" s="107"/>
      <c r="J173" s="106"/>
      <c r="K173" s="107"/>
    </row>
    <row r="174" spans="1:11">
      <c r="A174" s="74" t="str">
        <f t="shared" si="4"/>
        <v/>
      </c>
      <c r="B174" s="7"/>
      <c r="C174" s="106"/>
      <c r="D174" s="106"/>
      <c r="E174" s="43"/>
      <c r="F174" s="107"/>
      <c r="G174" s="107"/>
      <c r="H174" s="76" t="str">
        <f t="shared" si="5"/>
        <v/>
      </c>
      <c r="I174" s="107"/>
      <c r="J174" s="106"/>
      <c r="K174" s="107"/>
    </row>
    <row r="175" spans="1:11">
      <c r="A175" s="74" t="str">
        <f t="shared" si="4"/>
        <v/>
      </c>
      <c r="B175" s="7"/>
      <c r="C175" s="106"/>
      <c r="D175" s="106"/>
      <c r="E175" s="43"/>
      <c r="F175" s="107"/>
      <c r="G175" s="107"/>
      <c r="H175" s="76" t="str">
        <f t="shared" si="5"/>
        <v/>
      </c>
      <c r="I175" s="107"/>
      <c r="J175" s="106"/>
      <c r="K175" s="107"/>
    </row>
    <row r="176" spans="1:11">
      <c r="A176" s="74" t="str">
        <f t="shared" si="4"/>
        <v/>
      </c>
      <c r="B176" s="7"/>
      <c r="C176" s="106"/>
      <c r="D176" s="106"/>
      <c r="E176" s="43"/>
      <c r="F176" s="107"/>
      <c r="G176" s="107"/>
      <c r="H176" s="76" t="str">
        <f t="shared" si="5"/>
        <v/>
      </c>
      <c r="I176" s="107"/>
      <c r="J176" s="106"/>
      <c r="K176" s="107"/>
    </row>
    <row r="177" spans="1:11">
      <c r="A177" s="74" t="str">
        <f t="shared" si="4"/>
        <v/>
      </c>
      <c r="B177" s="7"/>
      <c r="C177" s="106"/>
      <c r="D177" s="106"/>
      <c r="E177" s="43"/>
      <c r="F177" s="107"/>
      <c r="G177" s="107"/>
      <c r="H177" s="76" t="str">
        <f t="shared" si="5"/>
        <v/>
      </c>
      <c r="I177" s="107"/>
      <c r="J177" s="106"/>
      <c r="K177" s="107"/>
    </row>
    <row r="178" spans="1:11">
      <c r="A178" s="74" t="str">
        <f t="shared" si="4"/>
        <v/>
      </c>
      <c r="B178" s="7"/>
      <c r="C178" s="106"/>
      <c r="D178" s="106"/>
      <c r="E178" s="43"/>
      <c r="F178" s="107"/>
      <c r="G178" s="107"/>
      <c r="H178" s="76" t="str">
        <f t="shared" si="5"/>
        <v/>
      </c>
      <c r="I178" s="107"/>
      <c r="J178" s="106"/>
      <c r="K178" s="107"/>
    </row>
    <row r="179" spans="1:11">
      <c r="A179" s="74" t="str">
        <f t="shared" si="4"/>
        <v/>
      </c>
      <c r="B179" s="7"/>
      <c r="C179" s="106"/>
      <c r="D179" s="106"/>
      <c r="E179" s="43"/>
      <c r="F179" s="107"/>
      <c r="G179" s="107"/>
      <c r="H179" s="76" t="str">
        <f t="shared" si="5"/>
        <v/>
      </c>
      <c r="I179" s="107"/>
      <c r="J179" s="106"/>
      <c r="K179" s="107"/>
    </row>
    <row r="180" spans="1:11">
      <c r="A180" s="74" t="str">
        <f t="shared" si="4"/>
        <v/>
      </c>
      <c r="B180" s="7"/>
      <c r="C180" s="106"/>
      <c r="D180" s="106"/>
      <c r="E180" s="43"/>
      <c r="F180" s="107"/>
      <c r="G180" s="107"/>
      <c r="H180" s="76" t="str">
        <f t="shared" si="5"/>
        <v/>
      </c>
      <c r="I180" s="107"/>
      <c r="J180" s="106"/>
      <c r="K180" s="107"/>
    </row>
    <row r="181" spans="1:11">
      <c r="A181" s="74" t="str">
        <f t="shared" si="4"/>
        <v/>
      </c>
      <c r="B181" s="7"/>
      <c r="C181" s="106"/>
      <c r="D181" s="106"/>
      <c r="E181" s="43"/>
      <c r="F181" s="107"/>
      <c r="G181" s="107"/>
      <c r="H181" s="76" t="str">
        <f t="shared" si="5"/>
        <v/>
      </c>
      <c r="I181" s="107"/>
      <c r="J181" s="106"/>
      <c r="K181" s="107"/>
    </row>
    <row r="182" spans="1:11">
      <c r="A182" s="74" t="str">
        <f t="shared" si="4"/>
        <v/>
      </c>
      <c r="B182" s="7"/>
      <c r="C182" s="106"/>
      <c r="D182" s="106"/>
      <c r="E182" s="43"/>
      <c r="F182" s="107"/>
      <c r="G182" s="107"/>
      <c r="H182" s="76" t="str">
        <f t="shared" si="5"/>
        <v/>
      </c>
      <c r="I182" s="107"/>
      <c r="J182" s="106"/>
      <c r="K182" s="107"/>
    </row>
    <row r="183" spans="1:11">
      <c r="A183" s="74" t="str">
        <f t="shared" si="4"/>
        <v/>
      </c>
      <c r="B183" s="7"/>
      <c r="C183" s="106"/>
      <c r="D183" s="106"/>
      <c r="E183" s="43"/>
      <c r="F183" s="107"/>
      <c r="G183" s="107"/>
      <c r="H183" s="76" t="str">
        <f t="shared" si="5"/>
        <v/>
      </c>
      <c r="I183" s="107"/>
      <c r="J183" s="106"/>
      <c r="K183" s="107"/>
    </row>
    <row r="184" spans="1:11">
      <c r="A184" s="74" t="str">
        <f t="shared" si="4"/>
        <v/>
      </c>
      <c r="B184" s="7"/>
      <c r="C184" s="106"/>
      <c r="D184" s="106"/>
      <c r="E184" s="43"/>
      <c r="F184" s="107"/>
      <c r="G184" s="107"/>
      <c r="H184" s="76" t="str">
        <f t="shared" si="5"/>
        <v/>
      </c>
      <c r="I184" s="107"/>
      <c r="J184" s="106"/>
      <c r="K184" s="107"/>
    </row>
    <row r="185" spans="1:11">
      <c r="A185" s="74" t="str">
        <f t="shared" si="4"/>
        <v/>
      </c>
      <c r="B185" s="7"/>
      <c r="C185" s="106"/>
      <c r="D185" s="106"/>
      <c r="E185" s="43"/>
      <c r="F185" s="107"/>
      <c r="G185" s="107"/>
      <c r="H185" s="76" t="str">
        <f t="shared" si="5"/>
        <v/>
      </c>
      <c r="I185" s="107"/>
      <c r="J185" s="106"/>
      <c r="K185" s="107"/>
    </row>
    <row r="186" spans="1:11">
      <c r="A186" s="74" t="str">
        <f t="shared" si="4"/>
        <v/>
      </c>
      <c r="B186" s="7"/>
      <c r="C186" s="106"/>
      <c r="D186" s="106"/>
      <c r="E186" s="43"/>
      <c r="F186" s="107"/>
      <c r="G186" s="107"/>
      <c r="H186" s="76" t="str">
        <f t="shared" si="5"/>
        <v/>
      </c>
      <c r="I186" s="107"/>
      <c r="J186" s="106"/>
      <c r="K186" s="107"/>
    </row>
    <row r="187" spans="1:11">
      <c r="A187" s="74" t="str">
        <f t="shared" si="4"/>
        <v/>
      </c>
      <c r="B187" s="7"/>
      <c r="C187" s="106"/>
      <c r="D187" s="106"/>
      <c r="E187" s="43"/>
      <c r="F187" s="107"/>
      <c r="G187" s="107"/>
      <c r="H187" s="76" t="str">
        <f t="shared" si="5"/>
        <v/>
      </c>
      <c r="I187" s="107"/>
      <c r="J187" s="106"/>
      <c r="K187" s="107"/>
    </row>
    <row r="188" spans="1:11">
      <c r="A188" s="74" t="str">
        <f t="shared" si="4"/>
        <v/>
      </c>
      <c r="B188" s="7"/>
      <c r="C188" s="106"/>
      <c r="D188" s="106"/>
      <c r="E188" s="43"/>
      <c r="F188" s="107"/>
      <c r="G188" s="107"/>
      <c r="H188" s="76" t="str">
        <f t="shared" si="5"/>
        <v/>
      </c>
      <c r="I188" s="107"/>
      <c r="J188" s="106"/>
      <c r="K188" s="107"/>
    </row>
    <row r="189" spans="1:11">
      <c r="A189" s="74" t="str">
        <f t="shared" si="4"/>
        <v/>
      </c>
      <c r="B189" s="7"/>
      <c r="C189" s="106"/>
      <c r="D189" s="106"/>
      <c r="E189" s="43"/>
      <c r="F189" s="107"/>
      <c r="G189" s="107"/>
      <c r="H189" s="76" t="str">
        <f t="shared" si="5"/>
        <v/>
      </c>
      <c r="I189" s="107"/>
      <c r="J189" s="106"/>
      <c r="K189" s="107"/>
    </row>
    <row r="190" spans="1:11">
      <c r="A190" s="74" t="str">
        <f t="shared" si="4"/>
        <v/>
      </c>
      <c r="B190" s="7"/>
      <c r="C190" s="106"/>
      <c r="D190" s="106"/>
      <c r="E190" s="43"/>
      <c r="F190" s="107"/>
      <c r="G190" s="107"/>
      <c r="H190" s="76" t="str">
        <f t="shared" si="5"/>
        <v/>
      </c>
      <c r="I190" s="107"/>
      <c r="J190" s="106"/>
      <c r="K190" s="107"/>
    </row>
    <row r="191" spans="1:11">
      <c r="A191" s="74" t="str">
        <f t="shared" si="4"/>
        <v/>
      </c>
      <c r="B191" s="7"/>
      <c r="C191" s="106"/>
      <c r="D191" s="106"/>
      <c r="E191" s="43"/>
      <c r="F191" s="107"/>
      <c r="G191" s="107"/>
      <c r="H191" s="76" t="str">
        <f t="shared" si="5"/>
        <v/>
      </c>
      <c r="I191" s="107"/>
      <c r="J191" s="106"/>
      <c r="K191" s="107"/>
    </row>
    <row r="192" spans="1:11">
      <c r="A192" s="74" t="str">
        <f t="shared" si="4"/>
        <v/>
      </c>
      <c r="B192" s="7"/>
      <c r="C192" s="106"/>
      <c r="D192" s="106"/>
      <c r="E192" s="43"/>
      <c r="F192" s="107"/>
      <c r="G192" s="107"/>
      <c r="H192" s="76" t="str">
        <f t="shared" si="5"/>
        <v/>
      </c>
      <c r="I192" s="107"/>
      <c r="J192" s="106"/>
      <c r="K192" s="107"/>
    </row>
    <row r="193" spans="1:11">
      <c r="A193" s="74" t="str">
        <f t="shared" si="4"/>
        <v/>
      </c>
      <c r="B193" s="7"/>
      <c r="C193" s="106"/>
      <c r="D193" s="106"/>
      <c r="E193" s="43"/>
      <c r="F193" s="107"/>
      <c r="G193" s="107"/>
      <c r="H193" s="76" t="str">
        <f t="shared" si="5"/>
        <v/>
      </c>
      <c r="I193" s="107"/>
      <c r="J193" s="106"/>
      <c r="K193" s="107"/>
    </row>
    <row r="194" spans="1:11">
      <c r="A194" s="74" t="str">
        <f t="shared" si="4"/>
        <v/>
      </c>
      <c r="B194" s="7"/>
      <c r="C194" s="106"/>
      <c r="D194" s="106"/>
      <c r="E194" s="43"/>
      <c r="F194" s="107"/>
      <c r="G194" s="107"/>
      <c r="H194" s="76" t="str">
        <f t="shared" si="5"/>
        <v/>
      </c>
      <c r="I194" s="107"/>
      <c r="J194" s="106"/>
      <c r="K194" s="107"/>
    </row>
    <row r="195" spans="1:11">
      <c r="A195" s="74" t="str">
        <f t="shared" si="4"/>
        <v/>
      </c>
      <c r="B195" s="7"/>
      <c r="C195" s="106"/>
      <c r="D195" s="106"/>
      <c r="E195" s="43"/>
      <c r="F195" s="107"/>
      <c r="G195" s="107"/>
      <c r="H195" s="76" t="str">
        <f t="shared" si="5"/>
        <v/>
      </c>
      <c r="I195" s="107"/>
      <c r="J195" s="106"/>
      <c r="K195" s="107"/>
    </row>
    <row r="196" spans="1:11">
      <c r="A196" s="74" t="str">
        <f t="shared" ref="A196:A259" si="6">IF($C196="","",ROW()-3)</f>
        <v/>
      </c>
      <c r="B196" s="7"/>
      <c r="C196" s="106"/>
      <c r="D196" s="106"/>
      <c r="E196" s="43"/>
      <c r="F196" s="107"/>
      <c r="G196" s="107"/>
      <c r="H196" s="76" t="str">
        <f t="shared" ref="H196:H259" si="7">IF($C196="","",IF($K196&lt;&gt;"",ROUND(N($K196),2),IF(AND(N($F196)&lt;&gt;0,N($G196)&lt;&gt;0),ROUND(N($F196)*N($G196),2),"")))</f>
        <v/>
      </c>
      <c r="I196" s="107"/>
      <c r="J196" s="106"/>
      <c r="K196" s="107"/>
    </row>
    <row r="197" spans="1:11">
      <c r="A197" s="74" t="str">
        <f t="shared" si="6"/>
        <v/>
      </c>
      <c r="B197" s="7"/>
      <c r="C197" s="106"/>
      <c r="D197" s="106"/>
      <c r="E197" s="43"/>
      <c r="F197" s="107"/>
      <c r="G197" s="107"/>
      <c r="H197" s="76" t="str">
        <f t="shared" si="7"/>
        <v/>
      </c>
      <c r="I197" s="107"/>
      <c r="J197" s="106"/>
      <c r="K197" s="107"/>
    </row>
    <row r="198" spans="1:11">
      <c r="A198" s="74" t="str">
        <f t="shared" si="6"/>
        <v/>
      </c>
      <c r="B198" s="7"/>
      <c r="C198" s="106"/>
      <c r="D198" s="106"/>
      <c r="E198" s="43"/>
      <c r="F198" s="107"/>
      <c r="G198" s="107"/>
      <c r="H198" s="76" t="str">
        <f t="shared" si="7"/>
        <v/>
      </c>
      <c r="I198" s="107"/>
      <c r="J198" s="106"/>
      <c r="K198" s="107"/>
    </row>
    <row r="199" spans="1:11">
      <c r="A199" s="74" t="str">
        <f t="shared" si="6"/>
        <v/>
      </c>
      <c r="B199" s="7"/>
      <c r="C199" s="106"/>
      <c r="D199" s="106"/>
      <c r="E199" s="43"/>
      <c r="F199" s="107"/>
      <c r="G199" s="107"/>
      <c r="H199" s="76" t="str">
        <f t="shared" si="7"/>
        <v/>
      </c>
      <c r="I199" s="107"/>
      <c r="J199" s="106"/>
      <c r="K199" s="107"/>
    </row>
    <row r="200" spans="1:11">
      <c r="A200" s="74" t="str">
        <f t="shared" si="6"/>
        <v/>
      </c>
      <c r="B200" s="7"/>
      <c r="C200" s="106"/>
      <c r="D200" s="106"/>
      <c r="E200" s="43"/>
      <c r="F200" s="107"/>
      <c r="G200" s="107"/>
      <c r="H200" s="76" t="str">
        <f t="shared" si="7"/>
        <v/>
      </c>
      <c r="I200" s="107"/>
      <c r="J200" s="106"/>
      <c r="K200" s="107"/>
    </row>
    <row r="201" spans="1:11">
      <c r="A201" s="74" t="str">
        <f t="shared" si="6"/>
        <v/>
      </c>
      <c r="B201" s="7"/>
      <c r="C201" s="106"/>
      <c r="D201" s="106"/>
      <c r="E201" s="43"/>
      <c r="F201" s="107"/>
      <c r="G201" s="107"/>
      <c r="H201" s="76" t="str">
        <f t="shared" si="7"/>
        <v/>
      </c>
      <c r="I201" s="107"/>
      <c r="J201" s="106"/>
      <c r="K201" s="107"/>
    </row>
    <row r="202" spans="1:11">
      <c r="A202" s="74" t="str">
        <f t="shared" si="6"/>
        <v/>
      </c>
      <c r="B202" s="7"/>
      <c r="C202" s="106"/>
      <c r="D202" s="106"/>
      <c r="E202" s="43"/>
      <c r="F202" s="107"/>
      <c r="G202" s="107"/>
      <c r="H202" s="76" t="str">
        <f t="shared" si="7"/>
        <v/>
      </c>
      <c r="I202" s="107"/>
      <c r="J202" s="106"/>
      <c r="K202" s="107"/>
    </row>
    <row r="203" spans="1:11">
      <c r="A203" s="74" t="str">
        <f t="shared" si="6"/>
        <v/>
      </c>
      <c r="B203" s="7"/>
      <c r="C203" s="106"/>
      <c r="D203" s="106"/>
      <c r="E203" s="43"/>
      <c r="F203" s="107"/>
      <c r="G203" s="107"/>
      <c r="H203" s="76" t="str">
        <f t="shared" si="7"/>
        <v/>
      </c>
      <c r="I203" s="107"/>
      <c r="J203" s="106"/>
      <c r="K203" s="107"/>
    </row>
    <row r="204" spans="1:11">
      <c r="A204" s="74" t="str">
        <f t="shared" si="6"/>
        <v/>
      </c>
      <c r="B204" s="7"/>
      <c r="C204" s="106"/>
      <c r="D204" s="106"/>
      <c r="E204" s="43"/>
      <c r="F204" s="107"/>
      <c r="G204" s="107"/>
      <c r="H204" s="76" t="str">
        <f t="shared" si="7"/>
        <v/>
      </c>
      <c r="I204" s="107"/>
      <c r="J204" s="106"/>
      <c r="K204" s="107"/>
    </row>
    <row r="205" spans="1:11">
      <c r="A205" s="74" t="str">
        <f t="shared" si="6"/>
        <v/>
      </c>
      <c r="B205" s="7"/>
      <c r="C205" s="106"/>
      <c r="D205" s="106"/>
      <c r="E205" s="43"/>
      <c r="F205" s="107"/>
      <c r="G205" s="107"/>
      <c r="H205" s="76" t="str">
        <f t="shared" si="7"/>
        <v/>
      </c>
      <c r="I205" s="107"/>
      <c r="J205" s="106"/>
      <c r="K205" s="107"/>
    </row>
    <row r="206" spans="1:11">
      <c r="A206" s="74" t="str">
        <f t="shared" si="6"/>
        <v/>
      </c>
      <c r="B206" s="7"/>
      <c r="C206" s="106"/>
      <c r="D206" s="106"/>
      <c r="E206" s="43"/>
      <c r="F206" s="107"/>
      <c r="G206" s="107"/>
      <c r="H206" s="76" t="str">
        <f t="shared" si="7"/>
        <v/>
      </c>
      <c r="I206" s="107"/>
      <c r="J206" s="106"/>
      <c r="K206" s="107"/>
    </row>
    <row r="207" spans="1:11">
      <c r="A207" s="74" t="str">
        <f t="shared" si="6"/>
        <v/>
      </c>
      <c r="B207" s="7"/>
      <c r="C207" s="106"/>
      <c r="D207" s="106"/>
      <c r="E207" s="43"/>
      <c r="F207" s="107"/>
      <c r="G207" s="107"/>
      <c r="H207" s="76" t="str">
        <f t="shared" si="7"/>
        <v/>
      </c>
      <c r="I207" s="107"/>
      <c r="J207" s="106"/>
      <c r="K207" s="107"/>
    </row>
    <row r="208" spans="1:11">
      <c r="A208" s="74" t="str">
        <f t="shared" si="6"/>
        <v/>
      </c>
      <c r="B208" s="7"/>
      <c r="C208" s="106"/>
      <c r="D208" s="106"/>
      <c r="E208" s="43"/>
      <c r="F208" s="107"/>
      <c r="G208" s="107"/>
      <c r="H208" s="76" t="str">
        <f t="shared" si="7"/>
        <v/>
      </c>
      <c r="I208" s="107"/>
      <c r="J208" s="106"/>
      <c r="K208" s="107"/>
    </row>
    <row r="209" spans="1:11">
      <c r="A209" s="74" t="str">
        <f t="shared" si="6"/>
        <v/>
      </c>
      <c r="B209" s="7"/>
      <c r="C209" s="106"/>
      <c r="D209" s="106"/>
      <c r="E209" s="43"/>
      <c r="F209" s="107"/>
      <c r="G209" s="107"/>
      <c r="H209" s="76" t="str">
        <f t="shared" si="7"/>
        <v/>
      </c>
      <c r="I209" s="107"/>
      <c r="J209" s="106"/>
      <c r="K209" s="107"/>
    </row>
    <row r="210" spans="1:11">
      <c r="A210" s="74" t="str">
        <f t="shared" si="6"/>
        <v/>
      </c>
      <c r="B210" s="7"/>
      <c r="C210" s="106"/>
      <c r="D210" s="106"/>
      <c r="E210" s="43"/>
      <c r="F210" s="107"/>
      <c r="G210" s="107"/>
      <c r="H210" s="76" t="str">
        <f t="shared" si="7"/>
        <v/>
      </c>
      <c r="I210" s="107"/>
      <c r="J210" s="106"/>
      <c r="K210" s="107"/>
    </row>
    <row r="211" spans="1:11">
      <c r="A211" s="74" t="str">
        <f t="shared" si="6"/>
        <v/>
      </c>
      <c r="B211" s="7"/>
      <c r="C211" s="106"/>
      <c r="D211" s="106"/>
      <c r="E211" s="43"/>
      <c r="F211" s="107"/>
      <c r="G211" s="107"/>
      <c r="H211" s="76" t="str">
        <f t="shared" si="7"/>
        <v/>
      </c>
      <c r="I211" s="107"/>
      <c r="J211" s="106"/>
      <c r="K211" s="107"/>
    </row>
    <row r="212" spans="1:11">
      <c r="A212" s="74" t="str">
        <f t="shared" si="6"/>
        <v/>
      </c>
      <c r="B212" s="7"/>
      <c r="C212" s="106"/>
      <c r="D212" s="106"/>
      <c r="E212" s="43"/>
      <c r="F212" s="107"/>
      <c r="G212" s="107"/>
      <c r="H212" s="76" t="str">
        <f t="shared" si="7"/>
        <v/>
      </c>
      <c r="I212" s="107"/>
      <c r="J212" s="106"/>
      <c r="K212" s="107"/>
    </row>
    <row r="213" spans="1:11">
      <c r="A213" s="74" t="str">
        <f t="shared" si="6"/>
        <v/>
      </c>
      <c r="B213" s="7"/>
      <c r="C213" s="106"/>
      <c r="D213" s="106"/>
      <c r="E213" s="43"/>
      <c r="F213" s="107"/>
      <c r="G213" s="107"/>
      <c r="H213" s="76" t="str">
        <f t="shared" si="7"/>
        <v/>
      </c>
      <c r="I213" s="107"/>
      <c r="J213" s="106"/>
      <c r="K213" s="107"/>
    </row>
    <row r="214" spans="1:11">
      <c r="A214" s="74" t="str">
        <f t="shared" si="6"/>
        <v/>
      </c>
      <c r="B214" s="7"/>
      <c r="C214" s="106"/>
      <c r="D214" s="106"/>
      <c r="E214" s="43"/>
      <c r="F214" s="107"/>
      <c r="G214" s="107"/>
      <c r="H214" s="76" t="str">
        <f t="shared" si="7"/>
        <v/>
      </c>
      <c r="I214" s="107"/>
      <c r="J214" s="106"/>
      <c r="K214" s="107"/>
    </row>
    <row r="215" spans="1:11">
      <c r="A215" s="74" t="str">
        <f t="shared" si="6"/>
        <v/>
      </c>
      <c r="B215" s="7"/>
      <c r="C215" s="106"/>
      <c r="D215" s="106"/>
      <c r="E215" s="43"/>
      <c r="F215" s="107"/>
      <c r="G215" s="107"/>
      <c r="H215" s="76" t="str">
        <f t="shared" si="7"/>
        <v/>
      </c>
      <c r="I215" s="107"/>
      <c r="J215" s="106"/>
      <c r="K215" s="107"/>
    </row>
    <row r="216" spans="1:11">
      <c r="A216" s="74" t="str">
        <f t="shared" si="6"/>
        <v/>
      </c>
      <c r="B216" s="7"/>
      <c r="C216" s="106"/>
      <c r="D216" s="106"/>
      <c r="E216" s="43"/>
      <c r="F216" s="107"/>
      <c r="G216" s="107"/>
      <c r="H216" s="76" t="str">
        <f t="shared" si="7"/>
        <v/>
      </c>
      <c r="I216" s="107"/>
      <c r="J216" s="106"/>
      <c r="K216" s="107"/>
    </row>
    <row r="217" spans="1:11">
      <c r="A217" s="74" t="str">
        <f t="shared" si="6"/>
        <v/>
      </c>
      <c r="B217" s="7"/>
      <c r="C217" s="106"/>
      <c r="D217" s="106"/>
      <c r="E217" s="43"/>
      <c r="F217" s="107"/>
      <c r="G217" s="107"/>
      <c r="H217" s="76" t="str">
        <f t="shared" si="7"/>
        <v/>
      </c>
      <c r="I217" s="107"/>
      <c r="J217" s="106"/>
      <c r="K217" s="107"/>
    </row>
    <row r="218" spans="1:11">
      <c r="A218" s="74" t="str">
        <f t="shared" si="6"/>
        <v/>
      </c>
      <c r="B218" s="7"/>
      <c r="C218" s="106"/>
      <c r="D218" s="106"/>
      <c r="E218" s="43"/>
      <c r="F218" s="107"/>
      <c r="G218" s="107"/>
      <c r="H218" s="76" t="str">
        <f t="shared" si="7"/>
        <v/>
      </c>
      <c r="I218" s="107"/>
      <c r="J218" s="106"/>
      <c r="K218" s="107"/>
    </row>
    <row r="219" spans="1:11">
      <c r="A219" s="74" t="str">
        <f t="shared" si="6"/>
        <v/>
      </c>
      <c r="B219" s="7"/>
      <c r="C219" s="106"/>
      <c r="D219" s="106"/>
      <c r="E219" s="43"/>
      <c r="F219" s="107"/>
      <c r="G219" s="107"/>
      <c r="H219" s="76" t="str">
        <f t="shared" si="7"/>
        <v/>
      </c>
      <c r="I219" s="107"/>
      <c r="J219" s="106"/>
      <c r="K219" s="107"/>
    </row>
    <row r="220" spans="1:11">
      <c r="A220" s="74" t="str">
        <f t="shared" si="6"/>
        <v/>
      </c>
      <c r="B220" s="7"/>
      <c r="C220" s="106"/>
      <c r="D220" s="106"/>
      <c r="E220" s="43"/>
      <c r="F220" s="107"/>
      <c r="G220" s="107"/>
      <c r="H220" s="76" t="str">
        <f t="shared" si="7"/>
        <v/>
      </c>
      <c r="I220" s="107"/>
      <c r="J220" s="106"/>
      <c r="K220" s="107"/>
    </row>
    <row r="221" spans="1:11">
      <c r="A221" s="74" t="str">
        <f t="shared" si="6"/>
        <v/>
      </c>
      <c r="B221" s="7"/>
      <c r="C221" s="106"/>
      <c r="D221" s="106"/>
      <c r="E221" s="43"/>
      <c r="F221" s="107"/>
      <c r="G221" s="107"/>
      <c r="H221" s="76" t="str">
        <f t="shared" si="7"/>
        <v/>
      </c>
      <c r="I221" s="107"/>
      <c r="J221" s="106"/>
      <c r="K221" s="107"/>
    </row>
    <row r="222" spans="1:11">
      <c r="A222" s="74" t="str">
        <f t="shared" si="6"/>
        <v/>
      </c>
      <c r="B222" s="7"/>
      <c r="C222" s="106"/>
      <c r="D222" s="106"/>
      <c r="E222" s="43"/>
      <c r="F222" s="107"/>
      <c r="G222" s="107"/>
      <c r="H222" s="76" t="str">
        <f t="shared" si="7"/>
        <v/>
      </c>
      <c r="I222" s="107"/>
      <c r="J222" s="106"/>
      <c r="K222" s="107"/>
    </row>
    <row r="223" spans="1:11">
      <c r="A223" s="74" t="str">
        <f t="shared" si="6"/>
        <v/>
      </c>
      <c r="B223" s="7"/>
      <c r="C223" s="106"/>
      <c r="D223" s="106"/>
      <c r="E223" s="43"/>
      <c r="F223" s="107"/>
      <c r="G223" s="107"/>
      <c r="H223" s="76" t="str">
        <f t="shared" si="7"/>
        <v/>
      </c>
      <c r="I223" s="107"/>
      <c r="J223" s="106"/>
      <c r="K223" s="107"/>
    </row>
    <row r="224" spans="1:11">
      <c r="A224" s="74" t="str">
        <f t="shared" si="6"/>
        <v/>
      </c>
      <c r="B224" s="7"/>
      <c r="C224" s="106"/>
      <c r="D224" s="106"/>
      <c r="E224" s="43"/>
      <c r="F224" s="107"/>
      <c r="G224" s="107"/>
      <c r="H224" s="76" t="str">
        <f t="shared" si="7"/>
        <v/>
      </c>
      <c r="I224" s="107"/>
      <c r="J224" s="106"/>
      <c r="K224" s="107"/>
    </row>
    <row r="225" spans="1:11">
      <c r="A225" s="74" t="str">
        <f t="shared" si="6"/>
        <v/>
      </c>
      <c r="B225" s="7"/>
      <c r="C225" s="106"/>
      <c r="D225" s="106"/>
      <c r="E225" s="43"/>
      <c r="F225" s="107"/>
      <c r="G225" s="107"/>
      <c r="H225" s="76" t="str">
        <f t="shared" si="7"/>
        <v/>
      </c>
      <c r="I225" s="107"/>
      <c r="J225" s="106"/>
      <c r="K225" s="107"/>
    </row>
    <row r="226" spans="1:11">
      <c r="A226" s="74" t="str">
        <f t="shared" si="6"/>
        <v/>
      </c>
      <c r="B226" s="7"/>
      <c r="C226" s="106"/>
      <c r="D226" s="106"/>
      <c r="E226" s="43"/>
      <c r="F226" s="107"/>
      <c r="G226" s="107"/>
      <c r="H226" s="76" t="str">
        <f t="shared" si="7"/>
        <v/>
      </c>
      <c r="I226" s="107"/>
      <c r="J226" s="106"/>
      <c r="K226" s="107"/>
    </row>
    <row r="227" spans="1:11">
      <c r="A227" s="74" t="str">
        <f t="shared" si="6"/>
        <v/>
      </c>
      <c r="B227" s="7"/>
      <c r="C227" s="106"/>
      <c r="D227" s="106"/>
      <c r="E227" s="43"/>
      <c r="F227" s="107"/>
      <c r="G227" s="107"/>
      <c r="H227" s="76" t="str">
        <f t="shared" si="7"/>
        <v/>
      </c>
      <c r="I227" s="107"/>
      <c r="J227" s="106"/>
      <c r="K227" s="107"/>
    </row>
    <row r="228" spans="1:11">
      <c r="A228" s="74" t="str">
        <f t="shared" si="6"/>
        <v/>
      </c>
      <c r="B228" s="7"/>
      <c r="C228" s="106"/>
      <c r="D228" s="106"/>
      <c r="E228" s="43"/>
      <c r="F228" s="107"/>
      <c r="G228" s="107"/>
      <c r="H228" s="76" t="str">
        <f t="shared" si="7"/>
        <v/>
      </c>
      <c r="I228" s="107"/>
      <c r="J228" s="106"/>
      <c r="K228" s="107"/>
    </row>
    <row r="229" spans="1:11">
      <c r="A229" s="74" t="str">
        <f t="shared" si="6"/>
        <v/>
      </c>
      <c r="B229" s="7"/>
      <c r="C229" s="106"/>
      <c r="D229" s="106"/>
      <c r="E229" s="43"/>
      <c r="F229" s="107"/>
      <c r="G229" s="107"/>
      <c r="H229" s="76" t="str">
        <f t="shared" si="7"/>
        <v/>
      </c>
      <c r="I229" s="107"/>
      <c r="J229" s="106"/>
      <c r="K229" s="107"/>
    </row>
    <row r="230" spans="1:11">
      <c r="A230" s="74" t="str">
        <f t="shared" si="6"/>
        <v/>
      </c>
      <c r="B230" s="7"/>
      <c r="C230" s="106"/>
      <c r="D230" s="106"/>
      <c r="E230" s="43"/>
      <c r="F230" s="107"/>
      <c r="G230" s="107"/>
      <c r="H230" s="76" t="str">
        <f t="shared" si="7"/>
        <v/>
      </c>
      <c r="I230" s="107"/>
      <c r="J230" s="106"/>
      <c r="K230" s="107"/>
    </row>
    <row r="231" spans="1:11">
      <c r="A231" s="74" t="str">
        <f t="shared" si="6"/>
        <v/>
      </c>
      <c r="B231" s="7"/>
      <c r="C231" s="106"/>
      <c r="D231" s="106"/>
      <c r="E231" s="43"/>
      <c r="F231" s="107"/>
      <c r="G231" s="107"/>
      <c r="H231" s="76" t="str">
        <f t="shared" si="7"/>
        <v/>
      </c>
      <c r="I231" s="107"/>
      <c r="J231" s="106"/>
      <c r="K231" s="107"/>
    </row>
    <row r="232" spans="1:11">
      <c r="A232" s="74" t="str">
        <f t="shared" si="6"/>
        <v/>
      </c>
      <c r="B232" s="7"/>
      <c r="C232" s="106"/>
      <c r="D232" s="106"/>
      <c r="E232" s="43"/>
      <c r="F232" s="107"/>
      <c r="G232" s="107"/>
      <c r="H232" s="76" t="str">
        <f t="shared" si="7"/>
        <v/>
      </c>
      <c r="I232" s="107"/>
      <c r="J232" s="106"/>
      <c r="K232" s="107"/>
    </row>
    <row r="233" spans="1:11">
      <c r="A233" s="74" t="str">
        <f t="shared" si="6"/>
        <v/>
      </c>
      <c r="B233" s="7"/>
      <c r="C233" s="106"/>
      <c r="D233" s="106"/>
      <c r="E233" s="43"/>
      <c r="F233" s="107"/>
      <c r="G233" s="107"/>
      <c r="H233" s="76" t="str">
        <f t="shared" si="7"/>
        <v/>
      </c>
      <c r="I233" s="107"/>
      <c r="J233" s="106"/>
      <c r="K233" s="107"/>
    </row>
    <row r="234" spans="1:11">
      <c r="A234" s="74" t="str">
        <f t="shared" si="6"/>
        <v/>
      </c>
      <c r="B234" s="7"/>
      <c r="C234" s="106"/>
      <c r="D234" s="106"/>
      <c r="E234" s="43"/>
      <c r="F234" s="107"/>
      <c r="G234" s="107"/>
      <c r="H234" s="76" t="str">
        <f t="shared" si="7"/>
        <v/>
      </c>
      <c r="I234" s="107"/>
      <c r="J234" s="106"/>
      <c r="K234" s="107"/>
    </row>
    <row r="235" spans="1:11">
      <c r="A235" s="74" t="str">
        <f t="shared" si="6"/>
        <v/>
      </c>
      <c r="B235" s="7"/>
      <c r="C235" s="106"/>
      <c r="D235" s="106"/>
      <c r="E235" s="43"/>
      <c r="F235" s="107"/>
      <c r="G235" s="107"/>
      <c r="H235" s="76" t="str">
        <f t="shared" si="7"/>
        <v/>
      </c>
      <c r="I235" s="107"/>
      <c r="J235" s="106"/>
      <c r="K235" s="107"/>
    </row>
    <row r="236" spans="1:11">
      <c r="A236" s="74" t="str">
        <f t="shared" si="6"/>
        <v/>
      </c>
      <c r="B236" s="7"/>
      <c r="C236" s="106"/>
      <c r="D236" s="106"/>
      <c r="E236" s="43"/>
      <c r="F236" s="107"/>
      <c r="G236" s="107"/>
      <c r="H236" s="76" t="str">
        <f t="shared" si="7"/>
        <v/>
      </c>
      <c r="I236" s="107"/>
      <c r="J236" s="106"/>
      <c r="K236" s="107"/>
    </row>
    <row r="237" spans="1:11">
      <c r="A237" s="74" t="str">
        <f t="shared" si="6"/>
        <v/>
      </c>
      <c r="B237" s="7"/>
      <c r="C237" s="106"/>
      <c r="D237" s="106"/>
      <c r="E237" s="43"/>
      <c r="F237" s="107"/>
      <c r="G237" s="107"/>
      <c r="H237" s="76" t="str">
        <f t="shared" si="7"/>
        <v/>
      </c>
      <c r="I237" s="107"/>
      <c r="J237" s="106"/>
      <c r="K237" s="107"/>
    </row>
    <row r="238" spans="1:11">
      <c r="A238" s="74" t="str">
        <f t="shared" si="6"/>
        <v/>
      </c>
      <c r="B238" s="7"/>
      <c r="C238" s="106"/>
      <c r="D238" s="106"/>
      <c r="E238" s="43"/>
      <c r="F238" s="107"/>
      <c r="G238" s="107"/>
      <c r="H238" s="76" t="str">
        <f t="shared" si="7"/>
        <v/>
      </c>
      <c r="I238" s="107"/>
      <c r="J238" s="106"/>
      <c r="K238" s="107"/>
    </row>
    <row r="239" spans="1:11">
      <c r="A239" s="74" t="str">
        <f t="shared" si="6"/>
        <v/>
      </c>
      <c r="B239" s="7"/>
      <c r="C239" s="106"/>
      <c r="D239" s="106"/>
      <c r="E239" s="43"/>
      <c r="F239" s="107"/>
      <c r="G239" s="107"/>
      <c r="H239" s="76" t="str">
        <f t="shared" si="7"/>
        <v/>
      </c>
      <c r="I239" s="107"/>
      <c r="J239" s="106"/>
      <c r="K239" s="107"/>
    </row>
    <row r="240" spans="1:11">
      <c r="A240" s="74" t="str">
        <f t="shared" si="6"/>
        <v/>
      </c>
      <c r="B240" s="7"/>
      <c r="C240" s="106"/>
      <c r="D240" s="106"/>
      <c r="E240" s="43"/>
      <c r="F240" s="107"/>
      <c r="G240" s="107"/>
      <c r="H240" s="76" t="str">
        <f t="shared" si="7"/>
        <v/>
      </c>
      <c r="I240" s="107"/>
      <c r="J240" s="106"/>
      <c r="K240" s="107"/>
    </row>
    <row r="241" spans="1:11">
      <c r="A241" s="74" t="str">
        <f t="shared" si="6"/>
        <v/>
      </c>
      <c r="B241" s="7"/>
      <c r="C241" s="106"/>
      <c r="D241" s="106"/>
      <c r="E241" s="43"/>
      <c r="F241" s="107"/>
      <c r="G241" s="107"/>
      <c r="H241" s="76" t="str">
        <f t="shared" si="7"/>
        <v/>
      </c>
      <c r="I241" s="107"/>
      <c r="J241" s="106"/>
      <c r="K241" s="107"/>
    </row>
    <row r="242" spans="1:11">
      <c r="A242" s="74" t="str">
        <f t="shared" si="6"/>
        <v/>
      </c>
      <c r="B242" s="7"/>
      <c r="C242" s="106"/>
      <c r="D242" s="106"/>
      <c r="E242" s="43"/>
      <c r="F242" s="107"/>
      <c r="G242" s="107"/>
      <c r="H242" s="76" t="str">
        <f t="shared" si="7"/>
        <v/>
      </c>
      <c r="I242" s="107"/>
      <c r="J242" s="106"/>
      <c r="K242" s="107"/>
    </row>
    <row r="243" spans="1:11">
      <c r="A243" s="74" t="str">
        <f t="shared" si="6"/>
        <v/>
      </c>
      <c r="B243" s="7"/>
      <c r="C243" s="106"/>
      <c r="D243" s="106"/>
      <c r="E243" s="43"/>
      <c r="F243" s="107"/>
      <c r="G243" s="107"/>
      <c r="H243" s="76" t="str">
        <f t="shared" si="7"/>
        <v/>
      </c>
      <c r="I243" s="107"/>
      <c r="J243" s="106"/>
      <c r="K243" s="107"/>
    </row>
    <row r="244" spans="1:11">
      <c r="A244" s="74" t="str">
        <f t="shared" si="6"/>
        <v/>
      </c>
      <c r="B244" s="7"/>
      <c r="C244" s="106"/>
      <c r="D244" s="106"/>
      <c r="E244" s="43"/>
      <c r="F244" s="107"/>
      <c r="G244" s="107"/>
      <c r="H244" s="76" t="str">
        <f t="shared" si="7"/>
        <v/>
      </c>
      <c r="I244" s="107"/>
      <c r="J244" s="106"/>
      <c r="K244" s="107"/>
    </row>
    <row r="245" spans="1:11">
      <c r="A245" s="74" t="str">
        <f t="shared" si="6"/>
        <v/>
      </c>
      <c r="B245" s="7"/>
      <c r="C245" s="106"/>
      <c r="D245" s="106"/>
      <c r="E245" s="43"/>
      <c r="F245" s="107"/>
      <c r="G245" s="107"/>
      <c r="H245" s="76" t="str">
        <f t="shared" si="7"/>
        <v/>
      </c>
      <c r="I245" s="107"/>
      <c r="J245" s="106"/>
      <c r="K245" s="107"/>
    </row>
    <row r="246" spans="1:11">
      <c r="A246" s="74" t="str">
        <f t="shared" si="6"/>
        <v/>
      </c>
      <c r="B246" s="7"/>
      <c r="C246" s="106"/>
      <c r="D246" s="106"/>
      <c r="E246" s="43"/>
      <c r="F246" s="107"/>
      <c r="G246" s="107"/>
      <c r="H246" s="76" t="str">
        <f t="shared" si="7"/>
        <v/>
      </c>
      <c r="I246" s="107"/>
      <c r="J246" s="106"/>
      <c r="K246" s="107"/>
    </row>
    <row r="247" spans="1:11">
      <c r="A247" s="74" t="str">
        <f t="shared" si="6"/>
        <v/>
      </c>
      <c r="B247" s="7"/>
      <c r="C247" s="106"/>
      <c r="D247" s="106"/>
      <c r="E247" s="43"/>
      <c r="F247" s="107"/>
      <c r="G247" s="107"/>
      <c r="H247" s="76" t="str">
        <f t="shared" si="7"/>
        <v/>
      </c>
      <c r="I247" s="107"/>
      <c r="J247" s="106"/>
      <c r="K247" s="107"/>
    </row>
    <row r="248" spans="1:11">
      <c r="A248" s="74" t="str">
        <f t="shared" si="6"/>
        <v/>
      </c>
      <c r="B248" s="7"/>
      <c r="C248" s="106"/>
      <c r="D248" s="106"/>
      <c r="E248" s="43"/>
      <c r="F248" s="107"/>
      <c r="G248" s="107"/>
      <c r="H248" s="76" t="str">
        <f t="shared" si="7"/>
        <v/>
      </c>
      <c r="I248" s="107"/>
      <c r="J248" s="106"/>
      <c r="K248" s="107"/>
    </row>
    <row r="249" spans="1:11">
      <c r="A249" s="74" t="str">
        <f t="shared" si="6"/>
        <v/>
      </c>
      <c r="B249" s="7"/>
      <c r="C249" s="106"/>
      <c r="D249" s="106"/>
      <c r="E249" s="43"/>
      <c r="F249" s="107"/>
      <c r="G249" s="107"/>
      <c r="H249" s="76" t="str">
        <f t="shared" si="7"/>
        <v/>
      </c>
      <c r="I249" s="107"/>
      <c r="J249" s="106"/>
      <c r="K249" s="107"/>
    </row>
    <row r="250" spans="1:11">
      <c r="A250" s="74" t="str">
        <f t="shared" si="6"/>
        <v/>
      </c>
      <c r="B250" s="7"/>
      <c r="C250" s="106"/>
      <c r="D250" s="106"/>
      <c r="E250" s="43"/>
      <c r="F250" s="107"/>
      <c r="G250" s="107"/>
      <c r="H250" s="76" t="str">
        <f t="shared" si="7"/>
        <v/>
      </c>
      <c r="I250" s="107"/>
      <c r="J250" s="106"/>
      <c r="K250" s="107"/>
    </row>
    <row r="251" spans="1:11">
      <c r="A251" s="74" t="str">
        <f t="shared" si="6"/>
        <v/>
      </c>
      <c r="B251" s="7"/>
      <c r="C251" s="106"/>
      <c r="D251" s="106"/>
      <c r="E251" s="43"/>
      <c r="F251" s="107"/>
      <c r="G251" s="107"/>
      <c r="H251" s="76" t="str">
        <f t="shared" si="7"/>
        <v/>
      </c>
      <c r="I251" s="107"/>
      <c r="J251" s="106"/>
      <c r="K251" s="107"/>
    </row>
    <row r="252" spans="1:11">
      <c r="A252" s="74" t="str">
        <f t="shared" si="6"/>
        <v/>
      </c>
      <c r="B252" s="7"/>
      <c r="C252" s="106"/>
      <c r="D252" s="106"/>
      <c r="E252" s="43"/>
      <c r="F252" s="107"/>
      <c r="G252" s="107"/>
      <c r="H252" s="76" t="str">
        <f t="shared" si="7"/>
        <v/>
      </c>
      <c r="I252" s="107"/>
      <c r="J252" s="106"/>
      <c r="K252" s="107"/>
    </row>
    <row r="253" spans="1:11">
      <c r="A253" s="74" t="str">
        <f t="shared" si="6"/>
        <v/>
      </c>
      <c r="B253" s="7"/>
      <c r="C253" s="106"/>
      <c r="D253" s="106"/>
      <c r="E253" s="43"/>
      <c r="F253" s="107"/>
      <c r="G253" s="107"/>
      <c r="H253" s="76" t="str">
        <f t="shared" si="7"/>
        <v/>
      </c>
      <c r="I253" s="107"/>
      <c r="J253" s="106"/>
      <c r="K253" s="107"/>
    </row>
    <row r="254" spans="1:11">
      <c r="A254" s="74" t="str">
        <f t="shared" si="6"/>
        <v/>
      </c>
      <c r="B254" s="7"/>
      <c r="C254" s="106"/>
      <c r="D254" s="106"/>
      <c r="E254" s="43"/>
      <c r="F254" s="107"/>
      <c r="G254" s="107"/>
      <c r="H254" s="76" t="str">
        <f t="shared" si="7"/>
        <v/>
      </c>
      <c r="I254" s="107"/>
      <c r="J254" s="106"/>
      <c r="K254" s="107"/>
    </row>
    <row r="255" spans="1:11">
      <c r="A255" s="74" t="str">
        <f t="shared" si="6"/>
        <v/>
      </c>
      <c r="B255" s="7"/>
      <c r="C255" s="106"/>
      <c r="D255" s="106"/>
      <c r="E255" s="43"/>
      <c r="F255" s="107"/>
      <c r="G255" s="107"/>
      <c r="H255" s="76" t="str">
        <f t="shared" si="7"/>
        <v/>
      </c>
      <c r="I255" s="107"/>
      <c r="J255" s="106"/>
      <c r="K255" s="107"/>
    </row>
    <row r="256" spans="1:11">
      <c r="A256" s="74" t="str">
        <f t="shared" si="6"/>
        <v/>
      </c>
      <c r="B256" s="7"/>
      <c r="C256" s="106"/>
      <c r="D256" s="106"/>
      <c r="E256" s="43"/>
      <c r="F256" s="107"/>
      <c r="G256" s="107"/>
      <c r="H256" s="76" t="str">
        <f t="shared" si="7"/>
        <v/>
      </c>
      <c r="I256" s="107"/>
      <c r="J256" s="106"/>
      <c r="K256" s="107"/>
    </row>
    <row r="257" spans="1:11">
      <c r="A257" s="74" t="str">
        <f t="shared" si="6"/>
        <v/>
      </c>
      <c r="B257" s="7"/>
      <c r="C257" s="106"/>
      <c r="D257" s="106"/>
      <c r="E257" s="43"/>
      <c r="F257" s="107"/>
      <c r="G257" s="107"/>
      <c r="H257" s="76" t="str">
        <f t="shared" si="7"/>
        <v/>
      </c>
      <c r="I257" s="107"/>
      <c r="J257" s="106"/>
      <c r="K257" s="107"/>
    </row>
    <row r="258" spans="1:11">
      <c r="A258" s="74" t="str">
        <f t="shared" si="6"/>
        <v/>
      </c>
      <c r="B258" s="7"/>
      <c r="C258" s="106"/>
      <c r="D258" s="106"/>
      <c r="E258" s="43"/>
      <c r="F258" s="107"/>
      <c r="G258" s="107"/>
      <c r="H258" s="76" t="str">
        <f t="shared" si="7"/>
        <v/>
      </c>
      <c r="I258" s="107"/>
      <c r="J258" s="106"/>
      <c r="K258" s="107"/>
    </row>
    <row r="259" spans="1:11">
      <c r="A259" s="74" t="str">
        <f t="shared" si="6"/>
        <v/>
      </c>
      <c r="B259" s="7"/>
      <c r="C259" s="106"/>
      <c r="D259" s="106"/>
      <c r="E259" s="43"/>
      <c r="F259" s="107"/>
      <c r="G259" s="107"/>
      <c r="H259" s="76" t="str">
        <f t="shared" si="7"/>
        <v/>
      </c>
      <c r="I259" s="107"/>
      <c r="J259" s="106"/>
      <c r="K259" s="107"/>
    </row>
    <row r="260" spans="1:11">
      <c r="A260" s="74" t="str">
        <f t="shared" ref="A260:A303" si="8">IF($C260="","",ROW()-3)</f>
        <v/>
      </c>
      <c r="B260" s="7"/>
      <c r="C260" s="106"/>
      <c r="D260" s="106"/>
      <c r="E260" s="43"/>
      <c r="F260" s="107"/>
      <c r="G260" s="107"/>
      <c r="H260" s="76" t="str">
        <f t="shared" ref="H260:H303" si="9">IF($C260="","",IF($K260&lt;&gt;"",ROUND(N($K260),2),IF(AND(N($F260)&lt;&gt;0,N($G260)&lt;&gt;0),ROUND(N($F260)*N($G260),2),"")))</f>
        <v/>
      </c>
      <c r="I260" s="107"/>
      <c r="J260" s="106"/>
      <c r="K260" s="107"/>
    </row>
    <row r="261" spans="1:11">
      <c r="A261" s="74" t="str">
        <f t="shared" si="8"/>
        <v/>
      </c>
      <c r="B261" s="7"/>
      <c r="C261" s="106"/>
      <c r="D261" s="106"/>
      <c r="E261" s="43"/>
      <c r="F261" s="107"/>
      <c r="G261" s="107"/>
      <c r="H261" s="76" t="str">
        <f t="shared" si="9"/>
        <v/>
      </c>
      <c r="I261" s="107"/>
      <c r="J261" s="106"/>
      <c r="K261" s="107"/>
    </row>
    <row r="262" spans="1:11">
      <c r="A262" s="74" t="str">
        <f t="shared" si="8"/>
        <v/>
      </c>
      <c r="B262" s="7"/>
      <c r="C262" s="106"/>
      <c r="D262" s="106"/>
      <c r="E262" s="43"/>
      <c r="F262" s="107"/>
      <c r="G262" s="107"/>
      <c r="H262" s="76" t="str">
        <f t="shared" si="9"/>
        <v/>
      </c>
      <c r="I262" s="107"/>
      <c r="J262" s="106"/>
      <c r="K262" s="107"/>
    </row>
    <row r="263" spans="1:11">
      <c r="A263" s="74" t="str">
        <f t="shared" si="8"/>
        <v/>
      </c>
      <c r="B263" s="7"/>
      <c r="C263" s="106"/>
      <c r="D263" s="106"/>
      <c r="E263" s="43"/>
      <c r="F263" s="107"/>
      <c r="G263" s="107"/>
      <c r="H263" s="76" t="str">
        <f t="shared" si="9"/>
        <v/>
      </c>
      <c r="I263" s="107"/>
      <c r="J263" s="106"/>
      <c r="K263" s="107"/>
    </row>
    <row r="264" spans="1:11">
      <c r="A264" s="74" t="str">
        <f t="shared" si="8"/>
        <v/>
      </c>
      <c r="B264" s="7"/>
      <c r="C264" s="106"/>
      <c r="D264" s="106"/>
      <c r="E264" s="43"/>
      <c r="F264" s="107"/>
      <c r="G264" s="107"/>
      <c r="H264" s="76" t="str">
        <f t="shared" si="9"/>
        <v/>
      </c>
      <c r="I264" s="107"/>
      <c r="J264" s="106"/>
      <c r="K264" s="107"/>
    </row>
    <row r="265" spans="1:11">
      <c r="A265" s="74" t="str">
        <f t="shared" si="8"/>
        <v/>
      </c>
      <c r="B265" s="7"/>
      <c r="C265" s="106"/>
      <c r="D265" s="106"/>
      <c r="E265" s="43"/>
      <c r="F265" s="107"/>
      <c r="G265" s="107"/>
      <c r="H265" s="76" t="str">
        <f t="shared" si="9"/>
        <v/>
      </c>
      <c r="I265" s="107"/>
      <c r="J265" s="106"/>
      <c r="K265" s="107"/>
    </row>
    <row r="266" spans="1:11">
      <c r="A266" s="74" t="str">
        <f t="shared" si="8"/>
        <v/>
      </c>
      <c r="B266" s="7"/>
      <c r="C266" s="106"/>
      <c r="D266" s="106"/>
      <c r="E266" s="43"/>
      <c r="F266" s="107"/>
      <c r="G266" s="107"/>
      <c r="H266" s="76" t="str">
        <f t="shared" si="9"/>
        <v/>
      </c>
      <c r="I266" s="107"/>
      <c r="J266" s="106"/>
      <c r="K266" s="107"/>
    </row>
    <row r="267" spans="1:11">
      <c r="A267" s="74" t="str">
        <f t="shared" si="8"/>
        <v/>
      </c>
      <c r="B267" s="7"/>
      <c r="C267" s="106"/>
      <c r="D267" s="106"/>
      <c r="E267" s="43"/>
      <c r="F267" s="107"/>
      <c r="G267" s="107"/>
      <c r="H267" s="76" t="str">
        <f t="shared" si="9"/>
        <v/>
      </c>
      <c r="I267" s="107"/>
      <c r="J267" s="106"/>
      <c r="K267" s="107"/>
    </row>
    <row r="268" spans="1:11">
      <c r="A268" s="74" t="str">
        <f t="shared" si="8"/>
        <v/>
      </c>
      <c r="B268" s="7"/>
      <c r="C268" s="106"/>
      <c r="D268" s="106"/>
      <c r="E268" s="43"/>
      <c r="F268" s="107"/>
      <c r="G268" s="107"/>
      <c r="H268" s="76" t="str">
        <f t="shared" si="9"/>
        <v/>
      </c>
      <c r="I268" s="107"/>
      <c r="J268" s="106"/>
      <c r="K268" s="107"/>
    </row>
    <row r="269" spans="1:11">
      <c r="A269" s="74" t="str">
        <f t="shared" si="8"/>
        <v/>
      </c>
      <c r="B269" s="7"/>
      <c r="C269" s="106"/>
      <c r="D269" s="106"/>
      <c r="E269" s="43"/>
      <c r="F269" s="107"/>
      <c r="G269" s="107"/>
      <c r="H269" s="76" t="str">
        <f t="shared" si="9"/>
        <v/>
      </c>
      <c r="I269" s="107"/>
      <c r="J269" s="106"/>
      <c r="K269" s="107"/>
    </row>
    <row r="270" spans="1:11">
      <c r="A270" s="74" t="str">
        <f t="shared" si="8"/>
        <v/>
      </c>
      <c r="B270" s="7"/>
      <c r="C270" s="106"/>
      <c r="D270" s="106"/>
      <c r="E270" s="43"/>
      <c r="F270" s="107"/>
      <c r="G270" s="107"/>
      <c r="H270" s="76" t="str">
        <f t="shared" si="9"/>
        <v/>
      </c>
      <c r="I270" s="107"/>
      <c r="J270" s="106"/>
      <c r="K270" s="107"/>
    </row>
    <row r="271" spans="1:11">
      <c r="A271" s="74" t="str">
        <f t="shared" si="8"/>
        <v/>
      </c>
      <c r="B271" s="7"/>
      <c r="C271" s="106"/>
      <c r="D271" s="106"/>
      <c r="E271" s="43"/>
      <c r="F271" s="107"/>
      <c r="G271" s="107"/>
      <c r="H271" s="76" t="str">
        <f t="shared" si="9"/>
        <v/>
      </c>
      <c r="I271" s="107"/>
      <c r="J271" s="106"/>
      <c r="K271" s="107"/>
    </row>
    <row r="272" spans="1:11">
      <c r="A272" s="74" t="str">
        <f t="shared" si="8"/>
        <v/>
      </c>
      <c r="B272" s="7"/>
      <c r="C272" s="106"/>
      <c r="D272" s="106"/>
      <c r="E272" s="43"/>
      <c r="F272" s="107"/>
      <c r="G272" s="107"/>
      <c r="H272" s="76" t="str">
        <f t="shared" si="9"/>
        <v/>
      </c>
      <c r="I272" s="107"/>
      <c r="J272" s="106"/>
      <c r="K272" s="107"/>
    </row>
    <row r="273" spans="1:11">
      <c r="A273" s="74" t="str">
        <f t="shared" si="8"/>
        <v/>
      </c>
      <c r="B273" s="7"/>
      <c r="C273" s="106"/>
      <c r="D273" s="106"/>
      <c r="E273" s="43"/>
      <c r="F273" s="107"/>
      <c r="G273" s="107"/>
      <c r="H273" s="76" t="str">
        <f t="shared" si="9"/>
        <v/>
      </c>
      <c r="I273" s="107"/>
      <c r="J273" s="106"/>
      <c r="K273" s="107"/>
    </row>
    <row r="274" spans="1:11">
      <c r="A274" s="74" t="str">
        <f t="shared" si="8"/>
        <v/>
      </c>
      <c r="B274" s="7"/>
      <c r="C274" s="106"/>
      <c r="D274" s="106"/>
      <c r="E274" s="43"/>
      <c r="F274" s="107"/>
      <c r="G274" s="107"/>
      <c r="H274" s="76" t="str">
        <f t="shared" si="9"/>
        <v/>
      </c>
      <c r="I274" s="107"/>
      <c r="J274" s="106"/>
      <c r="K274" s="107"/>
    </row>
    <row r="275" spans="1:11">
      <c r="A275" s="74" t="str">
        <f t="shared" si="8"/>
        <v/>
      </c>
      <c r="B275" s="7"/>
      <c r="C275" s="106"/>
      <c r="D275" s="106"/>
      <c r="E275" s="43"/>
      <c r="F275" s="107"/>
      <c r="G275" s="107"/>
      <c r="H275" s="76" t="str">
        <f t="shared" si="9"/>
        <v/>
      </c>
      <c r="I275" s="107"/>
      <c r="J275" s="106"/>
      <c r="K275" s="107"/>
    </row>
    <row r="276" spans="1:11">
      <c r="A276" s="74" t="str">
        <f t="shared" si="8"/>
        <v/>
      </c>
      <c r="B276" s="7"/>
      <c r="C276" s="106"/>
      <c r="D276" s="106"/>
      <c r="E276" s="43"/>
      <c r="F276" s="107"/>
      <c r="G276" s="107"/>
      <c r="H276" s="76" t="str">
        <f t="shared" si="9"/>
        <v/>
      </c>
      <c r="I276" s="107"/>
      <c r="J276" s="106"/>
      <c r="K276" s="107"/>
    </row>
    <row r="277" spans="1:11">
      <c r="A277" s="74" t="str">
        <f t="shared" si="8"/>
        <v/>
      </c>
      <c r="B277" s="7"/>
      <c r="C277" s="106"/>
      <c r="D277" s="106"/>
      <c r="E277" s="43"/>
      <c r="F277" s="107"/>
      <c r="G277" s="107"/>
      <c r="H277" s="76" t="str">
        <f t="shared" si="9"/>
        <v/>
      </c>
      <c r="I277" s="107"/>
      <c r="J277" s="106"/>
      <c r="K277" s="107"/>
    </row>
    <row r="278" spans="1:11">
      <c r="A278" s="74" t="str">
        <f t="shared" si="8"/>
        <v/>
      </c>
      <c r="B278" s="7"/>
      <c r="C278" s="106"/>
      <c r="D278" s="106"/>
      <c r="E278" s="43"/>
      <c r="F278" s="107"/>
      <c r="G278" s="107"/>
      <c r="H278" s="76" t="str">
        <f t="shared" si="9"/>
        <v/>
      </c>
      <c r="I278" s="107"/>
      <c r="J278" s="106"/>
      <c r="K278" s="107"/>
    </row>
    <row r="279" spans="1:11">
      <c r="A279" s="74" t="str">
        <f t="shared" si="8"/>
        <v/>
      </c>
      <c r="B279" s="7"/>
      <c r="C279" s="106"/>
      <c r="D279" s="106"/>
      <c r="E279" s="43"/>
      <c r="F279" s="107"/>
      <c r="G279" s="107"/>
      <c r="H279" s="76" t="str">
        <f t="shared" si="9"/>
        <v/>
      </c>
      <c r="I279" s="107"/>
      <c r="J279" s="106"/>
      <c r="K279" s="107"/>
    </row>
    <row r="280" spans="1:11">
      <c r="A280" s="74" t="str">
        <f t="shared" si="8"/>
        <v/>
      </c>
      <c r="B280" s="7"/>
      <c r="C280" s="106"/>
      <c r="D280" s="106"/>
      <c r="E280" s="43"/>
      <c r="F280" s="107"/>
      <c r="G280" s="107"/>
      <c r="H280" s="76" t="str">
        <f t="shared" si="9"/>
        <v/>
      </c>
      <c r="I280" s="107"/>
      <c r="J280" s="106"/>
      <c r="K280" s="107"/>
    </row>
    <row r="281" spans="1:11">
      <c r="A281" s="74" t="str">
        <f t="shared" si="8"/>
        <v/>
      </c>
      <c r="B281" s="7"/>
      <c r="C281" s="106"/>
      <c r="D281" s="106"/>
      <c r="E281" s="43"/>
      <c r="F281" s="107"/>
      <c r="G281" s="107"/>
      <c r="H281" s="76" t="str">
        <f t="shared" si="9"/>
        <v/>
      </c>
      <c r="I281" s="107"/>
      <c r="J281" s="106"/>
      <c r="K281" s="107"/>
    </row>
    <row r="282" spans="1:11">
      <c r="A282" s="74" t="str">
        <f t="shared" si="8"/>
        <v/>
      </c>
      <c r="B282" s="7"/>
      <c r="C282" s="106"/>
      <c r="D282" s="106"/>
      <c r="E282" s="43"/>
      <c r="F282" s="107"/>
      <c r="G282" s="107"/>
      <c r="H282" s="76" t="str">
        <f t="shared" si="9"/>
        <v/>
      </c>
      <c r="I282" s="107"/>
      <c r="J282" s="106"/>
      <c r="K282" s="107"/>
    </row>
    <row r="283" spans="1:11">
      <c r="A283" s="74" t="str">
        <f t="shared" si="8"/>
        <v/>
      </c>
      <c r="B283" s="7"/>
      <c r="C283" s="106"/>
      <c r="D283" s="106"/>
      <c r="E283" s="43"/>
      <c r="F283" s="107"/>
      <c r="G283" s="107"/>
      <c r="H283" s="76" t="str">
        <f t="shared" si="9"/>
        <v/>
      </c>
      <c r="I283" s="107"/>
      <c r="J283" s="106"/>
      <c r="K283" s="107"/>
    </row>
    <row r="284" spans="1:11">
      <c r="A284" s="74" t="str">
        <f t="shared" si="8"/>
        <v/>
      </c>
      <c r="B284" s="7"/>
      <c r="C284" s="106"/>
      <c r="D284" s="106"/>
      <c r="E284" s="43"/>
      <c r="F284" s="107"/>
      <c r="G284" s="107"/>
      <c r="H284" s="76" t="str">
        <f t="shared" si="9"/>
        <v/>
      </c>
      <c r="I284" s="107"/>
      <c r="J284" s="106"/>
      <c r="K284" s="107"/>
    </row>
    <row r="285" spans="1:11">
      <c r="A285" s="74" t="str">
        <f t="shared" si="8"/>
        <v/>
      </c>
      <c r="B285" s="7"/>
      <c r="C285" s="106"/>
      <c r="D285" s="106"/>
      <c r="E285" s="43"/>
      <c r="F285" s="107"/>
      <c r="G285" s="107"/>
      <c r="H285" s="76" t="str">
        <f t="shared" si="9"/>
        <v/>
      </c>
      <c r="I285" s="107"/>
      <c r="J285" s="106"/>
      <c r="K285" s="107"/>
    </row>
    <row r="286" spans="1:11">
      <c r="A286" s="74" t="str">
        <f t="shared" si="8"/>
        <v/>
      </c>
      <c r="B286" s="7"/>
      <c r="C286" s="106"/>
      <c r="D286" s="106"/>
      <c r="E286" s="43"/>
      <c r="F286" s="107"/>
      <c r="G286" s="107"/>
      <c r="H286" s="76" t="str">
        <f t="shared" si="9"/>
        <v/>
      </c>
      <c r="I286" s="107"/>
      <c r="J286" s="106"/>
      <c r="K286" s="107"/>
    </row>
    <row r="287" spans="1:11">
      <c r="A287" s="74" t="str">
        <f t="shared" si="8"/>
        <v/>
      </c>
      <c r="B287" s="7"/>
      <c r="C287" s="106"/>
      <c r="D287" s="106"/>
      <c r="E287" s="43"/>
      <c r="F287" s="107"/>
      <c r="G287" s="107"/>
      <c r="H287" s="76" t="str">
        <f t="shared" si="9"/>
        <v/>
      </c>
      <c r="I287" s="107"/>
      <c r="J287" s="106"/>
      <c r="K287" s="107"/>
    </row>
    <row r="288" spans="1:11">
      <c r="A288" s="74" t="str">
        <f t="shared" si="8"/>
        <v/>
      </c>
      <c r="B288" s="7"/>
      <c r="C288" s="106"/>
      <c r="D288" s="106"/>
      <c r="E288" s="43"/>
      <c r="F288" s="107"/>
      <c r="G288" s="107"/>
      <c r="H288" s="76" t="str">
        <f t="shared" si="9"/>
        <v/>
      </c>
      <c r="I288" s="107"/>
      <c r="J288" s="106"/>
      <c r="K288" s="107"/>
    </row>
    <row r="289" spans="1:11">
      <c r="A289" s="74" t="str">
        <f t="shared" si="8"/>
        <v/>
      </c>
      <c r="B289" s="7"/>
      <c r="C289" s="106"/>
      <c r="D289" s="106"/>
      <c r="E289" s="43"/>
      <c r="F289" s="107"/>
      <c r="G289" s="107"/>
      <c r="H289" s="76" t="str">
        <f t="shared" si="9"/>
        <v/>
      </c>
      <c r="I289" s="107"/>
      <c r="J289" s="106"/>
      <c r="K289" s="107"/>
    </row>
    <row r="290" spans="1:11">
      <c r="A290" s="74" t="str">
        <f t="shared" si="8"/>
        <v/>
      </c>
      <c r="B290" s="7"/>
      <c r="C290" s="106"/>
      <c r="D290" s="106"/>
      <c r="E290" s="43"/>
      <c r="F290" s="107"/>
      <c r="G290" s="107"/>
      <c r="H290" s="76" t="str">
        <f t="shared" si="9"/>
        <v/>
      </c>
      <c r="I290" s="107"/>
      <c r="J290" s="106"/>
      <c r="K290" s="107"/>
    </row>
    <row r="291" spans="1:11">
      <c r="A291" s="74" t="str">
        <f t="shared" si="8"/>
        <v/>
      </c>
      <c r="B291" s="7"/>
      <c r="C291" s="106"/>
      <c r="D291" s="106"/>
      <c r="E291" s="43"/>
      <c r="F291" s="107"/>
      <c r="G291" s="107"/>
      <c r="H291" s="76" t="str">
        <f t="shared" si="9"/>
        <v/>
      </c>
      <c r="I291" s="107"/>
      <c r="J291" s="106"/>
      <c r="K291" s="107"/>
    </row>
    <row r="292" spans="1:11">
      <c r="A292" s="74" t="str">
        <f t="shared" si="8"/>
        <v/>
      </c>
      <c r="B292" s="7"/>
      <c r="C292" s="106"/>
      <c r="D292" s="106"/>
      <c r="E292" s="43"/>
      <c r="F292" s="107"/>
      <c r="G292" s="107"/>
      <c r="H292" s="76" t="str">
        <f t="shared" si="9"/>
        <v/>
      </c>
      <c r="I292" s="107"/>
      <c r="J292" s="106"/>
      <c r="K292" s="107"/>
    </row>
    <row r="293" spans="1:11">
      <c r="A293" s="74" t="str">
        <f t="shared" si="8"/>
        <v/>
      </c>
      <c r="B293" s="7"/>
      <c r="C293" s="106"/>
      <c r="D293" s="106"/>
      <c r="E293" s="43"/>
      <c r="F293" s="107"/>
      <c r="G293" s="107"/>
      <c r="H293" s="76" t="str">
        <f t="shared" si="9"/>
        <v/>
      </c>
      <c r="I293" s="107"/>
      <c r="J293" s="106"/>
      <c r="K293" s="107"/>
    </row>
    <row r="294" spans="1:11">
      <c r="A294" s="74" t="str">
        <f t="shared" si="8"/>
        <v/>
      </c>
      <c r="B294" s="7"/>
      <c r="C294" s="106"/>
      <c r="D294" s="106"/>
      <c r="E294" s="43"/>
      <c r="F294" s="107"/>
      <c r="G294" s="107"/>
      <c r="H294" s="76" t="str">
        <f t="shared" si="9"/>
        <v/>
      </c>
      <c r="I294" s="107"/>
      <c r="J294" s="106"/>
      <c r="K294" s="107"/>
    </row>
    <row r="295" spans="1:11">
      <c r="A295" s="74" t="str">
        <f t="shared" si="8"/>
        <v/>
      </c>
      <c r="B295" s="7"/>
      <c r="C295" s="106"/>
      <c r="D295" s="106"/>
      <c r="E295" s="43"/>
      <c r="F295" s="107"/>
      <c r="G295" s="107"/>
      <c r="H295" s="76" t="str">
        <f t="shared" si="9"/>
        <v/>
      </c>
      <c r="I295" s="107"/>
      <c r="J295" s="106"/>
      <c r="K295" s="107"/>
    </row>
    <row r="296" spans="1:11">
      <c r="A296" s="74" t="str">
        <f t="shared" si="8"/>
        <v/>
      </c>
      <c r="B296" s="7"/>
      <c r="C296" s="106"/>
      <c r="D296" s="106"/>
      <c r="E296" s="43"/>
      <c r="F296" s="107"/>
      <c r="G296" s="107"/>
      <c r="H296" s="76" t="str">
        <f t="shared" si="9"/>
        <v/>
      </c>
      <c r="I296" s="107"/>
      <c r="J296" s="106"/>
      <c r="K296" s="107"/>
    </row>
    <row r="297" spans="1:11">
      <c r="A297" s="74" t="str">
        <f t="shared" si="8"/>
        <v/>
      </c>
      <c r="B297" s="7"/>
      <c r="C297" s="106"/>
      <c r="D297" s="106"/>
      <c r="E297" s="43"/>
      <c r="F297" s="107"/>
      <c r="G297" s="107"/>
      <c r="H297" s="76" t="str">
        <f t="shared" si="9"/>
        <v/>
      </c>
      <c r="I297" s="107"/>
      <c r="J297" s="106"/>
      <c r="K297" s="107"/>
    </row>
    <row r="298" spans="1:11">
      <c r="A298" s="74" t="str">
        <f t="shared" si="8"/>
        <v/>
      </c>
      <c r="B298" s="7"/>
      <c r="C298" s="106"/>
      <c r="D298" s="106"/>
      <c r="E298" s="43"/>
      <c r="F298" s="107"/>
      <c r="G298" s="107"/>
      <c r="H298" s="76" t="str">
        <f t="shared" si="9"/>
        <v/>
      </c>
      <c r="I298" s="107"/>
      <c r="J298" s="106"/>
      <c r="K298" s="107"/>
    </row>
    <row r="299" spans="1:11">
      <c r="A299" s="74" t="str">
        <f t="shared" si="8"/>
        <v/>
      </c>
      <c r="B299" s="7"/>
      <c r="C299" s="106"/>
      <c r="D299" s="106"/>
      <c r="E299" s="43"/>
      <c r="F299" s="107"/>
      <c r="G299" s="107"/>
      <c r="H299" s="76" t="str">
        <f t="shared" si="9"/>
        <v/>
      </c>
      <c r="I299" s="107"/>
      <c r="J299" s="106"/>
      <c r="K299" s="107"/>
    </row>
    <row r="300" spans="1:11">
      <c r="A300" s="74" t="str">
        <f t="shared" si="8"/>
        <v/>
      </c>
      <c r="B300" s="7"/>
      <c r="C300" s="106"/>
      <c r="D300" s="106"/>
      <c r="E300" s="43"/>
      <c r="F300" s="107"/>
      <c r="G300" s="107"/>
      <c r="H300" s="76" t="str">
        <f t="shared" si="9"/>
        <v/>
      </c>
      <c r="I300" s="107"/>
      <c r="J300" s="106"/>
      <c r="K300" s="107"/>
    </row>
    <row r="301" spans="1:11">
      <c r="A301" s="74" t="str">
        <f t="shared" si="8"/>
        <v/>
      </c>
      <c r="B301" s="7"/>
      <c r="C301" s="106"/>
      <c r="D301" s="106"/>
      <c r="E301" s="43"/>
      <c r="F301" s="107"/>
      <c r="G301" s="107"/>
      <c r="H301" s="76" t="str">
        <f t="shared" si="9"/>
        <v/>
      </c>
      <c r="I301" s="107"/>
      <c r="J301" s="106"/>
      <c r="K301" s="107"/>
    </row>
    <row r="302" spans="1:11">
      <c r="A302" s="74" t="str">
        <f t="shared" si="8"/>
        <v/>
      </c>
      <c r="B302" s="7"/>
      <c r="C302" s="106"/>
      <c r="D302" s="106"/>
      <c r="E302" s="43"/>
      <c r="F302" s="107"/>
      <c r="G302" s="107"/>
      <c r="H302" s="76" t="str">
        <f t="shared" si="9"/>
        <v/>
      </c>
      <c r="I302" s="107"/>
      <c r="J302" s="106"/>
      <c r="K302" s="107"/>
    </row>
    <row r="303" spans="1:11">
      <c r="A303" s="74" t="str">
        <f t="shared" si="8"/>
        <v/>
      </c>
      <c r="B303" s="7"/>
      <c r="C303" s="106"/>
      <c r="D303" s="106"/>
      <c r="E303" s="43"/>
      <c r="F303" s="107"/>
      <c r="G303" s="107"/>
      <c r="H303" s="76" t="str">
        <f t="shared" si="9"/>
        <v/>
      </c>
      <c r="I303" s="107"/>
      <c r="J303" s="106"/>
      <c r="K303" s="107"/>
    </row>
  </sheetData>
  <mergeCells count="2">
    <mergeCell ref="A1:K1"/>
    <mergeCell ref="A2:K2"/>
  </mergeCells>
  <dataValidations count="2">
    <dataValidation type="list" allowBlank="1" sqref="C4:C303">
      <formula1>_自动清单!$E$4:$E$203</formula1>
    </dataValidation>
    <dataValidation type="list" allowBlank="1" sqref="E4:E303">
      <formula1>"筐,箱,吨,KG,个,件,袋,片,张,包,捆,卷,套,瓶,块"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610"/>
  <sheetViews>
    <sheetView showGridLines="0" workbookViewId="0">
      <pane xSplit="4" ySplit="3" topLeftCell="E20" activePane="bottomRight" state="frozen"/>
      <selection/>
      <selection pane="topRight"/>
      <selection pane="bottomLeft"/>
      <selection pane="bottomRight" activeCell="F29" sqref="F29"/>
    </sheetView>
  </sheetViews>
  <sheetFormatPr defaultColWidth="9" defaultRowHeight="13.5"/>
  <cols>
    <col min="1" max="1" width="6" customWidth="1"/>
    <col min="2" max="2" width="12" customWidth="1"/>
    <col min="3" max="3" width="16" customWidth="1"/>
    <col min="4" max="4" width="34" customWidth="1"/>
    <col min="5" max="5" width="26" customWidth="1"/>
    <col min="6" max="6" width="12" customWidth="1"/>
    <col min="7" max="7" width="16" customWidth="1"/>
    <col min="8" max="12" width="14" customWidth="1"/>
    <col min="13" max="13" width="9" customWidth="1"/>
    <col min="14" max="14" width="10" customWidth="1"/>
    <col min="15" max="15" width="11" customWidth="1"/>
    <col min="16" max="16" width="20" customWidth="1"/>
  </cols>
  <sheetData>
    <row r="1" ht="30" customHeight="1" spans="1:16">
      <c r="A1" s="2" t="s">
        <v>630</v>
      </c>
    </row>
    <row r="2" ht="18" customHeight="1" spans="1:16">
      <c r="A2" s="31" t="str">
        <f>IF(N(对接源_01水果!$T$1)+N(对接源_02物料!$T$1)=0,"★★ 业务册数据没接进来：本表的应收/应付发生额不含两本业务册的数据，现在的数是不完整的。请先到【对接源_01水果】【对接源_02物料】两张表，按里面提示框的说明修复链接",IF(N(对接源_01水果!$T$4)*N(对接源_02物料!$T$4)=0,"⚠ 当前有业务册在用【应急备份】数据出账（不是实时数），链接修好后请重新【更新值】并复核本表金额",IF(N(对接源_01水果!$T$1)+N(对接源_02物料!$T$1)=0,"★★ 业务册数据没接进来：本表的应收/应付发生额不含两本业务册的数据，现在的数是不完整的。请先到【对接源_01水果】【对接源_02物料】两张表，按里面提示框的说明修复链接",IF(N(对接源_01水果!$T$4)*N(对接源_02物料!$T$4)=0,"⚠ 当前有业务册在用【应急备份】数据出账（不是实时数），链接修好后请重新【更新值】并复核本表金额",IF(N(对接源_01水果!$T$1)+N(对接源_02物料!$T$1)=0,"★★ 业务册数据没接进来：本表金额不含仓储费/加工费/水果销售/物料筐子等业务数据，现在的数是不完整的。请先到【对接源_01水果】【对接源_02物料】两张表，按里面提示框的说明修复链接",IF(N(对接源_01水果!$T$4)*N(对接源_02物料!$T$4)=0,"⚠ 当前有业务册在用【应急备份】数据出账（不是实时数）。链接修好后请重新【更新值】并复核本表金额。　绿底＝自动生成勿改：A区4-909行取自【进销存对接】，B区910-2109行取自【资金日记账】，C区2110-3009行取自【成本费用登记表】；黄底手工区3010-3609行录调整分录。★ 表里大部分行是空的（对应没有业务的月份/未用完的行）——点表头“科目名称”的筛选按钮，取消勾选“空白”，就只看有内容的分录了","绿底＝自动生成勿改：A区4-909行取自【进销存对接】，B区910-2109行取自【资金日记账】，C区2110-3009行取自【成本费用登记表】；黄底手工区3010-3609行录调整分录。★ 表里大部分行是空的（对应没有业务的月份/未用完的行）——点表头“科目名称”的筛选按钮，取消勾选“空白”，就只看有内容的分录了"))))))</f>
        <v>绿底＝自动生成勿改：A区4-909行取自【进销存对接】，B区910-2109行取自【资金日记账】，C区2110-3009行取自【成本费用登记表】；黄底手工区3010-3609行录调整分录。★ 表里大部分行是空的（对应没有业务的月份/未用完的行）——点表头“科目名称”的筛选按钮，取消勾选“空白”，就只看有内容的分录了</v>
      </c>
    </row>
    <row r="3" ht="34" customHeight="1" spans="1:16">
      <c r="A3" s="9" t="s">
        <v>3</v>
      </c>
      <c r="B3" s="9" t="s">
        <v>602</v>
      </c>
      <c r="C3" s="9" t="s">
        <v>631</v>
      </c>
      <c r="D3" s="9" t="s">
        <v>603</v>
      </c>
      <c r="E3" s="9" t="s">
        <v>366</v>
      </c>
      <c r="F3" s="9" t="s">
        <v>365</v>
      </c>
      <c r="G3" s="9" t="s">
        <v>369</v>
      </c>
      <c r="H3" s="9" t="s">
        <v>632</v>
      </c>
      <c r="I3" s="9" t="s">
        <v>633</v>
      </c>
      <c r="J3" s="9" t="s">
        <v>371</v>
      </c>
      <c r="K3" s="9" t="s">
        <v>314</v>
      </c>
      <c r="L3" s="9" t="s">
        <v>620</v>
      </c>
      <c r="M3" s="9" t="s">
        <v>634</v>
      </c>
      <c r="N3" s="9" t="s">
        <v>635</v>
      </c>
      <c r="O3" s="9" t="s">
        <v>636</v>
      </c>
      <c r="P3" s="9" t="s">
        <v>172</v>
      </c>
    </row>
    <row r="4" ht="18" customHeight="1" spans="1:16">
      <c r="A4" s="32" t="str">
        <f t="shared" ref="A4:A67" si="0">IF($E4="","",ROW()-3)</f>
        <v/>
      </c>
      <c r="B4" s="100" t="str">
        <f>IF($E4="","",INDEX(进销存对接!$C$4:$C$305,1))</f>
        <v/>
      </c>
      <c r="C4" s="26" t="str">
        <f t="shared" ref="C4:C67" si="1">IF($E4="","","记-"&amp;TEXT($B4,"YYYYMM")&amp;"-进销存")</f>
        <v/>
      </c>
      <c r="D4" s="32" t="str">
        <f>IF($E4="","",INDEX(进销存对接!$D$4:$D$305,1)&amp;" "&amp;TEXT($B4,"YYYY年M月")&amp;" 自动结转")</f>
        <v/>
      </c>
      <c r="E4" s="26" t="str">
        <f>IF(INDEX(进销存对接!$M$4:$U$305,1,1)=0,"",INDEX(进销存对接!$M$4:$U$305,1,1))</f>
        <v/>
      </c>
      <c r="F4" s="25" t="str">
        <f>IF($E4="","",IFERROR(INDEX(科目表!$A$4:$A$81,MATCH($E4,科目表!$B$4:$B$81,0)),""))</f>
        <v/>
      </c>
      <c r="G4" s="26" t="str">
        <f>IF($E4="","",IFERROR(INDEX(科目表!$E$4:$E$81,MATCH($E4,科目表!$B$4:$B$81,0)),""))</f>
        <v/>
      </c>
      <c r="H4" s="27" t="str">
        <f>IF($E4="","",N(INDEX(进销存对接!$M$4:$U$305,1,2)))</f>
        <v/>
      </c>
      <c r="I4" s="27" t="str">
        <f>IF($E4="","",N(INDEX(进销存对接!$M$4:$U$305,1,3)))</f>
        <v/>
      </c>
      <c r="J4" s="26"/>
      <c r="K4" s="26" t="str">
        <f>IF($E4="","",INDEX(进销存对接!$D$4:$D$305,1))</f>
        <v/>
      </c>
      <c r="L4" s="32"/>
      <c r="M4" s="32"/>
      <c r="N4" s="26" t="str">
        <f t="shared" ref="N4:N67" si="2">IF($E4="","","系统")</f>
        <v/>
      </c>
      <c r="O4" s="26" t="str">
        <f t="shared" ref="O4:O67" si="3">IF($E4="","","自动A")</f>
        <v/>
      </c>
      <c r="P4" s="10"/>
    </row>
    <row r="5" ht="18" customHeight="1" spans="1:16">
      <c r="A5" s="32" t="str">
        <f t="shared" si="0"/>
        <v/>
      </c>
      <c r="B5" s="100" t="str">
        <f>IF($E5="","",INDEX(进销存对接!$C$4:$C$305,1))</f>
        <v/>
      </c>
      <c r="C5" s="26" t="str">
        <f t="shared" si="1"/>
        <v/>
      </c>
      <c r="D5" s="32" t="str">
        <f>IF($E5="","",INDEX(进销存对接!$D$4:$D$305,1)&amp;" "&amp;TEXT($B5,"YYYY年M月")&amp;" 自动结转")</f>
        <v/>
      </c>
      <c r="E5" s="26" t="str">
        <f>IF(INDEX(进销存对接!$M$4:$U$305,1,4)=0,"",INDEX(进销存对接!$M$4:$U$305,1,4))</f>
        <v/>
      </c>
      <c r="F5" s="25" t="str">
        <f>IF($E5="","",IFERROR(INDEX(科目表!$A$4:$A$81,MATCH($E5,科目表!$B$4:$B$81,0)),""))</f>
        <v/>
      </c>
      <c r="G5" s="26" t="str">
        <f>IF($E5="","",IFERROR(INDEX(科目表!$E$4:$E$81,MATCH($E5,科目表!$B$4:$B$81,0)),""))</f>
        <v/>
      </c>
      <c r="H5" s="27" t="str">
        <f>IF($E5="","",N(INDEX(进销存对接!$M$4:$U$305,1,5)))</f>
        <v/>
      </c>
      <c r="I5" s="27" t="str">
        <f>IF($E5="","",N(INDEX(进销存对接!$M$4:$U$305,1,6)))</f>
        <v/>
      </c>
      <c r="J5" s="26"/>
      <c r="K5" s="26" t="str">
        <f>IF($E5="","",INDEX(进销存对接!$D$4:$D$305,1))</f>
        <v/>
      </c>
      <c r="L5" s="32"/>
      <c r="M5" s="32"/>
      <c r="N5" s="26" t="str">
        <f t="shared" si="2"/>
        <v/>
      </c>
      <c r="O5" s="26" t="str">
        <f t="shared" si="3"/>
        <v/>
      </c>
      <c r="P5" s="10"/>
    </row>
    <row r="6" ht="18" customHeight="1" spans="1:16">
      <c r="A6" s="32" t="str">
        <f t="shared" si="0"/>
        <v/>
      </c>
      <c r="B6" s="100" t="str">
        <f>IF($E6="","",INDEX(进销存对接!$C$4:$C$305,1))</f>
        <v/>
      </c>
      <c r="C6" s="26" t="str">
        <f t="shared" si="1"/>
        <v/>
      </c>
      <c r="D6" s="32" t="str">
        <f>IF($E6="","",INDEX(进销存对接!$D$4:$D$305,1)&amp;" "&amp;TEXT($B6,"YYYY年M月")&amp;" 自动结转")</f>
        <v/>
      </c>
      <c r="E6" s="26" t="str">
        <f>IF(INDEX(进销存对接!$M$4:$U$305,1,7)=0,"",INDEX(进销存对接!$M$4:$U$305,1,7))</f>
        <v/>
      </c>
      <c r="F6" s="25" t="str">
        <f>IF($E6="","",IFERROR(INDEX(科目表!$A$4:$A$81,MATCH($E6,科目表!$B$4:$B$81,0)),""))</f>
        <v/>
      </c>
      <c r="G6" s="26" t="str">
        <f>IF($E6="","",IFERROR(INDEX(科目表!$E$4:$E$81,MATCH($E6,科目表!$B$4:$B$81,0)),""))</f>
        <v/>
      </c>
      <c r="H6" s="27" t="str">
        <f>IF($E6="","",N(INDEX(进销存对接!$M$4:$U$305,1,8)))</f>
        <v/>
      </c>
      <c r="I6" s="27" t="str">
        <f>IF($E6="","",N(INDEX(进销存对接!$M$4:$U$305,1,9)))</f>
        <v/>
      </c>
      <c r="J6" s="26"/>
      <c r="K6" s="26" t="str">
        <f>IF($E6="","",INDEX(进销存对接!$D$4:$D$305,1))</f>
        <v/>
      </c>
      <c r="L6" s="32"/>
      <c r="M6" s="32"/>
      <c r="N6" s="26" t="str">
        <f t="shared" si="2"/>
        <v/>
      </c>
      <c r="O6" s="26" t="str">
        <f t="shared" si="3"/>
        <v/>
      </c>
      <c r="P6" s="10"/>
    </row>
    <row r="7" ht="18" customHeight="1" spans="1:16">
      <c r="A7" s="32" t="str">
        <f t="shared" si="0"/>
        <v/>
      </c>
      <c r="B7" s="100" t="str">
        <f>IF($E7="","",INDEX(进销存对接!$C$4:$C$305,2))</f>
        <v/>
      </c>
      <c r="C7" s="26" t="str">
        <f t="shared" si="1"/>
        <v/>
      </c>
      <c r="D7" s="32" t="str">
        <f>IF($E7="","",INDEX(进销存对接!$D$4:$D$305,2)&amp;" "&amp;TEXT($B7,"YYYY年M月")&amp;" 自动结转")</f>
        <v/>
      </c>
      <c r="E7" s="26" t="str">
        <f>IF(INDEX(进销存对接!$M$4:$U$305,2,1)=0,"",INDEX(进销存对接!$M$4:$U$305,2,1))</f>
        <v/>
      </c>
      <c r="F7" s="25" t="str">
        <f>IF($E7="","",IFERROR(INDEX(科目表!$A$4:$A$81,MATCH($E7,科目表!$B$4:$B$81,0)),""))</f>
        <v/>
      </c>
      <c r="G7" s="26" t="str">
        <f>IF($E7="","",IFERROR(INDEX(科目表!$E$4:$E$81,MATCH($E7,科目表!$B$4:$B$81,0)),""))</f>
        <v/>
      </c>
      <c r="H7" s="27" t="str">
        <f>IF($E7="","",N(INDEX(进销存对接!$M$4:$U$305,2,2)))</f>
        <v/>
      </c>
      <c r="I7" s="27" t="str">
        <f>IF($E7="","",N(INDEX(进销存对接!$M$4:$U$305,2,3)))</f>
        <v/>
      </c>
      <c r="J7" s="26"/>
      <c r="K7" s="26" t="str">
        <f>IF($E7="","",INDEX(进销存对接!$D$4:$D$305,2))</f>
        <v/>
      </c>
      <c r="L7" s="32"/>
      <c r="M7" s="32"/>
      <c r="N7" s="26" t="str">
        <f t="shared" si="2"/>
        <v/>
      </c>
      <c r="O7" s="26" t="str">
        <f t="shared" si="3"/>
        <v/>
      </c>
      <c r="P7" s="10"/>
    </row>
    <row r="8" ht="18" customHeight="1" spans="1:16">
      <c r="A8" s="32" t="str">
        <f t="shared" si="0"/>
        <v/>
      </c>
      <c r="B8" s="100" t="str">
        <f>IF($E8="","",INDEX(进销存对接!$C$4:$C$305,2))</f>
        <v/>
      </c>
      <c r="C8" s="26" t="str">
        <f t="shared" si="1"/>
        <v/>
      </c>
      <c r="D8" s="32" t="str">
        <f>IF($E8="","",INDEX(进销存对接!$D$4:$D$305,2)&amp;" "&amp;TEXT($B8,"YYYY年M月")&amp;" 自动结转")</f>
        <v/>
      </c>
      <c r="E8" s="26" t="str">
        <f>IF(INDEX(进销存对接!$M$4:$U$305,2,4)=0,"",INDEX(进销存对接!$M$4:$U$305,2,4))</f>
        <v/>
      </c>
      <c r="F8" s="25" t="str">
        <f>IF($E8="","",IFERROR(INDEX(科目表!$A$4:$A$81,MATCH($E8,科目表!$B$4:$B$81,0)),""))</f>
        <v/>
      </c>
      <c r="G8" s="26" t="str">
        <f>IF($E8="","",IFERROR(INDEX(科目表!$E$4:$E$81,MATCH($E8,科目表!$B$4:$B$81,0)),""))</f>
        <v/>
      </c>
      <c r="H8" s="27" t="str">
        <f>IF($E8="","",N(INDEX(进销存对接!$M$4:$U$305,2,5)))</f>
        <v/>
      </c>
      <c r="I8" s="27" t="str">
        <f>IF($E8="","",N(INDEX(进销存对接!$M$4:$U$305,2,6)))</f>
        <v/>
      </c>
      <c r="J8" s="26"/>
      <c r="K8" s="26" t="str">
        <f>IF($E8="","",INDEX(进销存对接!$D$4:$D$305,2))</f>
        <v/>
      </c>
      <c r="L8" s="32"/>
      <c r="M8" s="32"/>
      <c r="N8" s="26" t="str">
        <f t="shared" si="2"/>
        <v/>
      </c>
      <c r="O8" s="26" t="str">
        <f t="shared" si="3"/>
        <v/>
      </c>
      <c r="P8" s="10"/>
    </row>
    <row r="9" ht="18" customHeight="1" spans="1:16">
      <c r="A9" s="32" t="str">
        <f t="shared" si="0"/>
        <v/>
      </c>
      <c r="B9" s="100" t="str">
        <f>IF($E9="","",INDEX(进销存对接!$C$4:$C$305,2))</f>
        <v/>
      </c>
      <c r="C9" s="26" t="str">
        <f t="shared" si="1"/>
        <v/>
      </c>
      <c r="D9" s="32" t="str">
        <f>IF($E9="","",INDEX(进销存对接!$D$4:$D$305,2)&amp;" "&amp;TEXT($B9,"YYYY年M月")&amp;" 自动结转")</f>
        <v/>
      </c>
      <c r="E9" s="26" t="str">
        <f>IF(INDEX(进销存对接!$M$4:$U$305,2,7)=0,"",INDEX(进销存对接!$M$4:$U$305,2,7))</f>
        <v/>
      </c>
      <c r="F9" s="25" t="str">
        <f>IF($E9="","",IFERROR(INDEX(科目表!$A$4:$A$81,MATCH($E9,科目表!$B$4:$B$81,0)),""))</f>
        <v/>
      </c>
      <c r="G9" s="26" t="str">
        <f>IF($E9="","",IFERROR(INDEX(科目表!$E$4:$E$81,MATCH($E9,科目表!$B$4:$B$81,0)),""))</f>
        <v/>
      </c>
      <c r="H9" s="27" t="str">
        <f>IF($E9="","",N(INDEX(进销存对接!$M$4:$U$305,2,8)))</f>
        <v/>
      </c>
      <c r="I9" s="27" t="str">
        <f>IF($E9="","",N(INDEX(进销存对接!$M$4:$U$305,2,9)))</f>
        <v/>
      </c>
      <c r="J9" s="26"/>
      <c r="K9" s="26" t="str">
        <f>IF($E9="","",INDEX(进销存对接!$D$4:$D$305,2))</f>
        <v/>
      </c>
      <c r="L9" s="32"/>
      <c r="M9" s="32"/>
      <c r="N9" s="26" t="str">
        <f t="shared" si="2"/>
        <v/>
      </c>
      <c r="O9" s="26" t="str">
        <f t="shared" si="3"/>
        <v/>
      </c>
      <c r="P9" s="10"/>
    </row>
    <row r="10" ht="18" customHeight="1" spans="1:16">
      <c r="A10" s="32" t="str">
        <f t="shared" si="0"/>
        <v/>
      </c>
      <c r="B10" s="100" t="str">
        <f>IF($E10="","",INDEX(进销存对接!$C$4:$C$305,3))</f>
        <v/>
      </c>
      <c r="C10" s="26" t="str">
        <f t="shared" si="1"/>
        <v/>
      </c>
      <c r="D10" s="32" t="str">
        <f>IF($E10="","",INDEX(进销存对接!$D$4:$D$305,3)&amp;" "&amp;TEXT($B10,"YYYY年M月")&amp;" 自动结转")</f>
        <v/>
      </c>
      <c r="E10" s="26" t="str">
        <f>IF(INDEX(进销存对接!$M$4:$U$305,3,1)=0,"",INDEX(进销存对接!$M$4:$U$305,3,1))</f>
        <v/>
      </c>
      <c r="F10" s="25" t="str">
        <f>IF($E10="","",IFERROR(INDEX(科目表!$A$4:$A$81,MATCH($E10,科目表!$B$4:$B$81,0)),""))</f>
        <v/>
      </c>
      <c r="G10" s="26" t="str">
        <f>IF($E10="","",IFERROR(INDEX(科目表!$E$4:$E$81,MATCH($E10,科目表!$B$4:$B$81,0)),""))</f>
        <v/>
      </c>
      <c r="H10" s="27" t="str">
        <f>IF($E10="","",N(INDEX(进销存对接!$M$4:$U$305,3,2)))</f>
        <v/>
      </c>
      <c r="I10" s="27" t="str">
        <f>IF($E10="","",N(INDEX(进销存对接!$M$4:$U$305,3,3)))</f>
        <v/>
      </c>
      <c r="J10" s="26"/>
      <c r="K10" s="26" t="str">
        <f>IF($E10="","",INDEX(进销存对接!$D$4:$D$305,3))</f>
        <v/>
      </c>
      <c r="L10" s="32"/>
      <c r="M10" s="32"/>
      <c r="N10" s="26" t="str">
        <f t="shared" si="2"/>
        <v/>
      </c>
      <c r="O10" s="26" t="str">
        <f t="shared" si="3"/>
        <v/>
      </c>
      <c r="P10" s="10"/>
    </row>
    <row r="11" ht="18" customHeight="1" spans="1:16">
      <c r="A11" s="32" t="str">
        <f t="shared" si="0"/>
        <v/>
      </c>
      <c r="B11" s="100" t="str">
        <f>IF($E11="","",INDEX(进销存对接!$C$4:$C$305,3))</f>
        <v/>
      </c>
      <c r="C11" s="26" t="str">
        <f t="shared" si="1"/>
        <v/>
      </c>
      <c r="D11" s="32" t="str">
        <f>IF($E11="","",INDEX(进销存对接!$D$4:$D$305,3)&amp;" "&amp;TEXT($B11,"YYYY年M月")&amp;" 自动结转")</f>
        <v/>
      </c>
      <c r="E11" s="26" t="str">
        <f>IF(INDEX(进销存对接!$M$4:$U$305,3,4)=0,"",INDEX(进销存对接!$M$4:$U$305,3,4))</f>
        <v/>
      </c>
      <c r="F11" s="25" t="str">
        <f>IF($E11="","",IFERROR(INDEX(科目表!$A$4:$A$81,MATCH($E11,科目表!$B$4:$B$81,0)),""))</f>
        <v/>
      </c>
      <c r="G11" s="26" t="str">
        <f>IF($E11="","",IFERROR(INDEX(科目表!$E$4:$E$81,MATCH($E11,科目表!$B$4:$B$81,0)),""))</f>
        <v/>
      </c>
      <c r="H11" s="27" t="str">
        <f>IF($E11="","",N(INDEX(进销存对接!$M$4:$U$305,3,5)))</f>
        <v/>
      </c>
      <c r="I11" s="27" t="str">
        <f>IF($E11="","",N(INDEX(进销存对接!$M$4:$U$305,3,6)))</f>
        <v/>
      </c>
      <c r="J11" s="26"/>
      <c r="K11" s="26" t="str">
        <f>IF($E11="","",INDEX(进销存对接!$D$4:$D$305,3))</f>
        <v/>
      </c>
      <c r="L11" s="32"/>
      <c r="M11" s="32"/>
      <c r="N11" s="26" t="str">
        <f t="shared" si="2"/>
        <v/>
      </c>
      <c r="O11" s="26" t="str">
        <f t="shared" si="3"/>
        <v/>
      </c>
      <c r="P11" s="10"/>
    </row>
    <row r="12" ht="18" customHeight="1" spans="1:16">
      <c r="A12" s="32" t="str">
        <f t="shared" si="0"/>
        <v/>
      </c>
      <c r="B12" s="100" t="str">
        <f>IF($E12="","",INDEX(进销存对接!$C$4:$C$305,3))</f>
        <v/>
      </c>
      <c r="C12" s="26" t="str">
        <f t="shared" si="1"/>
        <v/>
      </c>
      <c r="D12" s="32" t="str">
        <f>IF($E12="","",INDEX(进销存对接!$D$4:$D$305,3)&amp;" "&amp;TEXT($B12,"YYYY年M月")&amp;" 自动结转")</f>
        <v/>
      </c>
      <c r="E12" s="26" t="str">
        <f>IF(INDEX(进销存对接!$M$4:$U$305,3,7)=0,"",INDEX(进销存对接!$M$4:$U$305,3,7))</f>
        <v/>
      </c>
      <c r="F12" s="25" t="str">
        <f>IF($E12="","",IFERROR(INDEX(科目表!$A$4:$A$81,MATCH($E12,科目表!$B$4:$B$81,0)),""))</f>
        <v/>
      </c>
      <c r="G12" s="26" t="str">
        <f>IF($E12="","",IFERROR(INDEX(科目表!$E$4:$E$81,MATCH($E12,科目表!$B$4:$B$81,0)),""))</f>
        <v/>
      </c>
      <c r="H12" s="27" t="str">
        <f>IF($E12="","",N(INDEX(进销存对接!$M$4:$U$305,3,8)))</f>
        <v/>
      </c>
      <c r="I12" s="27" t="str">
        <f>IF($E12="","",N(INDEX(进销存对接!$M$4:$U$305,3,9)))</f>
        <v/>
      </c>
      <c r="J12" s="26"/>
      <c r="K12" s="26" t="str">
        <f>IF($E12="","",INDEX(进销存对接!$D$4:$D$305,3))</f>
        <v/>
      </c>
      <c r="L12" s="32"/>
      <c r="M12" s="32"/>
      <c r="N12" s="26" t="str">
        <f t="shared" si="2"/>
        <v/>
      </c>
      <c r="O12" s="26" t="str">
        <f t="shared" si="3"/>
        <v/>
      </c>
      <c r="P12" s="10"/>
    </row>
    <row r="13" ht="18" customHeight="1" spans="1:16">
      <c r="A13" s="32" t="str">
        <f t="shared" si="0"/>
        <v/>
      </c>
      <c r="B13" s="100" t="str">
        <f>IF($E13="","",INDEX(进销存对接!$C$4:$C$305,4))</f>
        <v/>
      </c>
      <c r="C13" s="26" t="str">
        <f t="shared" si="1"/>
        <v/>
      </c>
      <c r="D13" s="32" t="str">
        <f>IF($E13="","",INDEX(进销存对接!$D$4:$D$305,4)&amp;" "&amp;TEXT($B13,"YYYY年M月")&amp;" 自动结转")</f>
        <v/>
      </c>
      <c r="E13" s="26" t="str">
        <f>IF(INDEX(进销存对接!$M$4:$U$305,4,1)=0,"",INDEX(进销存对接!$M$4:$U$305,4,1))</f>
        <v/>
      </c>
      <c r="F13" s="25" t="str">
        <f>IF($E13="","",IFERROR(INDEX(科目表!$A$4:$A$81,MATCH($E13,科目表!$B$4:$B$81,0)),""))</f>
        <v/>
      </c>
      <c r="G13" s="26" t="str">
        <f>IF($E13="","",IFERROR(INDEX(科目表!$E$4:$E$81,MATCH($E13,科目表!$B$4:$B$81,0)),""))</f>
        <v/>
      </c>
      <c r="H13" s="27" t="str">
        <f>IF($E13="","",N(INDEX(进销存对接!$M$4:$U$305,4,2)))</f>
        <v/>
      </c>
      <c r="I13" s="27" t="str">
        <f>IF($E13="","",N(INDEX(进销存对接!$M$4:$U$305,4,3)))</f>
        <v/>
      </c>
      <c r="J13" s="26"/>
      <c r="K13" s="26" t="str">
        <f>IF($E13="","",INDEX(进销存对接!$D$4:$D$305,4))</f>
        <v/>
      </c>
      <c r="L13" s="32"/>
      <c r="M13" s="32"/>
      <c r="N13" s="26" t="str">
        <f t="shared" si="2"/>
        <v/>
      </c>
      <c r="O13" s="26" t="str">
        <f t="shared" si="3"/>
        <v/>
      </c>
      <c r="P13" s="10"/>
    </row>
    <row r="14" ht="18" customHeight="1" spans="1:16">
      <c r="A14" s="32" t="str">
        <f t="shared" si="0"/>
        <v/>
      </c>
      <c r="B14" s="100" t="str">
        <f>IF($E14="","",INDEX(进销存对接!$C$4:$C$305,4))</f>
        <v/>
      </c>
      <c r="C14" s="26" t="str">
        <f t="shared" si="1"/>
        <v/>
      </c>
      <c r="D14" s="32" t="str">
        <f>IF($E14="","",INDEX(进销存对接!$D$4:$D$305,4)&amp;" "&amp;TEXT($B14,"YYYY年M月")&amp;" 自动结转")</f>
        <v/>
      </c>
      <c r="E14" s="26" t="str">
        <f>IF(INDEX(进销存对接!$M$4:$U$305,4,4)=0,"",INDEX(进销存对接!$M$4:$U$305,4,4))</f>
        <v/>
      </c>
      <c r="F14" s="25" t="str">
        <f>IF($E14="","",IFERROR(INDEX(科目表!$A$4:$A$81,MATCH($E14,科目表!$B$4:$B$81,0)),""))</f>
        <v/>
      </c>
      <c r="G14" s="26" t="str">
        <f>IF($E14="","",IFERROR(INDEX(科目表!$E$4:$E$81,MATCH($E14,科目表!$B$4:$B$81,0)),""))</f>
        <v/>
      </c>
      <c r="H14" s="27" t="str">
        <f>IF($E14="","",N(INDEX(进销存对接!$M$4:$U$305,4,5)))</f>
        <v/>
      </c>
      <c r="I14" s="27" t="str">
        <f>IF($E14="","",N(INDEX(进销存对接!$M$4:$U$305,4,6)))</f>
        <v/>
      </c>
      <c r="J14" s="26"/>
      <c r="K14" s="26" t="str">
        <f>IF($E14="","",INDEX(进销存对接!$D$4:$D$305,4))</f>
        <v/>
      </c>
      <c r="L14" s="32"/>
      <c r="M14" s="32"/>
      <c r="N14" s="26" t="str">
        <f t="shared" si="2"/>
        <v/>
      </c>
      <c r="O14" s="26" t="str">
        <f t="shared" si="3"/>
        <v/>
      </c>
      <c r="P14" s="10"/>
    </row>
    <row r="15" ht="18" customHeight="1" spans="1:16">
      <c r="A15" s="32" t="str">
        <f t="shared" si="0"/>
        <v/>
      </c>
      <c r="B15" s="100" t="str">
        <f>IF($E15="","",INDEX(进销存对接!$C$4:$C$305,4))</f>
        <v/>
      </c>
      <c r="C15" s="26" t="str">
        <f t="shared" si="1"/>
        <v/>
      </c>
      <c r="D15" s="32" t="str">
        <f>IF($E15="","",INDEX(进销存对接!$D$4:$D$305,4)&amp;" "&amp;TEXT($B15,"YYYY年M月")&amp;" 自动结转")</f>
        <v/>
      </c>
      <c r="E15" s="26" t="str">
        <f>IF(INDEX(进销存对接!$M$4:$U$305,4,7)=0,"",INDEX(进销存对接!$M$4:$U$305,4,7))</f>
        <v/>
      </c>
      <c r="F15" s="25" t="str">
        <f>IF($E15="","",IFERROR(INDEX(科目表!$A$4:$A$81,MATCH($E15,科目表!$B$4:$B$81,0)),""))</f>
        <v/>
      </c>
      <c r="G15" s="26" t="str">
        <f>IF($E15="","",IFERROR(INDEX(科目表!$E$4:$E$81,MATCH($E15,科目表!$B$4:$B$81,0)),""))</f>
        <v/>
      </c>
      <c r="H15" s="27" t="str">
        <f>IF($E15="","",N(INDEX(进销存对接!$M$4:$U$305,4,8)))</f>
        <v/>
      </c>
      <c r="I15" s="27" t="str">
        <f>IF($E15="","",N(INDEX(进销存对接!$M$4:$U$305,4,9)))</f>
        <v/>
      </c>
      <c r="J15" s="26"/>
      <c r="K15" s="26" t="str">
        <f>IF($E15="","",INDEX(进销存对接!$D$4:$D$305,4))</f>
        <v/>
      </c>
      <c r="L15" s="32"/>
      <c r="M15" s="32"/>
      <c r="N15" s="26" t="str">
        <f t="shared" si="2"/>
        <v/>
      </c>
      <c r="O15" s="26" t="str">
        <f t="shared" si="3"/>
        <v/>
      </c>
      <c r="P15" s="10"/>
    </row>
    <row r="16" ht="18" customHeight="1" spans="1:16">
      <c r="A16" s="32" t="str">
        <f t="shared" si="0"/>
        <v/>
      </c>
      <c r="B16" s="100" t="str">
        <f>IF($E16="","",INDEX(进销存对接!$C$4:$C$305,5))</f>
        <v/>
      </c>
      <c r="C16" s="26" t="str">
        <f t="shared" si="1"/>
        <v/>
      </c>
      <c r="D16" s="32" t="str">
        <f>IF($E16="","",INDEX(进销存对接!$D$4:$D$305,5)&amp;" "&amp;TEXT($B16,"YYYY年M月")&amp;" 自动结转")</f>
        <v/>
      </c>
      <c r="E16" s="26" t="str">
        <f>IF(INDEX(进销存对接!$M$4:$U$305,5,1)=0,"",INDEX(进销存对接!$M$4:$U$305,5,1))</f>
        <v/>
      </c>
      <c r="F16" s="25" t="str">
        <f>IF($E16="","",IFERROR(INDEX(科目表!$A$4:$A$81,MATCH($E16,科目表!$B$4:$B$81,0)),""))</f>
        <v/>
      </c>
      <c r="G16" s="26" t="str">
        <f>IF($E16="","",IFERROR(INDEX(科目表!$E$4:$E$81,MATCH($E16,科目表!$B$4:$B$81,0)),""))</f>
        <v/>
      </c>
      <c r="H16" s="27" t="str">
        <f>IF($E16="","",N(INDEX(进销存对接!$M$4:$U$305,5,2)))</f>
        <v/>
      </c>
      <c r="I16" s="27" t="str">
        <f>IF($E16="","",N(INDEX(进销存对接!$M$4:$U$305,5,3)))</f>
        <v/>
      </c>
      <c r="J16" s="26"/>
      <c r="K16" s="26" t="str">
        <f>IF($E16="","",INDEX(进销存对接!$D$4:$D$305,5))</f>
        <v/>
      </c>
      <c r="L16" s="32"/>
      <c r="M16" s="32"/>
      <c r="N16" s="26" t="str">
        <f t="shared" si="2"/>
        <v/>
      </c>
      <c r="O16" s="26" t="str">
        <f t="shared" si="3"/>
        <v/>
      </c>
      <c r="P16" s="10"/>
    </row>
    <row r="17" ht="18" customHeight="1" spans="1:16">
      <c r="A17" s="32" t="str">
        <f t="shared" si="0"/>
        <v/>
      </c>
      <c r="B17" s="100" t="str">
        <f>IF($E17="","",INDEX(进销存对接!$C$4:$C$305,5))</f>
        <v/>
      </c>
      <c r="C17" s="26" t="str">
        <f t="shared" si="1"/>
        <v/>
      </c>
      <c r="D17" s="32" t="str">
        <f>IF($E17="","",INDEX(进销存对接!$D$4:$D$305,5)&amp;" "&amp;TEXT($B17,"YYYY年M月")&amp;" 自动结转")</f>
        <v/>
      </c>
      <c r="E17" s="26" t="str">
        <f>IF(INDEX(进销存对接!$M$4:$U$305,5,4)=0,"",INDEX(进销存对接!$M$4:$U$305,5,4))</f>
        <v/>
      </c>
      <c r="F17" s="25" t="str">
        <f>IF($E17="","",IFERROR(INDEX(科目表!$A$4:$A$81,MATCH($E17,科目表!$B$4:$B$81,0)),""))</f>
        <v/>
      </c>
      <c r="G17" s="26" t="str">
        <f>IF($E17="","",IFERROR(INDEX(科目表!$E$4:$E$81,MATCH($E17,科目表!$B$4:$B$81,0)),""))</f>
        <v/>
      </c>
      <c r="H17" s="27" t="str">
        <f>IF($E17="","",N(INDEX(进销存对接!$M$4:$U$305,5,5)))</f>
        <v/>
      </c>
      <c r="I17" s="27" t="str">
        <f>IF($E17="","",N(INDEX(进销存对接!$M$4:$U$305,5,6)))</f>
        <v/>
      </c>
      <c r="J17" s="26"/>
      <c r="K17" s="26" t="str">
        <f>IF($E17="","",INDEX(进销存对接!$D$4:$D$305,5))</f>
        <v/>
      </c>
      <c r="L17" s="32"/>
      <c r="M17" s="32"/>
      <c r="N17" s="26" t="str">
        <f t="shared" si="2"/>
        <v/>
      </c>
      <c r="O17" s="26" t="str">
        <f t="shared" si="3"/>
        <v/>
      </c>
      <c r="P17" s="10"/>
    </row>
    <row r="18" ht="18" customHeight="1" spans="1:16">
      <c r="A18" s="32" t="str">
        <f t="shared" si="0"/>
        <v/>
      </c>
      <c r="B18" s="100" t="str">
        <f>IF($E18="","",INDEX(进销存对接!$C$4:$C$305,5))</f>
        <v/>
      </c>
      <c r="C18" s="26" t="str">
        <f t="shared" si="1"/>
        <v/>
      </c>
      <c r="D18" s="32" t="str">
        <f>IF($E18="","",INDEX(进销存对接!$D$4:$D$305,5)&amp;" "&amp;TEXT($B18,"YYYY年M月")&amp;" 自动结转")</f>
        <v/>
      </c>
      <c r="E18" s="26" t="str">
        <f>IF(INDEX(进销存对接!$M$4:$U$305,5,7)=0,"",INDEX(进销存对接!$M$4:$U$305,5,7))</f>
        <v/>
      </c>
      <c r="F18" s="25" t="str">
        <f>IF($E18="","",IFERROR(INDEX(科目表!$A$4:$A$81,MATCH($E18,科目表!$B$4:$B$81,0)),""))</f>
        <v/>
      </c>
      <c r="G18" s="26" t="str">
        <f>IF($E18="","",IFERROR(INDEX(科目表!$E$4:$E$81,MATCH($E18,科目表!$B$4:$B$81,0)),""))</f>
        <v/>
      </c>
      <c r="H18" s="27" t="str">
        <f>IF($E18="","",N(INDEX(进销存对接!$M$4:$U$305,5,8)))</f>
        <v/>
      </c>
      <c r="I18" s="27" t="str">
        <f>IF($E18="","",N(INDEX(进销存对接!$M$4:$U$305,5,9)))</f>
        <v/>
      </c>
      <c r="J18" s="26"/>
      <c r="K18" s="26" t="str">
        <f>IF($E18="","",INDEX(进销存对接!$D$4:$D$305,5))</f>
        <v/>
      </c>
      <c r="L18" s="32"/>
      <c r="M18" s="32"/>
      <c r="N18" s="26" t="str">
        <f t="shared" si="2"/>
        <v/>
      </c>
      <c r="O18" s="26" t="str">
        <f t="shared" si="3"/>
        <v/>
      </c>
      <c r="P18" s="10"/>
    </row>
    <row r="19" ht="18" customHeight="1" spans="1:16">
      <c r="A19" s="32" t="str">
        <f t="shared" si="0"/>
        <v/>
      </c>
      <c r="B19" s="100" t="str">
        <f>IF($E19="","",INDEX(进销存对接!$C$4:$C$305,6))</f>
        <v/>
      </c>
      <c r="C19" s="26" t="str">
        <f t="shared" si="1"/>
        <v/>
      </c>
      <c r="D19" s="32" t="str">
        <f>IF($E19="","",INDEX(进销存对接!$D$4:$D$305,6)&amp;" "&amp;TEXT($B19,"YYYY年M月")&amp;" 自动结转")</f>
        <v/>
      </c>
      <c r="E19" s="26" t="str">
        <f>IF(INDEX(进销存对接!$M$4:$U$305,6,1)=0,"",INDEX(进销存对接!$M$4:$U$305,6,1))</f>
        <v/>
      </c>
      <c r="F19" s="25" t="str">
        <f>IF($E19="","",IFERROR(INDEX(科目表!$A$4:$A$81,MATCH($E19,科目表!$B$4:$B$81,0)),""))</f>
        <v/>
      </c>
      <c r="G19" s="26" t="str">
        <f>IF($E19="","",IFERROR(INDEX(科目表!$E$4:$E$81,MATCH($E19,科目表!$B$4:$B$81,0)),""))</f>
        <v/>
      </c>
      <c r="H19" s="27" t="str">
        <f>IF($E19="","",N(INDEX(进销存对接!$M$4:$U$305,6,2)))</f>
        <v/>
      </c>
      <c r="I19" s="27" t="str">
        <f>IF($E19="","",N(INDEX(进销存对接!$M$4:$U$305,6,3)))</f>
        <v/>
      </c>
      <c r="J19" s="26"/>
      <c r="K19" s="26" t="str">
        <f>IF($E19="","",INDEX(进销存对接!$D$4:$D$305,6))</f>
        <v/>
      </c>
      <c r="L19" s="32"/>
      <c r="M19" s="32"/>
      <c r="N19" s="26" t="str">
        <f t="shared" si="2"/>
        <v/>
      </c>
      <c r="O19" s="26" t="str">
        <f t="shared" si="3"/>
        <v/>
      </c>
      <c r="P19" s="10"/>
    </row>
    <row r="20" ht="18" customHeight="1" spans="1:16">
      <c r="A20" s="32" t="str">
        <f t="shared" si="0"/>
        <v/>
      </c>
      <c r="B20" s="100" t="str">
        <f>IF($E20="","",INDEX(进销存对接!$C$4:$C$305,6))</f>
        <v/>
      </c>
      <c r="C20" s="26" t="str">
        <f t="shared" si="1"/>
        <v/>
      </c>
      <c r="D20" s="32" t="str">
        <f>IF($E20="","",INDEX(进销存对接!$D$4:$D$305,6)&amp;" "&amp;TEXT($B20,"YYYY年M月")&amp;" 自动结转")</f>
        <v/>
      </c>
      <c r="E20" s="26" t="str">
        <f>IF(INDEX(进销存对接!$M$4:$U$305,6,4)=0,"",INDEX(进销存对接!$M$4:$U$305,6,4))</f>
        <v/>
      </c>
      <c r="F20" s="25" t="str">
        <f>IF($E20="","",IFERROR(INDEX(科目表!$A$4:$A$81,MATCH($E20,科目表!$B$4:$B$81,0)),""))</f>
        <v/>
      </c>
      <c r="G20" s="26" t="str">
        <f>IF($E20="","",IFERROR(INDEX(科目表!$E$4:$E$81,MATCH($E20,科目表!$B$4:$B$81,0)),""))</f>
        <v/>
      </c>
      <c r="H20" s="27" t="str">
        <f>IF($E20="","",N(INDEX(进销存对接!$M$4:$U$305,6,5)))</f>
        <v/>
      </c>
      <c r="I20" s="27" t="str">
        <f>IF($E20="","",N(INDEX(进销存对接!$M$4:$U$305,6,6)))</f>
        <v/>
      </c>
      <c r="J20" s="26"/>
      <c r="K20" s="26" t="str">
        <f>IF($E20="","",INDEX(进销存对接!$D$4:$D$305,6))</f>
        <v/>
      </c>
      <c r="L20" s="32"/>
      <c r="M20" s="32"/>
      <c r="N20" s="26" t="str">
        <f t="shared" si="2"/>
        <v/>
      </c>
      <c r="O20" s="26" t="str">
        <f t="shared" si="3"/>
        <v/>
      </c>
      <c r="P20" s="10"/>
    </row>
    <row r="21" ht="18" customHeight="1" spans="1:16">
      <c r="A21" s="32" t="str">
        <f t="shared" si="0"/>
        <v/>
      </c>
      <c r="B21" s="100" t="str">
        <f>IF($E21="","",INDEX(进销存对接!$C$4:$C$305,6))</f>
        <v/>
      </c>
      <c r="C21" s="26" t="str">
        <f t="shared" si="1"/>
        <v/>
      </c>
      <c r="D21" s="32" t="str">
        <f>IF($E21="","",INDEX(进销存对接!$D$4:$D$305,6)&amp;" "&amp;TEXT($B21,"YYYY年M月")&amp;" 自动结转")</f>
        <v/>
      </c>
      <c r="E21" s="26" t="str">
        <f>IF(INDEX(进销存对接!$M$4:$U$305,6,7)=0,"",INDEX(进销存对接!$M$4:$U$305,6,7))</f>
        <v/>
      </c>
      <c r="F21" s="25" t="str">
        <f>IF($E21="","",IFERROR(INDEX(科目表!$A$4:$A$81,MATCH($E21,科目表!$B$4:$B$81,0)),""))</f>
        <v/>
      </c>
      <c r="G21" s="26" t="str">
        <f>IF($E21="","",IFERROR(INDEX(科目表!$E$4:$E$81,MATCH($E21,科目表!$B$4:$B$81,0)),""))</f>
        <v/>
      </c>
      <c r="H21" s="27" t="str">
        <f>IF($E21="","",N(INDEX(进销存对接!$M$4:$U$305,6,8)))</f>
        <v/>
      </c>
      <c r="I21" s="27" t="str">
        <f>IF($E21="","",N(INDEX(进销存对接!$M$4:$U$305,6,9)))</f>
        <v/>
      </c>
      <c r="J21" s="26"/>
      <c r="K21" s="26" t="str">
        <f>IF($E21="","",INDEX(进销存对接!$D$4:$D$305,6))</f>
        <v/>
      </c>
      <c r="L21" s="32"/>
      <c r="M21" s="32"/>
      <c r="N21" s="26" t="str">
        <f t="shared" si="2"/>
        <v/>
      </c>
      <c r="O21" s="26" t="str">
        <f t="shared" si="3"/>
        <v/>
      </c>
      <c r="P21" s="10"/>
    </row>
    <row r="22" ht="18" customHeight="1" spans="1:16">
      <c r="A22" s="32" t="str">
        <f t="shared" si="0"/>
        <v/>
      </c>
      <c r="B22" s="100" t="str">
        <f>IF($E22="","",INDEX(进销存对接!$C$4:$C$305,7))</f>
        <v/>
      </c>
      <c r="C22" s="26" t="str">
        <f t="shared" si="1"/>
        <v/>
      </c>
      <c r="D22" s="32" t="str">
        <f>IF($E22="","",INDEX(进销存对接!$D$4:$D$305,7)&amp;" "&amp;TEXT($B22,"YYYY年M月")&amp;" 自动结转")</f>
        <v/>
      </c>
      <c r="E22" s="26" t="str">
        <f>IF(INDEX(进销存对接!$M$4:$U$305,7,1)=0,"",INDEX(进销存对接!$M$4:$U$305,7,1))</f>
        <v/>
      </c>
      <c r="F22" s="25" t="str">
        <f>IF($E22="","",IFERROR(INDEX(科目表!$A$4:$A$81,MATCH($E22,科目表!$B$4:$B$81,0)),""))</f>
        <v/>
      </c>
      <c r="G22" s="26" t="str">
        <f>IF($E22="","",IFERROR(INDEX(科目表!$E$4:$E$81,MATCH($E22,科目表!$B$4:$B$81,0)),""))</f>
        <v/>
      </c>
      <c r="H22" s="27" t="str">
        <f>IF($E22="","",N(INDEX(进销存对接!$M$4:$U$305,7,2)))</f>
        <v/>
      </c>
      <c r="I22" s="27" t="str">
        <f>IF($E22="","",N(INDEX(进销存对接!$M$4:$U$305,7,3)))</f>
        <v/>
      </c>
      <c r="J22" s="26"/>
      <c r="K22" s="26" t="str">
        <f>IF($E22="","",INDEX(进销存对接!$D$4:$D$305,7))</f>
        <v/>
      </c>
      <c r="L22" s="32"/>
      <c r="M22" s="32"/>
      <c r="N22" s="26" t="str">
        <f t="shared" si="2"/>
        <v/>
      </c>
      <c r="O22" s="26" t="str">
        <f t="shared" si="3"/>
        <v/>
      </c>
      <c r="P22" s="10"/>
    </row>
    <row r="23" ht="18" customHeight="1" spans="1:16">
      <c r="A23" s="32" t="str">
        <f t="shared" si="0"/>
        <v/>
      </c>
      <c r="B23" s="100" t="str">
        <f>IF($E23="","",INDEX(进销存对接!$C$4:$C$305,7))</f>
        <v/>
      </c>
      <c r="C23" s="26" t="str">
        <f t="shared" si="1"/>
        <v/>
      </c>
      <c r="D23" s="32" t="str">
        <f>IF($E23="","",INDEX(进销存对接!$D$4:$D$305,7)&amp;" "&amp;TEXT($B23,"YYYY年M月")&amp;" 自动结转")</f>
        <v/>
      </c>
      <c r="E23" s="26" t="str">
        <f>IF(INDEX(进销存对接!$M$4:$U$305,7,4)=0,"",INDEX(进销存对接!$M$4:$U$305,7,4))</f>
        <v/>
      </c>
      <c r="F23" s="25" t="str">
        <f>IF($E23="","",IFERROR(INDEX(科目表!$A$4:$A$81,MATCH($E23,科目表!$B$4:$B$81,0)),""))</f>
        <v/>
      </c>
      <c r="G23" s="26" t="str">
        <f>IF($E23="","",IFERROR(INDEX(科目表!$E$4:$E$81,MATCH($E23,科目表!$B$4:$B$81,0)),""))</f>
        <v/>
      </c>
      <c r="H23" s="27" t="str">
        <f>IF($E23="","",N(INDEX(进销存对接!$M$4:$U$305,7,5)))</f>
        <v/>
      </c>
      <c r="I23" s="27" t="str">
        <f>IF($E23="","",N(INDEX(进销存对接!$M$4:$U$305,7,6)))</f>
        <v/>
      </c>
      <c r="J23" s="26"/>
      <c r="K23" s="26" t="str">
        <f>IF($E23="","",INDEX(进销存对接!$D$4:$D$305,7))</f>
        <v/>
      </c>
      <c r="L23" s="32"/>
      <c r="M23" s="32"/>
      <c r="N23" s="26" t="str">
        <f t="shared" si="2"/>
        <v/>
      </c>
      <c r="O23" s="26" t="str">
        <f t="shared" si="3"/>
        <v/>
      </c>
      <c r="P23" s="10"/>
    </row>
    <row r="24" ht="18" customHeight="1" spans="1:16">
      <c r="A24" s="32" t="str">
        <f t="shared" si="0"/>
        <v/>
      </c>
      <c r="B24" s="100" t="str">
        <f>IF($E24="","",INDEX(进销存对接!$C$4:$C$305,7))</f>
        <v/>
      </c>
      <c r="C24" s="26" t="str">
        <f t="shared" si="1"/>
        <v/>
      </c>
      <c r="D24" s="32" t="str">
        <f>IF($E24="","",INDEX(进销存对接!$D$4:$D$305,7)&amp;" "&amp;TEXT($B24,"YYYY年M月")&amp;" 自动结转")</f>
        <v/>
      </c>
      <c r="E24" s="26" t="str">
        <f>IF(INDEX(进销存对接!$M$4:$U$305,7,7)=0,"",INDEX(进销存对接!$M$4:$U$305,7,7))</f>
        <v/>
      </c>
      <c r="F24" s="25" t="str">
        <f>IF($E24="","",IFERROR(INDEX(科目表!$A$4:$A$81,MATCH($E24,科目表!$B$4:$B$81,0)),""))</f>
        <v/>
      </c>
      <c r="G24" s="26" t="str">
        <f>IF($E24="","",IFERROR(INDEX(科目表!$E$4:$E$81,MATCH($E24,科目表!$B$4:$B$81,0)),""))</f>
        <v/>
      </c>
      <c r="H24" s="27" t="str">
        <f>IF($E24="","",N(INDEX(进销存对接!$M$4:$U$305,7,8)))</f>
        <v/>
      </c>
      <c r="I24" s="27" t="str">
        <f>IF($E24="","",N(INDEX(进销存对接!$M$4:$U$305,7,9)))</f>
        <v/>
      </c>
      <c r="J24" s="26"/>
      <c r="K24" s="26" t="str">
        <f>IF($E24="","",INDEX(进销存对接!$D$4:$D$305,7))</f>
        <v/>
      </c>
      <c r="L24" s="32"/>
      <c r="M24" s="32"/>
      <c r="N24" s="26" t="str">
        <f t="shared" si="2"/>
        <v/>
      </c>
      <c r="O24" s="26" t="str">
        <f t="shared" si="3"/>
        <v/>
      </c>
      <c r="P24" s="10"/>
    </row>
    <row r="25" ht="18" customHeight="1" spans="1:16">
      <c r="A25" s="32" t="str">
        <f t="shared" si="0"/>
        <v/>
      </c>
      <c r="B25" s="100" t="str">
        <f>IF($E25="","",INDEX(进销存对接!$C$4:$C$305,8))</f>
        <v/>
      </c>
      <c r="C25" s="26" t="str">
        <f t="shared" si="1"/>
        <v/>
      </c>
      <c r="D25" s="32" t="str">
        <f>IF($E25="","",INDEX(进销存对接!$D$4:$D$305,8)&amp;" "&amp;TEXT($B25,"YYYY年M月")&amp;" 自动结转")</f>
        <v/>
      </c>
      <c r="E25" s="26" t="str">
        <f>IF(INDEX(进销存对接!$M$4:$U$305,8,1)=0,"",INDEX(进销存对接!$M$4:$U$305,8,1))</f>
        <v/>
      </c>
      <c r="F25" s="25" t="str">
        <f>IF($E25="","",IFERROR(INDEX(科目表!$A$4:$A$81,MATCH($E25,科目表!$B$4:$B$81,0)),""))</f>
        <v/>
      </c>
      <c r="G25" s="26" t="str">
        <f>IF($E25="","",IFERROR(INDEX(科目表!$E$4:$E$81,MATCH($E25,科目表!$B$4:$B$81,0)),""))</f>
        <v/>
      </c>
      <c r="H25" s="27" t="str">
        <f>IF($E25="","",N(INDEX(进销存对接!$M$4:$U$305,8,2)))</f>
        <v/>
      </c>
      <c r="I25" s="27" t="str">
        <f>IF($E25="","",N(INDEX(进销存对接!$M$4:$U$305,8,3)))</f>
        <v/>
      </c>
      <c r="J25" s="26"/>
      <c r="K25" s="26" t="str">
        <f>IF($E25="","",INDEX(进销存对接!$D$4:$D$305,8))</f>
        <v/>
      </c>
      <c r="L25" s="32"/>
      <c r="M25" s="32"/>
      <c r="N25" s="26" t="str">
        <f t="shared" si="2"/>
        <v/>
      </c>
      <c r="O25" s="26" t="str">
        <f t="shared" si="3"/>
        <v/>
      </c>
      <c r="P25" s="10"/>
    </row>
    <row r="26" ht="18" customHeight="1" spans="1:16">
      <c r="A26" s="32" t="str">
        <f t="shared" si="0"/>
        <v/>
      </c>
      <c r="B26" s="100" t="str">
        <f>IF($E26="","",INDEX(进销存对接!$C$4:$C$305,8))</f>
        <v/>
      </c>
      <c r="C26" s="26" t="str">
        <f t="shared" si="1"/>
        <v/>
      </c>
      <c r="D26" s="32" t="str">
        <f>IF($E26="","",INDEX(进销存对接!$D$4:$D$305,8)&amp;" "&amp;TEXT($B26,"YYYY年M月")&amp;" 自动结转")</f>
        <v/>
      </c>
      <c r="E26" s="26" t="str">
        <f>IF(INDEX(进销存对接!$M$4:$U$305,8,4)=0,"",INDEX(进销存对接!$M$4:$U$305,8,4))</f>
        <v/>
      </c>
      <c r="F26" s="25" t="str">
        <f>IF($E26="","",IFERROR(INDEX(科目表!$A$4:$A$81,MATCH($E26,科目表!$B$4:$B$81,0)),""))</f>
        <v/>
      </c>
      <c r="G26" s="26" t="str">
        <f>IF($E26="","",IFERROR(INDEX(科目表!$E$4:$E$81,MATCH($E26,科目表!$B$4:$B$81,0)),""))</f>
        <v/>
      </c>
      <c r="H26" s="27" t="str">
        <f>IF($E26="","",N(INDEX(进销存对接!$M$4:$U$305,8,5)))</f>
        <v/>
      </c>
      <c r="I26" s="27" t="str">
        <f>IF($E26="","",N(INDEX(进销存对接!$M$4:$U$305,8,6)))</f>
        <v/>
      </c>
      <c r="J26" s="26"/>
      <c r="K26" s="26" t="str">
        <f>IF($E26="","",INDEX(进销存对接!$D$4:$D$305,8))</f>
        <v/>
      </c>
      <c r="L26" s="32"/>
      <c r="M26" s="32"/>
      <c r="N26" s="26" t="str">
        <f t="shared" si="2"/>
        <v/>
      </c>
      <c r="O26" s="26" t="str">
        <f t="shared" si="3"/>
        <v/>
      </c>
      <c r="P26" s="10"/>
    </row>
    <row r="27" ht="18" customHeight="1" spans="1:16">
      <c r="A27" s="32" t="str">
        <f t="shared" si="0"/>
        <v/>
      </c>
      <c r="B27" s="100" t="str">
        <f>IF($E27="","",INDEX(进销存对接!$C$4:$C$305,8))</f>
        <v/>
      </c>
      <c r="C27" s="26" t="str">
        <f t="shared" si="1"/>
        <v/>
      </c>
      <c r="D27" s="32" t="str">
        <f>IF($E27="","",INDEX(进销存对接!$D$4:$D$305,8)&amp;" "&amp;TEXT($B27,"YYYY年M月")&amp;" 自动结转")</f>
        <v/>
      </c>
      <c r="E27" s="26" t="str">
        <f>IF(INDEX(进销存对接!$M$4:$U$305,8,7)=0,"",INDEX(进销存对接!$M$4:$U$305,8,7))</f>
        <v/>
      </c>
      <c r="F27" s="25" t="str">
        <f>IF($E27="","",IFERROR(INDEX(科目表!$A$4:$A$81,MATCH($E27,科目表!$B$4:$B$81,0)),""))</f>
        <v/>
      </c>
      <c r="G27" s="26" t="str">
        <f>IF($E27="","",IFERROR(INDEX(科目表!$E$4:$E$81,MATCH($E27,科目表!$B$4:$B$81,0)),""))</f>
        <v/>
      </c>
      <c r="H27" s="27" t="str">
        <f>IF($E27="","",N(INDEX(进销存对接!$M$4:$U$305,8,8)))</f>
        <v/>
      </c>
      <c r="I27" s="27" t="str">
        <f>IF($E27="","",N(INDEX(进销存对接!$M$4:$U$305,8,9)))</f>
        <v/>
      </c>
      <c r="J27" s="26"/>
      <c r="K27" s="26" t="str">
        <f>IF($E27="","",INDEX(进销存对接!$D$4:$D$305,8))</f>
        <v/>
      </c>
      <c r="L27" s="32"/>
      <c r="M27" s="32"/>
      <c r="N27" s="26" t="str">
        <f t="shared" si="2"/>
        <v/>
      </c>
      <c r="O27" s="26" t="str">
        <f t="shared" si="3"/>
        <v/>
      </c>
      <c r="P27" s="10"/>
    </row>
    <row r="28" ht="18" customHeight="1" spans="1:16">
      <c r="A28" s="32" t="str">
        <f t="shared" si="0"/>
        <v/>
      </c>
      <c r="B28" s="100" t="str">
        <f>IF($E28="","",INDEX(进销存对接!$C$4:$C$305,9))</f>
        <v/>
      </c>
      <c r="C28" s="26" t="str">
        <f t="shared" si="1"/>
        <v/>
      </c>
      <c r="D28" s="32" t="str">
        <f>IF($E28="","",INDEX(进销存对接!$D$4:$D$305,9)&amp;" "&amp;TEXT($B28,"YYYY年M月")&amp;" 自动结转")</f>
        <v/>
      </c>
      <c r="E28" s="26" t="str">
        <f>IF(INDEX(进销存对接!$M$4:$U$305,9,1)=0,"",INDEX(进销存对接!$M$4:$U$305,9,1))</f>
        <v/>
      </c>
      <c r="F28" s="25" t="str">
        <f>IF($E28="","",IFERROR(INDEX(科目表!$A$4:$A$81,MATCH($E28,科目表!$B$4:$B$81,0)),""))</f>
        <v/>
      </c>
      <c r="G28" s="26" t="str">
        <f>IF($E28="","",IFERROR(INDEX(科目表!$E$4:$E$81,MATCH($E28,科目表!$B$4:$B$81,0)),""))</f>
        <v/>
      </c>
      <c r="H28" s="27" t="str">
        <f>IF($E28="","",N(INDEX(进销存对接!$M$4:$U$305,9,2)))</f>
        <v/>
      </c>
      <c r="I28" s="27" t="str">
        <f>IF($E28="","",N(INDEX(进销存对接!$M$4:$U$305,9,3)))</f>
        <v/>
      </c>
      <c r="J28" s="26"/>
      <c r="K28" s="26" t="str">
        <f>IF($E28="","",INDEX(进销存对接!$D$4:$D$305,9))</f>
        <v/>
      </c>
      <c r="L28" s="32"/>
      <c r="M28" s="32"/>
      <c r="N28" s="26" t="str">
        <f t="shared" si="2"/>
        <v/>
      </c>
      <c r="O28" s="26" t="str">
        <f t="shared" si="3"/>
        <v/>
      </c>
      <c r="P28" s="10"/>
    </row>
    <row r="29" ht="18" customHeight="1" spans="1:16">
      <c r="A29" s="32" t="str">
        <f t="shared" si="0"/>
        <v/>
      </c>
      <c r="B29" s="100" t="str">
        <f>IF($E29="","",INDEX(进销存对接!$C$4:$C$305,9))</f>
        <v/>
      </c>
      <c r="C29" s="26" t="str">
        <f t="shared" si="1"/>
        <v/>
      </c>
      <c r="D29" s="32" t="str">
        <f>IF($E29="","",INDEX(进销存对接!$D$4:$D$305,9)&amp;" "&amp;TEXT($B29,"YYYY年M月")&amp;" 自动结转")</f>
        <v/>
      </c>
      <c r="E29" s="26" t="str">
        <f>IF(INDEX(进销存对接!$M$4:$U$305,9,4)=0,"",INDEX(进销存对接!$M$4:$U$305,9,4))</f>
        <v/>
      </c>
      <c r="F29" s="25" t="str">
        <f>IF($E29="","",IFERROR(INDEX(科目表!$A$4:$A$81,MATCH($E29,科目表!$B$4:$B$81,0)),""))</f>
        <v/>
      </c>
      <c r="G29" s="26" t="str">
        <f>IF($E29="","",IFERROR(INDEX(科目表!$E$4:$E$81,MATCH($E29,科目表!$B$4:$B$81,0)),""))</f>
        <v/>
      </c>
      <c r="H29" s="27" t="str">
        <f>IF($E29="","",N(INDEX(进销存对接!$M$4:$U$305,9,5)))</f>
        <v/>
      </c>
      <c r="I29" s="27" t="str">
        <f>IF($E29="","",N(INDEX(进销存对接!$M$4:$U$305,9,6)))</f>
        <v/>
      </c>
      <c r="J29" s="26"/>
      <c r="K29" s="26" t="str">
        <f>IF($E29="","",INDEX(进销存对接!$D$4:$D$305,9))</f>
        <v/>
      </c>
      <c r="L29" s="32"/>
      <c r="M29" s="32"/>
      <c r="N29" s="26" t="str">
        <f t="shared" si="2"/>
        <v/>
      </c>
      <c r="O29" s="26" t="str">
        <f t="shared" si="3"/>
        <v/>
      </c>
      <c r="P29" s="10"/>
    </row>
    <row r="30" ht="18" customHeight="1" spans="1:16">
      <c r="A30" s="32" t="str">
        <f t="shared" si="0"/>
        <v/>
      </c>
      <c r="B30" s="100" t="str">
        <f>IF($E30="","",INDEX(进销存对接!$C$4:$C$305,9))</f>
        <v/>
      </c>
      <c r="C30" s="26" t="str">
        <f t="shared" si="1"/>
        <v/>
      </c>
      <c r="D30" s="32" t="str">
        <f>IF($E30="","",INDEX(进销存对接!$D$4:$D$305,9)&amp;" "&amp;TEXT($B30,"YYYY年M月")&amp;" 自动结转")</f>
        <v/>
      </c>
      <c r="E30" s="26" t="str">
        <f>IF(INDEX(进销存对接!$M$4:$U$305,9,7)=0,"",INDEX(进销存对接!$M$4:$U$305,9,7))</f>
        <v/>
      </c>
      <c r="F30" s="25" t="str">
        <f>IF($E30="","",IFERROR(INDEX(科目表!$A$4:$A$81,MATCH($E30,科目表!$B$4:$B$81,0)),""))</f>
        <v/>
      </c>
      <c r="G30" s="26" t="str">
        <f>IF($E30="","",IFERROR(INDEX(科目表!$E$4:$E$81,MATCH($E30,科目表!$B$4:$B$81,0)),""))</f>
        <v/>
      </c>
      <c r="H30" s="27" t="str">
        <f>IF($E30="","",N(INDEX(进销存对接!$M$4:$U$305,9,8)))</f>
        <v/>
      </c>
      <c r="I30" s="27" t="str">
        <f>IF($E30="","",N(INDEX(进销存对接!$M$4:$U$305,9,9)))</f>
        <v/>
      </c>
      <c r="J30" s="26"/>
      <c r="K30" s="26" t="str">
        <f>IF($E30="","",INDEX(进销存对接!$D$4:$D$305,9))</f>
        <v/>
      </c>
      <c r="L30" s="32"/>
      <c r="M30" s="32"/>
      <c r="N30" s="26" t="str">
        <f t="shared" si="2"/>
        <v/>
      </c>
      <c r="O30" s="26" t="str">
        <f t="shared" si="3"/>
        <v/>
      </c>
      <c r="P30" s="10"/>
    </row>
    <row r="31" ht="18" customHeight="1" spans="1:16">
      <c r="A31" s="32" t="str">
        <f t="shared" si="0"/>
        <v/>
      </c>
      <c r="B31" s="100" t="str">
        <f>IF($E31="","",INDEX(进销存对接!$C$4:$C$305,10))</f>
        <v/>
      </c>
      <c r="C31" s="26" t="str">
        <f t="shared" si="1"/>
        <v/>
      </c>
      <c r="D31" s="32" t="str">
        <f>IF($E31="","",INDEX(进销存对接!$D$4:$D$305,10)&amp;" "&amp;TEXT($B31,"YYYY年M月")&amp;" 自动结转")</f>
        <v/>
      </c>
      <c r="E31" s="26" t="str">
        <f>IF(INDEX(进销存对接!$M$4:$U$305,10,1)=0,"",INDEX(进销存对接!$M$4:$U$305,10,1))</f>
        <v/>
      </c>
      <c r="F31" s="25" t="str">
        <f>IF($E31="","",IFERROR(INDEX(科目表!$A$4:$A$81,MATCH($E31,科目表!$B$4:$B$81,0)),""))</f>
        <v/>
      </c>
      <c r="G31" s="26" t="str">
        <f>IF($E31="","",IFERROR(INDEX(科目表!$E$4:$E$81,MATCH($E31,科目表!$B$4:$B$81,0)),""))</f>
        <v/>
      </c>
      <c r="H31" s="27" t="str">
        <f>IF($E31="","",N(INDEX(进销存对接!$M$4:$U$305,10,2)))</f>
        <v/>
      </c>
      <c r="I31" s="27" t="str">
        <f>IF($E31="","",N(INDEX(进销存对接!$M$4:$U$305,10,3)))</f>
        <v/>
      </c>
      <c r="J31" s="26"/>
      <c r="K31" s="26" t="str">
        <f>IF($E31="","",INDEX(进销存对接!$D$4:$D$305,10))</f>
        <v/>
      </c>
      <c r="L31" s="32"/>
      <c r="M31" s="32"/>
      <c r="N31" s="26" t="str">
        <f t="shared" si="2"/>
        <v/>
      </c>
      <c r="O31" s="26" t="str">
        <f t="shared" si="3"/>
        <v/>
      </c>
      <c r="P31" s="10"/>
    </row>
    <row r="32" ht="18" customHeight="1" spans="1:16">
      <c r="A32" s="32" t="str">
        <f t="shared" si="0"/>
        <v/>
      </c>
      <c r="B32" s="100" t="str">
        <f>IF($E32="","",INDEX(进销存对接!$C$4:$C$305,10))</f>
        <v/>
      </c>
      <c r="C32" s="26" t="str">
        <f t="shared" si="1"/>
        <v/>
      </c>
      <c r="D32" s="32" t="str">
        <f>IF($E32="","",INDEX(进销存对接!$D$4:$D$305,10)&amp;" "&amp;TEXT($B32,"YYYY年M月")&amp;" 自动结转")</f>
        <v/>
      </c>
      <c r="E32" s="26" t="str">
        <f>IF(INDEX(进销存对接!$M$4:$U$305,10,4)=0,"",INDEX(进销存对接!$M$4:$U$305,10,4))</f>
        <v/>
      </c>
      <c r="F32" s="25" t="str">
        <f>IF($E32="","",IFERROR(INDEX(科目表!$A$4:$A$81,MATCH($E32,科目表!$B$4:$B$81,0)),""))</f>
        <v/>
      </c>
      <c r="G32" s="26" t="str">
        <f>IF($E32="","",IFERROR(INDEX(科目表!$E$4:$E$81,MATCH($E32,科目表!$B$4:$B$81,0)),""))</f>
        <v/>
      </c>
      <c r="H32" s="27" t="str">
        <f>IF($E32="","",N(INDEX(进销存对接!$M$4:$U$305,10,5)))</f>
        <v/>
      </c>
      <c r="I32" s="27" t="str">
        <f>IF($E32="","",N(INDEX(进销存对接!$M$4:$U$305,10,6)))</f>
        <v/>
      </c>
      <c r="J32" s="26"/>
      <c r="K32" s="26" t="str">
        <f>IF($E32="","",INDEX(进销存对接!$D$4:$D$305,10))</f>
        <v/>
      </c>
      <c r="L32" s="32"/>
      <c r="M32" s="32"/>
      <c r="N32" s="26" t="str">
        <f t="shared" si="2"/>
        <v/>
      </c>
      <c r="O32" s="26" t="str">
        <f t="shared" si="3"/>
        <v/>
      </c>
      <c r="P32" s="10"/>
    </row>
    <row r="33" ht="18" customHeight="1" spans="1:16">
      <c r="A33" s="32" t="str">
        <f t="shared" si="0"/>
        <v/>
      </c>
      <c r="B33" s="100" t="str">
        <f>IF($E33="","",INDEX(进销存对接!$C$4:$C$305,10))</f>
        <v/>
      </c>
      <c r="C33" s="26" t="str">
        <f t="shared" si="1"/>
        <v/>
      </c>
      <c r="D33" s="32" t="str">
        <f>IF($E33="","",INDEX(进销存对接!$D$4:$D$305,10)&amp;" "&amp;TEXT($B33,"YYYY年M月")&amp;" 自动结转")</f>
        <v/>
      </c>
      <c r="E33" s="26" t="str">
        <f>IF(INDEX(进销存对接!$M$4:$U$305,10,7)=0,"",INDEX(进销存对接!$M$4:$U$305,10,7))</f>
        <v/>
      </c>
      <c r="F33" s="25" t="str">
        <f>IF($E33="","",IFERROR(INDEX(科目表!$A$4:$A$81,MATCH($E33,科目表!$B$4:$B$81,0)),""))</f>
        <v/>
      </c>
      <c r="G33" s="26" t="str">
        <f>IF($E33="","",IFERROR(INDEX(科目表!$E$4:$E$81,MATCH($E33,科目表!$B$4:$B$81,0)),""))</f>
        <v/>
      </c>
      <c r="H33" s="27" t="str">
        <f>IF($E33="","",N(INDEX(进销存对接!$M$4:$U$305,10,8)))</f>
        <v/>
      </c>
      <c r="I33" s="27" t="str">
        <f>IF($E33="","",N(INDEX(进销存对接!$M$4:$U$305,10,9)))</f>
        <v/>
      </c>
      <c r="J33" s="26"/>
      <c r="K33" s="26" t="str">
        <f>IF($E33="","",INDEX(进销存对接!$D$4:$D$305,10))</f>
        <v/>
      </c>
      <c r="L33" s="32"/>
      <c r="M33" s="32"/>
      <c r="N33" s="26" t="str">
        <f t="shared" si="2"/>
        <v/>
      </c>
      <c r="O33" s="26" t="str">
        <f t="shared" si="3"/>
        <v/>
      </c>
      <c r="P33" s="10"/>
    </row>
    <row r="34" ht="18" customHeight="1" spans="1:16">
      <c r="A34" s="32" t="str">
        <f t="shared" si="0"/>
        <v/>
      </c>
      <c r="B34" s="100" t="str">
        <f>IF($E34="","",INDEX(进销存对接!$C$4:$C$305,11))</f>
        <v/>
      </c>
      <c r="C34" s="26" t="str">
        <f t="shared" si="1"/>
        <v/>
      </c>
      <c r="D34" s="32" t="str">
        <f>IF($E34="","",INDEX(进销存对接!$D$4:$D$305,11)&amp;" "&amp;TEXT($B34,"YYYY年M月")&amp;" 自动结转")</f>
        <v/>
      </c>
      <c r="E34" s="26" t="str">
        <f>IF(INDEX(进销存对接!$M$4:$U$305,11,1)=0,"",INDEX(进销存对接!$M$4:$U$305,11,1))</f>
        <v/>
      </c>
      <c r="F34" s="25" t="str">
        <f>IF($E34="","",IFERROR(INDEX(科目表!$A$4:$A$81,MATCH($E34,科目表!$B$4:$B$81,0)),""))</f>
        <v/>
      </c>
      <c r="G34" s="26" t="str">
        <f>IF($E34="","",IFERROR(INDEX(科目表!$E$4:$E$81,MATCH($E34,科目表!$B$4:$B$81,0)),""))</f>
        <v/>
      </c>
      <c r="H34" s="27" t="str">
        <f>IF($E34="","",N(INDEX(进销存对接!$M$4:$U$305,11,2)))</f>
        <v/>
      </c>
      <c r="I34" s="27" t="str">
        <f>IF($E34="","",N(INDEX(进销存对接!$M$4:$U$305,11,3)))</f>
        <v/>
      </c>
      <c r="J34" s="26"/>
      <c r="K34" s="26" t="str">
        <f>IF($E34="","",INDEX(进销存对接!$D$4:$D$305,11))</f>
        <v/>
      </c>
      <c r="L34" s="32"/>
      <c r="M34" s="32"/>
      <c r="N34" s="26" t="str">
        <f t="shared" si="2"/>
        <v/>
      </c>
      <c r="O34" s="26" t="str">
        <f t="shared" si="3"/>
        <v/>
      </c>
      <c r="P34" s="10"/>
    </row>
    <row r="35" ht="18" customHeight="1" spans="1:16">
      <c r="A35" s="32" t="str">
        <f t="shared" si="0"/>
        <v/>
      </c>
      <c r="B35" s="100" t="str">
        <f>IF($E35="","",INDEX(进销存对接!$C$4:$C$305,11))</f>
        <v/>
      </c>
      <c r="C35" s="26" t="str">
        <f t="shared" si="1"/>
        <v/>
      </c>
      <c r="D35" s="32" t="str">
        <f>IF($E35="","",INDEX(进销存对接!$D$4:$D$305,11)&amp;" "&amp;TEXT($B35,"YYYY年M月")&amp;" 自动结转")</f>
        <v/>
      </c>
      <c r="E35" s="26" t="str">
        <f>IF(INDEX(进销存对接!$M$4:$U$305,11,4)=0,"",INDEX(进销存对接!$M$4:$U$305,11,4))</f>
        <v/>
      </c>
      <c r="F35" s="25" t="str">
        <f>IF($E35="","",IFERROR(INDEX(科目表!$A$4:$A$81,MATCH($E35,科目表!$B$4:$B$81,0)),""))</f>
        <v/>
      </c>
      <c r="G35" s="26" t="str">
        <f>IF($E35="","",IFERROR(INDEX(科目表!$E$4:$E$81,MATCH($E35,科目表!$B$4:$B$81,0)),""))</f>
        <v/>
      </c>
      <c r="H35" s="27" t="str">
        <f>IF($E35="","",N(INDEX(进销存对接!$M$4:$U$305,11,5)))</f>
        <v/>
      </c>
      <c r="I35" s="27" t="str">
        <f>IF($E35="","",N(INDEX(进销存对接!$M$4:$U$305,11,6)))</f>
        <v/>
      </c>
      <c r="J35" s="26"/>
      <c r="K35" s="26" t="str">
        <f>IF($E35="","",INDEX(进销存对接!$D$4:$D$305,11))</f>
        <v/>
      </c>
      <c r="L35" s="32"/>
      <c r="M35" s="32"/>
      <c r="N35" s="26" t="str">
        <f t="shared" si="2"/>
        <v/>
      </c>
      <c r="O35" s="26" t="str">
        <f t="shared" si="3"/>
        <v/>
      </c>
      <c r="P35" s="10"/>
    </row>
    <row r="36" ht="18" customHeight="1" spans="1:16">
      <c r="A36" s="32" t="str">
        <f t="shared" si="0"/>
        <v/>
      </c>
      <c r="B36" s="100" t="str">
        <f>IF($E36="","",INDEX(进销存对接!$C$4:$C$305,11))</f>
        <v/>
      </c>
      <c r="C36" s="26" t="str">
        <f t="shared" si="1"/>
        <v/>
      </c>
      <c r="D36" s="32" t="str">
        <f>IF($E36="","",INDEX(进销存对接!$D$4:$D$305,11)&amp;" "&amp;TEXT($B36,"YYYY年M月")&amp;" 自动结转")</f>
        <v/>
      </c>
      <c r="E36" s="26" t="str">
        <f>IF(INDEX(进销存对接!$M$4:$U$305,11,7)=0,"",INDEX(进销存对接!$M$4:$U$305,11,7))</f>
        <v/>
      </c>
      <c r="F36" s="25" t="str">
        <f>IF($E36="","",IFERROR(INDEX(科目表!$A$4:$A$81,MATCH($E36,科目表!$B$4:$B$81,0)),""))</f>
        <v/>
      </c>
      <c r="G36" s="26" t="str">
        <f>IF($E36="","",IFERROR(INDEX(科目表!$E$4:$E$81,MATCH($E36,科目表!$B$4:$B$81,0)),""))</f>
        <v/>
      </c>
      <c r="H36" s="27" t="str">
        <f>IF($E36="","",N(INDEX(进销存对接!$M$4:$U$305,11,8)))</f>
        <v/>
      </c>
      <c r="I36" s="27" t="str">
        <f>IF($E36="","",N(INDEX(进销存对接!$M$4:$U$305,11,9)))</f>
        <v/>
      </c>
      <c r="J36" s="26"/>
      <c r="K36" s="26" t="str">
        <f>IF($E36="","",INDEX(进销存对接!$D$4:$D$305,11))</f>
        <v/>
      </c>
      <c r="L36" s="32"/>
      <c r="M36" s="32"/>
      <c r="N36" s="26" t="str">
        <f t="shared" si="2"/>
        <v/>
      </c>
      <c r="O36" s="26" t="str">
        <f t="shared" si="3"/>
        <v/>
      </c>
      <c r="P36" s="10"/>
    </row>
    <row r="37" ht="18" customHeight="1" spans="1:16">
      <c r="A37" s="32" t="str">
        <f t="shared" si="0"/>
        <v/>
      </c>
      <c r="B37" s="100" t="str">
        <f>IF($E37="","",INDEX(进销存对接!$C$4:$C$305,12))</f>
        <v/>
      </c>
      <c r="C37" s="26" t="str">
        <f t="shared" si="1"/>
        <v/>
      </c>
      <c r="D37" s="32" t="str">
        <f>IF($E37="","",INDEX(进销存对接!$D$4:$D$305,12)&amp;" "&amp;TEXT($B37,"YYYY年M月")&amp;" 自动结转")</f>
        <v/>
      </c>
      <c r="E37" s="26" t="str">
        <f>IF(INDEX(进销存对接!$M$4:$U$305,12,1)=0,"",INDEX(进销存对接!$M$4:$U$305,12,1))</f>
        <v/>
      </c>
      <c r="F37" s="25" t="str">
        <f>IF($E37="","",IFERROR(INDEX(科目表!$A$4:$A$81,MATCH($E37,科目表!$B$4:$B$81,0)),""))</f>
        <v/>
      </c>
      <c r="G37" s="26" t="str">
        <f>IF($E37="","",IFERROR(INDEX(科目表!$E$4:$E$81,MATCH($E37,科目表!$B$4:$B$81,0)),""))</f>
        <v/>
      </c>
      <c r="H37" s="27" t="str">
        <f>IF($E37="","",N(INDEX(进销存对接!$M$4:$U$305,12,2)))</f>
        <v/>
      </c>
      <c r="I37" s="27" t="str">
        <f>IF($E37="","",N(INDEX(进销存对接!$M$4:$U$305,12,3)))</f>
        <v/>
      </c>
      <c r="J37" s="26"/>
      <c r="K37" s="26" t="str">
        <f>IF($E37="","",INDEX(进销存对接!$D$4:$D$305,12))</f>
        <v/>
      </c>
      <c r="L37" s="32"/>
      <c r="M37" s="32"/>
      <c r="N37" s="26" t="str">
        <f t="shared" si="2"/>
        <v/>
      </c>
      <c r="O37" s="26" t="str">
        <f t="shared" si="3"/>
        <v/>
      </c>
      <c r="P37" s="10"/>
    </row>
    <row r="38" ht="18" customHeight="1" spans="1:16">
      <c r="A38" s="32" t="str">
        <f t="shared" si="0"/>
        <v/>
      </c>
      <c r="B38" s="100" t="str">
        <f>IF($E38="","",INDEX(进销存对接!$C$4:$C$305,12))</f>
        <v/>
      </c>
      <c r="C38" s="26" t="str">
        <f t="shared" si="1"/>
        <v/>
      </c>
      <c r="D38" s="32" t="str">
        <f>IF($E38="","",INDEX(进销存对接!$D$4:$D$305,12)&amp;" "&amp;TEXT($B38,"YYYY年M月")&amp;" 自动结转")</f>
        <v/>
      </c>
      <c r="E38" s="26" t="str">
        <f>IF(INDEX(进销存对接!$M$4:$U$305,12,4)=0,"",INDEX(进销存对接!$M$4:$U$305,12,4))</f>
        <v/>
      </c>
      <c r="F38" s="25" t="str">
        <f>IF($E38="","",IFERROR(INDEX(科目表!$A$4:$A$81,MATCH($E38,科目表!$B$4:$B$81,0)),""))</f>
        <v/>
      </c>
      <c r="G38" s="26" t="str">
        <f>IF($E38="","",IFERROR(INDEX(科目表!$E$4:$E$81,MATCH($E38,科目表!$B$4:$B$81,0)),""))</f>
        <v/>
      </c>
      <c r="H38" s="27" t="str">
        <f>IF($E38="","",N(INDEX(进销存对接!$M$4:$U$305,12,5)))</f>
        <v/>
      </c>
      <c r="I38" s="27" t="str">
        <f>IF($E38="","",N(INDEX(进销存对接!$M$4:$U$305,12,6)))</f>
        <v/>
      </c>
      <c r="J38" s="26"/>
      <c r="K38" s="26" t="str">
        <f>IF($E38="","",INDEX(进销存对接!$D$4:$D$305,12))</f>
        <v/>
      </c>
      <c r="L38" s="32"/>
      <c r="M38" s="32"/>
      <c r="N38" s="26" t="str">
        <f t="shared" si="2"/>
        <v/>
      </c>
      <c r="O38" s="26" t="str">
        <f t="shared" si="3"/>
        <v/>
      </c>
      <c r="P38" s="10"/>
    </row>
    <row r="39" ht="18" customHeight="1" spans="1:16">
      <c r="A39" s="32" t="str">
        <f t="shared" si="0"/>
        <v/>
      </c>
      <c r="B39" s="100" t="str">
        <f>IF($E39="","",INDEX(进销存对接!$C$4:$C$305,12))</f>
        <v/>
      </c>
      <c r="C39" s="26" t="str">
        <f t="shared" si="1"/>
        <v/>
      </c>
      <c r="D39" s="32" t="str">
        <f>IF($E39="","",INDEX(进销存对接!$D$4:$D$305,12)&amp;" "&amp;TEXT($B39,"YYYY年M月")&amp;" 自动结转")</f>
        <v/>
      </c>
      <c r="E39" s="26" t="str">
        <f>IF(INDEX(进销存对接!$M$4:$U$305,12,7)=0,"",INDEX(进销存对接!$M$4:$U$305,12,7))</f>
        <v/>
      </c>
      <c r="F39" s="25" t="str">
        <f>IF($E39="","",IFERROR(INDEX(科目表!$A$4:$A$81,MATCH($E39,科目表!$B$4:$B$81,0)),""))</f>
        <v/>
      </c>
      <c r="G39" s="26" t="str">
        <f>IF($E39="","",IFERROR(INDEX(科目表!$E$4:$E$81,MATCH($E39,科目表!$B$4:$B$81,0)),""))</f>
        <v/>
      </c>
      <c r="H39" s="27" t="str">
        <f>IF($E39="","",N(INDEX(进销存对接!$M$4:$U$305,12,8)))</f>
        <v/>
      </c>
      <c r="I39" s="27" t="str">
        <f>IF($E39="","",N(INDEX(进销存对接!$M$4:$U$305,12,9)))</f>
        <v/>
      </c>
      <c r="J39" s="26"/>
      <c r="K39" s="26" t="str">
        <f>IF($E39="","",INDEX(进销存对接!$D$4:$D$305,12))</f>
        <v/>
      </c>
      <c r="L39" s="32"/>
      <c r="M39" s="32"/>
      <c r="N39" s="26" t="str">
        <f t="shared" si="2"/>
        <v/>
      </c>
      <c r="O39" s="26" t="str">
        <f t="shared" si="3"/>
        <v/>
      </c>
      <c r="P39" s="10"/>
    </row>
    <row r="40" ht="18" customHeight="1" spans="1:16">
      <c r="A40" s="32" t="str">
        <f t="shared" si="0"/>
        <v/>
      </c>
      <c r="B40" s="100" t="str">
        <f>IF($E40="","",INDEX(进销存对接!$C$4:$C$305,13))</f>
        <v/>
      </c>
      <c r="C40" s="26" t="str">
        <f t="shared" si="1"/>
        <v/>
      </c>
      <c r="D40" s="32" t="str">
        <f>IF($E40="","",INDEX(进销存对接!$D$4:$D$305,13)&amp;" "&amp;TEXT($B40,"YYYY年M月")&amp;" 自动结转")</f>
        <v/>
      </c>
      <c r="E40" s="26" t="str">
        <f>IF(INDEX(进销存对接!$M$4:$U$305,13,1)=0,"",INDEX(进销存对接!$M$4:$U$305,13,1))</f>
        <v/>
      </c>
      <c r="F40" s="25" t="str">
        <f>IF($E40="","",IFERROR(INDEX(科目表!$A$4:$A$81,MATCH($E40,科目表!$B$4:$B$81,0)),""))</f>
        <v/>
      </c>
      <c r="G40" s="26" t="str">
        <f>IF($E40="","",IFERROR(INDEX(科目表!$E$4:$E$81,MATCH($E40,科目表!$B$4:$B$81,0)),""))</f>
        <v/>
      </c>
      <c r="H40" s="27" t="str">
        <f>IF($E40="","",N(INDEX(进销存对接!$M$4:$U$305,13,2)))</f>
        <v/>
      </c>
      <c r="I40" s="27" t="str">
        <f>IF($E40="","",N(INDEX(进销存对接!$M$4:$U$305,13,3)))</f>
        <v/>
      </c>
      <c r="J40" s="26"/>
      <c r="K40" s="26" t="str">
        <f>IF($E40="","",INDEX(进销存对接!$D$4:$D$305,13))</f>
        <v/>
      </c>
      <c r="L40" s="32"/>
      <c r="M40" s="32"/>
      <c r="N40" s="26" t="str">
        <f t="shared" si="2"/>
        <v/>
      </c>
      <c r="O40" s="26" t="str">
        <f t="shared" si="3"/>
        <v/>
      </c>
      <c r="P40" s="10"/>
    </row>
    <row r="41" ht="18" customHeight="1" spans="1:16">
      <c r="A41" s="32" t="str">
        <f t="shared" si="0"/>
        <v/>
      </c>
      <c r="B41" s="100" t="str">
        <f>IF($E41="","",INDEX(进销存对接!$C$4:$C$305,13))</f>
        <v/>
      </c>
      <c r="C41" s="26" t="str">
        <f t="shared" si="1"/>
        <v/>
      </c>
      <c r="D41" s="32" t="str">
        <f>IF($E41="","",INDEX(进销存对接!$D$4:$D$305,13)&amp;" "&amp;TEXT($B41,"YYYY年M月")&amp;" 自动结转")</f>
        <v/>
      </c>
      <c r="E41" s="26" t="str">
        <f>IF(INDEX(进销存对接!$M$4:$U$305,13,4)=0,"",INDEX(进销存对接!$M$4:$U$305,13,4))</f>
        <v/>
      </c>
      <c r="F41" s="25" t="str">
        <f>IF($E41="","",IFERROR(INDEX(科目表!$A$4:$A$81,MATCH($E41,科目表!$B$4:$B$81,0)),""))</f>
        <v/>
      </c>
      <c r="G41" s="26" t="str">
        <f>IF($E41="","",IFERROR(INDEX(科目表!$E$4:$E$81,MATCH($E41,科目表!$B$4:$B$81,0)),""))</f>
        <v/>
      </c>
      <c r="H41" s="27" t="str">
        <f>IF($E41="","",N(INDEX(进销存对接!$M$4:$U$305,13,5)))</f>
        <v/>
      </c>
      <c r="I41" s="27" t="str">
        <f>IF($E41="","",N(INDEX(进销存对接!$M$4:$U$305,13,6)))</f>
        <v/>
      </c>
      <c r="J41" s="26"/>
      <c r="K41" s="26" t="str">
        <f>IF($E41="","",INDEX(进销存对接!$D$4:$D$305,13))</f>
        <v/>
      </c>
      <c r="L41" s="32"/>
      <c r="M41" s="32"/>
      <c r="N41" s="26" t="str">
        <f t="shared" si="2"/>
        <v/>
      </c>
      <c r="O41" s="26" t="str">
        <f t="shared" si="3"/>
        <v/>
      </c>
      <c r="P41" s="10"/>
    </row>
    <row r="42" ht="18" customHeight="1" spans="1:16">
      <c r="A42" s="32" t="str">
        <f t="shared" si="0"/>
        <v/>
      </c>
      <c r="B42" s="100" t="str">
        <f>IF($E42="","",INDEX(进销存对接!$C$4:$C$305,13))</f>
        <v/>
      </c>
      <c r="C42" s="26" t="str">
        <f t="shared" si="1"/>
        <v/>
      </c>
      <c r="D42" s="32" t="str">
        <f>IF($E42="","",INDEX(进销存对接!$D$4:$D$305,13)&amp;" "&amp;TEXT($B42,"YYYY年M月")&amp;" 自动结转")</f>
        <v/>
      </c>
      <c r="E42" s="26" t="str">
        <f>IF(INDEX(进销存对接!$M$4:$U$305,13,7)=0,"",INDEX(进销存对接!$M$4:$U$305,13,7))</f>
        <v/>
      </c>
      <c r="F42" s="25" t="str">
        <f>IF($E42="","",IFERROR(INDEX(科目表!$A$4:$A$81,MATCH($E42,科目表!$B$4:$B$81,0)),""))</f>
        <v/>
      </c>
      <c r="G42" s="26" t="str">
        <f>IF($E42="","",IFERROR(INDEX(科目表!$E$4:$E$81,MATCH($E42,科目表!$B$4:$B$81,0)),""))</f>
        <v/>
      </c>
      <c r="H42" s="27" t="str">
        <f>IF($E42="","",N(INDEX(进销存对接!$M$4:$U$305,13,8)))</f>
        <v/>
      </c>
      <c r="I42" s="27" t="str">
        <f>IF($E42="","",N(INDEX(进销存对接!$M$4:$U$305,13,9)))</f>
        <v/>
      </c>
      <c r="J42" s="26"/>
      <c r="K42" s="26" t="str">
        <f>IF($E42="","",INDEX(进销存对接!$D$4:$D$305,13))</f>
        <v/>
      </c>
      <c r="L42" s="32"/>
      <c r="M42" s="32"/>
      <c r="N42" s="26" t="str">
        <f t="shared" si="2"/>
        <v/>
      </c>
      <c r="O42" s="26" t="str">
        <f t="shared" si="3"/>
        <v/>
      </c>
      <c r="P42" s="10"/>
    </row>
    <row r="43" ht="18" customHeight="1" spans="1:16">
      <c r="A43" s="32" t="str">
        <f t="shared" si="0"/>
        <v/>
      </c>
      <c r="B43" s="100" t="str">
        <f>IF($E43="","",INDEX(进销存对接!$C$4:$C$305,14))</f>
        <v/>
      </c>
      <c r="C43" s="26" t="str">
        <f t="shared" si="1"/>
        <v/>
      </c>
      <c r="D43" s="32" t="str">
        <f>IF($E43="","",INDEX(进销存对接!$D$4:$D$305,14)&amp;" "&amp;TEXT($B43,"YYYY年M月")&amp;" 自动结转")</f>
        <v/>
      </c>
      <c r="E43" s="26" t="str">
        <f>IF(INDEX(进销存对接!$M$4:$U$305,14,1)=0,"",INDEX(进销存对接!$M$4:$U$305,14,1))</f>
        <v/>
      </c>
      <c r="F43" s="25" t="str">
        <f>IF($E43="","",IFERROR(INDEX(科目表!$A$4:$A$81,MATCH($E43,科目表!$B$4:$B$81,0)),""))</f>
        <v/>
      </c>
      <c r="G43" s="26" t="str">
        <f>IF($E43="","",IFERROR(INDEX(科目表!$E$4:$E$81,MATCH($E43,科目表!$B$4:$B$81,0)),""))</f>
        <v/>
      </c>
      <c r="H43" s="27" t="str">
        <f>IF($E43="","",N(INDEX(进销存对接!$M$4:$U$305,14,2)))</f>
        <v/>
      </c>
      <c r="I43" s="27" t="str">
        <f>IF($E43="","",N(INDEX(进销存对接!$M$4:$U$305,14,3)))</f>
        <v/>
      </c>
      <c r="J43" s="26"/>
      <c r="K43" s="26" t="str">
        <f>IF($E43="","",INDEX(进销存对接!$D$4:$D$305,14))</f>
        <v/>
      </c>
      <c r="L43" s="32"/>
      <c r="M43" s="32"/>
      <c r="N43" s="26" t="str">
        <f t="shared" si="2"/>
        <v/>
      </c>
      <c r="O43" s="26" t="str">
        <f t="shared" si="3"/>
        <v/>
      </c>
      <c r="P43" s="10"/>
    </row>
    <row r="44" ht="18" customHeight="1" spans="1:16">
      <c r="A44" s="32" t="str">
        <f t="shared" si="0"/>
        <v/>
      </c>
      <c r="B44" s="100" t="str">
        <f>IF($E44="","",INDEX(进销存对接!$C$4:$C$305,14))</f>
        <v/>
      </c>
      <c r="C44" s="26" t="str">
        <f t="shared" si="1"/>
        <v/>
      </c>
      <c r="D44" s="32" t="str">
        <f>IF($E44="","",INDEX(进销存对接!$D$4:$D$305,14)&amp;" "&amp;TEXT($B44,"YYYY年M月")&amp;" 自动结转")</f>
        <v/>
      </c>
      <c r="E44" s="26" t="str">
        <f>IF(INDEX(进销存对接!$M$4:$U$305,14,4)=0,"",INDEX(进销存对接!$M$4:$U$305,14,4))</f>
        <v/>
      </c>
      <c r="F44" s="25" t="str">
        <f>IF($E44="","",IFERROR(INDEX(科目表!$A$4:$A$81,MATCH($E44,科目表!$B$4:$B$81,0)),""))</f>
        <v/>
      </c>
      <c r="G44" s="26" t="str">
        <f>IF($E44="","",IFERROR(INDEX(科目表!$E$4:$E$81,MATCH($E44,科目表!$B$4:$B$81,0)),""))</f>
        <v/>
      </c>
      <c r="H44" s="27" t="str">
        <f>IF($E44="","",N(INDEX(进销存对接!$M$4:$U$305,14,5)))</f>
        <v/>
      </c>
      <c r="I44" s="27" t="str">
        <f>IF($E44="","",N(INDEX(进销存对接!$M$4:$U$305,14,6)))</f>
        <v/>
      </c>
      <c r="J44" s="26"/>
      <c r="K44" s="26" t="str">
        <f>IF($E44="","",INDEX(进销存对接!$D$4:$D$305,14))</f>
        <v/>
      </c>
      <c r="L44" s="32"/>
      <c r="M44" s="32"/>
      <c r="N44" s="26" t="str">
        <f t="shared" si="2"/>
        <v/>
      </c>
      <c r="O44" s="26" t="str">
        <f t="shared" si="3"/>
        <v/>
      </c>
      <c r="P44" s="10"/>
    </row>
    <row r="45" ht="18" customHeight="1" spans="1:16">
      <c r="A45" s="32" t="str">
        <f t="shared" si="0"/>
        <v/>
      </c>
      <c r="B45" s="100" t="str">
        <f>IF($E45="","",INDEX(进销存对接!$C$4:$C$305,14))</f>
        <v/>
      </c>
      <c r="C45" s="26" t="str">
        <f t="shared" si="1"/>
        <v/>
      </c>
      <c r="D45" s="32" t="str">
        <f>IF($E45="","",INDEX(进销存对接!$D$4:$D$305,14)&amp;" "&amp;TEXT($B45,"YYYY年M月")&amp;" 自动结转")</f>
        <v/>
      </c>
      <c r="E45" s="26" t="str">
        <f>IF(INDEX(进销存对接!$M$4:$U$305,14,7)=0,"",INDEX(进销存对接!$M$4:$U$305,14,7))</f>
        <v/>
      </c>
      <c r="F45" s="25" t="str">
        <f>IF($E45="","",IFERROR(INDEX(科目表!$A$4:$A$81,MATCH($E45,科目表!$B$4:$B$81,0)),""))</f>
        <v/>
      </c>
      <c r="G45" s="26" t="str">
        <f>IF($E45="","",IFERROR(INDEX(科目表!$E$4:$E$81,MATCH($E45,科目表!$B$4:$B$81,0)),""))</f>
        <v/>
      </c>
      <c r="H45" s="27" t="str">
        <f>IF($E45="","",N(INDEX(进销存对接!$M$4:$U$305,14,8)))</f>
        <v/>
      </c>
      <c r="I45" s="27" t="str">
        <f>IF($E45="","",N(INDEX(进销存对接!$M$4:$U$305,14,9)))</f>
        <v/>
      </c>
      <c r="J45" s="26"/>
      <c r="K45" s="26" t="str">
        <f>IF($E45="","",INDEX(进销存对接!$D$4:$D$305,14))</f>
        <v/>
      </c>
      <c r="L45" s="32"/>
      <c r="M45" s="32"/>
      <c r="N45" s="26" t="str">
        <f t="shared" si="2"/>
        <v/>
      </c>
      <c r="O45" s="26" t="str">
        <f t="shared" si="3"/>
        <v/>
      </c>
      <c r="P45" s="10"/>
    </row>
    <row r="46" ht="18" customHeight="1" spans="1:16">
      <c r="A46" s="32" t="str">
        <f t="shared" si="0"/>
        <v/>
      </c>
      <c r="B46" s="100" t="str">
        <f>IF($E46="","",INDEX(进销存对接!$C$4:$C$305,15))</f>
        <v/>
      </c>
      <c r="C46" s="26" t="str">
        <f t="shared" si="1"/>
        <v/>
      </c>
      <c r="D46" s="32" t="str">
        <f>IF($E46="","",INDEX(进销存对接!$D$4:$D$305,15)&amp;" "&amp;TEXT($B46,"YYYY年M月")&amp;" 自动结转")</f>
        <v/>
      </c>
      <c r="E46" s="26" t="str">
        <f>IF(INDEX(进销存对接!$M$4:$U$305,15,1)=0,"",INDEX(进销存对接!$M$4:$U$305,15,1))</f>
        <v/>
      </c>
      <c r="F46" s="25" t="str">
        <f>IF($E46="","",IFERROR(INDEX(科目表!$A$4:$A$81,MATCH($E46,科目表!$B$4:$B$81,0)),""))</f>
        <v/>
      </c>
      <c r="G46" s="26" t="str">
        <f>IF($E46="","",IFERROR(INDEX(科目表!$E$4:$E$81,MATCH($E46,科目表!$B$4:$B$81,0)),""))</f>
        <v/>
      </c>
      <c r="H46" s="27" t="str">
        <f>IF($E46="","",N(INDEX(进销存对接!$M$4:$U$305,15,2)))</f>
        <v/>
      </c>
      <c r="I46" s="27" t="str">
        <f>IF($E46="","",N(INDEX(进销存对接!$M$4:$U$305,15,3)))</f>
        <v/>
      </c>
      <c r="J46" s="26"/>
      <c r="K46" s="26" t="str">
        <f>IF($E46="","",INDEX(进销存对接!$D$4:$D$305,15))</f>
        <v/>
      </c>
      <c r="L46" s="32"/>
      <c r="M46" s="32"/>
      <c r="N46" s="26" t="str">
        <f t="shared" si="2"/>
        <v/>
      </c>
      <c r="O46" s="26" t="str">
        <f t="shared" si="3"/>
        <v/>
      </c>
      <c r="P46" s="10"/>
    </row>
    <row r="47" ht="18" customHeight="1" spans="1:16">
      <c r="A47" s="32" t="str">
        <f t="shared" si="0"/>
        <v/>
      </c>
      <c r="B47" s="100" t="str">
        <f>IF($E47="","",INDEX(进销存对接!$C$4:$C$305,15))</f>
        <v/>
      </c>
      <c r="C47" s="26" t="str">
        <f t="shared" si="1"/>
        <v/>
      </c>
      <c r="D47" s="32" t="str">
        <f>IF($E47="","",INDEX(进销存对接!$D$4:$D$305,15)&amp;" "&amp;TEXT($B47,"YYYY年M月")&amp;" 自动结转")</f>
        <v/>
      </c>
      <c r="E47" s="26" t="str">
        <f>IF(INDEX(进销存对接!$M$4:$U$305,15,4)=0,"",INDEX(进销存对接!$M$4:$U$305,15,4))</f>
        <v/>
      </c>
      <c r="F47" s="25" t="str">
        <f>IF($E47="","",IFERROR(INDEX(科目表!$A$4:$A$81,MATCH($E47,科目表!$B$4:$B$81,0)),""))</f>
        <v/>
      </c>
      <c r="G47" s="26" t="str">
        <f>IF($E47="","",IFERROR(INDEX(科目表!$E$4:$E$81,MATCH($E47,科目表!$B$4:$B$81,0)),""))</f>
        <v/>
      </c>
      <c r="H47" s="27" t="str">
        <f>IF($E47="","",N(INDEX(进销存对接!$M$4:$U$305,15,5)))</f>
        <v/>
      </c>
      <c r="I47" s="27" t="str">
        <f>IF($E47="","",N(INDEX(进销存对接!$M$4:$U$305,15,6)))</f>
        <v/>
      </c>
      <c r="J47" s="26"/>
      <c r="K47" s="26" t="str">
        <f>IF($E47="","",INDEX(进销存对接!$D$4:$D$305,15))</f>
        <v/>
      </c>
      <c r="L47" s="32"/>
      <c r="M47" s="32"/>
      <c r="N47" s="26" t="str">
        <f t="shared" si="2"/>
        <v/>
      </c>
      <c r="O47" s="26" t="str">
        <f t="shared" si="3"/>
        <v/>
      </c>
      <c r="P47" s="10"/>
    </row>
    <row r="48" ht="18" customHeight="1" spans="1:16">
      <c r="A48" s="32" t="str">
        <f t="shared" si="0"/>
        <v/>
      </c>
      <c r="B48" s="100" t="str">
        <f>IF($E48="","",INDEX(进销存对接!$C$4:$C$305,15))</f>
        <v/>
      </c>
      <c r="C48" s="26" t="str">
        <f t="shared" si="1"/>
        <v/>
      </c>
      <c r="D48" s="32" t="str">
        <f>IF($E48="","",INDEX(进销存对接!$D$4:$D$305,15)&amp;" "&amp;TEXT($B48,"YYYY年M月")&amp;" 自动结转")</f>
        <v/>
      </c>
      <c r="E48" s="26" t="str">
        <f>IF(INDEX(进销存对接!$M$4:$U$305,15,7)=0,"",INDEX(进销存对接!$M$4:$U$305,15,7))</f>
        <v/>
      </c>
      <c r="F48" s="25" t="str">
        <f>IF($E48="","",IFERROR(INDEX(科目表!$A$4:$A$81,MATCH($E48,科目表!$B$4:$B$81,0)),""))</f>
        <v/>
      </c>
      <c r="G48" s="26" t="str">
        <f>IF($E48="","",IFERROR(INDEX(科目表!$E$4:$E$81,MATCH($E48,科目表!$B$4:$B$81,0)),""))</f>
        <v/>
      </c>
      <c r="H48" s="27" t="str">
        <f>IF($E48="","",N(INDEX(进销存对接!$M$4:$U$305,15,8)))</f>
        <v/>
      </c>
      <c r="I48" s="27" t="str">
        <f>IF($E48="","",N(INDEX(进销存对接!$M$4:$U$305,15,9)))</f>
        <v/>
      </c>
      <c r="J48" s="26"/>
      <c r="K48" s="26" t="str">
        <f>IF($E48="","",INDEX(进销存对接!$D$4:$D$305,15))</f>
        <v/>
      </c>
      <c r="L48" s="32"/>
      <c r="M48" s="32"/>
      <c r="N48" s="26" t="str">
        <f t="shared" si="2"/>
        <v/>
      </c>
      <c r="O48" s="26" t="str">
        <f t="shared" si="3"/>
        <v/>
      </c>
      <c r="P48" s="10"/>
    </row>
    <row r="49" ht="18" customHeight="1" spans="1:16">
      <c r="A49" s="32" t="str">
        <f t="shared" si="0"/>
        <v/>
      </c>
      <c r="B49" s="100" t="str">
        <f>IF($E49="","",INDEX(进销存对接!$C$4:$C$305,16))</f>
        <v/>
      </c>
      <c r="C49" s="26" t="str">
        <f t="shared" si="1"/>
        <v/>
      </c>
      <c r="D49" s="32" t="str">
        <f>IF($E49="","",INDEX(进销存对接!$D$4:$D$305,16)&amp;" "&amp;TEXT($B49,"YYYY年M月")&amp;" 自动结转")</f>
        <v/>
      </c>
      <c r="E49" s="26" t="str">
        <f>IF(INDEX(进销存对接!$M$4:$U$305,16,1)=0,"",INDEX(进销存对接!$M$4:$U$305,16,1))</f>
        <v/>
      </c>
      <c r="F49" s="25" t="str">
        <f>IF($E49="","",IFERROR(INDEX(科目表!$A$4:$A$81,MATCH($E49,科目表!$B$4:$B$81,0)),""))</f>
        <v/>
      </c>
      <c r="G49" s="26" t="str">
        <f>IF($E49="","",IFERROR(INDEX(科目表!$E$4:$E$81,MATCH($E49,科目表!$B$4:$B$81,0)),""))</f>
        <v/>
      </c>
      <c r="H49" s="27" t="str">
        <f>IF($E49="","",N(INDEX(进销存对接!$M$4:$U$305,16,2)))</f>
        <v/>
      </c>
      <c r="I49" s="27" t="str">
        <f>IF($E49="","",N(INDEX(进销存对接!$M$4:$U$305,16,3)))</f>
        <v/>
      </c>
      <c r="J49" s="26"/>
      <c r="K49" s="26" t="str">
        <f>IF($E49="","",INDEX(进销存对接!$D$4:$D$305,16))</f>
        <v/>
      </c>
      <c r="L49" s="32"/>
      <c r="M49" s="32"/>
      <c r="N49" s="26" t="str">
        <f t="shared" si="2"/>
        <v/>
      </c>
      <c r="O49" s="26" t="str">
        <f t="shared" si="3"/>
        <v/>
      </c>
      <c r="P49" s="10"/>
    </row>
    <row r="50" ht="18" customHeight="1" spans="1:16">
      <c r="A50" s="32" t="str">
        <f t="shared" si="0"/>
        <v/>
      </c>
      <c r="B50" s="100" t="str">
        <f>IF($E50="","",INDEX(进销存对接!$C$4:$C$305,16))</f>
        <v/>
      </c>
      <c r="C50" s="26" t="str">
        <f t="shared" si="1"/>
        <v/>
      </c>
      <c r="D50" s="32" t="str">
        <f>IF($E50="","",INDEX(进销存对接!$D$4:$D$305,16)&amp;" "&amp;TEXT($B50,"YYYY年M月")&amp;" 自动结转")</f>
        <v/>
      </c>
      <c r="E50" s="26" t="str">
        <f>IF(INDEX(进销存对接!$M$4:$U$305,16,4)=0,"",INDEX(进销存对接!$M$4:$U$305,16,4))</f>
        <v/>
      </c>
      <c r="F50" s="25" t="str">
        <f>IF($E50="","",IFERROR(INDEX(科目表!$A$4:$A$81,MATCH($E50,科目表!$B$4:$B$81,0)),""))</f>
        <v/>
      </c>
      <c r="G50" s="26" t="str">
        <f>IF($E50="","",IFERROR(INDEX(科目表!$E$4:$E$81,MATCH($E50,科目表!$B$4:$B$81,0)),""))</f>
        <v/>
      </c>
      <c r="H50" s="27" t="str">
        <f>IF($E50="","",N(INDEX(进销存对接!$M$4:$U$305,16,5)))</f>
        <v/>
      </c>
      <c r="I50" s="27" t="str">
        <f>IF($E50="","",N(INDEX(进销存对接!$M$4:$U$305,16,6)))</f>
        <v/>
      </c>
      <c r="J50" s="26"/>
      <c r="K50" s="26" t="str">
        <f>IF($E50="","",INDEX(进销存对接!$D$4:$D$305,16))</f>
        <v/>
      </c>
      <c r="L50" s="32"/>
      <c r="M50" s="32"/>
      <c r="N50" s="26" t="str">
        <f t="shared" si="2"/>
        <v/>
      </c>
      <c r="O50" s="26" t="str">
        <f t="shared" si="3"/>
        <v/>
      </c>
      <c r="P50" s="10"/>
    </row>
    <row r="51" ht="18" customHeight="1" spans="1:16">
      <c r="A51" s="32" t="str">
        <f t="shared" si="0"/>
        <v/>
      </c>
      <c r="B51" s="100" t="str">
        <f>IF($E51="","",INDEX(进销存对接!$C$4:$C$305,16))</f>
        <v/>
      </c>
      <c r="C51" s="26" t="str">
        <f t="shared" si="1"/>
        <v/>
      </c>
      <c r="D51" s="32" t="str">
        <f>IF($E51="","",INDEX(进销存对接!$D$4:$D$305,16)&amp;" "&amp;TEXT($B51,"YYYY年M月")&amp;" 自动结转")</f>
        <v/>
      </c>
      <c r="E51" s="26" t="str">
        <f>IF(INDEX(进销存对接!$M$4:$U$305,16,7)=0,"",INDEX(进销存对接!$M$4:$U$305,16,7))</f>
        <v/>
      </c>
      <c r="F51" s="25" t="str">
        <f>IF($E51="","",IFERROR(INDEX(科目表!$A$4:$A$81,MATCH($E51,科目表!$B$4:$B$81,0)),""))</f>
        <v/>
      </c>
      <c r="G51" s="26" t="str">
        <f>IF($E51="","",IFERROR(INDEX(科目表!$E$4:$E$81,MATCH($E51,科目表!$B$4:$B$81,0)),""))</f>
        <v/>
      </c>
      <c r="H51" s="27" t="str">
        <f>IF($E51="","",N(INDEX(进销存对接!$M$4:$U$305,16,8)))</f>
        <v/>
      </c>
      <c r="I51" s="27" t="str">
        <f>IF($E51="","",N(INDEX(进销存对接!$M$4:$U$305,16,9)))</f>
        <v/>
      </c>
      <c r="J51" s="26"/>
      <c r="K51" s="26" t="str">
        <f>IF($E51="","",INDEX(进销存对接!$D$4:$D$305,16))</f>
        <v/>
      </c>
      <c r="L51" s="32"/>
      <c r="M51" s="32"/>
      <c r="N51" s="26" t="str">
        <f t="shared" si="2"/>
        <v/>
      </c>
      <c r="O51" s="26" t="str">
        <f t="shared" si="3"/>
        <v/>
      </c>
      <c r="P51" s="10"/>
    </row>
    <row r="52" ht="18" customHeight="1" spans="1:16">
      <c r="A52" s="32" t="str">
        <f t="shared" si="0"/>
        <v/>
      </c>
      <c r="B52" s="100" t="str">
        <f>IF($E52="","",INDEX(进销存对接!$C$4:$C$305,17))</f>
        <v/>
      </c>
      <c r="C52" s="26" t="str">
        <f t="shared" si="1"/>
        <v/>
      </c>
      <c r="D52" s="32" t="str">
        <f>IF($E52="","",INDEX(进销存对接!$D$4:$D$305,17)&amp;" "&amp;TEXT($B52,"YYYY年M月")&amp;" 自动结转")</f>
        <v/>
      </c>
      <c r="E52" s="26" t="str">
        <f>IF(INDEX(进销存对接!$M$4:$U$305,17,1)=0,"",INDEX(进销存对接!$M$4:$U$305,17,1))</f>
        <v/>
      </c>
      <c r="F52" s="25" t="str">
        <f>IF($E52="","",IFERROR(INDEX(科目表!$A$4:$A$81,MATCH($E52,科目表!$B$4:$B$81,0)),""))</f>
        <v/>
      </c>
      <c r="G52" s="26" t="str">
        <f>IF($E52="","",IFERROR(INDEX(科目表!$E$4:$E$81,MATCH($E52,科目表!$B$4:$B$81,0)),""))</f>
        <v/>
      </c>
      <c r="H52" s="27" t="str">
        <f>IF($E52="","",N(INDEX(进销存对接!$M$4:$U$305,17,2)))</f>
        <v/>
      </c>
      <c r="I52" s="27" t="str">
        <f>IF($E52="","",N(INDEX(进销存对接!$M$4:$U$305,17,3)))</f>
        <v/>
      </c>
      <c r="J52" s="26"/>
      <c r="K52" s="26" t="str">
        <f>IF($E52="","",INDEX(进销存对接!$D$4:$D$305,17))</f>
        <v/>
      </c>
      <c r="L52" s="32"/>
      <c r="M52" s="32"/>
      <c r="N52" s="26" t="str">
        <f t="shared" si="2"/>
        <v/>
      </c>
      <c r="O52" s="26" t="str">
        <f t="shared" si="3"/>
        <v/>
      </c>
      <c r="P52" s="10"/>
    </row>
    <row r="53" ht="18" customHeight="1" spans="1:16">
      <c r="A53" s="32" t="str">
        <f t="shared" si="0"/>
        <v/>
      </c>
      <c r="B53" s="100" t="str">
        <f>IF($E53="","",INDEX(进销存对接!$C$4:$C$305,17))</f>
        <v/>
      </c>
      <c r="C53" s="26" t="str">
        <f t="shared" si="1"/>
        <v/>
      </c>
      <c r="D53" s="32" t="str">
        <f>IF($E53="","",INDEX(进销存对接!$D$4:$D$305,17)&amp;" "&amp;TEXT($B53,"YYYY年M月")&amp;" 自动结转")</f>
        <v/>
      </c>
      <c r="E53" s="26" t="str">
        <f>IF(INDEX(进销存对接!$M$4:$U$305,17,4)=0,"",INDEX(进销存对接!$M$4:$U$305,17,4))</f>
        <v/>
      </c>
      <c r="F53" s="25" t="str">
        <f>IF($E53="","",IFERROR(INDEX(科目表!$A$4:$A$81,MATCH($E53,科目表!$B$4:$B$81,0)),""))</f>
        <v/>
      </c>
      <c r="G53" s="26" t="str">
        <f>IF($E53="","",IFERROR(INDEX(科目表!$E$4:$E$81,MATCH($E53,科目表!$B$4:$B$81,0)),""))</f>
        <v/>
      </c>
      <c r="H53" s="27" t="str">
        <f>IF($E53="","",N(INDEX(进销存对接!$M$4:$U$305,17,5)))</f>
        <v/>
      </c>
      <c r="I53" s="27" t="str">
        <f>IF($E53="","",N(INDEX(进销存对接!$M$4:$U$305,17,6)))</f>
        <v/>
      </c>
      <c r="J53" s="26"/>
      <c r="K53" s="26" t="str">
        <f>IF($E53="","",INDEX(进销存对接!$D$4:$D$305,17))</f>
        <v/>
      </c>
      <c r="L53" s="32"/>
      <c r="M53" s="32"/>
      <c r="N53" s="26" t="str">
        <f t="shared" si="2"/>
        <v/>
      </c>
      <c r="O53" s="26" t="str">
        <f t="shared" si="3"/>
        <v/>
      </c>
      <c r="P53" s="10"/>
    </row>
    <row r="54" ht="18" customHeight="1" spans="1:16">
      <c r="A54" s="32" t="str">
        <f t="shared" si="0"/>
        <v/>
      </c>
      <c r="B54" s="100" t="str">
        <f>IF($E54="","",INDEX(进销存对接!$C$4:$C$305,17))</f>
        <v/>
      </c>
      <c r="C54" s="26" t="str">
        <f t="shared" si="1"/>
        <v/>
      </c>
      <c r="D54" s="32" t="str">
        <f>IF($E54="","",INDEX(进销存对接!$D$4:$D$305,17)&amp;" "&amp;TEXT($B54,"YYYY年M月")&amp;" 自动结转")</f>
        <v/>
      </c>
      <c r="E54" s="26" t="str">
        <f>IF(INDEX(进销存对接!$M$4:$U$305,17,7)=0,"",INDEX(进销存对接!$M$4:$U$305,17,7))</f>
        <v/>
      </c>
      <c r="F54" s="25" t="str">
        <f>IF($E54="","",IFERROR(INDEX(科目表!$A$4:$A$81,MATCH($E54,科目表!$B$4:$B$81,0)),""))</f>
        <v/>
      </c>
      <c r="G54" s="26" t="str">
        <f>IF($E54="","",IFERROR(INDEX(科目表!$E$4:$E$81,MATCH($E54,科目表!$B$4:$B$81,0)),""))</f>
        <v/>
      </c>
      <c r="H54" s="27" t="str">
        <f>IF($E54="","",N(INDEX(进销存对接!$M$4:$U$305,17,8)))</f>
        <v/>
      </c>
      <c r="I54" s="27" t="str">
        <f>IF($E54="","",N(INDEX(进销存对接!$M$4:$U$305,17,9)))</f>
        <v/>
      </c>
      <c r="J54" s="26"/>
      <c r="K54" s="26" t="str">
        <f>IF($E54="","",INDEX(进销存对接!$D$4:$D$305,17))</f>
        <v/>
      </c>
      <c r="L54" s="32"/>
      <c r="M54" s="32"/>
      <c r="N54" s="26" t="str">
        <f t="shared" si="2"/>
        <v/>
      </c>
      <c r="O54" s="26" t="str">
        <f t="shared" si="3"/>
        <v/>
      </c>
      <c r="P54" s="10"/>
    </row>
    <row r="55" ht="18" customHeight="1" spans="1:16">
      <c r="A55" s="32" t="str">
        <f t="shared" si="0"/>
        <v/>
      </c>
      <c r="B55" s="100" t="str">
        <f>IF($E55="","",INDEX(进销存对接!$C$4:$C$305,18))</f>
        <v/>
      </c>
      <c r="C55" s="26" t="str">
        <f t="shared" si="1"/>
        <v/>
      </c>
      <c r="D55" s="32" t="str">
        <f>IF($E55="","",INDEX(进销存对接!$D$4:$D$305,18)&amp;" "&amp;TEXT($B55,"YYYY年M月")&amp;" 自动结转")</f>
        <v/>
      </c>
      <c r="E55" s="26" t="str">
        <f>IF(INDEX(进销存对接!$M$4:$U$305,18,1)=0,"",INDEX(进销存对接!$M$4:$U$305,18,1))</f>
        <v/>
      </c>
      <c r="F55" s="25" t="str">
        <f>IF($E55="","",IFERROR(INDEX(科目表!$A$4:$A$81,MATCH($E55,科目表!$B$4:$B$81,0)),""))</f>
        <v/>
      </c>
      <c r="G55" s="26" t="str">
        <f>IF($E55="","",IFERROR(INDEX(科目表!$E$4:$E$81,MATCH($E55,科目表!$B$4:$B$81,0)),""))</f>
        <v/>
      </c>
      <c r="H55" s="27" t="str">
        <f>IF($E55="","",N(INDEX(进销存对接!$M$4:$U$305,18,2)))</f>
        <v/>
      </c>
      <c r="I55" s="27" t="str">
        <f>IF($E55="","",N(INDEX(进销存对接!$M$4:$U$305,18,3)))</f>
        <v/>
      </c>
      <c r="J55" s="26"/>
      <c r="K55" s="26" t="str">
        <f>IF($E55="","",INDEX(进销存对接!$D$4:$D$305,18))</f>
        <v/>
      </c>
      <c r="L55" s="32"/>
      <c r="M55" s="32"/>
      <c r="N55" s="26" t="str">
        <f t="shared" si="2"/>
        <v/>
      </c>
      <c r="O55" s="26" t="str">
        <f t="shared" si="3"/>
        <v/>
      </c>
      <c r="P55" s="10"/>
    </row>
    <row r="56" ht="18" customHeight="1" spans="1:16">
      <c r="A56" s="32" t="str">
        <f t="shared" si="0"/>
        <v/>
      </c>
      <c r="B56" s="100" t="str">
        <f>IF($E56="","",INDEX(进销存对接!$C$4:$C$305,18))</f>
        <v/>
      </c>
      <c r="C56" s="26" t="str">
        <f t="shared" si="1"/>
        <v/>
      </c>
      <c r="D56" s="32" t="str">
        <f>IF($E56="","",INDEX(进销存对接!$D$4:$D$305,18)&amp;" "&amp;TEXT($B56,"YYYY年M月")&amp;" 自动结转")</f>
        <v/>
      </c>
      <c r="E56" s="26" t="str">
        <f>IF(INDEX(进销存对接!$M$4:$U$305,18,4)=0,"",INDEX(进销存对接!$M$4:$U$305,18,4))</f>
        <v/>
      </c>
      <c r="F56" s="25" t="str">
        <f>IF($E56="","",IFERROR(INDEX(科目表!$A$4:$A$81,MATCH($E56,科目表!$B$4:$B$81,0)),""))</f>
        <v/>
      </c>
      <c r="G56" s="26" t="str">
        <f>IF($E56="","",IFERROR(INDEX(科目表!$E$4:$E$81,MATCH($E56,科目表!$B$4:$B$81,0)),""))</f>
        <v/>
      </c>
      <c r="H56" s="27" t="str">
        <f>IF($E56="","",N(INDEX(进销存对接!$M$4:$U$305,18,5)))</f>
        <v/>
      </c>
      <c r="I56" s="27" t="str">
        <f>IF($E56="","",N(INDEX(进销存对接!$M$4:$U$305,18,6)))</f>
        <v/>
      </c>
      <c r="J56" s="26"/>
      <c r="K56" s="26" t="str">
        <f>IF($E56="","",INDEX(进销存对接!$D$4:$D$305,18))</f>
        <v/>
      </c>
      <c r="L56" s="32"/>
      <c r="M56" s="32"/>
      <c r="N56" s="26" t="str">
        <f t="shared" si="2"/>
        <v/>
      </c>
      <c r="O56" s="26" t="str">
        <f t="shared" si="3"/>
        <v/>
      </c>
      <c r="P56" s="10"/>
    </row>
    <row r="57" ht="18" customHeight="1" spans="1:16">
      <c r="A57" s="32" t="str">
        <f t="shared" si="0"/>
        <v/>
      </c>
      <c r="B57" s="100" t="str">
        <f>IF($E57="","",INDEX(进销存对接!$C$4:$C$305,18))</f>
        <v/>
      </c>
      <c r="C57" s="26" t="str">
        <f t="shared" si="1"/>
        <v/>
      </c>
      <c r="D57" s="32" t="str">
        <f>IF($E57="","",INDEX(进销存对接!$D$4:$D$305,18)&amp;" "&amp;TEXT($B57,"YYYY年M月")&amp;" 自动结转")</f>
        <v/>
      </c>
      <c r="E57" s="26" t="str">
        <f>IF(INDEX(进销存对接!$M$4:$U$305,18,7)=0,"",INDEX(进销存对接!$M$4:$U$305,18,7))</f>
        <v/>
      </c>
      <c r="F57" s="25" t="str">
        <f>IF($E57="","",IFERROR(INDEX(科目表!$A$4:$A$81,MATCH($E57,科目表!$B$4:$B$81,0)),""))</f>
        <v/>
      </c>
      <c r="G57" s="26" t="str">
        <f>IF($E57="","",IFERROR(INDEX(科目表!$E$4:$E$81,MATCH($E57,科目表!$B$4:$B$81,0)),""))</f>
        <v/>
      </c>
      <c r="H57" s="27" t="str">
        <f>IF($E57="","",N(INDEX(进销存对接!$M$4:$U$305,18,8)))</f>
        <v/>
      </c>
      <c r="I57" s="27" t="str">
        <f>IF($E57="","",N(INDEX(进销存对接!$M$4:$U$305,18,9)))</f>
        <v/>
      </c>
      <c r="J57" s="26"/>
      <c r="K57" s="26" t="str">
        <f>IF($E57="","",INDEX(进销存对接!$D$4:$D$305,18))</f>
        <v/>
      </c>
      <c r="L57" s="32"/>
      <c r="M57" s="32"/>
      <c r="N57" s="26" t="str">
        <f t="shared" si="2"/>
        <v/>
      </c>
      <c r="O57" s="26" t="str">
        <f t="shared" si="3"/>
        <v/>
      </c>
      <c r="P57" s="10"/>
    </row>
    <row r="58" ht="18" customHeight="1" spans="1:16">
      <c r="A58" s="32" t="str">
        <f t="shared" si="0"/>
        <v/>
      </c>
      <c r="B58" s="100" t="str">
        <f>IF($E58="","",INDEX(进销存对接!$C$4:$C$305,19))</f>
        <v/>
      </c>
      <c r="C58" s="26" t="str">
        <f t="shared" si="1"/>
        <v/>
      </c>
      <c r="D58" s="32" t="str">
        <f>IF($E58="","",INDEX(进销存对接!$D$4:$D$305,19)&amp;" "&amp;TEXT($B58,"YYYY年M月")&amp;" 自动结转")</f>
        <v/>
      </c>
      <c r="E58" s="26" t="str">
        <f>IF(INDEX(进销存对接!$M$4:$U$305,19,1)=0,"",INDEX(进销存对接!$M$4:$U$305,19,1))</f>
        <v/>
      </c>
      <c r="F58" s="25" t="str">
        <f>IF($E58="","",IFERROR(INDEX(科目表!$A$4:$A$81,MATCH($E58,科目表!$B$4:$B$81,0)),""))</f>
        <v/>
      </c>
      <c r="G58" s="26" t="str">
        <f>IF($E58="","",IFERROR(INDEX(科目表!$E$4:$E$81,MATCH($E58,科目表!$B$4:$B$81,0)),""))</f>
        <v/>
      </c>
      <c r="H58" s="27" t="str">
        <f>IF($E58="","",N(INDEX(进销存对接!$M$4:$U$305,19,2)))</f>
        <v/>
      </c>
      <c r="I58" s="27" t="str">
        <f>IF($E58="","",N(INDEX(进销存对接!$M$4:$U$305,19,3)))</f>
        <v/>
      </c>
      <c r="J58" s="26"/>
      <c r="K58" s="26" t="str">
        <f>IF($E58="","",INDEX(进销存对接!$D$4:$D$305,19))</f>
        <v/>
      </c>
      <c r="L58" s="32"/>
      <c r="M58" s="32"/>
      <c r="N58" s="26" t="str">
        <f t="shared" si="2"/>
        <v/>
      </c>
      <c r="O58" s="26" t="str">
        <f t="shared" si="3"/>
        <v/>
      </c>
      <c r="P58" s="10"/>
    </row>
    <row r="59" ht="18" customHeight="1" spans="1:16">
      <c r="A59" s="32" t="str">
        <f t="shared" si="0"/>
        <v/>
      </c>
      <c r="B59" s="100" t="str">
        <f>IF($E59="","",INDEX(进销存对接!$C$4:$C$305,19))</f>
        <v/>
      </c>
      <c r="C59" s="26" t="str">
        <f t="shared" si="1"/>
        <v/>
      </c>
      <c r="D59" s="32" t="str">
        <f>IF($E59="","",INDEX(进销存对接!$D$4:$D$305,19)&amp;" "&amp;TEXT($B59,"YYYY年M月")&amp;" 自动结转")</f>
        <v/>
      </c>
      <c r="E59" s="26" t="str">
        <f>IF(INDEX(进销存对接!$M$4:$U$305,19,4)=0,"",INDEX(进销存对接!$M$4:$U$305,19,4))</f>
        <v/>
      </c>
      <c r="F59" s="25" t="str">
        <f>IF($E59="","",IFERROR(INDEX(科目表!$A$4:$A$81,MATCH($E59,科目表!$B$4:$B$81,0)),""))</f>
        <v/>
      </c>
      <c r="G59" s="26" t="str">
        <f>IF($E59="","",IFERROR(INDEX(科目表!$E$4:$E$81,MATCH($E59,科目表!$B$4:$B$81,0)),""))</f>
        <v/>
      </c>
      <c r="H59" s="27" t="str">
        <f>IF($E59="","",N(INDEX(进销存对接!$M$4:$U$305,19,5)))</f>
        <v/>
      </c>
      <c r="I59" s="27" t="str">
        <f>IF($E59="","",N(INDEX(进销存对接!$M$4:$U$305,19,6)))</f>
        <v/>
      </c>
      <c r="J59" s="26"/>
      <c r="K59" s="26" t="str">
        <f>IF($E59="","",INDEX(进销存对接!$D$4:$D$305,19))</f>
        <v/>
      </c>
      <c r="L59" s="32"/>
      <c r="M59" s="32"/>
      <c r="N59" s="26" t="str">
        <f t="shared" si="2"/>
        <v/>
      </c>
      <c r="O59" s="26" t="str">
        <f t="shared" si="3"/>
        <v/>
      </c>
      <c r="P59" s="10"/>
    </row>
    <row r="60" ht="18" customHeight="1" spans="1:16">
      <c r="A60" s="32" t="str">
        <f t="shared" si="0"/>
        <v/>
      </c>
      <c r="B60" s="100" t="str">
        <f>IF($E60="","",INDEX(进销存对接!$C$4:$C$305,19))</f>
        <v/>
      </c>
      <c r="C60" s="26" t="str">
        <f t="shared" si="1"/>
        <v/>
      </c>
      <c r="D60" s="32" t="str">
        <f>IF($E60="","",INDEX(进销存对接!$D$4:$D$305,19)&amp;" "&amp;TEXT($B60,"YYYY年M月")&amp;" 自动结转")</f>
        <v/>
      </c>
      <c r="E60" s="26" t="str">
        <f>IF(INDEX(进销存对接!$M$4:$U$305,19,7)=0,"",INDEX(进销存对接!$M$4:$U$305,19,7))</f>
        <v/>
      </c>
      <c r="F60" s="25" t="str">
        <f>IF($E60="","",IFERROR(INDEX(科目表!$A$4:$A$81,MATCH($E60,科目表!$B$4:$B$81,0)),""))</f>
        <v/>
      </c>
      <c r="G60" s="26" t="str">
        <f>IF($E60="","",IFERROR(INDEX(科目表!$E$4:$E$81,MATCH($E60,科目表!$B$4:$B$81,0)),""))</f>
        <v/>
      </c>
      <c r="H60" s="27" t="str">
        <f>IF($E60="","",N(INDEX(进销存对接!$M$4:$U$305,19,8)))</f>
        <v/>
      </c>
      <c r="I60" s="27" t="str">
        <f>IF($E60="","",N(INDEX(进销存对接!$M$4:$U$305,19,9)))</f>
        <v/>
      </c>
      <c r="J60" s="26"/>
      <c r="K60" s="26" t="str">
        <f>IF($E60="","",INDEX(进销存对接!$D$4:$D$305,19))</f>
        <v/>
      </c>
      <c r="L60" s="32"/>
      <c r="M60" s="32"/>
      <c r="N60" s="26" t="str">
        <f t="shared" si="2"/>
        <v/>
      </c>
      <c r="O60" s="26" t="str">
        <f t="shared" si="3"/>
        <v/>
      </c>
      <c r="P60" s="10"/>
    </row>
    <row r="61" ht="18" customHeight="1" spans="1:16">
      <c r="A61" s="32" t="str">
        <f t="shared" si="0"/>
        <v/>
      </c>
      <c r="B61" s="100" t="str">
        <f>IF($E61="","",INDEX(进销存对接!$C$4:$C$305,20))</f>
        <v/>
      </c>
      <c r="C61" s="26" t="str">
        <f t="shared" si="1"/>
        <v/>
      </c>
      <c r="D61" s="32" t="str">
        <f>IF($E61="","",INDEX(进销存对接!$D$4:$D$305,20)&amp;" "&amp;TEXT($B61,"YYYY年M月")&amp;" 自动结转")</f>
        <v/>
      </c>
      <c r="E61" s="26" t="str">
        <f>IF(INDEX(进销存对接!$M$4:$U$305,20,1)=0,"",INDEX(进销存对接!$M$4:$U$305,20,1))</f>
        <v/>
      </c>
      <c r="F61" s="25" t="str">
        <f>IF($E61="","",IFERROR(INDEX(科目表!$A$4:$A$81,MATCH($E61,科目表!$B$4:$B$81,0)),""))</f>
        <v/>
      </c>
      <c r="G61" s="26" t="str">
        <f>IF($E61="","",IFERROR(INDEX(科目表!$E$4:$E$81,MATCH($E61,科目表!$B$4:$B$81,0)),""))</f>
        <v/>
      </c>
      <c r="H61" s="27" t="str">
        <f>IF($E61="","",N(INDEX(进销存对接!$M$4:$U$305,20,2)))</f>
        <v/>
      </c>
      <c r="I61" s="27" t="str">
        <f>IF($E61="","",N(INDEX(进销存对接!$M$4:$U$305,20,3)))</f>
        <v/>
      </c>
      <c r="J61" s="26"/>
      <c r="K61" s="26" t="str">
        <f>IF($E61="","",INDEX(进销存对接!$D$4:$D$305,20))</f>
        <v/>
      </c>
      <c r="L61" s="32"/>
      <c r="M61" s="32"/>
      <c r="N61" s="26" t="str">
        <f t="shared" si="2"/>
        <v/>
      </c>
      <c r="O61" s="26" t="str">
        <f t="shared" si="3"/>
        <v/>
      </c>
      <c r="P61" s="10"/>
    </row>
    <row r="62" ht="18" customHeight="1" spans="1:16">
      <c r="A62" s="32" t="str">
        <f t="shared" si="0"/>
        <v/>
      </c>
      <c r="B62" s="100" t="str">
        <f>IF($E62="","",INDEX(进销存对接!$C$4:$C$305,20))</f>
        <v/>
      </c>
      <c r="C62" s="26" t="str">
        <f t="shared" si="1"/>
        <v/>
      </c>
      <c r="D62" s="32" t="str">
        <f>IF($E62="","",INDEX(进销存对接!$D$4:$D$305,20)&amp;" "&amp;TEXT($B62,"YYYY年M月")&amp;" 自动结转")</f>
        <v/>
      </c>
      <c r="E62" s="26" t="str">
        <f>IF(INDEX(进销存对接!$M$4:$U$305,20,4)=0,"",INDEX(进销存对接!$M$4:$U$305,20,4))</f>
        <v/>
      </c>
      <c r="F62" s="25" t="str">
        <f>IF($E62="","",IFERROR(INDEX(科目表!$A$4:$A$81,MATCH($E62,科目表!$B$4:$B$81,0)),""))</f>
        <v/>
      </c>
      <c r="G62" s="26" t="str">
        <f>IF($E62="","",IFERROR(INDEX(科目表!$E$4:$E$81,MATCH($E62,科目表!$B$4:$B$81,0)),""))</f>
        <v/>
      </c>
      <c r="H62" s="27" t="str">
        <f>IF($E62="","",N(INDEX(进销存对接!$M$4:$U$305,20,5)))</f>
        <v/>
      </c>
      <c r="I62" s="27" t="str">
        <f>IF($E62="","",N(INDEX(进销存对接!$M$4:$U$305,20,6)))</f>
        <v/>
      </c>
      <c r="J62" s="26"/>
      <c r="K62" s="26" t="str">
        <f>IF($E62="","",INDEX(进销存对接!$D$4:$D$305,20))</f>
        <v/>
      </c>
      <c r="L62" s="32"/>
      <c r="M62" s="32"/>
      <c r="N62" s="26" t="str">
        <f t="shared" si="2"/>
        <v/>
      </c>
      <c r="O62" s="26" t="str">
        <f t="shared" si="3"/>
        <v/>
      </c>
      <c r="P62" s="10"/>
    </row>
    <row r="63" ht="18" customHeight="1" spans="1:16">
      <c r="A63" s="32" t="str">
        <f t="shared" si="0"/>
        <v/>
      </c>
      <c r="B63" s="100" t="str">
        <f>IF($E63="","",INDEX(进销存对接!$C$4:$C$305,20))</f>
        <v/>
      </c>
      <c r="C63" s="26" t="str">
        <f t="shared" si="1"/>
        <v/>
      </c>
      <c r="D63" s="32" t="str">
        <f>IF($E63="","",INDEX(进销存对接!$D$4:$D$305,20)&amp;" "&amp;TEXT($B63,"YYYY年M月")&amp;" 自动结转")</f>
        <v/>
      </c>
      <c r="E63" s="26" t="str">
        <f>IF(INDEX(进销存对接!$M$4:$U$305,20,7)=0,"",INDEX(进销存对接!$M$4:$U$305,20,7))</f>
        <v/>
      </c>
      <c r="F63" s="25" t="str">
        <f>IF($E63="","",IFERROR(INDEX(科目表!$A$4:$A$81,MATCH($E63,科目表!$B$4:$B$81,0)),""))</f>
        <v/>
      </c>
      <c r="G63" s="26" t="str">
        <f>IF($E63="","",IFERROR(INDEX(科目表!$E$4:$E$81,MATCH($E63,科目表!$B$4:$B$81,0)),""))</f>
        <v/>
      </c>
      <c r="H63" s="27" t="str">
        <f>IF($E63="","",N(INDEX(进销存对接!$M$4:$U$305,20,8)))</f>
        <v/>
      </c>
      <c r="I63" s="27" t="str">
        <f>IF($E63="","",N(INDEX(进销存对接!$M$4:$U$305,20,9)))</f>
        <v/>
      </c>
      <c r="J63" s="26"/>
      <c r="K63" s="26" t="str">
        <f>IF($E63="","",INDEX(进销存对接!$D$4:$D$305,20))</f>
        <v/>
      </c>
      <c r="L63" s="32"/>
      <c r="M63" s="32"/>
      <c r="N63" s="26" t="str">
        <f t="shared" si="2"/>
        <v/>
      </c>
      <c r="O63" s="26" t="str">
        <f t="shared" si="3"/>
        <v/>
      </c>
      <c r="P63" s="10"/>
    </row>
    <row r="64" ht="18" customHeight="1" spans="1:16">
      <c r="A64" s="32" t="str">
        <f t="shared" si="0"/>
        <v/>
      </c>
      <c r="B64" s="100" t="str">
        <f>IF($E64="","",INDEX(进销存对接!$C$4:$C$305,21))</f>
        <v/>
      </c>
      <c r="C64" s="26" t="str">
        <f t="shared" si="1"/>
        <v/>
      </c>
      <c r="D64" s="32" t="str">
        <f>IF($E64="","",INDEX(进销存对接!$D$4:$D$305,21)&amp;" "&amp;TEXT($B64,"YYYY年M月")&amp;" 自动结转")</f>
        <v/>
      </c>
      <c r="E64" s="26" t="str">
        <f>IF(INDEX(进销存对接!$M$4:$U$305,21,1)=0,"",INDEX(进销存对接!$M$4:$U$305,21,1))</f>
        <v/>
      </c>
      <c r="F64" s="25" t="str">
        <f>IF($E64="","",IFERROR(INDEX(科目表!$A$4:$A$81,MATCH($E64,科目表!$B$4:$B$81,0)),""))</f>
        <v/>
      </c>
      <c r="G64" s="26" t="str">
        <f>IF($E64="","",IFERROR(INDEX(科目表!$E$4:$E$81,MATCH($E64,科目表!$B$4:$B$81,0)),""))</f>
        <v/>
      </c>
      <c r="H64" s="27" t="str">
        <f>IF($E64="","",N(INDEX(进销存对接!$M$4:$U$305,21,2)))</f>
        <v/>
      </c>
      <c r="I64" s="27" t="str">
        <f>IF($E64="","",N(INDEX(进销存对接!$M$4:$U$305,21,3)))</f>
        <v/>
      </c>
      <c r="J64" s="26"/>
      <c r="K64" s="26" t="str">
        <f>IF($E64="","",INDEX(进销存对接!$D$4:$D$305,21))</f>
        <v/>
      </c>
      <c r="L64" s="32"/>
      <c r="M64" s="32"/>
      <c r="N64" s="26" t="str">
        <f t="shared" si="2"/>
        <v/>
      </c>
      <c r="O64" s="26" t="str">
        <f t="shared" si="3"/>
        <v/>
      </c>
      <c r="P64" s="10"/>
    </row>
    <row r="65" ht="18" customHeight="1" spans="1:16">
      <c r="A65" s="32" t="str">
        <f t="shared" si="0"/>
        <v/>
      </c>
      <c r="B65" s="100" t="str">
        <f>IF($E65="","",INDEX(进销存对接!$C$4:$C$305,21))</f>
        <v/>
      </c>
      <c r="C65" s="26" t="str">
        <f t="shared" si="1"/>
        <v/>
      </c>
      <c r="D65" s="32" t="str">
        <f>IF($E65="","",INDEX(进销存对接!$D$4:$D$305,21)&amp;" "&amp;TEXT($B65,"YYYY年M月")&amp;" 自动结转")</f>
        <v/>
      </c>
      <c r="E65" s="26" t="str">
        <f>IF(INDEX(进销存对接!$M$4:$U$305,21,4)=0,"",INDEX(进销存对接!$M$4:$U$305,21,4))</f>
        <v/>
      </c>
      <c r="F65" s="25" t="str">
        <f>IF($E65="","",IFERROR(INDEX(科目表!$A$4:$A$81,MATCH($E65,科目表!$B$4:$B$81,0)),""))</f>
        <v/>
      </c>
      <c r="G65" s="26" t="str">
        <f>IF($E65="","",IFERROR(INDEX(科目表!$E$4:$E$81,MATCH($E65,科目表!$B$4:$B$81,0)),""))</f>
        <v/>
      </c>
      <c r="H65" s="27" t="str">
        <f>IF($E65="","",N(INDEX(进销存对接!$M$4:$U$305,21,5)))</f>
        <v/>
      </c>
      <c r="I65" s="27" t="str">
        <f>IF($E65="","",N(INDEX(进销存对接!$M$4:$U$305,21,6)))</f>
        <v/>
      </c>
      <c r="J65" s="26"/>
      <c r="K65" s="26" t="str">
        <f>IF($E65="","",INDEX(进销存对接!$D$4:$D$305,21))</f>
        <v/>
      </c>
      <c r="L65" s="32"/>
      <c r="M65" s="32"/>
      <c r="N65" s="26" t="str">
        <f t="shared" si="2"/>
        <v/>
      </c>
      <c r="O65" s="26" t="str">
        <f t="shared" si="3"/>
        <v/>
      </c>
      <c r="P65" s="10"/>
    </row>
    <row r="66" ht="18" customHeight="1" spans="1:16">
      <c r="A66" s="32" t="str">
        <f t="shared" si="0"/>
        <v/>
      </c>
      <c r="B66" s="100" t="str">
        <f>IF($E66="","",INDEX(进销存对接!$C$4:$C$305,21))</f>
        <v/>
      </c>
      <c r="C66" s="26" t="str">
        <f t="shared" si="1"/>
        <v/>
      </c>
      <c r="D66" s="32" t="str">
        <f>IF($E66="","",INDEX(进销存对接!$D$4:$D$305,21)&amp;" "&amp;TEXT($B66,"YYYY年M月")&amp;" 自动结转")</f>
        <v/>
      </c>
      <c r="E66" s="26" t="str">
        <f>IF(INDEX(进销存对接!$M$4:$U$305,21,7)=0,"",INDEX(进销存对接!$M$4:$U$305,21,7))</f>
        <v/>
      </c>
      <c r="F66" s="25" t="str">
        <f>IF($E66="","",IFERROR(INDEX(科目表!$A$4:$A$81,MATCH($E66,科目表!$B$4:$B$81,0)),""))</f>
        <v/>
      </c>
      <c r="G66" s="26" t="str">
        <f>IF($E66="","",IFERROR(INDEX(科目表!$E$4:$E$81,MATCH($E66,科目表!$B$4:$B$81,0)),""))</f>
        <v/>
      </c>
      <c r="H66" s="27" t="str">
        <f>IF($E66="","",N(INDEX(进销存对接!$M$4:$U$305,21,8)))</f>
        <v/>
      </c>
      <c r="I66" s="27" t="str">
        <f>IF($E66="","",N(INDEX(进销存对接!$M$4:$U$305,21,9)))</f>
        <v/>
      </c>
      <c r="J66" s="26"/>
      <c r="K66" s="26" t="str">
        <f>IF($E66="","",INDEX(进销存对接!$D$4:$D$305,21))</f>
        <v/>
      </c>
      <c r="L66" s="32"/>
      <c r="M66" s="32"/>
      <c r="N66" s="26" t="str">
        <f t="shared" si="2"/>
        <v/>
      </c>
      <c r="O66" s="26" t="str">
        <f t="shared" si="3"/>
        <v/>
      </c>
      <c r="P66" s="10"/>
    </row>
    <row r="67" ht="18" customHeight="1" spans="1:16">
      <c r="A67" s="32" t="str">
        <f t="shared" si="0"/>
        <v/>
      </c>
      <c r="B67" s="100" t="str">
        <f>IF($E67="","",INDEX(进销存对接!$C$4:$C$305,22))</f>
        <v/>
      </c>
      <c r="C67" s="26" t="str">
        <f t="shared" si="1"/>
        <v/>
      </c>
      <c r="D67" s="32" t="str">
        <f>IF($E67="","",INDEX(进销存对接!$D$4:$D$305,22)&amp;" "&amp;TEXT($B67,"YYYY年M月")&amp;" 自动结转")</f>
        <v/>
      </c>
      <c r="E67" s="26" t="str">
        <f>IF(INDEX(进销存对接!$M$4:$U$305,22,1)=0,"",INDEX(进销存对接!$M$4:$U$305,22,1))</f>
        <v/>
      </c>
      <c r="F67" s="25" t="str">
        <f>IF($E67="","",IFERROR(INDEX(科目表!$A$4:$A$81,MATCH($E67,科目表!$B$4:$B$81,0)),""))</f>
        <v/>
      </c>
      <c r="G67" s="26" t="str">
        <f>IF($E67="","",IFERROR(INDEX(科目表!$E$4:$E$81,MATCH($E67,科目表!$B$4:$B$81,0)),""))</f>
        <v/>
      </c>
      <c r="H67" s="27" t="str">
        <f>IF($E67="","",N(INDEX(进销存对接!$M$4:$U$305,22,2)))</f>
        <v/>
      </c>
      <c r="I67" s="27" t="str">
        <f>IF($E67="","",N(INDEX(进销存对接!$M$4:$U$305,22,3)))</f>
        <v/>
      </c>
      <c r="J67" s="26"/>
      <c r="K67" s="26" t="str">
        <f>IF($E67="","",INDEX(进销存对接!$D$4:$D$305,22))</f>
        <v/>
      </c>
      <c r="L67" s="32"/>
      <c r="M67" s="32"/>
      <c r="N67" s="26" t="str">
        <f t="shared" si="2"/>
        <v/>
      </c>
      <c r="O67" s="26" t="str">
        <f t="shared" si="3"/>
        <v/>
      </c>
      <c r="P67" s="10"/>
    </row>
    <row r="68" ht="18" customHeight="1" spans="1:16">
      <c r="A68" s="32" t="str">
        <f t="shared" ref="A68:A131" si="4">IF($E68="","",ROW()-3)</f>
        <v/>
      </c>
      <c r="B68" s="100" t="str">
        <f>IF($E68="","",INDEX(进销存对接!$C$4:$C$305,22))</f>
        <v/>
      </c>
      <c r="C68" s="26" t="str">
        <f t="shared" ref="C68:C131" si="5">IF($E68="","","记-"&amp;TEXT($B68,"YYYYMM")&amp;"-进销存")</f>
        <v/>
      </c>
      <c r="D68" s="32" t="str">
        <f>IF($E68="","",INDEX(进销存对接!$D$4:$D$305,22)&amp;" "&amp;TEXT($B68,"YYYY年M月")&amp;" 自动结转")</f>
        <v/>
      </c>
      <c r="E68" s="26" t="str">
        <f>IF(INDEX(进销存对接!$M$4:$U$305,22,4)=0,"",INDEX(进销存对接!$M$4:$U$305,22,4))</f>
        <v/>
      </c>
      <c r="F68" s="25" t="str">
        <f>IF($E68="","",IFERROR(INDEX(科目表!$A$4:$A$81,MATCH($E68,科目表!$B$4:$B$81,0)),""))</f>
        <v/>
      </c>
      <c r="G68" s="26" t="str">
        <f>IF($E68="","",IFERROR(INDEX(科目表!$E$4:$E$81,MATCH($E68,科目表!$B$4:$B$81,0)),""))</f>
        <v/>
      </c>
      <c r="H68" s="27" t="str">
        <f>IF($E68="","",N(INDEX(进销存对接!$M$4:$U$305,22,5)))</f>
        <v/>
      </c>
      <c r="I68" s="27" t="str">
        <f>IF($E68="","",N(INDEX(进销存对接!$M$4:$U$305,22,6)))</f>
        <v/>
      </c>
      <c r="J68" s="26"/>
      <c r="K68" s="26" t="str">
        <f>IF($E68="","",INDEX(进销存对接!$D$4:$D$305,22))</f>
        <v/>
      </c>
      <c r="L68" s="32"/>
      <c r="M68" s="32"/>
      <c r="N68" s="26" t="str">
        <f t="shared" ref="N68:N131" si="6">IF($E68="","","系统")</f>
        <v/>
      </c>
      <c r="O68" s="26" t="str">
        <f t="shared" ref="O68:O131" si="7">IF($E68="","","自动A")</f>
        <v/>
      </c>
      <c r="P68" s="10"/>
    </row>
    <row r="69" ht="18" customHeight="1" spans="1:16">
      <c r="A69" s="32" t="str">
        <f t="shared" si="4"/>
        <v/>
      </c>
      <c r="B69" s="100" t="str">
        <f>IF($E69="","",INDEX(进销存对接!$C$4:$C$305,22))</f>
        <v/>
      </c>
      <c r="C69" s="26" t="str">
        <f t="shared" si="5"/>
        <v/>
      </c>
      <c r="D69" s="32" t="str">
        <f>IF($E69="","",INDEX(进销存对接!$D$4:$D$305,22)&amp;" "&amp;TEXT($B69,"YYYY年M月")&amp;" 自动结转")</f>
        <v/>
      </c>
      <c r="E69" s="26" t="str">
        <f>IF(INDEX(进销存对接!$M$4:$U$305,22,7)=0,"",INDEX(进销存对接!$M$4:$U$305,22,7))</f>
        <v/>
      </c>
      <c r="F69" s="25" t="str">
        <f>IF($E69="","",IFERROR(INDEX(科目表!$A$4:$A$81,MATCH($E69,科目表!$B$4:$B$81,0)),""))</f>
        <v/>
      </c>
      <c r="G69" s="26" t="str">
        <f>IF($E69="","",IFERROR(INDEX(科目表!$E$4:$E$81,MATCH($E69,科目表!$B$4:$B$81,0)),""))</f>
        <v/>
      </c>
      <c r="H69" s="27" t="str">
        <f>IF($E69="","",N(INDEX(进销存对接!$M$4:$U$305,22,8)))</f>
        <v/>
      </c>
      <c r="I69" s="27" t="str">
        <f>IF($E69="","",N(INDEX(进销存对接!$M$4:$U$305,22,9)))</f>
        <v/>
      </c>
      <c r="J69" s="26"/>
      <c r="K69" s="26" t="str">
        <f>IF($E69="","",INDEX(进销存对接!$D$4:$D$305,22))</f>
        <v/>
      </c>
      <c r="L69" s="32"/>
      <c r="M69" s="32"/>
      <c r="N69" s="26" t="str">
        <f t="shared" si="6"/>
        <v/>
      </c>
      <c r="O69" s="26" t="str">
        <f t="shared" si="7"/>
        <v/>
      </c>
      <c r="P69" s="10"/>
    </row>
    <row r="70" ht="18" customHeight="1" spans="1:16">
      <c r="A70" s="32" t="str">
        <f t="shared" si="4"/>
        <v/>
      </c>
      <c r="B70" s="100" t="str">
        <f>IF($E70="","",INDEX(进销存对接!$C$4:$C$305,23))</f>
        <v/>
      </c>
      <c r="C70" s="26" t="str">
        <f t="shared" si="5"/>
        <v/>
      </c>
      <c r="D70" s="32" t="str">
        <f>IF($E70="","",INDEX(进销存对接!$D$4:$D$305,23)&amp;" "&amp;TEXT($B70,"YYYY年M月")&amp;" 自动结转")</f>
        <v/>
      </c>
      <c r="E70" s="26" t="str">
        <f>IF(INDEX(进销存对接!$M$4:$U$305,23,1)=0,"",INDEX(进销存对接!$M$4:$U$305,23,1))</f>
        <v/>
      </c>
      <c r="F70" s="25" t="str">
        <f>IF($E70="","",IFERROR(INDEX(科目表!$A$4:$A$81,MATCH($E70,科目表!$B$4:$B$81,0)),""))</f>
        <v/>
      </c>
      <c r="G70" s="26" t="str">
        <f>IF($E70="","",IFERROR(INDEX(科目表!$E$4:$E$81,MATCH($E70,科目表!$B$4:$B$81,0)),""))</f>
        <v/>
      </c>
      <c r="H70" s="27" t="str">
        <f>IF($E70="","",N(INDEX(进销存对接!$M$4:$U$305,23,2)))</f>
        <v/>
      </c>
      <c r="I70" s="27" t="str">
        <f>IF($E70="","",N(INDEX(进销存对接!$M$4:$U$305,23,3)))</f>
        <v/>
      </c>
      <c r="J70" s="26"/>
      <c r="K70" s="26" t="str">
        <f>IF($E70="","",INDEX(进销存对接!$D$4:$D$305,23))</f>
        <v/>
      </c>
      <c r="L70" s="32"/>
      <c r="M70" s="32"/>
      <c r="N70" s="26" t="str">
        <f t="shared" si="6"/>
        <v/>
      </c>
      <c r="O70" s="26" t="str">
        <f t="shared" si="7"/>
        <v/>
      </c>
      <c r="P70" s="10"/>
    </row>
    <row r="71" ht="18" customHeight="1" spans="1:16">
      <c r="A71" s="32" t="str">
        <f t="shared" si="4"/>
        <v/>
      </c>
      <c r="B71" s="100" t="str">
        <f>IF($E71="","",INDEX(进销存对接!$C$4:$C$305,23))</f>
        <v/>
      </c>
      <c r="C71" s="26" t="str">
        <f t="shared" si="5"/>
        <v/>
      </c>
      <c r="D71" s="32" t="str">
        <f>IF($E71="","",INDEX(进销存对接!$D$4:$D$305,23)&amp;" "&amp;TEXT($B71,"YYYY年M月")&amp;" 自动结转")</f>
        <v/>
      </c>
      <c r="E71" s="26" t="str">
        <f>IF(INDEX(进销存对接!$M$4:$U$305,23,4)=0,"",INDEX(进销存对接!$M$4:$U$305,23,4))</f>
        <v/>
      </c>
      <c r="F71" s="25" t="str">
        <f>IF($E71="","",IFERROR(INDEX(科目表!$A$4:$A$81,MATCH($E71,科目表!$B$4:$B$81,0)),""))</f>
        <v/>
      </c>
      <c r="G71" s="26" t="str">
        <f>IF($E71="","",IFERROR(INDEX(科目表!$E$4:$E$81,MATCH($E71,科目表!$B$4:$B$81,0)),""))</f>
        <v/>
      </c>
      <c r="H71" s="27" t="str">
        <f>IF($E71="","",N(INDEX(进销存对接!$M$4:$U$305,23,5)))</f>
        <v/>
      </c>
      <c r="I71" s="27" t="str">
        <f>IF($E71="","",N(INDEX(进销存对接!$M$4:$U$305,23,6)))</f>
        <v/>
      </c>
      <c r="J71" s="26"/>
      <c r="K71" s="26" t="str">
        <f>IF($E71="","",INDEX(进销存对接!$D$4:$D$305,23))</f>
        <v/>
      </c>
      <c r="L71" s="32"/>
      <c r="M71" s="32"/>
      <c r="N71" s="26" t="str">
        <f t="shared" si="6"/>
        <v/>
      </c>
      <c r="O71" s="26" t="str">
        <f t="shared" si="7"/>
        <v/>
      </c>
      <c r="P71" s="10"/>
    </row>
    <row r="72" ht="18" customHeight="1" spans="1:16">
      <c r="A72" s="32" t="str">
        <f t="shared" si="4"/>
        <v/>
      </c>
      <c r="B72" s="100" t="str">
        <f>IF($E72="","",INDEX(进销存对接!$C$4:$C$305,23))</f>
        <v/>
      </c>
      <c r="C72" s="26" t="str">
        <f t="shared" si="5"/>
        <v/>
      </c>
      <c r="D72" s="32" t="str">
        <f>IF($E72="","",INDEX(进销存对接!$D$4:$D$305,23)&amp;" "&amp;TEXT($B72,"YYYY年M月")&amp;" 自动结转")</f>
        <v/>
      </c>
      <c r="E72" s="26" t="str">
        <f>IF(INDEX(进销存对接!$M$4:$U$305,23,7)=0,"",INDEX(进销存对接!$M$4:$U$305,23,7))</f>
        <v/>
      </c>
      <c r="F72" s="25" t="str">
        <f>IF($E72="","",IFERROR(INDEX(科目表!$A$4:$A$81,MATCH($E72,科目表!$B$4:$B$81,0)),""))</f>
        <v/>
      </c>
      <c r="G72" s="26" t="str">
        <f>IF($E72="","",IFERROR(INDEX(科目表!$E$4:$E$81,MATCH($E72,科目表!$B$4:$B$81,0)),""))</f>
        <v/>
      </c>
      <c r="H72" s="27" t="str">
        <f>IF($E72="","",N(INDEX(进销存对接!$M$4:$U$305,23,8)))</f>
        <v/>
      </c>
      <c r="I72" s="27" t="str">
        <f>IF($E72="","",N(INDEX(进销存对接!$M$4:$U$305,23,9)))</f>
        <v/>
      </c>
      <c r="J72" s="26"/>
      <c r="K72" s="26" t="str">
        <f>IF($E72="","",INDEX(进销存对接!$D$4:$D$305,23))</f>
        <v/>
      </c>
      <c r="L72" s="32"/>
      <c r="M72" s="32"/>
      <c r="N72" s="26" t="str">
        <f t="shared" si="6"/>
        <v/>
      </c>
      <c r="O72" s="26" t="str">
        <f t="shared" si="7"/>
        <v/>
      </c>
      <c r="P72" s="10"/>
    </row>
    <row r="73" ht="18" customHeight="1" spans="1:16">
      <c r="A73" s="32" t="str">
        <f t="shared" si="4"/>
        <v/>
      </c>
      <c r="B73" s="100" t="str">
        <f>IF($E73="","",INDEX(进销存对接!$C$4:$C$305,24))</f>
        <v/>
      </c>
      <c r="C73" s="26" t="str">
        <f t="shared" si="5"/>
        <v/>
      </c>
      <c r="D73" s="32" t="str">
        <f>IF($E73="","",INDEX(进销存对接!$D$4:$D$305,24)&amp;" "&amp;TEXT($B73,"YYYY年M月")&amp;" 自动结转")</f>
        <v/>
      </c>
      <c r="E73" s="26" t="str">
        <f>IF(INDEX(进销存对接!$M$4:$U$305,24,1)=0,"",INDEX(进销存对接!$M$4:$U$305,24,1))</f>
        <v/>
      </c>
      <c r="F73" s="25" t="str">
        <f>IF($E73="","",IFERROR(INDEX(科目表!$A$4:$A$81,MATCH($E73,科目表!$B$4:$B$81,0)),""))</f>
        <v/>
      </c>
      <c r="G73" s="26" t="str">
        <f>IF($E73="","",IFERROR(INDEX(科目表!$E$4:$E$81,MATCH($E73,科目表!$B$4:$B$81,0)),""))</f>
        <v/>
      </c>
      <c r="H73" s="27" t="str">
        <f>IF($E73="","",N(INDEX(进销存对接!$M$4:$U$305,24,2)))</f>
        <v/>
      </c>
      <c r="I73" s="27" t="str">
        <f>IF($E73="","",N(INDEX(进销存对接!$M$4:$U$305,24,3)))</f>
        <v/>
      </c>
      <c r="J73" s="26"/>
      <c r="K73" s="26" t="str">
        <f>IF($E73="","",INDEX(进销存对接!$D$4:$D$305,24))</f>
        <v/>
      </c>
      <c r="L73" s="32"/>
      <c r="M73" s="32"/>
      <c r="N73" s="26" t="str">
        <f t="shared" si="6"/>
        <v/>
      </c>
      <c r="O73" s="26" t="str">
        <f t="shared" si="7"/>
        <v/>
      </c>
      <c r="P73" s="10"/>
    </row>
    <row r="74" ht="18" customHeight="1" spans="1:16">
      <c r="A74" s="32" t="str">
        <f t="shared" si="4"/>
        <v/>
      </c>
      <c r="B74" s="100" t="str">
        <f>IF($E74="","",INDEX(进销存对接!$C$4:$C$305,24))</f>
        <v/>
      </c>
      <c r="C74" s="26" t="str">
        <f t="shared" si="5"/>
        <v/>
      </c>
      <c r="D74" s="32" t="str">
        <f>IF($E74="","",INDEX(进销存对接!$D$4:$D$305,24)&amp;" "&amp;TEXT($B74,"YYYY年M月")&amp;" 自动结转")</f>
        <v/>
      </c>
      <c r="E74" s="26" t="str">
        <f>IF(INDEX(进销存对接!$M$4:$U$305,24,4)=0,"",INDEX(进销存对接!$M$4:$U$305,24,4))</f>
        <v/>
      </c>
      <c r="F74" s="25" t="str">
        <f>IF($E74="","",IFERROR(INDEX(科目表!$A$4:$A$81,MATCH($E74,科目表!$B$4:$B$81,0)),""))</f>
        <v/>
      </c>
      <c r="G74" s="26" t="str">
        <f>IF($E74="","",IFERROR(INDEX(科目表!$E$4:$E$81,MATCH($E74,科目表!$B$4:$B$81,0)),""))</f>
        <v/>
      </c>
      <c r="H74" s="27" t="str">
        <f>IF($E74="","",N(INDEX(进销存对接!$M$4:$U$305,24,5)))</f>
        <v/>
      </c>
      <c r="I74" s="27" t="str">
        <f>IF($E74="","",N(INDEX(进销存对接!$M$4:$U$305,24,6)))</f>
        <v/>
      </c>
      <c r="J74" s="26"/>
      <c r="K74" s="26" t="str">
        <f>IF($E74="","",INDEX(进销存对接!$D$4:$D$305,24))</f>
        <v/>
      </c>
      <c r="L74" s="32"/>
      <c r="M74" s="32"/>
      <c r="N74" s="26" t="str">
        <f t="shared" si="6"/>
        <v/>
      </c>
      <c r="O74" s="26" t="str">
        <f t="shared" si="7"/>
        <v/>
      </c>
      <c r="P74" s="10"/>
    </row>
    <row r="75" ht="18" customHeight="1" spans="1:16">
      <c r="A75" s="32" t="str">
        <f t="shared" si="4"/>
        <v/>
      </c>
      <c r="B75" s="100" t="str">
        <f>IF($E75="","",INDEX(进销存对接!$C$4:$C$305,24))</f>
        <v/>
      </c>
      <c r="C75" s="26" t="str">
        <f t="shared" si="5"/>
        <v/>
      </c>
      <c r="D75" s="32" t="str">
        <f>IF($E75="","",INDEX(进销存对接!$D$4:$D$305,24)&amp;" "&amp;TEXT($B75,"YYYY年M月")&amp;" 自动结转")</f>
        <v/>
      </c>
      <c r="E75" s="26" t="str">
        <f>IF(INDEX(进销存对接!$M$4:$U$305,24,7)=0,"",INDEX(进销存对接!$M$4:$U$305,24,7))</f>
        <v/>
      </c>
      <c r="F75" s="25" t="str">
        <f>IF($E75="","",IFERROR(INDEX(科目表!$A$4:$A$81,MATCH($E75,科目表!$B$4:$B$81,0)),""))</f>
        <v/>
      </c>
      <c r="G75" s="26" t="str">
        <f>IF($E75="","",IFERROR(INDEX(科目表!$E$4:$E$81,MATCH($E75,科目表!$B$4:$B$81,0)),""))</f>
        <v/>
      </c>
      <c r="H75" s="27" t="str">
        <f>IF($E75="","",N(INDEX(进销存对接!$M$4:$U$305,24,8)))</f>
        <v/>
      </c>
      <c r="I75" s="27" t="str">
        <f>IF($E75="","",N(INDEX(进销存对接!$M$4:$U$305,24,9)))</f>
        <v/>
      </c>
      <c r="J75" s="26"/>
      <c r="K75" s="26" t="str">
        <f>IF($E75="","",INDEX(进销存对接!$D$4:$D$305,24))</f>
        <v/>
      </c>
      <c r="L75" s="32"/>
      <c r="M75" s="32"/>
      <c r="N75" s="26" t="str">
        <f t="shared" si="6"/>
        <v/>
      </c>
      <c r="O75" s="26" t="str">
        <f t="shared" si="7"/>
        <v/>
      </c>
      <c r="P75" s="10"/>
    </row>
    <row r="76" ht="18" customHeight="1" spans="1:16">
      <c r="A76" s="32" t="str">
        <f t="shared" si="4"/>
        <v/>
      </c>
      <c r="B76" s="100" t="str">
        <f>IF($E76="","",INDEX(进销存对接!$C$4:$C$305,25))</f>
        <v/>
      </c>
      <c r="C76" s="26" t="str">
        <f t="shared" si="5"/>
        <v/>
      </c>
      <c r="D76" s="32" t="str">
        <f>IF($E76="","",INDEX(进销存对接!$D$4:$D$305,25)&amp;" "&amp;TEXT($B76,"YYYY年M月")&amp;" 自动结转")</f>
        <v/>
      </c>
      <c r="E76" s="26" t="str">
        <f>IF(INDEX(进销存对接!$M$4:$U$305,25,1)=0,"",INDEX(进销存对接!$M$4:$U$305,25,1))</f>
        <v/>
      </c>
      <c r="F76" s="25" t="str">
        <f>IF($E76="","",IFERROR(INDEX(科目表!$A$4:$A$81,MATCH($E76,科目表!$B$4:$B$81,0)),""))</f>
        <v/>
      </c>
      <c r="G76" s="26" t="str">
        <f>IF($E76="","",IFERROR(INDEX(科目表!$E$4:$E$81,MATCH($E76,科目表!$B$4:$B$81,0)),""))</f>
        <v/>
      </c>
      <c r="H76" s="27" t="str">
        <f>IF($E76="","",N(INDEX(进销存对接!$M$4:$U$305,25,2)))</f>
        <v/>
      </c>
      <c r="I76" s="27" t="str">
        <f>IF($E76="","",N(INDEX(进销存对接!$M$4:$U$305,25,3)))</f>
        <v/>
      </c>
      <c r="J76" s="26"/>
      <c r="K76" s="26" t="str">
        <f>IF($E76="","",INDEX(进销存对接!$D$4:$D$305,25))</f>
        <v/>
      </c>
      <c r="L76" s="32"/>
      <c r="M76" s="32"/>
      <c r="N76" s="26" t="str">
        <f t="shared" si="6"/>
        <v/>
      </c>
      <c r="O76" s="26" t="str">
        <f t="shared" si="7"/>
        <v/>
      </c>
      <c r="P76" s="10"/>
    </row>
    <row r="77" ht="18" customHeight="1" spans="1:16">
      <c r="A77" s="32" t="str">
        <f t="shared" si="4"/>
        <v/>
      </c>
      <c r="B77" s="100" t="str">
        <f>IF($E77="","",INDEX(进销存对接!$C$4:$C$305,25))</f>
        <v/>
      </c>
      <c r="C77" s="26" t="str">
        <f t="shared" si="5"/>
        <v/>
      </c>
      <c r="D77" s="32" t="str">
        <f>IF($E77="","",INDEX(进销存对接!$D$4:$D$305,25)&amp;" "&amp;TEXT($B77,"YYYY年M月")&amp;" 自动结转")</f>
        <v/>
      </c>
      <c r="E77" s="26" t="str">
        <f>IF(INDEX(进销存对接!$M$4:$U$305,25,4)=0,"",INDEX(进销存对接!$M$4:$U$305,25,4))</f>
        <v/>
      </c>
      <c r="F77" s="25" t="str">
        <f>IF($E77="","",IFERROR(INDEX(科目表!$A$4:$A$81,MATCH($E77,科目表!$B$4:$B$81,0)),""))</f>
        <v/>
      </c>
      <c r="G77" s="26" t="str">
        <f>IF($E77="","",IFERROR(INDEX(科目表!$E$4:$E$81,MATCH($E77,科目表!$B$4:$B$81,0)),""))</f>
        <v/>
      </c>
      <c r="H77" s="27" t="str">
        <f>IF($E77="","",N(INDEX(进销存对接!$M$4:$U$305,25,5)))</f>
        <v/>
      </c>
      <c r="I77" s="27" t="str">
        <f>IF($E77="","",N(INDEX(进销存对接!$M$4:$U$305,25,6)))</f>
        <v/>
      </c>
      <c r="J77" s="26"/>
      <c r="K77" s="26" t="str">
        <f>IF($E77="","",INDEX(进销存对接!$D$4:$D$305,25))</f>
        <v/>
      </c>
      <c r="L77" s="32"/>
      <c r="M77" s="32"/>
      <c r="N77" s="26" t="str">
        <f t="shared" si="6"/>
        <v/>
      </c>
      <c r="O77" s="26" t="str">
        <f t="shared" si="7"/>
        <v/>
      </c>
      <c r="P77" s="10"/>
    </row>
    <row r="78" ht="18" customHeight="1" spans="1:16">
      <c r="A78" s="32" t="str">
        <f t="shared" si="4"/>
        <v/>
      </c>
      <c r="B78" s="100" t="str">
        <f>IF($E78="","",INDEX(进销存对接!$C$4:$C$305,25))</f>
        <v/>
      </c>
      <c r="C78" s="26" t="str">
        <f t="shared" si="5"/>
        <v/>
      </c>
      <c r="D78" s="32" t="str">
        <f>IF($E78="","",INDEX(进销存对接!$D$4:$D$305,25)&amp;" "&amp;TEXT($B78,"YYYY年M月")&amp;" 自动结转")</f>
        <v/>
      </c>
      <c r="E78" s="26" t="str">
        <f>IF(INDEX(进销存对接!$M$4:$U$305,25,7)=0,"",INDEX(进销存对接!$M$4:$U$305,25,7))</f>
        <v/>
      </c>
      <c r="F78" s="25" t="str">
        <f>IF($E78="","",IFERROR(INDEX(科目表!$A$4:$A$81,MATCH($E78,科目表!$B$4:$B$81,0)),""))</f>
        <v/>
      </c>
      <c r="G78" s="26" t="str">
        <f>IF($E78="","",IFERROR(INDEX(科目表!$E$4:$E$81,MATCH($E78,科目表!$B$4:$B$81,0)),""))</f>
        <v/>
      </c>
      <c r="H78" s="27" t="str">
        <f>IF($E78="","",N(INDEX(进销存对接!$M$4:$U$305,25,8)))</f>
        <v/>
      </c>
      <c r="I78" s="27" t="str">
        <f>IF($E78="","",N(INDEX(进销存对接!$M$4:$U$305,25,9)))</f>
        <v/>
      </c>
      <c r="J78" s="26"/>
      <c r="K78" s="26" t="str">
        <f>IF($E78="","",INDEX(进销存对接!$D$4:$D$305,25))</f>
        <v/>
      </c>
      <c r="L78" s="32"/>
      <c r="M78" s="32"/>
      <c r="N78" s="26" t="str">
        <f t="shared" si="6"/>
        <v/>
      </c>
      <c r="O78" s="26" t="str">
        <f t="shared" si="7"/>
        <v/>
      </c>
      <c r="P78" s="10"/>
    </row>
    <row r="79" ht="18" customHeight="1" spans="1:16">
      <c r="A79" s="32" t="str">
        <f t="shared" si="4"/>
        <v/>
      </c>
      <c r="B79" s="100" t="str">
        <f>IF($E79="","",INDEX(进销存对接!$C$4:$C$305,26))</f>
        <v/>
      </c>
      <c r="C79" s="26" t="str">
        <f t="shared" si="5"/>
        <v/>
      </c>
      <c r="D79" s="32" t="str">
        <f>IF($E79="","",INDEX(进销存对接!$D$4:$D$305,26)&amp;" "&amp;TEXT($B79,"YYYY年M月")&amp;" 自动结转")</f>
        <v/>
      </c>
      <c r="E79" s="26" t="str">
        <f>IF(INDEX(进销存对接!$M$4:$U$305,26,1)=0,"",INDEX(进销存对接!$M$4:$U$305,26,1))</f>
        <v/>
      </c>
      <c r="F79" s="25" t="str">
        <f>IF($E79="","",IFERROR(INDEX(科目表!$A$4:$A$81,MATCH($E79,科目表!$B$4:$B$81,0)),""))</f>
        <v/>
      </c>
      <c r="G79" s="26" t="str">
        <f>IF($E79="","",IFERROR(INDEX(科目表!$E$4:$E$81,MATCH($E79,科目表!$B$4:$B$81,0)),""))</f>
        <v/>
      </c>
      <c r="H79" s="27" t="str">
        <f>IF($E79="","",N(INDEX(进销存对接!$M$4:$U$305,26,2)))</f>
        <v/>
      </c>
      <c r="I79" s="27" t="str">
        <f>IF($E79="","",N(INDEX(进销存对接!$M$4:$U$305,26,3)))</f>
        <v/>
      </c>
      <c r="J79" s="26"/>
      <c r="K79" s="26" t="str">
        <f>IF($E79="","",INDEX(进销存对接!$D$4:$D$305,26))</f>
        <v/>
      </c>
      <c r="L79" s="32"/>
      <c r="M79" s="32"/>
      <c r="N79" s="26" t="str">
        <f t="shared" si="6"/>
        <v/>
      </c>
      <c r="O79" s="26" t="str">
        <f t="shared" si="7"/>
        <v/>
      </c>
      <c r="P79" s="10"/>
    </row>
    <row r="80" ht="18" customHeight="1" spans="1:16">
      <c r="A80" s="32" t="str">
        <f t="shared" si="4"/>
        <v/>
      </c>
      <c r="B80" s="100" t="str">
        <f>IF($E80="","",INDEX(进销存对接!$C$4:$C$305,26))</f>
        <v/>
      </c>
      <c r="C80" s="26" t="str">
        <f t="shared" si="5"/>
        <v/>
      </c>
      <c r="D80" s="32" t="str">
        <f>IF($E80="","",INDEX(进销存对接!$D$4:$D$305,26)&amp;" "&amp;TEXT($B80,"YYYY年M月")&amp;" 自动结转")</f>
        <v/>
      </c>
      <c r="E80" s="26" t="str">
        <f>IF(INDEX(进销存对接!$M$4:$U$305,26,4)=0,"",INDEX(进销存对接!$M$4:$U$305,26,4))</f>
        <v/>
      </c>
      <c r="F80" s="25" t="str">
        <f>IF($E80="","",IFERROR(INDEX(科目表!$A$4:$A$81,MATCH($E80,科目表!$B$4:$B$81,0)),""))</f>
        <v/>
      </c>
      <c r="G80" s="26" t="str">
        <f>IF($E80="","",IFERROR(INDEX(科目表!$E$4:$E$81,MATCH($E80,科目表!$B$4:$B$81,0)),""))</f>
        <v/>
      </c>
      <c r="H80" s="27" t="str">
        <f>IF($E80="","",N(INDEX(进销存对接!$M$4:$U$305,26,5)))</f>
        <v/>
      </c>
      <c r="I80" s="27" t="str">
        <f>IF($E80="","",N(INDEX(进销存对接!$M$4:$U$305,26,6)))</f>
        <v/>
      </c>
      <c r="J80" s="26"/>
      <c r="K80" s="26" t="str">
        <f>IF($E80="","",INDEX(进销存对接!$D$4:$D$305,26))</f>
        <v/>
      </c>
      <c r="L80" s="32"/>
      <c r="M80" s="32"/>
      <c r="N80" s="26" t="str">
        <f t="shared" si="6"/>
        <v/>
      </c>
      <c r="O80" s="26" t="str">
        <f t="shared" si="7"/>
        <v/>
      </c>
      <c r="P80" s="10"/>
    </row>
    <row r="81" ht="18" customHeight="1" spans="1:16">
      <c r="A81" s="32" t="str">
        <f t="shared" si="4"/>
        <v/>
      </c>
      <c r="B81" s="100" t="str">
        <f>IF($E81="","",INDEX(进销存对接!$C$4:$C$305,26))</f>
        <v/>
      </c>
      <c r="C81" s="26" t="str">
        <f t="shared" si="5"/>
        <v/>
      </c>
      <c r="D81" s="32" t="str">
        <f>IF($E81="","",INDEX(进销存对接!$D$4:$D$305,26)&amp;" "&amp;TEXT($B81,"YYYY年M月")&amp;" 自动结转")</f>
        <v/>
      </c>
      <c r="E81" s="26" t="str">
        <f>IF(INDEX(进销存对接!$M$4:$U$305,26,7)=0,"",INDEX(进销存对接!$M$4:$U$305,26,7))</f>
        <v/>
      </c>
      <c r="F81" s="25" t="str">
        <f>IF($E81="","",IFERROR(INDEX(科目表!$A$4:$A$81,MATCH($E81,科目表!$B$4:$B$81,0)),""))</f>
        <v/>
      </c>
      <c r="G81" s="26" t="str">
        <f>IF($E81="","",IFERROR(INDEX(科目表!$E$4:$E$81,MATCH($E81,科目表!$B$4:$B$81,0)),""))</f>
        <v/>
      </c>
      <c r="H81" s="27" t="str">
        <f>IF($E81="","",N(INDEX(进销存对接!$M$4:$U$305,26,8)))</f>
        <v/>
      </c>
      <c r="I81" s="27" t="str">
        <f>IF($E81="","",N(INDEX(进销存对接!$M$4:$U$305,26,9)))</f>
        <v/>
      </c>
      <c r="J81" s="26"/>
      <c r="K81" s="26" t="str">
        <f>IF($E81="","",INDEX(进销存对接!$D$4:$D$305,26))</f>
        <v/>
      </c>
      <c r="L81" s="32"/>
      <c r="M81" s="32"/>
      <c r="N81" s="26" t="str">
        <f t="shared" si="6"/>
        <v/>
      </c>
      <c r="O81" s="26" t="str">
        <f t="shared" si="7"/>
        <v/>
      </c>
      <c r="P81" s="10"/>
    </row>
    <row r="82" ht="18" customHeight="1" spans="1:16">
      <c r="A82" s="32" t="str">
        <f t="shared" si="4"/>
        <v/>
      </c>
      <c r="B82" s="100" t="str">
        <f>IF($E82="","",INDEX(进销存对接!$C$4:$C$305,27))</f>
        <v/>
      </c>
      <c r="C82" s="26" t="str">
        <f t="shared" si="5"/>
        <v/>
      </c>
      <c r="D82" s="32" t="str">
        <f>IF($E82="","",INDEX(进销存对接!$D$4:$D$305,27)&amp;" "&amp;TEXT($B82,"YYYY年M月")&amp;" 自动结转")</f>
        <v/>
      </c>
      <c r="E82" s="26" t="str">
        <f>IF(INDEX(进销存对接!$M$4:$U$305,27,1)=0,"",INDEX(进销存对接!$M$4:$U$305,27,1))</f>
        <v/>
      </c>
      <c r="F82" s="25" t="str">
        <f>IF($E82="","",IFERROR(INDEX(科目表!$A$4:$A$81,MATCH($E82,科目表!$B$4:$B$81,0)),""))</f>
        <v/>
      </c>
      <c r="G82" s="26" t="str">
        <f>IF($E82="","",IFERROR(INDEX(科目表!$E$4:$E$81,MATCH($E82,科目表!$B$4:$B$81,0)),""))</f>
        <v/>
      </c>
      <c r="H82" s="27" t="str">
        <f>IF($E82="","",N(INDEX(进销存对接!$M$4:$U$305,27,2)))</f>
        <v/>
      </c>
      <c r="I82" s="27" t="str">
        <f>IF($E82="","",N(INDEX(进销存对接!$M$4:$U$305,27,3)))</f>
        <v/>
      </c>
      <c r="J82" s="26"/>
      <c r="K82" s="26" t="str">
        <f>IF($E82="","",INDEX(进销存对接!$D$4:$D$305,27))</f>
        <v/>
      </c>
      <c r="L82" s="32"/>
      <c r="M82" s="32"/>
      <c r="N82" s="26" t="str">
        <f t="shared" si="6"/>
        <v/>
      </c>
      <c r="O82" s="26" t="str">
        <f t="shared" si="7"/>
        <v/>
      </c>
      <c r="P82" s="10"/>
    </row>
    <row r="83" ht="18" customHeight="1" spans="1:16">
      <c r="A83" s="32" t="str">
        <f t="shared" si="4"/>
        <v/>
      </c>
      <c r="B83" s="100" t="str">
        <f>IF($E83="","",INDEX(进销存对接!$C$4:$C$305,27))</f>
        <v/>
      </c>
      <c r="C83" s="26" t="str">
        <f t="shared" si="5"/>
        <v/>
      </c>
      <c r="D83" s="32" t="str">
        <f>IF($E83="","",INDEX(进销存对接!$D$4:$D$305,27)&amp;" "&amp;TEXT($B83,"YYYY年M月")&amp;" 自动结转")</f>
        <v/>
      </c>
      <c r="E83" s="26" t="str">
        <f>IF(INDEX(进销存对接!$M$4:$U$305,27,4)=0,"",INDEX(进销存对接!$M$4:$U$305,27,4))</f>
        <v/>
      </c>
      <c r="F83" s="25" t="str">
        <f>IF($E83="","",IFERROR(INDEX(科目表!$A$4:$A$81,MATCH($E83,科目表!$B$4:$B$81,0)),""))</f>
        <v/>
      </c>
      <c r="G83" s="26" t="str">
        <f>IF($E83="","",IFERROR(INDEX(科目表!$E$4:$E$81,MATCH($E83,科目表!$B$4:$B$81,0)),""))</f>
        <v/>
      </c>
      <c r="H83" s="27" t="str">
        <f>IF($E83="","",N(INDEX(进销存对接!$M$4:$U$305,27,5)))</f>
        <v/>
      </c>
      <c r="I83" s="27" t="str">
        <f>IF($E83="","",N(INDEX(进销存对接!$M$4:$U$305,27,6)))</f>
        <v/>
      </c>
      <c r="J83" s="26"/>
      <c r="K83" s="26" t="str">
        <f>IF($E83="","",INDEX(进销存对接!$D$4:$D$305,27))</f>
        <v/>
      </c>
      <c r="L83" s="32"/>
      <c r="M83" s="32"/>
      <c r="N83" s="26" t="str">
        <f t="shared" si="6"/>
        <v/>
      </c>
      <c r="O83" s="26" t="str">
        <f t="shared" si="7"/>
        <v/>
      </c>
      <c r="P83" s="10"/>
    </row>
    <row r="84" ht="18" customHeight="1" spans="1:16">
      <c r="A84" s="32" t="str">
        <f t="shared" si="4"/>
        <v/>
      </c>
      <c r="B84" s="100" t="str">
        <f>IF($E84="","",INDEX(进销存对接!$C$4:$C$305,27))</f>
        <v/>
      </c>
      <c r="C84" s="26" t="str">
        <f t="shared" si="5"/>
        <v/>
      </c>
      <c r="D84" s="32" t="str">
        <f>IF($E84="","",INDEX(进销存对接!$D$4:$D$305,27)&amp;" "&amp;TEXT($B84,"YYYY年M月")&amp;" 自动结转")</f>
        <v/>
      </c>
      <c r="E84" s="26" t="str">
        <f>IF(INDEX(进销存对接!$M$4:$U$305,27,7)=0,"",INDEX(进销存对接!$M$4:$U$305,27,7))</f>
        <v/>
      </c>
      <c r="F84" s="25" t="str">
        <f>IF($E84="","",IFERROR(INDEX(科目表!$A$4:$A$81,MATCH($E84,科目表!$B$4:$B$81,0)),""))</f>
        <v/>
      </c>
      <c r="G84" s="26" t="str">
        <f>IF($E84="","",IFERROR(INDEX(科目表!$E$4:$E$81,MATCH($E84,科目表!$B$4:$B$81,0)),""))</f>
        <v/>
      </c>
      <c r="H84" s="27" t="str">
        <f>IF($E84="","",N(INDEX(进销存对接!$M$4:$U$305,27,8)))</f>
        <v/>
      </c>
      <c r="I84" s="27" t="str">
        <f>IF($E84="","",N(INDEX(进销存对接!$M$4:$U$305,27,9)))</f>
        <v/>
      </c>
      <c r="J84" s="26"/>
      <c r="K84" s="26" t="str">
        <f>IF($E84="","",INDEX(进销存对接!$D$4:$D$305,27))</f>
        <v/>
      </c>
      <c r="L84" s="32"/>
      <c r="M84" s="32"/>
      <c r="N84" s="26" t="str">
        <f t="shared" si="6"/>
        <v/>
      </c>
      <c r="O84" s="26" t="str">
        <f t="shared" si="7"/>
        <v/>
      </c>
      <c r="P84" s="10"/>
    </row>
    <row r="85" ht="18" customHeight="1" spans="1:16">
      <c r="A85" s="32" t="str">
        <f t="shared" si="4"/>
        <v/>
      </c>
      <c r="B85" s="100" t="str">
        <f>IF($E85="","",INDEX(进销存对接!$C$4:$C$305,28))</f>
        <v/>
      </c>
      <c r="C85" s="26" t="str">
        <f t="shared" si="5"/>
        <v/>
      </c>
      <c r="D85" s="32" t="str">
        <f>IF($E85="","",INDEX(进销存对接!$D$4:$D$305,28)&amp;" "&amp;TEXT($B85,"YYYY年M月")&amp;" 自动结转")</f>
        <v/>
      </c>
      <c r="E85" s="26" t="str">
        <f>IF(INDEX(进销存对接!$M$4:$U$305,28,1)=0,"",INDEX(进销存对接!$M$4:$U$305,28,1))</f>
        <v/>
      </c>
      <c r="F85" s="25" t="str">
        <f>IF($E85="","",IFERROR(INDEX(科目表!$A$4:$A$81,MATCH($E85,科目表!$B$4:$B$81,0)),""))</f>
        <v/>
      </c>
      <c r="G85" s="26" t="str">
        <f>IF($E85="","",IFERROR(INDEX(科目表!$E$4:$E$81,MATCH($E85,科目表!$B$4:$B$81,0)),""))</f>
        <v/>
      </c>
      <c r="H85" s="27" t="str">
        <f>IF($E85="","",N(INDEX(进销存对接!$M$4:$U$305,28,2)))</f>
        <v/>
      </c>
      <c r="I85" s="27" t="str">
        <f>IF($E85="","",N(INDEX(进销存对接!$M$4:$U$305,28,3)))</f>
        <v/>
      </c>
      <c r="J85" s="26"/>
      <c r="K85" s="26" t="str">
        <f>IF($E85="","",INDEX(进销存对接!$D$4:$D$305,28))</f>
        <v/>
      </c>
      <c r="L85" s="32"/>
      <c r="M85" s="32"/>
      <c r="N85" s="26" t="str">
        <f t="shared" si="6"/>
        <v/>
      </c>
      <c r="O85" s="26" t="str">
        <f t="shared" si="7"/>
        <v/>
      </c>
      <c r="P85" s="10"/>
    </row>
    <row r="86" ht="18" customHeight="1" spans="1:16">
      <c r="A86" s="32" t="str">
        <f t="shared" si="4"/>
        <v/>
      </c>
      <c r="B86" s="100" t="str">
        <f>IF($E86="","",INDEX(进销存对接!$C$4:$C$305,28))</f>
        <v/>
      </c>
      <c r="C86" s="26" t="str">
        <f t="shared" si="5"/>
        <v/>
      </c>
      <c r="D86" s="32" t="str">
        <f>IF($E86="","",INDEX(进销存对接!$D$4:$D$305,28)&amp;" "&amp;TEXT($B86,"YYYY年M月")&amp;" 自动结转")</f>
        <v/>
      </c>
      <c r="E86" s="26" t="str">
        <f>IF(INDEX(进销存对接!$M$4:$U$305,28,4)=0,"",INDEX(进销存对接!$M$4:$U$305,28,4))</f>
        <v/>
      </c>
      <c r="F86" s="25" t="str">
        <f>IF($E86="","",IFERROR(INDEX(科目表!$A$4:$A$81,MATCH($E86,科目表!$B$4:$B$81,0)),""))</f>
        <v/>
      </c>
      <c r="G86" s="26" t="str">
        <f>IF($E86="","",IFERROR(INDEX(科目表!$E$4:$E$81,MATCH($E86,科目表!$B$4:$B$81,0)),""))</f>
        <v/>
      </c>
      <c r="H86" s="27" t="str">
        <f>IF($E86="","",N(INDEX(进销存对接!$M$4:$U$305,28,5)))</f>
        <v/>
      </c>
      <c r="I86" s="27" t="str">
        <f>IF($E86="","",N(INDEX(进销存对接!$M$4:$U$305,28,6)))</f>
        <v/>
      </c>
      <c r="J86" s="26"/>
      <c r="K86" s="26" t="str">
        <f>IF($E86="","",INDEX(进销存对接!$D$4:$D$305,28))</f>
        <v/>
      </c>
      <c r="L86" s="32"/>
      <c r="M86" s="32"/>
      <c r="N86" s="26" t="str">
        <f t="shared" si="6"/>
        <v/>
      </c>
      <c r="O86" s="26" t="str">
        <f t="shared" si="7"/>
        <v/>
      </c>
      <c r="P86" s="10"/>
    </row>
    <row r="87" ht="18" customHeight="1" spans="1:16">
      <c r="A87" s="32" t="str">
        <f t="shared" si="4"/>
        <v/>
      </c>
      <c r="B87" s="100" t="str">
        <f>IF($E87="","",INDEX(进销存对接!$C$4:$C$305,28))</f>
        <v/>
      </c>
      <c r="C87" s="26" t="str">
        <f t="shared" si="5"/>
        <v/>
      </c>
      <c r="D87" s="32" t="str">
        <f>IF($E87="","",INDEX(进销存对接!$D$4:$D$305,28)&amp;" "&amp;TEXT($B87,"YYYY年M月")&amp;" 自动结转")</f>
        <v/>
      </c>
      <c r="E87" s="26" t="str">
        <f>IF(INDEX(进销存对接!$M$4:$U$305,28,7)=0,"",INDEX(进销存对接!$M$4:$U$305,28,7))</f>
        <v/>
      </c>
      <c r="F87" s="25" t="str">
        <f>IF($E87="","",IFERROR(INDEX(科目表!$A$4:$A$81,MATCH($E87,科目表!$B$4:$B$81,0)),""))</f>
        <v/>
      </c>
      <c r="G87" s="26" t="str">
        <f>IF($E87="","",IFERROR(INDEX(科目表!$E$4:$E$81,MATCH($E87,科目表!$B$4:$B$81,0)),""))</f>
        <v/>
      </c>
      <c r="H87" s="27" t="str">
        <f>IF($E87="","",N(INDEX(进销存对接!$M$4:$U$305,28,8)))</f>
        <v/>
      </c>
      <c r="I87" s="27" t="str">
        <f>IF($E87="","",N(INDEX(进销存对接!$M$4:$U$305,28,9)))</f>
        <v/>
      </c>
      <c r="J87" s="26"/>
      <c r="K87" s="26" t="str">
        <f>IF($E87="","",INDEX(进销存对接!$D$4:$D$305,28))</f>
        <v/>
      </c>
      <c r="L87" s="32"/>
      <c r="M87" s="32"/>
      <c r="N87" s="26" t="str">
        <f t="shared" si="6"/>
        <v/>
      </c>
      <c r="O87" s="26" t="str">
        <f t="shared" si="7"/>
        <v/>
      </c>
      <c r="P87" s="10"/>
    </row>
    <row r="88" ht="18" customHeight="1" spans="1:16">
      <c r="A88" s="32" t="str">
        <f t="shared" si="4"/>
        <v/>
      </c>
      <c r="B88" s="100" t="str">
        <f>IF($E88="","",INDEX(进销存对接!$C$4:$C$305,29))</f>
        <v/>
      </c>
      <c r="C88" s="26" t="str">
        <f t="shared" si="5"/>
        <v/>
      </c>
      <c r="D88" s="32" t="str">
        <f>IF($E88="","",INDEX(进销存对接!$D$4:$D$305,29)&amp;" "&amp;TEXT($B88,"YYYY年M月")&amp;" 自动结转")</f>
        <v/>
      </c>
      <c r="E88" s="26" t="str">
        <f>IF(INDEX(进销存对接!$M$4:$U$305,29,1)=0,"",INDEX(进销存对接!$M$4:$U$305,29,1))</f>
        <v/>
      </c>
      <c r="F88" s="25" t="str">
        <f>IF($E88="","",IFERROR(INDEX(科目表!$A$4:$A$81,MATCH($E88,科目表!$B$4:$B$81,0)),""))</f>
        <v/>
      </c>
      <c r="G88" s="26" t="str">
        <f>IF($E88="","",IFERROR(INDEX(科目表!$E$4:$E$81,MATCH($E88,科目表!$B$4:$B$81,0)),""))</f>
        <v/>
      </c>
      <c r="H88" s="27" t="str">
        <f>IF($E88="","",N(INDEX(进销存对接!$M$4:$U$305,29,2)))</f>
        <v/>
      </c>
      <c r="I88" s="27" t="str">
        <f>IF($E88="","",N(INDEX(进销存对接!$M$4:$U$305,29,3)))</f>
        <v/>
      </c>
      <c r="J88" s="26"/>
      <c r="K88" s="26" t="str">
        <f>IF($E88="","",INDEX(进销存对接!$D$4:$D$305,29))</f>
        <v/>
      </c>
      <c r="L88" s="32"/>
      <c r="M88" s="32"/>
      <c r="N88" s="26" t="str">
        <f t="shared" si="6"/>
        <v/>
      </c>
      <c r="O88" s="26" t="str">
        <f t="shared" si="7"/>
        <v/>
      </c>
      <c r="P88" s="10"/>
    </row>
    <row r="89" ht="18" customHeight="1" spans="1:16">
      <c r="A89" s="32" t="str">
        <f t="shared" si="4"/>
        <v/>
      </c>
      <c r="B89" s="100" t="str">
        <f>IF($E89="","",INDEX(进销存对接!$C$4:$C$305,29))</f>
        <v/>
      </c>
      <c r="C89" s="26" t="str">
        <f t="shared" si="5"/>
        <v/>
      </c>
      <c r="D89" s="32" t="str">
        <f>IF($E89="","",INDEX(进销存对接!$D$4:$D$305,29)&amp;" "&amp;TEXT($B89,"YYYY年M月")&amp;" 自动结转")</f>
        <v/>
      </c>
      <c r="E89" s="26" t="str">
        <f>IF(INDEX(进销存对接!$M$4:$U$305,29,4)=0,"",INDEX(进销存对接!$M$4:$U$305,29,4))</f>
        <v/>
      </c>
      <c r="F89" s="25" t="str">
        <f>IF($E89="","",IFERROR(INDEX(科目表!$A$4:$A$81,MATCH($E89,科目表!$B$4:$B$81,0)),""))</f>
        <v/>
      </c>
      <c r="G89" s="26" t="str">
        <f>IF($E89="","",IFERROR(INDEX(科目表!$E$4:$E$81,MATCH($E89,科目表!$B$4:$B$81,0)),""))</f>
        <v/>
      </c>
      <c r="H89" s="27" t="str">
        <f>IF($E89="","",N(INDEX(进销存对接!$M$4:$U$305,29,5)))</f>
        <v/>
      </c>
      <c r="I89" s="27" t="str">
        <f>IF($E89="","",N(INDEX(进销存对接!$M$4:$U$305,29,6)))</f>
        <v/>
      </c>
      <c r="J89" s="26"/>
      <c r="K89" s="26" t="str">
        <f>IF($E89="","",INDEX(进销存对接!$D$4:$D$305,29))</f>
        <v/>
      </c>
      <c r="L89" s="32"/>
      <c r="M89" s="32"/>
      <c r="N89" s="26" t="str">
        <f t="shared" si="6"/>
        <v/>
      </c>
      <c r="O89" s="26" t="str">
        <f t="shared" si="7"/>
        <v/>
      </c>
      <c r="P89" s="10"/>
    </row>
    <row r="90" ht="18" customHeight="1" spans="1:16">
      <c r="A90" s="32" t="str">
        <f t="shared" si="4"/>
        <v/>
      </c>
      <c r="B90" s="100" t="str">
        <f>IF($E90="","",INDEX(进销存对接!$C$4:$C$305,29))</f>
        <v/>
      </c>
      <c r="C90" s="26" t="str">
        <f t="shared" si="5"/>
        <v/>
      </c>
      <c r="D90" s="32" t="str">
        <f>IF($E90="","",INDEX(进销存对接!$D$4:$D$305,29)&amp;" "&amp;TEXT($B90,"YYYY年M月")&amp;" 自动结转")</f>
        <v/>
      </c>
      <c r="E90" s="26" t="str">
        <f>IF(INDEX(进销存对接!$M$4:$U$305,29,7)=0,"",INDEX(进销存对接!$M$4:$U$305,29,7))</f>
        <v/>
      </c>
      <c r="F90" s="25" t="str">
        <f>IF($E90="","",IFERROR(INDEX(科目表!$A$4:$A$81,MATCH($E90,科目表!$B$4:$B$81,0)),""))</f>
        <v/>
      </c>
      <c r="G90" s="26" t="str">
        <f>IF($E90="","",IFERROR(INDEX(科目表!$E$4:$E$81,MATCH($E90,科目表!$B$4:$B$81,0)),""))</f>
        <v/>
      </c>
      <c r="H90" s="27" t="str">
        <f>IF($E90="","",N(INDEX(进销存对接!$M$4:$U$305,29,8)))</f>
        <v/>
      </c>
      <c r="I90" s="27" t="str">
        <f>IF($E90="","",N(INDEX(进销存对接!$M$4:$U$305,29,9)))</f>
        <v/>
      </c>
      <c r="J90" s="26"/>
      <c r="K90" s="26" t="str">
        <f>IF($E90="","",INDEX(进销存对接!$D$4:$D$305,29))</f>
        <v/>
      </c>
      <c r="L90" s="32"/>
      <c r="M90" s="32"/>
      <c r="N90" s="26" t="str">
        <f t="shared" si="6"/>
        <v/>
      </c>
      <c r="O90" s="26" t="str">
        <f t="shared" si="7"/>
        <v/>
      </c>
      <c r="P90" s="10"/>
    </row>
    <row r="91" ht="18" customHeight="1" spans="1:16">
      <c r="A91" s="32" t="str">
        <f t="shared" si="4"/>
        <v/>
      </c>
      <c r="B91" s="100" t="str">
        <f>IF($E91="","",INDEX(进销存对接!$C$4:$C$305,30))</f>
        <v/>
      </c>
      <c r="C91" s="26" t="str">
        <f t="shared" si="5"/>
        <v/>
      </c>
      <c r="D91" s="32" t="str">
        <f>IF($E91="","",INDEX(进销存对接!$D$4:$D$305,30)&amp;" "&amp;TEXT($B91,"YYYY年M月")&amp;" 自动结转")</f>
        <v/>
      </c>
      <c r="E91" s="26" t="str">
        <f>IF(INDEX(进销存对接!$M$4:$U$305,30,1)=0,"",INDEX(进销存对接!$M$4:$U$305,30,1))</f>
        <v/>
      </c>
      <c r="F91" s="25" t="str">
        <f>IF($E91="","",IFERROR(INDEX(科目表!$A$4:$A$81,MATCH($E91,科目表!$B$4:$B$81,0)),""))</f>
        <v/>
      </c>
      <c r="G91" s="26" t="str">
        <f>IF($E91="","",IFERROR(INDEX(科目表!$E$4:$E$81,MATCH($E91,科目表!$B$4:$B$81,0)),""))</f>
        <v/>
      </c>
      <c r="H91" s="27" t="str">
        <f>IF($E91="","",N(INDEX(进销存对接!$M$4:$U$305,30,2)))</f>
        <v/>
      </c>
      <c r="I91" s="27" t="str">
        <f>IF($E91="","",N(INDEX(进销存对接!$M$4:$U$305,30,3)))</f>
        <v/>
      </c>
      <c r="J91" s="26"/>
      <c r="K91" s="26" t="str">
        <f>IF($E91="","",INDEX(进销存对接!$D$4:$D$305,30))</f>
        <v/>
      </c>
      <c r="L91" s="32"/>
      <c r="M91" s="32"/>
      <c r="N91" s="26" t="str">
        <f t="shared" si="6"/>
        <v/>
      </c>
      <c r="O91" s="26" t="str">
        <f t="shared" si="7"/>
        <v/>
      </c>
      <c r="P91" s="10"/>
    </row>
    <row r="92" ht="18" customHeight="1" spans="1:16">
      <c r="A92" s="32" t="str">
        <f t="shared" si="4"/>
        <v/>
      </c>
      <c r="B92" s="100" t="str">
        <f>IF($E92="","",INDEX(进销存对接!$C$4:$C$305,30))</f>
        <v/>
      </c>
      <c r="C92" s="26" t="str">
        <f t="shared" si="5"/>
        <v/>
      </c>
      <c r="D92" s="32" t="str">
        <f>IF($E92="","",INDEX(进销存对接!$D$4:$D$305,30)&amp;" "&amp;TEXT($B92,"YYYY年M月")&amp;" 自动结转")</f>
        <v/>
      </c>
      <c r="E92" s="26" t="str">
        <f>IF(INDEX(进销存对接!$M$4:$U$305,30,4)=0,"",INDEX(进销存对接!$M$4:$U$305,30,4))</f>
        <v/>
      </c>
      <c r="F92" s="25" t="str">
        <f>IF($E92="","",IFERROR(INDEX(科目表!$A$4:$A$81,MATCH($E92,科目表!$B$4:$B$81,0)),""))</f>
        <v/>
      </c>
      <c r="G92" s="26" t="str">
        <f>IF($E92="","",IFERROR(INDEX(科目表!$E$4:$E$81,MATCH($E92,科目表!$B$4:$B$81,0)),""))</f>
        <v/>
      </c>
      <c r="H92" s="27" t="str">
        <f>IF($E92="","",N(INDEX(进销存对接!$M$4:$U$305,30,5)))</f>
        <v/>
      </c>
      <c r="I92" s="27" t="str">
        <f>IF($E92="","",N(INDEX(进销存对接!$M$4:$U$305,30,6)))</f>
        <v/>
      </c>
      <c r="J92" s="26"/>
      <c r="K92" s="26" t="str">
        <f>IF($E92="","",INDEX(进销存对接!$D$4:$D$305,30))</f>
        <v/>
      </c>
      <c r="L92" s="32"/>
      <c r="M92" s="32"/>
      <c r="N92" s="26" t="str">
        <f t="shared" si="6"/>
        <v/>
      </c>
      <c r="O92" s="26" t="str">
        <f t="shared" si="7"/>
        <v/>
      </c>
      <c r="P92" s="10"/>
    </row>
    <row r="93" ht="18" customHeight="1" spans="1:16">
      <c r="A93" s="32" t="str">
        <f t="shared" si="4"/>
        <v/>
      </c>
      <c r="B93" s="100" t="str">
        <f>IF($E93="","",INDEX(进销存对接!$C$4:$C$305,30))</f>
        <v/>
      </c>
      <c r="C93" s="26" t="str">
        <f t="shared" si="5"/>
        <v/>
      </c>
      <c r="D93" s="32" t="str">
        <f>IF($E93="","",INDEX(进销存对接!$D$4:$D$305,30)&amp;" "&amp;TEXT($B93,"YYYY年M月")&amp;" 自动结转")</f>
        <v/>
      </c>
      <c r="E93" s="26" t="str">
        <f>IF(INDEX(进销存对接!$M$4:$U$305,30,7)=0,"",INDEX(进销存对接!$M$4:$U$305,30,7))</f>
        <v/>
      </c>
      <c r="F93" s="25" t="str">
        <f>IF($E93="","",IFERROR(INDEX(科目表!$A$4:$A$81,MATCH($E93,科目表!$B$4:$B$81,0)),""))</f>
        <v/>
      </c>
      <c r="G93" s="26" t="str">
        <f>IF($E93="","",IFERROR(INDEX(科目表!$E$4:$E$81,MATCH($E93,科目表!$B$4:$B$81,0)),""))</f>
        <v/>
      </c>
      <c r="H93" s="27" t="str">
        <f>IF($E93="","",N(INDEX(进销存对接!$M$4:$U$305,30,8)))</f>
        <v/>
      </c>
      <c r="I93" s="27" t="str">
        <f>IF($E93="","",N(INDEX(进销存对接!$M$4:$U$305,30,9)))</f>
        <v/>
      </c>
      <c r="J93" s="26"/>
      <c r="K93" s="26" t="str">
        <f>IF($E93="","",INDEX(进销存对接!$D$4:$D$305,30))</f>
        <v/>
      </c>
      <c r="L93" s="32"/>
      <c r="M93" s="32"/>
      <c r="N93" s="26" t="str">
        <f t="shared" si="6"/>
        <v/>
      </c>
      <c r="O93" s="26" t="str">
        <f t="shared" si="7"/>
        <v/>
      </c>
      <c r="P93" s="10"/>
    </row>
    <row r="94" ht="18" customHeight="1" spans="1:16">
      <c r="A94" s="32" t="str">
        <f t="shared" si="4"/>
        <v/>
      </c>
      <c r="B94" s="100" t="str">
        <f>IF($E94="","",INDEX(进销存对接!$C$4:$C$305,31))</f>
        <v/>
      </c>
      <c r="C94" s="26" t="str">
        <f t="shared" si="5"/>
        <v/>
      </c>
      <c r="D94" s="32" t="str">
        <f>IF($E94="","",INDEX(进销存对接!$D$4:$D$305,31)&amp;" "&amp;TEXT($B94,"YYYY年M月")&amp;" 自动结转")</f>
        <v/>
      </c>
      <c r="E94" s="26" t="str">
        <f>IF(INDEX(进销存对接!$M$4:$U$305,31,1)=0,"",INDEX(进销存对接!$M$4:$U$305,31,1))</f>
        <v/>
      </c>
      <c r="F94" s="25" t="str">
        <f>IF($E94="","",IFERROR(INDEX(科目表!$A$4:$A$81,MATCH($E94,科目表!$B$4:$B$81,0)),""))</f>
        <v/>
      </c>
      <c r="G94" s="26" t="str">
        <f>IF($E94="","",IFERROR(INDEX(科目表!$E$4:$E$81,MATCH($E94,科目表!$B$4:$B$81,0)),""))</f>
        <v/>
      </c>
      <c r="H94" s="27" t="str">
        <f>IF($E94="","",N(INDEX(进销存对接!$M$4:$U$305,31,2)))</f>
        <v/>
      </c>
      <c r="I94" s="27" t="str">
        <f>IF($E94="","",N(INDEX(进销存对接!$M$4:$U$305,31,3)))</f>
        <v/>
      </c>
      <c r="J94" s="26"/>
      <c r="K94" s="26" t="str">
        <f>IF($E94="","",INDEX(进销存对接!$D$4:$D$305,31))</f>
        <v/>
      </c>
      <c r="L94" s="32"/>
      <c r="M94" s="32"/>
      <c r="N94" s="26" t="str">
        <f t="shared" si="6"/>
        <v/>
      </c>
      <c r="O94" s="26" t="str">
        <f t="shared" si="7"/>
        <v/>
      </c>
      <c r="P94" s="10"/>
    </row>
    <row r="95" ht="18" customHeight="1" spans="1:16">
      <c r="A95" s="32" t="str">
        <f t="shared" si="4"/>
        <v/>
      </c>
      <c r="B95" s="100" t="str">
        <f>IF($E95="","",INDEX(进销存对接!$C$4:$C$305,31))</f>
        <v/>
      </c>
      <c r="C95" s="26" t="str">
        <f t="shared" si="5"/>
        <v/>
      </c>
      <c r="D95" s="32" t="str">
        <f>IF($E95="","",INDEX(进销存对接!$D$4:$D$305,31)&amp;" "&amp;TEXT($B95,"YYYY年M月")&amp;" 自动结转")</f>
        <v/>
      </c>
      <c r="E95" s="26" t="str">
        <f>IF(INDEX(进销存对接!$M$4:$U$305,31,4)=0,"",INDEX(进销存对接!$M$4:$U$305,31,4))</f>
        <v/>
      </c>
      <c r="F95" s="25" t="str">
        <f>IF($E95="","",IFERROR(INDEX(科目表!$A$4:$A$81,MATCH($E95,科目表!$B$4:$B$81,0)),""))</f>
        <v/>
      </c>
      <c r="G95" s="26" t="str">
        <f>IF($E95="","",IFERROR(INDEX(科目表!$E$4:$E$81,MATCH($E95,科目表!$B$4:$B$81,0)),""))</f>
        <v/>
      </c>
      <c r="H95" s="27" t="str">
        <f>IF($E95="","",N(INDEX(进销存对接!$M$4:$U$305,31,5)))</f>
        <v/>
      </c>
      <c r="I95" s="27" t="str">
        <f>IF($E95="","",N(INDEX(进销存对接!$M$4:$U$305,31,6)))</f>
        <v/>
      </c>
      <c r="J95" s="26"/>
      <c r="K95" s="26" t="str">
        <f>IF($E95="","",INDEX(进销存对接!$D$4:$D$305,31))</f>
        <v/>
      </c>
      <c r="L95" s="32"/>
      <c r="M95" s="32"/>
      <c r="N95" s="26" t="str">
        <f t="shared" si="6"/>
        <v/>
      </c>
      <c r="O95" s="26" t="str">
        <f t="shared" si="7"/>
        <v/>
      </c>
      <c r="P95" s="10"/>
    </row>
    <row r="96" ht="18" customHeight="1" spans="1:16">
      <c r="A96" s="32" t="str">
        <f t="shared" si="4"/>
        <v/>
      </c>
      <c r="B96" s="100" t="str">
        <f>IF($E96="","",INDEX(进销存对接!$C$4:$C$305,31))</f>
        <v/>
      </c>
      <c r="C96" s="26" t="str">
        <f t="shared" si="5"/>
        <v/>
      </c>
      <c r="D96" s="32" t="str">
        <f>IF($E96="","",INDEX(进销存对接!$D$4:$D$305,31)&amp;" "&amp;TEXT($B96,"YYYY年M月")&amp;" 自动结转")</f>
        <v/>
      </c>
      <c r="E96" s="26" t="str">
        <f>IF(INDEX(进销存对接!$M$4:$U$305,31,7)=0,"",INDEX(进销存对接!$M$4:$U$305,31,7))</f>
        <v/>
      </c>
      <c r="F96" s="25" t="str">
        <f>IF($E96="","",IFERROR(INDEX(科目表!$A$4:$A$81,MATCH($E96,科目表!$B$4:$B$81,0)),""))</f>
        <v/>
      </c>
      <c r="G96" s="26" t="str">
        <f>IF($E96="","",IFERROR(INDEX(科目表!$E$4:$E$81,MATCH($E96,科目表!$B$4:$B$81,0)),""))</f>
        <v/>
      </c>
      <c r="H96" s="27" t="str">
        <f>IF($E96="","",N(INDEX(进销存对接!$M$4:$U$305,31,8)))</f>
        <v/>
      </c>
      <c r="I96" s="27" t="str">
        <f>IF($E96="","",N(INDEX(进销存对接!$M$4:$U$305,31,9)))</f>
        <v/>
      </c>
      <c r="J96" s="26"/>
      <c r="K96" s="26" t="str">
        <f>IF($E96="","",INDEX(进销存对接!$D$4:$D$305,31))</f>
        <v/>
      </c>
      <c r="L96" s="32"/>
      <c r="M96" s="32"/>
      <c r="N96" s="26" t="str">
        <f t="shared" si="6"/>
        <v/>
      </c>
      <c r="O96" s="26" t="str">
        <f t="shared" si="7"/>
        <v/>
      </c>
      <c r="P96" s="10"/>
    </row>
    <row r="97" ht="18" customHeight="1" spans="1:16">
      <c r="A97" s="32" t="str">
        <f t="shared" si="4"/>
        <v/>
      </c>
      <c r="B97" s="100" t="str">
        <f>IF($E97="","",INDEX(进销存对接!$C$4:$C$305,32))</f>
        <v/>
      </c>
      <c r="C97" s="26" t="str">
        <f t="shared" si="5"/>
        <v/>
      </c>
      <c r="D97" s="32" t="str">
        <f>IF($E97="","",INDEX(进销存对接!$D$4:$D$305,32)&amp;" "&amp;TEXT($B97,"YYYY年M月")&amp;" 自动结转")</f>
        <v/>
      </c>
      <c r="E97" s="26" t="str">
        <f>IF(INDEX(进销存对接!$M$4:$U$305,32,1)=0,"",INDEX(进销存对接!$M$4:$U$305,32,1))</f>
        <v/>
      </c>
      <c r="F97" s="25" t="str">
        <f>IF($E97="","",IFERROR(INDEX(科目表!$A$4:$A$81,MATCH($E97,科目表!$B$4:$B$81,0)),""))</f>
        <v/>
      </c>
      <c r="G97" s="26" t="str">
        <f>IF($E97="","",IFERROR(INDEX(科目表!$E$4:$E$81,MATCH($E97,科目表!$B$4:$B$81,0)),""))</f>
        <v/>
      </c>
      <c r="H97" s="27" t="str">
        <f>IF($E97="","",N(INDEX(进销存对接!$M$4:$U$305,32,2)))</f>
        <v/>
      </c>
      <c r="I97" s="27" t="str">
        <f>IF($E97="","",N(INDEX(进销存对接!$M$4:$U$305,32,3)))</f>
        <v/>
      </c>
      <c r="J97" s="26"/>
      <c r="K97" s="26" t="str">
        <f>IF($E97="","",INDEX(进销存对接!$D$4:$D$305,32))</f>
        <v/>
      </c>
      <c r="L97" s="32"/>
      <c r="M97" s="32"/>
      <c r="N97" s="26" t="str">
        <f t="shared" si="6"/>
        <v/>
      </c>
      <c r="O97" s="26" t="str">
        <f t="shared" si="7"/>
        <v/>
      </c>
      <c r="P97" s="10"/>
    </row>
    <row r="98" ht="18" customHeight="1" spans="1:16">
      <c r="A98" s="32" t="str">
        <f t="shared" si="4"/>
        <v/>
      </c>
      <c r="B98" s="100" t="str">
        <f>IF($E98="","",INDEX(进销存对接!$C$4:$C$305,32))</f>
        <v/>
      </c>
      <c r="C98" s="26" t="str">
        <f t="shared" si="5"/>
        <v/>
      </c>
      <c r="D98" s="32" t="str">
        <f>IF($E98="","",INDEX(进销存对接!$D$4:$D$305,32)&amp;" "&amp;TEXT($B98,"YYYY年M月")&amp;" 自动结转")</f>
        <v/>
      </c>
      <c r="E98" s="26" t="str">
        <f>IF(INDEX(进销存对接!$M$4:$U$305,32,4)=0,"",INDEX(进销存对接!$M$4:$U$305,32,4))</f>
        <v/>
      </c>
      <c r="F98" s="25" t="str">
        <f>IF($E98="","",IFERROR(INDEX(科目表!$A$4:$A$81,MATCH($E98,科目表!$B$4:$B$81,0)),""))</f>
        <v/>
      </c>
      <c r="G98" s="26" t="str">
        <f>IF($E98="","",IFERROR(INDEX(科目表!$E$4:$E$81,MATCH($E98,科目表!$B$4:$B$81,0)),""))</f>
        <v/>
      </c>
      <c r="H98" s="27" t="str">
        <f>IF($E98="","",N(INDEX(进销存对接!$M$4:$U$305,32,5)))</f>
        <v/>
      </c>
      <c r="I98" s="27" t="str">
        <f>IF($E98="","",N(INDEX(进销存对接!$M$4:$U$305,32,6)))</f>
        <v/>
      </c>
      <c r="J98" s="26"/>
      <c r="K98" s="26" t="str">
        <f>IF($E98="","",INDEX(进销存对接!$D$4:$D$305,32))</f>
        <v/>
      </c>
      <c r="L98" s="32"/>
      <c r="M98" s="32"/>
      <c r="N98" s="26" t="str">
        <f t="shared" si="6"/>
        <v/>
      </c>
      <c r="O98" s="26" t="str">
        <f t="shared" si="7"/>
        <v/>
      </c>
      <c r="P98" s="10"/>
    </row>
    <row r="99" ht="18" customHeight="1" spans="1:16">
      <c r="A99" s="32" t="str">
        <f t="shared" si="4"/>
        <v/>
      </c>
      <c r="B99" s="100" t="str">
        <f>IF($E99="","",INDEX(进销存对接!$C$4:$C$305,32))</f>
        <v/>
      </c>
      <c r="C99" s="26" t="str">
        <f t="shared" si="5"/>
        <v/>
      </c>
      <c r="D99" s="32" t="str">
        <f>IF($E99="","",INDEX(进销存对接!$D$4:$D$305,32)&amp;" "&amp;TEXT($B99,"YYYY年M月")&amp;" 自动结转")</f>
        <v/>
      </c>
      <c r="E99" s="26" t="str">
        <f>IF(INDEX(进销存对接!$M$4:$U$305,32,7)=0,"",INDEX(进销存对接!$M$4:$U$305,32,7))</f>
        <v/>
      </c>
      <c r="F99" s="25" t="str">
        <f>IF($E99="","",IFERROR(INDEX(科目表!$A$4:$A$81,MATCH($E99,科目表!$B$4:$B$81,0)),""))</f>
        <v/>
      </c>
      <c r="G99" s="26" t="str">
        <f>IF($E99="","",IFERROR(INDEX(科目表!$E$4:$E$81,MATCH($E99,科目表!$B$4:$B$81,0)),""))</f>
        <v/>
      </c>
      <c r="H99" s="27" t="str">
        <f>IF($E99="","",N(INDEX(进销存对接!$M$4:$U$305,32,8)))</f>
        <v/>
      </c>
      <c r="I99" s="27" t="str">
        <f>IF($E99="","",N(INDEX(进销存对接!$M$4:$U$305,32,9)))</f>
        <v/>
      </c>
      <c r="J99" s="26"/>
      <c r="K99" s="26" t="str">
        <f>IF($E99="","",INDEX(进销存对接!$D$4:$D$305,32))</f>
        <v/>
      </c>
      <c r="L99" s="32"/>
      <c r="M99" s="32"/>
      <c r="N99" s="26" t="str">
        <f t="shared" si="6"/>
        <v/>
      </c>
      <c r="O99" s="26" t="str">
        <f t="shared" si="7"/>
        <v/>
      </c>
      <c r="P99" s="10"/>
    </row>
    <row r="100" ht="18" customHeight="1" spans="1:16">
      <c r="A100" s="32" t="str">
        <f t="shared" si="4"/>
        <v/>
      </c>
      <c r="B100" s="100" t="str">
        <f>IF($E100="","",INDEX(进销存对接!$C$4:$C$305,33))</f>
        <v/>
      </c>
      <c r="C100" s="26" t="str">
        <f t="shared" si="5"/>
        <v/>
      </c>
      <c r="D100" s="32" t="str">
        <f>IF($E100="","",INDEX(进销存对接!$D$4:$D$305,33)&amp;" "&amp;TEXT($B100,"YYYY年M月")&amp;" 自动结转")</f>
        <v/>
      </c>
      <c r="E100" s="26" t="str">
        <f>IF(INDEX(进销存对接!$M$4:$U$305,33,1)=0,"",INDEX(进销存对接!$M$4:$U$305,33,1))</f>
        <v/>
      </c>
      <c r="F100" s="25" t="str">
        <f>IF($E100="","",IFERROR(INDEX(科目表!$A$4:$A$81,MATCH($E100,科目表!$B$4:$B$81,0)),""))</f>
        <v/>
      </c>
      <c r="G100" s="26" t="str">
        <f>IF($E100="","",IFERROR(INDEX(科目表!$E$4:$E$81,MATCH($E100,科目表!$B$4:$B$81,0)),""))</f>
        <v/>
      </c>
      <c r="H100" s="27" t="str">
        <f>IF($E100="","",N(INDEX(进销存对接!$M$4:$U$305,33,2)))</f>
        <v/>
      </c>
      <c r="I100" s="27" t="str">
        <f>IF($E100="","",N(INDEX(进销存对接!$M$4:$U$305,33,3)))</f>
        <v/>
      </c>
      <c r="J100" s="26"/>
      <c r="K100" s="26" t="str">
        <f>IF($E100="","",INDEX(进销存对接!$D$4:$D$305,33))</f>
        <v/>
      </c>
      <c r="L100" s="32"/>
      <c r="M100" s="32"/>
      <c r="N100" s="26" t="str">
        <f t="shared" si="6"/>
        <v/>
      </c>
      <c r="O100" s="26" t="str">
        <f t="shared" si="7"/>
        <v/>
      </c>
      <c r="P100" s="10"/>
    </row>
    <row r="101" ht="18" customHeight="1" spans="1:16">
      <c r="A101" s="32" t="str">
        <f t="shared" si="4"/>
        <v/>
      </c>
      <c r="B101" s="100" t="str">
        <f>IF($E101="","",INDEX(进销存对接!$C$4:$C$305,33))</f>
        <v/>
      </c>
      <c r="C101" s="26" t="str">
        <f t="shared" si="5"/>
        <v/>
      </c>
      <c r="D101" s="32" t="str">
        <f>IF($E101="","",INDEX(进销存对接!$D$4:$D$305,33)&amp;" "&amp;TEXT($B101,"YYYY年M月")&amp;" 自动结转")</f>
        <v/>
      </c>
      <c r="E101" s="26" t="str">
        <f>IF(INDEX(进销存对接!$M$4:$U$305,33,4)=0,"",INDEX(进销存对接!$M$4:$U$305,33,4))</f>
        <v/>
      </c>
      <c r="F101" s="25" t="str">
        <f>IF($E101="","",IFERROR(INDEX(科目表!$A$4:$A$81,MATCH($E101,科目表!$B$4:$B$81,0)),""))</f>
        <v/>
      </c>
      <c r="G101" s="26" t="str">
        <f>IF($E101="","",IFERROR(INDEX(科目表!$E$4:$E$81,MATCH($E101,科目表!$B$4:$B$81,0)),""))</f>
        <v/>
      </c>
      <c r="H101" s="27" t="str">
        <f>IF($E101="","",N(INDEX(进销存对接!$M$4:$U$305,33,5)))</f>
        <v/>
      </c>
      <c r="I101" s="27" t="str">
        <f>IF($E101="","",N(INDEX(进销存对接!$M$4:$U$305,33,6)))</f>
        <v/>
      </c>
      <c r="J101" s="26"/>
      <c r="K101" s="26" t="str">
        <f>IF($E101="","",INDEX(进销存对接!$D$4:$D$305,33))</f>
        <v/>
      </c>
      <c r="L101" s="32"/>
      <c r="M101" s="32"/>
      <c r="N101" s="26" t="str">
        <f t="shared" si="6"/>
        <v/>
      </c>
      <c r="O101" s="26" t="str">
        <f t="shared" si="7"/>
        <v/>
      </c>
      <c r="P101" s="10"/>
    </row>
    <row r="102" ht="18" customHeight="1" spans="1:16">
      <c r="A102" s="32" t="str">
        <f t="shared" si="4"/>
        <v/>
      </c>
      <c r="B102" s="100" t="str">
        <f>IF($E102="","",INDEX(进销存对接!$C$4:$C$305,33))</f>
        <v/>
      </c>
      <c r="C102" s="26" t="str">
        <f t="shared" si="5"/>
        <v/>
      </c>
      <c r="D102" s="32" t="str">
        <f>IF($E102="","",INDEX(进销存对接!$D$4:$D$305,33)&amp;" "&amp;TEXT($B102,"YYYY年M月")&amp;" 自动结转")</f>
        <v/>
      </c>
      <c r="E102" s="26" t="str">
        <f>IF(INDEX(进销存对接!$M$4:$U$305,33,7)=0,"",INDEX(进销存对接!$M$4:$U$305,33,7))</f>
        <v/>
      </c>
      <c r="F102" s="25" t="str">
        <f>IF($E102="","",IFERROR(INDEX(科目表!$A$4:$A$81,MATCH($E102,科目表!$B$4:$B$81,0)),""))</f>
        <v/>
      </c>
      <c r="G102" s="26" t="str">
        <f>IF($E102="","",IFERROR(INDEX(科目表!$E$4:$E$81,MATCH($E102,科目表!$B$4:$B$81,0)),""))</f>
        <v/>
      </c>
      <c r="H102" s="27" t="str">
        <f>IF($E102="","",N(INDEX(进销存对接!$M$4:$U$305,33,8)))</f>
        <v/>
      </c>
      <c r="I102" s="27" t="str">
        <f>IF($E102="","",N(INDEX(进销存对接!$M$4:$U$305,33,9)))</f>
        <v/>
      </c>
      <c r="J102" s="26"/>
      <c r="K102" s="26" t="str">
        <f>IF($E102="","",INDEX(进销存对接!$D$4:$D$305,33))</f>
        <v/>
      </c>
      <c r="L102" s="32"/>
      <c r="M102" s="32"/>
      <c r="N102" s="26" t="str">
        <f t="shared" si="6"/>
        <v/>
      </c>
      <c r="O102" s="26" t="str">
        <f t="shared" si="7"/>
        <v/>
      </c>
      <c r="P102" s="10"/>
    </row>
    <row r="103" ht="18" customHeight="1" spans="1:16">
      <c r="A103" s="32" t="str">
        <f t="shared" si="4"/>
        <v/>
      </c>
      <c r="B103" s="100" t="str">
        <f>IF($E103="","",INDEX(进销存对接!$C$4:$C$305,34))</f>
        <v/>
      </c>
      <c r="C103" s="26" t="str">
        <f t="shared" si="5"/>
        <v/>
      </c>
      <c r="D103" s="32" t="str">
        <f>IF($E103="","",INDEX(进销存对接!$D$4:$D$305,34)&amp;" "&amp;TEXT($B103,"YYYY年M月")&amp;" 自动结转")</f>
        <v/>
      </c>
      <c r="E103" s="26" t="str">
        <f>IF(INDEX(进销存对接!$M$4:$U$305,34,1)=0,"",INDEX(进销存对接!$M$4:$U$305,34,1))</f>
        <v/>
      </c>
      <c r="F103" s="25" t="str">
        <f>IF($E103="","",IFERROR(INDEX(科目表!$A$4:$A$81,MATCH($E103,科目表!$B$4:$B$81,0)),""))</f>
        <v/>
      </c>
      <c r="G103" s="26" t="str">
        <f>IF($E103="","",IFERROR(INDEX(科目表!$E$4:$E$81,MATCH($E103,科目表!$B$4:$B$81,0)),""))</f>
        <v/>
      </c>
      <c r="H103" s="27" t="str">
        <f>IF($E103="","",N(INDEX(进销存对接!$M$4:$U$305,34,2)))</f>
        <v/>
      </c>
      <c r="I103" s="27" t="str">
        <f>IF($E103="","",N(INDEX(进销存对接!$M$4:$U$305,34,3)))</f>
        <v/>
      </c>
      <c r="J103" s="26"/>
      <c r="K103" s="26" t="str">
        <f>IF($E103="","",INDEX(进销存对接!$D$4:$D$305,34))</f>
        <v/>
      </c>
      <c r="L103" s="32"/>
      <c r="M103" s="32"/>
      <c r="N103" s="26" t="str">
        <f t="shared" si="6"/>
        <v/>
      </c>
      <c r="O103" s="26" t="str">
        <f t="shared" si="7"/>
        <v/>
      </c>
      <c r="P103" s="10"/>
    </row>
    <row r="104" ht="18" customHeight="1" spans="1:16">
      <c r="A104" s="32" t="str">
        <f t="shared" si="4"/>
        <v/>
      </c>
      <c r="B104" s="100" t="str">
        <f>IF($E104="","",INDEX(进销存对接!$C$4:$C$305,34))</f>
        <v/>
      </c>
      <c r="C104" s="26" t="str">
        <f t="shared" si="5"/>
        <v/>
      </c>
      <c r="D104" s="32" t="str">
        <f>IF($E104="","",INDEX(进销存对接!$D$4:$D$305,34)&amp;" "&amp;TEXT($B104,"YYYY年M月")&amp;" 自动结转")</f>
        <v/>
      </c>
      <c r="E104" s="26" t="str">
        <f>IF(INDEX(进销存对接!$M$4:$U$305,34,4)=0,"",INDEX(进销存对接!$M$4:$U$305,34,4))</f>
        <v/>
      </c>
      <c r="F104" s="25" t="str">
        <f>IF($E104="","",IFERROR(INDEX(科目表!$A$4:$A$81,MATCH($E104,科目表!$B$4:$B$81,0)),""))</f>
        <v/>
      </c>
      <c r="G104" s="26" t="str">
        <f>IF($E104="","",IFERROR(INDEX(科目表!$E$4:$E$81,MATCH($E104,科目表!$B$4:$B$81,0)),""))</f>
        <v/>
      </c>
      <c r="H104" s="27" t="str">
        <f>IF($E104="","",N(INDEX(进销存对接!$M$4:$U$305,34,5)))</f>
        <v/>
      </c>
      <c r="I104" s="27" t="str">
        <f>IF($E104="","",N(INDEX(进销存对接!$M$4:$U$305,34,6)))</f>
        <v/>
      </c>
      <c r="J104" s="26"/>
      <c r="K104" s="26" t="str">
        <f>IF($E104="","",INDEX(进销存对接!$D$4:$D$305,34))</f>
        <v/>
      </c>
      <c r="L104" s="32"/>
      <c r="M104" s="32"/>
      <c r="N104" s="26" t="str">
        <f t="shared" si="6"/>
        <v/>
      </c>
      <c r="O104" s="26" t="str">
        <f t="shared" si="7"/>
        <v/>
      </c>
      <c r="P104" s="10"/>
    </row>
    <row r="105" ht="18" customHeight="1" spans="1:16">
      <c r="A105" s="32" t="str">
        <f t="shared" si="4"/>
        <v/>
      </c>
      <c r="B105" s="100" t="str">
        <f>IF($E105="","",INDEX(进销存对接!$C$4:$C$305,34))</f>
        <v/>
      </c>
      <c r="C105" s="26" t="str">
        <f t="shared" si="5"/>
        <v/>
      </c>
      <c r="D105" s="32" t="str">
        <f>IF($E105="","",INDEX(进销存对接!$D$4:$D$305,34)&amp;" "&amp;TEXT($B105,"YYYY年M月")&amp;" 自动结转")</f>
        <v/>
      </c>
      <c r="E105" s="26" t="str">
        <f>IF(INDEX(进销存对接!$M$4:$U$305,34,7)=0,"",INDEX(进销存对接!$M$4:$U$305,34,7))</f>
        <v/>
      </c>
      <c r="F105" s="25" t="str">
        <f>IF($E105="","",IFERROR(INDEX(科目表!$A$4:$A$81,MATCH($E105,科目表!$B$4:$B$81,0)),""))</f>
        <v/>
      </c>
      <c r="G105" s="26" t="str">
        <f>IF($E105="","",IFERROR(INDEX(科目表!$E$4:$E$81,MATCH($E105,科目表!$B$4:$B$81,0)),""))</f>
        <v/>
      </c>
      <c r="H105" s="27" t="str">
        <f>IF($E105="","",N(INDEX(进销存对接!$M$4:$U$305,34,8)))</f>
        <v/>
      </c>
      <c r="I105" s="27" t="str">
        <f>IF($E105="","",N(INDEX(进销存对接!$M$4:$U$305,34,9)))</f>
        <v/>
      </c>
      <c r="J105" s="26"/>
      <c r="K105" s="26" t="str">
        <f>IF($E105="","",INDEX(进销存对接!$D$4:$D$305,34))</f>
        <v/>
      </c>
      <c r="L105" s="32"/>
      <c r="M105" s="32"/>
      <c r="N105" s="26" t="str">
        <f t="shared" si="6"/>
        <v/>
      </c>
      <c r="O105" s="26" t="str">
        <f t="shared" si="7"/>
        <v/>
      </c>
      <c r="P105" s="10"/>
    </row>
    <row r="106" ht="18" customHeight="1" spans="1:16">
      <c r="A106" s="32" t="str">
        <f t="shared" si="4"/>
        <v/>
      </c>
      <c r="B106" s="100" t="str">
        <f>IF($E106="","",INDEX(进销存对接!$C$4:$C$305,35))</f>
        <v/>
      </c>
      <c r="C106" s="26" t="str">
        <f t="shared" si="5"/>
        <v/>
      </c>
      <c r="D106" s="32" t="str">
        <f>IF($E106="","",INDEX(进销存对接!$D$4:$D$305,35)&amp;" "&amp;TEXT($B106,"YYYY年M月")&amp;" 自动结转")</f>
        <v/>
      </c>
      <c r="E106" s="26" t="str">
        <f>IF(INDEX(进销存对接!$M$4:$U$305,35,1)=0,"",INDEX(进销存对接!$M$4:$U$305,35,1))</f>
        <v/>
      </c>
      <c r="F106" s="25" t="str">
        <f>IF($E106="","",IFERROR(INDEX(科目表!$A$4:$A$81,MATCH($E106,科目表!$B$4:$B$81,0)),""))</f>
        <v/>
      </c>
      <c r="G106" s="26" t="str">
        <f>IF($E106="","",IFERROR(INDEX(科目表!$E$4:$E$81,MATCH($E106,科目表!$B$4:$B$81,0)),""))</f>
        <v/>
      </c>
      <c r="H106" s="27" t="str">
        <f>IF($E106="","",N(INDEX(进销存对接!$M$4:$U$305,35,2)))</f>
        <v/>
      </c>
      <c r="I106" s="27" t="str">
        <f>IF($E106="","",N(INDEX(进销存对接!$M$4:$U$305,35,3)))</f>
        <v/>
      </c>
      <c r="J106" s="26"/>
      <c r="K106" s="26" t="str">
        <f>IF($E106="","",INDEX(进销存对接!$D$4:$D$305,35))</f>
        <v/>
      </c>
      <c r="L106" s="32"/>
      <c r="M106" s="32"/>
      <c r="N106" s="26" t="str">
        <f t="shared" si="6"/>
        <v/>
      </c>
      <c r="O106" s="26" t="str">
        <f t="shared" si="7"/>
        <v/>
      </c>
      <c r="P106" s="10"/>
    </row>
    <row r="107" ht="18" customHeight="1" spans="1:16">
      <c r="A107" s="32" t="str">
        <f t="shared" si="4"/>
        <v/>
      </c>
      <c r="B107" s="100" t="str">
        <f>IF($E107="","",INDEX(进销存对接!$C$4:$C$305,35))</f>
        <v/>
      </c>
      <c r="C107" s="26" t="str">
        <f t="shared" si="5"/>
        <v/>
      </c>
      <c r="D107" s="32" t="str">
        <f>IF($E107="","",INDEX(进销存对接!$D$4:$D$305,35)&amp;" "&amp;TEXT($B107,"YYYY年M月")&amp;" 自动结转")</f>
        <v/>
      </c>
      <c r="E107" s="26" t="str">
        <f>IF(INDEX(进销存对接!$M$4:$U$305,35,4)=0,"",INDEX(进销存对接!$M$4:$U$305,35,4))</f>
        <v/>
      </c>
      <c r="F107" s="25" t="str">
        <f>IF($E107="","",IFERROR(INDEX(科目表!$A$4:$A$81,MATCH($E107,科目表!$B$4:$B$81,0)),""))</f>
        <v/>
      </c>
      <c r="G107" s="26" t="str">
        <f>IF($E107="","",IFERROR(INDEX(科目表!$E$4:$E$81,MATCH($E107,科目表!$B$4:$B$81,0)),""))</f>
        <v/>
      </c>
      <c r="H107" s="27" t="str">
        <f>IF($E107="","",N(INDEX(进销存对接!$M$4:$U$305,35,5)))</f>
        <v/>
      </c>
      <c r="I107" s="27" t="str">
        <f>IF($E107="","",N(INDEX(进销存对接!$M$4:$U$305,35,6)))</f>
        <v/>
      </c>
      <c r="J107" s="26"/>
      <c r="K107" s="26" t="str">
        <f>IF($E107="","",INDEX(进销存对接!$D$4:$D$305,35))</f>
        <v/>
      </c>
      <c r="L107" s="32"/>
      <c r="M107" s="32"/>
      <c r="N107" s="26" t="str">
        <f t="shared" si="6"/>
        <v/>
      </c>
      <c r="O107" s="26" t="str">
        <f t="shared" si="7"/>
        <v/>
      </c>
      <c r="P107" s="10"/>
    </row>
    <row r="108" ht="18" customHeight="1" spans="1:16">
      <c r="A108" s="32" t="str">
        <f t="shared" si="4"/>
        <v/>
      </c>
      <c r="B108" s="100" t="str">
        <f>IF($E108="","",INDEX(进销存对接!$C$4:$C$305,35))</f>
        <v/>
      </c>
      <c r="C108" s="26" t="str">
        <f t="shared" si="5"/>
        <v/>
      </c>
      <c r="D108" s="32" t="str">
        <f>IF($E108="","",INDEX(进销存对接!$D$4:$D$305,35)&amp;" "&amp;TEXT($B108,"YYYY年M月")&amp;" 自动结转")</f>
        <v/>
      </c>
      <c r="E108" s="26" t="str">
        <f>IF(INDEX(进销存对接!$M$4:$U$305,35,7)=0,"",INDEX(进销存对接!$M$4:$U$305,35,7))</f>
        <v/>
      </c>
      <c r="F108" s="25" t="str">
        <f>IF($E108="","",IFERROR(INDEX(科目表!$A$4:$A$81,MATCH($E108,科目表!$B$4:$B$81,0)),""))</f>
        <v/>
      </c>
      <c r="G108" s="26" t="str">
        <f>IF($E108="","",IFERROR(INDEX(科目表!$E$4:$E$81,MATCH($E108,科目表!$B$4:$B$81,0)),""))</f>
        <v/>
      </c>
      <c r="H108" s="27" t="str">
        <f>IF($E108="","",N(INDEX(进销存对接!$M$4:$U$305,35,8)))</f>
        <v/>
      </c>
      <c r="I108" s="27" t="str">
        <f>IF($E108="","",N(INDEX(进销存对接!$M$4:$U$305,35,9)))</f>
        <v/>
      </c>
      <c r="J108" s="26"/>
      <c r="K108" s="26" t="str">
        <f>IF($E108="","",INDEX(进销存对接!$D$4:$D$305,35))</f>
        <v/>
      </c>
      <c r="L108" s="32"/>
      <c r="M108" s="32"/>
      <c r="N108" s="26" t="str">
        <f t="shared" si="6"/>
        <v/>
      </c>
      <c r="O108" s="26" t="str">
        <f t="shared" si="7"/>
        <v/>
      </c>
      <c r="P108" s="10"/>
    </row>
    <row r="109" ht="18" customHeight="1" spans="1:16">
      <c r="A109" s="32" t="str">
        <f t="shared" si="4"/>
        <v/>
      </c>
      <c r="B109" s="100" t="str">
        <f>IF($E109="","",INDEX(进销存对接!$C$4:$C$305,36))</f>
        <v/>
      </c>
      <c r="C109" s="26" t="str">
        <f t="shared" si="5"/>
        <v/>
      </c>
      <c r="D109" s="32" t="str">
        <f>IF($E109="","",INDEX(进销存对接!$D$4:$D$305,36)&amp;" "&amp;TEXT($B109,"YYYY年M月")&amp;" 自动结转")</f>
        <v/>
      </c>
      <c r="E109" s="26" t="str">
        <f>IF(INDEX(进销存对接!$M$4:$U$305,36,1)=0,"",INDEX(进销存对接!$M$4:$U$305,36,1))</f>
        <v/>
      </c>
      <c r="F109" s="25" t="str">
        <f>IF($E109="","",IFERROR(INDEX(科目表!$A$4:$A$81,MATCH($E109,科目表!$B$4:$B$81,0)),""))</f>
        <v/>
      </c>
      <c r="G109" s="26" t="str">
        <f>IF($E109="","",IFERROR(INDEX(科目表!$E$4:$E$81,MATCH($E109,科目表!$B$4:$B$81,0)),""))</f>
        <v/>
      </c>
      <c r="H109" s="27" t="str">
        <f>IF($E109="","",N(INDEX(进销存对接!$M$4:$U$305,36,2)))</f>
        <v/>
      </c>
      <c r="I109" s="27" t="str">
        <f>IF($E109="","",N(INDEX(进销存对接!$M$4:$U$305,36,3)))</f>
        <v/>
      </c>
      <c r="J109" s="26"/>
      <c r="K109" s="26" t="str">
        <f>IF($E109="","",INDEX(进销存对接!$D$4:$D$305,36))</f>
        <v/>
      </c>
      <c r="L109" s="32"/>
      <c r="M109" s="32"/>
      <c r="N109" s="26" t="str">
        <f t="shared" si="6"/>
        <v/>
      </c>
      <c r="O109" s="26" t="str">
        <f t="shared" si="7"/>
        <v/>
      </c>
      <c r="P109" s="10"/>
    </row>
    <row r="110" ht="18" customHeight="1" spans="1:16">
      <c r="A110" s="32" t="str">
        <f t="shared" si="4"/>
        <v/>
      </c>
      <c r="B110" s="100" t="str">
        <f>IF($E110="","",INDEX(进销存对接!$C$4:$C$305,36))</f>
        <v/>
      </c>
      <c r="C110" s="26" t="str">
        <f t="shared" si="5"/>
        <v/>
      </c>
      <c r="D110" s="32" t="str">
        <f>IF($E110="","",INDEX(进销存对接!$D$4:$D$305,36)&amp;" "&amp;TEXT($B110,"YYYY年M月")&amp;" 自动结转")</f>
        <v/>
      </c>
      <c r="E110" s="26" t="str">
        <f>IF(INDEX(进销存对接!$M$4:$U$305,36,4)=0,"",INDEX(进销存对接!$M$4:$U$305,36,4))</f>
        <v/>
      </c>
      <c r="F110" s="25" t="str">
        <f>IF($E110="","",IFERROR(INDEX(科目表!$A$4:$A$81,MATCH($E110,科目表!$B$4:$B$81,0)),""))</f>
        <v/>
      </c>
      <c r="G110" s="26" t="str">
        <f>IF($E110="","",IFERROR(INDEX(科目表!$E$4:$E$81,MATCH($E110,科目表!$B$4:$B$81,0)),""))</f>
        <v/>
      </c>
      <c r="H110" s="27" t="str">
        <f>IF($E110="","",N(INDEX(进销存对接!$M$4:$U$305,36,5)))</f>
        <v/>
      </c>
      <c r="I110" s="27" t="str">
        <f>IF($E110="","",N(INDEX(进销存对接!$M$4:$U$305,36,6)))</f>
        <v/>
      </c>
      <c r="J110" s="26"/>
      <c r="K110" s="26" t="str">
        <f>IF($E110="","",INDEX(进销存对接!$D$4:$D$305,36))</f>
        <v/>
      </c>
      <c r="L110" s="32"/>
      <c r="M110" s="32"/>
      <c r="N110" s="26" t="str">
        <f t="shared" si="6"/>
        <v/>
      </c>
      <c r="O110" s="26" t="str">
        <f t="shared" si="7"/>
        <v/>
      </c>
      <c r="P110" s="10"/>
    </row>
    <row r="111" ht="18" customHeight="1" spans="1:16">
      <c r="A111" s="32" t="str">
        <f t="shared" si="4"/>
        <v/>
      </c>
      <c r="B111" s="100" t="str">
        <f>IF($E111="","",INDEX(进销存对接!$C$4:$C$305,36))</f>
        <v/>
      </c>
      <c r="C111" s="26" t="str">
        <f t="shared" si="5"/>
        <v/>
      </c>
      <c r="D111" s="32" t="str">
        <f>IF($E111="","",INDEX(进销存对接!$D$4:$D$305,36)&amp;" "&amp;TEXT($B111,"YYYY年M月")&amp;" 自动结转")</f>
        <v/>
      </c>
      <c r="E111" s="26" t="str">
        <f>IF(INDEX(进销存对接!$M$4:$U$305,36,7)=0,"",INDEX(进销存对接!$M$4:$U$305,36,7))</f>
        <v/>
      </c>
      <c r="F111" s="25" t="str">
        <f>IF($E111="","",IFERROR(INDEX(科目表!$A$4:$A$81,MATCH($E111,科目表!$B$4:$B$81,0)),""))</f>
        <v/>
      </c>
      <c r="G111" s="26" t="str">
        <f>IF($E111="","",IFERROR(INDEX(科目表!$E$4:$E$81,MATCH($E111,科目表!$B$4:$B$81,0)),""))</f>
        <v/>
      </c>
      <c r="H111" s="27" t="str">
        <f>IF($E111="","",N(INDEX(进销存对接!$M$4:$U$305,36,8)))</f>
        <v/>
      </c>
      <c r="I111" s="27" t="str">
        <f>IF($E111="","",N(INDEX(进销存对接!$M$4:$U$305,36,9)))</f>
        <v/>
      </c>
      <c r="J111" s="26"/>
      <c r="K111" s="26" t="str">
        <f>IF($E111="","",INDEX(进销存对接!$D$4:$D$305,36))</f>
        <v/>
      </c>
      <c r="L111" s="32"/>
      <c r="M111" s="32"/>
      <c r="N111" s="26" t="str">
        <f t="shared" si="6"/>
        <v/>
      </c>
      <c r="O111" s="26" t="str">
        <f t="shared" si="7"/>
        <v/>
      </c>
      <c r="P111" s="10"/>
    </row>
    <row r="112" ht="18" customHeight="1" spans="1:16">
      <c r="A112" s="32" t="str">
        <f t="shared" si="4"/>
        <v/>
      </c>
      <c r="B112" s="100" t="str">
        <f>IF($E112="","",INDEX(进销存对接!$C$4:$C$305,37))</f>
        <v/>
      </c>
      <c r="C112" s="26" t="str">
        <f t="shared" si="5"/>
        <v/>
      </c>
      <c r="D112" s="32" t="str">
        <f>IF($E112="","",INDEX(进销存对接!$D$4:$D$305,37)&amp;" "&amp;TEXT($B112,"YYYY年M月")&amp;" 自动结转")</f>
        <v/>
      </c>
      <c r="E112" s="26" t="str">
        <f>IF(INDEX(进销存对接!$M$4:$U$305,37,1)=0,"",INDEX(进销存对接!$M$4:$U$305,37,1))</f>
        <v/>
      </c>
      <c r="F112" s="25" t="str">
        <f>IF($E112="","",IFERROR(INDEX(科目表!$A$4:$A$81,MATCH($E112,科目表!$B$4:$B$81,0)),""))</f>
        <v/>
      </c>
      <c r="G112" s="26" t="str">
        <f>IF($E112="","",IFERROR(INDEX(科目表!$E$4:$E$81,MATCH($E112,科目表!$B$4:$B$81,0)),""))</f>
        <v/>
      </c>
      <c r="H112" s="27" t="str">
        <f>IF($E112="","",N(INDEX(进销存对接!$M$4:$U$305,37,2)))</f>
        <v/>
      </c>
      <c r="I112" s="27" t="str">
        <f>IF($E112="","",N(INDEX(进销存对接!$M$4:$U$305,37,3)))</f>
        <v/>
      </c>
      <c r="J112" s="26"/>
      <c r="K112" s="26" t="str">
        <f>IF($E112="","",INDEX(进销存对接!$D$4:$D$305,37))</f>
        <v/>
      </c>
      <c r="L112" s="32"/>
      <c r="M112" s="32"/>
      <c r="N112" s="26" t="str">
        <f t="shared" si="6"/>
        <v/>
      </c>
      <c r="O112" s="26" t="str">
        <f t="shared" si="7"/>
        <v/>
      </c>
      <c r="P112" s="10"/>
    </row>
    <row r="113" ht="18" customHeight="1" spans="1:16">
      <c r="A113" s="32" t="str">
        <f t="shared" si="4"/>
        <v/>
      </c>
      <c r="B113" s="100" t="str">
        <f>IF($E113="","",INDEX(进销存对接!$C$4:$C$305,37))</f>
        <v/>
      </c>
      <c r="C113" s="26" t="str">
        <f t="shared" si="5"/>
        <v/>
      </c>
      <c r="D113" s="32" t="str">
        <f>IF($E113="","",INDEX(进销存对接!$D$4:$D$305,37)&amp;" "&amp;TEXT($B113,"YYYY年M月")&amp;" 自动结转")</f>
        <v/>
      </c>
      <c r="E113" s="26" t="str">
        <f>IF(INDEX(进销存对接!$M$4:$U$305,37,4)=0,"",INDEX(进销存对接!$M$4:$U$305,37,4))</f>
        <v/>
      </c>
      <c r="F113" s="25" t="str">
        <f>IF($E113="","",IFERROR(INDEX(科目表!$A$4:$A$81,MATCH($E113,科目表!$B$4:$B$81,0)),""))</f>
        <v/>
      </c>
      <c r="G113" s="26" t="str">
        <f>IF($E113="","",IFERROR(INDEX(科目表!$E$4:$E$81,MATCH($E113,科目表!$B$4:$B$81,0)),""))</f>
        <v/>
      </c>
      <c r="H113" s="27" t="str">
        <f>IF($E113="","",N(INDEX(进销存对接!$M$4:$U$305,37,5)))</f>
        <v/>
      </c>
      <c r="I113" s="27" t="str">
        <f>IF($E113="","",N(INDEX(进销存对接!$M$4:$U$305,37,6)))</f>
        <v/>
      </c>
      <c r="J113" s="26"/>
      <c r="K113" s="26" t="str">
        <f>IF($E113="","",INDEX(进销存对接!$D$4:$D$305,37))</f>
        <v/>
      </c>
      <c r="L113" s="32"/>
      <c r="M113" s="32"/>
      <c r="N113" s="26" t="str">
        <f t="shared" si="6"/>
        <v/>
      </c>
      <c r="O113" s="26" t="str">
        <f t="shared" si="7"/>
        <v/>
      </c>
      <c r="P113" s="10"/>
    </row>
    <row r="114" ht="18" customHeight="1" spans="1:16">
      <c r="A114" s="32" t="str">
        <f t="shared" si="4"/>
        <v/>
      </c>
      <c r="B114" s="100" t="str">
        <f>IF($E114="","",INDEX(进销存对接!$C$4:$C$305,37))</f>
        <v/>
      </c>
      <c r="C114" s="26" t="str">
        <f t="shared" si="5"/>
        <v/>
      </c>
      <c r="D114" s="32" t="str">
        <f>IF($E114="","",INDEX(进销存对接!$D$4:$D$305,37)&amp;" "&amp;TEXT($B114,"YYYY年M月")&amp;" 自动结转")</f>
        <v/>
      </c>
      <c r="E114" s="26" t="str">
        <f>IF(INDEX(进销存对接!$M$4:$U$305,37,7)=0,"",INDEX(进销存对接!$M$4:$U$305,37,7))</f>
        <v/>
      </c>
      <c r="F114" s="25" t="str">
        <f>IF($E114="","",IFERROR(INDEX(科目表!$A$4:$A$81,MATCH($E114,科目表!$B$4:$B$81,0)),""))</f>
        <v/>
      </c>
      <c r="G114" s="26" t="str">
        <f>IF($E114="","",IFERROR(INDEX(科目表!$E$4:$E$81,MATCH($E114,科目表!$B$4:$B$81,0)),""))</f>
        <v/>
      </c>
      <c r="H114" s="27" t="str">
        <f>IF($E114="","",N(INDEX(进销存对接!$M$4:$U$305,37,8)))</f>
        <v/>
      </c>
      <c r="I114" s="27" t="str">
        <f>IF($E114="","",N(INDEX(进销存对接!$M$4:$U$305,37,9)))</f>
        <v/>
      </c>
      <c r="J114" s="26"/>
      <c r="K114" s="26" t="str">
        <f>IF($E114="","",INDEX(进销存对接!$D$4:$D$305,37))</f>
        <v/>
      </c>
      <c r="L114" s="32"/>
      <c r="M114" s="32"/>
      <c r="N114" s="26" t="str">
        <f t="shared" si="6"/>
        <v/>
      </c>
      <c r="O114" s="26" t="str">
        <f t="shared" si="7"/>
        <v/>
      </c>
      <c r="P114" s="10"/>
    </row>
    <row r="115" ht="18" customHeight="1" spans="1:16">
      <c r="A115" s="32" t="str">
        <f t="shared" si="4"/>
        <v/>
      </c>
      <c r="B115" s="100" t="str">
        <f>IF($E115="","",INDEX(进销存对接!$C$4:$C$305,38))</f>
        <v/>
      </c>
      <c r="C115" s="26" t="str">
        <f t="shared" si="5"/>
        <v/>
      </c>
      <c r="D115" s="32" t="str">
        <f>IF($E115="","",INDEX(进销存对接!$D$4:$D$305,38)&amp;" "&amp;TEXT($B115,"YYYY年M月")&amp;" 自动结转")</f>
        <v/>
      </c>
      <c r="E115" s="26" t="str">
        <f>IF(INDEX(进销存对接!$M$4:$U$305,38,1)=0,"",INDEX(进销存对接!$M$4:$U$305,38,1))</f>
        <v/>
      </c>
      <c r="F115" s="25" t="str">
        <f>IF($E115="","",IFERROR(INDEX(科目表!$A$4:$A$81,MATCH($E115,科目表!$B$4:$B$81,0)),""))</f>
        <v/>
      </c>
      <c r="G115" s="26" t="str">
        <f>IF($E115="","",IFERROR(INDEX(科目表!$E$4:$E$81,MATCH($E115,科目表!$B$4:$B$81,0)),""))</f>
        <v/>
      </c>
      <c r="H115" s="27" t="str">
        <f>IF($E115="","",N(INDEX(进销存对接!$M$4:$U$305,38,2)))</f>
        <v/>
      </c>
      <c r="I115" s="27" t="str">
        <f>IF($E115="","",N(INDEX(进销存对接!$M$4:$U$305,38,3)))</f>
        <v/>
      </c>
      <c r="J115" s="26"/>
      <c r="K115" s="26" t="str">
        <f>IF($E115="","",INDEX(进销存对接!$D$4:$D$305,38))</f>
        <v/>
      </c>
      <c r="L115" s="32"/>
      <c r="M115" s="32"/>
      <c r="N115" s="26" t="str">
        <f t="shared" si="6"/>
        <v/>
      </c>
      <c r="O115" s="26" t="str">
        <f t="shared" si="7"/>
        <v/>
      </c>
      <c r="P115" s="10"/>
    </row>
    <row r="116" ht="18" customHeight="1" spans="1:16">
      <c r="A116" s="32" t="str">
        <f t="shared" si="4"/>
        <v/>
      </c>
      <c r="B116" s="100" t="str">
        <f>IF($E116="","",INDEX(进销存对接!$C$4:$C$305,38))</f>
        <v/>
      </c>
      <c r="C116" s="26" t="str">
        <f t="shared" si="5"/>
        <v/>
      </c>
      <c r="D116" s="32" t="str">
        <f>IF($E116="","",INDEX(进销存对接!$D$4:$D$305,38)&amp;" "&amp;TEXT($B116,"YYYY年M月")&amp;" 自动结转")</f>
        <v/>
      </c>
      <c r="E116" s="26" t="str">
        <f>IF(INDEX(进销存对接!$M$4:$U$305,38,4)=0,"",INDEX(进销存对接!$M$4:$U$305,38,4))</f>
        <v/>
      </c>
      <c r="F116" s="25" t="str">
        <f>IF($E116="","",IFERROR(INDEX(科目表!$A$4:$A$81,MATCH($E116,科目表!$B$4:$B$81,0)),""))</f>
        <v/>
      </c>
      <c r="G116" s="26" t="str">
        <f>IF($E116="","",IFERROR(INDEX(科目表!$E$4:$E$81,MATCH($E116,科目表!$B$4:$B$81,0)),""))</f>
        <v/>
      </c>
      <c r="H116" s="27" t="str">
        <f>IF($E116="","",N(INDEX(进销存对接!$M$4:$U$305,38,5)))</f>
        <v/>
      </c>
      <c r="I116" s="27" t="str">
        <f>IF($E116="","",N(INDEX(进销存对接!$M$4:$U$305,38,6)))</f>
        <v/>
      </c>
      <c r="J116" s="26"/>
      <c r="K116" s="26" t="str">
        <f>IF($E116="","",INDEX(进销存对接!$D$4:$D$305,38))</f>
        <v/>
      </c>
      <c r="L116" s="32"/>
      <c r="M116" s="32"/>
      <c r="N116" s="26" t="str">
        <f t="shared" si="6"/>
        <v/>
      </c>
      <c r="O116" s="26" t="str">
        <f t="shared" si="7"/>
        <v/>
      </c>
      <c r="P116" s="10"/>
    </row>
    <row r="117" ht="18" customHeight="1" spans="1:16">
      <c r="A117" s="32" t="str">
        <f t="shared" si="4"/>
        <v/>
      </c>
      <c r="B117" s="100" t="str">
        <f>IF($E117="","",INDEX(进销存对接!$C$4:$C$305,38))</f>
        <v/>
      </c>
      <c r="C117" s="26" t="str">
        <f t="shared" si="5"/>
        <v/>
      </c>
      <c r="D117" s="32" t="str">
        <f>IF($E117="","",INDEX(进销存对接!$D$4:$D$305,38)&amp;" "&amp;TEXT($B117,"YYYY年M月")&amp;" 自动结转")</f>
        <v/>
      </c>
      <c r="E117" s="26" t="str">
        <f>IF(INDEX(进销存对接!$M$4:$U$305,38,7)=0,"",INDEX(进销存对接!$M$4:$U$305,38,7))</f>
        <v/>
      </c>
      <c r="F117" s="25" t="str">
        <f>IF($E117="","",IFERROR(INDEX(科目表!$A$4:$A$81,MATCH($E117,科目表!$B$4:$B$81,0)),""))</f>
        <v/>
      </c>
      <c r="G117" s="26" t="str">
        <f>IF($E117="","",IFERROR(INDEX(科目表!$E$4:$E$81,MATCH($E117,科目表!$B$4:$B$81,0)),""))</f>
        <v/>
      </c>
      <c r="H117" s="27" t="str">
        <f>IF($E117="","",N(INDEX(进销存对接!$M$4:$U$305,38,8)))</f>
        <v/>
      </c>
      <c r="I117" s="27" t="str">
        <f>IF($E117="","",N(INDEX(进销存对接!$M$4:$U$305,38,9)))</f>
        <v/>
      </c>
      <c r="J117" s="26"/>
      <c r="K117" s="26" t="str">
        <f>IF($E117="","",INDEX(进销存对接!$D$4:$D$305,38))</f>
        <v/>
      </c>
      <c r="L117" s="32"/>
      <c r="M117" s="32"/>
      <c r="N117" s="26" t="str">
        <f t="shared" si="6"/>
        <v/>
      </c>
      <c r="O117" s="26" t="str">
        <f t="shared" si="7"/>
        <v/>
      </c>
      <c r="P117" s="10"/>
    </row>
    <row r="118" ht="18" customHeight="1" spans="1:16">
      <c r="A118" s="32" t="str">
        <f t="shared" si="4"/>
        <v/>
      </c>
      <c r="B118" s="100" t="str">
        <f>IF($E118="","",INDEX(进销存对接!$C$4:$C$305,39))</f>
        <v/>
      </c>
      <c r="C118" s="26" t="str">
        <f t="shared" si="5"/>
        <v/>
      </c>
      <c r="D118" s="32" t="str">
        <f>IF($E118="","",INDEX(进销存对接!$D$4:$D$305,39)&amp;" "&amp;TEXT($B118,"YYYY年M月")&amp;" 自动结转")</f>
        <v/>
      </c>
      <c r="E118" s="26" t="str">
        <f>IF(INDEX(进销存对接!$M$4:$U$305,39,1)=0,"",INDEX(进销存对接!$M$4:$U$305,39,1))</f>
        <v/>
      </c>
      <c r="F118" s="25" t="str">
        <f>IF($E118="","",IFERROR(INDEX(科目表!$A$4:$A$81,MATCH($E118,科目表!$B$4:$B$81,0)),""))</f>
        <v/>
      </c>
      <c r="G118" s="26" t="str">
        <f>IF($E118="","",IFERROR(INDEX(科目表!$E$4:$E$81,MATCH($E118,科目表!$B$4:$B$81,0)),""))</f>
        <v/>
      </c>
      <c r="H118" s="27" t="str">
        <f>IF($E118="","",N(INDEX(进销存对接!$M$4:$U$305,39,2)))</f>
        <v/>
      </c>
      <c r="I118" s="27" t="str">
        <f>IF($E118="","",N(INDEX(进销存对接!$M$4:$U$305,39,3)))</f>
        <v/>
      </c>
      <c r="J118" s="26"/>
      <c r="K118" s="26" t="str">
        <f>IF($E118="","",INDEX(进销存对接!$D$4:$D$305,39))</f>
        <v/>
      </c>
      <c r="L118" s="32"/>
      <c r="M118" s="32"/>
      <c r="N118" s="26" t="str">
        <f t="shared" si="6"/>
        <v/>
      </c>
      <c r="O118" s="26" t="str">
        <f t="shared" si="7"/>
        <v/>
      </c>
      <c r="P118" s="10"/>
    </row>
    <row r="119" ht="18" customHeight="1" spans="1:16">
      <c r="A119" s="32" t="str">
        <f t="shared" si="4"/>
        <v/>
      </c>
      <c r="B119" s="100" t="str">
        <f>IF($E119="","",INDEX(进销存对接!$C$4:$C$305,39))</f>
        <v/>
      </c>
      <c r="C119" s="26" t="str">
        <f t="shared" si="5"/>
        <v/>
      </c>
      <c r="D119" s="32" t="str">
        <f>IF($E119="","",INDEX(进销存对接!$D$4:$D$305,39)&amp;" "&amp;TEXT($B119,"YYYY年M月")&amp;" 自动结转")</f>
        <v/>
      </c>
      <c r="E119" s="26" t="str">
        <f>IF(INDEX(进销存对接!$M$4:$U$305,39,4)=0,"",INDEX(进销存对接!$M$4:$U$305,39,4))</f>
        <v/>
      </c>
      <c r="F119" s="25" t="str">
        <f>IF($E119="","",IFERROR(INDEX(科目表!$A$4:$A$81,MATCH($E119,科目表!$B$4:$B$81,0)),""))</f>
        <v/>
      </c>
      <c r="G119" s="26" t="str">
        <f>IF($E119="","",IFERROR(INDEX(科目表!$E$4:$E$81,MATCH($E119,科目表!$B$4:$B$81,0)),""))</f>
        <v/>
      </c>
      <c r="H119" s="27" t="str">
        <f>IF($E119="","",N(INDEX(进销存对接!$M$4:$U$305,39,5)))</f>
        <v/>
      </c>
      <c r="I119" s="27" t="str">
        <f>IF($E119="","",N(INDEX(进销存对接!$M$4:$U$305,39,6)))</f>
        <v/>
      </c>
      <c r="J119" s="26"/>
      <c r="K119" s="26" t="str">
        <f>IF($E119="","",INDEX(进销存对接!$D$4:$D$305,39))</f>
        <v/>
      </c>
      <c r="L119" s="32"/>
      <c r="M119" s="32"/>
      <c r="N119" s="26" t="str">
        <f t="shared" si="6"/>
        <v/>
      </c>
      <c r="O119" s="26" t="str">
        <f t="shared" si="7"/>
        <v/>
      </c>
      <c r="P119" s="10"/>
    </row>
    <row r="120" ht="18" customHeight="1" spans="1:16">
      <c r="A120" s="32" t="str">
        <f t="shared" si="4"/>
        <v/>
      </c>
      <c r="B120" s="100" t="str">
        <f>IF($E120="","",INDEX(进销存对接!$C$4:$C$305,39))</f>
        <v/>
      </c>
      <c r="C120" s="26" t="str">
        <f t="shared" si="5"/>
        <v/>
      </c>
      <c r="D120" s="32" t="str">
        <f>IF($E120="","",INDEX(进销存对接!$D$4:$D$305,39)&amp;" "&amp;TEXT($B120,"YYYY年M月")&amp;" 自动结转")</f>
        <v/>
      </c>
      <c r="E120" s="26" t="str">
        <f>IF(INDEX(进销存对接!$M$4:$U$305,39,7)=0,"",INDEX(进销存对接!$M$4:$U$305,39,7))</f>
        <v/>
      </c>
      <c r="F120" s="25" t="str">
        <f>IF($E120="","",IFERROR(INDEX(科目表!$A$4:$A$81,MATCH($E120,科目表!$B$4:$B$81,0)),""))</f>
        <v/>
      </c>
      <c r="G120" s="26" t="str">
        <f>IF($E120="","",IFERROR(INDEX(科目表!$E$4:$E$81,MATCH($E120,科目表!$B$4:$B$81,0)),""))</f>
        <v/>
      </c>
      <c r="H120" s="27" t="str">
        <f>IF($E120="","",N(INDEX(进销存对接!$M$4:$U$305,39,8)))</f>
        <v/>
      </c>
      <c r="I120" s="27" t="str">
        <f>IF($E120="","",N(INDEX(进销存对接!$M$4:$U$305,39,9)))</f>
        <v/>
      </c>
      <c r="J120" s="26"/>
      <c r="K120" s="26" t="str">
        <f>IF($E120="","",INDEX(进销存对接!$D$4:$D$305,39))</f>
        <v/>
      </c>
      <c r="L120" s="32"/>
      <c r="M120" s="32"/>
      <c r="N120" s="26" t="str">
        <f t="shared" si="6"/>
        <v/>
      </c>
      <c r="O120" s="26" t="str">
        <f t="shared" si="7"/>
        <v/>
      </c>
      <c r="P120" s="10"/>
    </row>
    <row r="121" ht="18" customHeight="1" spans="1:16">
      <c r="A121" s="32" t="str">
        <f t="shared" si="4"/>
        <v/>
      </c>
      <c r="B121" s="100" t="str">
        <f>IF($E121="","",INDEX(进销存对接!$C$4:$C$305,40))</f>
        <v/>
      </c>
      <c r="C121" s="26" t="str">
        <f t="shared" si="5"/>
        <v/>
      </c>
      <c r="D121" s="32" t="str">
        <f>IF($E121="","",INDEX(进销存对接!$D$4:$D$305,40)&amp;" "&amp;TEXT($B121,"YYYY年M月")&amp;" 自动结转")</f>
        <v/>
      </c>
      <c r="E121" s="26" t="str">
        <f>IF(INDEX(进销存对接!$M$4:$U$305,40,1)=0,"",INDEX(进销存对接!$M$4:$U$305,40,1))</f>
        <v/>
      </c>
      <c r="F121" s="25" t="str">
        <f>IF($E121="","",IFERROR(INDEX(科目表!$A$4:$A$81,MATCH($E121,科目表!$B$4:$B$81,0)),""))</f>
        <v/>
      </c>
      <c r="G121" s="26" t="str">
        <f>IF($E121="","",IFERROR(INDEX(科目表!$E$4:$E$81,MATCH($E121,科目表!$B$4:$B$81,0)),""))</f>
        <v/>
      </c>
      <c r="H121" s="27" t="str">
        <f>IF($E121="","",N(INDEX(进销存对接!$M$4:$U$305,40,2)))</f>
        <v/>
      </c>
      <c r="I121" s="27" t="str">
        <f>IF($E121="","",N(INDEX(进销存对接!$M$4:$U$305,40,3)))</f>
        <v/>
      </c>
      <c r="J121" s="26"/>
      <c r="K121" s="26" t="str">
        <f>IF($E121="","",INDEX(进销存对接!$D$4:$D$305,40))</f>
        <v/>
      </c>
      <c r="L121" s="32"/>
      <c r="M121" s="32"/>
      <c r="N121" s="26" t="str">
        <f t="shared" si="6"/>
        <v/>
      </c>
      <c r="O121" s="26" t="str">
        <f t="shared" si="7"/>
        <v/>
      </c>
      <c r="P121" s="10"/>
    </row>
    <row r="122" ht="18" customHeight="1" spans="1:16">
      <c r="A122" s="32" t="str">
        <f t="shared" si="4"/>
        <v/>
      </c>
      <c r="B122" s="100" t="str">
        <f>IF($E122="","",INDEX(进销存对接!$C$4:$C$305,40))</f>
        <v/>
      </c>
      <c r="C122" s="26" t="str">
        <f t="shared" si="5"/>
        <v/>
      </c>
      <c r="D122" s="32" t="str">
        <f>IF($E122="","",INDEX(进销存对接!$D$4:$D$305,40)&amp;" "&amp;TEXT($B122,"YYYY年M月")&amp;" 自动结转")</f>
        <v/>
      </c>
      <c r="E122" s="26" t="str">
        <f>IF(INDEX(进销存对接!$M$4:$U$305,40,4)=0,"",INDEX(进销存对接!$M$4:$U$305,40,4))</f>
        <v/>
      </c>
      <c r="F122" s="25" t="str">
        <f>IF($E122="","",IFERROR(INDEX(科目表!$A$4:$A$81,MATCH($E122,科目表!$B$4:$B$81,0)),""))</f>
        <v/>
      </c>
      <c r="G122" s="26" t="str">
        <f>IF($E122="","",IFERROR(INDEX(科目表!$E$4:$E$81,MATCH($E122,科目表!$B$4:$B$81,0)),""))</f>
        <v/>
      </c>
      <c r="H122" s="27" t="str">
        <f>IF($E122="","",N(INDEX(进销存对接!$M$4:$U$305,40,5)))</f>
        <v/>
      </c>
      <c r="I122" s="27" t="str">
        <f>IF($E122="","",N(INDEX(进销存对接!$M$4:$U$305,40,6)))</f>
        <v/>
      </c>
      <c r="J122" s="26"/>
      <c r="K122" s="26" t="str">
        <f>IF($E122="","",INDEX(进销存对接!$D$4:$D$305,40))</f>
        <v/>
      </c>
      <c r="L122" s="32"/>
      <c r="M122" s="32"/>
      <c r="N122" s="26" t="str">
        <f t="shared" si="6"/>
        <v/>
      </c>
      <c r="O122" s="26" t="str">
        <f t="shared" si="7"/>
        <v/>
      </c>
      <c r="P122" s="10"/>
    </row>
    <row r="123" ht="18" customHeight="1" spans="1:16">
      <c r="A123" s="32" t="str">
        <f t="shared" si="4"/>
        <v/>
      </c>
      <c r="B123" s="100" t="str">
        <f>IF($E123="","",INDEX(进销存对接!$C$4:$C$305,40))</f>
        <v/>
      </c>
      <c r="C123" s="26" t="str">
        <f t="shared" si="5"/>
        <v/>
      </c>
      <c r="D123" s="32" t="str">
        <f>IF($E123="","",INDEX(进销存对接!$D$4:$D$305,40)&amp;" "&amp;TEXT($B123,"YYYY年M月")&amp;" 自动结转")</f>
        <v/>
      </c>
      <c r="E123" s="26" t="str">
        <f>IF(INDEX(进销存对接!$M$4:$U$305,40,7)=0,"",INDEX(进销存对接!$M$4:$U$305,40,7))</f>
        <v/>
      </c>
      <c r="F123" s="25" t="str">
        <f>IF($E123="","",IFERROR(INDEX(科目表!$A$4:$A$81,MATCH($E123,科目表!$B$4:$B$81,0)),""))</f>
        <v/>
      </c>
      <c r="G123" s="26" t="str">
        <f>IF($E123="","",IFERROR(INDEX(科目表!$E$4:$E$81,MATCH($E123,科目表!$B$4:$B$81,0)),""))</f>
        <v/>
      </c>
      <c r="H123" s="27" t="str">
        <f>IF($E123="","",N(INDEX(进销存对接!$M$4:$U$305,40,8)))</f>
        <v/>
      </c>
      <c r="I123" s="27" t="str">
        <f>IF($E123="","",N(INDEX(进销存对接!$M$4:$U$305,40,9)))</f>
        <v/>
      </c>
      <c r="J123" s="26"/>
      <c r="K123" s="26" t="str">
        <f>IF($E123="","",INDEX(进销存对接!$D$4:$D$305,40))</f>
        <v/>
      </c>
      <c r="L123" s="32"/>
      <c r="M123" s="32"/>
      <c r="N123" s="26" t="str">
        <f t="shared" si="6"/>
        <v/>
      </c>
      <c r="O123" s="26" t="str">
        <f t="shared" si="7"/>
        <v/>
      </c>
      <c r="P123" s="10"/>
    </row>
    <row r="124" ht="18" customHeight="1" spans="1:16">
      <c r="A124" s="32" t="str">
        <f t="shared" si="4"/>
        <v/>
      </c>
      <c r="B124" s="100" t="str">
        <f>IF($E124="","",INDEX(进销存对接!$C$4:$C$305,41))</f>
        <v/>
      </c>
      <c r="C124" s="26" t="str">
        <f t="shared" si="5"/>
        <v/>
      </c>
      <c r="D124" s="32" t="str">
        <f>IF($E124="","",INDEX(进销存对接!$D$4:$D$305,41)&amp;" "&amp;TEXT($B124,"YYYY年M月")&amp;" 自动结转")</f>
        <v/>
      </c>
      <c r="E124" s="26" t="str">
        <f>IF(INDEX(进销存对接!$M$4:$U$305,41,1)=0,"",INDEX(进销存对接!$M$4:$U$305,41,1))</f>
        <v/>
      </c>
      <c r="F124" s="25" t="str">
        <f>IF($E124="","",IFERROR(INDEX(科目表!$A$4:$A$81,MATCH($E124,科目表!$B$4:$B$81,0)),""))</f>
        <v/>
      </c>
      <c r="G124" s="26" t="str">
        <f>IF($E124="","",IFERROR(INDEX(科目表!$E$4:$E$81,MATCH($E124,科目表!$B$4:$B$81,0)),""))</f>
        <v/>
      </c>
      <c r="H124" s="27" t="str">
        <f>IF($E124="","",N(INDEX(进销存对接!$M$4:$U$305,41,2)))</f>
        <v/>
      </c>
      <c r="I124" s="27" t="str">
        <f>IF($E124="","",N(INDEX(进销存对接!$M$4:$U$305,41,3)))</f>
        <v/>
      </c>
      <c r="J124" s="26"/>
      <c r="K124" s="26" t="str">
        <f>IF($E124="","",INDEX(进销存对接!$D$4:$D$305,41))</f>
        <v/>
      </c>
      <c r="L124" s="32"/>
      <c r="M124" s="32"/>
      <c r="N124" s="26" t="str">
        <f t="shared" si="6"/>
        <v/>
      </c>
      <c r="O124" s="26" t="str">
        <f t="shared" si="7"/>
        <v/>
      </c>
      <c r="P124" s="10"/>
    </row>
    <row r="125" ht="18" customHeight="1" spans="1:16">
      <c r="A125" s="32" t="str">
        <f t="shared" si="4"/>
        <v/>
      </c>
      <c r="B125" s="100" t="str">
        <f>IF($E125="","",INDEX(进销存对接!$C$4:$C$305,41))</f>
        <v/>
      </c>
      <c r="C125" s="26" t="str">
        <f t="shared" si="5"/>
        <v/>
      </c>
      <c r="D125" s="32" t="str">
        <f>IF($E125="","",INDEX(进销存对接!$D$4:$D$305,41)&amp;" "&amp;TEXT($B125,"YYYY年M月")&amp;" 自动结转")</f>
        <v/>
      </c>
      <c r="E125" s="26" t="str">
        <f>IF(INDEX(进销存对接!$M$4:$U$305,41,4)=0,"",INDEX(进销存对接!$M$4:$U$305,41,4))</f>
        <v/>
      </c>
      <c r="F125" s="25" t="str">
        <f>IF($E125="","",IFERROR(INDEX(科目表!$A$4:$A$81,MATCH($E125,科目表!$B$4:$B$81,0)),""))</f>
        <v/>
      </c>
      <c r="G125" s="26" t="str">
        <f>IF($E125="","",IFERROR(INDEX(科目表!$E$4:$E$81,MATCH($E125,科目表!$B$4:$B$81,0)),""))</f>
        <v/>
      </c>
      <c r="H125" s="27" t="str">
        <f>IF($E125="","",N(INDEX(进销存对接!$M$4:$U$305,41,5)))</f>
        <v/>
      </c>
      <c r="I125" s="27" t="str">
        <f>IF($E125="","",N(INDEX(进销存对接!$M$4:$U$305,41,6)))</f>
        <v/>
      </c>
      <c r="J125" s="26"/>
      <c r="K125" s="26" t="str">
        <f>IF($E125="","",INDEX(进销存对接!$D$4:$D$305,41))</f>
        <v/>
      </c>
      <c r="L125" s="32"/>
      <c r="M125" s="32"/>
      <c r="N125" s="26" t="str">
        <f t="shared" si="6"/>
        <v/>
      </c>
      <c r="O125" s="26" t="str">
        <f t="shared" si="7"/>
        <v/>
      </c>
      <c r="P125" s="10"/>
    </row>
    <row r="126" ht="18" customHeight="1" spans="1:16">
      <c r="A126" s="32" t="str">
        <f t="shared" si="4"/>
        <v/>
      </c>
      <c r="B126" s="100" t="str">
        <f>IF($E126="","",INDEX(进销存对接!$C$4:$C$305,41))</f>
        <v/>
      </c>
      <c r="C126" s="26" t="str">
        <f t="shared" si="5"/>
        <v/>
      </c>
      <c r="D126" s="32" t="str">
        <f>IF($E126="","",INDEX(进销存对接!$D$4:$D$305,41)&amp;" "&amp;TEXT($B126,"YYYY年M月")&amp;" 自动结转")</f>
        <v/>
      </c>
      <c r="E126" s="26" t="str">
        <f>IF(INDEX(进销存对接!$M$4:$U$305,41,7)=0,"",INDEX(进销存对接!$M$4:$U$305,41,7))</f>
        <v/>
      </c>
      <c r="F126" s="25" t="str">
        <f>IF($E126="","",IFERROR(INDEX(科目表!$A$4:$A$81,MATCH($E126,科目表!$B$4:$B$81,0)),""))</f>
        <v/>
      </c>
      <c r="G126" s="26" t="str">
        <f>IF($E126="","",IFERROR(INDEX(科目表!$E$4:$E$81,MATCH($E126,科目表!$B$4:$B$81,0)),""))</f>
        <v/>
      </c>
      <c r="H126" s="27" t="str">
        <f>IF($E126="","",N(INDEX(进销存对接!$M$4:$U$305,41,8)))</f>
        <v/>
      </c>
      <c r="I126" s="27" t="str">
        <f>IF($E126="","",N(INDEX(进销存对接!$M$4:$U$305,41,9)))</f>
        <v/>
      </c>
      <c r="J126" s="26"/>
      <c r="K126" s="26" t="str">
        <f>IF($E126="","",INDEX(进销存对接!$D$4:$D$305,41))</f>
        <v/>
      </c>
      <c r="L126" s="32"/>
      <c r="M126" s="32"/>
      <c r="N126" s="26" t="str">
        <f t="shared" si="6"/>
        <v/>
      </c>
      <c r="O126" s="26" t="str">
        <f t="shared" si="7"/>
        <v/>
      </c>
      <c r="P126" s="10"/>
    </row>
    <row r="127" ht="18" customHeight="1" spans="1:16">
      <c r="A127" s="32" t="str">
        <f t="shared" si="4"/>
        <v/>
      </c>
      <c r="B127" s="100" t="str">
        <f>IF($E127="","",INDEX(进销存对接!$C$4:$C$305,42))</f>
        <v/>
      </c>
      <c r="C127" s="26" t="str">
        <f t="shared" si="5"/>
        <v/>
      </c>
      <c r="D127" s="32" t="str">
        <f>IF($E127="","",INDEX(进销存对接!$D$4:$D$305,42)&amp;" "&amp;TEXT($B127,"YYYY年M月")&amp;" 自动结转")</f>
        <v/>
      </c>
      <c r="E127" s="26" t="str">
        <f>IF(INDEX(进销存对接!$M$4:$U$305,42,1)=0,"",INDEX(进销存对接!$M$4:$U$305,42,1))</f>
        <v/>
      </c>
      <c r="F127" s="25" t="str">
        <f>IF($E127="","",IFERROR(INDEX(科目表!$A$4:$A$81,MATCH($E127,科目表!$B$4:$B$81,0)),""))</f>
        <v/>
      </c>
      <c r="G127" s="26" t="str">
        <f>IF($E127="","",IFERROR(INDEX(科目表!$E$4:$E$81,MATCH($E127,科目表!$B$4:$B$81,0)),""))</f>
        <v/>
      </c>
      <c r="H127" s="27" t="str">
        <f>IF($E127="","",N(INDEX(进销存对接!$M$4:$U$305,42,2)))</f>
        <v/>
      </c>
      <c r="I127" s="27" t="str">
        <f>IF($E127="","",N(INDEX(进销存对接!$M$4:$U$305,42,3)))</f>
        <v/>
      </c>
      <c r="J127" s="26"/>
      <c r="K127" s="26" t="str">
        <f>IF($E127="","",INDEX(进销存对接!$D$4:$D$305,42))</f>
        <v/>
      </c>
      <c r="L127" s="32"/>
      <c r="M127" s="32"/>
      <c r="N127" s="26" t="str">
        <f t="shared" si="6"/>
        <v/>
      </c>
      <c r="O127" s="26" t="str">
        <f t="shared" si="7"/>
        <v/>
      </c>
      <c r="P127" s="10"/>
    </row>
    <row r="128" ht="18" customHeight="1" spans="1:16">
      <c r="A128" s="32" t="str">
        <f t="shared" si="4"/>
        <v/>
      </c>
      <c r="B128" s="100" t="str">
        <f>IF($E128="","",INDEX(进销存对接!$C$4:$C$305,42))</f>
        <v/>
      </c>
      <c r="C128" s="26" t="str">
        <f t="shared" si="5"/>
        <v/>
      </c>
      <c r="D128" s="32" t="str">
        <f>IF($E128="","",INDEX(进销存对接!$D$4:$D$305,42)&amp;" "&amp;TEXT($B128,"YYYY年M月")&amp;" 自动结转")</f>
        <v/>
      </c>
      <c r="E128" s="26" t="str">
        <f>IF(INDEX(进销存对接!$M$4:$U$305,42,4)=0,"",INDEX(进销存对接!$M$4:$U$305,42,4))</f>
        <v/>
      </c>
      <c r="F128" s="25" t="str">
        <f>IF($E128="","",IFERROR(INDEX(科目表!$A$4:$A$81,MATCH($E128,科目表!$B$4:$B$81,0)),""))</f>
        <v/>
      </c>
      <c r="G128" s="26" t="str">
        <f>IF($E128="","",IFERROR(INDEX(科目表!$E$4:$E$81,MATCH($E128,科目表!$B$4:$B$81,0)),""))</f>
        <v/>
      </c>
      <c r="H128" s="27" t="str">
        <f>IF($E128="","",N(INDEX(进销存对接!$M$4:$U$305,42,5)))</f>
        <v/>
      </c>
      <c r="I128" s="27" t="str">
        <f>IF($E128="","",N(INDEX(进销存对接!$M$4:$U$305,42,6)))</f>
        <v/>
      </c>
      <c r="J128" s="26"/>
      <c r="K128" s="26" t="str">
        <f>IF($E128="","",INDEX(进销存对接!$D$4:$D$305,42))</f>
        <v/>
      </c>
      <c r="L128" s="32"/>
      <c r="M128" s="32"/>
      <c r="N128" s="26" t="str">
        <f t="shared" si="6"/>
        <v/>
      </c>
      <c r="O128" s="26" t="str">
        <f t="shared" si="7"/>
        <v/>
      </c>
      <c r="P128" s="10"/>
    </row>
    <row r="129" ht="18" customHeight="1" spans="1:16">
      <c r="A129" s="32" t="str">
        <f t="shared" si="4"/>
        <v/>
      </c>
      <c r="B129" s="100" t="str">
        <f>IF($E129="","",INDEX(进销存对接!$C$4:$C$305,42))</f>
        <v/>
      </c>
      <c r="C129" s="26" t="str">
        <f t="shared" si="5"/>
        <v/>
      </c>
      <c r="D129" s="32" t="str">
        <f>IF($E129="","",INDEX(进销存对接!$D$4:$D$305,42)&amp;" "&amp;TEXT($B129,"YYYY年M月")&amp;" 自动结转")</f>
        <v/>
      </c>
      <c r="E129" s="26" t="str">
        <f>IF(INDEX(进销存对接!$M$4:$U$305,42,7)=0,"",INDEX(进销存对接!$M$4:$U$305,42,7))</f>
        <v/>
      </c>
      <c r="F129" s="25" t="str">
        <f>IF($E129="","",IFERROR(INDEX(科目表!$A$4:$A$81,MATCH($E129,科目表!$B$4:$B$81,0)),""))</f>
        <v/>
      </c>
      <c r="G129" s="26" t="str">
        <f>IF($E129="","",IFERROR(INDEX(科目表!$E$4:$E$81,MATCH($E129,科目表!$B$4:$B$81,0)),""))</f>
        <v/>
      </c>
      <c r="H129" s="27" t="str">
        <f>IF($E129="","",N(INDEX(进销存对接!$M$4:$U$305,42,8)))</f>
        <v/>
      </c>
      <c r="I129" s="27" t="str">
        <f>IF($E129="","",N(INDEX(进销存对接!$M$4:$U$305,42,9)))</f>
        <v/>
      </c>
      <c r="J129" s="26"/>
      <c r="K129" s="26" t="str">
        <f>IF($E129="","",INDEX(进销存对接!$D$4:$D$305,42))</f>
        <v/>
      </c>
      <c r="L129" s="32"/>
      <c r="M129" s="32"/>
      <c r="N129" s="26" t="str">
        <f t="shared" si="6"/>
        <v/>
      </c>
      <c r="O129" s="26" t="str">
        <f t="shared" si="7"/>
        <v/>
      </c>
      <c r="P129" s="10"/>
    </row>
    <row r="130" ht="18" customHeight="1" spans="1:16">
      <c r="A130" s="32" t="str">
        <f t="shared" si="4"/>
        <v/>
      </c>
      <c r="B130" s="100" t="str">
        <f>IF($E130="","",INDEX(进销存对接!$C$4:$C$305,43))</f>
        <v/>
      </c>
      <c r="C130" s="26" t="str">
        <f t="shared" si="5"/>
        <v/>
      </c>
      <c r="D130" s="32" t="str">
        <f>IF($E130="","",INDEX(进销存对接!$D$4:$D$305,43)&amp;" "&amp;TEXT($B130,"YYYY年M月")&amp;" 自动结转")</f>
        <v/>
      </c>
      <c r="E130" s="26" t="str">
        <f>IF(INDEX(进销存对接!$M$4:$U$305,43,1)=0,"",INDEX(进销存对接!$M$4:$U$305,43,1))</f>
        <v/>
      </c>
      <c r="F130" s="25" t="str">
        <f>IF($E130="","",IFERROR(INDEX(科目表!$A$4:$A$81,MATCH($E130,科目表!$B$4:$B$81,0)),""))</f>
        <v/>
      </c>
      <c r="G130" s="26" t="str">
        <f>IF($E130="","",IFERROR(INDEX(科目表!$E$4:$E$81,MATCH($E130,科目表!$B$4:$B$81,0)),""))</f>
        <v/>
      </c>
      <c r="H130" s="27" t="str">
        <f>IF($E130="","",N(INDEX(进销存对接!$M$4:$U$305,43,2)))</f>
        <v/>
      </c>
      <c r="I130" s="27" t="str">
        <f>IF($E130="","",N(INDEX(进销存对接!$M$4:$U$305,43,3)))</f>
        <v/>
      </c>
      <c r="J130" s="26"/>
      <c r="K130" s="26" t="str">
        <f>IF($E130="","",INDEX(进销存对接!$D$4:$D$305,43))</f>
        <v/>
      </c>
      <c r="L130" s="32"/>
      <c r="M130" s="32"/>
      <c r="N130" s="26" t="str">
        <f t="shared" si="6"/>
        <v/>
      </c>
      <c r="O130" s="26" t="str">
        <f t="shared" si="7"/>
        <v/>
      </c>
      <c r="P130" s="10"/>
    </row>
    <row r="131" ht="18" customHeight="1" spans="1:16">
      <c r="A131" s="32" t="str">
        <f t="shared" si="4"/>
        <v/>
      </c>
      <c r="B131" s="100" t="str">
        <f>IF($E131="","",INDEX(进销存对接!$C$4:$C$305,43))</f>
        <v/>
      </c>
      <c r="C131" s="26" t="str">
        <f t="shared" si="5"/>
        <v/>
      </c>
      <c r="D131" s="32" t="str">
        <f>IF($E131="","",INDEX(进销存对接!$D$4:$D$305,43)&amp;" "&amp;TEXT($B131,"YYYY年M月")&amp;" 自动结转")</f>
        <v/>
      </c>
      <c r="E131" s="26" t="str">
        <f>IF(INDEX(进销存对接!$M$4:$U$305,43,4)=0,"",INDEX(进销存对接!$M$4:$U$305,43,4))</f>
        <v/>
      </c>
      <c r="F131" s="25" t="str">
        <f>IF($E131="","",IFERROR(INDEX(科目表!$A$4:$A$81,MATCH($E131,科目表!$B$4:$B$81,0)),""))</f>
        <v/>
      </c>
      <c r="G131" s="26" t="str">
        <f>IF($E131="","",IFERROR(INDEX(科目表!$E$4:$E$81,MATCH($E131,科目表!$B$4:$B$81,0)),""))</f>
        <v/>
      </c>
      <c r="H131" s="27" t="str">
        <f>IF($E131="","",N(INDEX(进销存对接!$M$4:$U$305,43,5)))</f>
        <v/>
      </c>
      <c r="I131" s="27" t="str">
        <f>IF($E131="","",N(INDEX(进销存对接!$M$4:$U$305,43,6)))</f>
        <v/>
      </c>
      <c r="J131" s="26"/>
      <c r="K131" s="26" t="str">
        <f>IF($E131="","",INDEX(进销存对接!$D$4:$D$305,43))</f>
        <v/>
      </c>
      <c r="L131" s="32"/>
      <c r="M131" s="32"/>
      <c r="N131" s="26" t="str">
        <f t="shared" si="6"/>
        <v/>
      </c>
      <c r="O131" s="26" t="str">
        <f t="shared" si="7"/>
        <v/>
      </c>
      <c r="P131" s="10"/>
    </row>
    <row r="132" ht="18" customHeight="1" spans="1:16">
      <c r="A132" s="32" t="str">
        <f t="shared" ref="A132:A195" si="8">IF($E132="","",ROW()-3)</f>
        <v/>
      </c>
      <c r="B132" s="100" t="str">
        <f>IF($E132="","",INDEX(进销存对接!$C$4:$C$305,43))</f>
        <v/>
      </c>
      <c r="C132" s="26" t="str">
        <f t="shared" ref="C132:C195" si="9">IF($E132="","","记-"&amp;TEXT($B132,"YYYYMM")&amp;"-进销存")</f>
        <v/>
      </c>
      <c r="D132" s="32" t="str">
        <f>IF($E132="","",INDEX(进销存对接!$D$4:$D$305,43)&amp;" "&amp;TEXT($B132,"YYYY年M月")&amp;" 自动结转")</f>
        <v/>
      </c>
      <c r="E132" s="26" t="str">
        <f>IF(INDEX(进销存对接!$M$4:$U$305,43,7)=0,"",INDEX(进销存对接!$M$4:$U$305,43,7))</f>
        <v/>
      </c>
      <c r="F132" s="25" t="str">
        <f>IF($E132="","",IFERROR(INDEX(科目表!$A$4:$A$81,MATCH($E132,科目表!$B$4:$B$81,0)),""))</f>
        <v/>
      </c>
      <c r="G132" s="26" t="str">
        <f>IF($E132="","",IFERROR(INDEX(科目表!$E$4:$E$81,MATCH($E132,科目表!$B$4:$B$81,0)),""))</f>
        <v/>
      </c>
      <c r="H132" s="27" t="str">
        <f>IF($E132="","",N(INDEX(进销存对接!$M$4:$U$305,43,8)))</f>
        <v/>
      </c>
      <c r="I132" s="27" t="str">
        <f>IF($E132="","",N(INDEX(进销存对接!$M$4:$U$305,43,9)))</f>
        <v/>
      </c>
      <c r="J132" s="26"/>
      <c r="K132" s="26" t="str">
        <f>IF($E132="","",INDEX(进销存对接!$D$4:$D$305,43))</f>
        <v/>
      </c>
      <c r="L132" s="32"/>
      <c r="M132" s="32"/>
      <c r="N132" s="26" t="str">
        <f t="shared" ref="N132:N195" si="10">IF($E132="","","系统")</f>
        <v/>
      </c>
      <c r="O132" s="26" t="str">
        <f t="shared" ref="O132:O195" si="11">IF($E132="","","自动A")</f>
        <v/>
      </c>
      <c r="P132" s="10"/>
    </row>
    <row r="133" ht="18" customHeight="1" spans="1:16">
      <c r="A133" s="32" t="str">
        <f t="shared" si="8"/>
        <v/>
      </c>
      <c r="B133" s="100" t="str">
        <f>IF($E133="","",INDEX(进销存对接!$C$4:$C$305,44))</f>
        <v/>
      </c>
      <c r="C133" s="26" t="str">
        <f t="shared" si="9"/>
        <v/>
      </c>
      <c r="D133" s="32" t="str">
        <f>IF($E133="","",INDEX(进销存对接!$D$4:$D$305,44)&amp;" "&amp;TEXT($B133,"YYYY年M月")&amp;" 自动结转")</f>
        <v/>
      </c>
      <c r="E133" s="26" t="str">
        <f>IF(INDEX(进销存对接!$M$4:$U$305,44,1)=0,"",INDEX(进销存对接!$M$4:$U$305,44,1))</f>
        <v/>
      </c>
      <c r="F133" s="25" t="str">
        <f>IF($E133="","",IFERROR(INDEX(科目表!$A$4:$A$81,MATCH($E133,科目表!$B$4:$B$81,0)),""))</f>
        <v/>
      </c>
      <c r="G133" s="26" t="str">
        <f>IF($E133="","",IFERROR(INDEX(科目表!$E$4:$E$81,MATCH($E133,科目表!$B$4:$B$81,0)),""))</f>
        <v/>
      </c>
      <c r="H133" s="27" t="str">
        <f>IF($E133="","",N(INDEX(进销存对接!$M$4:$U$305,44,2)))</f>
        <v/>
      </c>
      <c r="I133" s="27" t="str">
        <f>IF($E133="","",N(INDEX(进销存对接!$M$4:$U$305,44,3)))</f>
        <v/>
      </c>
      <c r="J133" s="26"/>
      <c r="K133" s="26" t="str">
        <f>IF($E133="","",INDEX(进销存对接!$D$4:$D$305,44))</f>
        <v/>
      </c>
      <c r="L133" s="32"/>
      <c r="M133" s="32"/>
      <c r="N133" s="26" t="str">
        <f t="shared" si="10"/>
        <v/>
      </c>
      <c r="O133" s="26" t="str">
        <f t="shared" si="11"/>
        <v/>
      </c>
      <c r="P133" s="10"/>
    </row>
    <row r="134" ht="18" customHeight="1" spans="1:16">
      <c r="A134" s="32" t="str">
        <f t="shared" si="8"/>
        <v/>
      </c>
      <c r="B134" s="100" t="str">
        <f>IF($E134="","",INDEX(进销存对接!$C$4:$C$305,44))</f>
        <v/>
      </c>
      <c r="C134" s="26" t="str">
        <f t="shared" si="9"/>
        <v/>
      </c>
      <c r="D134" s="32" t="str">
        <f>IF($E134="","",INDEX(进销存对接!$D$4:$D$305,44)&amp;" "&amp;TEXT($B134,"YYYY年M月")&amp;" 自动结转")</f>
        <v/>
      </c>
      <c r="E134" s="26" t="str">
        <f>IF(INDEX(进销存对接!$M$4:$U$305,44,4)=0,"",INDEX(进销存对接!$M$4:$U$305,44,4))</f>
        <v/>
      </c>
      <c r="F134" s="25" t="str">
        <f>IF($E134="","",IFERROR(INDEX(科目表!$A$4:$A$81,MATCH($E134,科目表!$B$4:$B$81,0)),""))</f>
        <v/>
      </c>
      <c r="G134" s="26" t="str">
        <f>IF($E134="","",IFERROR(INDEX(科目表!$E$4:$E$81,MATCH($E134,科目表!$B$4:$B$81,0)),""))</f>
        <v/>
      </c>
      <c r="H134" s="27" t="str">
        <f>IF($E134="","",N(INDEX(进销存对接!$M$4:$U$305,44,5)))</f>
        <v/>
      </c>
      <c r="I134" s="27" t="str">
        <f>IF($E134="","",N(INDEX(进销存对接!$M$4:$U$305,44,6)))</f>
        <v/>
      </c>
      <c r="J134" s="26"/>
      <c r="K134" s="26" t="str">
        <f>IF($E134="","",INDEX(进销存对接!$D$4:$D$305,44))</f>
        <v/>
      </c>
      <c r="L134" s="32"/>
      <c r="M134" s="32"/>
      <c r="N134" s="26" t="str">
        <f t="shared" si="10"/>
        <v/>
      </c>
      <c r="O134" s="26" t="str">
        <f t="shared" si="11"/>
        <v/>
      </c>
      <c r="P134" s="10"/>
    </row>
    <row r="135" ht="18" customHeight="1" spans="1:16">
      <c r="A135" s="32" t="str">
        <f t="shared" si="8"/>
        <v/>
      </c>
      <c r="B135" s="100" t="str">
        <f>IF($E135="","",INDEX(进销存对接!$C$4:$C$305,44))</f>
        <v/>
      </c>
      <c r="C135" s="26" t="str">
        <f t="shared" si="9"/>
        <v/>
      </c>
      <c r="D135" s="32" t="str">
        <f>IF($E135="","",INDEX(进销存对接!$D$4:$D$305,44)&amp;" "&amp;TEXT($B135,"YYYY年M月")&amp;" 自动结转")</f>
        <v/>
      </c>
      <c r="E135" s="26" t="str">
        <f>IF(INDEX(进销存对接!$M$4:$U$305,44,7)=0,"",INDEX(进销存对接!$M$4:$U$305,44,7))</f>
        <v/>
      </c>
      <c r="F135" s="25" t="str">
        <f>IF($E135="","",IFERROR(INDEX(科目表!$A$4:$A$81,MATCH($E135,科目表!$B$4:$B$81,0)),""))</f>
        <v/>
      </c>
      <c r="G135" s="26" t="str">
        <f>IF($E135="","",IFERROR(INDEX(科目表!$E$4:$E$81,MATCH($E135,科目表!$B$4:$B$81,0)),""))</f>
        <v/>
      </c>
      <c r="H135" s="27" t="str">
        <f>IF($E135="","",N(INDEX(进销存对接!$M$4:$U$305,44,8)))</f>
        <v/>
      </c>
      <c r="I135" s="27" t="str">
        <f>IF($E135="","",N(INDEX(进销存对接!$M$4:$U$305,44,9)))</f>
        <v/>
      </c>
      <c r="J135" s="26"/>
      <c r="K135" s="26" t="str">
        <f>IF($E135="","",INDEX(进销存对接!$D$4:$D$305,44))</f>
        <v/>
      </c>
      <c r="L135" s="32"/>
      <c r="M135" s="32"/>
      <c r="N135" s="26" t="str">
        <f t="shared" si="10"/>
        <v/>
      </c>
      <c r="O135" s="26" t="str">
        <f t="shared" si="11"/>
        <v/>
      </c>
      <c r="P135" s="10"/>
    </row>
    <row r="136" ht="18" customHeight="1" spans="1:16">
      <c r="A136" s="32" t="str">
        <f t="shared" si="8"/>
        <v/>
      </c>
      <c r="B136" s="100" t="str">
        <f>IF($E136="","",INDEX(进销存对接!$C$4:$C$305,45))</f>
        <v/>
      </c>
      <c r="C136" s="26" t="str">
        <f t="shared" si="9"/>
        <v/>
      </c>
      <c r="D136" s="32" t="str">
        <f>IF($E136="","",INDEX(进销存对接!$D$4:$D$305,45)&amp;" "&amp;TEXT($B136,"YYYY年M月")&amp;" 自动结转")</f>
        <v/>
      </c>
      <c r="E136" s="26" t="str">
        <f>IF(INDEX(进销存对接!$M$4:$U$305,45,1)=0,"",INDEX(进销存对接!$M$4:$U$305,45,1))</f>
        <v/>
      </c>
      <c r="F136" s="25" t="str">
        <f>IF($E136="","",IFERROR(INDEX(科目表!$A$4:$A$81,MATCH($E136,科目表!$B$4:$B$81,0)),""))</f>
        <v/>
      </c>
      <c r="G136" s="26" t="str">
        <f>IF($E136="","",IFERROR(INDEX(科目表!$E$4:$E$81,MATCH($E136,科目表!$B$4:$B$81,0)),""))</f>
        <v/>
      </c>
      <c r="H136" s="27" t="str">
        <f>IF($E136="","",N(INDEX(进销存对接!$M$4:$U$305,45,2)))</f>
        <v/>
      </c>
      <c r="I136" s="27" t="str">
        <f>IF($E136="","",N(INDEX(进销存对接!$M$4:$U$305,45,3)))</f>
        <v/>
      </c>
      <c r="J136" s="26"/>
      <c r="K136" s="26" t="str">
        <f>IF($E136="","",INDEX(进销存对接!$D$4:$D$305,45))</f>
        <v/>
      </c>
      <c r="L136" s="32"/>
      <c r="M136" s="32"/>
      <c r="N136" s="26" t="str">
        <f t="shared" si="10"/>
        <v/>
      </c>
      <c r="O136" s="26" t="str">
        <f t="shared" si="11"/>
        <v/>
      </c>
      <c r="P136" s="10"/>
    </row>
    <row r="137" ht="18" customHeight="1" spans="1:16">
      <c r="A137" s="32" t="str">
        <f t="shared" si="8"/>
        <v/>
      </c>
      <c r="B137" s="100" t="str">
        <f>IF($E137="","",INDEX(进销存对接!$C$4:$C$305,45))</f>
        <v/>
      </c>
      <c r="C137" s="26" t="str">
        <f t="shared" si="9"/>
        <v/>
      </c>
      <c r="D137" s="32" t="str">
        <f>IF($E137="","",INDEX(进销存对接!$D$4:$D$305,45)&amp;" "&amp;TEXT($B137,"YYYY年M月")&amp;" 自动结转")</f>
        <v/>
      </c>
      <c r="E137" s="26" t="str">
        <f>IF(INDEX(进销存对接!$M$4:$U$305,45,4)=0,"",INDEX(进销存对接!$M$4:$U$305,45,4))</f>
        <v/>
      </c>
      <c r="F137" s="25" t="str">
        <f>IF($E137="","",IFERROR(INDEX(科目表!$A$4:$A$81,MATCH($E137,科目表!$B$4:$B$81,0)),""))</f>
        <v/>
      </c>
      <c r="G137" s="26" t="str">
        <f>IF($E137="","",IFERROR(INDEX(科目表!$E$4:$E$81,MATCH($E137,科目表!$B$4:$B$81,0)),""))</f>
        <v/>
      </c>
      <c r="H137" s="27" t="str">
        <f>IF($E137="","",N(INDEX(进销存对接!$M$4:$U$305,45,5)))</f>
        <v/>
      </c>
      <c r="I137" s="27" t="str">
        <f>IF($E137="","",N(INDEX(进销存对接!$M$4:$U$305,45,6)))</f>
        <v/>
      </c>
      <c r="J137" s="26"/>
      <c r="K137" s="26" t="str">
        <f>IF($E137="","",INDEX(进销存对接!$D$4:$D$305,45))</f>
        <v/>
      </c>
      <c r="L137" s="32"/>
      <c r="M137" s="32"/>
      <c r="N137" s="26" t="str">
        <f t="shared" si="10"/>
        <v/>
      </c>
      <c r="O137" s="26" t="str">
        <f t="shared" si="11"/>
        <v/>
      </c>
      <c r="P137" s="10"/>
    </row>
    <row r="138" ht="18" customHeight="1" spans="1:16">
      <c r="A138" s="32" t="str">
        <f t="shared" si="8"/>
        <v/>
      </c>
      <c r="B138" s="100" t="str">
        <f>IF($E138="","",INDEX(进销存对接!$C$4:$C$305,45))</f>
        <v/>
      </c>
      <c r="C138" s="26" t="str">
        <f t="shared" si="9"/>
        <v/>
      </c>
      <c r="D138" s="32" t="str">
        <f>IF($E138="","",INDEX(进销存对接!$D$4:$D$305,45)&amp;" "&amp;TEXT($B138,"YYYY年M月")&amp;" 自动结转")</f>
        <v/>
      </c>
      <c r="E138" s="26" t="str">
        <f>IF(INDEX(进销存对接!$M$4:$U$305,45,7)=0,"",INDEX(进销存对接!$M$4:$U$305,45,7))</f>
        <v/>
      </c>
      <c r="F138" s="25" t="str">
        <f>IF($E138="","",IFERROR(INDEX(科目表!$A$4:$A$81,MATCH($E138,科目表!$B$4:$B$81,0)),""))</f>
        <v/>
      </c>
      <c r="G138" s="26" t="str">
        <f>IF($E138="","",IFERROR(INDEX(科目表!$E$4:$E$81,MATCH($E138,科目表!$B$4:$B$81,0)),""))</f>
        <v/>
      </c>
      <c r="H138" s="27" t="str">
        <f>IF($E138="","",N(INDEX(进销存对接!$M$4:$U$305,45,8)))</f>
        <v/>
      </c>
      <c r="I138" s="27" t="str">
        <f>IF($E138="","",N(INDEX(进销存对接!$M$4:$U$305,45,9)))</f>
        <v/>
      </c>
      <c r="J138" s="26"/>
      <c r="K138" s="26" t="str">
        <f>IF($E138="","",INDEX(进销存对接!$D$4:$D$305,45))</f>
        <v/>
      </c>
      <c r="L138" s="32"/>
      <c r="M138" s="32"/>
      <c r="N138" s="26" t="str">
        <f t="shared" si="10"/>
        <v/>
      </c>
      <c r="O138" s="26" t="str">
        <f t="shared" si="11"/>
        <v/>
      </c>
      <c r="P138" s="10"/>
    </row>
    <row r="139" ht="18" customHeight="1" spans="1:16">
      <c r="A139" s="32" t="str">
        <f t="shared" si="8"/>
        <v/>
      </c>
      <c r="B139" s="100" t="str">
        <f>IF($E139="","",INDEX(进销存对接!$C$4:$C$305,46))</f>
        <v/>
      </c>
      <c r="C139" s="26" t="str">
        <f t="shared" si="9"/>
        <v/>
      </c>
      <c r="D139" s="32" t="str">
        <f>IF($E139="","",INDEX(进销存对接!$D$4:$D$305,46)&amp;" "&amp;TEXT($B139,"YYYY年M月")&amp;" 自动结转")</f>
        <v/>
      </c>
      <c r="E139" s="26" t="str">
        <f>IF(INDEX(进销存对接!$M$4:$U$305,46,1)=0,"",INDEX(进销存对接!$M$4:$U$305,46,1))</f>
        <v/>
      </c>
      <c r="F139" s="25" t="str">
        <f>IF($E139="","",IFERROR(INDEX(科目表!$A$4:$A$81,MATCH($E139,科目表!$B$4:$B$81,0)),""))</f>
        <v/>
      </c>
      <c r="G139" s="26" t="str">
        <f>IF($E139="","",IFERROR(INDEX(科目表!$E$4:$E$81,MATCH($E139,科目表!$B$4:$B$81,0)),""))</f>
        <v/>
      </c>
      <c r="H139" s="27" t="str">
        <f>IF($E139="","",N(INDEX(进销存对接!$M$4:$U$305,46,2)))</f>
        <v/>
      </c>
      <c r="I139" s="27" t="str">
        <f>IF($E139="","",N(INDEX(进销存对接!$M$4:$U$305,46,3)))</f>
        <v/>
      </c>
      <c r="J139" s="26"/>
      <c r="K139" s="26" t="str">
        <f>IF($E139="","",INDEX(进销存对接!$D$4:$D$305,46))</f>
        <v/>
      </c>
      <c r="L139" s="32"/>
      <c r="M139" s="32"/>
      <c r="N139" s="26" t="str">
        <f t="shared" si="10"/>
        <v/>
      </c>
      <c r="O139" s="26" t="str">
        <f t="shared" si="11"/>
        <v/>
      </c>
      <c r="P139" s="10"/>
    </row>
    <row r="140" ht="18" customHeight="1" spans="1:16">
      <c r="A140" s="32" t="str">
        <f t="shared" si="8"/>
        <v/>
      </c>
      <c r="B140" s="100" t="str">
        <f>IF($E140="","",INDEX(进销存对接!$C$4:$C$305,46))</f>
        <v/>
      </c>
      <c r="C140" s="26" t="str">
        <f t="shared" si="9"/>
        <v/>
      </c>
      <c r="D140" s="32" t="str">
        <f>IF($E140="","",INDEX(进销存对接!$D$4:$D$305,46)&amp;" "&amp;TEXT($B140,"YYYY年M月")&amp;" 自动结转")</f>
        <v/>
      </c>
      <c r="E140" s="26" t="str">
        <f>IF(INDEX(进销存对接!$M$4:$U$305,46,4)=0,"",INDEX(进销存对接!$M$4:$U$305,46,4))</f>
        <v/>
      </c>
      <c r="F140" s="25" t="str">
        <f>IF($E140="","",IFERROR(INDEX(科目表!$A$4:$A$81,MATCH($E140,科目表!$B$4:$B$81,0)),""))</f>
        <v/>
      </c>
      <c r="G140" s="26" t="str">
        <f>IF($E140="","",IFERROR(INDEX(科目表!$E$4:$E$81,MATCH($E140,科目表!$B$4:$B$81,0)),""))</f>
        <v/>
      </c>
      <c r="H140" s="27" t="str">
        <f>IF($E140="","",N(INDEX(进销存对接!$M$4:$U$305,46,5)))</f>
        <v/>
      </c>
      <c r="I140" s="27" t="str">
        <f>IF($E140="","",N(INDEX(进销存对接!$M$4:$U$305,46,6)))</f>
        <v/>
      </c>
      <c r="J140" s="26"/>
      <c r="K140" s="26" t="str">
        <f>IF($E140="","",INDEX(进销存对接!$D$4:$D$305,46))</f>
        <v/>
      </c>
      <c r="L140" s="32"/>
      <c r="M140" s="32"/>
      <c r="N140" s="26" t="str">
        <f t="shared" si="10"/>
        <v/>
      </c>
      <c r="O140" s="26" t="str">
        <f t="shared" si="11"/>
        <v/>
      </c>
      <c r="P140" s="10"/>
    </row>
    <row r="141" ht="18" customHeight="1" spans="1:16">
      <c r="A141" s="32" t="str">
        <f t="shared" si="8"/>
        <v/>
      </c>
      <c r="B141" s="100" t="str">
        <f>IF($E141="","",INDEX(进销存对接!$C$4:$C$305,46))</f>
        <v/>
      </c>
      <c r="C141" s="26" t="str">
        <f t="shared" si="9"/>
        <v/>
      </c>
      <c r="D141" s="32" t="str">
        <f>IF($E141="","",INDEX(进销存对接!$D$4:$D$305,46)&amp;" "&amp;TEXT($B141,"YYYY年M月")&amp;" 自动结转")</f>
        <v/>
      </c>
      <c r="E141" s="26" t="str">
        <f>IF(INDEX(进销存对接!$M$4:$U$305,46,7)=0,"",INDEX(进销存对接!$M$4:$U$305,46,7))</f>
        <v/>
      </c>
      <c r="F141" s="25" t="str">
        <f>IF($E141="","",IFERROR(INDEX(科目表!$A$4:$A$81,MATCH($E141,科目表!$B$4:$B$81,0)),""))</f>
        <v/>
      </c>
      <c r="G141" s="26" t="str">
        <f>IF($E141="","",IFERROR(INDEX(科目表!$E$4:$E$81,MATCH($E141,科目表!$B$4:$B$81,0)),""))</f>
        <v/>
      </c>
      <c r="H141" s="27" t="str">
        <f>IF($E141="","",N(INDEX(进销存对接!$M$4:$U$305,46,8)))</f>
        <v/>
      </c>
      <c r="I141" s="27" t="str">
        <f>IF($E141="","",N(INDEX(进销存对接!$M$4:$U$305,46,9)))</f>
        <v/>
      </c>
      <c r="J141" s="26"/>
      <c r="K141" s="26" t="str">
        <f>IF($E141="","",INDEX(进销存对接!$D$4:$D$305,46))</f>
        <v/>
      </c>
      <c r="L141" s="32"/>
      <c r="M141" s="32"/>
      <c r="N141" s="26" t="str">
        <f t="shared" si="10"/>
        <v/>
      </c>
      <c r="O141" s="26" t="str">
        <f t="shared" si="11"/>
        <v/>
      </c>
      <c r="P141" s="10"/>
    </row>
    <row r="142" ht="18" customHeight="1" spans="1:16">
      <c r="A142" s="32" t="str">
        <f t="shared" si="8"/>
        <v/>
      </c>
      <c r="B142" s="100" t="str">
        <f>IF($E142="","",INDEX(进销存对接!$C$4:$C$305,47))</f>
        <v/>
      </c>
      <c r="C142" s="26" t="str">
        <f t="shared" si="9"/>
        <v/>
      </c>
      <c r="D142" s="32" t="str">
        <f>IF($E142="","",INDEX(进销存对接!$D$4:$D$305,47)&amp;" "&amp;TEXT($B142,"YYYY年M月")&amp;" 自动结转")</f>
        <v/>
      </c>
      <c r="E142" s="26" t="str">
        <f>IF(INDEX(进销存对接!$M$4:$U$305,47,1)=0,"",INDEX(进销存对接!$M$4:$U$305,47,1))</f>
        <v/>
      </c>
      <c r="F142" s="25" t="str">
        <f>IF($E142="","",IFERROR(INDEX(科目表!$A$4:$A$81,MATCH($E142,科目表!$B$4:$B$81,0)),""))</f>
        <v/>
      </c>
      <c r="G142" s="26" t="str">
        <f>IF($E142="","",IFERROR(INDEX(科目表!$E$4:$E$81,MATCH($E142,科目表!$B$4:$B$81,0)),""))</f>
        <v/>
      </c>
      <c r="H142" s="27" t="str">
        <f>IF($E142="","",N(INDEX(进销存对接!$M$4:$U$305,47,2)))</f>
        <v/>
      </c>
      <c r="I142" s="27" t="str">
        <f>IF($E142="","",N(INDEX(进销存对接!$M$4:$U$305,47,3)))</f>
        <v/>
      </c>
      <c r="J142" s="26"/>
      <c r="K142" s="26" t="str">
        <f>IF($E142="","",INDEX(进销存对接!$D$4:$D$305,47))</f>
        <v/>
      </c>
      <c r="L142" s="32"/>
      <c r="M142" s="32"/>
      <c r="N142" s="26" t="str">
        <f t="shared" si="10"/>
        <v/>
      </c>
      <c r="O142" s="26" t="str">
        <f t="shared" si="11"/>
        <v/>
      </c>
      <c r="P142" s="10"/>
    </row>
    <row r="143" ht="18" customHeight="1" spans="1:16">
      <c r="A143" s="32" t="str">
        <f t="shared" si="8"/>
        <v/>
      </c>
      <c r="B143" s="100" t="str">
        <f>IF($E143="","",INDEX(进销存对接!$C$4:$C$305,47))</f>
        <v/>
      </c>
      <c r="C143" s="26" t="str">
        <f t="shared" si="9"/>
        <v/>
      </c>
      <c r="D143" s="32" t="str">
        <f>IF($E143="","",INDEX(进销存对接!$D$4:$D$305,47)&amp;" "&amp;TEXT($B143,"YYYY年M月")&amp;" 自动结转")</f>
        <v/>
      </c>
      <c r="E143" s="26" t="str">
        <f>IF(INDEX(进销存对接!$M$4:$U$305,47,4)=0,"",INDEX(进销存对接!$M$4:$U$305,47,4))</f>
        <v/>
      </c>
      <c r="F143" s="25" t="str">
        <f>IF($E143="","",IFERROR(INDEX(科目表!$A$4:$A$81,MATCH($E143,科目表!$B$4:$B$81,0)),""))</f>
        <v/>
      </c>
      <c r="G143" s="26" t="str">
        <f>IF($E143="","",IFERROR(INDEX(科目表!$E$4:$E$81,MATCH($E143,科目表!$B$4:$B$81,0)),""))</f>
        <v/>
      </c>
      <c r="H143" s="27" t="str">
        <f>IF($E143="","",N(INDEX(进销存对接!$M$4:$U$305,47,5)))</f>
        <v/>
      </c>
      <c r="I143" s="27" t="str">
        <f>IF($E143="","",N(INDEX(进销存对接!$M$4:$U$305,47,6)))</f>
        <v/>
      </c>
      <c r="J143" s="26"/>
      <c r="K143" s="26" t="str">
        <f>IF($E143="","",INDEX(进销存对接!$D$4:$D$305,47))</f>
        <v/>
      </c>
      <c r="L143" s="32"/>
      <c r="M143" s="32"/>
      <c r="N143" s="26" t="str">
        <f t="shared" si="10"/>
        <v/>
      </c>
      <c r="O143" s="26" t="str">
        <f t="shared" si="11"/>
        <v/>
      </c>
      <c r="P143" s="10"/>
    </row>
    <row r="144" ht="18" customHeight="1" spans="1:16">
      <c r="A144" s="32" t="str">
        <f t="shared" si="8"/>
        <v/>
      </c>
      <c r="B144" s="100" t="str">
        <f>IF($E144="","",INDEX(进销存对接!$C$4:$C$305,47))</f>
        <v/>
      </c>
      <c r="C144" s="26" t="str">
        <f t="shared" si="9"/>
        <v/>
      </c>
      <c r="D144" s="32" t="str">
        <f>IF($E144="","",INDEX(进销存对接!$D$4:$D$305,47)&amp;" "&amp;TEXT($B144,"YYYY年M月")&amp;" 自动结转")</f>
        <v/>
      </c>
      <c r="E144" s="26" t="str">
        <f>IF(INDEX(进销存对接!$M$4:$U$305,47,7)=0,"",INDEX(进销存对接!$M$4:$U$305,47,7))</f>
        <v/>
      </c>
      <c r="F144" s="25" t="str">
        <f>IF($E144="","",IFERROR(INDEX(科目表!$A$4:$A$81,MATCH($E144,科目表!$B$4:$B$81,0)),""))</f>
        <v/>
      </c>
      <c r="G144" s="26" t="str">
        <f>IF($E144="","",IFERROR(INDEX(科目表!$E$4:$E$81,MATCH($E144,科目表!$B$4:$B$81,0)),""))</f>
        <v/>
      </c>
      <c r="H144" s="27" t="str">
        <f>IF($E144="","",N(INDEX(进销存对接!$M$4:$U$305,47,8)))</f>
        <v/>
      </c>
      <c r="I144" s="27" t="str">
        <f>IF($E144="","",N(INDEX(进销存对接!$M$4:$U$305,47,9)))</f>
        <v/>
      </c>
      <c r="J144" s="26"/>
      <c r="K144" s="26" t="str">
        <f>IF($E144="","",INDEX(进销存对接!$D$4:$D$305,47))</f>
        <v/>
      </c>
      <c r="L144" s="32"/>
      <c r="M144" s="32"/>
      <c r="N144" s="26" t="str">
        <f t="shared" si="10"/>
        <v/>
      </c>
      <c r="O144" s="26" t="str">
        <f t="shared" si="11"/>
        <v/>
      </c>
      <c r="P144" s="10"/>
    </row>
    <row r="145" ht="18" customHeight="1" spans="1:16">
      <c r="A145" s="32" t="str">
        <f t="shared" si="8"/>
        <v/>
      </c>
      <c r="B145" s="100" t="str">
        <f>IF($E145="","",INDEX(进销存对接!$C$4:$C$305,48))</f>
        <v/>
      </c>
      <c r="C145" s="26" t="str">
        <f t="shared" si="9"/>
        <v/>
      </c>
      <c r="D145" s="32" t="str">
        <f>IF($E145="","",INDEX(进销存对接!$D$4:$D$305,48)&amp;" "&amp;TEXT($B145,"YYYY年M月")&amp;" 自动结转")</f>
        <v/>
      </c>
      <c r="E145" s="26" t="str">
        <f>IF(INDEX(进销存对接!$M$4:$U$305,48,1)=0,"",INDEX(进销存对接!$M$4:$U$305,48,1))</f>
        <v/>
      </c>
      <c r="F145" s="25" t="str">
        <f>IF($E145="","",IFERROR(INDEX(科目表!$A$4:$A$81,MATCH($E145,科目表!$B$4:$B$81,0)),""))</f>
        <v/>
      </c>
      <c r="G145" s="26" t="str">
        <f>IF($E145="","",IFERROR(INDEX(科目表!$E$4:$E$81,MATCH($E145,科目表!$B$4:$B$81,0)),""))</f>
        <v/>
      </c>
      <c r="H145" s="27" t="str">
        <f>IF($E145="","",N(INDEX(进销存对接!$M$4:$U$305,48,2)))</f>
        <v/>
      </c>
      <c r="I145" s="27" t="str">
        <f>IF($E145="","",N(INDEX(进销存对接!$M$4:$U$305,48,3)))</f>
        <v/>
      </c>
      <c r="J145" s="26"/>
      <c r="K145" s="26" t="str">
        <f>IF($E145="","",INDEX(进销存对接!$D$4:$D$305,48))</f>
        <v/>
      </c>
      <c r="L145" s="32"/>
      <c r="M145" s="32"/>
      <c r="N145" s="26" t="str">
        <f t="shared" si="10"/>
        <v/>
      </c>
      <c r="O145" s="26" t="str">
        <f t="shared" si="11"/>
        <v/>
      </c>
      <c r="P145" s="10"/>
    </row>
    <row r="146" ht="18" customHeight="1" spans="1:16">
      <c r="A146" s="32" t="str">
        <f t="shared" si="8"/>
        <v/>
      </c>
      <c r="B146" s="100" t="str">
        <f>IF($E146="","",INDEX(进销存对接!$C$4:$C$305,48))</f>
        <v/>
      </c>
      <c r="C146" s="26" t="str">
        <f t="shared" si="9"/>
        <v/>
      </c>
      <c r="D146" s="32" t="str">
        <f>IF($E146="","",INDEX(进销存对接!$D$4:$D$305,48)&amp;" "&amp;TEXT($B146,"YYYY年M月")&amp;" 自动结转")</f>
        <v/>
      </c>
      <c r="E146" s="26" t="str">
        <f>IF(INDEX(进销存对接!$M$4:$U$305,48,4)=0,"",INDEX(进销存对接!$M$4:$U$305,48,4))</f>
        <v/>
      </c>
      <c r="F146" s="25" t="str">
        <f>IF($E146="","",IFERROR(INDEX(科目表!$A$4:$A$81,MATCH($E146,科目表!$B$4:$B$81,0)),""))</f>
        <v/>
      </c>
      <c r="G146" s="26" t="str">
        <f>IF($E146="","",IFERROR(INDEX(科目表!$E$4:$E$81,MATCH($E146,科目表!$B$4:$B$81,0)),""))</f>
        <v/>
      </c>
      <c r="H146" s="27" t="str">
        <f>IF($E146="","",N(INDEX(进销存对接!$M$4:$U$305,48,5)))</f>
        <v/>
      </c>
      <c r="I146" s="27" t="str">
        <f>IF($E146="","",N(INDEX(进销存对接!$M$4:$U$305,48,6)))</f>
        <v/>
      </c>
      <c r="J146" s="26"/>
      <c r="K146" s="26" t="str">
        <f>IF($E146="","",INDEX(进销存对接!$D$4:$D$305,48))</f>
        <v/>
      </c>
      <c r="L146" s="32"/>
      <c r="M146" s="32"/>
      <c r="N146" s="26" t="str">
        <f t="shared" si="10"/>
        <v/>
      </c>
      <c r="O146" s="26" t="str">
        <f t="shared" si="11"/>
        <v/>
      </c>
      <c r="P146" s="10"/>
    </row>
    <row r="147" ht="18" customHeight="1" spans="1:16">
      <c r="A147" s="32" t="str">
        <f t="shared" si="8"/>
        <v/>
      </c>
      <c r="B147" s="100" t="str">
        <f>IF($E147="","",INDEX(进销存对接!$C$4:$C$305,48))</f>
        <v/>
      </c>
      <c r="C147" s="26" t="str">
        <f t="shared" si="9"/>
        <v/>
      </c>
      <c r="D147" s="32" t="str">
        <f>IF($E147="","",INDEX(进销存对接!$D$4:$D$305,48)&amp;" "&amp;TEXT($B147,"YYYY年M月")&amp;" 自动结转")</f>
        <v/>
      </c>
      <c r="E147" s="26" t="str">
        <f>IF(INDEX(进销存对接!$M$4:$U$305,48,7)=0,"",INDEX(进销存对接!$M$4:$U$305,48,7))</f>
        <v/>
      </c>
      <c r="F147" s="25" t="str">
        <f>IF($E147="","",IFERROR(INDEX(科目表!$A$4:$A$81,MATCH($E147,科目表!$B$4:$B$81,0)),""))</f>
        <v/>
      </c>
      <c r="G147" s="26" t="str">
        <f>IF($E147="","",IFERROR(INDEX(科目表!$E$4:$E$81,MATCH($E147,科目表!$B$4:$B$81,0)),""))</f>
        <v/>
      </c>
      <c r="H147" s="27" t="str">
        <f>IF($E147="","",N(INDEX(进销存对接!$M$4:$U$305,48,8)))</f>
        <v/>
      </c>
      <c r="I147" s="27" t="str">
        <f>IF($E147="","",N(INDEX(进销存对接!$M$4:$U$305,48,9)))</f>
        <v/>
      </c>
      <c r="J147" s="26"/>
      <c r="K147" s="26" t="str">
        <f>IF($E147="","",INDEX(进销存对接!$D$4:$D$305,48))</f>
        <v/>
      </c>
      <c r="L147" s="32"/>
      <c r="M147" s="32"/>
      <c r="N147" s="26" t="str">
        <f t="shared" si="10"/>
        <v/>
      </c>
      <c r="O147" s="26" t="str">
        <f t="shared" si="11"/>
        <v/>
      </c>
      <c r="P147" s="10"/>
    </row>
    <row r="148" ht="18" customHeight="1" spans="1:16">
      <c r="A148" s="32" t="str">
        <f t="shared" si="8"/>
        <v/>
      </c>
      <c r="B148" s="100" t="str">
        <f>IF($E148="","",INDEX(进销存对接!$C$4:$C$305,49))</f>
        <v/>
      </c>
      <c r="C148" s="26" t="str">
        <f t="shared" si="9"/>
        <v/>
      </c>
      <c r="D148" s="32" t="str">
        <f>IF($E148="","",INDEX(进销存对接!$D$4:$D$305,49)&amp;" "&amp;TEXT($B148,"YYYY年M月")&amp;" 自动结转")</f>
        <v/>
      </c>
      <c r="E148" s="26" t="str">
        <f>IF(INDEX(进销存对接!$M$4:$U$305,49,1)=0,"",INDEX(进销存对接!$M$4:$U$305,49,1))</f>
        <v/>
      </c>
      <c r="F148" s="25" t="str">
        <f>IF($E148="","",IFERROR(INDEX(科目表!$A$4:$A$81,MATCH($E148,科目表!$B$4:$B$81,0)),""))</f>
        <v/>
      </c>
      <c r="G148" s="26" t="str">
        <f>IF($E148="","",IFERROR(INDEX(科目表!$E$4:$E$81,MATCH($E148,科目表!$B$4:$B$81,0)),""))</f>
        <v/>
      </c>
      <c r="H148" s="27" t="str">
        <f>IF($E148="","",N(INDEX(进销存对接!$M$4:$U$305,49,2)))</f>
        <v/>
      </c>
      <c r="I148" s="27" t="str">
        <f>IF($E148="","",N(INDEX(进销存对接!$M$4:$U$305,49,3)))</f>
        <v/>
      </c>
      <c r="J148" s="26"/>
      <c r="K148" s="26" t="str">
        <f>IF($E148="","",INDEX(进销存对接!$D$4:$D$305,49))</f>
        <v/>
      </c>
      <c r="L148" s="32"/>
      <c r="M148" s="32"/>
      <c r="N148" s="26" t="str">
        <f t="shared" si="10"/>
        <v/>
      </c>
      <c r="O148" s="26" t="str">
        <f t="shared" si="11"/>
        <v/>
      </c>
      <c r="P148" s="10"/>
    </row>
    <row r="149" ht="18" customHeight="1" spans="1:16">
      <c r="A149" s="32" t="str">
        <f t="shared" si="8"/>
        <v/>
      </c>
      <c r="B149" s="100" t="str">
        <f>IF($E149="","",INDEX(进销存对接!$C$4:$C$305,49))</f>
        <v/>
      </c>
      <c r="C149" s="26" t="str">
        <f t="shared" si="9"/>
        <v/>
      </c>
      <c r="D149" s="32" t="str">
        <f>IF($E149="","",INDEX(进销存对接!$D$4:$D$305,49)&amp;" "&amp;TEXT($B149,"YYYY年M月")&amp;" 自动结转")</f>
        <v/>
      </c>
      <c r="E149" s="26" t="str">
        <f>IF(INDEX(进销存对接!$M$4:$U$305,49,4)=0,"",INDEX(进销存对接!$M$4:$U$305,49,4))</f>
        <v/>
      </c>
      <c r="F149" s="25" t="str">
        <f>IF($E149="","",IFERROR(INDEX(科目表!$A$4:$A$81,MATCH($E149,科目表!$B$4:$B$81,0)),""))</f>
        <v/>
      </c>
      <c r="G149" s="26" t="str">
        <f>IF($E149="","",IFERROR(INDEX(科目表!$E$4:$E$81,MATCH($E149,科目表!$B$4:$B$81,0)),""))</f>
        <v/>
      </c>
      <c r="H149" s="27" t="str">
        <f>IF($E149="","",N(INDEX(进销存对接!$M$4:$U$305,49,5)))</f>
        <v/>
      </c>
      <c r="I149" s="27" t="str">
        <f>IF($E149="","",N(INDEX(进销存对接!$M$4:$U$305,49,6)))</f>
        <v/>
      </c>
      <c r="J149" s="26"/>
      <c r="K149" s="26" t="str">
        <f>IF($E149="","",INDEX(进销存对接!$D$4:$D$305,49))</f>
        <v/>
      </c>
      <c r="L149" s="32"/>
      <c r="M149" s="32"/>
      <c r="N149" s="26" t="str">
        <f t="shared" si="10"/>
        <v/>
      </c>
      <c r="O149" s="26" t="str">
        <f t="shared" si="11"/>
        <v/>
      </c>
      <c r="P149" s="10"/>
    </row>
    <row r="150" ht="18" customHeight="1" spans="1:16">
      <c r="A150" s="32" t="str">
        <f t="shared" si="8"/>
        <v/>
      </c>
      <c r="B150" s="100" t="str">
        <f>IF($E150="","",INDEX(进销存对接!$C$4:$C$305,49))</f>
        <v/>
      </c>
      <c r="C150" s="26" t="str">
        <f t="shared" si="9"/>
        <v/>
      </c>
      <c r="D150" s="32" t="str">
        <f>IF($E150="","",INDEX(进销存对接!$D$4:$D$305,49)&amp;" "&amp;TEXT($B150,"YYYY年M月")&amp;" 自动结转")</f>
        <v/>
      </c>
      <c r="E150" s="26" t="str">
        <f>IF(INDEX(进销存对接!$M$4:$U$305,49,7)=0,"",INDEX(进销存对接!$M$4:$U$305,49,7))</f>
        <v/>
      </c>
      <c r="F150" s="25" t="str">
        <f>IF($E150="","",IFERROR(INDEX(科目表!$A$4:$A$81,MATCH($E150,科目表!$B$4:$B$81,0)),""))</f>
        <v/>
      </c>
      <c r="G150" s="26" t="str">
        <f>IF($E150="","",IFERROR(INDEX(科目表!$E$4:$E$81,MATCH($E150,科目表!$B$4:$B$81,0)),""))</f>
        <v/>
      </c>
      <c r="H150" s="27" t="str">
        <f>IF($E150="","",N(INDEX(进销存对接!$M$4:$U$305,49,8)))</f>
        <v/>
      </c>
      <c r="I150" s="27" t="str">
        <f>IF($E150="","",N(INDEX(进销存对接!$M$4:$U$305,49,9)))</f>
        <v/>
      </c>
      <c r="J150" s="26"/>
      <c r="K150" s="26" t="str">
        <f>IF($E150="","",INDEX(进销存对接!$D$4:$D$305,49))</f>
        <v/>
      </c>
      <c r="L150" s="32"/>
      <c r="M150" s="32"/>
      <c r="N150" s="26" t="str">
        <f t="shared" si="10"/>
        <v/>
      </c>
      <c r="O150" s="26" t="str">
        <f t="shared" si="11"/>
        <v/>
      </c>
      <c r="P150" s="10"/>
    </row>
    <row r="151" ht="18" customHeight="1" spans="1:16">
      <c r="A151" s="32" t="str">
        <f t="shared" si="8"/>
        <v/>
      </c>
      <c r="B151" s="100" t="str">
        <f>IF($E151="","",INDEX(进销存对接!$C$4:$C$305,50))</f>
        <v/>
      </c>
      <c r="C151" s="26" t="str">
        <f t="shared" si="9"/>
        <v/>
      </c>
      <c r="D151" s="32" t="str">
        <f>IF($E151="","",INDEX(进销存对接!$D$4:$D$305,50)&amp;" "&amp;TEXT($B151,"YYYY年M月")&amp;" 自动结转")</f>
        <v/>
      </c>
      <c r="E151" s="26" t="str">
        <f>IF(INDEX(进销存对接!$M$4:$U$305,50,1)=0,"",INDEX(进销存对接!$M$4:$U$305,50,1))</f>
        <v/>
      </c>
      <c r="F151" s="25" t="str">
        <f>IF($E151="","",IFERROR(INDEX(科目表!$A$4:$A$81,MATCH($E151,科目表!$B$4:$B$81,0)),""))</f>
        <v/>
      </c>
      <c r="G151" s="26" t="str">
        <f>IF($E151="","",IFERROR(INDEX(科目表!$E$4:$E$81,MATCH($E151,科目表!$B$4:$B$81,0)),""))</f>
        <v/>
      </c>
      <c r="H151" s="27" t="str">
        <f>IF($E151="","",N(INDEX(进销存对接!$M$4:$U$305,50,2)))</f>
        <v/>
      </c>
      <c r="I151" s="27" t="str">
        <f>IF($E151="","",N(INDEX(进销存对接!$M$4:$U$305,50,3)))</f>
        <v/>
      </c>
      <c r="J151" s="26"/>
      <c r="K151" s="26" t="str">
        <f>IF($E151="","",INDEX(进销存对接!$D$4:$D$305,50))</f>
        <v/>
      </c>
      <c r="L151" s="32"/>
      <c r="M151" s="32"/>
      <c r="N151" s="26" t="str">
        <f t="shared" si="10"/>
        <v/>
      </c>
      <c r="O151" s="26" t="str">
        <f t="shared" si="11"/>
        <v/>
      </c>
      <c r="P151" s="10"/>
    </row>
    <row r="152" ht="18" customHeight="1" spans="1:16">
      <c r="A152" s="32" t="str">
        <f t="shared" si="8"/>
        <v/>
      </c>
      <c r="B152" s="100" t="str">
        <f>IF($E152="","",INDEX(进销存对接!$C$4:$C$305,50))</f>
        <v/>
      </c>
      <c r="C152" s="26" t="str">
        <f t="shared" si="9"/>
        <v/>
      </c>
      <c r="D152" s="32" t="str">
        <f>IF($E152="","",INDEX(进销存对接!$D$4:$D$305,50)&amp;" "&amp;TEXT($B152,"YYYY年M月")&amp;" 自动结转")</f>
        <v/>
      </c>
      <c r="E152" s="26" t="str">
        <f>IF(INDEX(进销存对接!$M$4:$U$305,50,4)=0,"",INDEX(进销存对接!$M$4:$U$305,50,4))</f>
        <v/>
      </c>
      <c r="F152" s="25" t="str">
        <f>IF($E152="","",IFERROR(INDEX(科目表!$A$4:$A$81,MATCH($E152,科目表!$B$4:$B$81,0)),""))</f>
        <v/>
      </c>
      <c r="G152" s="26" t="str">
        <f>IF($E152="","",IFERROR(INDEX(科目表!$E$4:$E$81,MATCH($E152,科目表!$B$4:$B$81,0)),""))</f>
        <v/>
      </c>
      <c r="H152" s="27" t="str">
        <f>IF($E152="","",N(INDEX(进销存对接!$M$4:$U$305,50,5)))</f>
        <v/>
      </c>
      <c r="I152" s="27" t="str">
        <f>IF($E152="","",N(INDEX(进销存对接!$M$4:$U$305,50,6)))</f>
        <v/>
      </c>
      <c r="J152" s="26"/>
      <c r="K152" s="26" t="str">
        <f>IF($E152="","",INDEX(进销存对接!$D$4:$D$305,50))</f>
        <v/>
      </c>
      <c r="L152" s="32"/>
      <c r="M152" s="32"/>
      <c r="N152" s="26" t="str">
        <f t="shared" si="10"/>
        <v/>
      </c>
      <c r="O152" s="26" t="str">
        <f t="shared" si="11"/>
        <v/>
      </c>
      <c r="P152" s="10"/>
    </row>
    <row r="153" ht="18" customHeight="1" spans="1:16">
      <c r="A153" s="32" t="str">
        <f t="shared" si="8"/>
        <v/>
      </c>
      <c r="B153" s="100" t="str">
        <f>IF($E153="","",INDEX(进销存对接!$C$4:$C$305,50))</f>
        <v/>
      </c>
      <c r="C153" s="26" t="str">
        <f t="shared" si="9"/>
        <v/>
      </c>
      <c r="D153" s="32" t="str">
        <f>IF($E153="","",INDEX(进销存对接!$D$4:$D$305,50)&amp;" "&amp;TEXT($B153,"YYYY年M月")&amp;" 自动结转")</f>
        <v/>
      </c>
      <c r="E153" s="26" t="str">
        <f>IF(INDEX(进销存对接!$M$4:$U$305,50,7)=0,"",INDEX(进销存对接!$M$4:$U$305,50,7))</f>
        <v/>
      </c>
      <c r="F153" s="25" t="str">
        <f>IF($E153="","",IFERROR(INDEX(科目表!$A$4:$A$81,MATCH($E153,科目表!$B$4:$B$81,0)),""))</f>
        <v/>
      </c>
      <c r="G153" s="26" t="str">
        <f>IF($E153="","",IFERROR(INDEX(科目表!$E$4:$E$81,MATCH($E153,科目表!$B$4:$B$81,0)),""))</f>
        <v/>
      </c>
      <c r="H153" s="27" t="str">
        <f>IF($E153="","",N(INDEX(进销存对接!$M$4:$U$305,50,8)))</f>
        <v/>
      </c>
      <c r="I153" s="27" t="str">
        <f>IF($E153="","",N(INDEX(进销存对接!$M$4:$U$305,50,9)))</f>
        <v/>
      </c>
      <c r="J153" s="26"/>
      <c r="K153" s="26" t="str">
        <f>IF($E153="","",INDEX(进销存对接!$D$4:$D$305,50))</f>
        <v/>
      </c>
      <c r="L153" s="32"/>
      <c r="M153" s="32"/>
      <c r="N153" s="26" t="str">
        <f t="shared" si="10"/>
        <v/>
      </c>
      <c r="O153" s="26" t="str">
        <f t="shared" si="11"/>
        <v/>
      </c>
      <c r="P153" s="10"/>
    </row>
    <row r="154" ht="18" customHeight="1" spans="1:16">
      <c r="A154" s="32" t="str">
        <f t="shared" si="8"/>
        <v/>
      </c>
      <c r="B154" s="100" t="str">
        <f>IF($E154="","",INDEX(进销存对接!$C$4:$C$305,51))</f>
        <v/>
      </c>
      <c r="C154" s="26" t="str">
        <f t="shared" si="9"/>
        <v/>
      </c>
      <c r="D154" s="32" t="str">
        <f>IF($E154="","",INDEX(进销存对接!$D$4:$D$305,51)&amp;" "&amp;TEXT($B154,"YYYY年M月")&amp;" 自动结转")</f>
        <v/>
      </c>
      <c r="E154" s="26" t="str">
        <f>IF(INDEX(进销存对接!$M$4:$U$305,51,1)=0,"",INDEX(进销存对接!$M$4:$U$305,51,1))</f>
        <v/>
      </c>
      <c r="F154" s="25" t="str">
        <f>IF($E154="","",IFERROR(INDEX(科目表!$A$4:$A$81,MATCH($E154,科目表!$B$4:$B$81,0)),""))</f>
        <v/>
      </c>
      <c r="G154" s="26" t="str">
        <f>IF($E154="","",IFERROR(INDEX(科目表!$E$4:$E$81,MATCH($E154,科目表!$B$4:$B$81,0)),""))</f>
        <v/>
      </c>
      <c r="H154" s="27" t="str">
        <f>IF($E154="","",N(INDEX(进销存对接!$M$4:$U$305,51,2)))</f>
        <v/>
      </c>
      <c r="I154" s="27" t="str">
        <f>IF($E154="","",N(INDEX(进销存对接!$M$4:$U$305,51,3)))</f>
        <v/>
      </c>
      <c r="J154" s="26"/>
      <c r="K154" s="26" t="str">
        <f>IF($E154="","",INDEX(进销存对接!$D$4:$D$305,51))</f>
        <v/>
      </c>
      <c r="L154" s="32"/>
      <c r="M154" s="32"/>
      <c r="N154" s="26" t="str">
        <f t="shared" si="10"/>
        <v/>
      </c>
      <c r="O154" s="26" t="str">
        <f t="shared" si="11"/>
        <v/>
      </c>
      <c r="P154" s="10"/>
    </row>
    <row r="155" ht="18" customHeight="1" spans="1:16">
      <c r="A155" s="32" t="str">
        <f t="shared" si="8"/>
        <v/>
      </c>
      <c r="B155" s="100" t="str">
        <f>IF($E155="","",INDEX(进销存对接!$C$4:$C$305,51))</f>
        <v/>
      </c>
      <c r="C155" s="26" t="str">
        <f t="shared" si="9"/>
        <v/>
      </c>
      <c r="D155" s="32" t="str">
        <f>IF($E155="","",INDEX(进销存对接!$D$4:$D$305,51)&amp;" "&amp;TEXT($B155,"YYYY年M月")&amp;" 自动结转")</f>
        <v/>
      </c>
      <c r="E155" s="26" t="str">
        <f>IF(INDEX(进销存对接!$M$4:$U$305,51,4)=0,"",INDEX(进销存对接!$M$4:$U$305,51,4))</f>
        <v/>
      </c>
      <c r="F155" s="25" t="str">
        <f>IF($E155="","",IFERROR(INDEX(科目表!$A$4:$A$81,MATCH($E155,科目表!$B$4:$B$81,0)),""))</f>
        <v/>
      </c>
      <c r="G155" s="26" t="str">
        <f>IF($E155="","",IFERROR(INDEX(科目表!$E$4:$E$81,MATCH($E155,科目表!$B$4:$B$81,0)),""))</f>
        <v/>
      </c>
      <c r="H155" s="27" t="str">
        <f>IF($E155="","",N(INDEX(进销存对接!$M$4:$U$305,51,5)))</f>
        <v/>
      </c>
      <c r="I155" s="27" t="str">
        <f>IF($E155="","",N(INDEX(进销存对接!$M$4:$U$305,51,6)))</f>
        <v/>
      </c>
      <c r="J155" s="26"/>
      <c r="K155" s="26" t="str">
        <f>IF($E155="","",INDEX(进销存对接!$D$4:$D$305,51))</f>
        <v/>
      </c>
      <c r="L155" s="32"/>
      <c r="M155" s="32"/>
      <c r="N155" s="26" t="str">
        <f t="shared" si="10"/>
        <v/>
      </c>
      <c r="O155" s="26" t="str">
        <f t="shared" si="11"/>
        <v/>
      </c>
      <c r="P155" s="10"/>
    </row>
    <row r="156" ht="18" customHeight="1" spans="1:16">
      <c r="A156" s="32" t="str">
        <f t="shared" si="8"/>
        <v/>
      </c>
      <c r="B156" s="100" t="str">
        <f>IF($E156="","",INDEX(进销存对接!$C$4:$C$305,51))</f>
        <v/>
      </c>
      <c r="C156" s="26" t="str">
        <f t="shared" si="9"/>
        <v/>
      </c>
      <c r="D156" s="32" t="str">
        <f>IF($E156="","",INDEX(进销存对接!$D$4:$D$305,51)&amp;" "&amp;TEXT($B156,"YYYY年M月")&amp;" 自动结转")</f>
        <v/>
      </c>
      <c r="E156" s="26" t="str">
        <f>IF(INDEX(进销存对接!$M$4:$U$305,51,7)=0,"",INDEX(进销存对接!$M$4:$U$305,51,7))</f>
        <v/>
      </c>
      <c r="F156" s="25" t="str">
        <f>IF($E156="","",IFERROR(INDEX(科目表!$A$4:$A$81,MATCH($E156,科目表!$B$4:$B$81,0)),""))</f>
        <v/>
      </c>
      <c r="G156" s="26" t="str">
        <f>IF($E156="","",IFERROR(INDEX(科目表!$E$4:$E$81,MATCH($E156,科目表!$B$4:$B$81,0)),""))</f>
        <v/>
      </c>
      <c r="H156" s="27" t="str">
        <f>IF($E156="","",N(INDEX(进销存对接!$M$4:$U$305,51,8)))</f>
        <v/>
      </c>
      <c r="I156" s="27" t="str">
        <f>IF($E156="","",N(INDEX(进销存对接!$M$4:$U$305,51,9)))</f>
        <v/>
      </c>
      <c r="J156" s="26"/>
      <c r="K156" s="26" t="str">
        <f>IF($E156="","",INDEX(进销存对接!$D$4:$D$305,51))</f>
        <v/>
      </c>
      <c r="L156" s="32"/>
      <c r="M156" s="32"/>
      <c r="N156" s="26" t="str">
        <f t="shared" si="10"/>
        <v/>
      </c>
      <c r="O156" s="26" t="str">
        <f t="shared" si="11"/>
        <v/>
      </c>
      <c r="P156" s="10"/>
    </row>
    <row r="157" ht="18" customHeight="1" spans="1:16">
      <c r="A157" s="32" t="str">
        <f t="shared" si="8"/>
        <v/>
      </c>
      <c r="B157" s="100" t="str">
        <f>IF($E157="","",INDEX(进销存对接!$C$4:$C$305,52))</f>
        <v/>
      </c>
      <c r="C157" s="26" t="str">
        <f t="shared" si="9"/>
        <v/>
      </c>
      <c r="D157" s="32" t="str">
        <f>IF($E157="","",INDEX(进销存对接!$D$4:$D$305,52)&amp;" "&amp;TEXT($B157,"YYYY年M月")&amp;" 自动结转")</f>
        <v/>
      </c>
      <c r="E157" s="26" t="str">
        <f>IF(INDEX(进销存对接!$M$4:$U$305,52,1)=0,"",INDEX(进销存对接!$M$4:$U$305,52,1))</f>
        <v/>
      </c>
      <c r="F157" s="25" t="str">
        <f>IF($E157="","",IFERROR(INDEX(科目表!$A$4:$A$81,MATCH($E157,科目表!$B$4:$B$81,0)),""))</f>
        <v/>
      </c>
      <c r="G157" s="26" t="str">
        <f>IF($E157="","",IFERROR(INDEX(科目表!$E$4:$E$81,MATCH($E157,科目表!$B$4:$B$81,0)),""))</f>
        <v/>
      </c>
      <c r="H157" s="27" t="str">
        <f>IF($E157="","",N(INDEX(进销存对接!$M$4:$U$305,52,2)))</f>
        <v/>
      </c>
      <c r="I157" s="27" t="str">
        <f>IF($E157="","",N(INDEX(进销存对接!$M$4:$U$305,52,3)))</f>
        <v/>
      </c>
      <c r="J157" s="26"/>
      <c r="K157" s="26" t="str">
        <f>IF($E157="","",INDEX(进销存对接!$D$4:$D$305,52))</f>
        <v/>
      </c>
      <c r="L157" s="32"/>
      <c r="M157" s="32"/>
      <c r="N157" s="26" t="str">
        <f t="shared" si="10"/>
        <v/>
      </c>
      <c r="O157" s="26" t="str">
        <f t="shared" si="11"/>
        <v/>
      </c>
      <c r="P157" s="10"/>
    </row>
    <row r="158" ht="18" customHeight="1" spans="1:16">
      <c r="A158" s="32" t="str">
        <f t="shared" si="8"/>
        <v/>
      </c>
      <c r="B158" s="100" t="str">
        <f>IF($E158="","",INDEX(进销存对接!$C$4:$C$305,52))</f>
        <v/>
      </c>
      <c r="C158" s="26" t="str">
        <f t="shared" si="9"/>
        <v/>
      </c>
      <c r="D158" s="32" t="str">
        <f>IF($E158="","",INDEX(进销存对接!$D$4:$D$305,52)&amp;" "&amp;TEXT($B158,"YYYY年M月")&amp;" 自动结转")</f>
        <v/>
      </c>
      <c r="E158" s="26" t="str">
        <f>IF(INDEX(进销存对接!$M$4:$U$305,52,4)=0,"",INDEX(进销存对接!$M$4:$U$305,52,4))</f>
        <v/>
      </c>
      <c r="F158" s="25" t="str">
        <f>IF($E158="","",IFERROR(INDEX(科目表!$A$4:$A$81,MATCH($E158,科目表!$B$4:$B$81,0)),""))</f>
        <v/>
      </c>
      <c r="G158" s="26" t="str">
        <f>IF($E158="","",IFERROR(INDEX(科目表!$E$4:$E$81,MATCH($E158,科目表!$B$4:$B$81,0)),""))</f>
        <v/>
      </c>
      <c r="H158" s="27" t="str">
        <f>IF($E158="","",N(INDEX(进销存对接!$M$4:$U$305,52,5)))</f>
        <v/>
      </c>
      <c r="I158" s="27" t="str">
        <f>IF($E158="","",N(INDEX(进销存对接!$M$4:$U$305,52,6)))</f>
        <v/>
      </c>
      <c r="J158" s="26"/>
      <c r="K158" s="26" t="str">
        <f>IF($E158="","",INDEX(进销存对接!$D$4:$D$305,52))</f>
        <v/>
      </c>
      <c r="L158" s="32"/>
      <c r="M158" s="32"/>
      <c r="N158" s="26" t="str">
        <f t="shared" si="10"/>
        <v/>
      </c>
      <c r="O158" s="26" t="str">
        <f t="shared" si="11"/>
        <v/>
      </c>
      <c r="P158" s="10"/>
    </row>
    <row r="159" ht="18" customHeight="1" spans="1:16">
      <c r="A159" s="32" t="str">
        <f t="shared" si="8"/>
        <v/>
      </c>
      <c r="B159" s="100" t="str">
        <f>IF($E159="","",INDEX(进销存对接!$C$4:$C$305,52))</f>
        <v/>
      </c>
      <c r="C159" s="26" t="str">
        <f t="shared" si="9"/>
        <v/>
      </c>
      <c r="D159" s="32" t="str">
        <f>IF($E159="","",INDEX(进销存对接!$D$4:$D$305,52)&amp;" "&amp;TEXT($B159,"YYYY年M月")&amp;" 自动结转")</f>
        <v/>
      </c>
      <c r="E159" s="26" t="str">
        <f>IF(INDEX(进销存对接!$M$4:$U$305,52,7)=0,"",INDEX(进销存对接!$M$4:$U$305,52,7))</f>
        <v/>
      </c>
      <c r="F159" s="25" t="str">
        <f>IF($E159="","",IFERROR(INDEX(科目表!$A$4:$A$81,MATCH($E159,科目表!$B$4:$B$81,0)),""))</f>
        <v/>
      </c>
      <c r="G159" s="26" t="str">
        <f>IF($E159="","",IFERROR(INDEX(科目表!$E$4:$E$81,MATCH($E159,科目表!$B$4:$B$81,0)),""))</f>
        <v/>
      </c>
      <c r="H159" s="27" t="str">
        <f>IF($E159="","",N(INDEX(进销存对接!$M$4:$U$305,52,8)))</f>
        <v/>
      </c>
      <c r="I159" s="27" t="str">
        <f>IF($E159="","",N(INDEX(进销存对接!$M$4:$U$305,52,9)))</f>
        <v/>
      </c>
      <c r="J159" s="26"/>
      <c r="K159" s="26" t="str">
        <f>IF($E159="","",INDEX(进销存对接!$D$4:$D$305,52))</f>
        <v/>
      </c>
      <c r="L159" s="32"/>
      <c r="M159" s="32"/>
      <c r="N159" s="26" t="str">
        <f t="shared" si="10"/>
        <v/>
      </c>
      <c r="O159" s="26" t="str">
        <f t="shared" si="11"/>
        <v/>
      </c>
      <c r="P159" s="10"/>
    </row>
    <row r="160" ht="18" customHeight="1" spans="1:16">
      <c r="A160" s="32" t="str">
        <f t="shared" si="8"/>
        <v/>
      </c>
      <c r="B160" s="100" t="str">
        <f>IF($E160="","",INDEX(进销存对接!$C$4:$C$305,53))</f>
        <v/>
      </c>
      <c r="C160" s="26" t="str">
        <f t="shared" si="9"/>
        <v/>
      </c>
      <c r="D160" s="32" t="str">
        <f>IF($E160="","",INDEX(进销存对接!$D$4:$D$305,53)&amp;" "&amp;TEXT($B160,"YYYY年M月")&amp;" 自动结转")</f>
        <v/>
      </c>
      <c r="E160" s="26" t="str">
        <f>IF(INDEX(进销存对接!$M$4:$U$305,53,1)=0,"",INDEX(进销存对接!$M$4:$U$305,53,1))</f>
        <v/>
      </c>
      <c r="F160" s="25" t="str">
        <f>IF($E160="","",IFERROR(INDEX(科目表!$A$4:$A$81,MATCH($E160,科目表!$B$4:$B$81,0)),""))</f>
        <v/>
      </c>
      <c r="G160" s="26" t="str">
        <f>IF($E160="","",IFERROR(INDEX(科目表!$E$4:$E$81,MATCH($E160,科目表!$B$4:$B$81,0)),""))</f>
        <v/>
      </c>
      <c r="H160" s="27" t="str">
        <f>IF($E160="","",N(INDEX(进销存对接!$M$4:$U$305,53,2)))</f>
        <v/>
      </c>
      <c r="I160" s="27" t="str">
        <f>IF($E160="","",N(INDEX(进销存对接!$M$4:$U$305,53,3)))</f>
        <v/>
      </c>
      <c r="J160" s="26"/>
      <c r="K160" s="26" t="str">
        <f>IF($E160="","",INDEX(进销存对接!$D$4:$D$305,53))</f>
        <v/>
      </c>
      <c r="L160" s="32"/>
      <c r="M160" s="32"/>
      <c r="N160" s="26" t="str">
        <f t="shared" si="10"/>
        <v/>
      </c>
      <c r="O160" s="26" t="str">
        <f t="shared" si="11"/>
        <v/>
      </c>
      <c r="P160" s="10"/>
    </row>
    <row r="161" ht="18" customHeight="1" spans="1:16">
      <c r="A161" s="32" t="str">
        <f t="shared" si="8"/>
        <v/>
      </c>
      <c r="B161" s="100" t="str">
        <f>IF($E161="","",INDEX(进销存对接!$C$4:$C$305,53))</f>
        <v/>
      </c>
      <c r="C161" s="26" t="str">
        <f t="shared" si="9"/>
        <v/>
      </c>
      <c r="D161" s="32" t="str">
        <f>IF($E161="","",INDEX(进销存对接!$D$4:$D$305,53)&amp;" "&amp;TEXT($B161,"YYYY年M月")&amp;" 自动结转")</f>
        <v/>
      </c>
      <c r="E161" s="26" t="str">
        <f>IF(INDEX(进销存对接!$M$4:$U$305,53,4)=0,"",INDEX(进销存对接!$M$4:$U$305,53,4))</f>
        <v/>
      </c>
      <c r="F161" s="25" t="str">
        <f>IF($E161="","",IFERROR(INDEX(科目表!$A$4:$A$81,MATCH($E161,科目表!$B$4:$B$81,0)),""))</f>
        <v/>
      </c>
      <c r="G161" s="26" t="str">
        <f>IF($E161="","",IFERROR(INDEX(科目表!$E$4:$E$81,MATCH($E161,科目表!$B$4:$B$81,0)),""))</f>
        <v/>
      </c>
      <c r="H161" s="27" t="str">
        <f>IF($E161="","",N(INDEX(进销存对接!$M$4:$U$305,53,5)))</f>
        <v/>
      </c>
      <c r="I161" s="27" t="str">
        <f>IF($E161="","",N(INDEX(进销存对接!$M$4:$U$305,53,6)))</f>
        <v/>
      </c>
      <c r="J161" s="26"/>
      <c r="K161" s="26" t="str">
        <f>IF($E161="","",INDEX(进销存对接!$D$4:$D$305,53))</f>
        <v/>
      </c>
      <c r="L161" s="32"/>
      <c r="M161" s="32"/>
      <c r="N161" s="26" t="str">
        <f t="shared" si="10"/>
        <v/>
      </c>
      <c r="O161" s="26" t="str">
        <f t="shared" si="11"/>
        <v/>
      </c>
      <c r="P161" s="10"/>
    </row>
    <row r="162" ht="18" customHeight="1" spans="1:16">
      <c r="A162" s="32" t="str">
        <f t="shared" si="8"/>
        <v/>
      </c>
      <c r="B162" s="100" t="str">
        <f>IF($E162="","",INDEX(进销存对接!$C$4:$C$305,53))</f>
        <v/>
      </c>
      <c r="C162" s="26" t="str">
        <f t="shared" si="9"/>
        <v/>
      </c>
      <c r="D162" s="32" t="str">
        <f>IF($E162="","",INDEX(进销存对接!$D$4:$D$305,53)&amp;" "&amp;TEXT($B162,"YYYY年M月")&amp;" 自动结转")</f>
        <v/>
      </c>
      <c r="E162" s="26" t="str">
        <f>IF(INDEX(进销存对接!$M$4:$U$305,53,7)=0,"",INDEX(进销存对接!$M$4:$U$305,53,7))</f>
        <v/>
      </c>
      <c r="F162" s="25" t="str">
        <f>IF($E162="","",IFERROR(INDEX(科目表!$A$4:$A$81,MATCH($E162,科目表!$B$4:$B$81,0)),""))</f>
        <v/>
      </c>
      <c r="G162" s="26" t="str">
        <f>IF($E162="","",IFERROR(INDEX(科目表!$E$4:$E$81,MATCH($E162,科目表!$B$4:$B$81,0)),""))</f>
        <v/>
      </c>
      <c r="H162" s="27" t="str">
        <f>IF($E162="","",N(INDEX(进销存对接!$M$4:$U$305,53,8)))</f>
        <v/>
      </c>
      <c r="I162" s="27" t="str">
        <f>IF($E162="","",N(INDEX(进销存对接!$M$4:$U$305,53,9)))</f>
        <v/>
      </c>
      <c r="J162" s="26"/>
      <c r="K162" s="26" t="str">
        <f>IF($E162="","",INDEX(进销存对接!$D$4:$D$305,53))</f>
        <v/>
      </c>
      <c r="L162" s="32"/>
      <c r="M162" s="32"/>
      <c r="N162" s="26" t="str">
        <f t="shared" si="10"/>
        <v/>
      </c>
      <c r="O162" s="26" t="str">
        <f t="shared" si="11"/>
        <v/>
      </c>
      <c r="P162" s="10"/>
    </row>
    <row r="163" ht="18" customHeight="1" spans="1:16">
      <c r="A163" s="32" t="str">
        <f t="shared" si="8"/>
        <v/>
      </c>
      <c r="B163" s="100" t="str">
        <f>IF($E163="","",INDEX(进销存对接!$C$4:$C$305,54))</f>
        <v/>
      </c>
      <c r="C163" s="26" t="str">
        <f t="shared" si="9"/>
        <v/>
      </c>
      <c r="D163" s="32" t="str">
        <f>IF($E163="","",INDEX(进销存对接!$D$4:$D$305,54)&amp;" "&amp;TEXT($B163,"YYYY年M月")&amp;" 自动结转")</f>
        <v/>
      </c>
      <c r="E163" s="26" t="str">
        <f>IF(INDEX(进销存对接!$M$4:$U$305,54,1)=0,"",INDEX(进销存对接!$M$4:$U$305,54,1))</f>
        <v/>
      </c>
      <c r="F163" s="25" t="str">
        <f>IF($E163="","",IFERROR(INDEX(科目表!$A$4:$A$81,MATCH($E163,科目表!$B$4:$B$81,0)),""))</f>
        <v/>
      </c>
      <c r="G163" s="26" t="str">
        <f>IF($E163="","",IFERROR(INDEX(科目表!$E$4:$E$81,MATCH($E163,科目表!$B$4:$B$81,0)),""))</f>
        <v/>
      </c>
      <c r="H163" s="27" t="str">
        <f>IF($E163="","",N(INDEX(进销存对接!$M$4:$U$305,54,2)))</f>
        <v/>
      </c>
      <c r="I163" s="27" t="str">
        <f>IF($E163="","",N(INDEX(进销存对接!$M$4:$U$305,54,3)))</f>
        <v/>
      </c>
      <c r="J163" s="26"/>
      <c r="K163" s="26" t="str">
        <f>IF($E163="","",INDEX(进销存对接!$D$4:$D$305,54))</f>
        <v/>
      </c>
      <c r="L163" s="32"/>
      <c r="M163" s="32"/>
      <c r="N163" s="26" t="str">
        <f t="shared" si="10"/>
        <v/>
      </c>
      <c r="O163" s="26" t="str">
        <f t="shared" si="11"/>
        <v/>
      </c>
      <c r="P163" s="10"/>
    </row>
    <row r="164" ht="18" customHeight="1" spans="1:16">
      <c r="A164" s="32" t="str">
        <f t="shared" si="8"/>
        <v/>
      </c>
      <c r="B164" s="100" t="str">
        <f>IF($E164="","",INDEX(进销存对接!$C$4:$C$305,54))</f>
        <v/>
      </c>
      <c r="C164" s="26" t="str">
        <f t="shared" si="9"/>
        <v/>
      </c>
      <c r="D164" s="32" t="str">
        <f>IF($E164="","",INDEX(进销存对接!$D$4:$D$305,54)&amp;" "&amp;TEXT($B164,"YYYY年M月")&amp;" 自动结转")</f>
        <v/>
      </c>
      <c r="E164" s="26" t="str">
        <f>IF(INDEX(进销存对接!$M$4:$U$305,54,4)=0,"",INDEX(进销存对接!$M$4:$U$305,54,4))</f>
        <v/>
      </c>
      <c r="F164" s="25" t="str">
        <f>IF($E164="","",IFERROR(INDEX(科目表!$A$4:$A$81,MATCH($E164,科目表!$B$4:$B$81,0)),""))</f>
        <v/>
      </c>
      <c r="G164" s="26" t="str">
        <f>IF($E164="","",IFERROR(INDEX(科目表!$E$4:$E$81,MATCH($E164,科目表!$B$4:$B$81,0)),""))</f>
        <v/>
      </c>
      <c r="H164" s="27" t="str">
        <f>IF($E164="","",N(INDEX(进销存对接!$M$4:$U$305,54,5)))</f>
        <v/>
      </c>
      <c r="I164" s="27" t="str">
        <f>IF($E164="","",N(INDEX(进销存对接!$M$4:$U$305,54,6)))</f>
        <v/>
      </c>
      <c r="J164" s="26"/>
      <c r="K164" s="26" t="str">
        <f>IF($E164="","",INDEX(进销存对接!$D$4:$D$305,54))</f>
        <v/>
      </c>
      <c r="L164" s="32"/>
      <c r="M164" s="32"/>
      <c r="N164" s="26" t="str">
        <f t="shared" si="10"/>
        <v/>
      </c>
      <c r="O164" s="26" t="str">
        <f t="shared" si="11"/>
        <v/>
      </c>
      <c r="P164" s="10"/>
    </row>
    <row r="165" ht="18" customHeight="1" spans="1:16">
      <c r="A165" s="32" t="str">
        <f t="shared" si="8"/>
        <v/>
      </c>
      <c r="B165" s="100" t="str">
        <f>IF($E165="","",INDEX(进销存对接!$C$4:$C$305,54))</f>
        <v/>
      </c>
      <c r="C165" s="26" t="str">
        <f t="shared" si="9"/>
        <v/>
      </c>
      <c r="D165" s="32" t="str">
        <f>IF($E165="","",INDEX(进销存对接!$D$4:$D$305,54)&amp;" "&amp;TEXT($B165,"YYYY年M月")&amp;" 自动结转")</f>
        <v/>
      </c>
      <c r="E165" s="26" t="str">
        <f>IF(INDEX(进销存对接!$M$4:$U$305,54,7)=0,"",INDEX(进销存对接!$M$4:$U$305,54,7))</f>
        <v/>
      </c>
      <c r="F165" s="25" t="str">
        <f>IF($E165="","",IFERROR(INDEX(科目表!$A$4:$A$81,MATCH($E165,科目表!$B$4:$B$81,0)),""))</f>
        <v/>
      </c>
      <c r="G165" s="26" t="str">
        <f>IF($E165="","",IFERROR(INDEX(科目表!$E$4:$E$81,MATCH($E165,科目表!$B$4:$B$81,0)),""))</f>
        <v/>
      </c>
      <c r="H165" s="27" t="str">
        <f>IF($E165="","",N(INDEX(进销存对接!$M$4:$U$305,54,8)))</f>
        <v/>
      </c>
      <c r="I165" s="27" t="str">
        <f>IF($E165="","",N(INDEX(进销存对接!$M$4:$U$305,54,9)))</f>
        <v/>
      </c>
      <c r="J165" s="26"/>
      <c r="K165" s="26" t="str">
        <f>IF($E165="","",INDEX(进销存对接!$D$4:$D$305,54))</f>
        <v/>
      </c>
      <c r="L165" s="32"/>
      <c r="M165" s="32"/>
      <c r="N165" s="26" t="str">
        <f t="shared" si="10"/>
        <v/>
      </c>
      <c r="O165" s="26" t="str">
        <f t="shared" si="11"/>
        <v/>
      </c>
      <c r="P165" s="10"/>
    </row>
    <row r="166" ht="18" customHeight="1" spans="1:16">
      <c r="A166" s="32" t="str">
        <f t="shared" si="8"/>
        <v/>
      </c>
      <c r="B166" s="100" t="str">
        <f>IF($E166="","",INDEX(进销存对接!$C$4:$C$305,55))</f>
        <v/>
      </c>
      <c r="C166" s="26" t="str">
        <f t="shared" si="9"/>
        <v/>
      </c>
      <c r="D166" s="32" t="str">
        <f>IF($E166="","",INDEX(进销存对接!$D$4:$D$305,55)&amp;" "&amp;TEXT($B166,"YYYY年M月")&amp;" 自动结转")</f>
        <v/>
      </c>
      <c r="E166" s="26" t="str">
        <f>IF(INDEX(进销存对接!$M$4:$U$305,55,1)=0,"",INDEX(进销存对接!$M$4:$U$305,55,1))</f>
        <v/>
      </c>
      <c r="F166" s="25" t="str">
        <f>IF($E166="","",IFERROR(INDEX(科目表!$A$4:$A$81,MATCH($E166,科目表!$B$4:$B$81,0)),""))</f>
        <v/>
      </c>
      <c r="G166" s="26" t="str">
        <f>IF($E166="","",IFERROR(INDEX(科目表!$E$4:$E$81,MATCH($E166,科目表!$B$4:$B$81,0)),""))</f>
        <v/>
      </c>
      <c r="H166" s="27" t="str">
        <f>IF($E166="","",N(INDEX(进销存对接!$M$4:$U$305,55,2)))</f>
        <v/>
      </c>
      <c r="I166" s="27" t="str">
        <f>IF($E166="","",N(INDEX(进销存对接!$M$4:$U$305,55,3)))</f>
        <v/>
      </c>
      <c r="J166" s="26"/>
      <c r="K166" s="26" t="str">
        <f>IF($E166="","",INDEX(进销存对接!$D$4:$D$305,55))</f>
        <v/>
      </c>
      <c r="L166" s="32"/>
      <c r="M166" s="32"/>
      <c r="N166" s="26" t="str">
        <f t="shared" si="10"/>
        <v/>
      </c>
      <c r="O166" s="26" t="str">
        <f t="shared" si="11"/>
        <v/>
      </c>
      <c r="P166" s="10"/>
    </row>
    <row r="167" ht="18" customHeight="1" spans="1:16">
      <c r="A167" s="32" t="str">
        <f t="shared" si="8"/>
        <v/>
      </c>
      <c r="B167" s="100" t="str">
        <f>IF($E167="","",INDEX(进销存对接!$C$4:$C$305,55))</f>
        <v/>
      </c>
      <c r="C167" s="26" t="str">
        <f t="shared" si="9"/>
        <v/>
      </c>
      <c r="D167" s="32" t="str">
        <f>IF($E167="","",INDEX(进销存对接!$D$4:$D$305,55)&amp;" "&amp;TEXT($B167,"YYYY年M月")&amp;" 自动结转")</f>
        <v/>
      </c>
      <c r="E167" s="26" t="str">
        <f>IF(INDEX(进销存对接!$M$4:$U$305,55,4)=0,"",INDEX(进销存对接!$M$4:$U$305,55,4))</f>
        <v/>
      </c>
      <c r="F167" s="25" t="str">
        <f>IF($E167="","",IFERROR(INDEX(科目表!$A$4:$A$81,MATCH($E167,科目表!$B$4:$B$81,0)),""))</f>
        <v/>
      </c>
      <c r="G167" s="26" t="str">
        <f>IF($E167="","",IFERROR(INDEX(科目表!$E$4:$E$81,MATCH($E167,科目表!$B$4:$B$81,0)),""))</f>
        <v/>
      </c>
      <c r="H167" s="27" t="str">
        <f>IF($E167="","",N(INDEX(进销存对接!$M$4:$U$305,55,5)))</f>
        <v/>
      </c>
      <c r="I167" s="27" t="str">
        <f>IF($E167="","",N(INDEX(进销存对接!$M$4:$U$305,55,6)))</f>
        <v/>
      </c>
      <c r="J167" s="26"/>
      <c r="K167" s="26" t="str">
        <f>IF($E167="","",INDEX(进销存对接!$D$4:$D$305,55))</f>
        <v/>
      </c>
      <c r="L167" s="32"/>
      <c r="M167" s="32"/>
      <c r="N167" s="26" t="str">
        <f t="shared" si="10"/>
        <v/>
      </c>
      <c r="O167" s="26" t="str">
        <f t="shared" si="11"/>
        <v/>
      </c>
      <c r="P167" s="10"/>
    </row>
    <row r="168" ht="18" customHeight="1" spans="1:16">
      <c r="A168" s="32" t="str">
        <f t="shared" si="8"/>
        <v/>
      </c>
      <c r="B168" s="100" t="str">
        <f>IF($E168="","",INDEX(进销存对接!$C$4:$C$305,55))</f>
        <v/>
      </c>
      <c r="C168" s="26" t="str">
        <f t="shared" si="9"/>
        <v/>
      </c>
      <c r="D168" s="32" t="str">
        <f>IF($E168="","",INDEX(进销存对接!$D$4:$D$305,55)&amp;" "&amp;TEXT($B168,"YYYY年M月")&amp;" 自动结转")</f>
        <v/>
      </c>
      <c r="E168" s="26" t="str">
        <f>IF(INDEX(进销存对接!$M$4:$U$305,55,7)=0,"",INDEX(进销存对接!$M$4:$U$305,55,7))</f>
        <v/>
      </c>
      <c r="F168" s="25" t="str">
        <f>IF($E168="","",IFERROR(INDEX(科目表!$A$4:$A$81,MATCH($E168,科目表!$B$4:$B$81,0)),""))</f>
        <v/>
      </c>
      <c r="G168" s="26" t="str">
        <f>IF($E168="","",IFERROR(INDEX(科目表!$E$4:$E$81,MATCH($E168,科目表!$B$4:$B$81,0)),""))</f>
        <v/>
      </c>
      <c r="H168" s="27" t="str">
        <f>IF($E168="","",N(INDEX(进销存对接!$M$4:$U$305,55,8)))</f>
        <v/>
      </c>
      <c r="I168" s="27" t="str">
        <f>IF($E168="","",N(INDEX(进销存对接!$M$4:$U$305,55,9)))</f>
        <v/>
      </c>
      <c r="J168" s="26"/>
      <c r="K168" s="26" t="str">
        <f>IF($E168="","",INDEX(进销存对接!$D$4:$D$305,55))</f>
        <v/>
      </c>
      <c r="L168" s="32"/>
      <c r="M168" s="32"/>
      <c r="N168" s="26" t="str">
        <f t="shared" si="10"/>
        <v/>
      </c>
      <c r="O168" s="26" t="str">
        <f t="shared" si="11"/>
        <v/>
      </c>
      <c r="P168" s="10"/>
    </row>
    <row r="169" ht="18" customHeight="1" spans="1:16">
      <c r="A169" s="32" t="str">
        <f t="shared" si="8"/>
        <v/>
      </c>
      <c r="B169" s="100" t="str">
        <f>IF($E169="","",INDEX(进销存对接!$C$4:$C$305,56))</f>
        <v/>
      </c>
      <c r="C169" s="26" t="str">
        <f t="shared" si="9"/>
        <v/>
      </c>
      <c r="D169" s="32" t="str">
        <f>IF($E169="","",INDEX(进销存对接!$D$4:$D$305,56)&amp;" "&amp;TEXT($B169,"YYYY年M月")&amp;" 自动结转")</f>
        <v/>
      </c>
      <c r="E169" s="26" t="str">
        <f>IF(INDEX(进销存对接!$M$4:$U$305,56,1)=0,"",INDEX(进销存对接!$M$4:$U$305,56,1))</f>
        <v/>
      </c>
      <c r="F169" s="25" t="str">
        <f>IF($E169="","",IFERROR(INDEX(科目表!$A$4:$A$81,MATCH($E169,科目表!$B$4:$B$81,0)),""))</f>
        <v/>
      </c>
      <c r="G169" s="26" t="str">
        <f>IF($E169="","",IFERROR(INDEX(科目表!$E$4:$E$81,MATCH($E169,科目表!$B$4:$B$81,0)),""))</f>
        <v/>
      </c>
      <c r="H169" s="27" t="str">
        <f>IF($E169="","",N(INDEX(进销存对接!$M$4:$U$305,56,2)))</f>
        <v/>
      </c>
      <c r="I169" s="27" t="str">
        <f>IF($E169="","",N(INDEX(进销存对接!$M$4:$U$305,56,3)))</f>
        <v/>
      </c>
      <c r="J169" s="26"/>
      <c r="K169" s="26" t="str">
        <f>IF($E169="","",INDEX(进销存对接!$D$4:$D$305,56))</f>
        <v/>
      </c>
      <c r="L169" s="32"/>
      <c r="M169" s="32"/>
      <c r="N169" s="26" t="str">
        <f t="shared" si="10"/>
        <v/>
      </c>
      <c r="O169" s="26" t="str">
        <f t="shared" si="11"/>
        <v/>
      </c>
      <c r="P169" s="10"/>
    </row>
    <row r="170" ht="18" customHeight="1" spans="1:16">
      <c r="A170" s="32" t="str">
        <f t="shared" si="8"/>
        <v/>
      </c>
      <c r="B170" s="100" t="str">
        <f>IF($E170="","",INDEX(进销存对接!$C$4:$C$305,56))</f>
        <v/>
      </c>
      <c r="C170" s="26" t="str">
        <f t="shared" si="9"/>
        <v/>
      </c>
      <c r="D170" s="32" t="str">
        <f>IF($E170="","",INDEX(进销存对接!$D$4:$D$305,56)&amp;" "&amp;TEXT($B170,"YYYY年M月")&amp;" 自动结转")</f>
        <v/>
      </c>
      <c r="E170" s="26" t="str">
        <f>IF(INDEX(进销存对接!$M$4:$U$305,56,4)=0,"",INDEX(进销存对接!$M$4:$U$305,56,4))</f>
        <v/>
      </c>
      <c r="F170" s="25" t="str">
        <f>IF($E170="","",IFERROR(INDEX(科目表!$A$4:$A$81,MATCH($E170,科目表!$B$4:$B$81,0)),""))</f>
        <v/>
      </c>
      <c r="G170" s="26" t="str">
        <f>IF($E170="","",IFERROR(INDEX(科目表!$E$4:$E$81,MATCH($E170,科目表!$B$4:$B$81,0)),""))</f>
        <v/>
      </c>
      <c r="H170" s="27" t="str">
        <f>IF($E170="","",N(INDEX(进销存对接!$M$4:$U$305,56,5)))</f>
        <v/>
      </c>
      <c r="I170" s="27" t="str">
        <f>IF($E170="","",N(INDEX(进销存对接!$M$4:$U$305,56,6)))</f>
        <v/>
      </c>
      <c r="J170" s="26"/>
      <c r="K170" s="26" t="str">
        <f>IF($E170="","",INDEX(进销存对接!$D$4:$D$305,56))</f>
        <v/>
      </c>
      <c r="L170" s="32"/>
      <c r="M170" s="32"/>
      <c r="N170" s="26" t="str">
        <f t="shared" si="10"/>
        <v/>
      </c>
      <c r="O170" s="26" t="str">
        <f t="shared" si="11"/>
        <v/>
      </c>
      <c r="P170" s="10"/>
    </row>
    <row r="171" ht="18" customHeight="1" spans="1:16">
      <c r="A171" s="32" t="str">
        <f t="shared" si="8"/>
        <v/>
      </c>
      <c r="B171" s="100" t="str">
        <f>IF($E171="","",INDEX(进销存对接!$C$4:$C$305,56))</f>
        <v/>
      </c>
      <c r="C171" s="26" t="str">
        <f t="shared" si="9"/>
        <v/>
      </c>
      <c r="D171" s="32" t="str">
        <f>IF($E171="","",INDEX(进销存对接!$D$4:$D$305,56)&amp;" "&amp;TEXT($B171,"YYYY年M月")&amp;" 自动结转")</f>
        <v/>
      </c>
      <c r="E171" s="26" t="str">
        <f>IF(INDEX(进销存对接!$M$4:$U$305,56,7)=0,"",INDEX(进销存对接!$M$4:$U$305,56,7))</f>
        <v/>
      </c>
      <c r="F171" s="25" t="str">
        <f>IF($E171="","",IFERROR(INDEX(科目表!$A$4:$A$81,MATCH($E171,科目表!$B$4:$B$81,0)),""))</f>
        <v/>
      </c>
      <c r="G171" s="26" t="str">
        <f>IF($E171="","",IFERROR(INDEX(科目表!$E$4:$E$81,MATCH($E171,科目表!$B$4:$B$81,0)),""))</f>
        <v/>
      </c>
      <c r="H171" s="27" t="str">
        <f>IF($E171="","",N(INDEX(进销存对接!$M$4:$U$305,56,8)))</f>
        <v/>
      </c>
      <c r="I171" s="27" t="str">
        <f>IF($E171="","",N(INDEX(进销存对接!$M$4:$U$305,56,9)))</f>
        <v/>
      </c>
      <c r="J171" s="26"/>
      <c r="K171" s="26" t="str">
        <f>IF($E171="","",INDEX(进销存对接!$D$4:$D$305,56))</f>
        <v/>
      </c>
      <c r="L171" s="32"/>
      <c r="M171" s="32"/>
      <c r="N171" s="26" t="str">
        <f t="shared" si="10"/>
        <v/>
      </c>
      <c r="O171" s="26" t="str">
        <f t="shared" si="11"/>
        <v/>
      </c>
      <c r="P171" s="10"/>
    </row>
    <row r="172" ht="18" customHeight="1" spans="1:16">
      <c r="A172" s="32" t="str">
        <f t="shared" si="8"/>
        <v/>
      </c>
      <c r="B172" s="100" t="str">
        <f>IF($E172="","",INDEX(进销存对接!$C$4:$C$305,57))</f>
        <v/>
      </c>
      <c r="C172" s="26" t="str">
        <f t="shared" si="9"/>
        <v/>
      </c>
      <c r="D172" s="32" t="str">
        <f>IF($E172="","",INDEX(进销存对接!$D$4:$D$305,57)&amp;" "&amp;TEXT($B172,"YYYY年M月")&amp;" 自动结转")</f>
        <v/>
      </c>
      <c r="E172" s="26" t="str">
        <f>IF(INDEX(进销存对接!$M$4:$U$305,57,1)=0,"",INDEX(进销存对接!$M$4:$U$305,57,1))</f>
        <v/>
      </c>
      <c r="F172" s="25" t="str">
        <f>IF($E172="","",IFERROR(INDEX(科目表!$A$4:$A$81,MATCH($E172,科目表!$B$4:$B$81,0)),""))</f>
        <v/>
      </c>
      <c r="G172" s="26" t="str">
        <f>IF($E172="","",IFERROR(INDEX(科目表!$E$4:$E$81,MATCH($E172,科目表!$B$4:$B$81,0)),""))</f>
        <v/>
      </c>
      <c r="H172" s="27" t="str">
        <f>IF($E172="","",N(INDEX(进销存对接!$M$4:$U$305,57,2)))</f>
        <v/>
      </c>
      <c r="I172" s="27" t="str">
        <f>IF($E172="","",N(INDEX(进销存对接!$M$4:$U$305,57,3)))</f>
        <v/>
      </c>
      <c r="J172" s="26"/>
      <c r="K172" s="26" t="str">
        <f>IF($E172="","",INDEX(进销存对接!$D$4:$D$305,57))</f>
        <v/>
      </c>
      <c r="L172" s="32"/>
      <c r="M172" s="32"/>
      <c r="N172" s="26" t="str">
        <f t="shared" si="10"/>
        <v/>
      </c>
      <c r="O172" s="26" t="str">
        <f t="shared" si="11"/>
        <v/>
      </c>
      <c r="P172" s="10"/>
    </row>
    <row r="173" ht="18" customHeight="1" spans="1:16">
      <c r="A173" s="32" t="str">
        <f t="shared" si="8"/>
        <v/>
      </c>
      <c r="B173" s="100" t="str">
        <f>IF($E173="","",INDEX(进销存对接!$C$4:$C$305,57))</f>
        <v/>
      </c>
      <c r="C173" s="26" t="str">
        <f t="shared" si="9"/>
        <v/>
      </c>
      <c r="D173" s="32" t="str">
        <f>IF($E173="","",INDEX(进销存对接!$D$4:$D$305,57)&amp;" "&amp;TEXT($B173,"YYYY年M月")&amp;" 自动结转")</f>
        <v/>
      </c>
      <c r="E173" s="26" t="str">
        <f>IF(INDEX(进销存对接!$M$4:$U$305,57,4)=0,"",INDEX(进销存对接!$M$4:$U$305,57,4))</f>
        <v/>
      </c>
      <c r="F173" s="25" t="str">
        <f>IF($E173="","",IFERROR(INDEX(科目表!$A$4:$A$81,MATCH($E173,科目表!$B$4:$B$81,0)),""))</f>
        <v/>
      </c>
      <c r="G173" s="26" t="str">
        <f>IF($E173="","",IFERROR(INDEX(科目表!$E$4:$E$81,MATCH($E173,科目表!$B$4:$B$81,0)),""))</f>
        <v/>
      </c>
      <c r="H173" s="27" t="str">
        <f>IF($E173="","",N(INDEX(进销存对接!$M$4:$U$305,57,5)))</f>
        <v/>
      </c>
      <c r="I173" s="27" t="str">
        <f>IF($E173="","",N(INDEX(进销存对接!$M$4:$U$305,57,6)))</f>
        <v/>
      </c>
      <c r="J173" s="26"/>
      <c r="K173" s="26" t="str">
        <f>IF($E173="","",INDEX(进销存对接!$D$4:$D$305,57))</f>
        <v/>
      </c>
      <c r="L173" s="32"/>
      <c r="M173" s="32"/>
      <c r="N173" s="26" t="str">
        <f t="shared" si="10"/>
        <v/>
      </c>
      <c r="O173" s="26" t="str">
        <f t="shared" si="11"/>
        <v/>
      </c>
      <c r="P173" s="10"/>
    </row>
    <row r="174" ht="18" customHeight="1" spans="1:16">
      <c r="A174" s="32" t="str">
        <f t="shared" si="8"/>
        <v/>
      </c>
      <c r="B174" s="100" t="str">
        <f>IF($E174="","",INDEX(进销存对接!$C$4:$C$305,57))</f>
        <v/>
      </c>
      <c r="C174" s="26" t="str">
        <f t="shared" si="9"/>
        <v/>
      </c>
      <c r="D174" s="32" t="str">
        <f>IF($E174="","",INDEX(进销存对接!$D$4:$D$305,57)&amp;" "&amp;TEXT($B174,"YYYY年M月")&amp;" 自动结转")</f>
        <v/>
      </c>
      <c r="E174" s="26" t="str">
        <f>IF(INDEX(进销存对接!$M$4:$U$305,57,7)=0,"",INDEX(进销存对接!$M$4:$U$305,57,7))</f>
        <v/>
      </c>
      <c r="F174" s="25" t="str">
        <f>IF($E174="","",IFERROR(INDEX(科目表!$A$4:$A$81,MATCH($E174,科目表!$B$4:$B$81,0)),""))</f>
        <v/>
      </c>
      <c r="G174" s="26" t="str">
        <f>IF($E174="","",IFERROR(INDEX(科目表!$E$4:$E$81,MATCH($E174,科目表!$B$4:$B$81,0)),""))</f>
        <v/>
      </c>
      <c r="H174" s="27" t="str">
        <f>IF($E174="","",N(INDEX(进销存对接!$M$4:$U$305,57,8)))</f>
        <v/>
      </c>
      <c r="I174" s="27" t="str">
        <f>IF($E174="","",N(INDEX(进销存对接!$M$4:$U$305,57,9)))</f>
        <v/>
      </c>
      <c r="J174" s="26"/>
      <c r="K174" s="26" t="str">
        <f>IF($E174="","",INDEX(进销存对接!$D$4:$D$305,57))</f>
        <v/>
      </c>
      <c r="L174" s="32"/>
      <c r="M174" s="32"/>
      <c r="N174" s="26" t="str">
        <f t="shared" si="10"/>
        <v/>
      </c>
      <c r="O174" s="26" t="str">
        <f t="shared" si="11"/>
        <v/>
      </c>
      <c r="P174" s="10"/>
    </row>
    <row r="175" ht="18" customHeight="1" spans="1:16">
      <c r="A175" s="32" t="str">
        <f t="shared" si="8"/>
        <v/>
      </c>
      <c r="B175" s="100" t="str">
        <f>IF($E175="","",INDEX(进销存对接!$C$4:$C$305,58))</f>
        <v/>
      </c>
      <c r="C175" s="26" t="str">
        <f t="shared" si="9"/>
        <v/>
      </c>
      <c r="D175" s="32" t="str">
        <f>IF($E175="","",INDEX(进销存对接!$D$4:$D$305,58)&amp;" "&amp;TEXT($B175,"YYYY年M月")&amp;" 自动结转")</f>
        <v/>
      </c>
      <c r="E175" s="26" t="str">
        <f>IF(INDEX(进销存对接!$M$4:$U$305,58,1)=0,"",INDEX(进销存对接!$M$4:$U$305,58,1))</f>
        <v/>
      </c>
      <c r="F175" s="25" t="str">
        <f>IF($E175="","",IFERROR(INDEX(科目表!$A$4:$A$81,MATCH($E175,科目表!$B$4:$B$81,0)),""))</f>
        <v/>
      </c>
      <c r="G175" s="26" t="str">
        <f>IF($E175="","",IFERROR(INDEX(科目表!$E$4:$E$81,MATCH($E175,科目表!$B$4:$B$81,0)),""))</f>
        <v/>
      </c>
      <c r="H175" s="27" t="str">
        <f>IF($E175="","",N(INDEX(进销存对接!$M$4:$U$305,58,2)))</f>
        <v/>
      </c>
      <c r="I175" s="27" t="str">
        <f>IF($E175="","",N(INDEX(进销存对接!$M$4:$U$305,58,3)))</f>
        <v/>
      </c>
      <c r="J175" s="26"/>
      <c r="K175" s="26" t="str">
        <f>IF($E175="","",INDEX(进销存对接!$D$4:$D$305,58))</f>
        <v/>
      </c>
      <c r="L175" s="32"/>
      <c r="M175" s="32"/>
      <c r="N175" s="26" t="str">
        <f t="shared" si="10"/>
        <v/>
      </c>
      <c r="O175" s="26" t="str">
        <f t="shared" si="11"/>
        <v/>
      </c>
      <c r="P175" s="10"/>
    </row>
    <row r="176" ht="18" customHeight="1" spans="1:16">
      <c r="A176" s="32" t="str">
        <f t="shared" si="8"/>
        <v/>
      </c>
      <c r="B176" s="100" t="str">
        <f>IF($E176="","",INDEX(进销存对接!$C$4:$C$305,58))</f>
        <v/>
      </c>
      <c r="C176" s="26" t="str">
        <f t="shared" si="9"/>
        <v/>
      </c>
      <c r="D176" s="32" t="str">
        <f>IF($E176="","",INDEX(进销存对接!$D$4:$D$305,58)&amp;" "&amp;TEXT($B176,"YYYY年M月")&amp;" 自动结转")</f>
        <v/>
      </c>
      <c r="E176" s="26" t="str">
        <f>IF(INDEX(进销存对接!$M$4:$U$305,58,4)=0,"",INDEX(进销存对接!$M$4:$U$305,58,4))</f>
        <v/>
      </c>
      <c r="F176" s="25" t="str">
        <f>IF($E176="","",IFERROR(INDEX(科目表!$A$4:$A$81,MATCH($E176,科目表!$B$4:$B$81,0)),""))</f>
        <v/>
      </c>
      <c r="G176" s="26" t="str">
        <f>IF($E176="","",IFERROR(INDEX(科目表!$E$4:$E$81,MATCH($E176,科目表!$B$4:$B$81,0)),""))</f>
        <v/>
      </c>
      <c r="H176" s="27" t="str">
        <f>IF($E176="","",N(INDEX(进销存对接!$M$4:$U$305,58,5)))</f>
        <v/>
      </c>
      <c r="I176" s="27" t="str">
        <f>IF($E176="","",N(INDEX(进销存对接!$M$4:$U$305,58,6)))</f>
        <v/>
      </c>
      <c r="J176" s="26"/>
      <c r="K176" s="26" t="str">
        <f>IF($E176="","",INDEX(进销存对接!$D$4:$D$305,58))</f>
        <v/>
      </c>
      <c r="L176" s="32"/>
      <c r="M176" s="32"/>
      <c r="N176" s="26" t="str">
        <f t="shared" si="10"/>
        <v/>
      </c>
      <c r="O176" s="26" t="str">
        <f t="shared" si="11"/>
        <v/>
      </c>
      <c r="P176" s="10"/>
    </row>
    <row r="177" ht="18" customHeight="1" spans="1:16">
      <c r="A177" s="32" t="str">
        <f t="shared" si="8"/>
        <v/>
      </c>
      <c r="B177" s="100" t="str">
        <f>IF($E177="","",INDEX(进销存对接!$C$4:$C$305,58))</f>
        <v/>
      </c>
      <c r="C177" s="26" t="str">
        <f t="shared" si="9"/>
        <v/>
      </c>
      <c r="D177" s="32" t="str">
        <f>IF($E177="","",INDEX(进销存对接!$D$4:$D$305,58)&amp;" "&amp;TEXT($B177,"YYYY年M月")&amp;" 自动结转")</f>
        <v/>
      </c>
      <c r="E177" s="26" t="str">
        <f>IF(INDEX(进销存对接!$M$4:$U$305,58,7)=0,"",INDEX(进销存对接!$M$4:$U$305,58,7))</f>
        <v/>
      </c>
      <c r="F177" s="25" t="str">
        <f>IF($E177="","",IFERROR(INDEX(科目表!$A$4:$A$81,MATCH($E177,科目表!$B$4:$B$81,0)),""))</f>
        <v/>
      </c>
      <c r="G177" s="26" t="str">
        <f>IF($E177="","",IFERROR(INDEX(科目表!$E$4:$E$81,MATCH($E177,科目表!$B$4:$B$81,0)),""))</f>
        <v/>
      </c>
      <c r="H177" s="27" t="str">
        <f>IF($E177="","",N(INDEX(进销存对接!$M$4:$U$305,58,8)))</f>
        <v/>
      </c>
      <c r="I177" s="27" t="str">
        <f>IF($E177="","",N(INDEX(进销存对接!$M$4:$U$305,58,9)))</f>
        <v/>
      </c>
      <c r="J177" s="26"/>
      <c r="K177" s="26" t="str">
        <f>IF($E177="","",INDEX(进销存对接!$D$4:$D$305,58))</f>
        <v/>
      </c>
      <c r="L177" s="32"/>
      <c r="M177" s="32"/>
      <c r="N177" s="26" t="str">
        <f t="shared" si="10"/>
        <v/>
      </c>
      <c r="O177" s="26" t="str">
        <f t="shared" si="11"/>
        <v/>
      </c>
      <c r="P177" s="10"/>
    </row>
    <row r="178" ht="18" customHeight="1" spans="1:16">
      <c r="A178" s="32" t="str">
        <f t="shared" si="8"/>
        <v/>
      </c>
      <c r="B178" s="100" t="str">
        <f>IF($E178="","",INDEX(进销存对接!$C$4:$C$305,59))</f>
        <v/>
      </c>
      <c r="C178" s="26" t="str">
        <f t="shared" si="9"/>
        <v/>
      </c>
      <c r="D178" s="32" t="str">
        <f>IF($E178="","",INDEX(进销存对接!$D$4:$D$305,59)&amp;" "&amp;TEXT($B178,"YYYY年M月")&amp;" 自动结转")</f>
        <v/>
      </c>
      <c r="E178" s="26" t="str">
        <f>IF(INDEX(进销存对接!$M$4:$U$305,59,1)=0,"",INDEX(进销存对接!$M$4:$U$305,59,1))</f>
        <v/>
      </c>
      <c r="F178" s="25" t="str">
        <f>IF($E178="","",IFERROR(INDEX(科目表!$A$4:$A$81,MATCH($E178,科目表!$B$4:$B$81,0)),""))</f>
        <v/>
      </c>
      <c r="G178" s="26" t="str">
        <f>IF($E178="","",IFERROR(INDEX(科目表!$E$4:$E$81,MATCH($E178,科目表!$B$4:$B$81,0)),""))</f>
        <v/>
      </c>
      <c r="H178" s="27" t="str">
        <f>IF($E178="","",N(INDEX(进销存对接!$M$4:$U$305,59,2)))</f>
        <v/>
      </c>
      <c r="I178" s="27" t="str">
        <f>IF($E178="","",N(INDEX(进销存对接!$M$4:$U$305,59,3)))</f>
        <v/>
      </c>
      <c r="J178" s="26"/>
      <c r="K178" s="26" t="str">
        <f>IF($E178="","",INDEX(进销存对接!$D$4:$D$305,59))</f>
        <v/>
      </c>
      <c r="L178" s="32"/>
      <c r="M178" s="32"/>
      <c r="N178" s="26" t="str">
        <f t="shared" si="10"/>
        <v/>
      </c>
      <c r="O178" s="26" t="str">
        <f t="shared" si="11"/>
        <v/>
      </c>
      <c r="P178" s="10"/>
    </row>
    <row r="179" ht="18" customHeight="1" spans="1:16">
      <c r="A179" s="32" t="str">
        <f t="shared" si="8"/>
        <v/>
      </c>
      <c r="B179" s="100" t="str">
        <f>IF($E179="","",INDEX(进销存对接!$C$4:$C$305,59))</f>
        <v/>
      </c>
      <c r="C179" s="26" t="str">
        <f t="shared" si="9"/>
        <v/>
      </c>
      <c r="D179" s="32" t="str">
        <f>IF($E179="","",INDEX(进销存对接!$D$4:$D$305,59)&amp;" "&amp;TEXT($B179,"YYYY年M月")&amp;" 自动结转")</f>
        <v/>
      </c>
      <c r="E179" s="26" t="str">
        <f>IF(INDEX(进销存对接!$M$4:$U$305,59,4)=0,"",INDEX(进销存对接!$M$4:$U$305,59,4))</f>
        <v/>
      </c>
      <c r="F179" s="25" t="str">
        <f>IF($E179="","",IFERROR(INDEX(科目表!$A$4:$A$81,MATCH($E179,科目表!$B$4:$B$81,0)),""))</f>
        <v/>
      </c>
      <c r="G179" s="26" t="str">
        <f>IF($E179="","",IFERROR(INDEX(科目表!$E$4:$E$81,MATCH($E179,科目表!$B$4:$B$81,0)),""))</f>
        <v/>
      </c>
      <c r="H179" s="27" t="str">
        <f>IF($E179="","",N(INDEX(进销存对接!$M$4:$U$305,59,5)))</f>
        <v/>
      </c>
      <c r="I179" s="27" t="str">
        <f>IF($E179="","",N(INDEX(进销存对接!$M$4:$U$305,59,6)))</f>
        <v/>
      </c>
      <c r="J179" s="26"/>
      <c r="K179" s="26" t="str">
        <f>IF($E179="","",INDEX(进销存对接!$D$4:$D$305,59))</f>
        <v/>
      </c>
      <c r="L179" s="32"/>
      <c r="M179" s="32"/>
      <c r="N179" s="26" t="str">
        <f t="shared" si="10"/>
        <v/>
      </c>
      <c r="O179" s="26" t="str">
        <f t="shared" si="11"/>
        <v/>
      </c>
      <c r="P179" s="10"/>
    </row>
    <row r="180" ht="18" customHeight="1" spans="1:16">
      <c r="A180" s="32" t="str">
        <f t="shared" si="8"/>
        <v/>
      </c>
      <c r="B180" s="100" t="str">
        <f>IF($E180="","",INDEX(进销存对接!$C$4:$C$305,59))</f>
        <v/>
      </c>
      <c r="C180" s="26" t="str">
        <f t="shared" si="9"/>
        <v/>
      </c>
      <c r="D180" s="32" t="str">
        <f>IF($E180="","",INDEX(进销存对接!$D$4:$D$305,59)&amp;" "&amp;TEXT($B180,"YYYY年M月")&amp;" 自动结转")</f>
        <v/>
      </c>
      <c r="E180" s="26" t="str">
        <f>IF(INDEX(进销存对接!$M$4:$U$305,59,7)=0,"",INDEX(进销存对接!$M$4:$U$305,59,7))</f>
        <v/>
      </c>
      <c r="F180" s="25" t="str">
        <f>IF($E180="","",IFERROR(INDEX(科目表!$A$4:$A$81,MATCH($E180,科目表!$B$4:$B$81,0)),""))</f>
        <v/>
      </c>
      <c r="G180" s="26" t="str">
        <f>IF($E180="","",IFERROR(INDEX(科目表!$E$4:$E$81,MATCH($E180,科目表!$B$4:$B$81,0)),""))</f>
        <v/>
      </c>
      <c r="H180" s="27" t="str">
        <f>IF($E180="","",N(INDEX(进销存对接!$M$4:$U$305,59,8)))</f>
        <v/>
      </c>
      <c r="I180" s="27" t="str">
        <f>IF($E180="","",N(INDEX(进销存对接!$M$4:$U$305,59,9)))</f>
        <v/>
      </c>
      <c r="J180" s="26"/>
      <c r="K180" s="26" t="str">
        <f>IF($E180="","",INDEX(进销存对接!$D$4:$D$305,59))</f>
        <v/>
      </c>
      <c r="L180" s="32"/>
      <c r="M180" s="32"/>
      <c r="N180" s="26" t="str">
        <f t="shared" si="10"/>
        <v/>
      </c>
      <c r="O180" s="26" t="str">
        <f t="shared" si="11"/>
        <v/>
      </c>
      <c r="P180" s="10"/>
    </row>
    <row r="181" ht="18" customHeight="1" spans="1:16">
      <c r="A181" s="32" t="str">
        <f t="shared" si="8"/>
        <v/>
      </c>
      <c r="B181" s="100" t="str">
        <f>IF($E181="","",INDEX(进销存对接!$C$4:$C$305,60))</f>
        <v/>
      </c>
      <c r="C181" s="26" t="str">
        <f t="shared" si="9"/>
        <v/>
      </c>
      <c r="D181" s="32" t="str">
        <f>IF($E181="","",INDEX(进销存对接!$D$4:$D$305,60)&amp;" "&amp;TEXT($B181,"YYYY年M月")&amp;" 自动结转")</f>
        <v/>
      </c>
      <c r="E181" s="26" t="str">
        <f>IF(INDEX(进销存对接!$M$4:$U$305,60,1)=0,"",INDEX(进销存对接!$M$4:$U$305,60,1))</f>
        <v/>
      </c>
      <c r="F181" s="25" t="str">
        <f>IF($E181="","",IFERROR(INDEX(科目表!$A$4:$A$81,MATCH($E181,科目表!$B$4:$B$81,0)),""))</f>
        <v/>
      </c>
      <c r="G181" s="26" t="str">
        <f>IF($E181="","",IFERROR(INDEX(科目表!$E$4:$E$81,MATCH($E181,科目表!$B$4:$B$81,0)),""))</f>
        <v/>
      </c>
      <c r="H181" s="27" t="str">
        <f>IF($E181="","",N(INDEX(进销存对接!$M$4:$U$305,60,2)))</f>
        <v/>
      </c>
      <c r="I181" s="27" t="str">
        <f>IF($E181="","",N(INDEX(进销存对接!$M$4:$U$305,60,3)))</f>
        <v/>
      </c>
      <c r="J181" s="26"/>
      <c r="K181" s="26" t="str">
        <f>IF($E181="","",INDEX(进销存对接!$D$4:$D$305,60))</f>
        <v/>
      </c>
      <c r="L181" s="32"/>
      <c r="M181" s="32"/>
      <c r="N181" s="26" t="str">
        <f t="shared" si="10"/>
        <v/>
      </c>
      <c r="O181" s="26" t="str">
        <f t="shared" si="11"/>
        <v/>
      </c>
      <c r="P181" s="10"/>
    </row>
    <row r="182" ht="18" customHeight="1" spans="1:16">
      <c r="A182" s="32" t="str">
        <f t="shared" si="8"/>
        <v/>
      </c>
      <c r="B182" s="100" t="str">
        <f>IF($E182="","",INDEX(进销存对接!$C$4:$C$305,60))</f>
        <v/>
      </c>
      <c r="C182" s="26" t="str">
        <f t="shared" si="9"/>
        <v/>
      </c>
      <c r="D182" s="32" t="str">
        <f>IF($E182="","",INDEX(进销存对接!$D$4:$D$305,60)&amp;" "&amp;TEXT($B182,"YYYY年M月")&amp;" 自动结转")</f>
        <v/>
      </c>
      <c r="E182" s="26" t="str">
        <f>IF(INDEX(进销存对接!$M$4:$U$305,60,4)=0,"",INDEX(进销存对接!$M$4:$U$305,60,4))</f>
        <v/>
      </c>
      <c r="F182" s="25" t="str">
        <f>IF($E182="","",IFERROR(INDEX(科目表!$A$4:$A$81,MATCH($E182,科目表!$B$4:$B$81,0)),""))</f>
        <v/>
      </c>
      <c r="G182" s="26" t="str">
        <f>IF($E182="","",IFERROR(INDEX(科目表!$E$4:$E$81,MATCH($E182,科目表!$B$4:$B$81,0)),""))</f>
        <v/>
      </c>
      <c r="H182" s="27" t="str">
        <f>IF($E182="","",N(INDEX(进销存对接!$M$4:$U$305,60,5)))</f>
        <v/>
      </c>
      <c r="I182" s="27" t="str">
        <f>IF($E182="","",N(INDEX(进销存对接!$M$4:$U$305,60,6)))</f>
        <v/>
      </c>
      <c r="J182" s="26"/>
      <c r="K182" s="26" t="str">
        <f>IF($E182="","",INDEX(进销存对接!$D$4:$D$305,60))</f>
        <v/>
      </c>
      <c r="L182" s="32"/>
      <c r="M182" s="32"/>
      <c r="N182" s="26" t="str">
        <f t="shared" si="10"/>
        <v/>
      </c>
      <c r="O182" s="26" t="str">
        <f t="shared" si="11"/>
        <v/>
      </c>
      <c r="P182" s="10"/>
    </row>
    <row r="183" ht="18" customHeight="1" spans="1:16">
      <c r="A183" s="32" t="str">
        <f t="shared" si="8"/>
        <v/>
      </c>
      <c r="B183" s="100" t="str">
        <f>IF($E183="","",INDEX(进销存对接!$C$4:$C$305,60))</f>
        <v/>
      </c>
      <c r="C183" s="26" t="str">
        <f t="shared" si="9"/>
        <v/>
      </c>
      <c r="D183" s="32" t="str">
        <f>IF($E183="","",INDEX(进销存对接!$D$4:$D$305,60)&amp;" "&amp;TEXT($B183,"YYYY年M月")&amp;" 自动结转")</f>
        <v/>
      </c>
      <c r="E183" s="26" t="str">
        <f>IF(INDEX(进销存对接!$M$4:$U$305,60,7)=0,"",INDEX(进销存对接!$M$4:$U$305,60,7))</f>
        <v/>
      </c>
      <c r="F183" s="25" t="str">
        <f>IF($E183="","",IFERROR(INDEX(科目表!$A$4:$A$81,MATCH($E183,科目表!$B$4:$B$81,0)),""))</f>
        <v/>
      </c>
      <c r="G183" s="26" t="str">
        <f>IF($E183="","",IFERROR(INDEX(科目表!$E$4:$E$81,MATCH($E183,科目表!$B$4:$B$81,0)),""))</f>
        <v/>
      </c>
      <c r="H183" s="27" t="str">
        <f>IF($E183="","",N(INDEX(进销存对接!$M$4:$U$305,60,8)))</f>
        <v/>
      </c>
      <c r="I183" s="27" t="str">
        <f>IF($E183="","",N(INDEX(进销存对接!$M$4:$U$305,60,9)))</f>
        <v/>
      </c>
      <c r="J183" s="26"/>
      <c r="K183" s="26" t="str">
        <f>IF($E183="","",INDEX(进销存对接!$D$4:$D$305,60))</f>
        <v/>
      </c>
      <c r="L183" s="32"/>
      <c r="M183" s="32"/>
      <c r="N183" s="26" t="str">
        <f t="shared" si="10"/>
        <v/>
      </c>
      <c r="O183" s="26" t="str">
        <f t="shared" si="11"/>
        <v/>
      </c>
      <c r="P183" s="10"/>
    </row>
    <row r="184" ht="18" customHeight="1" spans="1:16">
      <c r="A184" s="32" t="str">
        <f t="shared" si="8"/>
        <v/>
      </c>
      <c r="B184" s="100" t="str">
        <f>IF($E184="","",INDEX(进销存对接!$C$4:$C$305,61))</f>
        <v/>
      </c>
      <c r="C184" s="26" t="str">
        <f t="shared" si="9"/>
        <v/>
      </c>
      <c r="D184" s="32" t="str">
        <f>IF($E184="","",INDEX(进销存对接!$D$4:$D$305,61)&amp;" "&amp;TEXT($B184,"YYYY年M月")&amp;" 自动结转")</f>
        <v/>
      </c>
      <c r="E184" s="26" t="str">
        <f>IF(INDEX(进销存对接!$M$4:$U$305,61,1)=0,"",INDEX(进销存对接!$M$4:$U$305,61,1))</f>
        <v/>
      </c>
      <c r="F184" s="25" t="str">
        <f>IF($E184="","",IFERROR(INDEX(科目表!$A$4:$A$81,MATCH($E184,科目表!$B$4:$B$81,0)),""))</f>
        <v/>
      </c>
      <c r="G184" s="26" t="str">
        <f>IF($E184="","",IFERROR(INDEX(科目表!$E$4:$E$81,MATCH($E184,科目表!$B$4:$B$81,0)),""))</f>
        <v/>
      </c>
      <c r="H184" s="27" t="str">
        <f>IF($E184="","",N(INDEX(进销存对接!$M$4:$U$305,61,2)))</f>
        <v/>
      </c>
      <c r="I184" s="27" t="str">
        <f>IF($E184="","",N(INDEX(进销存对接!$M$4:$U$305,61,3)))</f>
        <v/>
      </c>
      <c r="J184" s="26"/>
      <c r="K184" s="26" t="str">
        <f>IF($E184="","",INDEX(进销存对接!$D$4:$D$305,61))</f>
        <v/>
      </c>
      <c r="L184" s="32"/>
      <c r="M184" s="32"/>
      <c r="N184" s="26" t="str">
        <f t="shared" si="10"/>
        <v/>
      </c>
      <c r="O184" s="26" t="str">
        <f t="shared" si="11"/>
        <v/>
      </c>
      <c r="P184" s="10"/>
    </row>
    <row r="185" ht="18" customHeight="1" spans="1:16">
      <c r="A185" s="32" t="str">
        <f t="shared" si="8"/>
        <v/>
      </c>
      <c r="B185" s="100" t="str">
        <f>IF($E185="","",INDEX(进销存对接!$C$4:$C$305,61))</f>
        <v/>
      </c>
      <c r="C185" s="26" t="str">
        <f t="shared" si="9"/>
        <v/>
      </c>
      <c r="D185" s="32" t="str">
        <f>IF($E185="","",INDEX(进销存对接!$D$4:$D$305,61)&amp;" "&amp;TEXT($B185,"YYYY年M月")&amp;" 自动结转")</f>
        <v/>
      </c>
      <c r="E185" s="26" t="str">
        <f>IF(INDEX(进销存对接!$M$4:$U$305,61,4)=0,"",INDEX(进销存对接!$M$4:$U$305,61,4))</f>
        <v/>
      </c>
      <c r="F185" s="25" t="str">
        <f>IF($E185="","",IFERROR(INDEX(科目表!$A$4:$A$81,MATCH($E185,科目表!$B$4:$B$81,0)),""))</f>
        <v/>
      </c>
      <c r="G185" s="26" t="str">
        <f>IF($E185="","",IFERROR(INDEX(科目表!$E$4:$E$81,MATCH($E185,科目表!$B$4:$B$81,0)),""))</f>
        <v/>
      </c>
      <c r="H185" s="27" t="str">
        <f>IF($E185="","",N(INDEX(进销存对接!$M$4:$U$305,61,5)))</f>
        <v/>
      </c>
      <c r="I185" s="27" t="str">
        <f>IF($E185="","",N(INDEX(进销存对接!$M$4:$U$305,61,6)))</f>
        <v/>
      </c>
      <c r="J185" s="26"/>
      <c r="K185" s="26" t="str">
        <f>IF($E185="","",INDEX(进销存对接!$D$4:$D$305,61))</f>
        <v/>
      </c>
      <c r="L185" s="32"/>
      <c r="M185" s="32"/>
      <c r="N185" s="26" t="str">
        <f t="shared" si="10"/>
        <v/>
      </c>
      <c r="O185" s="26" t="str">
        <f t="shared" si="11"/>
        <v/>
      </c>
      <c r="P185" s="10"/>
    </row>
    <row r="186" ht="18" customHeight="1" spans="1:16">
      <c r="A186" s="32" t="str">
        <f t="shared" si="8"/>
        <v/>
      </c>
      <c r="B186" s="100" t="str">
        <f>IF($E186="","",INDEX(进销存对接!$C$4:$C$305,61))</f>
        <v/>
      </c>
      <c r="C186" s="26" t="str">
        <f t="shared" si="9"/>
        <v/>
      </c>
      <c r="D186" s="32" t="str">
        <f>IF($E186="","",INDEX(进销存对接!$D$4:$D$305,61)&amp;" "&amp;TEXT($B186,"YYYY年M月")&amp;" 自动结转")</f>
        <v/>
      </c>
      <c r="E186" s="26" t="str">
        <f>IF(INDEX(进销存对接!$M$4:$U$305,61,7)=0,"",INDEX(进销存对接!$M$4:$U$305,61,7))</f>
        <v/>
      </c>
      <c r="F186" s="25" t="str">
        <f>IF($E186="","",IFERROR(INDEX(科目表!$A$4:$A$81,MATCH($E186,科目表!$B$4:$B$81,0)),""))</f>
        <v/>
      </c>
      <c r="G186" s="26" t="str">
        <f>IF($E186="","",IFERROR(INDEX(科目表!$E$4:$E$81,MATCH($E186,科目表!$B$4:$B$81,0)),""))</f>
        <v/>
      </c>
      <c r="H186" s="27" t="str">
        <f>IF($E186="","",N(INDEX(进销存对接!$M$4:$U$305,61,8)))</f>
        <v/>
      </c>
      <c r="I186" s="27" t="str">
        <f>IF($E186="","",N(INDEX(进销存对接!$M$4:$U$305,61,9)))</f>
        <v/>
      </c>
      <c r="J186" s="26"/>
      <c r="K186" s="26" t="str">
        <f>IF($E186="","",INDEX(进销存对接!$D$4:$D$305,61))</f>
        <v/>
      </c>
      <c r="L186" s="32"/>
      <c r="M186" s="32"/>
      <c r="N186" s="26" t="str">
        <f t="shared" si="10"/>
        <v/>
      </c>
      <c r="O186" s="26" t="str">
        <f t="shared" si="11"/>
        <v/>
      </c>
      <c r="P186" s="10"/>
    </row>
    <row r="187" ht="18" customHeight="1" spans="1:16">
      <c r="A187" s="32" t="str">
        <f t="shared" si="8"/>
        <v/>
      </c>
      <c r="B187" s="100" t="str">
        <f>IF($E187="","",INDEX(进销存对接!$C$4:$C$305,62))</f>
        <v/>
      </c>
      <c r="C187" s="26" t="str">
        <f t="shared" si="9"/>
        <v/>
      </c>
      <c r="D187" s="32" t="str">
        <f>IF($E187="","",INDEX(进销存对接!$D$4:$D$305,62)&amp;" "&amp;TEXT($B187,"YYYY年M月")&amp;" 自动结转")</f>
        <v/>
      </c>
      <c r="E187" s="26" t="str">
        <f>IF(INDEX(进销存对接!$M$4:$U$305,62,1)=0,"",INDEX(进销存对接!$M$4:$U$305,62,1))</f>
        <v/>
      </c>
      <c r="F187" s="25" t="str">
        <f>IF($E187="","",IFERROR(INDEX(科目表!$A$4:$A$81,MATCH($E187,科目表!$B$4:$B$81,0)),""))</f>
        <v/>
      </c>
      <c r="G187" s="26" t="str">
        <f>IF($E187="","",IFERROR(INDEX(科目表!$E$4:$E$81,MATCH($E187,科目表!$B$4:$B$81,0)),""))</f>
        <v/>
      </c>
      <c r="H187" s="27" t="str">
        <f>IF($E187="","",N(INDEX(进销存对接!$M$4:$U$305,62,2)))</f>
        <v/>
      </c>
      <c r="I187" s="27" t="str">
        <f>IF($E187="","",N(INDEX(进销存对接!$M$4:$U$305,62,3)))</f>
        <v/>
      </c>
      <c r="J187" s="26"/>
      <c r="K187" s="26" t="str">
        <f>IF($E187="","",INDEX(进销存对接!$D$4:$D$305,62))</f>
        <v/>
      </c>
      <c r="L187" s="32"/>
      <c r="M187" s="32"/>
      <c r="N187" s="26" t="str">
        <f t="shared" si="10"/>
        <v/>
      </c>
      <c r="O187" s="26" t="str">
        <f t="shared" si="11"/>
        <v/>
      </c>
      <c r="P187" s="10"/>
    </row>
    <row r="188" ht="18" customHeight="1" spans="1:16">
      <c r="A188" s="32" t="str">
        <f t="shared" si="8"/>
        <v/>
      </c>
      <c r="B188" s="100" t="str">
        <f>IF($E188="","",INDEX(进销存对接!$C$4:$C$305,62))</f>
        <v/>
      </c>
      <c r="C188" s="26" t="str">
        <f t="shared" si="9"/>
        <v/>
      </c>
      <c r="D188" s="32" t="str">
        <f>IF($E188="","",INDEX(进销存对接!$D$4:$D$305,62)&amp;" "&amp;TEXT($B188,"YYYY年M月")&amp;" 自动结转")</f>
        <v/>
      </c>
      <c r="E188" s="26" t="str">
        <f>IF(INDEX(进销存对接!$M$4:$U$305,62,4)=0,"",INDEX(进销存对接!$M$4:$U$305,62,4))</f>
        <v/>
      </c>
      <c r="F188" s="25" t="str">
        <f>IF($E188="","",IFERROR(INDEX(科目表!$A$4:$A$81,MATCH($E188,科目表!$B$4:$B$81,0)),""))</f>
        <v/>
      </c>
      <c r="G188" s="26" t="str">
        <f>IF($E188="","",IFERROR(INDEX(科目表!$E$4:$E$81,MATCH($E188,科目表!$B$4:$B$81,0)),""))</f>
        <v/>
      </c>
      <c r="H188" s="27" t="str">
        <f>IF($E188="","",N(INDEX(进销存对接!$M$4:$U$305,62,5)))</f>
        <v/>
      </c>
      <c r="I188" s="27" t="str">
        <f>IF($E188="","",N(INDEX(进销存对接!$M$4:$U$305,62,6)))</f>
        <v/>
      </c>
      <c r="J188" s="26"/>
      <c r="K188" s="26" t="str">
        <f>IF($E188="","",INDEX(进销存对接!$D$4:$D$305,62))</f>
        <v/>
      </c>
      <c r="L188" s="32"/>
      <c r="M188" s="32"/>
      <c r="N188" s="26" t="str">
        <f t="shared" si="10"/>
        <v/>
      </c>
      <c r="O188" s="26" t="str">
        <f t="shared" si="11"/>
        <v/>
      </c>
      <c r="P188" s="10"/>
    </row>
    <row r="189" ht="18" customHeight="1" spans="1:16">
      <c r="A189" s="32" t="str">
        <f t="shared" si="8"/>
        <v/>
      </c>
      <c r="B189" s="100" t="str">
        <f>IF($E189="","",INDEX(进销存对接!$C$4:$C$305,62))</f>
        <v/>
      </c>
      <c r="C189" s="26" t="str">
        <f t="shared" si="9"/>
        <v/>
      </c>
      <c r="D189" s="32" t="str">
        <f>IF($E189="","",INDEX(进销存对接!$D$4:$D$305,62)&amp;" "&amp;TEXT($B189,"YYYY年M月")&amp;" 自动结转")</f>
        <v/>
      </c>
      <c r="E189" s="26" t="str">
        <f>IF(INDEX(进销存对接!$M$4:$U$305,62,7)=0,"",INDEX(进销存对接!$M$4:$U$305,62,7))</f>
        <v/>
      </c>
      <c r="F189" s="25" t="str">
        <f>IF($E189="","",IFERROR(INDEX(科目表!$A$4:$A$81,MATCH($E189,科目表!$B$4:$B$81,0)),""))</f>
        <v/>
      </c>
      <c r="G189" s="26" t="str">
        <f>IF($E189="","",IFERROR(INDEX(科目表!$E$4:$E$81,MATCH($E189,科目表!$B$4:$B$81,0)),""))</f>
        <v/>
      </c>
      <c r="H189" s="27" t="str">
        <f>IF($E189="","",N(INDEX(进销存对接!$M$4:$U$305,62,8)))</f>
        <v/>
      </c>
      <c r="I189" s="27" t="str">
        <f>IF($E189="","",N(INDEX(进销存对接!$M$4:$U$305,62,9)))</f>
        <v/>
      </c>
      <c r="J189" s="26"/>
      <c r="K189" s="26" t="str">
        <f>IF($E189="","",INDEX(进销存对接!$D$4:$D$305,62))</f>
        <v/>
      </c>
      <c r="L189" s="32"/>
      <c r="M189" s="32"/>
      <c r="N189" s="26" t="str">
        <f t="shared" si="10"/>
        <v/>
      </c>
      <c r="O189" s="26" t="str">
        <f t="shared" si="11"/>
        <v/>
      </c>
      <c r="P189" s="10"/>
    </row>
    <row r="190" ht="18" customHeight="1" spans="1:16">
      <c r="A190" s="32" t="str">
        <f t="shared" si="8"/>
        <v/>
      </c>
      <c r="B190" s="100" t="str">
        <f>IF($E190="","",INDEX(进销存对接!$C$4:$C$305,63))</f>
        <v/>
      </c>
      <c r="C190" s="26" t="str">
        <f t="shared" si="9"/>
        <v/>
      </c>
      <c r="D190" s="32" t="str">
        <f>IF($E190="","",INDEX(进销存对接!$D$4:$D$305,63)&amp;" "&amp;TEXT($B190,"YYYY年M月")&amp;" 自动结转")</f>
        <v/>
      </c>
      <c r="E190" s="26" t="str">
        <f>IF(INDEX(进销存对接!$M$4:$U$305,63,1)=0,"",INDEX(进销存对接!$M$4:$U$305,63,1))</f>
        <v/>
      </c>
      <c r="F190" s="25" t="str">
        <f>IF($E190="","",IFERROR(INDEX(科目表!$A$4:$A$81,MATCH($E190,科目表!$B$4:$B$81,0)),""))</f>
        <v/>
      </c>
      <c r="G190" s="26" t="str">
        <f>IF($E190="","",IFERROR(INDEX(科目表!$E$4:$E$81,MATCH($E190,科目表!$B$4:$B$81,0)),""))</f>
        <v/>
      </c>
      <c r="H190" s="27" t="str">
        <f>IF($E190="","",N(INDEX(进销存对接!$M$4:$U$305,63,2)))</f>
        <v/>
      </c>
      <c r="I190" s="27" t="str">
        <f>IF($E190="","",N(INDEX(进销存对接!$M$4:$U$305,63,3)))</f>
        <v/>
      </c>
      <c r="J190" s="26"/>
      <c r="K190" s="26" t="str">
        <f>IF($E190="","",INDEX(进销存对接!$D$4:$D$305,63))</f>
        <v/>
      </c>
      <c r="L190" s="32"/>
      <c r="M190" s="32"/>
      <c r="N190" s="26" t="str">
        <f t="shared" si="10"/>
        <v/>
      </c>
      <c r="O190" s="26" t="str">
        <f t="shared" si="11"/>
        <v/>
      </c>
      <c r="P190" s="10"/>
    </row>
    <row r="191" ht="18" customHeight="1" spans="1:16">
      <c r="A191" s="32" t="str">
        <f t="shared" si="8"/>
        <v/>
      </c>
      <c r="B191" s="100" t="str">
        <f>IF($E191="","",INDEX(进销存对接!$C$4:$C$305,63))</f>
        <v/>
      </c>
      <c r="C191" s="26" t="str">
        <f t="shared" si="9"/>
        <v/>
      </c>
      <c r="D191" s="32" t="str">
        <f>IF($E191="","",INDEX(进销存对接!$D$4:$D$305,63)&amp;" "&amp;TEXT($B191,"YYYY年M月")&amp;" 自动结转")</f>
        <v/>
      </c>
      <c r="E191" s="26" t="str">
        <f>IF(INDEX(进销存对接!$M$4:$U$305,63,4)=0,"",INDEX(进销存对接!$M$4:$U$305,63,4))</f>
        <v/>
      </c>
      <c r="F191" s="25" t="str">
        <f>IF($E191="","",IFERROR(INDEX(科目表!$A$4:$A$81,MATCH($E191,科目表!$B$4:$B$81,0)),""))</f>
        <v/>
      </c>
      <c r="G191" s="26" t="str">
        <f>IF($E191="","",IFERROR(INDEX(科目表!$E$4:$E$81,MATCH($E191,科目表!$B$4:$B$81,0)),""))</f>
        <v/>
      </c>
      <c r="H191" s="27" t="str">
        <f>IF($E191="","",N(INDEX(进销存对接!$M$4:$U$305,63,5)))</f>
        <v/>
      </c>
      <c r="I191" s="27" t="str">
        <f>IF($E191="","",N(INDEX(进销存对接!$M$4:$U$305,63,6)))</f>
        <v/>
      </c>
      <c r="J191" s="26"/>
      <c r="K191" s="26" t="str">
        <f>IF($E191="","",INDEX(进销存对接!$D$4:$D$305,63))</f>
        <v/>
      </c>
      <c r="L191" s="32"/>
      <c r="M191" s="32"/>
      <c r="N191" s="26" t="str">
        <f t="shared" si="10"/>
        <v/>
      </c>
      <c r="O191" s="26" t="str">
        <f t="shared" si="11"/>
        <v/>
      </c>
      <c r="P191" s="10"/>
    </row>
    <row r="192" ht="18" customHeight="1" spans="1:16">
      <c r="A192" s="32" t="str">
        <f t="shared" si="8"/>
        <v/>
      </c>
      <c r="B192" s="100" t="str">
        <f>IF($E192="","",INDEX(进销存对接!$C$4:$C$305,63))</f>
        <v/>
      </c>
      <c r="C192" s="26" t="str">
        <f t="shared" si="9"/>
        <v/>
      </c>
      <c r="D192" s="32" t="str">
        <f>IF($E192="","",INDEX(进销存对接!$D$4:$D$305,63)&amp;" "&amp;TEXT($B192,"YYYY年M月")&amp;" 自动结转")</f>
        <v/>
      </c>
      <c r="E192" s="26" t="str">
        <f>IF(INDEX(进销存对接!$M$4:$U$305,63,7)=0,"",INDEX(进销存对接!$M$4:$U$305,63,7))</f>
        <v/>
      </c>
      <c r="F192" s="25" t="str">
        <f>IF($E192="","",IFERROR(INDEX(科目表!$A$4:$A$81,MATCH($E192,科目表!$B$4:$B$81,0)),""))</f>
        <v/>
      </c>
      <c r="G192" s="26" t="str">
        <f>IF($E192="","",IFERROR(INDEX(科目表!$E$4:$E$81,MATCH($E192,科目表!$B$4:$B$81,0)),""))</f>
        <v/>
      </c>
      <c r="H192" s="27" t="str">
        <f>IF($E192="","",N(INDEX(进销存对接!$M$4:$U$305,63,8)))</f>
        <v/>
      </c>
      <c r="I192" s="27" t="str">
        <f>IF($E192="","",N(INDEX(进销存对接!$M$4:$U$305,63,9)))</f>
        <v/>
      </c>
      <c r="J192" s="26"/>
      <c r="K192" s="26" t="str">
        <f>IF($E192="","",INDEX(进销存对接!$D$4:$D$305,63))</f>
        <v/>
      </c>
      <c r="L192" s="32"/>
      <c r="M192" s="32"/>
      <c r="N192" s="26" t="str">
        <f t="shared" si="10"/>
        <v/>
      </c>
      <c r="O192" s="26" t="str">
        <f t="shared" si="11"/>
        <v/>
      </c>
      <c r="P192" s="10"/>
    </row>
    <row r="193" ht="18" customHeight="1" spans="1:16">
      <c r="A193" s="32" t="str">
        <f t="shared" si="8"/>
        <v/>
      </c>
      <c r="B193" s="100" t="str">
        <f>IF($E193="","",INDEX(进销存对接!$C$4:$C$305,64))</f>
        <v/>
      </c>
      <c r="C193" s="26" t="str">
        <f t="shared" si="9"/>
        <v/>
      </c>
      <c r="D193" s="32" t="str">
        <f>IF($E193="","",INDEX(进销存对接!$D$4:$D$305,64)&amp;" "&amp;TEXT($B193,"YYYY年M月")&amp;" 自动结转")</f>
        <v/>
      </c>
      <c r="E193" s="26" t="str">
        <f>IF(INDEX(进销存对接!$M$4:$U$305,64,1)=0,"",INDEX(进销存对接!$M$4:$U$305,64,1))</f>
        <v/>
      </c>
      <c r="F193" s="25" t="str">
        <f>IF($E193="","",IFERROR(INDEX(科目表!$A$4:$A$81,MATCH($E193,科目表!$B$4:$B$81,0)),""))</f>
        <v/>
      </c>
      <c r="G193" s="26" t="str">
        <f>IF($E193="","",IFERROR(INDEX(科目表!$E$4:$E$81,MATCH($E193,科目表!$B$4:$B$81,0)),""))</f>
        <v/>
      </c>
      <c r="H193" s="27" t="str">
        <f>IF($E193="","",N(INDEX(进销存对接!$M$4:$U$305,64,2)))</f>
        <v/>
      </c>
      <c r="I193" s="27" t="str">
        <f>IF($E193="","",N(INDEX(进销存对接!$M$4:$U$305,64,3)))</f>
        <v/>
      </c>
      <c r="J193" s="26"/>
      <c r="K193" s="26" t="str">
        <f>IF($E193="","",INDEX(进销存对接!$D$4:$D$305,64))</f>
        <v/>
      </c>
      <c r="L193" s="32"/>
      <c r="M193" s="32"/>
      <c r="N193" s="26" t="str">
        <f t="shared" si="10"/>
        <v/>
      </c>
      <c r="O193" s="26" t="str">
        <f t="shared" si="11"/>
        <v/>
      </c>
      <c r="P193" s="10"/>
    </row>
    <row r="194" ht="18" customHeight="1" spans="1:16">
      <c r="A194" s="32" t="str">
        <f t="shared" si="8"/>
        <v/>
      </c>
      <c r="B194" s="100" t="str">
        <f>IF($E194="","",INDEX(进销存对接!$C$4:$C$305,64))</f>
        <v/>
      </c>
      <c r="C194" s="26" t="str">
        <f t="shared" si="9"/>
        <v/>
      </c>
      <c r="D194" s="32" t="str">
        <f>IF($E194="","",INDEX(进销存对接!$D$4:$D$305,64)&amp;" "&amp;TEXT($B194,"YYYY年M月")&amp;" 自动结转")</f>
        <v/>
      </c>
      <c r="E194" s="26" t="str">
        <f>IF(INDEX(进销存对接!$M$4:$U$305,64,4)=0,"",INDEX(进销存对接!$M$4:$U$305,64,4))</f>
        <v/>
      </c>
      <c r="F194" s="25" t="str">
        <f>IF($E194="","",IFERROR(INDEX(科目表!$A$4:$A$81,MATCH($E194,科目表!$B$4:$B$81,0)),""))</f>
        <v/>
      </c>
      <c r="G194" s="26" t="str">
        <f>IF($E194="","",IFERROR(INDEX(科目表!$E$4:$E$81,MATCH($E194,科目表!$B$4:$B$81,0)),""))</f>
        <v/>
      </c>
      <c r="H194" s="27" t="str">
        <f>IF($E194="","",N(INDEX(进销存对接!$M$4:$U$305,64,5)))</f>
        <v/>
      </c>
      <c r="I194" s="27" t="str">
        <f>IF($E194="","",N(INDEX(进销存对接!$M$4:$U$305,64,6)))</f>
        <v/>
      </c>
      <c r="J194" s="26"/>
      <c r="K194" s="26" t="str">
        <f>IF($E194="","",INDEX(进销存对接!$D$4:$D$305,64))</f>
        <v/>
      </c>
      <c r="L194" s="32"/>
      <c r="M194" s="32"/>
      <c r="N194" s="26" t="str">
        <f t="shared" si="10"/>
        <v/>
      </c>
      <c r="O194" s="26" t="str">
        <f t="shared" si="11"/>
        <v/>
      </c>
      <c r="P194" s="10"/>
    </row>
    <row r="195" ht="18" customHeight="1" spans="1:16">
      <c r="A195" s="32" t="str">
        <f t="shared" si="8"/>
        <v/>
      </c>
      <c r="B195" s="100" t="str">
        <f>IF($E195="","",INDEX(进销存对接!$C$4:$C$305,64))</f>
        <v/>
      </c>
      <c r="C195" s="26" t="str">
        <f t="shared" si="9"/>
        <v/>
      </c>
      <c r="D195" s="32" t="str">
        <f>IF($E195="","",INDEX(进销存对接!$D$4:$D$305,64)&amp;" "&amp;TEXT($B195,"YYYY年M月")&amp;" 自动结转")</f>
        <v/>
      </c>
      <c r="E195" s="26" t="str">
        <f>IF(INDEX(进销存对接!$M$4:$U$305,64,7)=0,"",INDEX(进销存对接!$M$4:$U$305,64,7))</f>
        <v/>
      </c>
      <c r="F195" s="25" t="str">
        <f>IF($E195="","",IFERROR(INDEX(科目表!$A$4:$A$81,MATCH($E195,科目表!$B$4:$B$81,0)),""))</f>
        <v/>
      </c>
      <c r="G195" s="26" t="str">
        <f>IF($E195="","",IFERROR(INDEX(科目表!$E$4:$E$81,MATCH($E195,科目表!$B$4:$B$81,0)),""))</f>
        <v/>
      </c>
      <c r="H195" s="27" t="str">
        <f>IF($E195="","",N(INDEX(进销存对接!$M$4:$U$305,64,8)))</f>
        <v/>
      </c>
      <c r="I195" s="27" t="str">
        <f>IF($E195="","",N(INDEX(进销存对接!$M$4:$U$305,64,9)))</f>
        <v/>
      </c>
      <c r="J195" s="26"/>
      <c r="K195" s="26" t="str">
        <f>IF($E195="","",INDEX(进销存对接!$D$4:$D$305,64))</f>
        <v/>
      </c>
      <c r="L195" s="32"/>
      <c r="M195" s="32"/>
      <c r="N195" s="26" t="str">
        <f t="shared" si="10"/>
        <v/>
      </c>
      <c r="O195" s="26" t="str">
        <f t="shared" si="11"/>
        <v/>
      </c>
      <c r="P195" s="10"/>
    </row>
    <row r="196" ht="18" customHeight="1" spans="1:16">
      <c r="A196" s="32" t="str">
        <f t="shared" ref="A196:A259" si="12">IF($E196="","",ROW()-3)</f>
        <v/>
      </c>
      <c r="B196" s="100" t="str">
        <f>IF($E196="","",INDEX(进销存对接!$C$4:$C$305,65))</f>
        <v/>
      </c>
      <c r="C196" s="26" t="str">
        <f t="shared" ref="C196:C259" si="13">IF($E196="","","记-"&amp;TEXT($B196,"YYYYMM")&amp;"-进销存")</f>
        <v/>
      </c>
      <c r="D196" s="32" t="str">
        <f>IF($E196="","",INDEX(进销存对接!$D$4:$D$305,65)&amp;" "&amp;TEXT($B196,"YYYY年M月")&amp;" 自动结转")</f>
        <v/>
      </c>
      <c r="E196" s="26" t="str">
        <f>IF(INDEX(进销存对接!$M$4:$U$305,65,1)=0,"",INDEX(进销存对接!$M$4:$U$305,65,1))</f>
        <v/>
      </c>
      <c r="F196" s="25" t="str">
        <f>IF($E196="","",IFERROR(INDEX(科目表!$A$4:$A$81,MATCH($E196,科目表!$B$4:$B$81,0)),""))</f>
        <v/>
      </c>
      <c r="G196" s="26" t="str">
        <f>IF($E196="","",IFERROR(INDEX(科目表!$E$4:$E$81,MATCH($E196,科目表!$B$4:$B$81,0)),""))</f>
        <v/>
      </c>
      <c r="H196" s="27" t="str">
        <f>IF($E196="","",N(INDEX(进销存对接!$M$4:$U$305,65,2)))</f>
        <v/>
      </c>
      <c r="I196" s="27" t="str">
        <f>IF($E196="","",N(INDEX(进销存对接!$M$4:$U$305,65,3)))</f>
        <v/>
      </c>
      <c r="J196" s="26"/>
      <c r="K196" s="26" t="str">
        <f>IF($E196="","",INDEX(进销存对接!$D$4:$D$305,65))</f>
        <v/>
      </c>
      <c r="L196" s="32"/>
      <c r="M196" s="32"/>
      <c r="N196" s="26" t="str">
        <f t="shared" ref="N196:N259" si="14">IF($E196="","","系统")</f>
        <v/>
      </c>
      <c r="O196" s="26" t="str">
        <f t="shared" ref="O196:O259" si="15">IF($E196="","","自动A")</f>
        <v/>
      </c>
      <c r="P196" s="10"/>
    </row>
    <row r="197" ht="18" customHeight="1" spans="1:16">
      <c r="A197" s="32" t="str">
        <f t="shared" si="12"/>
        <v/>
      </c>
      <c r="B197" s="100" t="str">
        <f>IF($E197="","",INDEX(进销存对接!$C$4:$C$305,65))</f>
        <v/>
      </c>
      <c r="C197" s="26" t="str">
        <f t="shared" si="13"/>
        <v/>
      </c>
      <c r="D197" s="32" t="str">
        <f>IF($E197="","",INDEX(进销存对接!$D$4:$D$305,65)&amp;" "&amp;TEXT($B197,"YYYY年M月")&amp;" 自动结转")</f>
        <v/>
      </c>
      <c r="E197" s="26" t="str">
        <f>IF(INDEX(进销存对接!$M$4:$U$305,65,4)=0,"",INDEX(进销存对接!$M$4:$U$305,65,4))</f>
        <v/>
      </c>
      <c r="F197" s="25" t="str">
        <f>IF($E197="","",IFERROR(INDEX(科目表!$A$4:$A$81,MATCH($E197,科目表!$B$4:$B$81,0)),""))</f>
        <v/>
      </c>
      <c r="G197" s="26" t="str">
        <f>IF($E197="","",IFERROR(INDEX(科目表!$E$4:$E$81,MATCH($E197,科目表!$B$4:$B$81,0)),""))</f>
        <v/>
      </c>
      <c r="H197" s="27" t="str">
        <f>IF($E197="","",N(INDEX(进销存对接!$M$4:$U$305,65,5)))</f>
        <v/>
      </c>
      <c r="I197" s="27" t="str">
        <f>IF($E197="","",N(INDEX(进销存对接!$M$4:$U$305,65,6)))</f>
        <v/>
      </c>
      <c r="J197" s="26"/>
      <c r="K197" s="26" t="str">
        <f>IF($E197="","",INDEX(进销存对接!$D$4:$D$305,65))</f>
        <v/>
      </c>
      <c r="L197" s="32"/>
      <c r="M197" s="32"/>
      <c r="N197" s="26" t="str">
        <f t="shared" si="14"/>
        <v/>
      </c>
      <c r="O197" s="26" t="str">
        <f t="shared" si="15"/>
        <v/>
      </c>
      <c r="P197" s="10"/>
    </row>
    <row r="198" ht="18" customHeight="1" spans="1:16">
      <c r="A198" s="32" t="str">
        <f t="shared" si="12"/>
        <v/>
      </c>
      <c r="B198" s="100" t="str">
        <f>IF($E198="","",INDEX(进销存对接!$C$4:$C$305,65))</f>
        <v/>
      </c>
      <c r="C198" s="26" t="str">
        <f t="shared" si="13"/>
        <v/>
      </c>
      <c r="D198" s="32" t="str">
        <f>IF($E198="","",INDEX(进销存对接!$D$4:$D$305,65)&amp;" "&amp;TEXT($B198,"YYYY年M月")&amp;" 自动结转")</f>
        <v/>
      </c>
      <c r="E198" s="26" t="str">
        <f>IF(INDEX(进销存对接!$M$4:$U$305,65,7)=0,"",INDEX(进销存对接!$M$4:$U$305,65,7))</f>
        <v/>
      </c>
      <c r="F198" s="25" t="str">
        <f>IF($E198="","",IFERROR(INDEX(科目表!$A$4:$A$81,MATCH($E198,科目表!$B$4:$B$81,0)),""))</f>
        <v/>
      </c>
      <c r="G198" s="26" t="str">
        <f>IF($E198="","",IFERROR(INDEX(科目表!$E$4:$E$81,MATCH($E198,科目表!$B$4:$B$81,0)),""))</f>
        <v/>
      </c>
      <c r="H198" s="27" t="str">
        <f>IF($E198="","",N(INDEX(进销存对接!$M$4:$U$305,65,8)))</f>
        <v/>
      </c>
      <c r="I198" s="27" t="str">
        <f>IF($E198="","",N(INDEX(进销存对接!$M$4:$U$305,65,9)))</f>
        <v/>
      </c>
      <c r="J198" s="26"/>
      <c r="K198" s="26" t="str">
        <f>IF($E198="","",INDEX(进销存对接!$D$4:$D$305,65))</f>
        <v/>
      </c>
      <c r="L198" s="32"/>
      <c r="M198" s="32"/>
      <c r="N198" s="26" t="str">
        <f t="shared" si="14"/>
        <v/>
      </c>
      <c r="O198" s="26" t="str">
        <f t="shared" si="15"/>
        <v/>
      </c>
      <c r="P198" s="10"/>
    </row>
    <row r="199" ht="18" customHeight="1" spans="1:16">
      <c r="A199" s="32" t="str">
        <f t="shared" si="12"/>
        <v/>
      </c>
      <c r="B199" s="100" t="str">
        <f>IF($E199="","",INDEX(进销存对接!$C$4:$C$305,66))</f>
        <v/>
      </c>
      <c r="C199" s="26" t="str">
        <f t="shared" si="13"/>
        <v/>
      </c>
      <c r="D199" s="32" t="str">
        <f>IF($E199="","",INDEX(进销存对接!$D$4:$D$305,66)&amp;" "&amp;TEXT($B199,"YYYY年M月")&amp;" 自动结转")</f>
        <v/>
      </c>
      <c r="E199" s="26" t="str">
        <f>IF(INDEX(进销存对接!$M$4:$U$305,66,1)=0,"",INDEX(进销存对接!$M$4:$U$305,66,1))</f>
        <v/>
      </c>
      <c r="F199" s="25" t="str">
        <f>IF($E199="","",IFERROR(INDEX(科目表!$A$4:$A$81,MATCH($E199,科目表!$B$4:$B$81,0)),""))</f>
        <v/>
      </c>
      <c r="G199" s="26" t="str">
        <f>IF($E199="","",IFERROR(INDEX(科目表!$E$4:$E$81,MATCH($E199,科目表!$B$4:$B$81,0)),""))</f>
        <v/>
      </c>
      <c r="H199" s="27" t="str">
        <f>IF($E199="","",N(INDEX(进销存对接!$M$4:$U$305,66,2)))</f>
        <v/>
      </c>
      <c r="I199" s="27" t="str">
        <f>IF($E199="","",N(INDEX(进销存对接!$M$4:$U$305,66,3)))</f>
        <v/>
      </c>
      <c r="J199" s="26"/>
      <c r="K199" s="26" t="str">
        <f>IF($E199="","",INDEX(进销存对接!$D$4:$D$305,66))</f>
        <v/>
      </c>
      <c r="L199" s="32"/>
      <c r="M199" s="32"/>
      <c r="N199" s="26" t="str">
        <f t="shared" si="14"/>
        <v/>
      </c>
      <c r="O199" s="26" t="str">
        <f t="shared" si="15"/>
        <v/>
      </c>
      <c r="P199" s="10"/>
    </row>
    <row r="200" ht="18" customHeight="1" spans="1:16">
      <c r="A200" s="32" t="str">
        <f t="shared" si="12"/>
        <v/>
      </c>
      <c r="B200" s="100" t="str">
        <f>IF($E200="","",INDEX(进销存对接!$C$4:$C$305,66))</f>
        <v/>
      </c>
      <c r="C200" s="26" t="str">
        <f t="shared" si="13"/>
        <v/>
      </c>
      <c r="D200" s="32" t="str">
        <f>IF($E200="","",INDEX(进销存对接!$D$4:$D$305,66)&amp;" "&amp;TEXT($B200,"YYYY年M月")&amp;" 自动结转")</f>
        <v/>
      </c>
      <c r="E200" s="26" t="str">
        <f>IF(INDEX(进销存对接!$M$4:$U$305,66,4)=0,"",INDEX(进销存对接!$M$4:$U$305,66,4))</f>
        <v/>
      </c>
      <c r="F200" s="25" t="str">
        <f>IF($E200="","",IFERROR(INDEX(科目表!$A$4:$A$81,MATCH($E200,科目表!$B$4:$B$81,0)),""))</f>
        <v/>
      </c>
      <c r="G200" s="26" t="str">
        <f>IF($E200="","",IFERROR(INDEX(科目表!$E$4:$E$81,MATCH($E200,科目表!$B$4:$B$81,0)),""))</f>
        <v/>
      </c>
      <c r="H200" s="27" t="str">
        <f>IF($E200="","",N(INDEX(进销存对接!$M$4:$U$305,66,5)))</f>
        <v/>
      </c>
      <c r="I200" s="27" t="str">
        <f>IF($E200="","",N(INDEX(进销存对接!$M$4:$U$305,66,6)))</f>
        <v/>
      </c>
      <c r="J200" s="26"/>
      <c r="K200" s="26" t="str">
        <f>IF($E200="","",INDEX(进销存对接!$D$4:$D$305,66))</f>
        <v/>
      </c>
      <c r="L200" s="32"/>
      <c r="M200" s="32"/>
      <c r="N200" s="26" t="str">
        <f t="shared" si="14"/>
        <v/>
      </c>
      <c r="O200" s="26" t="str">
        <f t="shared" si="15"/>
        <v/>
      </c>
      <c r="P200" s="10"/>
    </row>
    <row r="201" ht="18" customHeight="1" spans="1:16">
      <c r="A201" s="32" t="str">
        <f t="shared" si="12"/>
        <v/>
      </c>
      <c r="B201" s="100" t="str">
        <f>IF($E201="","",INDEX(进销存对接!$C$4:$C$305,66))</f>
        <v/>
      </c>
      <c r="C201" s="26" t="str">
        <f t="shared" si="13"/>
        <v/>
      </c>
      <c r="D201" s="32" t="str">
        <f>IF($E201="","",INDEX(进销存对接!$D$4:$D$305,66)&amp;" "&amp;TEXT($B201,"YYYY年M月")&amp;" 自动结转")</f>
        <v/>
      </c>
      <c r="E201" s="26" t="str">
        <f>IF(INDEX(进销存对接!$M$4:$U$305,66,7)=0,"",INDEX(进销存对接!$M$4:$U$305,66,7))</f>
        <v/>
      </c>
      <c r="F201" s="25" t="str">
        <f>IF($E201="","",IFERROR(INDEX(科目表!$A$4:$A$81,MATCH($E201,科目表!$B$4:$B$81,0)),""))</f>
        <v/>
      </c>
      <c r="G201" s="26" t="str">
        <f>IF($E201="","",IFERROR(INDEX(科目表!$E$4:$E$81,MATCH($E201,科目表!$B$4:$B$81,0)),""))</f>
        <v/>
      </c>
      <c r="H201" s="27" t="str">
        <f>IF($E201="","",N(INDEX(进销存对接!$M$4:$U$305,66,8)))</f>
        <v/>
      </c>
      <c r="I201" s="27" t="str">
        <f>IF($E201="","",N(INDEX(进销存对接!$M$4:$U$305,66,9)))</f>
        <v/>
      </c>
      <c r="J201" s="26"/>
      <c r="K201" s="26" t="str">
        <f>IF($E201="","",INDEX(进销存对接!$D$4:$D$305,66))</f>
        <v/>
      </c>
      <c r="L201" s="32"/>
      <c r="M201" s="32"/>
      <c r="N201" s="26" t="str">
        <f t="shared" si="14"/>
        <v/>
      </c>
      <c r="O201" s="26" t="str">
        <f t="shared" si="15"/>
        <v/>
      </c>
      <c r="P201" s="10"/>
    </row>
    <row r="202" ht="18" customHeight="1" spans="1:16">
      <c r="A202" s="32" t="str">
        <f t="shared" si="12"/>
        <v/>
      </c>
      <c r="B202" s="100" t="str">
        <f>IF($E202="","",INDEX(进销存对接!$C$4:$C$305,67))</f>
        <v/>
      </c>
      <c r="C202" s="26" t="str">
        <f t="shared" si="13"/>
        <v/>
      </c>
      <c r="D202" s="32" t="str">
        <f>IF($E202="","",INDEX(进销存对接!$D$4:$D$305,67)&amp;" "&amp;TEXT($B202,"YYYY年M月")&amp;" 自动结转")</f>
        <v/>
      </c>
      <c r="E202" s="26" t="str">
        <f>IF(INDEX(进销存对接!$M$4:$U$305,67,1)=0,"",INDEX(进销存对接!$M$4:$U$305,67,1))</f>
        <v/>
      </c>
      <c r="F202" s="25" t="str">
        <f>IF($E202="","",IFERROR(INDEX(科目表!$A$4:$A$81,MATCH($E202,科目表!$B$4:$B$81,0)),""))</f>
        <v/>
      </c>
      <c r="G202" s="26" t="str">
        <f>IF($E202="","",IFERROR(INDEX(科目表!$E$4:$E$81,MATCH($E202,科目表!$B$4:$B$81,0)),""))</f>
        <v/>
      </c>
      <c r="H202" s="27" t="str">
        <f>IF($E202="","",N(INDEX(进销存对接!$M$4:$U$305,67,2)))</f>
        <v/>
      </c>
      <c r="I202" s="27" t="str">
        <f>IF($E202="","",N(INDEX(进销存对接!$M$4:$U$305,67,3)))</f>
        <v/>
      </c>
      <c r="J202" s="26"/>
      <c r="K202" s="26" t="str">
        <f>IF($E202="","",INDEX(进销存对接!$D$4:$D$305,67))</f>
        <v/>
      </c>
      <c r="L202" s="32"/>
      <c r="M202" s="32"/>
      <c r="N202" s="26" t="str">
        <f t="shared" si="14"/>
        <v/>
      </c>
      <c r="O202" s="26" t="str">
        <f t="shared" si="15"/>
        <v/>
      </c>
      <c r="P202" s="10"/>
    </row>
    <row r="203" ht="18" customHeight="1" spans="1:16">
      <c r="A203" s="32" t="str">
        <f t="shared" si="12"/>
        <v/>
      </c>
      <c r="B203" s="100" t="str">
        <f>IF($E203="","",INDEX(进销存对接!$C$4:$C$305,67))</f>
        <v/>
      </c>
      <c r="C203" s="26" t="str">
        <f t="shared" si="13"/>
        <v/>
      </c>
      <c r="D203" s="32" t="str">
        <f>IF($E203="","",INDEX(进销存对接!$D$4:$D$305,67)&amp;" "&amp;TEXT($B203,"YYYY年M月")&amp;" 自动结转")</f>
        <v/>
      </c>
      <c r="E203" s="26" t="str">
        <f>IF(INDEX(进销存对接!$M$4:$U$305,67,4)=0,"",INDEX(进销存对接!$M$4:$U$305,67,4))</f>
        <v/>
      </c>
      <c r="F203" s="25" t="str">
        <f>IF($E203="","",IFERROR(INDEX(科目表!$A$4:$A$81,MATCH($E203,科目表!$B$4:$B$81,0)),""))</f>
        <v/>
      </c>
      <c r="G203" s="26" t="str">
        <f>IF($E203="","",IFERROR(INDEX(科目表!$E$4:$E$81,MATCH($E203,科目表!$B$4:$B$81,0)),""))</f>
        <v/>
      </c>
      <c r="H203" s="27" t="str">
        <f>IF($E203="","",N(INDEX(进销存对接!$M$4:$U$305,67,5)))</f>
        <v/>
      </c>
      <c r="I203" s="27" t="str">
        <f>IF($E203="","",N(INDEX(进销存对接!$M$4:$U$305,67,6)))</f>
        <v/>
      </c>
      <c r="J203" s="26"/>
      <c r="K203" s="26" t="str">
        <f>IF($E203="","",INDEX(进销存对接!$D$4:$D$305,67))</f>
        <v/>
      </c>
      <c r="L203" s="32"/>
      <c r="M203" s="32"/>
      <c r="N203" s="26" t="str">
        <f t="shared" si="14"/>
        <v/>
      </c>
      <c r="O203" s="26" t="str">
        <f t="shared" si="15"/>
        <v/>
      </c>
      <c r="P203" s="10"/>
    </row>
    <row r="204" ht="18" customHeight="1" spans="1:16">
      <c r="A204" s="32" t="str">
        <f t="shared" si="12"/>
        <v/>
      </c>
      <c r="B204" s="100" t="str">
        <f>IF($E204="","",INDEX(进销存对接!$C$4:$C$305,67))</f>
        <v/>
      </c>
      <c r="C204" s="26" t="str">
        <f t="shared" si="13"/>
        <v/>
      </c>
      <c r="D204" s="32" t="str">
        <f>IF($E204="","",INDEX(进销存对接!$D$4:$D$305,67)&amp;" "&amp;TEXT($B204,"YYYY年M月")&amp;" 自动结转")</f>
        <v/>
      </c>
      <c r="E204" s="26" t="str">
        <f>IF(INDEX(进销存对接!$M$4:$U$305,67,7)=0,"",INDEX(进销存对接!$M$4:$U$305,67,7))</f>
        <v/>
      </c>
      <c r="F204" s="25" t="str">
        <f>IF($E204="","",IFERROR(INDEX(科目表!$A$4:$A$81,MATCH($E204,科目表!$B$4:$B$81,0)),""))</f>
        <v/>
      </c>
      <c r="G204" s="26" t="str">
        <f>IF($E204="","",IFERROR(INDEX(科目表!$E$4:$E$81,MATCH($E204,科目表!$B$4:$B$81,0)),""))</f>
        <v/>
      </c>
      <c r="H204" s="27" t="str">
        <f>IF($E204="","",N(INDEX(进销存对接!$M$4:$U$305,67,8)))</f>
        <v/>
      </c>
      <c r="I204" s="27" t="str">
        <f>IF($E204="","",N(INDEX(进销存对接!$M$4:$U$305,67,9)))</f>
        <v/>
      </c>
      <c r="J204" s="26"/>
      <c r="K204" s="26" t="str">
        <f>IF($E204="","",INDEX(进销存对接!$D$4:$D$305,67))</f>
        <v/>
      </c>
      <c r="L204" s="32"/>
      <c r="M204" s="32"/>
      <c r="N204" s="26" t="str">
        <f t="shared" si="14"/>
        <v/>
      </c>
      <c r="O204" s="26" t="str">
        <f t="shared" si="15"/>
        <v/>
      </c>
      <c r="P204" s="10"/>
    </row>
    <row r="205" ht="18" customHeight="1" spans="1:16">
      <c r="A205" s="32" t="str">
        <f t="shared" si="12"/>
        <v/>
      </c>
      <c r="B205" s="100" t="str">
        <f>IF($E205="","",INDEX(进销存对接!$C$4:$C$305,68))</f>
        <v/>
      </c>
      <c r="C205" s="26" t="str">
        <f t="shared" si="13"/>
        <v/>
      </c>
      <c r="D205" s="32" t="str">
        <f>IF($E205="","",INDEX(进销存对接!$D$4:$D$305,68)&amp;" "&amp;TEXT($B205,"YYYY年M月")&amp;" 自动结转")</f>
        <v/>
      </c>
      <c r="E205" s="26" t="str">
        <f>IF(INDEX(进销存对接!$M$4:$U$305,68,1)=0,"",INDEX(进销存对接!$M$4:$U$305,68,1))</f>
        <v/>
      </c>
      <c r="F205" s="25" t="str">
        <f>IF($E205="","",IFERROR(INDEX(科目表!$A$4:$A$81,MATCH($E205,科目表!$B$4:$B$81,0)),""))</f>
        <v/>
      </c>
      <c r="G205" s="26" t="str">
        <f>IF($E205="","",IFERROR(INDEX(科目表!$E$4:$E$81,MATCH($E205,科目表!$B$4:$B$81,0)),""))</f>
        <v/>
      </c>
      <c r="H205" s="27" t="str">
        <f>IF($E205="","",N(INDEX(进销存对接!$M$4:$U$305,68,2)))</f>
        <v/>
      </c>
      <c r="I205" s="27" t="str">
        <f>IF($E205="","",N(INDEX(进销存对接!$M$4:$U$305,68,3)))</f>
        <v/>
      </c>
      <c r="J205" s="26"/>
      <c r="K205" s="26" t="str">
        <f>IF($E205="","",INDEX(进销存对接!$D$4:$D$305,68))</f>
        <v/>
      </c>
      <c r="L205" s="32"/>
      <c r="M205" s="32"/>
      <c r="N205" s="26" t="str">
        <f t="shared" si="14"/>
        <v/>
      </c>
      <c r="O205" s="26" t="str">
        <f t="shared" si="15"/>
        <v/>
      </c>
      <c r="P205" s="10"/>
    </row>
    <row r="206" ht="18" customHeight="1" spans="1:16">
      <c r="A206" s="32" t="str">
        <f t="shared" si="12"/>
        <v/>
      </c>
      <c r="B206" s="100" t="str">
        <f>IF($E206="","",INDEX(进销存对接!$C$4:$C$305,68))</f>
        <v/>
      </c>
      <c r="C206" s="26" t="str">
        <f t="shared" si="13"/>
        <v/>
      </c>
      <c r="D206" s="32" t="str">
        <f>IF($E206="","",INDEX(进销存对接!$D$4:$D$305,68)&amp;" "&amp;TEXT($B206,"YYYY年M月")&amp;" 自动结转")</f>
        <v/>
      </c>
      <c r="E206" s="26" t="str">
        <f>IF(INDEX(进销存对接!$M$4:$U$305,68,4)=0,"",INDEX(进销存对接!$M$4:$U$305,68,4))</f>
        <v/>
      </c>
      <c r="F206" s="25" t="str">
        <f>IF($E206="","",IFERROR(INDEX(科目表!$A$4:$A$81,MATCH($E206,科目表!$B$4:$B$81,0)),""))</f>
        <v/>
      </c>
      <c r="G206" s="26" t="str">
        <f>IF($E206="","",IFERROR(INDEX(科目表!$E$4:$E$81,MATCH($E206,科目表!$B$4:$B$81,0)),""))</f>
        <v/>
      </c>
      <c r="H206" s="27" t="str">
        <f>IF($E206="","",N(INDEX(进销存对接!$M$4:$U$305,68,5)))</f>
        <v/>
      </c>
      <c r="I206" s="27" t="str">
        <f>IF($E206="","",N(INDEX(进销存对接!$M$4:$U$305,68,6)))</f>
        <v/>
      </c>
      <c r="J206" s="26"/>
      <c r="K206" s="26" t="str">
        <f>IF($E206="","",INDEX(进销存对接!$D$4:$D$305,68))</f>
        <v/>
      </c>
      <c r="L206" s="32"/>
      <c r="M206" s="32"/>
      <c r="N206" s="26" t="str">
        <f t="shared" si="14"/>
        <v/>
      </c>
      <c r="O206" s="26" t="str">
        <f t="shared" si="15"/>
        <v/>
      </c>
      <c r="P206" s="10"/>
    </row>
    <row r="207" ht="18" customHeight="1" spans="1:16">
      <c r="A207" s="32" t="str">
        <f t="shared" si="12"/>
        <v/>
      </c>
      <c r="B207" s="100" t="str">
        <f>IF($E207="","",INDEX(进销存对接!$C$4:$C$305,68))</f>
        <v/>
      </c>
      <c r="C207" s="26" t="str">
        <f t="shared" si="13"/>
        <v/>
      </c>
      <c r="D207" s="32" t="str">
        <f>IF($E207="","",INDEX(进销存对接!$D$4:$D$305,68)&amp;" "&amp;TEXT($B207,"YYYY年M月")&amp;" 自动结转")</f>
        <v/>
      </c>
      <c r="E207" s="26" t="str">
        <f>IF(INDEX(进销存对接!$M$4:$U$305,68,7)=0,"",INDEX(进销存对接!$M$4:$U$305,68,7))</f>
        <v/>
      </c>
      <c r="F207" s="25" t="str">
        <f>IF($E207="","",IFERROR(INDEX(科目表!$A$4:$A$81,MATCH($E207,科目表!$B$4:$B$81,0)),""))</f>
        <v/>
      </c>
      <c r="G207" s="26" t="str">
        <f>IF($E207="","",IFERROR(INDEX(科目表!$E$4:$E$81,MATCH($E207,科目表!$B$4:$B$81,0)),""))</f>
        <v/>
      </c>
      <c r="H207" s="27" t="str">
        <f>IF($E207="","",N(INDEX(进销存对接!$M$4:$U$305,68,8)))</f>
        <v/>
      </c>
      <c r="I207" s="27" t="str">
        <f>IF($E207="","",N(INDEX(进销存对接!$M$4:$U$305,68,9)))</f>
        <v/>
      </c>
      <c r="J207" s="26"/>
      <c r="K207" s="26" t="str">
        <f>IF($E207="","",INDEX(进销存对接!$D$4:$D$305,68))</f>
        <v/>
      </c>
      <c r="L207" s="32"/>
      <c r="M207" s="32"/>
      <c r="N207" s="26" t="str">
        <f t="shared" si="14"/>
        <v/>
      </c>
      <c r="O207" s="26" t="str">
        <f t="shared" si="15"/>
        <v/>
      </c>
      <c r="P207" s="10"/>
    </row>
    <row r="208" ht="18" customHeight="1" spans="1:16">
      <c r="A208" s="32" t="str">
        <f t="shared" si="12"/>
        <v/>
      </c>
      <c r="B208" s="100" t="str">
        <f>IF($E208="","",INDEX(进销存对接!$C$4:$C$305,69))</f>
        <v/>
      </c>
      <c r="C208" s="26" t="str">
        <f t="shared" si="13"/>
        <v/>
      </c>
      <c r="D208" s="32" t="str">
        <f>IF($E208="","",INDEX(进销存对接!$D$4:$D$305,69)&amp;" "&amp;TEXT($B208,"YYYY年M月")&amp;" 自动结转")</f>
        <v/>
      </c>
      <c r="E208" s="26" t="str">
        <f>IF(INDEX(进销存对接!$M$4:$U$305,69,1)=0,"",INDEX(进销存对接!$M$4:$U$305,69,1))</f>
        <v/>
      </c>
      <c r="F208" s="25" t="str">
        <f>IF($E208="","",IFERROR(INDEX(科目表!$A$4:$A$81,MATCH($E208,科目表!$B$4:$B$81,0)),""))</f>
        <v/>
      </c>
      <c r="G208" s="26" t="str">
        <f>IF($E208="","",IFERROR(INDEX(科目表!$E$4:$E$81,MATCH($E208,科目表!$B$4:$B$81,0)),""))</f>
        <v/>
      </c>
      <c r="H208" s="27" t="str">
        <f>IF($E208="","",N(INDEX(进销存对接!$M$4:$U$305,69,2)))</f>
        <v/>
      </c>
      <c r="I208" s="27" t="str">
        <f>IF($E208="","",N(INDEX(进销存对接!$M$4:$U$305,69,3)))</f>
        <v/>
      </c>
      <c r="J208" s="26"/>
      <c r="K208" s="26" t="str">
        <f>IF($E208="","",INDEX(进销存对接!$D$4:$D$305,69))</f>
        <v/>
      </c>
      <c r="L208" s="32"/>
      <c r="M208" s="32"/>
      <c r="N208" s="26" t="str">
        <f t="shared" si="14"/>
        <v/>
      </c>
      <c r="O208" s="26" t="str">
        <f t="shared" si="15"/>
        <v/>
      </c>
      <c r="P208" s="10"/>
    </row>
    <row r="209" ht="18" customHeight="1" spans="1:16">
      <c r="A209" s="32" t="str">
        <f t="shared" si="12"/>
        <v/>
      </c>
      <c r="B209" s="100" t="str">
        <f>IF($E209="","",INDEX(进销存对接!$C$4:$C$305,69))</f>
        <v/>
      </c>
      <c r="C209" s="26" t="str">
        <f t="shared" si="13"/>
        <v/>
      </c>
      <c r="D209" s="32" t="str">
        <f>IF($E209="","",INDEX(进销存对接!$D$4:$D$305,69)&amp;" "&amp;TEXT($B209,"YYYY年M月")&amp;" 自动结转")</f>
        <v/>
      </c>
      <c r="E209" s="26" t="str">
        <f>IF(INDEX(进销存对接!$M$4:$U$305,69,4)=0,"",INDEX(进销存对接!$M$4:$U$305,69,4))</f>
        <v/>
      </c>
      <c r="F209" s="25" t="str">
        <f>IF($E209="","",IFERROR(INDEX(科目表!$A$4:$A$81,MATCH($E209,科目表!$B$4:$B$81,0)),""))</f>
        <v/>
      </c>
      <c r="G209" s="26" t="str">
        <f>IF($E209="","",IFERROR(INDEX(科目表!$E$4:$E$81,MATCH($E209,科目表!$B$4:$B$81,0)),""))</f>
        <v/>
      </c>
      <c r="H209" s="27" t="str">
        <f>IF($E209="","",N(INDEX(进销存对接!$M$4:$U$305,69,5)))</f>
        <v/>
      </c>
      <c r="I209" s="27" t="str">
        <f>IF($E209="","",N(INDEX(进销存对接!$M$4:$U$305,69,6)))</f>
        <v/>
      </c>
      <c r="J209" s="26"/>
      <c r="K209" s="26" t="str">
        <f>IF($E209="","",INDEX(进销存对接!$D$4:$D$305,69))</f>
        <v/>
      </c>
      <c r="L209" s="32"/>
      <c r="M209" s="32"/>
      <c r="N209" s="26" t="str">
        <f t="shared" si="14"/>
        <v/>
      </c>
      <c r="O209" s="26" t="str">
        <f t="shared" si="15"/>
        <v/>
      </c>
      <c r="P209" s="10"/>
    </row>
    <row r="210" ht="18" customHeight="1" spans="1:16">
      <c r="A210" s="32" t="str">
        <f t="shared" si="12"/>
        <v/>
      </c>
      <c r="B210" s="100" t="str">
        <f>IF($E210="","",INDEX(进销存对接!$C$4:$C$305,69))</f>
        <v/>
      </c>
      <c r="C210" s="26" t="str">
        <f t="shared" si="13"/>
        <v/>
      </c>
      <c r="D210" s="32" t="str">
        <f>IF($E210="","",INDEX(进销存对接!$D$4:$D$305,69)&amp;" "&amp;TEXT($B210,"YYYY年M月")&amp;" 自动结转")</f>
        <v/>
      </c>
      <c r="E210" s="26" t="str">
        <f>IF(INDEX(进销存对接!$M$4:$U$305,69,7)=0,"",INDEX(进销存对接!$M$4:$U$305,69,7))</f>
        <v/>
      </c>
      <c r="F210" s="25" t="str">
        <f>IF($E210="","",IFERROR(INDEX(科目表!$A$4:$A$81,MATCH($E210,科目表!$B$4:$B$81,0)),""))</f>
        <v/>
      </c>
      <c r="G210" s="26" t="str">
        <f>IF($E210="","",IFERROR(INDEX(科目表!$E$4:$E$81,MATCH($E210,科目表!$B$4:$B$81,0)),""))</f>
        <v/>
      </c>
      <c r="H210" s="27" t="str">
        <f>IF($E210="","",N(INDEX(进销存对接!$M$4:$U$305,69,8)))</f>
        <v/>
      </c>
      <c r="I210" s="27" t="str">
        <f>IF($E210="","",N(INDEX(进销存对接!$M$4:$U$305,69,9)))</f>
        <v/>
      </c>
      <c r="J210" s="26"/>
      <c r="K210" s="26" t="str">
        <f>IF($E210="","",INDEX(进销存对接!$D$4:$D$305,69))</f>
        <v/>
      </c>
      <c r="L210" s="32"/>
      <c r="M210" s="32"/>
      <c r="N210" s="26" t="str">
        <f t="shared" si="14"/>
        <v/>
      </c>
      <c r="O210" s="26" t="str">
        <f t="shared" si="15"/>
        <v/>
      </c>
      <c r="P210" s="10"/>
    </row>
    <row r="211" ht="18" customHeight="1" spans="1:16">
      <c r="A211" s="32" t="str">
        <f t="shared" si="12"/>
        <v/>
      </c>
      <c r="B211" s="100" t="str">
        <f>IF($E211="","",INDEX(进销存对接!$C$4:$C$305,70))</f>
        <v/>
      </c>
      <c r="C211" s="26" t="str">
        <f t="shared" si="13"/>
        <v/>
      </c>
      <c r="D211" s="32" t="str">
        <f>IF($E211="","",INDEX(进销存对接!$D$4:$D$305,70)&amp;" "&amp;TEXT($B211,"YYYY年M月")&amp;" 自动结转")</f>
        <v/>
      </c>
      <c r="E211" s="26" t="str">
        <f>IF(INDEX(进销存对接!$M$4:$U$305,70,1)=0,"",INDEX(进销存对接!$M$4:$U$305,70,1))</f>
        <v/>
      </c>
      <c r="F211" s="25" t="str">
        <f>IF($E211="","",IFERROR(INDEX(科目表!$A$4:$A$81,MATCH($E211,科目表!$B$4:$B$81,0)),""))</f>
        <v/>
      </c>
      <c r="G211" s="26" t="str">
        <f>IF($E211="","",IFERROR(INDEX(科目表!$E$4:$E$81,MATCH($E211,科目表!$B$4:$B$81,0)),""))</f>
        <v/>
      </c>
      <c r="H211" s="27" t="str">
        <f>IF($E211="","",N(INDEX(进销存对接!$M$4:$U$305,70,2)))</f>
        <v/>
      </c>
      <c r="I211" s="27" t="str">
        <f>IF($E211="","",N(INDEX(进销存对接!$M$4:$U$305,70,3)))</f>
        <v/>
      </c>
      <c r="J211" s="26"/>
      <c r="K211" s="26" t="str">
        <f>IF($E211="","",INDEX(进销存对接!$D$4:$D$305,70))</f>
        <v/>
      </c>
      <c r="L211" s="32"/>
      <c r="M211" s="32"/>
      <c r="N211" s="26" t="str">
        <f t="shared" si="14"/>
        <v/>
      </c>
      <c r="O211" s="26" t="str">
        <f t="shared" si="15"/>
        <v/>
      </c>
      <c r="P211" s="10"/>
    </row>
    <row r="212" ht="18" customHeight="1" spans="1:16">
      <c r="A212" s="32" t="str">
        <f t="shared" si="12"/>
        <v/>
      </c>
      <c r="B212" s="100" t="str">
        <f>IF($E212="","",INDEX(进销存对接!$C$4:$C$305,70))</f>
        <v/>
      </c>
      <c r="C212" s="26" t="str">
        <f t="shared" si="13"/>
        <v/>
      </c>
      <c r="D212" s="32" t="str">
        <f>IF($E212="","",INDEX(进销存对接!$D$4:$D$305,70)&amp;" "&amp;TEXT($B212,"YYYY年M月")&amp;" 自动结转")</f>
        <v/>
      </c>
      <c r="E212" s="26" t="str">
        <f>IF(INDEX(进销存对接!$M$4:$U$305,70,4)=0,"",INDEX(进销存对接!$M$4:$U$305,70,4))</f>
        <v/>
      </c>
      <c r="F212" s="25" t="str">
        <f>IF($E212="","",IFERROR(INDEX(科目表!$A$4:$A$81,MATCH($E212,科目表!$B$4:$B$81,0)),""))</f>
        <v/>
      </c>
      <c r="G212" s="26" t="str">
        <f>IF($E212="","",IFERROR(INDEX(科目表!$E$4:$E$81,MATCH($E212,科目表!$B$4:$B$81,0)),""))</f>
        <v/>
      </c>
      <c r="H212" s="27" t="str">
        <f>IF($E212="","",N(INDEX(进销存对接!$M$4:$U$305,70,5)))</f>
        <v/>
      </c>
      <c r="I212" s="27" t="str">
        <f>IF($E212="","",N(INDEX(进销存对接!$M$4:$U$305,70,6)))</f>
        <v/>
      </c>
      <c r="J212" s="26"/>
      <c r="K212" s="26" t="str">
        <f>IF($E212="","",INDEX(进销存对接!$D$4:$D$305,70))</f>
        <v/>
      </c>
      <c r="L212" s="32"/>
      <c r="M212" s="32"/>
      <c r="N212" s="26" t="str">
        <f t="shared" si="14"/>
        <v/>
      </c>
      <c r="O212" s="26" t="str">
        <f t="shared" si="15"/>
        <v/>
      </c>
      <c r="P212" s="10"/>
    </row>
    <row r="213" ht="18" customHeight="1" spans="1:16">
      <c r="A213" s="32" t="str">
        <f t="shared" si="12"/>
        <v/>
      </c>
      <c r="B213" s="100" t="str">
        <f>IF($E213="","",INDEX(进销存对接!$C$4:$C$305,70))</f>
        <v/>
      </c>
      <c r="C213" s="26" t="str">
        <f t="shared" si="13"/>
        <v/>
      </c>
      <c r="D213" s="32" t="str">
        <f>IF($E213="","",INDEX(进销存对接!$D$4:$D$305,70)&amp;" "&amp;TEXT($B213,"YYYY年M月")&amp;" 自动结转")</f>
        <v/>
      </c>
      <c r="E213" s="26" t="str">
        <f>IF(INDEX(进销存对接!$M$4:$U$305,70,7)=0,"",INDEX(进销存对接!$M$4:$U$305,70,7))</f>
        <v/>
      </c>
      <c r="F213" s="25" t="str">
        <f>IF($E213="","",IFERROR(INDEX(科目表!$A$4:$A$81,MATCH($E213,科目表!$B$4:$B$81,0)),""))</f>
        <v/>
      </c>
      <c r="G213" s="26" t="str">
        <f>IF($E213="","",IFERROR(INDEX(科目表!$E$4:$E$81,MATCH($E213,科目表!$B$4:$B$81,0)),""))</f>
        <v/>
      </c>
      <c r="H213" s="27" t="str">
        <f>IF($E213="","",N(INDEX(进销存对接!$M$4:$U$305,70,8)))</f>
        <v/>
      </c>
      <c r="I213" s="27" t="str">
        <f>IF($E213="","",N(INDEX(进销存对接!$M$4:$U$305,70,9)))</f>
        <v/>
      </c>
      <c r="J213" s="26"/>
      <c r="K213" s="26" t="str">
        <f>IF($E213="","",INDEX(进销存对接!$D$4:$D$305,70))</f>
        <v/>
      </c>
      <c r="L213" s="32"/>
      <c r="M213" s="32"/>
      <c r="N213" s="26" t="str">
        <f t="shared" si="14"/>
        <v/>
      </c>
      <c r="O213" s="26" t="str">
        <f t="shared" si="15"/>
        <v/>
      </c>
      <c r="P213" s="10"/>
    </row>
    <row r="214" ht="18" customHeight="1" spans="1:16">
      <c r="A214" s="32" t="str">
        <f t="shared" si="12"/>
        <v/>
      </c>
      <c r="B214" s="100" t="str">
        <f>IF($E214="","",INDEX(进销存对接!$C$4:$C$305,71))</f>
        <v/>
      </c>
      <c r="C214" s="26" t="str">
        <f t="shared" si="13"/>
        <v/>
      </c>
      <c r="D214" s="32" t="str">
        <f>IF($E214="","",INDEX(进销存对接!$D$4:$D$305,71)&amp;" "&amp;TEXT($B214,"YYYY年M月")&amp;" 自动结转")</f>
        <v/>
      </c>
      <c r="E214" s="26" t="str">
        <f>IF(INDEX(进销存对接!$M$4:$U$305,71,1)=0,"",INDEX(进销存对接!$M$4:$U$305,71,1))</f>
        <v/>
      </c>
      <c r="F214" s="25" t="str">
        <f>IF($E214="","",IFERROR(INDEX(科目表!$A$4:$A$81,MATCH($E214,科目表!$B$4:$B$81,0)),""))</f>
        <v/>
      </c>
      <c r="G214" s="26" t="str">
        <f>IF($E214="","",IFERROR(INDEX(科目表!$E$4:$E$81,MATCH($E214,科目表!$B$4:$B$81,0)),""))</f>
        <v/>
      </c>
      <c r="H214" s="27" t="str">
        <f>IF($E214="","",N(INDEX(进销存对接!$M$4:$U$305,71,2)))</f>
        <v/>
      </c>
      <c r="I214" s="27" t="str">
        <f>IF($E214="","",N(INDEX(进销存对接!$M$4:$U$305,71,3)))</f>
        <v/>
      </c>
      <c r="J214" s="26"/>
      <c r="K214" s="26" t="str">
        <f>IF($E214="","",INDEX(进销存对接!$D$4:$D$305,71))</f>
        <v/>
      </c>
      <c r="L214" s="32"/>
      <c r="M214" s="32"/>
      <c r="N214" s="26" t="str">
        <f t="shared" si="14"/>
        <v/>
      </c>
      <c r="O214" s="26" t="str">
        <f t="shared" si="15"/>
        <v/>
      </c>
      <c r="P214" s="10"/>
    </row>
    <row r="215" ht="18" customHeight="1" spans="1:16">
      <c r="A215" s="32" t="str">
        <f t="shared" si="12"/>
        <v/>
      </c>
      <c r="B215" s="100" t="str">
        <f>IF($E215="","",INDEX(进销存对接!$C$4:$C$305,71))</f>
        <v/>
      </c>
      <c r="C215" s="26" t="str">
        <f t="shared" si="13"/>
        <v/>
      </c>
      <c r="D215" s="32" t="str">
        <f>IF($E215="","",INDEX(进销存对接!$D$4:$D$305,71)&amp;" "&amp;TEXT($B215,"YYYY年M月")&amp;" 自动结转")</f>
        <v/>
      </c>
      <c r="E215" s="26" t="str">
        <f>IF(INDEX(进销存对接!$M$4:$U$305,71,4)=0,"",INDEX(进销存对接!$M$4:$U$305,71,4))</f>
        <v/>
      </c>
      <c r="F215" s="25" t="str">
        <f>IF($E215="","",IFERROR(INDEX(科目表!$A$4:$A$81,MATCH($E215,科目表!$B$4:$B$81,0)),""))</f>
        <v/>
      </c>
      <c r="G215" s="26" t="str">
        <f>IF($E215="","",IFERROR(INDEX(科目表!$E$4:$E$81,MATCH($E215,科目表!$B$4:$B$81,0)),""))</f>
        <v/>
      </c>
      <c r="H215" s="27" t="str">
        <f>IF($E215="","",N(INDEX(进销存对接!$M$4:$U$305,71,5)))</f>
        <v/>
      </c>
      <c r="I215" s="27" t="str">
        <f>IF($E215="","",N(INDEX(进销存对接!$M$4:$U$305,71,6)))</f>
        <v/>
      </c>
      <c r="J215" s="26"/>
      <c r="K215" s="26" t="str">
        <f>IF($E215="","",INDEX(进销存对接!$D$4:$D$305,71))</f>
        <v/>
      </c>
      <c r="L215" s="32"/>
      <c r="M215" s="32"/>
      <c r="N215" s="26" t="str">
        <f t="shared" si="14"/>
        <v/>
      </c>
      <c r="O215" s="26" t="str">
        <f t="shared" si="15"/>
        <v/>
      </c>
      <c r="P215" s="10"/>
    </row>
    <row r="216" ht="18" customHeight="1" spans="1:16">
      <c r="A216" s="32" t="str">
        <f t="shared" si="12"/>
        <v/>
      </c>
      <c r="B216" s="100" t="str">
        <f>IF($E216="","",INDEX(进销存对接!$C$4:$C$305,71))</f>
        <v/>
      </c>
      <c r="C216" s="26" t="str">
        <f t="shared" si="13"/>
        <v/>
      </c>
      <c r="D216" s="32" t="str">
        <f>IF($E216="","",INDEX(进销存对接!$D$4:$D$305,71)&amp;" "&amp;TEXT($B216,"YYYY年M月")&amp;" 自动结转")</f>
        <v/>
      </c>
      <c r="E216" s="26" t="str">
        <f>IF(INDEX(进销存对接!$M$4:$U$305,71,7)=0,"",INDEX(进销存对接!$M$4:$U$305,71,7))</f>
        <v/>
      </c>
      <c r="F216" s="25" t="str">
        <f>IF($E216="","",IFERROR(INDEX(科目表!$A$4:$A$81,MATCH($E216,科目表!$B$4:$B$81,0)),""))</f>
        <v/>
      </c>
      <c r="G216" s="26" t="str">
        <f>IF($E216="","",IFERROR(INDEX(科目表!$E$4:$E$81,MATCH($E216,科目表!$B$4:$B$81,0)),""))</f>
        <v/>
      </c>
      <c r="H216" s="27" t="str">
        <f>IF($E216="","",N(INDEX(进销存对接!$M$4:$U$305,71,8)))</f>
        <v/>
      </c>
      <c r="I216" s="27" t="str">
        <f>IF($E216="","",N(INDEX(进销存对接!$M$4:$U$305,71,9)))</f>
        <v/>
      </c>
      <c r="J216" s="26"/>
      <c r="K216" s="26" t="str">
        <f>IF($E216="","",INDEX(进销存对接!$D$4:$D$305,71))</f>
        <v/>
      </c>
      <c r="L216" s="32"/>
      <c r="M216" s="32"/>
      <c r="N216" s="26" t="str">
        <f t="shared" si="14"/>
        <v/>
      </c>
      <c r="O216" s="26" t="str">
        <f t="shared" si="15"/>
        <v/>
      </c>
      <c r="P216" s="10"/>
    </row>
    <row r="217" ht="18" customHeight="1" spans="1:16">
      <c r="A217" s="32" t="str">
        <f t="shared" si="12"/>
        <v/>
      </c>
      <c r="B217" s="100" t="str">
        <f>IF($E217="","",INDEX(进销存对接!$C$4:$C$305,72))</f>
        <v/>
      </c>
      <c r="C217" s="26" t="str">
        <f t="shared" si="13"/>
        <v/>
      </c>
      <c r="D217" s="32" t="str">
        <f>IF($E217="","",INDEX(进销存对接!$D$4:$D$305,72)&amp;" "&amp;TEXT($B217,"YYYY年M月")&amp;" 自动结转")</f>
        <v/>
      </c>
      <c r="E217" s="26" t="str">
        <f>IF(INDEX(进销存对接!$M$4:$U$305,72,1)=0,"",INDEX(进销存对接!$M$4:$U$305,72,1))</f>
        <v/>
      </c>
      <c r="F217" s="25" t="str">
        <f>IF($E217="","",IFERROR(INDEX(科目表!$A$4:$A$81,MATCH($E217,科目表!$B$4:$B$81,0)),""))</f>
        <v/>
      </c>
      <c r="G217" s="26" t="str">
        <f>IF($E217="","",IFERROR(INDEX(科目表!$E$4:$E$81,MATCH($E217,科目表!$B$4:$B$81,0)),""))</f>
        <v/>
      </c>
      <c r="H217" s="27" t="str">
        <f>IF($E217="","",N(INDEX(进销存对接!$M$4:$U$305,72,2)))</f>
        <v/>
      </c>
      <c r="I217" s="27" t="str">
        <f>IF($E217="","",N(INDEX(进销存对接!$M$4:$U$305,72,3)))</f>
        <v/>
      </c>
      <c r="J217" s="26"/>
      <c r="K217" s="26" t="str">
        <f>IF($E217="","",INDEX(进销存对接!$D$4:$D$305,72))</f>
        <v/>
      </c>
      <c r="L217" s="32"/>
      <c r="M217" s="32"/>
      <c r="N217" s="26" t="str">
        <f t="shared" si="14"/>
        <v/>
      </c>
      <c r="O217" s="26" t="str">
        <f t="shared" si="15"/>
        <v/>
      </c>
      <c r="P217" s="10"/>
    </row>
    <row r="218" ht="18" customHeight="1" spans="1:16">
      <c r="A218" s="32" t="str">
        <f t="shared" si="12"/>
        <v/>
      </c>
      <c r="B218" s="100" t="str">
        <f>IF($E218="","",INDEX(进销存对接!$C$4:$C$305,72))</f>
        <v/>
      </c>
      <c r="C218" s="26" t="str">
        <f t="shared" si="13"/>
        <v/>
      </c>
      <c r="D218" s="32" t="str">
        <f>IF($E218="","",INDEX(进销存对接!$D$4:$D$305,72)&amp;" "&amp;TEXT($B218,"YYYY年M月")&amp;" 自动结转")</f>
        <v/>
      </c>
      <c r="E218" s="26" t="str">
        <f>IF(INDEX(进销存对接!$M$4:$U$305,72,4)=0,"",INDEX(进销存对接!$M$4:$U$305,72,4))</f>
        <v/>
      </c>
      <c r="F218" s="25" t="str">
        <f>IF($E218="","",IFERROR(INDEX(科目表!$A$4:$A$81,MATCH($E218,科目表!$B$4:$B$81,0)),""))</f>
        <v/>
      </c>
      <c r="G218" s="26" t="str">
        <f>IF($E218="","",IFERROR(INDEX(科目表!$E$4:$E$81,MATCH($E218,科目表!$B$4:$B$81,0)),""))</f>
        <v/>
      </c>
      <c r="H218" s="27" t="str">
        <f>IF($E218="","",N(INDEX(进销存对接!$M$4:$U$305,72,5)))</f>
        <v/>
      </c>
      <c r="I218" s="27" t="str">
        <f>IF($E218="","",N(INDEX(进销存对接!$M$4:$U$305,72,6)))</f>
        <v/>
      </c>
      <c r="J218" s="26"/>
      <c r="K218" s="26" t="str">
        <f>IF($E218="","",INDEX(进销存对接!$D$4:$D$305,72))</f>
        <v/>
      </c>
      <c r="L218" s="32"/>
      <c r="M218" s="32"/>
      <c r="N218" s="26" t="str">
        <f t="shared" si="14"/>
        <v/>
      </c>
      <c r="O218" s="26" t="str">
        <f t="shared" si="15"/>
        <v/>
      </c>
      <c r="P218" s="10"/>
    </row>
    <row r="219" ht="18" customHeight="1" spans="1:16">
      <c r="A219" s="32" t="str">
        <f t="shared" si="12"/>
        <v/>
      </c>
      <c r="B219" s="100" t="str">
        <f>IF($E219="","",INDEX(进销存对接!$C$4:$C$305,72))</f>
        <v/>
      </c>
      <c r="C219" s="26" t="str">
        <f t="shared" si="13"/>
        <v/>
      </c>
      <c r="D219" s="32" t="str">
        <f>IF($E219="","",INDEX(进销存对接!$D$4:$D$305,72)&amp;" "&amp;TEXT($B219,"YYYY年M月")&amp;" 自动结转")</f>
        <v/>
      </c>
      <c r="E219" s="26" t="str">
        <f>IF(INDEX(进销存对接!$M$4:$U$305,72,7)=0,"",INDEX(进销存对接!$M$4:$U$305,72,7))</f>
        <v/>
      </c>
      <c r="F219" s="25" t="str">
        <f>IF($E219="","",IFERROR(INDEX(科目表!$A$4:$A$81,MATCH($E219,科目表!$B$4:$B$81,0)),""))</f>
        <v/>
      </c>
      <c r="G219" s="26" t="str">
        <f>IF($E219="","",IFERROR(INDEX(科目表!$E$4:$E$81,MATCH($E219,科目表!$B$4:$B$81,0)),""))</f>
        <v/>
      </c>
      <c r="H219" s="27" t="str">
        <f>IF($E219="","",N(INDEX(进销存对接!$M$4:$U$305,72,8)))</f>
        <v/>
      </c>
      <c r="I219" s="27" t="str">
        <f>IF($E219="","",N(INDEX(进销存对接!$M$4:$U$305,72,9)))</f>
        <v/>
      </c>
      <c r="J219" s="26"/>
      <c r="K219" s="26" t="str">
        <f>IF($E219="","",INDEX(进销存对接!$D$4:$D$305,72))</f>
        <v/>
      </c>
      <c r="L219" s="32"/>
      <c r="M219" s="32"/>
      <c r="N219" s="26" t="str">
        <f t="shared" si="14"/>
        <v/>
      </c>
      <c r="O219" s="26" t="str">
        <f t="shared" si="15"/>
        <v/>
      </c>
      <c r="P219" s="10"/>
    </row>
    <row r="220" ht="18" customHeight="1" spans="1:16">
      <c r="A220" s="32" t="str">
        <f t="shared" si="12"/>
        <v/>
      </c>
      <c r="B220" s="100" t="str">
        <f>IF($E220="","",INDEX(进销存对接!$C$4:$C$305,73))</f>
        <v/>
      </c>
      <c r="C220" s="26" t="str">
        <f t="shared" si="13"/>
        <v/>
      </c>
      <c r="D220" s="32" t="str">
        <f>IF($E220="","",INDEX(进销存对接!$D$4:$D$305,73)&amp;" "&amp;TEXT($B220,"YYYY年M月")&amp;" 自动结转")</f>
        <v/>
      </c>
      <c r="E220" s="26" t="str">
        <f>IF(INDEX(进销存对接!$M$4:$U$305,73,1)=0,"",INDEX(进销存对接!$M$4:$U$305,73,1))</f>
        <v/>
      </c>
      <c r="F220" s="25" t="str">
        <f>IF($E220="","",IFERROR(INDEX(科目表!$A$4:$A$81,MATCH($E220,科目表!$B$4:$B$81,0)),""))</f>
        <v/>
      </c>
      <c r="G220" s="26" t="str">
        <f>IF($E220="","",IFERROR(INDEX(科目表!$E$4:$E$81,MATCH($E220,科目表!$B$4:$B$81,0)),""))</f>
        <v/>
      </c>
      <c r="H220" s="27" t="str">
        <f>IF($E220="","",N(INDEX(进销存对接!$M$4:$U$305,73,2)))</f>
        <v/>
      </c>
      <c r="I220" s="27" t="str">
        <f>IF($E220="","",N(INDEX(进销存对接!$M$4:$U$305,73,3)))</f>
        <v/>
      </c>
      <c r="J220" s="26"/>
      <c r="K220" s="26" t="str">
        <f>IF($E220="","",INDEX(进销存对接!$D$4:$D$305,73))</f>
        <v/>
      </c>
      <c r="L220" s="32"/>
      <c r="M220" s="32"/>
      <c r="N220" s="26" t="str">
        <f t="shared" si="14"/>
        <v/>
      </c>
      <c r="O220" s="26" t="str">
        <f t="shared" si="15"/>
        <v/>
      </c>
      <c r="P220" s="10"/>
    </row>
    <row r="221" ht="18" customHeight="1" spans="1:16">
      <c r="A221" s="32" t="str">
        <f t="shared" si="12"/>
        <v/>
      </c>
      <c r="B221" s="100" t="str">
        <f>IF($E221="","",INDEX(进销存对接!$C$4:$C$305,73))</f>
        <v/>
      </c>
      <c r="C221" s="26" t="str">
        <f t="shared" si="13"/>
        <v/>
      </c>
      <c r="D221" s="32" t="str">
        <f>IF($E221="","",INDEX(进销存对接!$D$4:$D$305,73)&amp;" "&amp;TEXT($B221,"YYYY年M月")&amp;" 自动结转")</f>
        <v/>
      </c>
      <c r="E221" s="26" t="str">
        <f>IF(INDEX(进销存对接!$M$4:$U$305,73,4)=0,"",INDEX(进销存对接!$M$4:$U$305,73,4))</f>
        <v/>
      </c>
      <c r="F221" s="25" t="str">
        <f>IF($E221="","",IFERROR(INDEX(科目表!$A$4:$A$81,MATCH($E221,科目表!$B$4:$B$81,0)),""))</f>
        <v/>
      </c>
      <c r="G221" s="26" t="str">
        <f>IF($E221="","",IFERROR(INDEX(科目表!$E$4:$E$81,MATCH($E221,科目表!$B$4:$B$81,0)),""))</f>
        <v/>
      </c>
      <c r="H221" s="27" t="str">
        <f>IF($E221="","",N(INDEX(进销存对接!$M$4:$U$305,73,5)))</f>
        <v/>
      </c>
      <c r="I221" s="27" t="str">
        <f>IF($E221="","",N(INDEX(进销存对接!$M$4:$U$305,73,6)))</f>
        <v/>
      </c>
      <c r="J221" s="26"/>
      <c r="K221" s="26" t="str">
        <f>IF($E221="","",INDEX(进销存对接!$D$4:$D$305,73))</f>
        <v/>
      </c>
      <c r="L221" s="32"/>
      <c r="M221" s="32"/>
      <c r="N221" s="26" t="str">
        <f t="shared" si="14"/>
        <v/>
      </c>
      <c r="O221" s="26" t="str">
        <f t="shared" si="15"/>
        <v/>
      </c>
      <c r="P221" s="10"/>
    </row>
    <row r="222" ht="18" customHeight="1" spans="1:16">
      <c r="A222" s="32" t="str">
        <f t="shared" si="12"/>
        <v/>
      </c>
      <c r="B222" s="100" t="str">
        <f>IF($E222="","",INDEX(进销存对接!$C$4:$C$305,73))</f>
        <v/>
      </c>
      <c r="C222" s="26" t="str">
        <f t="shared" si="13"/>
        <v/>
      </c>
      <c r="D222" s="32" t="str">
        <f>IF($E222="","",INDEX(进销存对接!$D$4:$D$305,73)&amp;" "&amp;TEXT($B222,"YYYY年M月")&amp;" 自动结转")</f>
        <v/>
      </c>
      <c r="E222" s="26" t="str">
        <f>IF(INDEX(进销存对接!$M$4:$U$305,73,7)=0,"",INDEX(进销存对接!$M$4:$U$305,73,7))</f>
        <v/>
      </c>
      <c r="F222" s="25" t="str">
        <f>IF($E222="","",IFERROR(INDEX(科目表!$A$4:$A$81,MATCH($E222,科目表!$B$4:$B$81,0)),""))</f>
        <v/>
      </c>
      <c r="G222" s="26" t="str">
        <f>IF($E222="","",IFERROR(INDEX(科目表!$E$4:$E$81,MATCH($E222,科目表!$B$4:$B$81,0)),""))</f>
        <v/>
      </c>
      <c r="H222" s="27" t="str">
        <f>IF($E222="","",N(INDEX(进销存对接!$M$4:$U$305,73,8)))</f>
        <v/>
      </c>
      <c r="I222" s="27" t="str">
        <f>IF($E222="","",N(INDEX(进销存对接!$M$4:$U$305,73,9)))</f>
        <v/>
      </c>
      <c r="J222" s="26"/>
      <c r="K222" s="26" t="str">
        <f>IF($E222="","",INDEX(进销存对接!$D$4:$D$305,73))</f>
        <v/>
      </c>
      <c r="L222" s="32"/>
      <c r="M222" s="32"/>
      <c r="N222" s="26" t="str">
        <f t="shared" si="14"/>
        <v/>
      </c>
      <c r="O222" s="26" t="str">
        <f t="shared" si="15"/>
        <v/>
      </c>
      <c r="P222" s="10"/>
    </row>
    <row r="223" ht="18" customHeight="1" spans="1:16">
      <c r="A223" s="32" t="str">
        <f t="shared" si="12"/>
        <v/>
      </c>
      <c r="B223" s="100" t="str">
        <f>IF($E223="","",INDEX(进销存对接!$C$4:$C$305,74))</f>
        <v/>
      </c>
      <c r="C223" s="26" t="str">
        <f t="shared" si="13"/>
        <v/>
      </c>
      <c r="D223" s="32" t="str">
        <f>IF($E223="","",INDEX(进销存对接!$D$4:$D$305,74)&amp;" "&amp;TEXT($B223,"YYYY年M月")&amp;" 自动结转")</f>
        <v/>
      </c>
      <c r="E223" s="26" t="str">
        <f>IF(INDEX(进销存对接!$M$4:$U$305,74,1)=0,"",INDEX(进销存对接!$M$4:$U$305,74,1))</f>
        <v/>
      </c>
      <c r="F223" s="25" t="str">
        <f>IF($E223="","",IFERROR(INDEX(科目表!$A$4:$A$81,MATCH($E223,科目表!$B$4:$B$81,0)),""))</f>
        <v/>
      </c>
      <c r="G223" s="26" t="str">
        <f>IF($E223="","",IFERROR(INDEX(科目表!$E$4:$E$81,MATCH($E223,科目表!$B$4:$B$81,0)),""))</f>
        <v/>
      </c>
      <c r="H223" s="27" t="str">
        <f>IF($E223="","",N(INDEX(进销存对接!$M$4:$U$305,74,2)))</f>
        <v/>
      </c>
      <c r="I223" s="27" t="str">
        <f>IF($E223="","",N(INDEX(进销存对接!$M$4:$U$305,74,3)))</f>
        <v/>
      </c>
      <c r="J223" s="26"/>
      <c r="K223" s="26" t="str">
        <f>IF($E223="","",INDEX(进销存对接!$D$4:$D$305,74))</f>
        <v/>
      </c>
      <c r="L223" s="32"/>
      <c r="M223" s="32"/>
      <c r="N223" s="26" t="str">
        <f t="shared" si="14"/>
        <v/>
      </c>
      <c r="O223" s="26" t="str">
        <f t="shared" si="15"/>
        <v/>
      </c>
      <c r="P223" s="10"/>
    </row>
    <row r="224" ht="18" customHeight="1" spans="1:16">
      <c r="A224" s="32" t="str">
        <f t="shared" si="12"/>
        <v/>
      </c>
      <c r="B224" s="100" t="str">
        <f>IF($E224="","",INDEX(进销存对接!$C$4:$C$305,74))</f>
        <v/>
      </c>
      <c r="C224" s="26" t="str">
        <f t="shared" si="13"/>
        <v/>
      </c>
      <c r="D224" s="32" t="str">
        <f>IF($E224="","",INDEX(进销存对接!$D$4:$D$305,74)&amp;" "&amp;TEXT($B224,"YYYY年M月")&amp;" 自动结转")</f>
        <v/>
      </c>
      <c r="E224" s="26" t="str">
        <f>IF(INDEX(进销存对接!$M$4:$U$305,74,4)=0,"",INDEX(进销存对接!$M$4:$U$305,74,4))</f>
        <v/>
      </c>
      <c r="F224" s="25" t="str">
        <f>IF($E224="","",IFERROR(INDEX(科目表!$A$4:$A$81,MATCH($E224,科目表!$B$4:$B$81,0)),""))</f>
        <v/>
      </c>
      <c r="G224" s="26" t="str">
        <f>IF($E224="","",IFERROR(INDEX(科目表!$E$4:$E$81,MATCH($E224,科目表!$B$4:$B$81,0)),""))</f>
        <v/>
      </c>
      <c r="H224" s="27" t="str">
        <f>IF($E224="","",N(INDEX(进销存对接!$M$4:$U$305,74,5)))</f>
        <v/>
      </c>
      <c r="I224" s="27" t="str">
        <f>IF($E224="","",N(INDEX(进销存对接!$M$4:$U$305,74,6)))</f>
        <v/>
      </c>
      <c r="J224" s="26"/>
      <c r="K224" s="26" t="str">
        <f>IF($E224="","",INDEX(进销存对接!$D$4:$D$305,74))</f>
        <v/>
      </c>
      <c r="L224" s="32"/>
      <c r="M224" s="32"/>
      <c r="N224" s="26" t="str">
        <f t="shared" si="14"/>
        <v/>
      </c>
      <c r="O224" s="26" t="str">
        <f t="shared" si="15"/>
        <v/>
      </c>
      <c r="P224" s="10"/>
    </row>
    <row r="225" ht="18" customHeight="1" spans="1:16">
      <c r="A225" s="32" t="str">
        <f t="shared" si="12"/>
        <v/>
      </c>
      <c r="B225" s="100" t="str">
        <f>IF($E225="","",INDEX(进销存对接!$C$4:$C$305,74))</f>
        <v/>
      </c>
      <c r="C225" s="26" t="str">
        <f t="shared" si="13"/>
        <v/>
      </c>
      <c r="D225" s="32" t="str">
        <f>IF($E225="","",INDEX(进销存对接!$D$4:$D$305,74)&amp;" "&amp;TEXT($B225,"YYYY年M月")&amp;" 自动结转")</f>
        <v/>
      </c>
      <c r="E225" s="26" t="str">
        <f>IF(INDEX(进销存对接!$M$4:$U$305,74,7)=0,"",INDEX(进销存对接!$M$4:$U$305,74,7))</f>
        <v/>
      </c>
      <c r="F225" s="25" t="str">
        <f>IF($E225="","",IFERROR(INDEX(科目表!$A$4:$A$81,MATCH($E225,科目表!$B$4:$B$81,0)),""))</f>
        <v/>
      </c>
      <c r="G225" s="26" t="str">
        <f>IF($E225="","",IFERROR(INDEX(科目表!$E$4:$E$81,MATCH($E225,科目表!$B$4:$B$81,0)),""))</f>
        <v/>
      </c>
      <c r="H225" s="27" t="str">
        <f>IF($E225="","",N(INDEX(进销存对接!$M$4:$U$305,74,8)))</f>
        <v/>
      </c>
      <c r="I225" s="27" t="str">
        <f>IF($E225="","",N(INDEX(进销存对接!$M$4:$U$305,74,9)))</f>
        <v/>
      </c>
      <c r="J225" s="26"/>
      <c r="K225" s="26" t="str">
        <f>IF($E225="","",INDEX(进销存对接!$D$4:$D$305,74))</f>
        <v/>
      </c>
      <c r="L225" s="32"/>
      <c r="M225" s="32"/>
      <c r="N225" s="26" t="str">
        <f t="shared" si="14"/>
        <v/>
      </c>
      <c r="O225" s="26" t="str">
        <f t="shared" si="15"/>
        <v/>
      </c>
      <c r="P225" s="10"/>
    </row>
    <row r="226" ht="18" customHeight="1" spans="1:16">
      <c r="A226" s="32" t="str">
        <f t="shared" si="12"/>
        <v/>
      </c>
      <c r="B226" s="100" t="str">
        <f>IF($E226="","",INDEX(进销存对接!$C$4:$C$305,75))</f>
        <v/>
      </c>
      <c r="C226" s="26" t="str">
        <f t="shared" si="13"/>
        <v/>
      </c>
      <c r="D226" s="32" t="str">
        <f>IF($E226="","",INDEX(进销存对接!$D$4:$D$305,75)&amp;" "&amp;TEXT($B226,"YYYY年M月")&amp;" 自动结转")</f>
        <v/>
      </c>
      <c r="E226" s="26" t="str">
        <f>IF(INDEX(进销存对接!$M$4:$U$305,75,1)=0,"",INDEX(进销存对接!$M$4:$U$305,75,1))</f>
        <v/>
      </c>
      <c r="F226" s="25" t="str">
        <f>IF($E226="","",IFERROR(INDEX(科目表!$A$4:$A$81,MATCH($E226,科目表!$B$4:$B$81,0)),""))</f>
        <v/>
      </c>
      <c r="G226" s="26" t="str">
        <f>IF($E226="","",IFERROR(INDEX(科目表!$E$4:$E$81,MATCH($E226,科目表!$B$4:$B$81,0)),""))</f>
        <v/>
      </c>
      <c r="H226" s="27" t="str">
        <f>IF($E226="","",N(INDEX(进销存对接!$M$4:$U$305,75,2)))</f>
        <v/>
      </c>
      <c r="I226" s="27" t="str">
        <f>IF($E226="","",N(INDEX(进销存对接!$M$4:$U$305,75,3)))</f>
        <v/>
      </c>
      <c r="J226" s="26"/>
      <c r="K226" s="26" t="str">
        <f>IF($E226="","",INDEX(进销存对接!$D$4:$D$305,75))</f>
        <v/>
      </c>
      <c r="L226" s="32"/>
      <c r="M226" s="32"/>
      <c r="N226" s="26" t="str">
        <f t="shared" si="14"/>
        <v/>
      </c>
      <c r="O226" s="26" t="str">
        <f t="shared" si="15"/>
        <v/>
      </c>
      <c r="P226" s="10"/>
    </row>
    <row r="227" ht="18" customHeight="1" spans="1:16">
      <c r="A227" s="32" t="str">
        <f t="shared" si="12"/>
        <v/>
      </c>
      <c r="B227" s="100" t="str">
        <f>IF($E227="","",INDEX(进销存对接!$C$4:$C$305,75))</f>
        <v/>
      </c>
      <c r="C227" s="26" t="str">
        <f t="shared" si="13"/>
        <v/>
      </c>
      <c r="D227" s="32" t="str">
        <f>IF($E227="","",INDEX(进销存对接!$D$4:$D$305,75)&amp;" "&amp;TEXT($B227,"YYYY年M月")&amp;" 自动结转")</f>
        <v/>
      </c>
      <c r="E227" s="26" t="str">
        <f>IF(INDEX(进销存对接!$M$4:$U$305,75,4)=0,"",INDEX(进销存对接!$M$4:$U$305,75,4))</f>
        <v/>
      </c>
      <c r="F227" s="25" t="str">
        <f>IF($E227="","",IFERROR(INDEX(科目表!$A$4:$A$81,MATCH($E227,科目表!$B$4:$B$81,0)),""))</f>
        <v/>
      </c>
      <c r="G227" s="26" t="str">
        <f>IF($E227="","",IFERROR(INDEX(科目表!$E$4:$E$81,MATCH($E227,科目表!$B$4:$B$81,0)),""))</f>
        <v/>
      </c>
      <c r="H227" s="27" t="str">
        <f>IF($E227="","",N(INDEX(进销存对接!$M$4:$U$305,75,5)))</f>
        <v/>
      </c>
      <c r="I227" s="27" t="str">
        <f>IF($E227="","",N(INDEX(进销存对接!$M$4:$U$305,75,6)))</f>
        <v/>
      </c>
      <c r="J227" s="26"/>
      <c r="K227" s="26" t="str">
        <f>IF($E227="","",INDEX(进销存对接!$D$4:$D$305,75))</f>
        <v/>
      </c>
      <c r="L227" s="32"/>
      <c r="M227" s="32"/>
      <c r="N227" s="26" t="str">
        <f t="shared" si="14"/>
        <v/>
      </c>
      <c r="O227" s="26" t="str">
        <f t="shared" si="15"/>
        <v/>
      </c>
      <c r="P227" s="10"/>
    </row>
    <row r="228" ht="18" customHeight="1" spans="1:16">
      <c r="A228" s="32" t="str">
        <f t="shared" si="12"/>
        <v/>
      </c>
      <c r="B228" s="100" t="str">
        <f>IF($E228="","",INDEX(进销存对接!$C$4:$C$305,75))</f>
        <v/>
      </c>
      <c r="C228" s="26" t="str">
        <f t="shared" si="13"/>
        <v/>
      </c>
      <c r="D228" s="32" t="str">
        <f>IF($E228="","",INDEX(进销存对接!$D$4:$D$305,75)&amp;" "&amp;TEXT($B228,"YYYY年M月")&amp;" 自动结转")</f>
        <v/>
      </c>
      <c r="E228" s="26" t="str">
        <f>IF(INDEX(进销存对接!$M$4:$U$305,75,7)=0,"",INDEX(进销存对接!$M$4:$U$305,75,7))</f>
        <v/>
      </c>
      <c r="F228" s="25" t="str">
        <f>IF($E228="","",IFERROR(INDEX(科目表!$A$4:$A$81,MATCH($E228,科目表!$B$4:$B$81,0)),""))</f>
        <v/>
      </c>
      <c r="G228" s="26" t="str">
        <f>IF($E228="","",IFERROR(INDEX(科目表!$E$4:$E$81,MATCH($E228,科目表!$B$4:$B$81,0)),""))</f>
        <v/>
      </c>
      <c r="H228" s="27" t="str">
        <f>IF($E228="","",N(INDEX(进销存对接!$M$4:$U$305,75,8)))</f>
        <v/>
      </c>
      <c r="I228" s="27" t="str">
        <f>IF($E228="","",N(INDEX(进销存对接!$M$4:$U$305,75,9)))</f>
        <v/>
      </c>
      <c r="J228" s="26"/>
      <c r="K228" s="26" t="str">
        <f>IF($E228="","",INDEX(进销存对接!$D$4:$D$305,75))</f>
        <v/>
      </c>
      <c r="L228" s="32"/>
      <c r="M228" s="32"/>
      <c r="N228" s="26" t="str">
        <f t="shared" si="14"/>
        <v/>
      </c>
      <c r="O228" s="26" t="str">
        <f t="shared" si="15"/>
        <v/>
      </c>
      <c r="P228" s="10"/>
    </row>
    <row r="229" ht="18" customHeight="1" spans="1:16">
      <c r="A229" s="32" t="str">
        <f t="shared" si="12"/>
        <v/>
      </c>
      <c r="B229" s="100" t="str">
        <f>IF($E229="","",INDEX(进销存对接!$C$4:$C$305,76))</f>
        <v/>
      </c>
      <c r="C229" s="26" t="str">
        <f t="shared" si="13"/>
        <v/>
      </c>
      <c r="D229" s="32" t="str">
        <f>IF($E229="","",INDEX(进销存对接!$D$4:$D$305,76)&amp;" "&amp;TEXT($B229,"YYYY年M月")&amp;" 自动结转")</f>
        <v/>
      </c>
      <c r="E229" s="26" t="str">
        <f>IF(INDEX(进销存对接!$M$4:$U$305,76,1)=0,"",INDEX(进销存对接!$M$4:$U$305,76,1))</f>
        <v/>
      </c>
      <c r="F229" s="25" t="str">
        <f>IF($E229="","",IFERROR(INDEX(科目表!$A$4:$A$81,MATCH($E229,科目表!$B$4:$B$81,0)),""))</f>
        <v/>
      </c>
      <c r="G229" s="26" t="str">
        <f>IF($E229="","",IFERROR(INDEX(科目表!$E$4:$E$81,MATCH($E229,科目表!$B$4:$B$81,0)),""))</f>
        <v/>
      </c>
      <c r="H229" s="27" t="str">
        <f>IF($E229="","",N(INDEX(进销存对接!$M$4:$U$305,76,2)))</f>
        <v/>
      </c>
      <c r="I229" s="27" t="str">
        <f>IF($E229="","",N(INDEX(进销存对接!$M$4:$U$305,76,3)))</f>
        <v/>
      </c>
      <c r="J229" s="26"/>
      <c r="K229" s="26" t="str">
        <f>IF($E229="","",INDEX(进销存对接!$D$4:$D$305,76))</f>
        <v/>
      </c>
      <c r="L229" s="32"/>
      <c r="M229" s="32"/>
      <c r="N229" s="26" t="str">
        <f t="shared" si="14"/>
        <v/>
      </c>
      <c r="O229" s="26" t="str">
        <f t="shared" si="15"/>
        <v/>
      </c>
      <c r="P229" s="10"/>
    </row>
    <row r="230" ht="18" customHeight="1" spans="1:16">
      <c r="A230" s="32" t="str">
        <f t="shared" si="12"/>
        <v/>
      </c>
      <c r="B230" s="100" t="str">
        <f>IF($E230="","",INDEX(进销存对接!$C$4:$C$305,76))</f>
        <v/>
      </c>
      <c r="C230" s="26" t="str">
        <f t="shared" si="13"/>
        <v/>
      </c>
      <c r="D230" s="32" t="str">
        <f>IF($E230="","",INDEX(进销存对接!$D$4:$D$305,76)&amp;" "&amp;TEXT($B230,"YYYY年M月")&amp;" 自动结转")</f>
        <v/>
      </c>
      <c r="E230" s="26" t="str">
        <f>IF(INDEX(进销存对接!$M$4:$U$305,76,4)=0,"",INDEX(进销存对接!$M$4:$U$305,76,4))</f>
        <v/>
      </c>
      <c r="F230" s="25" t="str">
        <f>IF($E230="","",IFERROR(INDEX(科目表!$A$4:$A$81,MATCH($E230,科目表!$B$4:$B$81,0)),""))</f>
        <v/>
      </c>
      <c r="G230" s="26" t="str">
        <f>IF($E230="","",IFERROR(INDEX(科目表!$E$4:$E$81,MATCH($E230,科目表!$B$4:$B$81,0)),""))</f>
        <v/>
      </c>
      <c r="H230" s="27" t="str">
        <f>IF($E230="","",N(INDEX(进销存对接!$M$4:$U$305,76,5)))</f>
        <v/>
      </c>
      <c r="I230" s="27" t="str">
        <f>IF($E230="","",N(INDEX(进销存对接!$M$4:$U$305,76,6)))</f>
        <v/>
      </c>
      <c r="J230" s="26"/>
      <c r="K230" s="26" t="str">
        <f>IF($E230="","",INDEX(进销存对接!$D$4:$D$305,76))</f>
        <v/>
      </c>
      <c r="L230" s="32"/>
      <c r="M230" s="32"/>
      <c r="N230" s="26" t="str">
        <f t="shared" si="14"/>
        <v/>
      </c>
      <c r="O230" s="26" t="str">
        <f t="shared" si="15"/>
        <v/>
      </c>
      <c r="P230" s="10"/>
    </row>
    <row r="231" ht="18" customHeight="1" spans="1:16">
      <c r="A231" s="32" t="str">
        <f t="shared" si="12"/>
        <v/>
      </c>
      <c r="B231" s="100" t="str">
        <f>IF($E231="","",INDEX(进销存对接!$C$4:$C$305,76))</f>
        <v/>
      </c>
      <c r="C231" s="26" t="str">
        <f t="shared" si="13"/>
        <v/>
      </c>
      <c r="D231" s="32" t="str">
        <f>IF($E231="","",INDEX(进销存对接!$D$4:$D$305,76)&amp;" "&amp;TEXT($B231,"YYYY年M月")&amp;" 自动结转")</f>
        <v/>
      </c>
      <c r="E231" s="26" t="str">
        <f>IF(INDEX(进销存对接!$M$4:$U$305,76,7)=0,"",INDEX(进销存对接!$M$4:$U$305,76,7))</f>
        <v/>
      </c>
      <c r="F231" s="25" t="str">
        <f>IF($E231="","",IFERROR(INDEX(科目表!$A$4:$A$81,MATCH($E231,科目表!$B$4:$B$81,0)),""))</f>
        <v/>
      </c>
      <c r="G231" s="26" t="str">
        <f>IF($E231="","",IFERROR(INDEX(科目表!$E$4:$E$81,MATCH($E231,科目表!$B$4:$B$81,0)),""))</f>
        <v/>
      </c>
      <c r="H231" s="27" t="str">
        <f>IF($E231="","",N(INDEX(进销存对接!$M$4:$U$305,76,8)))</f>
        <v/>
      </c>
      <c r="I231" s="27" t="str">
        <f>IF($E231="","",N(INDEX(进销存对接!$M$4:$U$305,76,9)))</f>
        <v/>
      </c>
      <c r="J231" s="26"/>
      <c r="K231" s="26" t="str">
        <f>IF($E231="","",INDEX(进销存对接!$D$4:$D$305,76))</f>
        <v/>
      </c>
      <c r="L231" s="32"/>
      <c r="M231" s="32"/>
      <c r="N231" s="26" t="str">
        <f t="shared" si="14"/>
        <v/>
      </c>
      <c r="O231" s="26" t="str">
        <f t="shared" si="15"/>
        <v/>
      </c>
      <c r="P231" s="10"/>
    </row>
    <row r="232" ht="18" customHeight="1" spans="1:16">
      <c r="A232" s="32" t="str">
        <f t="shared" si="12"/>
        <v/>
      </c>
      <c r="B232" s="100" t="str">
        <f>IF($E232="","",INDEX(进销存对接!$C$4:$C$305,77))</f>
        <v/>
      </c>
      <c r="C232" s="26" t="str">
        <f t="shared" si="13"/>
        <v/>
      </c>
      <c r="D232" s="32" t="str">
        <f>IF($E232="","",INDEX(进销存对接!$D$4:$D$305,77)&amp;" "&amp;TEXT($B232,"YYYY年M月")&amp;" 自动结转")</f>
        <v/>
      </c>
      <c r="E232" s="26" t="str">
        <f>IF(INDEX(进销存对接!$M$4:$U$305,77,1)=0,"",INDEX(进销存对接!$M$4:$U$305,77,1))</f>
        <v/>
      </c>
      <c r="F232" s="25" t="str">
        <f>IF($E232="","",IFERROR(INDEX(科目表!$A$4:$A$81,MATCH($E232,科目表!$B$4:$B$81,0)),""))</f>
        <v/>
      </c>
      <c r="G232" s="26" t="str">
        <f>IF($E232="","",IFERROR(INDEX(科目表!$E$4:$E$81,MATCH($E232,科目表!$B$4:$B$81,0)),""))</f>
        <v/>
      </c>
      <c r="H232" s="27" t="str">
        <f>IF($E232="","",N(INDEX(进销存对接!$M$4:$U$305,77,2)))</f>
        <v/>
      </c>
      <c r="I232" s="27" t="str">
        <f>IF($E232="","",N(INDEX(进销存对接!$M$4:$U$305,77,3)))</f>
        <v/>
      </c>
      <c r="J232" s="26"/>
      <c r="K232" s="26" t="str">
        <f>IF($E232="","",INDEX(进销存对接!$D$4:$D$305,77))</f>
        <v/>
      </c>
      <c r="L232" s="32"/>
      <c r="M232" s="32"/>
      <c r="N232" s="26" t="str">
        <f t="shared" si="14"/>
        <v/>
      </c>
      <c r="O232" s="26" t="str">
        <f t="shared" si="15"/>
        <v/>
      </c>
      <c r="P232" s="10"/>
    </row>
    <row r="233" ht="18" customHeight="1" spans="1:16">
      <c r="A233" s="32" t="str">
        <f t="shared" si="12"/>
        <v/>
      </c>
      <c r="B233" s="100" t="str">
        <f>IF($E233="","",INDEX(进销存对接!$C$4:$C$305,77))</f>
        <v/>
      </c>
      <c r="C233" s="26" t="str">
        <f t="shared" si="13"/>
        <v/>
      </c>
      <c r="D233" s="32" t="str">
        <f>IF($E233="","",INDEX(进销存对接!$D$4:$D$305,77)&amp;" "&amp;TEXT($B233,"YYYY年M月")&amp;" 自动结转")</f>
        <v/>
      </c>
      <c r="E233" s="26" t="str">
        <f>IF(INDEX(进销存对接!$M$4:$U$305,77,4)=0,"",INDEX(进销存对接!$M$4:$U$305,77,4))</f>
        <v/>
      </c>
      <c r="F233" s="25" t="str">
        <f>IF($E233="","",IFERROR(INDEX(科目表!$A$4:$A$81,MATCH($E233,科目表!$B$4:$B$81,0)),""))</f>
        <v/>
      </c>
      <c r="G233" s="26" t="str">
        <f>IF($E233="","",IFERROR(INDEX(科目表!$E$4:$E$81,MATCH($E233,科目表!$B$4:$B$81,0)),""))</f>
        <v/>
      </c>
      <c r="H233" s="27" t="str">
        <f>IF($E233="","",N(INDEX(进销存对接!$M$4:$U$305,77,5)))</f>
        <v/>
      </c>
      <c r="I233" s="27" t="str">
        <f>IF($E233="","",N(INDEX(进销存对接!$M$4:$U$305,77,6)))</f>
        <v/>
      </c>
      <c r="J233" s="26"/>
      <c r="K233" s="26" t="str">
        <f>IF($E233="","",INDEX(进销存对接!$D$4:$D$305,77))</f>
        <v/>
      </c>
      <c r="L233" s="32"/>
      <c r="M233" s="32"/>
      <c r="N233" s="26" t="str">
        <f t="shared" si="14"/>
        <v/>
      </c>
      <c r="O233" s="26" t="str">
        <f t="shared" si="15"/>
        <v/>
      </c>
      <c r="P233" s="10"/>
    </row>
    <row r="234" ht="18" customHeight="1" spans="1:16">
      <c r="A234" s="32" t="str">
        <f t="shared" si="12"/>
        <v/>
      </c>
      <c r="B234" s="100" t="str">
        <f>IF($E234="","",INDEX(进销存对接!$C$4:$C$305,77))</f>
        <v/>
      </c>
      <c r="C234" s="26" t="str">
        <f t="shared" si="13"/>
        <v/>
      </c>
      <c r="D234" s="32" t="str">
        <f>IF($E234="","",INDEX(进销存对接!$D$4:$D$305,77)&amp;" "&amp;TEXT($B234,"YYYY年M月")&amp;" 自动结转")</f>
        <v/>
      </c>
      <c r="E234" s="26" t="str">
        <f>IF(INDEX(进销存对接!$M$4:$U$305,77,7)=0,"",INDEX(进销存对接!$M$4:$U$305,77,7))</f>
        <v/>
      </c>
      <c r="F234" s="25" t="str">
        <f>IF($E234="","",IFERROR(INDEX(科目表!$A$4:$A$81,MATCH($E234,科目表!$B$4:$B$81,0)),""))</f>
        <v/>
      </c>
      <c r="G234" s="26" t="str">
        <f>IF($E234="","",IFERROR(INDEX(科目表!$E$4:$E$81,MATCH($E234,科目表!$B$4:$B$81,0)),""))</f>
        <v/>
      </c>
      <c r="H234" s="27" t="str">
        <f>IF($E234="","",N(INDEX(进销存对接!$M$4:$U$305,77,8)))</f>
        <v/>
      </c>
      <c r="I234" s="27" t="str">
        <f>IF($E234="","",N(INDEX(进销存对接!$M$4:$U$305,77,9)))</f>
        <v/>
      </c>
      <c r="J234" s="26"/>
      <c r="K234" s="26" t="str">
        <f>IF($E234="","",INDEX(进销存对接!$D$4:$D$305,77))</f>
        <v/>
      </c>
      <c r="L234" s="32"/>
      <c r="M234" s="32"/>
      <c r="N234" s="26" t="str">
        <f t="shared" si="14"/>
        <v/>
      </c>
      <c r="O234" s="26" t="str">
        <f t="shared" si="15"/>
        <v/>
      </c>
      <c r="P234" s="10"/>
    </row>
    <row r="235" ht="18" customHeight="1" spans="1:16">
      <c r="A235" s="32" t="str">
        <f t="shared" si="12"/>
        <v/>
      </c>
      <c r="B235" s="100" t="str">
        <f>IF($E235="","",INDEX(进销存对接!$C$4:$C$305,78))</f>
        <v/>
      </c>
      <c r="C235" s="26" t="str">
        <f t="shared" si="13"/>
        <v/>
      </c>
      <c r="D235" s="32" t="str">
        <f>IF($E235="","",INDEX(进销存对接!$D$4:$D$305,78)&amp;" "&amp;TEXT($B235,"YYYY年M月")&amp;" 自动结转")</f>
        <v/>
      </c>
      <c r="E235" s="26" t="str">
        <f>IF(INDEX(进销存对接!$M$4:$U$305,78,1)=0,"",INDEX(进销存对接!$M$4:$U$305,78,1))</f>
        <v/>
      </c>
      <c r="F235" s="25" t="str">
        <f>IF($E235="","",IFERROR(INDEX(科目表!$A$4:$A$81,MATCH($E235,科目表!$B$4:$B$81,0)),""))</f>
        <v/>
      </c>
      <c r="G235" s="26" t="str">
        <f>IF($E235="","",IFERROR(INDEX(科目表!$E$4:$E$81,MATCH($E235,科目表!$B$4:$B$81,0)),""))</f>
        <v/>
      </c>
      <c r="H235" s="27" t="str">
        <f>IF($E235="","",N(INDEX(进销存对接!$M$4:$U$305,78,2)))</f>
        <v/>
      </c>
      <c r="I235" s="27" t="str">
        <f>IF($E235="","",N(INDEX(进销存对接!$M$4:$U$305,78,3)))</f>
        <v/>
      </c>
      <c r="J235" s="26"/>
      <c r="K235" s="26" t="str">
        <f>IF($E235="","",INDEX(进销存对接!$D$4:$D$305,78))</f>
        <v/>
      </c>
      <c r="L235" s="32"/>
      <c r="M235" s="32"/>
      <c r="N235" s="26" t="str">
        <f t="shared" si="14"/>
        <v/>
      </c>
      <c r="O235" s="26" t="str">
        <f t="shared" si="15"/>
        <v/>
      </c>
      <c r="P235" s="10"/>
    </row>
    <row r="236" ht="18" customHeight="1" spans="1:16">
      <c r="A236" s="32" t="str">
        <f t="shared" si="12"/>
        <v/>
      </c>
      <c r="B236" s="100" t="str">
        <f>IF($E236="","",INDEX(进销存对接!$C$4:$C$305,78))</f>
        <v/>
      </c>
      <c r="C236" s="26" t="str">
        <f t="shared" si="13"/>
        <v/>
      </c>
      <c r="D236" s="32" t="str">
        <f>IF($E236="","",INDEX(进销存对接!$D$4:$D$305,78)&amp;" "&amp;TEXT($B236,"YYYY年M月")&amp;" 自动结转")</f>
        <v/>
      </c>
      <c r="E236" s="26" t="str">
        <f>IF(INDEX(进销存对接!$M$4:$U$305,78,4)=0,"",INDEX(进销存对接!$M$4:$U$305,78,4))</f>
        <v/>
      </c>
      <c r="F236" s="25" t="str">
        <f>IF($E236="","",IFERROR(INDEX(科目表!$A$4:$A$81,MATCH($E236,科目表!$B$4:$B$81,0)),""))</f>
        <v/>
      </c>
      <c r="G236" s="26" t="str">
        <f>IF($E236="","",IFERROR(INDEX(科目表!$E$4:$E$81,MATCH($E236,科目表!$B$4:$B$81,0)),""))</f>
        <v/>
      </c>
      <c r="H236" s="27" t="str">
        <f>IF($E236="","",N(INDEX(进销存对接!$M$4:$U$305,78,5)))</f>
        <v/>
      </c>
      <c r="I236" s="27" t="str">
        <f>IF($E236="","",N(INDEX(进销存对接!$M$4:$U$305,78,6)))</f>
        <v/>
      </c>
      <c r="J236" s="26"/>
      <c r="K236" s="26" t="str">
        <f>IF($E236="","",INDEX(进销存对接!$D$4:$D$305,78))</f>
        <v/>
      </c>
      <c r="L236" s="32"/>
      <c r="M236" s="32"/>
      <c r="N236" s="26" t="str">
        <f t="shared" si="14"/>
        <v/>
      </c>
      <c r="O236" s="26" t="str">
        <f t="shared" si="15"/>
        <v/>
      </c>
      <c r="P236" s="10"/>
    </row>
    <row r="237" ht="18" customHeight="1" spans="1:16">
      <c r="A237" s="32" t="str">
        <f t="shared" si="12"/>
        <v/>
      </c>
      <c r="B237" s="100" t="str">
        <f>IF($E237="","",INDEX(进销存对接!$C$4:$C$305,78))</f>
        <v/>
      </c>
      <c r="C237" s="26" t="str">
        <f t="shared" si="13"/>
        <v/>
      </c>
      <c r="D237" s="32" t="str">
        <f>IF($E237="","",INDEX(进销存对接!$D$4:$D$305,78)&amp;" "&amp;TEXT($B237,"YYYY年M月")&amp;" 自动结转")</f>
        <v/>
      </c>
      <c r="E237" s="26" t="str">
        <f>IF(INDEX(进销存对接!$M$4:$U$305,78,7)=0,"",INDEX(进销存对接!$M$4:$U$305,78,7))</f>
        <v/>
      </c>
      <c r="F237" s="25" t="str">
        <f>IF($E237="","",IFERROR(INDEX(科目表!$A$4:$A$81,MATCH($E237,科目表!$B$4:$B$81,0)),""))</f>
        <v/>
      </c>
      <c r="G237" s="26" t="str">
        <f>IF($E237="","",IFERROR(INDEX(科目表!$E$4:$E$81,MATCH($E237,科目表!$B$4:$B$81,0)),""))</f>
        <v/>
      </c>
      <c r="H237" s="27" t="str">
        <f>IF($E237="","",N(INDEX(进销存对接!$M$4:$U$305,78,8)))</f>
        <v/>
      </c>
      <c r="I237" s="27" t="str">
        <f>IF($E237="","",N(INDEX(进销存对接!$M$4:$U$305,78,9)))</f>
        <v/>
      </c>
      <c r="J237" s="26"/>
      <c r="K237" s="26" t="str">
        <f>IF($E237="","",INDEX(进销存对接!$D$4:$D$305,78))</f>
        <v/>
      </c>
      <c r="L237" s="32"/>
      <c r="M237" s="32"/>
      <c r="N237" s="26" t="str">
        <f t="shared" si="14"/>
        <v/>
      </c>
      <c r="O237" s="26" t="str">
        <f t="shared" si="15"/>
        <v/>
      </c>
      <c r="P237" s="10"/>
    </row>
    <row r="238" ht="18" customHeight="1" spans="1:16">
      <c r="A238" s="32" t="str">
        <f t="shared" si="12"/>
        <v/>
      </c>
      <c r="B238" s="100" t="str">
        <f>IF($E238="","",INDEX(进销存对接!$C$4:$C$305,79))</f>
        <v/>
      </c>
      <c r="C238" s="26" t="str">
        <f t="shared" si="13"/>
        <v/>
      </c>
      <c r="D238" s="32" t="str">
        <f>IF($E238="","",INDEX(进销存对接!$D$4:$D$305,79)&amp;" "&amp;TEXT($B238,"YYYY年M月")&amp;" 自动结转")</f>
        <v/>
      </c>
      <c r="E238" s="26" t="str">
        <f>IF(INDEX(进销存对接!$M$4:$U$305,79,1)=0,"",INDEX(进销存对接!$M$4:$U$305,79,1))</f>
        <v/>
      </c>
      <c r="F238" s="25" t="str">
        <f>IF($E238="","",IFERROR(INDEX(科目表!$A$4:$A$81,MATCH($E238,科目表!$B$4:$B$81,0)),""))</f>
        <v/>
      </c>
      <c r="G238" s="26" t="str">
        <f>IF($E238="","",IFERROR(INDEX(科目表!$E$4:$E$81,MATCH($E238,科目表!$B$4:$B$81,0)),""))</f>
        <v/>
      </c>
      <c r="H238" s="27" t="str">
        <f>IF($E238="","",N(INDEX(进销存对接!$M$4:$U$305,79,2)))</f>
        <v/>
      </c>
      <c r="I238" s="27" t="str">
        <f>IF($E238="","",N(INDEX(进销存对接!$M$4:$U$305,79,3)))</f>
        <v/>
      </c>
      <c r="J238" s="26"/>
      <c r="K238" s="26" t="str">
        <f>IF($E238="","",INDEX(进销存对接!$D$4:$D$305,79))</f>
        <v/>
      </c>
      <c r="L238" s="32"/>
      <c r="M238" s="32"/>
      <c r="N238" s="26" t="str">
        <f t="shared" si="14"/>
        <v/>
      </c>
      <c r="O238" s="26" t="str">
        <f t="shared" si="15"/>
        <v/>
      </c>
      <c r="P238" s="10"/>
    </row>
    <row r="239" ht="18" customHeight="1" spans="1:16">
      <c r="A239" s="32" t="str">
        <f t="shared" si="12"/>
        <v/>
      </c>
      <c r="B239" s="100" t="str">
        <f>IF($E239="","",INDEX(进销存对接!$C$4:$C$305,79))</f>
        <v/>
      </c>
      <c r="C239" s="26" t="str">
        <f t="shared" si="13"/>
        <v/>
      </c>
      <c r="D239" s="32" t="str">
        <f>IF($E239="","",INDEX(进销存对接!$D$4:$D$305,79)&amp;" "&amp;TEXT($B239,"YYYY年M月")&amp;" 自动结转")</f>
        <v/>
      </c>
      <c r="E239" s="26" t="str">
        <f>IF(INDEX(进销存对接!$M$4:$U$305,79,4)=0,"",INDEX(进销存对接!$M$4:$U$305,79,4))</f>
        <v/>
      </c>
      <c r="F239" s="25" t="str">
        <f>IF($E239="","",IFERROR(INDEX(科目表!$A$4:$A$81,MATCH($E239,科目表!$B$4:$B$81,0)),""))</f>
        <v/>
      </c>
      <c r="G239" s="26" t="str">
        <f>IF($E239="","",IFERROR(INDEX(科目表!$E$4:$E$81,MATCH($E239,科目表!$B$4:$B$81,0)),""))</f>
        <v/>
      </c>
      <c r="H239" s="27" t="str">
        <f>IF($E239="","",N(INDEX(进销存对接!$M$4:$U$305,79,5)))</f>
        <v/>
      </c>
      <c r="I239" s="27" t="str">
        <f>IF($E239="","",N(INDEX(进销存对接!$M$4:$U$305,79,6)))</f>
        <v/>
      </c>
      <c r="J239" s="26"/>
      <c r="K239" s="26" t="str">
        <f>IF($E239="","",INDEX(进销存对接!$D$4:$D$305,79))</f>
        <v/>
      </c>
      <c r="L239" s="32"/>
      <c r="M239" s="32"/>
      <c r="N239" s="26" t="str">
        <f t="shared" si="14"/>
        <v/>
      </c>
      <c r="O239" s="26" t="str">
        <f t="shared" si="15"/>
        <v/>
      </c>
      <c r="P239" s="10"/>
    </row>
    <row r="240" ht="18" customHeight="1" spans="1:16">
      <c r="A240" s="32" t="str">
        <f t="shared" si="12"/>
        <v/>
      </c>
      <c r="B240" s="100" t="str">
        <f>IF($E240="","",INDEX(进销存对接!$C$4:$C$305,79))</f>
        <v/>
      </c>
      <c r="C240" s="26" t="str">
        <f t="shared" si="13"/>
        <v/>
      </c>
      <c r="D240" s="32" t="str">
        <f>IF($E240="","",INDEX(进销存对接!$D$4:$D$305,79)&amp;" "&amp;TEXT($B240,"YYYY年M月")&amp;" 自动结转")</f>
        <v/>
      </c>
      <c r="E240" s="26" t="str">
        <f>IF(INDEX(进销存对接!$M$4:$U$305,79,7)=0,"",INDEX(进销存对接!$M$4:$U$305,79,7))</f>
        <v/>
      </c>
      <c r="F240" s="25" t="str">
        <f>IF($E240="","",IFERROR(INDEX(科目表!$A$4:$A$81,MATCH($E240,科目表!$B$4:$B$81,0)),""))</f>
        <v/>
      </c>
      <c r="G240" s="26" t="str">
        <f>IF($E240="","",IFERROR(INDEX(科目表!$E$4:$E$81,MATCH($E240,科目表!$B$4:$B$81,0)),""))</f>
        <v/>
      </c>
      <c r="H240" s="27" t="str">
        <f>IF($E240="","",N(INDEX(进销存对接!$M$4:$U$305,79,8)))</f>
        <v/>
      </c>
      <c r="I240" s="27" t="str">
        <f>IF($E240="","",N(INDEX(进销存对接!$M$4:$U$305,79,9)))</f>
        <v/>
      </c>
      <c r="J240" s="26"/>
      <c r="K240" s="26" t="str">
        <f>IF($E240="","",INDEX(进销存对接!$D$4:$D$305,79))</f>
        <v/>
      </c>
      <c r="L240" s="32"/>
      <c r="M240" s="32"/>
      <c r="N240" s="26" t="str">
        <f t="shared" si="14"/>
        <v/>
      </c>
      <c r="O240" s="26" t="str">
        <f t="shared" si="15"/>
        <v/>
      </c>
      <c r="P240" s="10"/>
    </row>
    <row r="241" ht="18" customHeight="1" spans="1:16">
      <c r="A241" s="32" t="str">
        <f t="shared" si="12"/>
        <v/>
      </c>
      <c r="B241" s="100" t="str">
        <f>IF($E241="","",INDEX(进销存对接!$C$4:$C$305,80))</f>
        <v/>
      </c>
      <c r="C241" s="26" t="str">
        <f t="shared" si="13"/>
        <v/>
      </c>
      <c r="D241" s="32" t="str">
        <f>IF($E241="","",INDEX(进销存对接!$D$4:$D$305,80)&amp;" "&amp;TEXT($B241,"YYYY年M月")&amp;" 自动结转")</f>
        <v/>
      </c>
      <c r="E241" s="26" t="str">
        <f>IF(INDEX(进销存对接!$M$4:$U$305,80,1)=0,"",INDEX(进销存对接!$M$4:$U$305,80,1))</f>
        <v/>
      </c>
      <c r="F241" s="25" t="str">
        <f>IF($E241="","",IFERROR(INDEX(科目表!$A$4:$A$81,MATCH($E241,科目表!$B$4:$B$81,0)),""))</f>
        <v/>
      </c>
      <c r="G241" s="26" t="str">
        <f>IF($E241="","",IFERROR(INDEX(科目表!$E$4:$E$81,MATCH($E241,科目表!$B$4:$B$81,0)),""))</f>
        <v/>
      </c>
      <c r="H241" s="27" t="str">
        <f>IF($E241="","",N(INDEX(进销存对接!$M$4:$U$305,80,2)))</f>
        <v/>
      </c>
      <c r="I241" s="27" t="str">
        <f>IF($E241="","",N(INDEX(进销存对接!$M$4:$U$305,80,3)))</f>
        <v/>
      </c>
      <c r="J241" s="26"/>
      <c r="K241" s="26" t="str">
        <f>IF($E241="","",INDEX(进销存对接!$D$4:$D$305,80))</f>
        <v/>
      </c>
      <c r="L241" s="32"/>
      <c r="M241" s="32"/>
      <c r="N241" s="26" t="str">
        <f t="shared" si="14"/>
        <v/>
      </c>
      <c r="O241" s="26" t="str">
        <f t="shared" si="15"/>
        <v/>
      </c>
      <c r="P241" s="10"/>
    </row>
    <row r="242" ht="18" customHeight="1" spans="1:16">
      <c r="A242" s="32" t="str">
        <f t="shared" si="12"/>
        <v/>
      </c>
      <c r="B242" s="100" t="str">
        <f>IF($E242="","",INDEX(进销存对接!$C$4:$C$305,80))</f>
        <v/>
      </c>
      <c r="C242" s="26" t="str">
        <f t="shared" si="13"/>
        <v/>
      </c>
      <c r="D242" s="32" t="str">
        <f>IF($E242="","",INDEX(进销存对接!$D$4:$D$305,80)&amp;" "&amp;TEXT($B242,"YYYY年M月")&amp;" 自动结转")</f>
        <v/>
      </c>
      <c r="E242" s="26" t="str">
        <f>IF(INDEX(进销存对接!$M$4:$U$305,80,4)=0,"",INDEX(进销存对接!$M$4:$U$305,80,4))</f>
        <v/>
      </c>
      <c r="F242" s="25" t="str">
        <f>IF($E242="","",IFERROR(INDEX(科目表!$A$4:$A$81,MATCH($E242,科目表!$B$4:$B$81,0)),""))</f>
        <v/>
      </c>
      <c r="G242" s="26" t="str">
        <f>IF($E242="","",IFERROR(INDEX(科目表!$E$4:$E$81,MATCH($E242,科目表!$B$4:$B$81,0)),""))</f>
        <v/>
      </c>
      <c r="H242" s="27" t="str">
        <f>IF($E242="","",N(INDEX(进销存对接!$M$4:$U$305,80,5)))</f>
        <v/>
      </c>
      <c r="I242" s="27" t="str">
        <f>IF($E242="","",N(INDEX(进销存对接!$M$4:$U$305,80,6)))</f>
        <v/>
      </c>
      <c r="J242" s="26"/>
      <c r="K242" s="26" t="str">
        <f>IF($E242="","",INDEX(进销存对接!$D$4:$D$305,80))</f>
        <v/>
      </c>
      <c r="L242" s="32"/>
      <c r="M242" s="32"/>
      <c r="N242" s="26" t="str">
        <f t="shared" si="14"/>
        <v/>
      </c>
      <c r="O242" s="26" t="str">
        <f t="shared" si="15"/>
        <v/>
      </c>
      <c r="P242" s="10"/>
    </row>
    <row r="243" ht="18" customHeight="1" spans="1:16">
      <c r="A243" s="32" t="str">
        <f t="shared" si="12"/>
        <v/>
      </c>
      <c r="B243" s="100" t="str">
        <f>IF($E243="","",INDEX(进销存对接!$C$4:$C$305,80))</f>
        <v/>
      </c>
      <c r="C243" s="26" t="str">
        <f t="shared" si="13"/>
        <v/>
      </c>
      <c r="D243" s="32" t="str">
        <f>IF($E243="","",INDEX(进销存对接!$D$4:$D$305,80)&amp;" "&amp;TEXT($B243,"YYYY年M月")&amp;" 自动结转")</f>
        <v/>
      </c>
      <c r="E243" s="26" t="str">
        <f>IF(INDEX(进销存对接!$M$4:$U$305,80,7)=0,"",INDEX(进销存对接!$M$4:$U$305,80,7))</f>
        <v/>
      </c>
      <c r="F243" s="25" t="str">
        <f>IF($E243="","",IFERROR(INDEX(科目表!$A$4:$A$81,MATCH($E243,科目表!$B$4:$B$81,0)),""))</f>
        <v/>
      </c>
      <c r="G243" s="26" t="str">
        <f>IF($E243="","",IFERROR(INDEX(科目表!$E$4:$E$81,MATCH($E243,科目表!$B$4:$B$81,0)),""))</f>
        <v/>
      </c>
      <c r="H243" s="27" t="str">
        <f>IF($E243="","",N(INDEX(进销存对接!$M$4:$U$305,80,8)))</f>
        <v/>
      </c>
      <c r="I243" s="27" t="str">
        <f>IF($E243="","",N(INDEX(进销存对接!$M$4:$U$305,80,9)))</f>
        <v/>
      </c>
      <c r="J243" s="26"/>
      <c r="K243" s="26" t="str">
        <f>IF($E243="","",INDEX(进销存对接!$D$4:$D$305,80))</f>
        <v/>
      </c>
      <c r="L243" s="32"/>
      <c r="M243" s="32"/>
      <c r="N243" s="26" t="str">
        <f t="shared" si="14"/>
        <v/>
      </c>
      <c r="O243" s="26" t="str">
        <f t="shared" si="15"/>
        <v/>
      </c>
      <c r="P243" s="10"/>
    </row>
    <row r="244" ht="18" customHeight="1" spans="1:16">
      <c r="A244" s="32" t="str">
        <f t="shared" si="12"/>
        <v/>
      </c>
      <c r="B244" s="100" t="str">
        <f>IF($E244="","",INDEX(进销存对接!$C$4:$C$305,81))</f>
        <v/>
      </c>
      <c r="C244" s="26" t="str">
        <f t="shared" si="13"/>
        <v/>
      </c>
      <c r="D244" s="32" t="str">
        <f>IF($E244="","",INDEX(进销存对接!$D$4:$D$305,81)&amp;" "&amp;TEXT($B244,"YYYY年M月")&amp;" 自动结转")</f>
        <v/>
      </c>
      <c r="E244" s="26" t="str">
        <f>IF(INDEX(进销存对接!$M$4:$U$305,81,1)=0,"",INDEX(进销存对接!$M$4:$U$305,81,1))</f>
        <v/>
      </c>
      <c r="F244" s="25" t="str">
        <f>IF($E244="","",IFERROR(INDEX(科目表!$A$4:$A$81,MATCH($E244,科目表!$B$4:$B$81,0)),""))</f>
        <v/>
      </c>
      <c r="G244" s="26" t="str">
        <f>IF($E244="","",IFERROR(INDEX(科目表!$E$4:$E$81,MATCH($E244,科目表!$B$4:$B$81,0)),""))</f>
        <v/>
      </c>
      <c r="H244" s="27" t="str">
        <f>IF($E244="","",N(INDEX(进销存对接!$M$4:$U$305,81,2)))</f>
        <v/>
      </c>
      <c r="I244" s="27" t="str">
        <f>IF($E244="","",N(INDEX(进销存对接!$M$4:$U$305,81,3)))</f>
        <v/>
      </c>
      <c r="J244" s="26"/>
      <c r="K244" s="26" t="str">
        <f>IF($E244="","",INDEX(进销存对接!$D$4:$D$305,81))</f>
        <v/>
      </c>
      <c r="L244" s="32"/>
      <c r="M244" s="32"/>
      <c r="N244" s="26" t="str">
        <f t="shared" si="14"/>
        <v/>
      </c>
      <c r="O244" s="26" t="str">
        <f t="shared" si="15"/>
        <v/>
      </c>
      <c r="P244" s="10"/>
    </row>
    <row r="245" ht="18" customHeight="1" spans="1:16">
      <c r="A245" s="32" t="str">
        <f t="shared" si="12"/>
        <v/>
      </c>
      <c r="B245" s="100" t="str">
        <f>IF($E245="","",INDEX(进销存对接!$C$4:$C$305,81))</f>
        <v/>
      </c>
      <c r="C245" s="26" t="str">
        <f t="shared" si="13"/>
        <v/>
      </c>
      <c r="D245" s="32" t="str">
        <f>IF($E245="","",INDEX(进销存对接!$D$4:$D$305,81)&amp;" "&amp;TEXT($B245,"YYYY年M月")&amp;" 自动结转")</f>
        <v/>
      </c>
      <c r="E245" s="26" t="str">
        <f>IF(INDEX(进销存对接!$M$4:$U$305,81,4)=0,"",INDEX(进销存对接!$M$4:$U$305,81,4))</f>
        <v/>
      </c>
      <c r="F245" s="25" t="str">
        <f>IF($E245="","",IFERROR(INDEX(科目表!$A$4:$A$81,MATCH($E245,科目表!$B$4:$B$81,0)),""))</f>
        <v/>
      </c>
      <c r="G245" s="26" t="str">
        <f>IF($E245="","",IFERROR(INDEX(科目表!$E$4:$E$81,MATCH($E245,科目表!$B$4:$B$81,0)),""))</f>
        <v/>
      </c>
      <c r="H245" s="27" t="str">
        <f>IF($E245="","",N(INDEX(进销存对接!$M$4:$U$305,81,5)))</f>
        <v/>
      </c>
      <c r="I245" s="27" t="str">
        <f>IF($E245="","",N(INDEX(进销存对接!$M$4:$U$305,81,6)))</f>
        <v/>
      </c>
      <c r="J245" s="26"/>
      <c r="K245" s="26" t="str">
        <f>IF($E245="","",INDEX(进销存对接!$D$4:$D$305,81))</f>
        <v/>
      </c>
      <c r="L245" s="32"/>
      <c r="M245" s="32"/>
      <c r="N245" s="26" t="str">
        <f t="shared" si="14"/>
        <v/>
      </c>
      <c r="O245" s="26" t="str">
        <f t="shared" si="15"/>
        <v/>
      </c>
      <c r="P245" s="10"/>
    </row>
    <row r="246" ht="18" customHeight="1" spans="1:16">
      <c r="A246" s="32" t="str">
        <f t="shared" si="12"/>
        <v/>
      </c>
      <c r="B246" s="100" t="str">
        <f>IF($E246="","",INDEX(进销存对接!$C$4:$C$305,81))</f>
        <v/>
      </c>
      <c r="C246" s="26" t="str">
        <f t="shared" si="13"/>
        <v/>
      </c>
      <c r="D246" s="32" t="str">
        <f>IF($E246="","",INDEX(进销存对接!$D$4:$D$305,81)&amp;" "&amp;TEXT($B246,"YYYY年M月")&amp;" 自动结转")</f>
        <v/>
      </c>
      <c r="E246" s="26" t="str">
        <f>IF(INDEX(进销存对接!$M$4:$U$305,81,7)=0,"",INDEX(进销存对接!$M$4:$U$305,81,7))</f>
        <v/>
      </c>
      <c r="F246" s="25" t="str">
        <f>IF($E246="","",IFERROR(INDEX(科目表!$A$4:$A$81,MATCH($E246,科目表!$B$4:$B$81,0)),""))</f>
        <v/>
      </c>
      <c r="G246" s="26" t="str">
        <f>IF($E246="","",IFERROR(INDEX(科目表!$E$4:$E$81,MATCH($E246,科目表!$B$4:$B$81,0)),""))</f>
        <v/>
      </c>
      <c r="H246" s="27" t="str">
        <f>IF($E246="","",N(INDEX(进销存对接!$M$4:$U$305,81,8)))</f>
        <v/>
      </c>
      <c r="I246" s="27" t="str">
        <f>IF($E246="","",N(INDEX(进销存对接!$M$4:$U$305,81,9)))</f>
        <v/>
      </c>
      <c r="J246" s="26"/>
      <c r="K246" s="26" t="str">
        <f>IF($E246="","",INDEX(进销存对接!$D$4:$D$305,81))</f>
        <v/>
      </c>
      <c r="L246" s="32"/>
      <c r="M246" s="32"/>
      <c r="N246" s="26" t="str">
        <f t="shared" si="14"/>
        <v/>
      </c>
      <c r="O246" s="26" t="str">
        <f t="shared" si="15"/>
        <v/>
      </c>
      <c r="P246" s="10"/>
    </row>
    <row r="247" ht="18" customHeight="1" spans="1:16">
      <c r="A247" s="32" t="str">
        <f t="shared" si="12"/>
        <v/>
      </c>
      <c r="B247" s="100" t="str">
        <f>IF($E247="","",INDEX(进销存对接!$C$4:$C$305,82))</f>
        <v/>
      </c>
      <c r="C247" s="26" t="str">
        <f t="shared" si="13"/>
        <v/>
      </c>
      <c r="D247" s="32" t="str">
        <f>IF($E247="","",INDEX(进销存对接!$D$4:$D$305,82)&amp;" "&amp;TEXT($B247,"YYYY年M月")&amp;" 自动结转")</f>
        <v/>
      </c>
      <c r="E247" s="26" t="str">
        <f>IF(INDEX(进销存对接!$M$4:$U$305,82,1)=0,"",INDEX(进销存对接!$M$4:$U$305,82,1))</f>
        <v/>
      </c>
      <c r="F247" s="25" t="str">
        <f>IF($E247="","",IFERROR(INDEX(科目表!$A$4:$A$81,MATCH($E247,科目表!$B$4:$B$81,0)),""))</f>
        <v/>
      </c>
      <c r="G247" s="26" t="str">
        <f>IF($E247="","",IFERROR(INDEX(科目表!$E$4:$E$81,MATCH($E247,科目表!$B$4:$B$81,0)),""))</f>
        <v/>
      </c>
      <c r="H247" s="27" t="str">
        <f>IF($E247="","",N(INDEX(进销存对接!$M$4:$U$305,82,2)))</f>
        <v/>
      </c>
      <c r="I247" s="27" t="str">
        <f>IF($E247="","",N(INDEX(进销存对接!$M$4:$U$305,82,3)))</f>
        <v/>
      </c>
      <c r="J247" s="26"/>
      <c r="K247" s="26" t="str">
        <f>IF($E247="","",INDEX(进销存对接!$D$4:$D$305,82))</f>
        <v/>
      </c>
      <c r="L247" s="32"/>
      <c r="M247" s="32"/>
      <c r="N247" s="26" t="str">
        <f t="shared" si="14"/>
        <v/>
      </c>
      <c r="O247" s="26" t="str">
        <f t="shared" si="15"/>
        <v/>
      </c>
      <c r="P247" s="10"/>
    </row>
    <row r="248" ht="18" customHeight="1" spans="1:16">
      <c r="A248" s="32" t="str">
        <f t="shared" si="12"/>
        <v/>
      </c>
      <c r="B248" s="100" t="str">
        <f>IF($E248="","",INDEX(进销存对接!$C$4:$C$305,82))</f>
        <v/>
      </c>
      <c r="C248" s="26" t="str">
        <f t="shared" si="13"/>
        <v/>
      </c>
      <c r="D248" s="32" t="str">
        <f>IF($E248="","",INDEX(进销存对接!$D$4:$D$305,82)&amp;" "&amp;TEXT($B248,"YYYY年M月")&amp;" 自动结转")</f>
        <v/>
      </c>
      <c r="E248" s="26" t="str">
        <f>IF(INDEX(进销存对接!$M$4:$U$305,82,4)=0,"",INDEX(进销存对接!$M$4:$U$305,82,4))</f>
        <v/>
      </c>
      <c r="F248" s="25" t="str">
        <f>IF($E248="","",IFERROR(INDEX(科目表!$A$4:$A$81,MATCH($E248,科目表!$B$4:$B$81,0)),""))</f>
        <v/>
      </c>
      <c r="G248" s="26" t="str">
        <f>IF($E248="","",IFERROR(INDEX(科目表!$E$4:$E$81,MATCH($E248,科目表!$B$4:$B$81,0)),""))</f>
        <v/>
      </c>
      <c r="H248" s="27" t="str">
        <f>IF($E248="","",N(INDEX(进销存对接!$M$4:$U$305,82,5)))</f>
        <v/>
      </c>
      <c r="I248" s="27" t="str">
        <f>IF($E248="","",N(INDEX(进销存对接!$M$4:$U$305,82,6)))</f>
        <v/>
      </c>
      <c r="J248" s="26"/>
      <c r="K248" s="26" t="str">
        <f>IF($E248="","",INDEX(进销存对接!$D$4:$D$305,82))</f>
        <v/>
      </c>
      <c r="L248" s="32"/>
      <c r="M248" s="32"/>
      <c r="N248" s="26" t="str">
        <f t="shared" si="14"/>
        <v/>
      </c>
      <c r="O248" s="26" t="str">
        <f t="shared" si="15"/>
        <v/>
      </c>
      <c r="P248" s="10"/>
    </row>
    <row r="249" ht="18" customHeight="1" spans="1:16">
      <c r="A249" s="32" t="str">
        <f t="shared" si="12"/>
        <v/>
      </c>
      <c r="B249" s="100" t="str">
        <f>IF($E249="","",INDEX(进销存对接!$C$4:$C$305,82))</f>
        <v/>
      </c>
      <c r="C249" s="26" t="str">
        <f t="shared" si="13"/>
        <v/>
      </c>
      <c r="D249" s="32" t="str">
        <f>IF($E249="","",INDEX(进销存对接!$D$4:$D$305,82)&amp;" "&amp;TEXT($B249,"YYYY年M月")&amp;" 自动结转")</f>
        <v/>
      </c>
      <c r="E249" s="26" t="str">
        <f>IF(INDEX(进销存对接!$M$4:$U$305,82,7)=0,"",INDEX(进销存对接!$M$4:$U$305,82,7))</f>
        <v/>
      </c>
      <c r="F249" s="25" t="str">
        <f>IF($E249="","",IFERROR(INDEX(科目表!$A$4:$A$81,MATCH($E249,科目表!$B$4:$B$81,0)),""))</f>
        <v/>
      </c>
      <c r="G249" s="26" t="str">
        <f>IF($E249="","",IFERROR(INDEX(科目表!$E$4:$E$81,MATCH($E249,科目表!$B$4:$B$81,0)),""))</f>
        <v/>
      </c>
      <c r="H249" s="27" t="str">
        <f>IF($E249="","",N(INDEX(进销存对接!$M$4:$U$305,82,8)))</f>
        <v/>
      </c>
      <c r="I249" s="27" t="str">
        <f>IF($E249="","",N(INDEX(进销存对接!$M$4:$U$305,82,9)))</f>
        <v/>
      </c>
      <c r="J249" s="26"/>
      <c r="K249" s="26" t="str">
        <f>IF($E249="","",INDEX(进销存对接!$D$4:$D$305,82))</f>
        <v/>
      </c>
      <c r="L249" s="32"/>
      <c r="M249" s="32"/>
      <c r="N249" s="26" t="str">
        <f t="shared" si="14"/>
        <v/>
      </c>
      <c r="O249" s="26" t="str">
        <f t="shared" si="15"/>
        <v/>
      </c>
      <c r="P249" s="10"/>
    </row>
    <row r="250" ht="18" customHeight="1" spans="1:16">
      <c r="A250" s="32" t="str">
        <f t="shared" si="12"/>
        <v/>
      </c>
      <c r="B250" s="100" t="str">
        <f>IF($E250="","",INDEX(进销存对接!$C$4:$C$305,83))</f>
        <v/>
      </c>
      <c r="C250" s="26" t="str">
        <f t="shared" si="13"/>
        <v/>
      </c>
      <c r="D250" s="32" t="str">
        <f>IF($E250="","",INDEX(进销存对接!$D$4:$D$305,83)&amp;" "&amp;TEXT($B250,"YYYY年M月")&amp;" 自动结转")</f>
        <v/>
      </c>
      <c r="E250" s="26" t="str">
        <f>IF(INDEX(进销存对接!$M$4:$U$305,83,1)=0,"",INDEX(进销存对接!$M$4:$U$305,83,1))</f>
        <v/>
      </c>
      <c r="F250" s="25" t="str">
        <f>IF($E250="","",IFERROR(INDEX(科目表!$A$4:$A$81,MATCH($E250,科目表!$B$4:$B$81,0)),""))</f>
        <v/>
      </c>
      <c r="G250" s="26" t="str">
        <f>IF($E250="","",IFERROR(INDEX(科目表!$E$4:$E$81,MATCH($E250,科目表!$B$4:$B$81,0)),""))</f>
        <v/>
      </c>
      <c r="H250" s="27" t="str">
        <f>IF($E250="","",N(INDEX(进销存对接!$M$4:$U$305,83,2)))</f>
        <v/>
      </c>
      <c r="I250" s="27" t="str">
        <f>IF($E250="","",N(INDEX(进销存对接!$M$4:$U$305,83,3)))</f>
        <v/>
      </c>
      <c r="J250" s="26"/>
      <c r="K250" s="26" t="str">
        <f>IF($E250="","",INDEX(进销存对接!$D$4:$D$305,83))</f>
        <v/>
      </c>
      <c r="L250" s="32"/>
      <c r="M250" s="32"/>
      <c r="N250" s="26" t="str">
        <f t="shared" si="14"/>
        <v/>
      </c>
      <c r="O250" s="26" t="str">
        <f t="shared" si="15"/>
        <v/>
      </c>
      <c r="P250" s="10"/>
    </row>
    <row r="251" ht="18" customHeight="1" spans="1:16">
      <c r="A251" s="32" t="str">
        <f t="shared" si="12"/>
        <v/>
      </c>
      <c r="B251" s="100" t="str">
        <f>IF($E251="","",INDEX(进销存对接!$C$4:$C$305,83))</f>
        <v/>
      </c>
      <c r="C251" s="26" t="str">
        <f t="shared" si="13"/>
        <v/>
      </c>
      <c r="D251" s="32" t="str">
        <f>IF($E251="","",INDEX(进销存对接!$D$4:$D$305,83)&amp;" "&amp;TEXT($B251,"YYYY年M月")&amp;" 自动结转")</f>
        <v/>
      </c>
      <c r="E251" s="26" t="str">
        <f>IF(INDEX(进销存对接!$M$4:$U$305,83,4)=0,"",INDEX(进销存对接!$M$4:$U$305,83,4))</f>
        <v/>
      </c>
      <c r="F251" s="25" t="str">
        <f>IF($E251="","",IFERROR(INDEX(科目表!$A$4:$A$81,MATCH($E251,科目表!$B$4:$B$81,0)),""))</f>
        <v/>
      </c>
      <c r="G251" s="26" t="str">
        <f>IF($E251="","",IFERROR(INDEX(科目表!$E$4:$E$81,MATCH($E251,科目表!$B$4:$B$81,0)),""))</f>
        <v/>
      </c>
      <c r="H251" s="27" t="str">
        <f>IF($E251="","",N(INDEX(进销存对接!$M$4:$U$305,83,5)))</f>
        <v/>
      </c>
      <c r="I251" s="27" t="str">
        <f>IF($E251="","",N(INDEX(进销存对接!$M$4:$U$305,83,6)))</f>
        <v/>
      </c>
      <c r="J251" s="26"/>
      <c r="K251" s="26" t="str">
        <f>IF($E251="","",INDEX(进销存对接!$D$4:$D$305,83))</f>
        <v/>
      </c>
      <c r="L251" s="32"/>
      <c r="M251" s="32"/>
      <c r="N251" s="26" t="str">
        <f t="shared" si="14"/>
        <v/>
      </c>
      <c r="O251" s="26" t="str">
        <f t="shared" si="15"/>
        <v/>
      </c>
      <c r="P251" s="10"/>
    </row>
    <row r="252" ht="18" customHeight="1" spans="1:16">
      <c r="A252" s="32" t="str">
        <f t="shared" si="12"/>
        <v/>
      </c>
      <c r="B252" s="100" t="str">
        <f>IF($E252="","",INDEX(进销存对接!$C$4:$C$305,83))</f>
        <v/>
      </c>
      <c r="C252" s="26" t="str">
        <f t="shared" si="13"/>
        <v/>
      </c>
      <c r="D252" s="32" t="str">
        <f>IF($E252="","",INDEX(进销存对接!$D$4:$D$305,83)&amp;" "&amp;TEXT($B252,"YYYY年M月")&amp;" 自动结转")</f>
        <v/>
      </c>
      <c r="E252" s="26" t="str">
        <f>IF(INDEX(进销存对接!$M$4:$U$305,83,7)=0,"",INDEX(进销存对接!$M$4:$U$305,83,7))</f>
        <v/>
      </c>
      <c r="F252" s="25" t="str">
        <f>IF($E252="","",IFERROR(INDEX(科目表!$A$4:$A$81,MATCH($E252,科目表!$B$4:$B$81,0)),""))</f>
        <v/>
      </c>
      <c r="G252" s="26" t="str">
        <f>IF($E252="","",IFERROR(INDEX(科目表!$E$4:$E$81,MATCH($E252,科目表!$B$4:$B$81,0)),""))</f>
        <v/>
      </c>
      <c r="H252" s="27" t="str">
        <f>IF($E252="","",N(INDEX(进销存对接!$M$4:$U$305,83,8)))</f>
        <v/>
      </c>
      <c r="I252" s="27" t="str">
        <f>IF($E252="","",N(INDEX(进销存对接!$M$4:$U$305,83,9)))</f>
        <v/>
      </c>
      <c r="J252" s="26"/>
      <c r="K252" s="26" t="str">
        <f>IF($E252="","",INDEX(进销存对接!$D$4:$D$305,83))</f>
        <v/>
      </c>
      <c r="L252" s="32"/>
      <c r="M252" s="32"/>
      <c r="N252" s="26" t="str">
        <f t="shared" si="14"/>
        <v/>
      </c>
      <c r="O252" s="26" t="str">
        <f t="shared" si="15"/>
        <v/>
      </c>
      <c r="P252" s="10"/>
    </row>
    <row r="253" ht="18" customHeight="1" spans="1:16">
      <c r="A253" s="32" t="str">
        <f t="shared" si="12"/>
        <v/>
      </c>
      <c r="B253" s="100" t="str">
        <f>IF($E253="","",INDEX(进销存对接!$C$4:$C$305,84))</f>
        <v/>
      </c>
      <c r="C253" s="26" t="str">
        <f t="shared" si="13"/>
        <v/>
      </c>
      <c r="D253" s="32" t="str">
        <f>IF($E253="","",INDEX(进销存对接!$D$4:$D$305,84)&amp;" "&amp;TEXT($B253,"YYYY年M月")&amp;" 自动结转")</f>
        <v/>
      </c>
      <c r="E253" s="26" t="str">
        <f>IF(INDEX(进销存对接!$M$4:$U$305,84,1)=0,"",INDEX(进销存对接!$M$4:$U$305,84,1))</f>
        <v/>
      </c>
      <c r="F253" s="25" t="str">
        <f>IF($E253="","",IFERROR(INDEX(科目表!$A$4:$A$81,MATCH($E253,科目表!$B$4:$B$81,0)),""))</f>
        <v/>
      </c>
      <c r="G253" s="26" t="str">
        <f>IF($E253="","",IFERROR(INDEX(科目表!$E$4:$E$81,MATCH($E253,科目表!$B$4:$B$81,0)),""))</f>
        <v/>
      </c>
      <c r="H253" s="27" t="str">
        <f>IF($E253="","",N(INDEX(进销存对接!$M$4:$U$305,84,2)))</f>
        <v/>
      </c>
      <c r="I253" s="27" t="str">
        <f>IF($E253="","",N(INDEX(进销存对接!$M$4:$U$305,84,3)))</f>
        <v/>
      </c>
      <c r="J253" s="26"/>
      <c r="K253" s="26" t="str">
        <f>IF($E253="","",INDEX(进销存对接!$D$4:$D$305,84))</f>
        <v/>
      </c>
      <c r="L253" s="32"/>
      <c r="M253" s="32"/>
      <c r="N253" s="26" t="str">
        <f t="shared" si="14"/>
        <v/>
      </c>
      <c r="O253" s="26" t="str">
        <f t="shared" si="15"/>
        <v/>
      </c>
      <c r="P253" s="10"/>
    </row>
    <row r="254" ht="18" customHeight="1" spans="1:16">
      <c r="A254" s="32" t="str">
        <f t="shared" si="12"/>
        <v/>
      </c>
      <c r="B254" s="100" t="str">
        <f>IF($E254="","",INDEX(进销存对接!$C$4:$C$305,84))</f>
        <v/>
      </c>
      <c r="C254" s="26" t="str">
        <f t="shared" si="13"/>
        <v/>
      </c>
      <c r="D254" s="32" t="str">
        <f>IF($E254="","",INDEX(进销存对接!$D$4:$D$305,84)&amp;" "&amp;TEXT($B254,"YYYY年M月")&amp;" 自动结转")</f>
        <v/>
      </c>
      <c r="E254" s="26" t="str">
        <f>IF(INDEX(进销存对接!$M$4:$U$305,84,4)=0,"",INDEX(进销存对接!$M$4:$U$305,84,4))</f>
        <v/>
      </c>
      <c r="F254" s="25" t="str">
        <f>IF($E254="","",IFERROR(INDEX(科目表!$A$4:$A$81,MATCH($E254,科目表!$B$4:$B$81,0)),""))</f>
        <v/>
      </c>
      <c r="G254" s="26" t="str">
        <f>IF($E254="","",IFERROR(INDEX(科目表!$E$4:$E$81,MATCH($E254,科目表!$B$4:$B$81,0)),""))</f>
        <v/>
      </c>
      <c r="H254" s="27" t="str">
        <f>IF($E254="","",N(INDEX(进销存对接!$M$4:$U$305,84,5)))</f>
        <v/>
      </c>
      <c r="I254" s="27" t="str">
        <f>IF($E254="","",N(INDEX(进销存对接!$M$4:$U$305,84,6)))</f>
        <v/>
      </c>
      <c r="J254" s="26"/>
      <c r="K254" s="26" t="str">
        <f>IF($E254="","",INDEX(进销存对接!$D$4:$D$305,84))</f>
        <v/>
      </c>
      <c r="L254" s="32"/>
      <c r="M254" s="32"/>
      <c r="N254" s="26" t="str">
        <f t="shared" si="14"/>
        <v/>
      </c>
      <c r="O254" s="26" t="str">
        <f t="shared" si="15"/>
        <v/>
      </c>
      <c r="P254" s="10"/>
    </row>
    <row r="255" ht="18" customHeight="1" spans="1:16">
      <c r="A255" s="32" t="str">
        <f t="shared" si="12"/>
        <v/>
      </c>
      <c r="B255" s="100" t="str">
        <f>IF($E255="","",INDEX(进销存对接!$C$4:$C$305,84))</f>
        <v/>
      </c>
      <c r="C255" s="26" t="str">
        <f t="shared" si="13"/>
        <v/>
      </c>
      <c r="D255" s="32" t="str">
        <f>IF($E255="","",INDEX(进销存对接!$D$4:$D$305,84)&amp;" "&amp;TEXT($B255,"YYYY年M月")&amp;" 自动结转")</f>
        <v/>
      </c>
      <c r="E255" s="26" t="str">
        <f>IF(INDEX(进销存对接!$M$4:$U$305,84,7)=0,"",INDEX(进销存对接!$M$4:$U$305,84,7))</f>
        <v/>
      </c>
      <c r="F255" s="25" t="str">
        <f>IF($E255="","",IFERROR(INDEX(科目表!$A$4:$A$81,MATCH($E255,科目表!$B$4:$B$81,0)),""))</f>
        <v/>
      </c>
      <c r="G255" s="26" t="str">
        <f>IF($E255="","",IFERROR(INDEX(科目表!$E$4:$E$81,MATCH($E255,科目表!$B$4:$B$81,0)),""))</f>
        <v/>
      </c>
      <c r="H255" s="27" t="str">
        <f>IF($E255="","",N(INDEX(进销存对接!$M$4:$U$305,84,8)))</f>
        <v/>
      </c>
      <c r="I255" s="27" t="str">
        <f>IF($E255="","",N(INDEX(进销存对接!$M$4:$U$305,84,9)))</f>
        <v/>
      </c>
      <c r="J255" s="26"/>
      <c r="K255" s="26" t="str">
        <f>IF($E255="","",INDEX(进销存对接!$D$4:$D$305,84))</f>
        <v/>
      </c>
      <c r="L255" s="32"/>
      <c r="M255" s="32"/>
      <c r="N255" s="26" t="str">
        <f t="shared" si="14"/>
        <v/>
      </c>
      <c r="O255" s="26" t="str">
        <f t="shared" si="15"/>
        <v/>
      </c>
      <c r="P255" s="10"/>
    </row>
    <row r="256" ht="18" customHeight="1" spans="1:16">
      <c r="A256" s="32" t="str">
        <f t="shared" si="12"/>
        <v/>
      </c>
      <c r="B256" s="100" t="str">
        <f>IF($E256="","",INDEX(进销存对接!$C$4:$C$305,85))</f>
        <v/>
      </c>
      <c r="C256" s="26" t="str">
        <f t="shared" si="13"/>
        <v/>
      </c>
      <c r="D256" s="32" t="str">
        <f>IF($E256="","",INDEX(进销存对接!$D$4:$D$305,85)&amp;" "&amp;TEXT($B256,"YYYY年M月")&amp;" 自动结转")</f>
        <v/>
      </c>
      <c r="E256" s="26" t="str">
        <f>IF(INDEX(进销存对接!$M$4:$U$305,85,1)=0,"",INDEX(进销存对接!$M$4:$U$305,85,1))</f>
        <v/>
      </c>
      <c r="F256" s="25" t="str">
        <f>IF($E256="","",IFERROR(INDEX(科目表!$A$4:$A$81,MATCH($E256,科目表!$B$4:$B$81,0)),""))</f>
        <v/>
      </c>
      <c r="G256" s="26" t="str">
        <f>IF($E256="","",IFERROR(INDEX(科目表!$E$4:$E$81,MATCH($E256,科目表!$B$4:$B$81,0)),""))</f>
        <v/>
      </c>
      <c r="H256" s="27" t="str">
        <f>IF($E256="","",N(INDEX(进销存对接!$M$4:$U$305,85,2)))</f>
        <v/>
      </c>
      <c r="I256" s="27" t="str">
        <f>IF($E256="","",N(INDEX(进销存对接!$M$4:$U$305,85,3)))</f>
        <v/>
      </c>
      <c r="J256" s="26"/>
      <c r="K256" s="26" t="str">
        <f>IF($E256="","",INDEX(进销存对接!$D$4:$D$305,85))</f>
        <v/>
      </c>
      <c r="L256" s="32"/>
      <c r="M256" s="32"/>
      <c r="N256" s="26" t="str">
        <f t="shared" si="14"/>
        <v/>
      </c>
      <c r="O256" s="26" t="str">
        <f t="shared" si="15"/>
        <v/>
      </c>
      <c r="P256" s="10"/>
    </row>
    <row r="257" ht="18" customHeight="1" spans="1:16">
      <c r="A257" s="32" t="str">
        <f t="shared" si="12"/>
        <v/>
      </c>
      <c r="B257" s="100" t="str">
        <f>IF($E257="","",INDEX(进销存对接!$C$4:$C$305,85))</f>
        <v/>
      </c>
      <c r="C257" s="26" t="str">
        <f t="shared" si="13"/>
        <v/>
      </c>
      <c r="D257" s="32" t="str">
        <f>IF($E257="","",INDEX(进销存对接!$D$4:$D$305,85)&amp;" "&amp;TEXT($B257,"YYYY年M月")&amp;" 自动结转")</f>
        <v/>
      </c>
      <c r="E257" s="26" t="str">
        <f>IF(INDEX(进销存对接!$M$4:$U$305,85,4)=0,"",INDEX(进销存对接!$M$4:$U$305,85,4))</f>
        <v/>
      </c>
      <c r="F257" s="25" t="str">
        <f>IF($E257="","",IFERROR(INDEX(科目表!$A$4:$A$81,MATCH($E257,科目表!$B$4:$B$81,0)),""))</f>
        <v/>
      </c>
      <c r="G257" s="26" t="str">
        <f>IF($E257="","",IFERROR(INDEX(科目表!$E$4:$E$81,MATCH($E257,科目表!$B$4:$B$81,0)),""))</f>
        <v/>
      </c>
      <c r="H257" s="27" t="str">
        <f>IF($E257="","",N(INDEX(进销存对接!$M$4:$U$305,85,5)))</f>
        <v/>
      </c>
      <c r="I257" s="27" t="str">
        <f>IF($E257="","",N(INDEX(进销存对接!$M$4:$U$305,85,6)))</f>
        <v/>
      </c>
      <c r="J257" s="26"/>
      <c r="K257" s="26" t="str">
        <f>IF($E257="","",INDEX(进销存对接!$D$4:$D$305,85))</f>
        <v/>
      </c>
      <c r="L257" s="32"/>
      <c r="M257" s="32"/>
      <c r="N257" s="26" t="str">
        <f t="shared" si="14"/>
        <v/>
      </c>
      <c r="O257" s="26" t="str">
        <f t="shared" si="15"/>
        <v/>
      </c>
      <c r="P257" s="10"/>
    </row>
    <row r="258" ht="18" customHeight="1" spans="1:16">
      <c r="A258" s="32" t="str">
        <f t="shared" si="12"/>
        <v/>
      </c>
      <c r="B258" s="100" t="str">
        <f>IF($E258="","",INDEX(进销存对接!$C$4:$C$305,85))</f>
        <v/>
      </c>
      <c r="C258" s="26" t="str">
        <f t="shared" si="13"/>
        <v/>
      </c>
      <c r="D258" s="32" t="str">
        <f>IF($E258="","",INDEX(进销存对接!$D$4:$D$305,85)&amp;" "&amp;TEXT($B258,"YYYY年M月")&amp;" 自动结转")</f>
        <v/>
      </c>
      <c r="E258" s="26" t="str">
        <f>IF(INDEX(进销存对接!$M$4:$U$305,85,7)=0,"",INDEX(进销存对接!$M$4:$U$305,85,7))</f>
        <v/>
      </c>
      <c r="F258" s="25" t="str">
        <f>IF($E258="","",IFERROR(INDEX(科目表!$A$4:$A$81,MATCH($E258,科目表!$B$4:$B$81,0)),""))</f>
        <v/>
      </c>
      <c r="G258" s="26" t="str">
        <f>IF($E258="","",IFERROR(INDEX(科目表!$E$4:$E$81,MATCH($E258,科目表!$B$4:$B$81,0)),""))</f>
        <v/>
      </c>
      <c r="H258" s="27" t="str">
        <f>IF($E258="","",N(INDEX(进销存对接!$M$4:$U$305,85,8)))</f>
        <v/>
      </c>
      <c r="I258" s="27" t="str">
        <f>IF($E258="","",N(INDEX(进销存对接!$M$4:$U$305,85,9)))</f>
        <v/>
      </c>
      <c r="J258" s="26"/>
      <c r="K258" s="26" t="str">
        <f>IF($E258="","",INDEX(进销存对接!$D$4:$D$305,85))</f>
        <v/>
      </c>
      <c r="L258" s="32"/>
      <c r="M258" s="32"/>
      <c r="N258" s="26" t="str">
        <f t="shared" si="14"/>
        <v/>
      </c>
      <c r="O258" s="26" t="str">
        <f t="shared" si="15"/>
        <v/>
      </c>
      <c r="P258" s="10"/>
    </row>
    <row r="259" ht="18" customHeight="1" spans="1:16">
      <c r="A259" s="32" t="str">
        <f t="shared" si="12"/>
        <v/>
      </c>
      <c r="B259" s="100" t="str">
        <f>IF($E259="","",INDEX(进销存对接!$C$4:$C$305,86))</f>
        <v/>
      </c>
      <c r="C259" s="26" t="str">
        <f t="shared" si="13"/>
        <v/>
      </c>
      <c r="D259" s="32" t="str">
        <f>IF($E259="","",INDEX(进销存对接!$D$4:$D$305,86)&amp;" "&amp;TEXT($B259,"YYYY年M月")&amp;" 自动结转")</f>
        <v/>
      </c>
      <c r="E259" s="26" t="str">
        <f>IF(INDEX(进销存对接!$M$4:$U$305,86,1)=0,"",INDEX(进销存对接!$M$4:$U$305,86,1))</f>
        <v/>
      </c>
      <c r="F259" s="25" t="str">
        <f>IF($E259="","",IFERROR(INDEX(科目表!$A$4:$A$81,MATCH($E259,科目表!$B$4:$B$81,0)),""))</f>
        <v/>
      </c>
      <c r="G259" s="26" t="str">
        <f>IF($E259="","",IFERROR(INDEX(科目表!$E$4:$E$81,MATCH($E259,科目表!$B$4:$B$81,0)),""))</f>
        <v/>
      </c>
      <c r="H259" s="27" t="str">
        <f>IF($E259="","",N(INDEX(进销存对接!$M$4:$U$305,86,2)))</f>
        <v/>
      </c>
      <c r="I259" s="27" t="str">
        <f>IF($E259="","",N(INDEX(进销存对接!$M$4:$U$305,86,3)))</f>
        <v/>
      </c>
      <c r="J259" s="26"/>
      <c r="K259" s="26" t="str">
        <f>IF($E259="","",INDEX(进销存对接!$D$4:$D$305,86))</f>
        <v/>
      </c>
      <c r="L259" s="32"/>
      <c r="M259" s="32"/>
      <c r="N259" s="26" t="str">
        <f t="shared" si="14"/>
        <v/>
      </c>
      <c r="O259" s="26" t="str">
        <f t="shared" si="15"/>
        <v/>
      </c>
      <c r="P259" s="10"/>
    </row>
    <row r="260" ht="18" customHeight="1" spans="1:16">
      <c r="A260" s="32" t="str">
        <f t="shared" ref="A260:A323" si="16">IF($E260="","",ROW()-3)</f>
        <v/>
      </c>
      <c r="B260" s="100" t="str">
        <f>IF($E260="","",INDEX(进销存对接!$C$4:$C$305,86))</f>
        <v/>
      </c>
      <c r="C260" s="26" t="str">
        <f t="shared" ref="C260:C323" si="17">IF($E260="","","记-"&amp;TEXT($B260,"YYYYMM")&amp;"-进销存")</f>
        <v/>
      </c>
      <c r="D260" s="32" t="str">
        <f>IF($E260="","",INDEX(进销存对接!$D$4:$D$305,86)&amp;" "&amp;TEXT($B260,"YYYY年M月")&amp;" 自动结转")</f>
        <v/>
      </c>
      <c r="E260" s="26" t="str">
        <f>IF(INDEX(进销存对接!$M$4:$U$305,86,4)=0,"",INDEX(进销存对接!$M$4:$U$305,86,4))</f>
        <v/>
      </c>
      <c r="F260" s="25" t="str">
        <f>IF($E260="","",IFERROR(INDEX(科目表!$A$4:$A$81,MATCH($E260,科目表!$B$4:$B$81,0)),""))</f>
        <v/>
      </c>
      <c r="G260" s="26" t="str">
        <f>IF($E260="","",IFERROR(INDEX(科目表!$E$4:$E$81,MATCH($E260,科目表!$B$4:$B$81,0)),""))</f>
        <v/>
      </c>
      <c r="H260" s="27" t="str">
        <f>IF($E260="","",N(INDEX(进销存对接!$M$4:$U$305,86,5)))</f>
        <v/>
      </c>
      <c r="I260" s="27" t="str">
        <f>IF($E260="","",N(INDEX(进销存对接!$M$4:$U$305,86,6)))</f>
        <v/>
      </c>
      <c r="J260" s="26"/>
      <c r="K260" s="26" t="str">
        <f>IF($E260="","",INDEX(进销存对接!$D$4:$D$305,86))</f>
        <v/>
      </c>
      <c r="L260" s="32"/>
      <c r="M260" s="32"/>
      <c r="N260" s="26" t="str">
        <f t="shared" ref="N260:N323" si="18">IF($E260="","","系统")</f>
        <v/>
      </c>
      <c r="O260" s="26" t="str">
        <f t="shared" ref="O260:O323" si="19">IF($E260="","","自动A")</f>
        <v/>
      </c>
      <c r="P260" s="10"/>
    </row>
    <row r="261" ht="18" customHeight="1" spans="1:16">
      <c r="A261" s="32" t="str">
        <f t="shared" si="16"/>
        <v/>
      </c>
      <c r="B261" s="100" t="str">
        <f>IF($E261="","",INDEX(进销存对接!$C$4:$C$305,86))</f>
        <v/>
      </c>
      <c r="C261" s="26" t="str">
        <f t="shared" si="17"/>
        <v/>
      </c>
      <c r="D261" s="32" t="str">
        <f>IF($E261="","",INDEX(进销存对接!$D$4:$D$305,86)&amp;" "&amp;TEXT($B261,"YYYY年M月")&amp;" 自动结转")</f>
        <v/>
      </c>
      <c r="E261" s="26" t="str">
        <f>IF(INDEX(进销存对接!$M$4:$U$305,86,7)=0,"",INDEX(进销存对接!$M$4:$U$305,86,7))</f>
        <v/>
      </c>
      <c r="F261" s="25" t="str">
        <f>IF($E261="","",IFERROR(INDEX(科目表!$A$4:$A$81,MATCH($E261,科目表!$B$4:$B$81,0)),""))</f>
        <v/>
      </c>
      <c r="G261" s="26" t="str">
        <f>IF($E261="","",IFERROR(INDEX(科目表!$E$4:$E$81,MATCH($E261,科目表!$B$4:$B$81,0)),""))</f>
        <v/>
      </c>
      <c r="H261" s="27" t="str">
        <f>IF($E261="","",N(INDEX(进销存对接!$M$4:$U$305,86,8)))</f>
        <v/>
      </c>
      <c r="I261" s="27" t="str">
        <f>IF($E261="","",N(INDEX(进销存对接!$M$4:$U$305,86,9)))</f>
        <v/>
      </c>
      <c r="J261" s="26"/>
      <c r="K261" s="26" t="str">
        <f>IF($E261="","",INDEX(进销存对接!$D$4:$D$305,86))</f>
        <v/>
      </c>
      <c r="L261" s="32"/>
      <c r="M261" s="32"/>
      <c r="N261" s="26" t="str">
        <f t="shared" si="18"/>
        <v/>
      </c>
      <c r="O261" s="26" t="str">
        <f t="shared" si="19"/>
        <v/>
      </c>
      <c r="P261" s="10"/>
    </row>
    <row r="262" ht="18" customHeight="1" spans="1:16">
      <c r="A262" s="32" t="str">
        <f t="shared" si="16"/>
        <v/>
      </c>
      <c r="B262" s="100" t="str">
        <f>IF($E262="","",INDEX(进销存对接!$C$4:$C$305,87))</f>
        <v/>
      </c>
      <c r="C262" s="26" t="str">
        <f t="shared" si="17"/>
        <v/>
      </c>
      <c r="D262" s="32" t="str">
        <f>IF($E262="","",INDEX(进销存对接!$D$4:$D$305,87)&amp;" "&amp;TEXT($B262,"YYYY年M月")&amp;" 自动结转")</f>
        <v/>
      </c>
      <c r="E262" s="26" t="str">
        <f>IF(INDEX(进销存对接!$M$4:$U$305,87,1)=0,"",INDEX(进销存对接!$M$4:$U$305,87,1))</f>
        <v/>
      </c>
      <c r="F262" s="25" t="str">
        <f>IF($E262="","",IFERROR(INDEX(科目表!$A$4:$A$81,MATCH($E262,科目表!$B$4:$B$81,0)),""))</f>
        <v/>
      </c>
      <c r="G262" s="26" t="str">
        <f>IF($E262="","",IFERROR(INDEX(科目表!$E$4:$E$81,MATCH($E262,科目表!$B$4:$B$81,0)),""))</f>
        <v/>
      </c>
      <c r="H262" s="27" t="str">
        <f>IF($E262="","",N(INDEX(进销存对接!$M$4:$U$305,87,2)))</f>
        <v/>
      </c>
      <c r="I262" s="27" t="str">
        <f>IF($E262="","",N(INDEX(进销存对接!$M$4:$U$305,87,3)))</f>
        <v/>
      </c>
      <c r="J262" s="26"/>
      <c r="K262" s="26" t="str">
        <f>IF($E262="","",INDEX(进销存对接!$D$4:$D$305,87))</f>
        <v/>
      </c>
      <c r="L262" s="32"/>
      <c r="M262" s="32"/>
      <c r="N262" s="26" t="str">
        <f t="shared" si="18"/>
        <v/>
      </c>
      <c r="O262" s="26" t="str">
        <f t="shared" si="19"/>
        <v/>
      </c>
      <c r="P262" s="10"/>
    </row>
    <row r="263" ht="18" customHeight="1" spans="1:16">
      <c r="A263" s="32" t="str">
        <f t="shared" si="16"/>
        <v/>
      </c>
      <c r="B263" s="100" t="str">
        <f>IF($E263="","",INDEX(进销存对接!$C$4:$C$305,87))</f>
        <v/>
      </c>
      <c r="C263" s="26" t="str">
        <f t="shared" si="17"/>
        <v/>
      </c>
      <c r="D263" s="32" t="str">
        <f>IF($E263="","",INDEX(进销存对接!$D$4:$D$305,87)&amp;" "&amp;TEXT($B263,"YYYY年M月")&amp;" 自动结转")</f>
        <v/>
      </c>
      <c r="E263" s="26" t="str">
        <f>IF(INDEX(进销存对接!$M$4:$U$305,87,4)=0,"",INDEX(进销存对接!$M$4:$U$305,87,4))</f>
        <v/>
      </c>
      <c r="F263" s="25" t="str">
        <f>IF($E263="","",IFERROR(INDEX(科目表!$A$4:$A$81,MATCH($E263,科目表!$B$4:$B$81,0)),""))</f>
        <v/>
      </c>
      <c r="G263" s="26" t="str">
        <f>IF($E263="","",IFERROR(INDEX(科目表!$E$4:$E$81,MATCH($E263,科目表!$B$4:$B$81,0)),""))</f>
        <v/>
      </c>
      <c r="H263" s="27" t="str">
        <f>IF($E263="","",N(INDEX(进销存对接!$M$4:$U$305,87,5)))</f>
        <v/>
      </c>
      <c r="I263" s="27" t="str">
        <f>IF($E263="","",N(INDEX(进销存对接!$M$4:$U$305,87,6)))</f>
        <v/>
      </c>
      <c r="J263" s="26"/>
      <c r="K263" s="26" t="str">
        <f>IF($E263="","",INDEX(进销存对接!$D$4:$D$305,87))</f>
        <v/>
      </c>
      <c r="L263" s="32"/>
      <c r="M263" s="32"/>
      <c r="N263" s="26" t="str">
        <f t="shared" si="18"/>
        <v/>
      </c>
      <c r="O263" s="26" t="str">
        <f t="shared" si="19"/>
        <v/>
      </c>
      <c r="P263" s="10"/>
    </row>
    <row r="264" ht="18" customHeight="1" spans="1:16">
      <c r="A264" s="32" t="str">
        <f t="shared" si="16"/>
        <v/>
      </c>
      <c r="B264" s="100" t="str">
        <f>IF($E264="","",INDEX(进销存对接!$C$4:$C$305,87))</f>
        <v/>
      </c>
      <c r="C264" s="26" t="str">
        <f t="shared" si="17"/>
        <v/>
      </c>
      <c r="D264" s="32" t="str">
        <f>IF($E264="","",INDEX(进销存对接!$D$4:$D$305,87)&amp;" "&amp;TEXT($B264,"YYYY年M月")&amp;" 自动结转")</f>
        <v/>
      </c>
      <c r="E264" s="26" t="str">
        <f>IF(INDEX(进销存对接!$M$4:$U$305,87,7)=0,"",INDEX(进销存对接!$M$4:$U$305,87,7))</f>
        <v/>
      </c>
      <c r="F264" s="25" t="str">
        <f>IF($E264="","",IFERROR(INDEX(科目表!$A$4:$A$81,MATCH($E264,科目表!$B$4:$B$81,0)),""))</f>
        <v/>
      </c>
      <c r="G264" s="26" t="str">
        <f>IF($E264="","",IFERROR(INDEX(科目表!$E$4:$E$81,MATCH($E264,科目表!$B$4:$B$81,0)),""))</f>
        <v/>
      </c>
      <c r="H264" s="27" t="str">
        <f>IF($E264="","",N(INDEX(进销存对接!$M$4:$U$305,87,8)))</f>
        <v/>
      </c>
      <c r="I264" s="27" t="str">
        <f>IF($E264="","",N(INDEX(进销存对接!$M$4:$U$305,87,9)))</f>
        <v/>
      </c>
      <c r="J264" s="26"/>
      <c r="K264" s="26" t="str">
        <f>IF($E264="","",INDEX(进销存对接!$D$4:$D$305,87))</f>
        <v/>
      </c>
      <c r="L264" s="32"/>
      <c r="M264" s="32"/>
      <c r="N264" s="26" t="str">
        <f t="shared" si="18"/>
        <v/>
      </c>
      <c r="O264" s="26" t="str">
        <f t="shared" si="19"/>
        <v/>
      </c>
      <c r="P264" s="10"/>
    </row>
    <row r="265" ht="18" customHeight="1" spans="1:16">
      <c r="A265" s="32" t="str">
        <f t="shared" si="16"/>
        <v/>
      </c>
      <c r="B265" s="100" t="str">
        <f>IF($E265="","",INDEX(进销存对接!$C$4:$C$305,88))</f>
        <v/>
      </c>
      <c r="C265" s="26" t="str">
        <f t="shared" si="17"/>
        <v/>
      </c>
      <c r="D265" s="32" t="str">
        <f>IF($E265="","",INDEX(进销存对接!$D$4:$D$305,88)&amp;" "&amp;TEXT($B265,"YYYY年M月")&amp;" 自动结转")</f>
        <v/>
      </c>
      <c r="E265" s="26" t="str">
        <f>IF(INDEX(进销存对接!$M$4:$U$305,88,1)=0,"",INDEX(进销存对接!$M$4:$U$305,88,1))</f>
        <v/>
      </c>
      <c r="F265" s="25" t="str">
        <f>IF($E265="","",IFERROR(INDEX(科目表!$A$4:$A$81,MATCH($E265,科目表!$B$4:$B$81,0)),""))</f>
        <v/>
      </c>
      <c r="G265" s="26" t="str">
        <f>IF($E265="","",IFERROR(INDEX(科目表!$E$4:$E$81,MATCH($E265,科目表!$B$4:$B$81,0)),""))</f>
        <v/>
      </c>
      <c r="H265" s="27" t="str">
        <f>IF($E265="","",N(INDEX(进销存对接!$M$4:$U$305,88,2)))</f>
        <v/>
      </c>
      <c r="I265" s="27" t="str">
        <f>IF($E265="","",N(INDEX(进销存对接!$M$4:$U$305,88,3)))</f>
        <v/>
      </c>
      <c r="J265" s="26"/>
      <c r="K265" s="26" t="str">
        <f>IF($E265="","",INDEX(进销存对接!$D$4:$D$305,88))</f>
        <v/>
      </c>
      <c r="L265" s="32"/>
      <c r="M265" s="32"/>
      <c r="N265" s="26" t="str">
        <f t="shared" si="18"/>
        <v/>
      </c>
      <c r="O265" s="26" t="str">
        <f t="shared" si="19"/>
        <v/>
      </c>
      <c r="P265" s="10"/>
    </row>
    <row r="266" ht="18" customHeight="1" spans="1:16">
      <c r="A266" s="32" t="str">
        <f t="shared" si="16"/>
        <v/>
      </c>
      <c r="B266" s="100" t="str">
        <f>IF($E266="","",INDEX(进销存对接!$C$4:$C$305,88))</f>
        <v/>
      </c>
      <c r="C266" s="26" t="str">
        <f t="shared" si="17"/>
        <v/>
      </c>
      <c r="D266" s="32" t="str">
        <f>IF($E266="","",INDEX(进销存对接!$D$4:$D$305,88)&amp;" "&amp;TEXT($B266,"YYYY年M月")&amp;" 自动结转")</f>
        <v/>
      </c>
      <c r="E266" s="26" t="str">
        <f>IF(INDEX(进销存对接!$M$4:$U$305,88,4)=0,"",INDEX(进销存对接!$M$4:$U$305,88,4))</f>
        <v/>
      </c>
      <c r="F266" s="25" t="str">
        <f>IF($E266="","",IFERROR(INDEX(科目表!$A$4:$A$81,MATCH($E266,科目表!$B$4:$B$81,0)),""))</f>
        <v/>
      </c>
      <c r="G266" s="26" t="str">
        <f>IF($E266="","",IFERROR(INDEX(科目表!$E$4:$E$81,MATCH($E266,科目表!$B$4:$B$81,0)),""))</f>
        <v/>
      </c>
      <c r="H266" s="27" t="str">
        <f>IF($E266="","",N(INDEX(进销存对接!$M$4:$U$305,88,5)))</f>
        <v/>
      </c>
      <c r="I266" s="27" t="str">
        <f>IF($E266="","",N(INDEX(进销存对接!$M$4:$U$305,88,6)))</f>
        <v/>
      </c>
      <c r="J266" s="26"/>
      <c r="K266" s="26" t="str">
        <f>IF($E266="","",INDEX(进销存对接!$D$4:$D$305,88))</f>
        <v/>
      </c>
      <c r="L266" s="32"/>
      <c r="M266" s="32"/>
      <c r="N266" s="26" t="str">
        <f t="shared" si="18"/>
        <v/>
      </c>
      <c r="O266" s="26" t="str">
        <f t="shared" si="19"/>
        <v/>
      </c>
      <c r="P266" s="10"/>
    </row>
    <row r="267" ht="18" customHeight="1" spans="1:16">
      <c r="A267" s="32" t="str">
        <f t="shared" si="16"/>
        <v/>
      </c>
      <c r="B267" s="100" t="str">
        <f>IF($E267="","",INDEX(进销存对接!$C$4:$C$305,88))</f>
        <v/>
      </c>
      <c r="C267" s="26" t="str">
        <f t="shared" si="17"/>
        <v/>
      </c>
      <c r="D267" s="32" t="str">
        <f>IF($E267="","",INDEX(进销存对接!$D$4:$D$305,88)&amp;" "&amp;TEXT($B267,"YYYY年M月")&amp;" 自动结转")</f>
        <v/>
      </c>
      <c r="E267" s="26" t="str">
        <f>IF(INDEX(进销存对接!$M$4:$U$305,88,7)=0,"",INDEX(进销存对接!$M$4:$U$305,88,7))</f>
        <v/>
      </c>
      <c r="F267" s="25" t="str">
        <f>IF($E267="","",IFERROR(INDEX(科目表!$A$4:$A$81,MATCH($E267,科目表!$B$4:$B$81,0)),""))</f>
        <v/>
      </c>
      <c r="G267" s="26" t="str">
        <f>IF($E267="","",IFERROR(INDEX(科目表!$E$4:$E$81,MATCH($E267,科目表!$B$4:$B$81,0)),""))</f>
        <v/>
      </c>
      <c r="H267" s="27" t="str">
        <f>IF($E267="","",N(INDEX(进销存对接!$M$4:$U$305,88,8)))</f>
        <v/>
      </c>
      <c r="I267" s="27" t="str">
        <f>IF($E267="","",N(INDEX(进销存对接!$M$4:$U$305,88,9)))</f>
        <v/>
      </c>
      <c r="J267" s="26"/>
      <c r="K267" s="26" t="str">
        <f>IF($E267="","",INDEX(进销存对接!$D$4:$D$305,88))</f>
        <v/>
      </c>
      <c r="L267" s="32"/>
      <c r="M267" s="32"/>
      <c r="N267" s="26" t="str">
        <f t="shared" si="18"/>
        <v/>
      </c>
      <c r="O267" s="26" t="str">
        <f t="shared" si="19"/>
        <v/>
      </c>
      <c r="P267" s="10"/>
    </row>
    <row r="268" ht="18" customHeight="1" spans="1:16">
      <c r="A268" s="32" t="str">
        <f t="shared" si="16"/>
        <v/>
      </c>
      <c r="B268" s="100" t="str">
        <f>IF($E268="","",INDEX(进销存对接!$C$4:$C$305,89))</f>
        <v/>
      </c>
      <c r="C268" s="26" t="str">
        <f t="shared" si="17"/>
        <v/>
      </c>
      <c r="D268" s="32" t="str">
        <f>IF($E268="","",INDEX(进销存对接!$D$4:$D$305,89)&amp;" "&amp;TEXT($B268,"YYYY年M月")&amp;" 自动结转")</f>
        <v/>
      </c>
      <c r="E268" s="26" t="str">
        <f>IF(INDEX(进销存对接!$M$4:$U$305,89,1)=0,"",INDEX(进销存对接!$M$4:$U$305,89,1))</f>
        <v/>
      </c>
      <c r="F268" s="25" t="str">
        <f>IF($E268="","",IFERROR(INDEX(科目表!$A$4:$A$81,MATCH($E268,科目表!$B$4:$B$81,0)),""))</f>
        <v/>
      </c>
      <c r="G268" s="26" t="str">
        <f>IF($E268="","",IFERROR(INDEX(科目表!$E$4:$E$81,MATCH($E268,科目表!$B$4:$B$81,0)),""))</f>
        <v/>
      </c>
      <c r="H268" s="27" t="str">
        <f>IF($E268="","",N(INDEX(进销存对接!$M$4:$U$305,89,2)))</f>
        <v/>
      </c>
      <c r="I268" s="27" t="str">
        <f>IF($E268="","",N(INDEX(进销存对接!$M$4:$U$305,89,3)))</f>
        <v/>
      </c>
      <c r="J268" s="26"/>
      <c r="K268" s="26" t="str">
        <f>IF($E268="","",INDEX(进销存对接!$D$4:$D$305,89))</f>
        <v/>
      </c>
      <c r="L268" s="32"/>
      <c r="M268" s="32"/>
      <c r="N268" s="26" t="str">
        <f t="shared" si="18"/>
        <v/>
      </c>
      <c r="O268" s="26" t="str">
        <f t="shared" si="19"/>
        <v/>
      </c>
      <c r="P268" s="10"/>
    </row>
    <row r="269" ht="18" customHeight="1" spans="1:16">
      <c r="A269" s="32" t="str">
        <f t="shared" si="16"/>
        <v/>
      </c>
      <c r="B269" s="100" t="str">
        <f>IF($E269="","",INDEX(进销存对接!$C$4:$C$305,89))</f>
        <v/>
      </c>
      <c r="C269" s="26" t="str">
        <f t="shared" si="17"/>
        <v/>
      </c>
      <c r="D269" s="32" t="str">
        <f>IF($E269="","",INDEX(进销存对接!$D$4:$D$305,89)&amp;" "&amp;TEXT($B269,"YYYY年M月")&amp;" 自动结转")</f>
        <v/>
      </c>
      <c r="E269" s="26" t="str">
        <f>IF(INDEX(进销存对接!$M$4:$U$305,89,4)=0,"",INDEX(进销存对接!$M$4:$U$305,89,4))</f>
        <v/>
      </c>
      <c r="F269" s="25" t="str">
        <f>IF($E269="","",IFERROR(INDEX(科目表!$A$4:$A$81,MATCH($E269,科目表!$B$4:$B$81,0)),""))</f>
        <v/>
      </c>
      <c r="G269" s="26" t="str">
        <f>IF($E269="","",IFERROR(INDEX(科目表!$E$4:$E$81,MATCH($E269,科目表!$B$4:$B$81,0)),""))</f>
        <v/>
      </c>
      <c r="H269" s="27" t="str">
        <f>IF($E269="","",N(INDEX(进销存对接!$M$4:$U$305,89,5)))</f>
        <v/>
      </c>
      <c r="I269" s="27" t="str">
        <f>IF($E269="","",N(INDEX(进销存对接!$M$4:$U$305,89,6)))</f>
        <v/>
      </c>
      <c r="J269" s="26"/>
      <c r="K269" s="26" t="str">
        <f>IF($E269="","",INDEX(进销存对接!$D$4:$D$305,89))</f>
        <v/>
      </c>
      <c r="L269" s="32"/>
      <c r="M269" s="32"/>
      <c r="N269" s="26" t="str">
        <f t="shared" si="18"/>
        <v/>
      </c>
      <c r="O269" s="26" t="str">
        <f t="shared" si="19"/>
        <v/>
      </c>
      <c r="P269" s="10"/>
    </row>
    <row r="270" ht="18" customHeight="1" spans="1:16">
      <c r="A270" s="32" t="str">
        <f t="shared" si="16"/>
        <v/>
      </c>
      <c r="B270" s="100" t="str">
        <f>IF($E270="","",INDEX(进销存对接!$C$4:$C$305,89))</f>
        <v/>
      </c>
      <c r="C270" s="26" t="str">
        <f t="shared" si="17"/>
        <v/>
      </c>
      <c r="D270" s="32" t="str">
        <f>IF($E270="","",INDEX(进销存对接!$D$4:$D$305,89)&amp;" "&amp;TEXT($B270,"YYYY年M月")&amp;" 自动结转")</f>
        <v/>
      </c>
      <c r="E270" s="26" t="str">
        <f>IF(INDEX(进销存对接!$M$4:$U$305,89,7)=0,"",INDEX(进销存对接!$M$4:$U$305,89,7))</f>
        <v/>
      </c>
      <c r="F270" s="25" t="str">
        <f>IF($E270="","",IFERROR(INDEX(科目表!$A$4:$A$81,MATCH($E270,科目表!$B$4:$B$81,0)),""))</f>
        <v/>
      </c>
      <c r="G270" s="26" t="str">
        <f>IF($E270="","",IFERROR(INDEX(科目表!$E$4:$E$81,MATCH($E270,科目表!$B$4:$B$81,0)),""))</f>
        <v/>
      </c>
      <c r="H270" s="27" t="str">
        <f>IF($E270="","",N(INDEX(进销存对接!$M$4:$U$305,89,8)))</f>
        <v/>
      </c>
      <c r="I270" s="27" t="str">
        <f>IF($E270="","",N(INDEX(进销存对接!$M$4:$U$305,89,9)))</f>
        <v/>
      </c>
      <c r="J270" s="26"/>
      <c r="K270" s="26" t="str">
        <f>IF($E270="","",INDEX(进销存对接!$D$4:$D$305,89))</f>
        <v/>
      </c>
      <c r="L270" s="32"/>
      <c r="M270" s="32"/>
      <c r="N270" s="26" t="str">
        <f t="shared" si="18"/>
        <v/>
      </c>
      <c r="O270" s="26" t="str">
        <f t="shared" si="19"/>
        <v/>
      </c>
      <c r="P270" s="10"/>
    </row>
    <row r="271" ht="18" customHeight="1" spans="1:16">
      <c r="A271" s="32" t="str">
        <f t="shared" si="16"/>
        <v/>
      </c>
      <c r="B271" s="100" t="str">
        <f>IF($E271="","",INDEX(进销存对接!$C$4:$C$305,90))</f>
        <v/>
      </c>
      <c r="C271" s="26" t="str">
        <f t="shared" si="17"/>
        <v/>
      </c>
      <c r="D271" s="32" t="str">
        <f>IF($E271="","",INDEX(进销存对接!$D$4:$D$305,90)&amp;" "&amp;TEXT($B271,"YYYY年M月")&amp;" 自动结转")</f>
        <v/>
      </c>
      <c r="E271" s="26" t="str">
        <f>IF(INDEX(进销存对接!$M$4:$U$305,90,1)=0,"",INDEX(进销存对接!$M$4:$U$305,90,1))</f>
        <v/>
      </c>
      <c r="F271" s="25" t="str">
        <f>IF($E271="","",IFERROR(INDEX(科目表!$A$4:$A$81,MATCH($E271,科目表!$B$4:$B$81,0)),""))</f>
        <v/>
      </c>
      <c r="G271" s="26" t="str">
        <f>IF($E271="","",IFERROR(INDEX(科目表!$E$4:$E$81,MATCH($E271,科目表!$B$4:$B$81,0)),""))</f>
        <v/>
      </c>
      <c r="H271" s="27" t="str">
        <f>IF($E271="","",N(INDEX(进销存对接!$M$4:$U$305,90,2)))</f>
        <v/>
      </c>
      <c r="I271" s="27" t="str">
        <f>IF($E271="","",N(INDEX(进销存对接!$M$4:$U$305,90,3)))</f>
        <v/>
      </c>
      <c r="J271" s="26"/>
      <c r="K271" s="26" t="str">
        <f>IF($E271="","",INDEX(进销存对接!$D$4:$D$305,90))</f>
        <v/>
      </c>
      <c r="L271" s="32"/>
      <c r="M271" s="32"/>
      <c r="N271" s="26" t="str">
        <f t="shared" si="18"/>
        <v/>
      </c>
      <c r="O271" s="26" t="str">
        <f t="shared" si="19"/>
        <v/>
      </c>
      <c r="P271" s="10"/>
    </row>
    <row r="272" ht="18" customHeight="1" spans="1:16">
      <c r="A272" s="32" t="str">
        <f t="shared" si="16"/>
        <v/>
      </c>
      <c r="B272" s="100" t="str">
        <f>IF($E272="","",INDEX(进销存对接!$C$4:$C$305,90))</f>
        <v/>
      </c>
      <c r="C272" s="26" t="str">
        <f t="shared" si="17"/>
        <v/>
      </c>
      <c r="D272" s="32" t="str">
        <f>IF($E272="","",INDEX(进销存对接!$D$4:$D$305,90)&amp;" "&amp;TEXT($B272,"YYYY年M月")&amp;" 自动结转")</f>
        <v/>
      </c>
      <c r="E272" s="26" t="str">
        <f>IF(INDEX(进销存对接!$M$4:$U$305,90,4)=0,"",INDEX(进销存对接!$M$4:$U$305,90,4))</f>
        <v/>
      </c>
      <c r="F272" s="25" t="str">
        <f>IF($E272="","",IFERROR(INDEX(科目表!$A$4:$A$81,MATCH($E272,科目表!$B$4:$B$81,0)),""))</f>
        <v/>
      </c>
      <c r="G272" s="26" t="str">
        <f>IF($E272="","",IFERROR(INDEX(科目表!$E$4:$E$81,MATCH($E272,科目表!$B$4:$B$81,0)),""))</f>
        <v/>
      </c>
      <c r="H272" s="27" t="str">
        <f>IF($E272="","",N(INDEX(进销存对接!$M$4:$U$305,90,5)))</f>
        <v/>
      </c>
      <c r="I272" s="27" t="str">
        <f>IF($E272="","",N(INDEX(进销存对接!$M$4:$U$305,90,6)))</f>
        <v/>
      </c>
      <c r="J272" s="26"/>
      <c r="K272" s="26" t="str">
        <f>IF($E272="","",INDEX(进销存对接!$D$4:$D$305,90))</f>
        <v/>
      </c>
      <c r="L272" s="32"/>
      <c r="M272" s="32"/>
      <c r="N272" s="26" t="str">
        <f t="shared" si="18"/>
        <v/>
      </c>
      <c r="O272" s="26" t="str">
        <f t="shared" si="19"/>
        <v/>
      </c>
      <c r="P272" s="10"/>
    </row>
    <row r="273" ht="18" customHeight="1" spans="1:16">
      <c r="A273" s="32" t="str">
        <f t="shared" si="16"/>
        <v/>
      </c>
      <c r="B273" s="100" t="str">
        <f>IF($E273="","",INDEX(进销存对接!$C$4:$C$305,90))</f>
        <v/>
      </c>
      <c r="C273" s="26" t="str">
        <f t="shared" si="17"/>
        <v/>
      </c>
      <c r="D273" s="32" t="str">
        <f>IF($E273="","",INDEX(进销存对接!$D$4:$D$305,90)&amp;" "&amp;TEXT($B273,"YYYY年M月")&amp;" 自动结转")</f>
        <v/>
      </c>
      <c r="E273" s="26" t="str">
        <f>IF(INDEX(进销存对接!$M$4:$U$305,90,7)=0,"",INDEX(进销存对接!$M$4:$U$305,90,7))</f>
        <v/>
      </c>
      <c r="F273" s="25" t="str">
        <f>IF($E273="","",IFERROR(INDEX(科目表!$A$4:$A$81,MATCH($E273,科目表!$B$4:$B$81,0)),""))</f>
        <v/>
      </c>
      <c r="G273" s="26" t="str">
        <f>IF($E273="","",IFERROR(INDEX(科目表!$E$4:$E$81,MATCH($E273,科目表!$B$4:$B$81,0)),""))</f>
        <v/>
      </c>
      <c r="H273" s="27" t="str">
        <f>IF($E273="","",N(INDEX(进销存对接!$M$4:$U$305,90,8)))</f>
        <v/>
      </c>
      <c r="I273" s="27" t="str">
        <f>IF($E273="","",N(INDEX(进销存对接!$M$4:$U$305,90,9)))</f>
        <v/>
      </c>
      <c r="J273" s="26"/>
      <c r="K273" s="26" t="str">
        <f>IF($E273="","",INDEX(进销存对接!$D$4:$D$305,90))</f>
        <v/>
      </c>
      <c r="L273" s="32"/>
      <c r="M273" s="32"/>
      <c r="N273" s="26" t="str">
        <f t="shared" si="18"/>
        <v/>
      </c>
      <c r="O273" s="26" t="str">
        <f t="shared" si="19"/>
        <v/>
      </c>
      <c r="P273" s="10"/>
    </row>
    <row r="274" ht="18" customHeight="1" spans="1:16">
      <c r="A274" s="32" t="str">
        <f t="shared" si="16"/>
        <v/>
      </c>
      <c r="B274" s="100" t="str">
        <f>IF($E274="","",INDEX(进销存对接!$C$4:$C$305,91))</f>
        <v/>
      </c>
      <c r="C274" s="26" t="str">
        <f t="shared" si="17"/>
        <v/>
      </c>
      <c r="D274" s="32" t="str">
        <f>IF($E274="","",INDEX(进销存对接!$D$4:$D$305,91)&amp;" "&amp;TEXT($B274,"YYYY年M月")&amp;" 自动结转")</f>
        <v/>
      </c>
      <c r="E274" s="26" t="str">
        <f>IF(INDEX(进销存对接!$M$4:$U$305,91,1)=0,"",INDEX(进销存对接!$M$4:$U$305,91,1))</f>
        <v/>
      </c>
      <c r="F274" s="25" t="str">
        <f>IF($E274="","",IFERROR(INDEX(科目表!$A$4:$A$81,MATCH($E274,科目表!$B$4:$B$81,0)),""))</f>
        <v/>
      </c>
      <c r="G274" s="26" t="str">
        <f>IF($E274="","",IFERROR(INDEX(科目表!$E$4:$E$81,MATCH($E274,科目表!$B$4:$B$81,0)),""))</f>
        <v/>
      </c>
      <c r="H274" s="27" t="str">
        <f>IF($E274="","",N(INDEX(进销存对接!$M$4:$U$305,91,2)))</f>
        <v/>
      </c>
      <c r="I274" s="27" t="str">
        <f>IF($E274="","",N(INDEX(进销存对接!$M$4:$U$305,91,3)))</f>
        <v/>
      </c>
      <c r="J274" s="26"/>
      <c r="K274" s="26" t="str">
        <f>IF($E274="","",INDEX(进销存对接!$D$4:$D$305,91))</f>
        <v/>
      </c>
      <c r="L274" s="32"/>
      <c r="M274" s="32"/>
      <c r="N274" s="26" t="str">
        <f t="shared" si="18"/>
        <v/>
      </c>
      <c r="O274" s="26" t="str">
        <f t="shared" si="19"/>
        <v/>
      </c>
      <c r="P274" s="10"/>
    </row>
    <row r="275" ht="18" customHeight="1" spans="1:16">
      <c r="A275" s="32" t="str">
        <f t="shared" si="16"/>
        <v/>
      </c>
      <c r="B275" s="100" t="str">
        <f>IF($E275="","",INDEX(进销存对接!$C$4:$C$305,91))</f>
        <v/>
      </c>
      <c r="C275" s="26" t="str">
        <f t="shared" si="17"/>
        <v/>
      </c>
      <c r="D275" s="32" t="str">
        <f>IF($E275="","",INDEX(进销存对接!$D$4:$D$305,91)&amp;" "&amp;TEXT($B275,"YYYY年M月")&amp;" 自动结转")</f>
        <v/>
      </c>
      <c r="E275" s="26" t="str">
        <f>IF(INDEX(进销存对接!$M$4:$U$305,91,4)=0,"",INDEX(进销存对接!$M$4:$U$305,91,4))</f>
        <v/>
      </c>
      <c r="F275" s="25" t="str">
        <f>IF($E275="","",IFERROR(INDEX(科目表!$A$4:$A$81,MATCH($E275,科目表!$B$4:$B$81,0)),""))</f>
        <v/>
      </c>
      <c r="G275" s="26" t="str">
        <f>IF($E275="","",IFERROR(INDEX(科目表!$E$4:$E$81,MATCH($E275,科目表!$B$4:$B$81,0)),""))</f>
        <v/>
      </c>
      <c r="H275" s="27" t="str">
        <f>IF($E275="","",N(INDEX(进销存对接!$M$4:$U$305,91,5)))</f>
        <v/>
      </c>
      <c r="I275" s="27" t="str">
        <f>IF($E275="","",N(INDEX(进销存对接!$M$4:$U$305,91,6)))</f>
        <v/>
      </c>
      <c r="J275" s="26"/>
      <c r="K275" s="26" t="str">
        <f>IF($E275="","",INDEX(进销存对接!$D$4:$D$305,91))</f>
        <v/>
      </c>
      <c r="L275" s="32"/>
      <c r="M275" s="32"/>
      <c r="N275" s="26" t="str">
        <f t="shared" si="18"/>
        <v/>
      </c>
      <c r="O275" s="26" t="str">
        <f t="shared" si="19"/>
        <v/>
      </c>
      <c r="P275" s="10"/>
    </row>
    <row r="276" ht="18" customHeight="1" spans="1:16">
      <c r="A276" s="32" t="str">
        <f t="shared" si="16"/>
        <v/>
      </c>
      <c r="B276" s="100" t="str">
        <f>IF($E276="","",INDEX(进销存对接!$C$4:$C$305,91))</f>
        <v/>
      </c>
      <c r="C276" s="26" t="str">
        <f t="shared" si="17"/>
        <v/>
      </c>
      <c r="D276" s="32" t="str">
        <f>IF($E276="","",INDEX(进销存对接!$D$4:$D$305,91)&amp;" "&amp;TEXT($B276,"YYYY年M月")&amp;" 自动结转")</f>
        <v/>
      </c>
      <c r="E276" s="26" t="str">
        <f>IF(INDEX(进销存对接!$M$4:$U$305,91,7)=0,"",INDEX(进销存对接!$M$4:$U$305,91,7))</f>
        <v/>
      </c>
      <c r="F276" s="25" t="str">
        <f>IF($E276="","",IFERROR(INDEX(科目表!$A$4:$A$81,MATCH($E276,科目表!$B$4:$B$81,0)),""))</f>
        <v/>
      </c>
      <c r="G276" s="26" t="str">
        <f>IF($E276="","",IFERROR(INDEX(科目表!$E$4:$E$81,MATCH($E276,科目表!$B$4:$B$81,0)),""))</f>
        <v/>
      </c>
      <c r="H276" s="27" t="str">
        <f>IF($E276="","",N(INDEX(进销存对接!$M$4:$U$305,91,8)))</f>
        <v/>
      </c>
      <c r="I276" s="27" t="str">
        <f>IF($E276="","",N(INDEX(进销存对接!$M$4:$U$305,91,9)))</f>
        <v/>
      </c>
      <c r="J276" s="26"/>
      <c r="K276" s="26" t="str">
        <f>IF($E276="","",INDEX(进销存对接!$D$4:$D$305,91))</f>
        <v/>
      </c>
      <c r="L276" s="32"/>
      <c r="M276" s="32"/>
      <c r="N276" s="26" t="str">
        <f t="shared" si="18"/>
        <v/>
      </c>
      <c r="O276" s="26" t="str">
        <f t="shared" si="19"/>
        <v/>
      </c>
      <c r="P276" s="10"/>
    </row>
    <row r="277" ht="18" customHeight="1" spans="1:16">
      <c r="A277" s="32" t="str">
        <f t="shared" si="16"/>
        <v/>
      </c>
      <c r="B277" s="100" t="str">
        <f>IF($E277="","",INDEX(进销存对接!$C$4:$C$305,92))</f>
        <v/>
      </c>
      <c r="C277" s="26" t="str">
        <f t="shared" si="17"/>
        <v/>
      </c>
      <c r="D277" s="32" t="str">
        <f>IF($E277="","",INDEX(进销存对接!$D$4:$D$305,92)&amp;" "&amp;TEXT($B277,"YYYY年M月")&amp;" 自动结转")</f>
        <v/>
      </c>
      <c r="E277" s="26" t="str">
        <f>IF(INDEX(进销存对接!$M$4:$U$305,92,1)=0,"",INDEX(进销存对接!$M$4:$U$305,92,1))</f>
        <v/>
      </c>
      <c r="F277" s="25" t="str">
        <f>IF($E277="","",IFERROR(INDEX(科目表!$A$4:$A$81,MATCH($E277,科目表!$B$4:$B$81,0)),""))</f>
        <v/>
      </c>
      <c r="G277" s="26" t="str">
        <f>IF($E277="","",IFERROR(INDEX(科目表!$E$4:$E$81,MATCH($E277,科目表!$B$4:$B$81,0)),""))</f>
        <v/>
      </c>
      <c r="H277" s="27" t="str">
        <f>IF($E277="","",N(INDEX(进销存对接!$M$4:$U$305,92,2)))</f>
        <v/>
      </c>
      <c r="I277" s="27" t="str">
        <f>IF($E277="","",N(INDEX(进销存对接!$M$4:$U$305,92,3)))</f>
        <v/>
      </c>
      <c r="J277" s="26"/>
      <c r="K277" s="26" t="str">
        <f>IF($E277="","",INDEX(进销存对接!$D$4:$D$305,92))</f>
        <v/>
      </c>
      <c r="L277" s="32"/>
      <c r="M277" s="32"/>
      <c r="N277" s="26" t="str">
        <f t="shared" si="18"/>
        <v/>
      </c>
      <c r="O277" s="26" t="str">
        <f t="shared" si="19"/>
        <v/>
      </c>
      <c r="P277" s="10"/>
    </row>
    <row r="278" ht="18" customHeight="1" spans="1:16">
      <c r="A278" s="32" t="str">
        <f t="shared" si="16"/>
        <v/>
      </c>
      <c r="B278" s="100" t="str">
        <f>IF($E278="","",INDEX(进销存对接!$C$4:$C$305,92))</f>
        <v/>
      </c>
      <c r="C278" s="26" t="str">
        <f t="shared" si="17"/>
        <v/>
      </c>
      <c r="D278" s="32" t="str">
        <f>IF($E278="","",INDEX(进销存对接!$D$4:$D$305,92)&amp;" "&amp;TEXT($B278,"YYYY年M月")&amp;" 自动结转")</f>
        <v/>
      </c>
      <c r="E278" s="26" t="str">
        <f>IF(INDEX(进销存对接!$M$4:$U$305,92,4)=0,"",INDEX(进销存对接!$M$4:$U$305,92,4))</f>
        <v/>
      </c>
      <c r="F278" s="25" t="str">
        <f>IF($E278="","",IFERROR(INDEX(科目表!$A$4:$A$81,MATCH($E278,科目表!$B$4:$B$81,0)),""))</f>
        <v/>
      </c>
      <c r="G278" s="26" t="str">
        <f>IF($E278="","",IFERROR(INDEX(科目表!$E$4:$E$81,MATCH($E278,科目表!$B$4:$B$81,0)),""))</f>
        <v/>
      </c>
      <c r="H278" s="27" t="str">
        <f>IF($E278="","",N(INDEX(进销存对接!$M$4:$U$305,92,5)))</f>
        <v/>
      </c>
      <c r="I278" s="27" t="str">
        <f>IF($E278="","",N(INDEX(进销存对接!$M$4:$U$305,92,6)))</f>
        <v/>
      </c>
      <c r="J278" s="26"/>
      <c r="K278" s="26" t="str">
        <f>IF($E278="","",INDEX(进销存对接!$D$4:$D$305,92))</f>
        <v/>
      </c>
      <c r="L278" s="32"/>
      <c r="M278" s="32"/>
      <c r="N278" s="26" t="str">
        <f t="shared" si="18"/>
        <v/>
      </c>
      <c r="O278" s="26" t="str">
        <f t="shared" si="19"/>
        <v/>
      </c>
      <c r="P278" s="10"/>
    </row>
    <row r="279" ht="18" customHeight="1" spans="1:16">
      <c r="A279" s="32" t="str">
        <f t="shared" si="16"/>
        <v/>
      </c>
      <c r="B279" s="100" t="str">
        <f>IF($E279="","",INDEX(进销存对接!$C$4:$C$305,92))</f>
        <v/>
      </c>
      <c r="C279" s="26" t="str">
        <f t="shared" si="17"/>
        <v/>
      </c>
      <c r="D279" s="32" t="str">
        <f>IF($E279="","",INDEX(进销存对接!$D$4:$D$305,92)&amp;" "&amp;TEXT($B279,"YYYY年M月")&amp;" 自动结转")</f>
        <v/>
      </c>
      <c r="E279" s="26" t="str">
        <f>IF(INDEX(进销存对接!$M$4:$U$305,92,7)=0,"",INDEX(进销存对接!$M$4:$U$305,92,7))</f>
        <v/>
      </c>
      <c r="F279" s="25" t="str">
        <f>IF($E279="","",IFERROR(INDEX(科目表!$A$4:$A$81,MATCH($E279,科目表!$B$4:$B$81,0)),""))</f>
        <v/>
      </c>
      <c r="G279" s="26" t="str">
        <f>IF($E279="","",IFERROR(INDEX(科目表!$E$4:$E$81,MATCH($E279,科目表!$B$4:$B$81,0)),""))</f>
        <v/>
      </c>
      <c r="H279" s="27" t="str">
        <f>IF($E279="","",N(INDEX(进销存对接!$M$4:$U$305,92,8)))</f>
        <v/>
      </c>
      <c r="I279" s="27" t="str">
        <f>IF($E279="","",N(INDEX(进销存对接!$M$4:$U$305,92,9)))</f>
        <v/>
      </c>
      <c r="J279" s="26"/>
      <c r="K279" s="26" t="str">
        <f>IF($E279="","",INDEX(进销存对接!$D$4:$D$305,92))</f>
        <v/>
      </c>
      <c r="L279" s="32"/>
      <c r="M279" s="32"/>
      <c r="N279" s="26" t="str">
        <f t="shared" si="18"/>
        <v/>
      </c>
      <c r="O279" s="26" t="str">
        <f t="shared" si="19"/>
        <v/>
      </c>
      <c r="P279" s="10"/>
    </row>
    <row r="280" ht="18" customHeight="1" spans="1:16">
      <c r="A280" s="32" t="str">
        <f t="shared" si="16"/>
        <v/>
      </c>
      <c r="B280" s="100" t="str">
        <f>IF($E280="","",INDEX(进销存对接!$C$4:$C$305,93))</f>
        <v/>
      </c>
      <c r="C280" s="26" t="str">
        <f t="shared" si="17"/>
        <v/>
      </c>
      <c r="D280" s="32" t="str">
        <f>IF($E280="","",INDEX(进销存对接!$D$4:$D$305,93)&amp;" "&amp;TEXT($B280,"YYYY年M月")&amp;" 自动结转")</f>
        <v/>
      </c>
      <c r="E280" s="26" t="str">
        <f>IF(INDEX(进销存对接!$M$4:$U$305,93,1)=0,"",INDEX(进销存对接!$M$4:$U$305,93,1))</f>
        <v/>
      </c>
      <c r="F280" s="25" t="str">
        <f>IF($E280="","",IFERROR(INDEX(科目表!$A$4:$A$81,MATCH($E280,科目表!$B$4:$B$81,0)),""))</f>
        <v/>
      </c>
      <c r="G280" s="26" t="str">
        <f>IF($E280="","",IFERROR(INDEX(科目表!$E$4:$E$81,MATCH($E280,科目表!$B$4:$B$81,0)),""))</f>
        <v/>
      </c>
      <c r="H280" s="27" t="str">
        <f>IF($E280="","",N(INDEX(进销存对接!$M$4:$U$305,93,2)))</f>
        <v/>
      </c>
      <c r="I280" s="27" t="str">
        <f>IF($E280="","",N(INDEX(进销存对接!$M$4:$U$305,93,3)))</f>
        <v/>
      </c>
      <c r="J280" s="26"/>
      <c r="K280" s="26" t="str">
        <f>IF($E280="","",INDEX(进销存对接!$D$4:$D$305,93))</f>
        <v/>
      </c>
      <c r="L280" s="32"/>
      <c r="M280" s="32"/>
      <c r="N280" s="26" t="str">
        <f t="shared" si="18"/>
        <v/>
      </c>
      <c r="O280" s="26" t="str">
        <f t="shared" si="19"/>
        <v/>
      </c>
      <c r="P280" s="10"/>
    </row>
    <row r="281" ht="18" customHeight="1" spans="1:16">
      <c r="A281" s="32" t="str">
        <f t="shared" si="16"/>
        <v/>
      </c>
      <c r="B281" s="100" t="str">
        <f>IF($E281="","",INDEX(进销存对接!$C$4:$C$305,93))</f>
        <v/>
      </c>
      <c r="C281" s="26" t="str">
        <f t="shared" si="17"/>
        <v/>
      </c>
      <c r="D281" s="32" t="str">
        <f>IF($E281="","",INDEX(进销存对接!$D$4:$D$305,93)&amp;" "&amp;TEXT($B281,"YYYY年M月")&amp;" 自动结转")</f>
        <v/>
      </c>
      <c r="E281" s="26" t="str">
        <f>IF(INDEX(进销存对接!$M$4:$U$305,93,4)=0,"",INDEX(进销存对接!$M$4:$U$305,93,4))</f>
        <v/>
      </c>
      <c r="F281" s="25" t="str">
        <f>IF($E281="","",IFERROR(INDEX(科目表!$A$4:$A$81,MATCH($E281,科目表!$B$4:$B$81,0)),""))</f>
        <v/>
      </c>
      <c r="G281" s="26" t="str">
        <f>IF($E281="","",IFERROR(INDEX(科目表!$E$4:$E$81,MATCH($E281,科目表!$B$4:$B$81,0)),""))</f>
        <v/>
      </c>
      <c r="H281" s="27" t="str">
        <f>IF($E281="","",N(INDEX(进销存对接!$M$4:$U$305,93,5)))</f>
        <v/>
      </c>
      <c r="I281" s="27" t="str">
        <f>IF($E281="","",N(INDEX(进销存对接!$M$4:$U$305,93,6)))</f>
        <v/>
      </c>
      <c r="J281" s="26"/>
      <c r="K281" s="26" t="str">
        <f>IF($E281="","",INDEX(进销存对接!$D$4:$D$305,93))</f>
        <v/>
      </c>
      <c r="L281" s="32"/>
      <c r="M281" s="32"/>
      <c r="N281" s="26" t="str">
        <f t="shared" si="18"/>
        <v/>
      </c>
      <c r="O281" s="26" t="str">
        <f t="shared" si="19"/>
        <v/>
      </c>
      <c r="P281" s="10"/>
    </row>
    <row r="282" ht="18" customHeight="1" spans="1:16">
      <c r="A282" s="32" t="str">
        <f t="shared" si="16"/>
        <v/>
      </c>
      <c r="B282" s="100" t="str">
        <f>IF($E282="","",INDEX(进销存对接!$C$4:$C$305,93))</f>
        <v/>
      </c>
      <c r="C282" s="26" t="str">
        <f t="shared" si="17"/>
        <v/>
      </c>
      <c r="D282" s="32" t="str">
        <f>IF($E282="","",INDEX(进销存对接!$D$4:$D$305,93)&amp;" "&amp;TEXT($B282,"YYYY年M月")&amp;" 自动结转")</f>
        <v/>
      </c>
      <c r="E282" s="26" t="str">
        <f>IF(INDEX(进销存对接!$M$4:$U$305,93,7)=0,"",INDEX(进销存对接!$M$4:$U$305,93,7))</f>
        <v/>
      </c>
      <c r="F282" s="25" t="str">
        <f>IF($E282="","",IFERROR(INDEX(科目表!$A$4:$A$81,MATCH($E282,科目表!$B$4:$B$81,0)),""))</f>
        <v/>
      </c>
      <c r="G282" s="26" t="str">
        <f>IF($E282="","",IFERROR(INDEX(科目表!$E$4:$E$81,MATCH($E282,科目表!$B$4:$B$81,0)),""))</f>
        <v/>
      </c>
      <c r="H282" s="27" t="str">
        <f>IF($E282="","",N(INDEX(进销存对接!$M$4:$U$305,93,8)))</f>
        <v/>
      </c>
      <c r="I282" s="27" t="str">
        <f>IF($E282="","",N(INDEX(进销存对接!$M$4:$U$305,93,9)))</f>
        <v/>
      </c>
      <c r="J282" s="26"/>
      <c r="K282" s="26" t="str">
        <f>IF($E282="","",INDEX(进销存对接!$D$4:$D$305,93))</f>
        <v/>
      </c>
      <c r="L282" s="32"/>
      <c r="M282" s="32"/>
      <c r="N282" s="26" t="str">
        <f t="shared" si="18"/>
        <v/>
      </c>
      <c r="O282" s="26" t="str">
        <f t="shared" si="19"/>
        <v/>
      </c>
      <c r="P282" s="10"/>
    </row>
    <row r="283" ht="18" customHeight="1" spans="1:16">
      <c r="A283" s="32" t="str">
        <f t="shared" si="16"/>
        <v/>
      </c>
      <c r="B283" s="100" t="str">
        <f>IF($E283="","",INDEX(进销存对接!$C$4:$C$305,94))</f>
        <v/>
      </c>
      <c r="C283" s="26" t="str">
        <f t="shared" si="17"/>
        <v/>
      </c>
      <c r="D283" s="32" t="str">
        <f>IF($E283="","",INDEX(进销存对接!$D$4:$D$305,94)&amp;" "&amp;TEXT($B283,"YYYY年M月")&amp;" 自动结转")</f>
        <v/>
      </c>
      <c r="E283" s="26" t="str">
        <f>IF(INDEX(进销存对接!$M$4:$U$305,94,1)=0,"",INDEX(进销存对接!$M$4:$U$305,94,1))</f>
        <v/>
      </c>
      <c r="F283" s="25" t="str">
        <f>IF($E283="","",IFERROR(INDEX(科目表!$A$4:$A$81,MATCH($E283,科目表!$B$4:$B$81,0)),""))</f>
        <v/>
      </c>
      <c r="G283" s="26" t="str">
        <f>IF($E283="","",IFERROR(INDEX(科目表!$E$4:$E$81,MATCH($E283,科目表!$B$4:$B$81,0)),""))</f>
        <v/>
      </c>
      <c r="H283" s="27" t="str">
        <f>IF($E283="","",N(INDEX(进销存对接!$M$4:$U$305,94,2)))</f>
        <v/>
      </c>
      <c r="I283" s="27" t="str">
        <f>IF($E283="","",N(INDEX(进销存对接!$M$4:$U$305,94,3)))</f>
        <v/>
      </c>
      <c r="J283" s="26"/>
      <c r="K283" s="26" t="str">
        <f>IF($E283="","",INDEX(进销存对接!$D$4:$D$305,94))</f>
        <v/>
      </c>
      <c r="L283" s="32"/>
      <c r="M283" s="32"/>
      <c r="N283" s="26" t="str">
        <f t="shared" si="18"/>
        <v/>
      </c>
      <c r="O283" s="26" t="str">
        <f t="shared" si="19"/>
        <v/>
      </c>
      <c r="P283" s="10"/>
    </row>
    <row r="284" ht="18" customHeight="1" spans="1:16">
      <c r="A284" s="32" t="str">
        <f t="shared" si="16"/>
        <v/>
      </c>
      <c r="B284" s="100" t="str">
        <f>IF($E284="","",INDEX(进销存对接!$C$4:$C$305,94))</f>
        <v/>
      </c>
      <c r="C284" s="26" t="str">
        <f t="shared" si="17"/>
        <v/>
      </c>
      <c r="D284" s="32" t="str">
        <f>IF($E284="","",INDEX(进销存对接!$D$4:$D$305,94)&amp;" "&amp;TEXT($B284,"YYYY年M月")&amp;" 自动结转")</f>
        <v/>
      </c>
      <c r="E284" s="26" t="str">
        <f>IF(INDEX(进销存对接!$M$4:$U$305,94,4)=0,"",INDEX(进销存对接!$M$4:$U$305,94,4))</f>
        <v/>
      </c>
      <c r="F284" s="25" t="str">
        <f>IF($E284="","",IFERROR(INDEX(科目表!$A$4:$A$81,MATCH($E284,科目表!$B$4:$B$81,0)),""))</f>
        <v/>
      </c>
      <c r="G284" s="26" t="str">
        <f>IF($E284="","",IFERROR(INDEX(科目表!$E$4:$E$81,MATCH($E284,科目表!$B$4:$B$81,0)),""))</f>
        <v/>
      </c>
      <c r="H284" s="27" t="str">
        <f>IF($E284="","",N(INDEX(进销存对接!$M$4:$U$305,94,5)))</f>
        <v/>
      </c>
      <c r="I284" s="27" t="str">
        <f>IF($E284="","",N(INDEX(进销存对接!$M$4:$U$305,94,6)))</f>
        <v/>
      </c>
      <c r="J284" s="26"/>
      <c r="K284" s="26" t="str">
        <f>IF($E284="","",INDEX(进销存对接!$D$4:$D$305,94))</f>
        <v/>
      </c>
      <c r="L284" s="32"/>
      <c r="M284" s="32"/>
      <c r="N284" s="26" t="str">
        <f t="shared" si="18"/>
        <v/>
      </c>
      <c r="O284" s="26" t="str">
        <f t="shared" si="19"/>
        <v/>
      </c>
      <c r="P284" s="10"/>
    </row>
    <row r="285" ht="18" customHeight="1" spans="1:16">
      <c r="A285" s="32" t="str">
        <f t="shared" si="16"/>
        <v/>
      </c>
      <c r="B285" s="100" t="str">
        <f>IF($E285="","",INDEX(进销存对接!$C$4:$C$305,94))</f>
        <v/>
      </c>
      <c r="C285" s="26" t="str">
        <f t="shared" si="17"/>
        <v/>
      </c>
      <c r="D285" s="32" t="str">
        <f>IF($E285="","",INDEX(进销存对接!$D$4:$D$305,94)&amp;" "&amp;TEXT($B285,"YYYY年M月")&amp;" 自动结转")</f>
        <v/>
      </c>
      <c r="E285" s="26" t="str">
        <f>IF(INDEX(进销存对接!$M$4:$U$305,94,7)=0,"",INDEX(进销存对接!$M$4:$U$305,94,7))</f>
        <v/>
      </c>
      <c r="F285" s="25" t="str">
        <f>IF($E285="","",IFERROR(INDEX(科目表!$A$4:$A$81,MATCH($E285,科目表!$B$4:$B$81,0)),""))</f>
        <v/>
      </c>
      <c r="G285" s="26" t="str">
        <f>IF($E285="","",IFERROR(INDEX(科目表!$E$4:$E$81,MATCH($E285,科目表!$B$4:$B$81,0)),""))</f>
        <v/>
      </c>
      <c r="H285" s="27" t="str">
        <f>IF($E285="","",N(INDEX(进销存对接!$M$4:$U$305,94,8)))</f>
        <v/>
      </c>
      <c r="I285" s="27" t="str">
        <f>IF($E285="","",N(INDEX(进销存对接!$M$4:$U$305,94,9)))</f>
        <v/>
      </c>
      <c r="J285" s="26"/>
      <c r="K285" s="26" t="str">
        <f>IF($E285="","",INDEX(进销存对接!$D$4:$D$305,94))</f>
        <v/>
      </c>
      <c r="L285" s="32"/>
      <c r="M285" s="32"/>
      <c r="N285" s="26" t="str">
        <f t="shared" si="18"/>
        <v/>
      </c>
      <c r="O285" s="26" t="str">
        <f t="shared" si="19"/>
        <v/>
      </c>
      <c r="P285" s="10"/>
    </row>
    <row r="286" ht="18" customHeight="1" spans="1:16">
      <c r="A286" s="32" t="str">
        <f t="shared" si="16"/>
        <v/>
      </c>
      <c r="B286" s="100" t="str">
        <f>IF($E286="","",INDEX(进销存对接!$C$4:$C$305,95))</f>
        <v/>
      </c>
      <c r="C286" s="26" t="str">
        <f t="shared" si="17"/>
        <v/>
      </c>
      <c r="D286" s="32" t="str">
        <f>IF($E286="","",INDEX(进销存对接!$D$4:$D$305,95)&amp;" "&amp;TEXT($B286,"YYYY年M月")&amp;" 自动结转")</f>
        <v/>
      </c>
      <c r="E286" s="26" t="str">
        <f>IF(INDEX(进销存对接!$M$4:$U$305,95,1)=0,"",INDEX(进销存对接!$M$4:$U$305,95,1))</f>
        <v/>
      </c>
      <c r="F286" s="25" t="str">
        <f>IF($E286="","",IFERROR(INDEX(科目表!$A$4:$A$81,MATCH($E286,科目表!$B$4:$B$81,0)),""))</f>
        <v/>
      </c>
      <c r="G286" s="26" t="str">
        <f>IF($E286="","",IFERROR(INDEX(科目表!$E$4:$E$81,MATCH($E286,科目表!$B$4:$B$81,0)),""))</f>
        <v/>
      </c>
      <c r="H286" s="27" t="str">
        <f>IF($E286="","",N(INDEX(进销存对接!$M$4:$U$305,95,2)))</f>
        <v/>
      </c>
      <c r="I286" s="27" t="str">
        <f>IF($E286="","",N(INDEX(进销存对接!$M$4:$U$305,95,3)))</f>
        <v/>
      </c>
      <c r="J286" s="26"/>
      <c r="K286" s="26" t="str">
        <f>IF($E286="","",INDEX(进销存对接!$D$4:$D$305,95))</f>
        <v/>
      </c>
      <c r="L286" s="32"/>
      <c r="M286" s="32"/>
      <c r="N286" s="26" t="str">
        <f t="shared" si="18"/>
        <v/>
      </c>
      <c r="O286" s="26" t="str">
        <f t="shared" si="19"/>
        <v/>
      </c>
      <c r="P286" s="10"/>
    </row>
    <row r="287" ht="18" customHeight="1" spans="1:16">
      <c r="A287" s="32" t="str">
        <f t="shared" si="16"/>
        <v/>
      </c>
      <c r="B287" s="100" t="str">
        <f>IF($E287="","",INDEX(进销存对接!$C$4:$C$305,95))</f>
        <v/>
      </c>
      <c r="C287" s="26" t="str">
        <f t="shared" si="17"/>
        <v/>
      </c>
      <c r="D287" s="32" t="str">
        <f>IF($E287="","",INDEX(进销存对接!$D$4:$D$305,95)&amp;" "&amp;TEXT($B287,"YYYY年M月")&amp;" 自动结转")</f>
        <v/>
      </c>
      <c r="E287" s="26" t="str">
        <f>IF(INDEX(进销存对接!$M$4:$U$305,95,4)=0,"",INDEX(进销存对接!$M$4:$U$305,95,4))</f>
        <v/>
      </c>
      <c r="F287" s="25" t="str">
        <f>IF($E287="","",IFERROR(INDEX(科目表!$A$4:$A$81,MATCH($E287,科目表!$B$4:$B$81,0)),""))</f>
        <v/>
      </c>
      <c r="G287" s="26" t="str">
        <f>IF($E287="","",IFERROR(INDEX(科目表!$E$4:$E$81,MATCH($E287,科目表!$B$4:$B$81,0)),""))</f>
        <v/>
      </c>
      <c r="H287" s="27" t="str">
        <f>IF($E287="","",N(INDEX(进销存对接!$M$4:$U$305,95,5)))</f>
        <v/>
      </c>
      <c r="I287" s="27" t="str">
        <f>IF($E287="","",N(INDEX(进销存对接!$M$4:$U$305,95,6)))</f>
        <v/>
      </c>
      <c r="J287" s="26"/>
      <c r="K287" s="26" t="str">
        <f>IF($E287="","",INDEX(进销存对接!$D$4:$D$305,95))</f>
        <v/>
      </c>
      <c r="L287" s="32"/>
      <c r="M287" s="32"/>
      <c r="N287" s="26" t="str">
        <f t="shared" si="18"/>
        <v/>
      </c>
      <c r="O287" s="26" t="str">
        <f t="shared" si="19"/>
        <v/>
      </c>
      <c r="P287" s="10"/>
    </row>
    <row r="288" ht="18" customHeight="1" spans="1:16">
      <c r="A288" s="32" t="str">
        <f t="shared" si="16"/>
        <v/>
      </c>
      <c r="B288" s="100" t="str">
        <f>IF($E288="","",INDEX(进销存对接!$C$4:$C$305,95))</f>
        <v/>
      </c>
      <c r="C288" s="26" t="str">
        <f t="shared" si="17"/>
        <v/>
      </c>
      <c r="D288" s="32" t="str">
        <f>IF($E288="","",INDEX(进销存对接!$D$4:$D$305,95)&amp;" "&amp;TEXT($B288,"YYYY年M月")&amp;" 自动结转")</f>
        <v/>
      </c>
      <c r="E288" s="26" t="str">
        <f>IF(INDEX(进销存对接!$M$4:$U$305,95,7)=0,"",INDEX(进销存对接!$M$4:$U$305,95,7))</f>
        <v/>
      </c>
      <c r="F288" s="25" t="str">
        <f>IF($E288="","",IFERROR(INDEX(科目表!$A$4:$A$81,MATCH($E288,科目表!$B$4:$B$81,0)),""))</f>
        <v/>
      </c>
      <c r="G288" s="26" t="str">
        <f>IF($E288="","",IFERROR(INDEX(科目表!$E$4:$E$81,MATCH($E288,科目表!$B$4:$B$81,0)),""))</f>
        <v/>
      </c>
      <c r="H288" s="27" t="str">
        <f>IF($E288="","",N(INDEX(进销存对接!$M$4:$U$305,95,8)))</f>
        <v/>
      </c>
      <c r="I288" s="27" t="str">
        <f>IF($E288="","",N(INDEX(进销存对接!$M$4:$U$305,95,9)))</f>
        <v/>
      </c>
      <c r="J288" s="26"/>
      <c r="K288" s="26" t="str">
        <f>IF($E288="","",INDEX(进销存对接!$D$4:$D$305,95))</f>
        <v/>
      </c>
      <c r="L288" s="32"/>
      <c r="M288" s="32"/>
      <c r="N288" s="26" t="str">
        <f t="shared" si="18"/>
        <v/>
      </c>
      <c r="O288" s="26" t="str">
        <f t="shared" si="19"/>
        <v/>
      </c>
      <c r="P288" s="10"/>
    </row>
    <row r="289" ht="18" customHeight="1" spans="1:16">
      <c r="A289" s="32" t="str">
        <f t="shared" si="16"/>
        <v/>
      </c>
      <c r="B289" s="100" t="str">
        <f>IF($E289="","",INDEX(进销存对接!$C$4:$C$305,96))</f>
        <v/>
      </c>
      <c r="C289" s="26" t="str">
        <f t="shared" si="17"/>
        <v/>
      </c>
      <c r="D289" s="32" t="str">
        <f>IF($E289="","",INDEX(进销存对接!$D$4:$D$305,96)&amp;" "&amp;TEXT($B289,"YYYY年M月")&amp;" 自动结转")</f>
        <v/>
      </c>
      <c r="E289" s="26" t="str">
        <f>IF(INDEX(进销存对接!$M$4:$U$305,96,1)=0,"",INDEX(进销存对接!$M$4:$U$305,96,1))</f>
        <v/>
      </c>
      <c r="F289" s="25" t="str">
        <f>IF($E289="","",IFERROR(INDEX(科目表!$A$4:$A$81,MATCH($E289,科目表!$B$4:$B$81,0)),""))</f>
        <v/>
      </c>
      <c r="G289" s="26" t="str">
        <f>IF($E289="","",IFERROR(INDEX(科目表!$E$4:$E$81,MATCH($E289,科目表!$B$4:$B$81,0)),""))</f>
        <v/>
      </c>
      <c r="H289" s="27" t="str">
        <f>IF($E289="","",N(INDEX(进销存对接!$M$4:$U$305,96,2)))</f>
        <v/>
      </c>
      <c r="I289" s="27" t="str">
        <f>IF($E289="","",N(INDEX(进销存对接!$M$4:$U$305,96,3)))</f>
        <v/>
      </c>
      <c r="J289" s="26"/>
      <c r="K289" s="26" t="str">
        <f>IF($E289="","",INDEX(进销存对接!$D$4:$D$305,96))</f>
        <v/>
      </c>
      <c r="L289" s="32"/>
      <c r="M289" s="32"/>
      <c r="N289" s="26" t="str">
        <f t="shared" si="18"/>
        <v/>
      </c>
      <c r="O289" s="26" t="str">
        <f t="shared" si="19"/>
        <v/>
      </c>
      <c r="P289" s="10"/>
    </row>
    <row r="290" ht="18" customHeight="1" spans="1:16">
      <c r="A290" s="32" t="str">
        <f t="shared" si="16"/>
        <v/>
      </c>
      <c r="B290" s="100" t="str">
        <f>IF($E290="","",INDEX(进销存对接!$C$4:$C$305,96))</f>
        <v/>
      </c>
      <c r="C290" s="26" t="str">
        <f t="shared" si="17"/>
        <v/>
      </c>
      <c r="D290" s="32" t="str">
        <f>IF($E290="","",INDEX(进销存对接!$D$4:$D$305,96)&amp;" "&amp;TEXT($B290,"YYYY年M月")&amp;" 自动结转")</f>
        <v/>
      </c>
      <c r="E290" s="26" t="str">
        <f>IF(INDEX(进销存对接!$M$4:$U$305,96,4)=0,"",INDEX(进销存对接!$M$4:$U$305,96,4))</f>
        <v/>
      </c>
      <c r="F290" s="25" t="str">
        <f>IF($E290="","",IFERROR(INDEX(科目表!$A$4:$A$81,MATCH($E290,科目表!$B$4:$B$81,0)),""))</f>
        <v/>
      </c>
      <c r="G290" s="26" t="str">
        <f>IF($E290="","",IFERROR(INDEX(科目表!$E$4:$E$81,MATCH($E290,科目表!$B$4:$B$81,0)),""))</f>
        <v/>
      </c>
      <c r="H290" s="27" t="str">
        <f>IF($E290="","",N(INDEX(进销存对接!$M$4:$U$305,96,5)))</f>
        <v/>
      </c>
      <c r="I290" s="27" t="str">
        <f>IF($E290="","",N(INDEX(进销存对接!$M$4:$U$305,96,6)))</f>
        <v/>
      </c>
      <c r="J290" s="26"/>
      <c r="K290" s="26" t="str">
        <f>IF($E290="","",INDEX(进销存对接!$D$4:$D$305,96))</f>
        <v/>
      </c>
      <c r="L290" s="32"/>
      <c r="M290" s="32"/>
      <c r="N290" s="26" t="str">
        <f t="shared" si="18"/>
        <v/>
      </c>
      <c r="O290" s="26" t="str">
        <f t="shared" si="19"/>
        <v/>
      </c>
      <c r="P290" s="10"/>
    </row>
    <row r="291" ht="18" customHeight="1" spans="1:16">
      <c r="A291" s="32" t="str">
        <f t="shared" si="16"/>
        <v/>
      </c>
      <c r="B291" s="100" t="str">
        <f>IF($E291="","",INDEX(进销存对接!$C$4:$C$305,96))</f>
        <v/>
      </c>
      <c r="C291" s="26" t="str">
        <f t="shared" si="17"/>
        <v/>
      </c>
      <c r="D291" s="32" t="str">
        <f>IF($E291="","",INDEX(进销存对接!$D$4:$D$305,96)&amp;" "&amp;TEXT($B291,"YYYY年M月")&amp;" 自动结转")</f>
        <v/>
      </c>
      <c r="E291" s="26" t="str">
        <f>IF(INDEX(进销存对接!$M$4:$U$305,96,7)=0,"",INDEX(进销存对接!$M$4:$U$305,96,7))</f>
        <v/>
      </c>
      <c r="F291" s="25" t="str">
        <f>IF($E291="","",IFERROR(INDEX(科目表!$A$4:$A$81,MATCH($E291,科目表!$B$4:$B$81,0)),""))</f>
        <v/>
      </c>
      <c r="G291" s="26" t="str">
        <f>IF($E291="","",IFERROR(INDEX(科目表!$E$4:$E$81,MATCH($E291,科目表!$B$4:$B$81,0)),""))</f>
        <v/>
      </c>
      <c r="H291" s="27" t="str">
        <f>IF($E291="","",N(INDEX(进销存对接!$M$4:$U$305,96,8)))</f>
        <v/>
      </c>
      <c r="I291" s="27" t="str">
        <f>IF($E291="","",N(INDEX(进销存对接!$M$4:$U$305,96,9)))</f>
        <v/>
      </c>
      <c r="J291" s="26"/>
      <c r="K291" s="26" t="str">
        <f>IF($E291="","",INDEX(进销存对接!$D$4:$D$305,96))</f>
        <v/>
      </c>
      <c r="L291" s="32"/>
      <c r="M291" s="32"/>
      <c r="N291" s="26" t="str">
        <f t="shared" si="18"/>
        <v/>
      </c>
      <c r="O291" s="26" t="str">
        <f t="shared" si="19"/>
        <v/>
      </c>
      <c r="P291" s="10"/>
    </row>
    <row r="292" ht="18" customHeight="1" spans="1:16">
      <c r="A292" s="32" t="str">
        <f t="shared" si="16"/>
        <v/>
      </c>
      <c r="B292" s="100" t="str">
        <f>IF($E292="","",INDEX(进销存对接!$C$4:$C$305,97))</f>
        <v/>
      </c>
      <c r="C292" s="26" t="str">
        <f t="shared" si="17"/>
        <v/>
      </c>
      <c r="D292" s="32" t="str">
        <f>IF($E292="","",INDEX(进销存对接!$D$4:$D$305,97)&amp;" "&amp;TEXT($B292,"YYYY年M月")&amp;" 自动结转")</f>
        <v/>
      </c>
      <c r="E292" s="26" t="str">
        <f>IF(INDEX(进销存对接!$M$4:$U$305,97,1)=0,"",INDEX(进销存对接!$M$4:$U$305,97,1))</f>
        <v/>
      </c>
      <c r="F292" s="25" t="str">
        <f>IF($E292="","",IFERROR(INDEX(科目表!$A$4:$A$81,MATCH($E292,科目表!$B$4:$B$81,0)),""))</f>
        <v/>
      </c>
      <c r="G292" s="26" t="str">
        <f>IF($E292="","",IFERROR(INDEX(科目表!$E$4:$E$81,MATCH($E292,科目表!$B$4:$B$81,0)),""))</f>
        <v/>
      </c>
      <c r="H292" s="27" t="str">
        <f>IF($E292="","",N(INDEX(进销存对接!$M$4:$U$305,97,2)))</f>
        <v/>
      </c>
      <c r="I292" s="27" t="str">
        <f>IF($E292="","",N(INDEX(进销存对接!$M$4:$U$305,97,3)))</f>
        <v/>
      </c>
      <c r="J292" s="26"/>
      <c r="K292" s="26" t="str">
        <f>IF($E292="","",INDEX(进销存对接!$D$4:$D$305,97))</f>
        <v/>
      </c>
      <c r="L292" s="32"/>
      <c r="M292" s="32"/>
      <c r="N292" s="26" t="str">
        <f t="shared" si="18"/>
        <v/>
      </c>
      <c r="O292" s="26" t="str">
        <f t="shared" si="19"/>
        <v/>
      </c>
      <c r="P292" s="10"/>
    </row>
    <row r="293" ht="18" customHeight="1" spans="1:16">
      <c r="A293" s="32" t="str">
        <f t="shared" si="16"/>
        <v/>
      </c>
      <c r="B293" s="100" t="str">
        <f>IF($E293="","",INDEX(进销存对接!$C$4:$C$305,97))</f>
        <v/>
      </c>
      <c r="C293" s="26" t="str">
        <f t="shared" si="17"/>
        <v/>
      </c>
      <c r="D293" s="32" t="str">
        <f>IF($E293="","",INDEX(进销存对接!$D$4:$D$305,97)&amp;" "&amp;TEXT($B293,"YYYY年M月")&amp;" 自动结转")</f>
        <v/>
      </c>
      <c r="E293" s="26" t="str">
        <f>IF(INDEX(进销存对接!$M$4:$U$305,97,4)=0,"",INDEX(进销存对接!$M$4:$U$305,97,4))</f>
        <v/>
      </c>
      <c r="F293" s="25" t="str">
        <f>IF($E293="","",IFERROR(INDEX(科目表!$A$4:$A$81,MATCH($E293,科目表!$B$4:$B$81,0)),""))</f>
        <v/>
      </c>
      <c r="G293" s="26" t="str">
        <f>IF($E293="","",IFERROR(INDEX(科目表!$E$4:$E$81,MATCH($E293,科目表!$B$4:$B$81,0)),""))</f>
        <v/>
      </c>
      <c r="H293" s="27" t="str">
        <f>IF($E293="","",N(INDEX(进销存对接!$M$4:$U$305,97,5)))</f>
        <v/>
      </c>
      <c r="I293" s="27" t="str">
        <f>IF($E293="","",N(INDEX(进销存对接!$M$4:$U$305,97,6)))</f>
        <v/>
      </c>
      <c r="J293" s="26"/>
      <c r="K293" s="26" t="str">
        <f>IF($E293="","",INDEX(进销存对接!$D$4:$D$305,97))</f>
        <v/>
      </c>
      <c r="L293" s="32"/>
      <c r="M293" s="32"/>
      <c r="N293" s="26" t="str">
        <f t="shared" si="18"/>
        <v/>
      </c>
      <c r="O293" s="26" t="str">
        <f t="shared" si="19"/>
        <v/>
      </c>
      <c r="P293" s="10"/>
    </row>
    <row r="294" ht="18" customHeight="1" spans="1:16">
      <c r="A294" s="32" t="str">
        <f t="shared" si="16"/>
        <v/>
      </c>
      <c r="B294" s="100" t="str">
        <f>IF($E294="","",INDEX(进销存对接!$C$4:$C$305,97))</f>
        <v/>
      </c>
      <c r="C294" s="26" t="str">
        <f t="shared" si="17"/>
        <v/>
      </c>
      <c r="D294" s="32" t="str">
        <f>IF($E294="","",INDEX(进销存对接!$D$4:$D$305,97)&amp;" "&amp;TEXT($B294,"YYYY年M月")&amp;" 自动结转")</f>
        <v/>
      </c>
      <c r="E294" s="26" t="str">
        <f>IF(INDEX(进销存对接!$M$4:$U$305,97,7)=0,"",INDEX(进销存对接!$M$4:$U$305,97,7))</f>
        <v/>
      </c>
      <c r="F294" s="25" t="str">
        <f>IF($E294="","",IFERROR(INDEX(科目表!$A$4:$A$81,MATCH($E294,科目表!$B$4:$B$81,0)),""))</f>
        <v/>
      </c>
      <c r="G294" s="26" t="str">
        <f>IF($E294="","",IFERROR(INDEX(科目表!$E$4:$E$81,MATCH($E294,科目表!$B$4:$B$81,0)),""))</f>
        <v/>
      </c>
      <c r="H294" s="27" t="str">
        <f>IF($E294="","",N(INDEX(进销存对接!$M$4:$U$305,97,8)))</f>
        <v/>
      </c>
      <c r="I294" s="27" t="str">
        <f>IF($E294="","",N(INDEX(进销存对接!$M$4:$U$305,97,9)))</f>
        <v/>
      </c>
      <c r="J294" s="26"/>
      <c r="K294" s="26" t="str">
        <f>IF($E294="","",INDEX(进销存对接!$D$4:$D$305,97))</f>
        <v/>
      </c>
      <c r="L294" s="32"/>
      <c r="M294" s="32"/>
      <c r="N294" s="26" t="str">
        <f t="shared" si="18"/>
        <v/>
      </c>
      <c r="O294" s="26" t="str">
        <f t="shared" si="19"/>
        <v/>
      </c>
      <c r="P294" s="10"/>
    </row>
    <row r="295" ht="18" customHeight="1" spans="1:16">
      <c r="A295" s="32" t="str">
        <f t="shared" si="16"/>
        <v/>
      </c>
      <c r="B295" s="100" t="str">
        <f>IF($E295="","",INDEX(进销存对接!$C$4:$C$305,98))</f>
        <v/>
      </c>
      <c r="C295" s="26" t="str">
        <f t="shared" si="17"/>
        <v/>
      </c>
      <c r="D295" s="32" t="str">
        <f>IF($E295="","",INDEX(进销存对接!$D$4:$D$305,98)&amp;" "&amp;TEXT($B295,"YYYY年M月")&amp;" 自动结转")</f>
        <v/>
      </c>
      <c r="E295" s="26" t="str">
        <f>IF(INDEX(进销存对接!$M$4:$U$305,98,1)=0,"",INDEX(进销存对接!$M$4:$U$305,98,1))</f>
        <v/>
      </c>
      <c r="F295" s="25" t="str">
        <f>IF($E295="","",IFERROR(INDEX(科目表!$A$4:$A$81,MATCH($E295,科目表!$B$4:$B$81,0)),""))</f>
        <v/>
      </c>
      <c r="G295" s="26" t="str">
        <f>IF($E295="","",IFERROR(INDEX(科目表!$E$4:$E$81,MATCH($E295,科目表!$B$4:$B$81,0)),""))</f>
        <v/>
      </c>
      <c r="H295" s="27" t="str">
        <f>IF($E295="","",N(INDEX(进销存对接!$M$4:$U$305,98,2)))</f>
        <v/>
      </c>
      <c r="I295" s="27" t="str">
        <f>IF($E295="","",N(INDEX(进销存对接!$M$4:$U$305,98,3)))</f>
        <v/>
      </c>
      <c r="J295" s="26"/>
      <c r="K295" s="26" t="str">
        <f>IF($E295="","",INDEX(进销存对接!$D$4:$D$305,98))</f>
        <v/>
      </c>
      <c r="L295" s="32"/>
      <c r="M295" s="32"/>
      <c r="N295" s="26" t="str">
        <f t="shared" si="18"/>
        <v/>
      </c>
      <c r="O295" s="26" t="str">
        <f t="shared" si="19"/>
        <v/>
      </c>
      <c r="P295" s="10"/>
    </row>
    <row r="296" ht="18" customHeight="1" spans="1:16">
      <c r="A296" s="32" t="str">
        <f t="shared" si="16"/>
        <v/>
      </c>
      <c r="B296" s="100" t="str">
        <f>IF($E296="","",INDEX(进销存对接!$C$4:$C$305,98))</f>
        <v/>
      </c>
      <c r="C296" s="26" t="str">
        <f t="shared" si="17"/>
        <v/>
      </c>
      <c r="D296" s="32" t="str">
        <f>IF($E296="","",INDEX(进销存对接!$D$4:$D$305,98)&amp;" "&amp;TEXT($B296,"YYYY年M月")&amp;" 自动结转")</f>
        <v/>
      </c>
      <c r="E296" s="26" t="str">
        <f>IF(INDEX(进销存对接!$M$4:$U$305,98,4)=0,"",INDEX(进销存对接!$M$4:$U$305,98,4))</f>
        <v/>
      </c>
      <c r="F296" s="25" t="str">
        <f>IF($E296="","",IFERROR(INDEX(科目表!$A$4:$A$81,MATCH($E296,科目表!$B$4:$B$81,0)),""))</f>
        <v/>
      </c>
      <c r="G296" s="26" t="str">
        <f>IF($E296="","",IFERROR(INDEX(科目表!$E$4:$E$81,MATCH($E296,科目表!$B$4:$B$81,0)),""))</f>
        <v/>
      </c>
      <c r="H296" s="27" t="str">
        <f>IF($E296="","",N(INDEX(进销存对接!$M$4:$U$305,98,5)))</f>
        <v/>
      </c>
      <c r="I296" s="27" t="str">
        <f>IF($E296="","",N(INDEX(进销存对接!$M$4:$U$305,98,6)))</f>
        <v/>
      </c>
      <c r="J296" s="26"/>
      <c r="K296" s="26" t="str">
        <f>IF($E296="","",INDEX(进销存对接!$D$4:$D$305,98))</f>
        <v/>
      </c>
      <c r="L296" s="32"/>
      <c r="M296" s="32"/>
      <c r="N296" s="26" t="str">
        <f t="shared" si="18"/>
        <v/>
      </c>
      <c r="O296" s="26" t="str">
        <f t="shared" si="19"/>
        <v/>
      </c>
      <c r="P296" s="10"/>
    </row>
    <row r="297" ht="18" customHeight="1" spans="1:16">
      <c r="A297" s="32" t="str">
        <f t="shared" si="16"/>
        <v/>
      </c>
      <c r="B297" s="100" t="str">
        <f>IF($E297="","",INDEX(进销存对接!$C$4:$C$305,98))</f>
        <v/>
      </c>
      <c r="C297" s="26" t="str">
        <f t="shared" si="17"/>
        <v/>
      </c>
      <c r="D297" s="32" t="str">
        <f>IF($E297="","",INDEX(进销存对接!$D$4:$D$305,98)&amp;" "&amp;TEXT($B297,"YYYY年M月")&amp;" 自动结转")</f>
        <v/>
      </c>
      <c r="E297" s="26" t="str">
        <f>IF(INDEX(进销存对接!$M$4:$U$305,98,7)=0,"",INDEX(进销存对接!$M$4:$U$305,98,7))</f>
        <v/>
      </c>
      <c r="F297" s="25" t="str">
        <f>IF($E297="","",IFERROR(INDEX(科目表!$A$4:$A$81,MATCH($E297,科目表!$B$4:$B$81,0)),""))</f>
        <v/>
      </c>
      <c r="G297" s="26" t="str">
        <f>IF($E297="","",IFERROR(INDEX(科目表!$E$4:$E$81,MATCH($E297,科目表!$B$4:$B$81,0)),""))</f>
        <v/>
      </c>
      <c r="H297" s="27" t="str">
        <f>IF($E297="","",N(INDEX(进销存对接!$M$4:$U$305,98,8)))</f>
        <v/>
      </c>
      <c r="I297" s="27" t="str">
        <f>IF($E297="","",N(INDEX(进销存对接!$M$4:$U$305,98,9)))</f>
        <v/>
      </c>
      <c r="J297" s="26"/>
      <c r="K297" s="26" t="str">
        <f>IF($E297="","",INDEX(进销存对接!$D$4:$D$305,98))</f>
        <v/>
      </c>
      <c r="L297" s="32"/>
      <c r="M297" s="32"/>
      <c r="N297" s="26" t="str">
        <f t="shared" si="18"/>
        <v/>
      </c>
      <c r="O297" s="26" t="str">
        <f t="shared" si="19"/>
        <v/>
      </c>
      <c r="P297" s="10"/>
    </row>
    <row r="298" ht="18" customHeight="1" spans="1:16">
      <c r="A298" s="32" t="str">
        <f t="shared" si="16"/>
        <v/>
      </c>
      <c r="B298" s="100" t="str">
        <f>IF($E298="","",INDEX(进销存对接!$C$4:$C$305,99))</f>
        <v/>
      </c>
      <c r="C298" s="26" t="str">
        <f t="shared" si="17"/>
        <v/>
      </c>
      <c r="D298" s="32" t="str">
        <f>IF($E298="","",INDEX(进销存对接!$D$4:$D$305,99)&amp;" "&amp;TEXT($B298,"YYYY年M月")&amp;" 自动结转")</f>
        <v/>
      </c>
      <c r="E298" s="26" t="str">
        <f>IF(INDEX(进销存对接!$M$4:$U$305,99,1)=0,"",INDEX(进销存对接!$M$4:$U$305,99,1))</f>
        <v/>
      </c>
      <c r="F298" s="25" t="str">
        <f>IF($E298="","",IFERROR(INDEX(科目表!$A$4:$A$81,MATCH($E298,科目表!$B$4:$B$81,0)),""))</f>
        <v/>
      </c>
      <c r="G298" s="26" t="str">
        <f>IF($E298="","",IFERROR(INDEX(科目表!$E$4:$E$81,MATCH($E298,科目表!$B$4:$B$81,0)),""))</f>
        <v/>
      </c>
      <c r="H298" s="27" t="str">
        <f>IF($E298="","",N(INDEX(进销存对接!$M$4:$U$305,99,2)))</f>
        <v/>
      </c>
      <c r="I298" s="27" t="str">
        <f>IF($E298="","",N(INDEX(进销存对接!$M$4:$U$305,99,3)))</f>
        <v/>
      </c>
      <c r="J298" s="26"/>
      <c r="K298" s="26" t="str">
        <f>IF($E298="","",INDEX(进销存对接!$D$4:$D$305,99))</f>
        <v/>
      </c>
      <c r="L298" s="32"/>
      <c r="M298" s="32"/>
      <c r="N298" s="26" t="str">
        <f t="shared" si="18"/>
        <v/>
      </c>
      <c r="O298" s="26" t="str">
        <f t="shared" si="19"/>
        <v/>
      </c>
      <c r="P298" s="10"/>
    </row>
    <row r="299" ht="18" customHeight="1" spans="1:16">
      <c r="A299" s="32" t="str">
        <f t="shared" si="16"/>
        <v/>
      </c>
      <c r="B299" s="100" t="str">
        <f>IF($E299="","",INDEX(进销存对接!$C$4:$C$305,99))</f>
        <v/>
      </c>
      <c r="C299" s="26" t="str">
        <f t="shared" si="17"/>
        <v/>
      </c>
      <c r="D299" s="32" t="str">
        <f>IF($E299="","",INDEX(进销存对接!$D$4:$D$305,99)&amp;" "&amp;TEXT($B299,"YYYY年M月")&amp;" 自动结转")</f>
        <v/>
      </c>
      <c r="E299" s="26" t="str">
        <f>IF(INDEX(进销存对接!$M$4:$U$305,99,4)=0,"",INDEX(进销存对接!$M$4:$U$305,99,4))</f>
        <v/>
      </c>
      <c r="F299" s="25" t="str">
        <f>IF($E299="","",IFERROR(INDEX(科目表!$A$4:$A$81,MATCH($E299,科目表!$B$4:$B$81,0)),""))</f>
        <v/>
      </c>
      <c r="G299" s="26" t="str">
        <f>IF($E299="","",IFERROR(INDEX(科目表!$E$4:$E$81,MATCH($E299,科目表!$B$4:$B$81,0)),""))</f>
        <v/>
      </c>
      <c r="H299" s="27" t="str">
        <f>IF($E299="","",N(INDEX(进销存对接!$M$4:$U$305,99,5)))</f>
        <v/>
      </c>
      <c r="I299" s="27" t="str">
        <f>IF($E299="","",N(INDEX(进销存对接!$M$4:$U$305,99,6)))</f>
        <v/>
      </c>
      <c r="J299" s="26"/>
      <c r="K299" s="26" t="str">
        <f>IF($E299="","",INDEX(进销存对接!$D$4:$D$305,99))</f>
        <v/>
      </c>
      <c r="L299" s="32"/>
      <c r="M299" s="32"/>
      <c r="N299" s="26" t="str">
        <f t="shared" si="18"/>
        <v/>
      </c>
      <c r="O299" s="26" t="str">
        <f t="shared" si="19"/>
        <v/>
      </c>
      <c r="P299" s="10"/>
    </row>
    <row r="300" ht="18" customHeight="1" spans="1:16">
      <c r="A300" s="32" t="str">
        <f t="shared" si="16"/>
        <v/>
      </c>
      <c r="B300" s="100" t="str">
        <f>IF($E300="","",INDEX(进销存对接!$C$4:$C$305,99))</f>
        <v/>
      </c>
      <c r="C300" s="26" t="str">
        <f t="shared" si="17"/>
        <v/>
      </c>
      <c r="D300" s="32" t="str">
        <f>IF($E300="","",INDEX(进销存对接!$D$4:$D$305,99)&amp;" "&amp;TEXT($B300,"YYYY年M月")&amp;" 自动结转")</f>
        <v/>
      </c>
      <c r="E300" s="26" t="str">
        <f>IF(INDEX(进销存对接!$M$4:$U$305,99,7)=0,"",INDEX(进销存对接!$M$4:$U$305,99,7))</f>
        <v/>
      </c>
      <c r="F300" s="25" t="str">
        <f>IF($E300="","",IFERROR(INDEX(科目表!$A$4:$A$81,MATCH($E300,科目表!$B$4:$B$81,0)),""))</f>
        <v/>
      </c>
      <c r="G300" s="26" t="str">
        <f>IF($E300="","",IFERROR(INDEX(科目表!$E$4:$E$81,MATCH($E300,科目表!$B$4:$B$81,0)),""))</f>
        <v/>
      </c>
      <c r="H300" s="27" t="str">
        <f>IF($E300="","",N(INDEX(进销存对接!$M$4:$U$305,99,8)))</f>
        <v/>
      </c>
      <c r="I300" s="27" t="str">
        <f>IF($E300="","",N(INDEX(进销存对接!$M$4:$U$305,99,9)))</f>
        <v/>
      </c>
      <c r="J300" s="26"/>
      <c r="K300" s="26" t="str">
        <f>IF($E300="","",INDEX(进销存对接!$D$4:$D$305,99))</f>
        <v/>
      </c>
      <c r="L300" s="32"/>
      <c r="M300" s="32"/>
      <c r="N300" s="26" t="str">
        <f t="shared" si="18"/>
        <v/>
      </c>
      <c r="O300" s="26" t="str">
        <f t="shared" si="19"/>
        <v/>
      </c>
      <c r="P300" s="10"/>
    </row>
    <row r="301" ht="18" customHeight="1" spans="1:16">
      <c r="A301" s="32" t="str">
        <f t="shared" si="16"/>
        <v/>
      </c>
      <c r="B301" s="100" t="str">
        <f>IF($E301="","",INDEX(进销存对接!$C$4:$C$305,100))</f>
        <v/>
      </c>
      <c r="C301" s="26" t="str">
        <f t="shared" si="17"/>
        <v/>
      </c>
      <c r="D301" s="32" t="str">
        <f>IF($E301="","",INDEX(进销存对接!$D$4:$D$305,100)&amp;" "&amp;TEXT($B301,"YYYY年M月")&amp;" 自动结转")</f>
        <v/>
      </c>
      <c r="E301" s="26" t="str">
        <f>IF(INDEX(进销存对接!$M$4:$U$305,100,1)=0,"",INDEX(进销存对接!$M$4:$U$305,100,1))</f>
        <v/>
      </c>
      <c r="F301" s="25" t="str">
        <f>IF($E301="","",IFERROR(INDEX(科目表!$A$4:$A$81,MATCH($E301,科目表!$B$4:$B$81,0)),""))</f>
        <v/>
      </c>
      <c r="G301" s="26" t="str">
        <f>IF($E301="","",IFERROR(INDEX(科目表!$E$4:$E$81,MATCH($E301,科目表!$B$4:$B$81,0)),""))</f>
        <v/>
      </c>
      <c r="H301" s="27" t="str">
        <f>IF($E301="","",N(INDEX(进销存对接!$M$4:$U$305,100,2)))</f>
        <v/>
      </c>
      <c r="I301" s="27" t="str">
        <f>IF($E301="","",N(INDEX(进销存对接!$M$4:$U$305,100,3)))</f>
        <v/>
      </c>
      <c r="J301" s="26"/>
      <c r="K301" s="26" t="str">
        <f>IF($E301="","",INDEX(进销存对接!$D$4:$D$305,100))</f>
        <v/>
      </c>
      <c r="L301" s="32"/>
      <c r="M301" s="32"/>
      <c r="N301" s="26" t="str">
        <f t="shared" si="18"/>
        <v/>
      </c>
      <c r="O301" s="26" t="str">
        <f t="shared" si="19"/>
        <v/>
      </c>
      <c r="P301" s="10"/>
    </row>
    <row r="302" ht="18" customHeight="1" spans="1:16">
      <c r="A302" s="32" t="str">
        <f t="shared" si="16"/>
        <v/>
      </c>
      <c r="B302" s="100" t="str">
        <f>IF($E302="","",INDEX(进销存对接!$C$4:$C$305,100))</f>
        <v/>
      </c>
      <c r="C302" s="26" t="str">
        <f t="shared" si="17"/>
        <v/>
      </c>
      <c r="D302" s="32" t="str">
        <f>IF($E302="","",INDEX(进销存对接!$D$4:$D$305,100)&amp;" "&amp;TEXT($B302,"YYYY年M月")&amp;" 自动结转")</f>
        <v/>
      </c>
      <c r="E302" s="26" t="str">
        <f>IF(INDEX(进销存对接!$M$4:$U$305,100,4)=0,"",INDEX(进销存对接!$M$4:$U$305,100,4))</f>
        <v/>
      </c>
      <c r="F302" s="25" t="str">
        <f>IF($E302="","",IFERROR(INDEX(科目表!$A$4:$A$81,MATCH($E302,科目表!$B$4:$B$81,0)),""))</f>
        <v/>
      </c>
      <c r="G302" s="26" t="str">
        <f>IF($E302="","",IFERROR(INDEX(科目表!$E$4:$E$81,MATCH($E302,科目表!$B$4:$B$81,0)),""))</f>
        <v/>
      </c>
      <c r="H302" s="27" t="str">
        <f>IF($E302="","",N(INDEX(进销存对接!$M$4:$U$305,100,5)))</f>
        <v/>
      </c>
      <c r="I302" s="27" t="str">
        <f>IF($E302="","",N(INDEX(进销存对接!$M$4:$U$305,100,6)))</f>
        <v/>
      </c>
      <c r="J302" s="26"/>
      <c r="K302" s="26" t="str">
        <f>IF($E302="","",INDEX(进销存对接!$D$4:$D$305,100))</f>
        <v/>
      </c>
      <c r="L302" s="32"/>
      <c r="M302" s="32"/>
      <c r="N302" s="26" t="str">
        <f t="shared" si="18"/>
        <v/>
      </c>
      <c r="O302" s="26" t="str">
        <f t="shared" si="19"/>
        <v/>
      </c>
      <c r="P302" s="10"/>
    </row>
    <row r="303" ht="18" customHeight="1" spans="1:16">
      <c r="A303" s="32" t="str">
        <f t="shared" si="16"/>
        <v/>
      </c>
      <c r="B303" s="100" t="str">
        <f>IF($E303="","",INDEX(进销存对接!$C$4:$C$305,100))</f>
        <v/>
      </c>
      <c r="C303" s="26" t="str">
        <f t="shared" si="17"/>
        <v/>
      </c>
      <c r="D303" s="32" t="str">
        <f>IF($E303="","",INDEX(进销存对接!$D$4:$D$305,100)&amp;" "&amp;TEXT($B303,"YYYY年M月")&amp;" 自动结转")</f>
        <v/>
      </c>
      <c r="E303" s="26" t="str">
        <f>IF(INDEX(进销存对接!$M$4:$U$305,100,7)=0,"",INDEX(进销存对接!$M$4:$U$305,100,7))</f>
        <v/>
      </c>
      <c r="F303" s="25" t="str">
        <f>IF($E303="","",IFERROR(INDEX(科目表!$A$4:$A$81,MATCH($E303,科目表!$B$4:$B$81,0)),""))</f>
        <v/>
      </c>
      <c r="G303" s="26" t="str">
        <f>IF($E303="","",IFERROR(INDEX(科目表!$E$4:$E$81,MATCH($E303,科目表!$B$4:$B$81,0)),""))</f>
        <v/>
      </c>
      <c r="H303" s="27" t="str">
        <f>IF($E303="","",N(INDEX(进销存对接!$M$4:$U$305,100,8)))</f>
        <v/>
      </c>
      <c r="I303" s="27" t="str">
        <f>IF($E303="","",N(INDEX(进销存对接!$M$4:$U$305,100,9)))</f>
        <v/>
      </c>
      <c r="J303" s="26"/>
      <c r="K303" s="26" t="str">
        <f>IF($E303="","",INDEX(进销存对接!$D$4:$D$305,100))</f>
        <v/>
      </c>
      <c r="L303" s="32"/>
      <c r="M303" s="32"/>
      <c r="N303" s="26" t="str">
        <f t="shared" si="18"/>
        <v/>
      </c>
      <c r="O303" s="26" t="str">
        <f t="shared" si="19"/>
        <v/>
      </c>
      <c r="P303" s="10"/>
    </row>
    <row r="304" ht="18" customHeight="1" spans="1:16">
      <c r="A304" s="32" t="str">
        <f t="shared" si="16"/>
        <v/>
      </c>
      <c r="B304" s="100" t="str">
        <f>IF($E304="","",INDEX(进销存对接!$C$4:$C$305,101))</f>
        <v/>
      </c>
      <c r="C304" s="26" t="str">
        <f t="shared" si="17"/>
        <v/>
      </c>
      <c r="D304" s="32" t="str">
        <f>IF($E304="","",INDEX(进销存对接!$D$4:$D$305,101)&amp;" "&amp;TEXT($B304,"YYYY年M月")&amp;" 自动结转")</f>
        <v/>
      </c>
      <c r="E304" s="26" t="str">
        <f>IF(INDEX(进销存对接!$M$4:$U$305,101,1)=0,"",INDEX(进销存对接!$M$4:$U$305,101,1))</f>
        <v/>
      </c>
      <c r="F304" s="25" t="str">
        <f>IF($E304="","",IFERROR(INDEX(科目表!$A$4:$A$81,MATCH($E304,科目表!$B$4:$B$81,0)),""))</f>
        <v/>
      </c>
      <c r="G304" s="26" t="str">
        <f>IF($E304="","",IFERROR(INDEX(科目表!$E$4:$E$81,MATCH($E304,科目表!$B$4:$B$81,0)),""))</f>
        <v/>
      </c>
      <c r="H304" s="27" t="str">
        <f>IF($E304="","",N(INDEX(进销存对接!$M$4:$U$305,101,2)))</f>
        <v/>
      </c>
      <c r="I304" s="27" t="str">
        <f>IF($E304="","",N(INDEX(进销存对接!$M$4:$U$305,101,3)))</f>
        <v/>
      </c>
      <c r="J304" s="26"/>
      <c r="K304" s="26" t="str">
        <f>IF($E304="","",INDEX(进销存对接!$D$4:$D$305,101))</f>
        <v/>
      </c>
      <c r="L304" s="32"/>
      <c r="M304" s="32"/>
      <c r="N304" s="26" t="str">
        <f t="shared" si="18"/>
        <v/>
      </c>
      <c r="O304" s="26" t="str">
        <f t="shared" si="19"/>
        <v/>
      </c>
      <c r="P304" s="10"/>
    </row>
    <row r="305" ht="18" customHeight="1" spans="1:16">
      <c r="A305" s="32" t="str">
        <f t="shared" si="16"/>
        <v/>
      </c>
      <c r="B305" s="100" t="str">
        <f>IF($E305="","",INDEX(进销存对接!$C$4:$C$305,101))</f>
        <v/>
      </c>
      <c r="C305" s="26" t="str">
        <f t="shared" si="17"/>
        <v/>
      </c>
      <c r="D305" s="32" t="str">
        <f>IF($E305="","",INDEX(进销存对接!$D$4:$D$305,101)&amp;" "&amp;TEXT($B305,"YYYY年M月")&amp;" 自动结转")</f>
        <v/>
      </c>
      <c r="E305" s="26" t="str">
        <f>IF(INDEX(进销存对接!$M$4:$U$305,101,4)=0,"",INDEX(进销存对接!$M$4:$U$305,101,4))</f>
        <v/>
      </c>
      <c r="F305" s="25" t="str">
        <f>IF($E305="","",IFERROR(INDEX(科目表!$A$4:$A$81,MATCH($E305,科目表!$B$4:$B$81,0)),""))</f>
        <v/>
      </c>
      <c r="G305" s="26" t="str">
        <f>IF($E305="","",IFERROR(INDEX(科目表!$E$4:$E$81,MATCH($E305,科目表!$B$4:$B$81,0)),""))</f>
        <v/>
      </c>
      <c r="H305" s="27" t="str">
        <f>IF($E305="","",N(INDEX(进销存对接!$M$4:$U$305,101,5)))</f>
        <v/>
      </c>
      <c r="I305" s="27" t="str">
        <f>IF($E305="","",N(INDEX(进销存对接!$M$4:$U$305,101,6)))</f>
        <v/>
      </c>
      <c r="J305" s="26"/>
      <c r="K305" s="26" t="str">
        <f>IF($E305="","",INDEX(进销存对接!$D$4:$D$305,101))</f>
        <v/>
      </c>
      <c r="L305" s="32"/>
      <c r="M305" s="32"/>
      <c r="N305" s="26" t="str">
        <f t="shared" si="18"/>
        <v/>
      </c>
      <c r="O305" s="26" t="str">
        <f t="shared" si="19"/>
        <v/>
      </c>
      <c r="P305" s="10"/>
    </row>
    <row r="306" ht="18" customHeight="1" spans="1:16">
      <c r="A306" s="32" t="str">
        <f t="shared" si="16"/>
        <v/>
      </c>
      <c r="B306" s="100" t="str">
        <f>IF($E306="","",INDEX(进销存对接!$C$4:$C$305,101))</f>
        <v/>
      </c>
      <c r="C306" s="26" t="str">
        <f t="shared" si="17"/>
        <v/>
      </c>
      <c r="D306" s="32" t="str">
        <f>IF($E306="","",INDEX(进销存对接!$D$4:$D$305,101)&amp;" "&amp;TEXT($B306,"YYYY年M月")&amp;" 自动结转")</f>
        <v/>
      </c>
      <c r="E306" s="26" t="str">
        <f>IF(INDEX(进销存对接!$M$4:$U$305,101,7)=0,"",INDEX(进销存对接!$M$4:$U$305,101,7))</f>
        <v/>
      </c>
      <c r="F306" s="25" t="str">
        <f>IF($E306="","",IFERROR(INDEX(科目表!$A$4:$A$81,MATCH($E306,科目表!$B$4:$B$81,0)),""))</f>
        <v/>
      </c>
      <c r="G306" s="26" t="str">
        <f>IF($E306="","",IFERROR(INDEX(科目表!$E$4:$E$81,MATCH($E306,科目表!$B$4:$B$81,0)),""))</f>
        <v/>
      </c>
      <c r="H306" s="27" t="str">
        <f>IF($E306="","",N(INDEX(进销存对接!$M$4:$U$305,101,8)))</f>
        <v/>
      </c>
      <c r="I306" s="27" t="str">
        <f>IF($E306="","",N(INDEX(进销存对接!$M$4:$U$305,101,9)))</f>
        <v/>
      </c>
      <c r="J306" s="26"/>
      <c r="K306" s="26" t="str">
        <f>IF($E306="","",INDEX(进销存对接!$D$4:$D$305,101))</f>
        <v/>
      </c>
      <c r="L306" s="32"/>
      <c r="M306" s="32"/>
      <c r="N306" s="26" t="str">
        <f t="shared" si="18"/>
        <v/>
      </c>
      <c r="O306" s="26" t="str">
        <f t="shared" si="19"/>
        <v/>
      </c>
      <c r="P306" s="10"/>
    </row>
    <row r="307" ht="18" customHeight="1" spans="1:16">
      <c r="A307" s="32" t="str">
        <f t="shared" si="16"/>
        <v/>
      </c>
      <c r="B307" s="100" t="str">
        <f>IF($E307="","",INDEX(进销存对接!$C$4:$C$305,102))</f>
        <v/>
      </c>
      <c r="C307" s="26" t="str">
        <f t="shared" si="17"/>
        <v/>
      </c>
      <c r="D307" s="32" t="str">
        <f>IF($E307="","",INDEX(进销存对接!$D$4:$D$305,102)&amp;" "&amp;TEXT($B307,"YYYY年M月")&amp;" 自动结转")</f>
        <v/>
      </c>
      <c r="E307" s="26" t="str">
        <f>IF(INDEX(进销存对接!$M$4:$U$305,102,1)=0,"",INDEX(进销存对接!$M$4:$U$305,102,1))</f>
        <v/>
      </c>
      <c r="F307" s="25" t="str">
        <f>IF($E307="","",IFERROR(INDEX(科目表!$A$4:$A$81,MATCH($E307,科目表!$B$4:$B$81,0)),""))</f>
        <v/>
      </c>
      <c r="G307" s="26" t="str">
        <f>IF($E307="","",IFERROR(INDEX(科目表!$E$4:$E$81,MATCH($E307,科目表!$B$4:$B$81,0)),""))</f>
        <v/>
      </c>
      <c r="H307" s="27" t="str">
        <f>IF($E307="","",N(INDEX(进销存对接!$M$4:$U$305,102,2)))</f>
        <v/>
      </c>
      <c r="I307" s="27" t="str">
        <f>IF($E307="","",N(INDEX(进销存对接!$M$4:$U$305,102,3)))</f>
        <v/>
      </c>
      <c r="J307" s="26"/>
      <c r="K307" s="26" t="str">
        <f>IF($E307="","",INDEX(进销存对接!$D$4:$D$305,102))</f>
        <v/>
      </c>
      <c r="L307" s="32"/>
      <c r="M307" s="32"/>
      <c r="N307" s="26" t="str">
        <f t="shared" si="18"/>
        <v/>
      </c>
      <c r="O307" s="26" t="str">
        <f t="shared" si="19"/>
        <v/>
      </c>
      <c r="P307" s="10"/>
    </row>
    <row r="308" ht="18" customHeight="1" spans="1:16">
      <c r="A308" s="32" t="str">
        <f t="shared" si="16"/>
        <v/>
      </c>
      <c r="B308" s="100" t="str">
        <f>IF($E308="","",INDEX(进销存对接!$C$4:$C$305,102))</f>
        <v/>
      </c>
      <c r="C308" s="26" t="str">
        <f t="shared" si="17"/>
        <v/>
      </c>
      <c r="D308" s="32" t="str">
        <f>IF($E308="","",INDEX(进销存对接!$D$4:$D$305,102)&amp;" "&amp;TEXT($B308,"YYYY年M月")&amp;" 自动结转")</f>
        <v/>
      </c>
      <c r="E308" s="26" t="str">
        <f>IF(INDEX(进销存对接!$M$4:$U$305,102,4)=0,"",INDEX(进销存对接!$M$4:$U$305,102,4))</f>
        <v/>
      </c>
      <c r="F308" s="25" t="str">
        <f>IF($E308="","",IFERROR(INDEX(科目表!$A$4:$A$81,MATCH($E308,科目表!$B$4:$B$81,0)),""))</f>
        <v/>
      </c>
      <c r="G308" s="26" t="str">
        <f>IF($E308="","",IFERROR(INDEX(科目表!$E$4:$E$81,MATCH($E308,科目表!$B$4:$B$81,0)),""))</f>
        <v/>
      </c>
      <c r="H308" s="27" t="str">
        <f>IF($E308="","",N(INDEX(进销存对接!$M$4:$U$305,102,5)))</f>
        <v/>
      </c>
      <c r="I308" s="27" t="str">
        <f>IF($E308="","",N(INDEX(进销存对接!$M$4:$U$305,102,6)))</f>
        <v/>
      </c>
      <c r="J308" s="26"/>
      <c r="K308" s="26" t="str">
        <f>IF($E308="","",INDEX(进销存对接!$D$4:$D$305,102))</f>
        <v/>
      </c>
      <c r="L308" s="32"/>
      <c r="M308" s="32"/>
      <c r="N308" s="26" t="str">
        <f t="shared" si="18"/>
        <v/>
      </c>
      <c r="O308" s="26" t="str">
        <f t="shared" si="19"/>
        <v/>
      </c>
      <c r="P308" s="10"/>
    </row>
    <row r="309" ht="18" customHeight="1" spans="1:16">
      <c r="A309" s="32" t="str">
        <f t="shared" si="16"/>
        <v/>
      </c>
      <c r="B309" s="100" t="str">
        <f>IF($E309="","",INDEX(进销存对接!$C$4:$C$305,102))</f>
        <v/>
      </c>
      <c r="C309" s="26" t="str">
        <f t="shared" si="17"/>
        <v/>
      </c>
      <c r="D309" s="32" t="str">
        <f>IF($E309="","",INDEX(进销存对接!$D$4:$D$305,102)&amp;" "&amp;TEXT($B309,"YYYY年M月")&amp;" 自动结转")</f>
        <v/>
      </c>
      <c r="E309" s="26" t="str">
        <f>IF(INDEX(进销存对接!$M$4:$U$305,102,7)=0,"",INDEX(进销存对接!$M$4:$U$305,102,7))</f>
        <v/>
      </c>
      <c r="F309" s="25" t="str">
        <f>IF($E309="","",IFERROR(INDEX(科目表!$A$4:$A$81,MATCH($E309,科目表!$B$4:$B$81,0)),""))</f>
        <v/>
      </c>
      <c r="G309" s="26" t="str">
        <f>IF($E309="","",IFERROR(INDEX(科目表!$E$4:$E$81,MATCH($E309,科目表!$B$4:$B$81,0)),""))</f>
        <v/>
      </c>
      <c r="H309" s="27" t="str">
        <f>IF($E309="","",N(INDEX(进销存对接!$M$4:$U$305,102,8)))</f>
        <v/>
      </c>
      <c r="I309" s="27" t="str">
        <f>IF($E309="","",N(INDEX(进销存对接!$M$4:$U$305,102,9)))</f>
        <v/>
      </c>
      <c r="J309" s="26"/>
      <c r="K309" s="26" t="str">
        <f>IF($E309="","",INDEX(进销存对接!$D$4:$D$305,102))</f>
        <v/>
      </c>
      <c r="L309" s="32"/>
      <c r="M309" s="32"/>
      <c r="N309" s="26" t="str">
        <f t="shared" si="18"/>
        <v/>
      </c>
      <c r="O309" s="26" t="str">
        <f t="shared" si="19"/>
        <v/>
      </c>
      <c r="P309" s="10"/>
    </row>
    <row r="310" ht="18" customHeight="1" spans="1:16">
      <c r="A310" s="32" t="str">
        <f t="shared" si="16"/>
        <v/>
      </c>
      <c r="B310" s="100" t="str">
        <f>IF($E310="","",INDEX(进销存对接!$C$4:$C$305,103))</f>
        <v/>
      </c>
      <c r="C310" s="26" t="str">
        <f t="shared" si="17"/>
        <v/>
      </c>
      <c r="D310" s="32" t="str">
        <f>IF($E310="","",INDEX(进销存对接!$D$4:$D$305,103)&amp;" "&amp;TEXT($B310,"YYYY年M月")&amp;" 自动结转")</f>
        <v/>
      </c>
      <c r="E310" s="26" t="str">
        <f>IF(INDEX(进销存对接!$M$4:$U$305,103,1)=0,"",INDEX(进销存对接!$M$4:$U$305,103,1))</f>
        <v/>
      </c>
      <c r="F310" s="25" t="str">
        <f>IF($E310="","",IFERROR(INDEX(科目表!$A$4:$A$81,MATCH($E310,科目表!$B$4:$B$81,0)),""))</f>
        <v/>
      </c>
      <c r="G310" s="26" t="str">
        <f>IF($E310="","",IFERROR(INDEX(科目表!$E$4:$E$81,MATCH($E310,科目表!$B$4:$B$81,0)),""))</f>
        <v/>
      </c>
      <c r="H310" s="27" t="str">
        <f>IF($E310="","",N(INDEX(进销存对接!$M$4:$U$305,103,2)))</f>
        <v/>
      </c>
      <c r="I310" s="27" t="str">
        <f>IF($E310="","",N(INDEX(进销存对接!$M$4:$U$305,103,3)))</f>
        <v/>
      </c>
      <c r="J310" s="26"/>
      <c r="K310" s="26" t="str">
        <f>IF($E310="","",INDEX(进销存对接!$D$4:$D$305,103))</f>
        <v/>
      </c>
      <c r="L310" s="32"/>
      <c r="M310" s="32"/>
      <c r="N310" s="26" t="str">
        <f t="shared" si="18"/>
        <v/>
      </c>
      <c r="O310" s="26" t="str">
        <f t="shared" si="19"/>
        <v/>
      </c>
      <c r="P310" s="10"/>
    </row>
    <row r="311" ht="18" customHeight="1" spans="1:16">
      <c r="A311" s="32" t="str">
        <f t="shared" si="16"/>
        <v/>
      </c>
      <c r="B311" s="100" t="str">
        <f>IF($E311="","",INDEX(进销存对接!$C$4:$C$305,103))</f>
        <v/>
      </c>
      <c r="C311" s="26" t="str">
        <f t="shared" si="17"/>
        <v/>
      </c>
      <c r="D311" s="32" t="str">
        <f>IF($E311="","",INDEX(进销存对接!$D$4:$D$305,103)&amp;" "&amp;TEXT($B311,"YYYY年M月")&amp;" 自动结转")</f>
        <v/>
      </c>
      <c r="E311" s="26" t="str">
        <f>IF(INDEX(进销存对接!$M$4:$U$305,103,4)=0,"",INDEX(进销存对接!$M$4:$U$305,103,4))</f>
        <v/>
      </c>
      <c r="F311" s="25" t="str">
        <f>IF($E311="","",IFERROR(INDEX(科目表!$A$4:$A$81,MATCH($E311,科目表!$B$4:$B$81,0)),""))</f>
        <v/>
      </c>
      <c r="G311" s="26" t="str">
        <f>IF($E311="","",IFERROR(INDEX(科目表!$E$4:$E$81,MATCH($E311,科目表!$B$4:$B$81,0)),""))</f>
        <v/>
      </c>
      <c r="H311" s="27" t="str">
        <f>IF($E311="","",N(INDEX(进销存对接!$M$4:$U$305,103,5)))</f>
        <v/>
      </c>
      <c r="I311" s="27" t="str">
        <f>IF($E311="","",N(INDEX(进销存对接!$M$4:$U$305,103,6)))</f>
        <v/>
      </c>
      <c r="J311" s="26"/>
      <c r="K311" s="26" t="str">
        <f>IF($E311="","",INDEX(进销存对接!$D$4:$D$305,103))</f>
        <v/>
      </c>
      <c r="L311" s="32"/>
      <c r="M311" s="32"/>
      <c r="N311" s="26" t="str">
        <f t="shared" si="18"/>
        <v/>
      </c>
      <c r="O311" s="26" t="str">
        <f t="shared" si="19"/>
        <v/>
      </c>
      <c r="P311" s="10"/>
    </row>
    <row r="312" ht="18" customHeight="1" spans="1:16">
      <c r="A312" s="32" t="str">
        <f t="shared" si="16"/>
        <v/>
      </c>
      <c r="B312" s="100" t="str">
        <f>IF($E312="","",INDEX(进销存对接!$C$4:$C$305,103))</f>
        <v/>
      </c>
      <c r="C312" s="26" t="str">
        <f t="shared" si="17"/>
        <v/>
      </c>
      <c r="D312" s="32" t="str">
        <f>IF($E312="","",INDEX(进销存对接!$D$4:$D$305,103)&amp;" "&amp;TEXT($B312,"YYYY年M月")&amp;" 自动结转")</f>
        <v/>
      </c>
      <c r="E312" s="26" t="str">
        <f>IF(INDEX(进销存对接!$M$4:$U$305,103,7)=0,"",INDEX(进销存对接!$M$4:$U$305,103,7))</f>
        <v/>
      </c>
      <c r="F312" s="25" t="str">
        <f>IF($E312="","",IFERROR(INDEX(科目表!$A$4:$A$81,MATCH($E312,科目表!$B$4:$B$81,0)),""))</f>
        <v/>
      </c>
      <c r="G312" s="26" t="str">
        <f>IF($E312="","",IFERROR(INDEX(科目表!$E$4:$E$81,MATCH($E312,科目表!$B$4:$B$81,0)),""))</f>
        <v/>
      </c>
      <c r="H312" s="27" t="str">
        <f>IF($E312="","",N(INDEX(进销存对接!$M$4:$U$305,103,8)))</f>
        <v/>
      </c>
      <c r="I312" s="27" t="str">
        <f>IF($E312="","",N(INDEX(进销存对接!$M$4:$U$305,103,9)))</f>
        <v/>
      </c>
      <c r="J312" s="26"/>
      <c r="K312" s="26" t="str">
        <f>IF($E312="","",INDEX(进销存对接!$D$4:$D$305,103))</f>
        <v/>
      </c>
      <c r="L312" s="32"/>
      <c r="M312" s="32"/>
      <c r="N312" s="26" t="str">
        <f t="shared" si="18"/>
        <v/>
      </c>
      <c r="O312" s="26" t="str">
        <f t="shared" si="19"/>
        <v/>
      </c>
      <c r="P312" s="10"/>
    </row>
    <row r="313" ht="18" customHeight="1" spans="1:16">
      <c r="A313" s="32" t="str">
        <f t="shared" si="16"/>
        <v/>
      </c>
      <c r="B313" s="100" t="str">
        <f>IF($E313="","",INDEX(进销存对接!$C$4:$C$305,104))</f>
        <v/>
      </c>
      <c r="C313" s="26" t="str">
        <f t="shared" si="17"/>
        <v/>
      </c>
      <c r="D313" s="32" t="str">
        <f>IF($E313="","",INDEX(进销存对接!$D$4:$D$305,104)&amp;" "&amp;TEXT($B313,"YYYY年M月")&amp;" 自动结转")</f>
        <v/>
      </c>
      <c r="E313" s="26" t="str">
        <f>IF(INDEX(进销存对接!$M$4:$U$305,104,1)=0,"",INDEX(进销存对接!$M$4:$U$305,104,1))</f>
        <v/>
      </c>
      <c r="F313" s="25" t="str">
        <f>IF($E313="","",IFERROR(INDEX(科目表!$A$4:$A$81,MATCH($E313,科目表!$B$4:$B$81,0)),""))</f>
        <v/>
      </c>
      <c r="G313" s="26" t="str">
        <f>IF($E313="","",IFERROR(INDEX(科目表!$E$4:$E$81,MATCH($E313,科目表!$B$4:$B$81,0)),""))</f>
        <v/>
      </c>
      <c r="H313" s="27" t="str">
        <f>IF($E313="","",N(INDEX(进销存对接!$M$4:$U$305,104,2)))</f>
        <v/>
      </c>
      <c r="I313" s="27" t="str">
        <f>IF($E313="","",N(INDEX(进销存对接!$M$4:$U$305,104,3)))</f>
        <v/>
      </c>
      <c r="J313" s="26"/>
      <c r="K313" s="26" t="str">
        <f>IF($E313="","",INDEX(进销存对接!$D$4:$D$305,104))</f>
        <v/>
      </c>
      <c r="L313" s="32"/>
      <c r="M313" s="32"/>
      <c r="N313" s="26" t="str">
        <f t="shared" si="18"/>
        <v/>
      </c>
      <c r="O313" s="26" t="str">
        <f t="shared" si="19"/>
        <v/>
      </c>
      <c r="P313" s="10"/>
    </row>
    <row r="314" ht="18" customHeight="1" spans="1:16">
      <c r="A314" s="32" t="str">
        <f t="shared" si="16"/>
        <v/>
      </c>
      <c r="B314" s="100" t="str">
        <f>IF($E314="","",INDEX(进销存对接!$C$4:$C$305,104))</f>
        <v/>
      </c>
      <c r="C314" s="26" t="str">
        <f t="shared" si="17"/>
        <v/>
      </c>
      <c r="D314" s="32" t="str">
        <f>IF($E314="","",INDEX(进销存对接!$D$4:$D$305,104)&amp;" "&amp;TEXT($B314,"YYYY年M月")&amp;" 自动结转")</f>
        <v/>
      </c>
      <c r="E314" s="26" t="str">
        <f>IF(INDEX(进销存对接!$M$4:$U$305,104,4)=0,"",INDEX(进销存对接!$M$4:$U$305,104,4))</f>
        <v/>
      </c>
      <c r="F314" s="25" t="str">
        <f>IF($E314="","",IFERROR(INDEX(科目表!$A$4:$A$81,MATCH($E314,科目表!$B$4:$B$81,0)),""))</f>
        <v/>
      </c>
      <c r="G314" s="26" t="str">
        <f>IF($E314="","",IFERROR(INDEX(科目表!$E$4:$E$81,MATCH($E314,科目表!$B$4:$B$81,0)),""))</f>
        <v/>
      </c>
      <c r="H314" s="27" t="str">
        <f>IF($E314="","",N(INDEX(进销存对接!$M$4:$U$305,104,5)))</f>
        <v/>
      </c>
      <c r="I314" s="27" t="str">
        <f>IF($E314="","",N(INDEX(进销存对接!$M$4:$U$305,104,6)))</f>
        <v/>
      </c>
      <c r="J314" s="26"/>
      <c r="K314" s="26" t="str">
        <f>IF($E314="","",INDEX(进销存对接!$D$4:$D$305,104))</f>
        <v/>
      </c>
      <c r="L314" s="32"/>
      <c r="M314" s="32"/>
      <c r="N314" s="26" t="str">
        <f t="shared" si="18"/>
        <v/>
      </c>
      <c r="O314" s="26" t="str">
        <f t="shared" si="19"/>
        <v/>
      </c>
      <c r="P314" s="10"/>
    </row>
    <row r="315" ht="18" customHeight="1" spans="1:16">
      <c r="A315" s="32" t="str">
        <f t="shared" si="16"/>
        <v/>
      </c>
      <c r="B315" s="100" t="str">
        <f>IF($E315="","",INDEX(进销存对接!$C$4:$C$305,104))</f>
        <v/>
      </c>
      <c r="C315" s="26" t="str">
        <f t="shared" si="17"/>
        <v/>
      </c>
      <c r="D315" s="32" t="str">
        <f>IF($E315="","",INDEX(进销存对接!$D$4:$D$305,104)&amp;" "&amp;TEXT($B315,"YYYY年M月")&amp;" 自动结转")</f>
        <v/>
      </c>
      <c r="E315" s="26" t="str">
        <f>IF(INDEX(进销存对接!$M$4:$U$305,104,7)=0,"",INDEX(进销存对接!$M$4:$U$305,104,7))</f>
        <v/>
      </c>
      <c r="F315" s="25" t="str">
        <f>IF($E315="","",IFERROR(INDEX(科目表!$A$4:$A$81,MATCH($E315,科目表!$B$4:$B$81,0)),""))</f>
        <v/>
      </c>
      <c r="G315" s="26" t="str">
        <f>IF($E315="","",IFERROR(INDEX(科目表!$E$4:$E$81,MATCH($E315,科目表!$B$4:$B$81,0)),""))</f>
        <v/>
      </c>
      <c r="H315" s="27" t="str">
        <f>IF($E315="","",N(INDEX(进销存对接!$M$4:$U$305,104,8)))</f>
        <v/>
      </c>
      <c r="I315" s="27" t="str">
        <f>IF($E315="","",N(INDEX(进销存对接!$M$4:$U$305,104,9)))</f>
        <v/>
      </c>
      <c r="J315" s="26"/>
      <c r="K315" s="26" t="str">
        <f>IF($E315="","",INDEX(进销存对接!$D$4:$D$305,104))</f>
        <v/>
      </c>
      <c r="L315" s="32"/>
      <c r="M315" s="32"/>
      <c r="N315" s="26" t="str">
        <f t="shared" si="18"/>
        <v/>
      </c>
      <c r="O315" s="26" t="str">
        <f t="shared" si="19"/>
        <v/>
      </c>
      <c r="P315" s="10"/>
    </row>
    <row r="316" ht="18" customHeight="1" spans="1:16">
      <c r="A316" s="32" t="str">
        <f t="shared" si="16"/>
        <v/>
      </c>
      <c r="B316" s="100" t="str">
        <f>IF($E316="","",INDEX(进销存对接!$C$4:$C$305,105))</f>
        <v/>
      </c>
      <c r="C316" s="26" t="str">
        <f t="shared" si="17"/>
        <v/>
      </c>
      <c r="D316" s="32" t="str">
        <f>IF($E316="","",INDEX(进销存对接!$D$4:$D$305,105)&amp;" "&amp;TEXT($B316,"YYYY年M月")&amp;" 自动结转")</f>
        <v/>
      </c>
      <c r="E316" s="26" t="str">
        <f>IF(INDEX(进销存对接!$M$4:$U$305,105,1)=0,"",INDEX(进销存对接!$M$4:$U$305,105,1))</f>
        <v/>
      </c>
      <c r="F316" s="25" t="str">
        <f>IF($E316="","",IFERROR(INDEX(科目表!$A$4:$A$81,MATCH($E316,科目表!$B$4:$B$81,0)),""))</f>
        <v/>
      </c>
      <c r="G316" s="26" t="str">
        <f>IF($E316="","",IFERROR(INDEX(科目表!$E$4:$E$81,MATCH($E316,科目表!$B$4:$B$81,0)),""))</f>
        <v/>
      </c>
      <c r="H316" s="27" t="str">
        <f>IF($E316="","",N(INDEX(进销存对接!$M$4:$U$305,105,2)))</f>
        <v/>
      </c>
      <c r="I316" s="27" t="str">
        <f>IF($E316="","",N(INDEX(进销存对接!$M$4:$U$305,105,3)))</f>
        <v/>
      </c>
      <c r="J316" s="26"/>
      <c r="K316" s="26" t="str">
        <f>IF($E316="","",INDEX(进销存对接!$D$4:$D$305,105))</f>
        <v/>
      </c>
      <c r="L316" s="32"/>
      <c r="M316" s="32"/>
      <c r="N316" s="26" t="str">
        <f t="shared" si="18"/>
        <v/>
      </c>
      <c r="O316" s="26" t="str">
        <f t="shared" si="19"/>
        <v/>
      </c>
      <c r="P316" s="10"/>
    </row>
    <row r="317" ht="18" customHeight="1" spans="1:16">
      <c r="A317" s="32" t="str">
        <f t="shared" si="16"/>
        <v/>
      </c>
      <c r="B317" s="100" t="str">
        <f>IF($E317="","",INDEX(进销存对接!$C$4:$C$305,105))</f>
        <v/>
      </c>
      <c r="C317" s="26" t="str">
        <f t="shared" si="17"/>
        <v/>
      </c>
      <c r="D317" s="32" t="str">
        <f>IF($E317="","",INDEX(进销存对接!$D$4:$D$305,105)&amp;" "&amp;TEXT($B317,"YYYY年M月")&amp;" 自动结转")</f>
        <v/>
      </c>
      <c r="E317" s="26" t="str">
        <f>IF(INDEX(进销存对接!$M$4:$U$305,105,4)=0,"",INDEX(进销存对接!$M$4:$U$305,105,4))</f>
        <v/>
      </c>
      <c r="F317" s="25" t="str">
        <f>IF($E317="","",IFERROR(INDEX(科目表!$A$4:$A$81,MATCH($E317,科目表!$B$4:$B$81,0)),""))</f>
        <v/>
      </c>
      <c r="G317" s="26" t="str">
        <f>IF($E317="","",IFERROR(INDEX(科目表!$E$4:$E$81,MATCH($E317,科目表!$B$4:$B$81,0)),""))</f>
        <v/>
      </c>
      <c r="H317" s="27" t="str">
        <f>IF($E317="","",N(INDEX(进销存对接!$M$4:$U$305,105,5)))</f>
        <v/>
      </c>
      <c r="I317" s="27" t="str">
        <f>IF($E317="","",N(INDEX(进销存对接!$M$4:$U$305,105,6)))</f>
        <v/>
      </c>
      <c r="J317" s="26"/>
      <c r="K317" s="26" t="str">
        <f>IF($E317="","",INDEX(进销存对接!$D$4:$D$305,105))</f>
        <v/>
      </c>
      <c r="L317" s="32"/>
      <c r="M317" s="32"/>
      <c r="N317" s="26" t="str">
        <f t="shared" si="18"/>
        <v/>
      </c>
      <c r="O317" s="26" t="str">
        <f t="shared" si="19"/>
        <v/>
      </c>
      <c r="P317" s="10"/>
    </row>
    <row r="318" ht="18" customHeight="1" spans="1:16">
      <c r="A318" s="32" t="str">
        <f t="shared" si="16"/>
        <v/>
      </c>
      <c r="B318" s="100" t="str">
        <f>IF($E318="","",INDEX(进销存对接!$C$4:$C$305,105))</f>
        <v/>
      </c>
      <c r="C318" s="26" t="str">
        <f t="shared" si="17"/>
        <v/>
      </c>
      <c r="D318" s="32" t="str">
        <f>IF($E318="","",INDEX(进销存对接!$D$4:$D$305,105)&amp;" "&amp;TEXT($B318,"YYYY年M月")&amp;" 自动结转")</f>
        <v/>
      </c>
      <c r="E318" s="26" t="str">
        <f>IF(INDEX(进销存对接!$M$4:$U$305,105,7)=0,"",INDEX(进销存对接!$M$4:$U$305,105,7))</f>
        <v/>
      </c>
      <c r="F318" s="25" t="str">
        <f>IF($E318="","",IFERROR(INDEX(科目表!$A$4:$A$81,MATCH($E318,科目表!$B$4:$B$81,0)),""))</f>
        <v/>
      </c>
      <c r="G318" s="26" t="str">
        <f>IF($E318="","",IFERROR(INDEX(科目表!$E$4:$E$81,MATCH($E318,科目表!$B$4:$B$81,0)),""))</f>
        <v/>
      </c>
      <c r="H318" s="27" t="str">
        <f>IF($E318="","",N(INDEX(进销存对接!$M$4:$U$305,105,8)))</f>
        <v/>
      </c>
      <c r="I318" s="27" t="str">
        <f>IF($E318="","",N(INDEX(进销存对接!$M$4:$U$305,105,9)))</f>
        <v/>
      </c>
      <c r="J318" s="26"/>
      <c r="K318" s="26" t="str">
        <f>IF($E318="","",INDEX(进销存对接!$D$4:$D$305,105))</f>
        <v/>
      </c>
      <c r="L318" s="32"/>
      <c r="M318" s="32"/>
      <c r="N318" s="26" t="str">
        <f t="shared" si="18"/>
        <v/>
      </c>
      <c r="O318" s="26" t="str">
        <f t="shared" si="19"/>
        <v/>
      </c>
      <c r="P318" s="10"/>
    </row>
    <row r="319" ht="18" customHeight="1" spans="1:16">
      <c r="A319" s="32" t="str">
        <f t="shared" si="16"/>
        <v/>
      </c>
      <c r="B319" s="100" t="str">
        <f>IF($E319="","",INDEX(进销存对接!$C$4:$C$305,106))</f>
        <v/>
      </c>
      <c r="C319" s="26" t="str">
        <f t="shared" si="17"/>
        <v/>
      </c>
      <c r="D319" s="32" t="str">
        <f>IF($E319="","",INDEX(进销存对接!$D$4:$D$305,106)&amp;" "&amp;TEXT($B319,"YYYY年M月")&amp;" 自动结转")</f>
        <v/>
      </c>
      <c r="E319" s="26" t="str">
        <f>IF(INDEX(进销存对接!$M$4:$U$305,106,1)=0,"",INDEX(进销存对接!$M$4:$U$305,106,1))</f>
        <v/>
      </c>
      <c r="F319" s="25" t="str">
        <f>IF($E319="","",IFERROR(INDEX(科目表!$A$4:$A$81,MATCH($E319,科目表!$B$4:$B$81,0)),""))</f>
        <v/>
      </c>
      <c r="G319" s="26" t="str">
        <f>IF($E319="","",IFERROR(INDEX(科目表!$E$4:$E$81,MATCH($E319,科目表!$B$4:$B$81,0)),""))</f>
        <v/>
      </c>
      <c r="H319" s="27" t="str">
        <f>IF($E319="","",N(INDEX(进销存对接!$M$4:$U$305,106,2)))</f>
        <v/>
      </c>
      <c r="I319" s="27" t="str">
        <f>IF($E319="","",N(INDEX(进销存对接!$M$4:$U$305,106,3)))</f>
        <v/>
      </c>
      <c r="J319" s="26"/>
      <c r="K319" s="26" t="str">
        <f>IF($E319="","",INDEX(进销存对接!$D$4:$D$305,106))</f>
        <v/>
      </c>
      <c r="L319" s="32"/>
      <c r="M319" s="32"/>
      <c r="N319" s="26" t="str">
        <f t="shared" si="18"/>
        <v/>
      </c>
      <c r="O319" s="26" t="str">
        <f t="shared" si="19"/>
        <v/>
      </c>
      <c r="P319" s="10"/>
    </row>
    <row r="320" ht="18" customHeight="1" spans="1:16">
      <c r="A320" s="32" t="str">
        <f t="shared" si="16"/>
        <v/>
      </c>
      <c r="B320" s="100" t="str">
        <f>IF($E320="","",INDEX(进销存对接!$C$4:$C$305,106))</f>
        <v/>
      </c>
      <c r="C320" s="26" t="str">
        <f t="shared" si="17"/>
        <v/>
      </c>
      <c r="D320" s="32" t="str">
        <f>IF($E320="","",INDEX(进销存对接!$D$4:$D$305,106)&amp;" "&amp;TEXT($B320,"YYYY年M月")&amp;" 自动结转")</f>
        <v/>
      </c>
      <c r="E320" s="26" t="str">
        <f>IF(INDEX(进销存对接!$M$4:$U$305,106,4)=0,"",INDEX(进销存对接!$M$4:$U$305,106,4))</f>
        <v/>
      </c>
      <c r="F320" s="25" t="str">
        <f>IF($E320="","",IFERROR(INDEX(科目表!$A$4:$A$81,MATCH($E320,科目表!$B$4:$B$81,0)),""))</f>
        <v/>
      </c>
      <c r="G320" s="26" t="str">
        <f>IF($E320="","",IFERROR(INDEX(科目表!$E$4:$E$81,MATCH($E320,科目表!$B$4:$B$81,0)),""))</f>
        <v/>
      </c>
      <c r="H320" s="27" t="str">
        <f>IF($E320="","",N(INDEX(进销存对接!$M$4:$U$305,106,5)))</f>
        <v/>
      </c>
      <c r="I320" s="27" t="str">
        <f>IF($E320="","",N(INDEX(进销存对接!$M$4:$U$305,106,6)))</f>
        <v/>
      </c>
      <c r="J320" s="26"/>
      <c r="K320" s="26" t="str">
        <f>IF($E320="","",INDEX(进销存对接!$D$4:$D$305,106))</f>
        <v/>
      </c>
      <c r="L320" s="32"/>
      <c r="M320" s="32"/>
      <c r="N320" s="26" t="str">
        <f t="shared" si="18"/>
        <v/>
      </c>
      <c r="O320" s="26" t="str">
        <f t="shared" si="19"/>
        <v/>
      </c>
      <c r="P320" s="10"/>
    </row>
    <row r="321" ht="18" customHeight="1" spans="1:16">
      <c r="A321" s="32" t="str">
        <f t="shared" si="16"/>
        <v/>
      </c>
      <c r="B321" s="100" t="str">
        <f>IF($E321="","",INDEX(进销存对接!$C$4:$C$305,106))</f>
        <v/>
      </c>
      <c r="C321" s="26" t="str">
        <f t="shared" si="17"/>
        <v/>
      </c>
      <c r="D321" s="32" t="str">
        <f>IF($E321="","",INDEX(进销存对接!$D$4:$D$305,106)&amp;" "&amp;TEXT($B321,"YYYY年M月")&amp;" 自动结转")</f>
        <v/>
      </c>
      <c r="E321" s="26" t="str">
        <f>IF(INDEX(进销存对接!$M$4:$U$305,106,7)=0,"",INDEX(进销存对接!$M$4:$U$305,106,7))</f>
        <v/>
      </c>
      <c r="F321" s="25" t="str">
        <f>IF($E321="","",IFERROR(INDEX(科目表!$A$4:$A$81,MATCH($E321,科目表!$B$4:$B$81,0)),""))</f>
        <v/>
      </c>
      <c r="G321" s="26" t="str">
        <f>IF($E321="","",IFERROR(INDEX(科目表!$E$4:$E$81,MATCH($E321,科目表!$B$4:$B$81,0)),""))</f>
        <v/>
      </c>
      <c r="H321" s="27" t="str">
        <f>IF($E321="","",N(INDEX(进销存对接!$M$4:$U$305,106,8)))</f>
        <v/>
      </c>
      <c r="I321" s="27" t="str">
        <f>IF($E321="","",N(INDEX(进销存对接!$M$4:$U$305,106,9)))</f>
        <v/>
      </c>
      <c r="J321" s="26"/>
      <c r="K321" s="26" t="str">
        <f>IF($E321="","",INDEX(进销存对接!$D$4:$D$305,106))</f>
        <v/>
      </c>
      <c r="L321" s="32"/>
      <c r="M321" s="32"/>
      <c r="N321" s="26" t="str">
        <f t="shared" si="18"/>
        <v/>
      </c>
      <c r="O321" s="26" t="str">
        <f t="shared" si="19"/>
        <v/>
      </c>
      <c r="P321" s="10"/>
    </row>
    <row r="322" ht="18" customHeight="1" spans="1:16">
      <c r="A322" s="32" t="str">
        <f t="shared" si="16"/>
        <v/>
      </c>
      <c r="B322" s="100" t="str">
        <f>IF($E322="","",INDEX(进销存对接!$C$4:$C$305,107))</f>
        <v/>
      </c>
      <c r="C322" s="26" t="str">
        <f t="shared" si="17"/>
        <v/>
      </c>
      <c r="D322" s="32" t="str">
        <f>IF($E322="","",INDEX(进销存对接!$D$4:$D$305,107)&amp;" "&amp;TEXT($B322,"YYYY年M月")&amp;" 自动结转")</f>
        <v/>
      </c>
      <c r="E322" s="26" t="str">
        <f>IF(INDEX(进销存对接!$M$4:$U$305,107,1)=0,"",INDEX(进销存对接!$M$4:$U$305,107,1))</f>
        <v/>
      </c>
      <c r="F322" s="25" t="str">
        <f>IF($E322="","",IFERROR(INDEX(科目表!$A$4:$A$81,MATCH($E322,科目表!$B$4:$B$81,0)),""))</f>
        <v/>
      </c>
      <c r="G322" s="26" t="str">
        <f>IF($E322="","",IFERROR(INDEX(科目表!$E$4:$E$81,MATCH($E322,科目表!$B$4:$B$81,0)),""))</f>
        <v/>
      </c>
      <c r="H322" s="27" t="str">
        <f>IF($E322="","",N(INDEX(进销存对接!$M$4:$U$305,107,2)))</f>
        <v/>
      </c>
      <c r="I322" s="27" t="str">
        <f>IF($E322="","",N(INDEX(进销存对接!$M$4:$U$305,107,3)))</f>
        <v/>
      </c>
      <c r="J322" s="26"/>
      <c r="K322" s="26" t="str">
        <f>IF($E322="","",INDEX(进销存对接!$D$4:$D$305,107))</f>
        <v/>
      </c>
      <c r="L322" s="32"/>
      <c r="M322" s="32"/>
      <c r="N322" s="26" t="str">
        <f t="shared" si="18"/>
        <v/>
      </c>
      <c r="O322" s="26" t="str">
        <f t="shared" si="19"/>
        <v/>
      </c>
      <c r="P322" s="10"/>
    </row>
    <row r="323" ht="18" customHeight="1" spans="1:16">
      <c r="A323" s="32" t="str">
        <f t="shared" si="16"/>
        <v/>
      </c>
      <c r="B323" s="100" t="str">
        <f>IF($E323="","",INDEX(进销存对接!$C$4:$C$305,107))</f>
        <v/>
      </c>
      <c r="C323" s="26" t="str">
        <f t="shared" si="17"/>
        <v/>
      </c>
      <c r="D323" s="32" t="str">
        <f>IF($E323="","",INDEX(进销存对接!$D$4:$D$305,107)&amp;" "&amp;TEXT($B323,"YYYY年M月")&amp;" 自动结转")</f>
        <v/>
      </c>
      <c r="E323" s="26" t="str">
        <f>IF(INDEX(进销存对接!$M$4:$U$305,107,4)=0,"",INDEX(进销存对接!$M$4:$U$305,107,4))</f>
        <v/>
      </c>
      <c r="F323" s="25" t="str">
        <f>IF($E323="","",IFERROR(INDEX(科目表!$A$4:$A$81,MATCH($E323,科目表!$B$4:$B$81,0)),""))</f>
        <v/>
      </c>
      <c r="G323" s="26" t="str">
        <f>IF($E323="","",IFERROR(INDEX(科目表!$E$4:$E$81,MATCH($E323,科目表!$B$4:$B$81,0)),""))</f>
        <v/>
      </c>
      <c r="H323" s="27" t="str">
        <f>IF($E323="","",N(INDEX(进销存对接!$M$4:$U$305,107,5)))</f>
        <v/>
      </c>
      <c r="I323" s="27" t="str">
        <f>IF($E323="","",N(INDEX(进销存对接!$M$4:$U$305,107,6)))</f>
        <v/>
      </c>
      <c r="J323" s="26"/>
      <c r="K323" s="26" t="str">
        <f>IF($E323="","",INDEX(进销存对接!$D$4:$D$305,107))</f>
        <v/>
      </c>
      <c r="L323" s="32"/>
      <c r="M323" s="32"/>
      <c r="N323" s="26" t="str">
        <f t="shared" si="18"/>
        <v/>
      </c>
      <c r="O323" s="26" t="str">
        <f t="shared" si="19"/>
        <v/>
      </c>
      <c r="P323" s="10"/>
    </row>
    <row r="324" ht="18" customHeight="1" spans="1:16">
      <c r="A324" s="32" t="str">
        <f t="shared" ref="A324:A387" si="20">IF($E324="","",ROW()-3)</f>
        <v/>
      </c>
      <c r="B324" s="100" t="str">
        <f>IF($E324="","",INDEX(进销存对接!$C$4:$C$305,107))</f>
        <v/>
      </c>
      <c r="C324" s="26" t="str">
        <f t="shared" ref="C324:C387" si="21">IF($E324="","","记-"&amp;TEXT($B324,"YYYYMM")&amp;"-进销存")</f>
        <v/>
      </c>
      <c r="D324" s="32" t="str">
        <f>IF($E324="","",INDEX(进销存对接!$D$4:$D$305,107)&amp;" "&amp;TEXT($B324,"YYYY年M月")&amp;" 自动结转")</f>
        <v/>
      </c>
      <c r="E324" s="26" t="str">
        <f>IF(INDEX(进销存对接!$M$4:$U$305,107,7)=0,"",INDEX(进销存对接!$M$4:$U$305,107,7))</f>
        <v/>
      </c>
      <c r="F324" s="25" t="str">
        <f>IF($E324="","",IFERROR(INDEX(科目表!$A$4:$A$81,MATCH($E324,科目表!$B$4:$B$81,0)),""))</f>
        <v/>
      </c>
      <c r="G324" s="26" t="str">
        <f>IF($E324="","",IFERROR(INDEX(科目表!$E$4:$E$81,MATCH($E324,科目表!$B$4:$B$81,0)),""))</f>
        <v/>
      </c>
      <c r="H324" s="27" t="str">
        <f>IF($E324="","",N(INDEX(进销存对接!$M$4:$U$305,107,8)))</f>
        <v/>
      </c>
      <c r="I324" s="27" t="str">
        <f>IF($E324="","",N(INDEX(进销存对接!$M$4:$U$305,107,9)))</f>
        <v/>
      </c>
      <c r="J324" s="26"/>
      <c r="K324" s="26" t="str">
        <f>IF($E324="","",INDEX(进销存对接!$D$4:$D$305,107))</f>
        <v/>
      </c>
      <c r="L324" s="32"/>
      <c r="M324" s="32"/>
      <c r="N324" s="26" t="str">
        <f t="shared" ref="N324:N387" si="22">IF($E324="","","系统")</f>
        <v/>
      </c>
      <c r="O324" s="26" t="str">
        <f t="shared" ref="O324:O387" si="23">IF($E324="","","自动A")</f>
        <v/>
      </c>
      <c r="P324" s="10"/>
    </row>
    <row r="325" ht="18" customHeight="1" spans="1:16">
      <c r="A325" s="32" t="str">
        <f t="shared" si="20"/>
        <v/>
      </c>
      <c r="B325" s="100" t="str">
        <f>IF($E325="","",INDEX(进销存对接!$C$4:$C$305,108))</f>
        <v/>
      </c>
      <c r="C325" s="26" t="str">
        <f t="shared" si="21"/>
        <v/>
      </c>
      <c r="D325" s="32" t="str">
        <f>IF($E325="","",INDEX(进销存对接!$D$4:$D$305,108)&amp;" "&amp;TEXT($B325,"YYYY年M月")&amp;" 自动结转")</f>
        <v/>
      </c>
      <c r="E325" s="26" t="str">
        <f>IF(INDEX(进销存对接!$M$4:$U$305,108,1)=0,"",INDEX(进销存对接!$M$4:$U$305,108,1))</f>
        <v/>
      </c>
      <c r="F325" s="25" t="str">
        <f>IF($E325="","",IFERROR(INDEX(科目表!$A$4:$A$81,MATCH($E325,科目表!$B$4:$B$81,0)),""))</f>
        <v/>
      </c>
      <c r="G325" s="26" t="str">
        <f>IF($E325="","",IFERROR(INDEX(科目表!$E$4:$E$81,MATCH($E325,科目表!$B$4:$B$81,0)),""))</f>
        <v/>
      </c>
      <c r="H325" s="27" t="str">
        <f>IF($E325="","",N(INDEX(进销存对接!$M$4:$U$305,108,2)))</f>
        <v/>
      </c>
      <c r="I325" s="27" t="str">
        <f>IF($E325="","",N(INDEX(进销存对接!$M$4:$U$305,108,3)))</f>
        <v/>
      </c>
      <c r="J325" s="26"/>
      <c r="K325" s="26" t="str">
        <f>IF($E325="","",INDEX(进销存对接!$D$4:$D$305,108))</f>
        <v/>
      </c>
      <c r="L325" s="32"/>
      <c r="M325" s="32"/>
      <c r="N325" s="26" t="str">
        <f t="shared" si="22"/>
        <v/>
      </c>
      <c r="O325" s="26" t="str">
        <f t="shared" si="23"/>
        <v/>
      </c>
      <c r="P325" s="10"/>
    </row>
    <row r="326" ht="18" customHeight="1" spans="1:16">
      <c r="A326" s="32" t="str">
        <f t="shared" si="20"/>
        <v/>
      </c>
      <c r="B326" s="100" t="str">
        <f>IF($E326="","",INDEX(进销存对接!$C$4:$C$305,108))</f>
        <v/>
      </c>
      <c r="C326" s="26" t="str">
        <f t="shared" si="21"/>
        <v/>
      </c>
      <c r="D326" s="32" t="str">
        <f>IF($E326="","",INDEX(进销存对接!$D$4:$D$305,108)&amp;" "&amp;TEXT($B326,"YYYY年M月")&amp;" 自动结转")</f>
        <v/>
      </c>
      <c r="E326" s="26" t="str">
        <f>IF(INDEX(进销存对接!$M$4:$U$305,108,4)=0,"",INDEX(进销存对接!$M$4:$U$305,108,4))</f>
        <v/>
      </c>
      <c r="F326" s="25" t="str">
        <f>IF($E326="","",IFERROR(INDEX(科目表!$A$4:$A$81,MATCH($E326,科目表!$B$4:$B$81,0)),""))</f>
        <v/>
      </c>
      <c r="G326" s="26" t="str">
        <f>IF($E326="","",IFERROR(INDEX(科目表!$E$4:$E$81,MATCH($E326,科目表!$B$4:$B$81,0)),""))</f>
        <v/>
      </c>
      <c r="H326" s="27" t="str">
        <f>IF($E326="","",N(INDEX(进销存对接!$M$4:$U$305,108,5)))</f>
        <v/>
      </c>
      <c r="I326" s="27" t="str">
        <f>IF($E326="","",N(INDEX(进销存对接!$M$4:$U$305,108,6)))</f>
        <v/>
      </c>
      <c r="J326" s="26"/>
      <c r="K326" s="26" t="str">
        <f>IF($E326="","",INDEX(进销存对接!$D$4:$D$305,108))</f>
        <v/>
      </c>
      <c r="L326" s="32"/>
      <c r="M326" s="32"/>
      <c r="N326" s="26" t="str">
        <f t="shared" si="22"/>
        <v/>
      </c>
      <c r="O326" s="26" t="str">
        <f t="shared" si="23"/>
        <v/>
      </c>
      <c r="P326" s="10"/>
    </row>
    <row r="327" ht="18" customHeight="1" spans="1:16">
      <c r="A327" s="32" t="str">
        <f t="shared" si="20"/>
        <v/>
      </c>
      <c r="B327" s="100" t="str">
        <f>IF($E327="","",INDEX(进销存对接!$C$4:$C$305,108))</f>
        <v/>
      </c>
      <c r="C327" s="26" t="str">
        <f t="shared" si="21"/>
        <v/>
      </c>
      <c r="D327" s="32" t="str">
        <f>IF($E327="","",INDEX(进销存对接!$D$4:$D$305,108)&amp;" "&amp;TEXT($B327,"YYYY年M月")&amp;" 自动结转")</f>
        <v/>
      </c>
      <c r="E327" s="26" t="str">
        <f>IF(INDEX(进销存对接!$M$4:$U$305,108,7)=0,"",INDEX(进销存对接!$M$4:$U$305,108,7))</f>
        <v/>
      </c>
      <c r="F327" s="25" t="str">
        <f>IF($E327="","",IFERROR(INDEX(科目表!$A$4:$A$81,MATCH($E327,科目表!$B$4:$B$81,0)),""))</f>
        <v/>
      </c>
      <c r="G327" s="26" t="str">
        <f>IF($E327="","",IFERROR(INDEX(科目表!$E$4:$E$81,MATCH($E327,科目表!$B$4:$B$81,0)),""))</f>
        <v/>
      </c>
      <c r="H327" s="27" t="str">
        <f>IF($E327="","",N(INDEX(进销存对接!$M$4:$U$305,108,8)))</f>
        <v/>
      </c>
      <c r="I327" s="27" t="str">
        <f>IF($E327="","",N(INDEX(进销存对接!$M$4:$U$305,108,9)))</f>
        <v/>
      </c>
      <c r="J327" s="26"/>
      <c r="K327" s="26" t="str">
        <f>IF($E327="","",INDEX(进销存对接!$D$4:$D$305,108))</f>
        <v/>
      </c>
      <c r="L327" s="32"/>
      <c r="M327" s="32"/>
      <c r="N327" s="26" t="str">
        <f t="shared" si="22"/>
        <v/>
      </c>
      <c r="O327" s="26" t="str">
        <f t="shared" si="23"/>
        <v/>
      </c>
      <c r="P327" s="10"/>
    </row>
    <row r="328" ht="18" customHeight="1" spans="1:16">
      <c r="A328" s="32" t="str">
        <f t="shared" si="20"/>
        <v/>
      </c>
      <c r="B328" s="100" t="str">
        <f>IF($E328="","",INDEX(进销存对接!$C$4:$C$305,109))</f>
        <v/>
      </c>
      <c r="C328" s="26" t="str">
        <f t="shared" si="21"/>
        <v/>
      </c>
      <c r="D328" s="32" t="str">
        <f>IF($E328="","",INDEX(进销存对接!$D$4:$D$305,109)&amp;" "&amp;TEXT($B328,"YYYY年M月")&amp;" 自动结转")</f>
        <v/>
      </c>
      <c r="E328" s="26" t="str">
        <f>IF(INDEX(进销存对接!$M$4:$U$305,109,1)=0,"",INDEX(进销存对接!$M$4:$U$305,109,1))</f>
        <v/>
      </c>
      <c r="F328" s="25" t="str">
        <f>IF($E328="","",IFERROR(INDEX(科目表!$A$4:$A$81,MATCH($E328,科目表!$B$4:$B$81,0)),""))</f>
        <v/>
      </c>
      <c r="G328" s="26" t="str">
        <f>IF($E328="","",IFERROR(INDEX(科目表!$E$4:$E$81,MATCH($E328,科目表!$B$4:$B$81,0)),""))</f>
        <v/>
      </c>
      <c r="H328" s="27" t="str">
        <f>IF($E328="","",N(INDEX(进销存对接!$M$4:$U$305,109,2)))</f>
        <v/>
      </c>
      <c r="I328" s="27" t="str">
        <f>IF($E328="","",N(INDEX(进销存对接!$M$4:$U$305,109,3)))</f>
        <v/>
      </c>
      <c r="J328" s="26"/>
      <c r="K328" s="26" t="str">
        <f>IF($E328="","",INDEX(进销存对接!$D$4:$D$305,109))</f>
        <v/>
      </c>
      <c r="L328" s="32"/>
      <c r="M328" s="32"/>
      <c r="N328" s="26" t="str">
        <f t="shared" si="22"/>
        <v/>
      </c>
      <c r="O328" s="26" t="str">
        <f t="shared" si="23"/>
        <v/>
      </c>
      <c r="P328" s="10"/>
    </row>
    <row r="329" ht="18" customHeight="1" spans="1:16">
      <c r="A329" s="32" t="str">
        <f t="shared" si="20"/>
        <v/>
      </c>
      <c r="B329" s="100" t="str">
        <f>IF($E329="","",INDEX(进销存对接!$C$4:$C$305,109))</f>
        <v/>
      </c>
      <c r="C329" s="26" t="str">
        <f t="shared" si="21"/>
        <v/>
      </c>
      <c r="D329" s="32" t="str">
        <f>IF($E329="","",INDEX(进销存对接!$D$4:$D$305,109)&amp;" "&amp;TEXT($B329,"YYYY年M月")&amp;" 自动结转")</f>
        <v/>
      </c>
      <c r="E329" s="26" t="str">
        <f>IF(INDEX(进销存对接!$M$4:$U$305,109,4)=0,"",INDEX(进销存对接!$M$4:$U$305,109,4))</f>
        <v/>
      </c>
      <c r="F329" s="25" t="str">
        <f>IF($E329="","",IFERROR(INDEX(科目表!$A$4:$A$81,MATCH($E329,科目表!$B$4:$B$81,0)),""))</f>
        <v/>
      </c>
      <c r="G329" s="26" t="str">
        <f>IF($E329="","",IFERROR(INDEX(科目表!$E$4:$E$81,MATCH($E329,科目表!$B$4:$B$81,0)),""))</f>
        <v/>
      </c>
      <c r="H329" s="27" t="str">
        <f>IF($E329="","",N(INDEX(进销存对接!$M$4:$U$305,109,5)))</f>
        <v/>
      </c>
      <c r="I329" s="27" t="str">
        <f>IF($E329="","",N(INDEX(进销存对接!$M$4:$U$305,109,6)))</f>
        <v/>
      </c>
      <c r="J329" s="26"/>
      <c r="K329" s="26" t="str">
        <f>IF($E329="","",INDEX(进销存对接!$D$4:$D$305,109))</f>
        <v/>
      </c>
      <c r="L329" s="32"/>
      <c r="M329" s="32"/>
      <c r="N329" s="26" t="str">
        <f t="shared" si="22"/>
        <v/>
      </c>
      <c r="O329" s="26" t="str">
        <f t="shared" si="23"/>
        <v/>
      </c>
      <c r="P329" s="10"/>
    </row>
    <row r="330" ht="18" customHeight="1" spans="1:16">
      <c r="A330" s="32" t="str">
        <f t="shared" si="20"/>
        <v/>
      </c>
      <c r="B330" s="100" t="str">
        <f>IF($E330="","",INDEX(进销存对接!$C$4:$C$305,109))</f>
        <v/>
      </c>
      <c r="C330" s="26" t="str">
        <f t="shared" si="21"/>
        <v/>
      </c>
      <c r="D330" s="32" t="str">
        <f>IF($E330="","",INDEX(进销存对接!$D$4:$D$305,109)&amp;" "&amp;TEXT($B330,"YYYY年M月")&amp;" 自动结转")</f>
        <v/>
      </c>
      <c r="E330" s="26" t="str">
        <f>IF(INDEX(进销存对接!$M$4:$U$305,109,7)=0,"",INDEX(进销存对接!$M$4:$U$305,109,7))</f>
        <v/>
      </c>
      <c r="F330" s="25" t="str">
        <f>IF($E330="","",IFERROR(INDEX(科目表!$A$4:$A$81,MATCH($E330,科目表!$B$4:$B$81,0)),""))</f>
        <v/>
      </c>
      <c r="G330" s="26" t="str">
        <f>IF($E330="","",IFERROR(INDEX(科目表!$E$4:$E$81,MATCH($E330,科目表!$B$4:$B$81,0)),""))</f>
        <v/>
      </c>
      <c r="H330" s="27" t="str">
        <f>IF($E330="","",N(INDEX(进销存对接!$M$4:$U$305,109,8)))</f>
        <v/>
      </c>
      <c r="I330" s="27" t="str">
        <f>IF($E330="","",N(INDEX(进销存对接!$M$4:$U$305,109,9)))</f>
        <v/>
      </c>
      <c r="J330" s="26"/>
      <c r="K330" s="26" t="str">
        <f>IF($E330="","",INDEX(进销存对接!$D$4:$D$305,109))</f>
        <v/>
      </c>
      <c r="L330" s="32"/>
      <c r="M330" s="32"/>
      <c r="N330" s="26" t="str">
        <f t="shared" si="22"/>
        <v/>
      </c>
      <c r="O330" s="26" t="str">
        <f t="shared" si="23"/>
        <v/>
      </c>
      <c r="P330" s="10"/>
    </row>
    <row r="331" ht="18" customHeight="1" spans="1:16">
      <c r="A331" s="32" t="str">
        <f t="shared" si="20"/>
        <v/>
      </c>
      <c r="B331" s="100" t="str">
        <f>IF($E331="","",INDEX(进销存对接!$C$4:$C$305,110))</f>
        <v/>
      </c>
      <c r="C331" s="26" t="str">
        <f t="shared" si="21"/>
        <v/>
      </c>
      <c r="D331" s="32" t="str">
        <f>IF($E331="","",INDEX(进销存对接!$D$4:$D$305,110)&amp;" "&amp;TEXT($B331,"YYYY年M月")&amp;" 自动结转")</f>
        <v/>
      </c>
      <c r="E331" s="26" t="str">
        <f>IF(INDEX(进销存对接!$M$4:$U$305,110,1)=0,"",INDEX(进销存对接!$M$4:$U$305,110,1))</f>
        <v/>
      </c>
      <c r="F331" s="25" t="str">
        <f>IF($E331="","",IFERROR(INDEX(科目表!$A$4:$A$81,MATCH($E331,科目表!$B$4:$B$81,0)),""))</f>
        <v/>
      </c>
      <c r="G331" s="26" t="str">
        <f>IF($E331="","",IFERROR(INDEX(科目表!$E$4:$E$81,MATCH($E331,科目表!$B$4:$B$81,0)),""))</f>
        <v/>
      </c>
      <c r="H331" s="27" t="str">
        <f>IF($E331="","",N(INDEX(进销存对接!$M$4:$U$305,110,2)))</f>
        <v/>
      </c>
      <c r="I331" s="27" t="str">
        <f>IF($E331="","",N(INDEX(进销存对接!$M$4:$U$305,110,3)))</f>
        <v/>
      </c>
      <c r="J331" s="26"/>
      <c r="K331" s="26" t="str">
        <f>IF($E331="","",INDEX(进销存对接!$D$4:$D$305,110))</f>
        <v/>
      </c>
      <c r="L331" s="32"/>
      <c r="M331" s="32"/>
      <c r="N331" s="26" t="str">
        <f t="shared" si="22"/>
        <v/>
      </c>
      <c r="O331" s="26" t="str">
        <f t="shared" si="23"/>
        <v/>
      </c>
      <c r="P331" s="10"/>
    </row>
    <row r="332" ht="18" customHeight="1" spans="1:16">
      <c r="A332" s="32" t="str">
        <f t="shared" si="20"/>
        <v/>
      </c>
      <c r="B332" s="100" t="str">
        <f>IF($E332="","",INDEX(进销存对接!$C$4:$C$305,110))</f>
        <v/>
      </c>
      <c r="C332" s="26" t="str">
        <f t="shared" si="21"/>
        <v/>
      </c>
      <c r="D332" s="32" t="str">
        <f>IF($E332="","",INDEX(进销存对接!$D$4:$D$305,110)&amp;" "&amp;TEXT($B332,"YYYY年M月")&amp;" 自动结转")</f>
        <v/>
      </c>
      <c r="E332" s="26" t="str">
        <f>IF(INDEX(进销存对接!$M$4:$U$305,110,4)=0,"",INDEX(进销存对接!$M$4:$U$305,110,4))</f>
        <v/>
      </c>
      <c r="F332" s="25" t="str">
        <f>IF($E332="","",IFERROR(INDEX(科目表!$A$4:$A$81,MATCH($E332,科目表!$B$4:$B$81,0)),""))</f>
        <v/>
      </c>
      <c r="G332" s="26" t="str">
        <f>IF($E332="","",IFERROR(INDEX(科目表!$E$4:$E$81,MATCH($E332,科目表!$B$4:$B$81,0)),""))</f>
        <v/>
      </c>
      <c r="H332" s="27" t="str">
        <f>IF($E332="","",N(INDEX(进销存对接!$M$4:$U$305,110,5)))</f>
        <v/>
      </c>
      <c r="I332" s="27" t="str">
        <f>IF($E332="","",N(INDEX(进销存对接!$M$4:$U$305,110,6)))</f>
        <v/>
      </c>
      <c r="J332" s="26"/>
      <c r="K332" s="26" t="str">
        <f>IF($E332="","",INDEX(进销存对接!$D$4:$D$305,110))</f>
        <v/>
      </c>
      <c r="L332" s="32"/>
      <c r="M332" s="32"/>
      <c r="N332" s="26" t="str">
        <f t="shared" si="22"/>
        <v/>
      </c>
      <c r="O332" s="26" t="str">
        <f t="shared" si="23"/>
        <v/>
      </c>
      <c r="P332" s="10"/>
    </row>
    <row r="333" ht="18" customHeight="1" spans="1:16">
      <c r="A333" s="32" t="str">
        <f t="shared" si="20"/>
        <v/>
      </c>
      <c r="B333" s="100" t="str">
        <f>IF($E333="","",INDEX(进销存对接!$C$4:$C$305,110))</f>
        <v/>
      </c>
      <c r="C333" s="26" t="str">
        <f t="shared" si="21"/>
        <v/>
      </c>
      <c r="D333" s="32" t="str">
        <f>IF($E333="","",INDEX(进销存对接!$D$4:$D$305,110)&amp;" "&amp;TEXT($B333,"YYYY年M月")&amp;" 自动结转")</f>
        <v/>
      </c>
      <c r="E333" s="26" t="str">
        <f>IF(INDEX(进销存对接!$M$4:$U$305,110,7)=0,"",INDEX(进销存对接!$M$4:$U$305,110,7))</f>
        <v/>
      </c>
      <c r="F333" s="25" t="str">
        <f>IF($E333="","",IFERROR(INDEX(科目表!$A$4:$A$81,MATCH($E333,科目表!$B$4:$B$81,0)),""))</f>
        <v/>
      </c>
      <c r="G333" s="26" t="str">
        <f>IF($E333="","",IFERROR(INDEX(科目表!$E$4:$E$81,MATCH($E333,科目表!$B$4:$B$81,0)),""))</f>
        <v/>
      </c>
      <c r="H333" s="27" t="str">
        <f>IF($E333="","",N(INDEX(进销存对接!$M$4:$U$305,110,8)))</f>
        <v/>
      </c>
      <c r="I333" s="27" t="str">
        <f>IF($E333="","",N(INDEX(进销存对接!$M$4:$U$305,110,9)))</f>
        <v/>
      </c>
      <c r="J333" s="26"/>
      <c r="K333" s="26" t="str">
        <f>IF($E333="","",INDEX(进销存对接!$D$4:$D$305,110))</f>
        <v/>
      </c>
      <c r="L333" s="32"/>
      <c r="M333" s="32"/>
      <c r="N333" s="26" t="str">
        <f t="shared" si="22"/>
        <v/>
      </c>
      <c r="O333" s="26" t="str">
        <f t="shared" si="23"/>
        <v/>
      </c>
      <c r="P333" s="10"/>
    </row>
    <row r="334" ht="18" customHeight="1" spans="1:16">
      <c r="A334" s="32" t="str">
        <f t="shared" si="20"/>
        <v/>
      </c>
      <c r="B334" s="100" t="str">
        <f>IF($E334="","",INDEX(进销存对接!$C$4:$C$305,111))</f>
        <v/>
      </c>
      <c r="C334" s="26" t="str">
        <f t="shared" si="21"/>
        <v/>
      </c>
      <c r="D334" s="32" t="str">
        <f>IF($E334="","",INDEX(进销存对接!$D$4:$D$305,111)&amp;" "&amp;TEXT($B334,"YYYY年M月")&amp;" 自动结转")</f>
        <v/>
      </c>
      <c r="E334" s="26" t="str">
        <f>IF(INDEX(进销存对接!$M$4:$U$305,111,1)=0,"",INDEX(进销存对接!$M$4:$U$305,111,1))</f>
        <v/>
      </c>
      <c r="F334" s="25" t="str">
        <f>IF($E334="","",IFERROR(INDEX(科目表!$A$4:$A$81,MATCH($E334,科目表!$B$4:$B$81,0)),""))</f>
        <v/>
      </c>
      <c r="G334" s="26" t="str">
        <f>IF($E334="","",IFERROR(INDEX(科目表!$E$4:$E$81,MATCH($E334,科目表!$B$4:$B$81,0)),""))</f>
        <v/>
      </c>
      <c r="H334" s="27" t="str">
        <f>IF($E334="","",N(INDEX(进销存对接!$M$4:$U$305,111,2)))</f>
        <v/>
      </c>
      <c r="I334" s="27" t="str">
        <f>IF($E334="","",N(INDEX(进销存对接!$M$4:$U$305,111,3)))</f>
        <v/>
      </c>
      <c r="J334" s="26"/>
      <c r="K334" s="26" t="str">
        <f>IF($E334="","",INDEX(进销存对接!$D$4:$D$305,111))</f>
        <v/>
      </c>
      <c r="L334" s="32"/>
      <c r="M334" s="32"/>
      <c r="N334" s="26" t="str">
        <f t="shared" si="22"/>
        <v/>
      </c>
      <c r="O334" s="26" t="str">
        <f t="shared" si="23"/>
        <v/>
      </c>
      <c r="P334" s="10"/>
    </row>
    <row r="335" ht="18" customHeight="1" spans="1:16">
      <c r="A335" s="32" t="str">
        <f t="shared" si="20"/>
        <v/>
      </c>
      <c r="B335" s="100" t="str">
        <f>IF($E335="","",INDEX(进销存对接!$C$4:$C$305,111))</f>
        <v/>
      </c>
      <c r="C335" s="26" t="str">
        <f t="shared" si="21"/>
        <v/>
      </c>
      <c r="D335" s="32" t="str">
        <f>IF($E335="","",INDEX(进销存对接!$D$4:$D$305,111)&amp;" "&amp;TEXT($B335,"YYYY年M月")&amp;" 自动结转")</f>
        <v/>
      </c>
      <c r="E335" s="26" t="str">
        <f>IF(INDEX(进销存对接!$M$4:$U$305,111,4)=0,"",INDEX(进销存对接!$M$4:$U$305,111,4))</f>
        <v/>
      </c>
      <c r="F335" s="25" t="str">
        <f>IF($E335="","",IFERROR(INDEX(科目表!$A$4:$A$81,MATCH($E335,科目表!$B$4:$B$81,0)),""))</f>
        <v/>
      </c>
      <c r="G335" s="26" t="str">
        <f>IF($E335="","",IFERROR(INDEX(科目表!$E$4:$E$81,MATCH($E335,科目表!$B$4:$B$81,0)),""))</f>
        <v/>
      </c>
      <c r="H335" s="27" t="str">
        <f>IF($E335="","",N(INDEX(进销存对接!$M$4:$U$305,111,5)))</f>
        <v/>
      </c>
      <c r="I335" s="27" t="str">
        <f>IF($E335="","",N(INDEX(进销存对接!$M$4:$U$305,111,6)))</f>
        <v/>
      </c>
      <c r="J335" s="26"/>
      <c r="K335" s="26" t="str">
        <f>IF($E335="","",INDEX(进销存对接!$D$4:$D$305,111))</f>
        <v/>
      </c>
      <c r="L335" s="32"/>
      <c r="M335" s="32"/>
      <c r="N335" s="26" t="str">
        <f t="shared" si="22"/>
        <v/>
      </c>
      <c r="O335" s="26" t="str">
        <f t="shared" si="23"/>
        <v/>
      </c>
      <c r="P335" s="10"/>
    </row>
    <row r="336" ht="18" customHeight="1" spans="1:16">
      <c r="A336" s="32" t="str">
        <f t="shared" si="20"/>
        <v/>
      </c>
      <c r="B336" s="100" t="str">
        <f>IF($E336="","",INDEX(进销存对接!$C$4:$C$305,111))</f>
        <v/>
      </c>
      <c r="C336" s="26" t="str">
        <f t="shared" si="21"/>
        <v/>
      </c>
      <c r="D336" s="32" t="str">
        <f>IF($E336="","",INDEX(进销存对接!$D$4:$D$305,111)&amp;" "&amp;TEXT($B336,"YYYY年M月")&amp;" 自动结转")</f>
        <v/>
      </c>
      <c r="E336" s="26" t="str">
        <f>IF(INDEX(进销存对接!$M$4:$U$305,111,7)=0,"",INDEX(进销存对接!$M$4:$U$305,111,7))</f>
        <v/>
      </c>
      <c r="F336" s="25" t="str">
        <f>IF($E336="","",IFERROR(INDEX(科目表!$A$4:$A$81,MATCH($E336,科目表!$B$4:$B$81,0)),""))</f>
        <v/>
      </c>
      <c r="G336" s="26" t="str">
        <f>IF($E336="","",IFERROR(INDEX(科目表!$E$4:$E$81,MATCH($E336,科目表!$B$4:$B$81,0)),""))</f>
        <v/>
      </c>
      <c r="H336" s="27" t="str">
        <f>IF($E336="","",N(INDEX(进销存对接!$M$4:$U$305,111,8)))</f>
        <v/>
      </c>
      <c r="I336" s="27" t="str">
        <f>IF($E336="","",N(INDEX(进销存对接!$M$4:$U$305,111,9)))</f>
        <v/>
      </c>
      <c r="J336" s="26"/>
      <c r="K336" s="26" t="str">
        <f>IF($E336="","",INDEX(进销存对接!$D$4:$D$305,111))</f>
        <v/>
      </c>
      <c r="L336" s="32"/>
      <c r="M336" s="32"/>
      <c r="N336" s="26" t="str">
        <f t="shared" si="22"/>
        <v/>
      </c>
      <c r="O336" s="26" t="str">
        <f t="shared" si="23"/>
        <v/>
      </c>
      <c r="P336" s="10"/>
    </row>
    <row r="337" ht="18" customHeight="1" spans="1:16">
      <c r="A337" s="32" t="str">
        <f t="shared" si="20"/>
        <v/>
      </c>
      <c r="B337" s="100" t="str">
        <f>IF($E337="","",INDEX(进销存对接!$C$4:$C$305,112))</f>
        <v/>
      </c>
      <c r="C337" s="26" t="str">
        <f t="shared" si="21"/>
        <v/>
      </c>
      <c r="D337" s="32" t="str">
        <f>IF($E337="","",INDEX(进销存对接!$D$4:$D$305,112)&amp;" "&amp;TEXT($B337,"YYYY年M月")&amp;" 自动结转")</f>
        <v/>
      </c>
      <c r="E337" s="26" t="str">
        <f>IF(INDEX(进销存对接!$M$4:$U$305,112,1)=0,"",INDEX(进销存对接!$M$4:$U$305,112,1))</f>
        <v/>
      </c>
      <c r="F337" s="25" t="str">
        <f>IF($E337="","",IFERROR(INDEX(科目表!$A$4:$A$81,MATCH($E337,科目表!$B$4:$B$81,0)),""))</f>
        <v/>
      </c>
      <c r="G337" s="26" t="str">
        <f>IF($E337="","",IFERROR(INDEX(科目表!$E$4:$E$81,MATCH($E337,科目表!$B$4:$B$81,0)),""))</f>
        <v/>
      </c>
      <c r="H337" s="27" t="str">
        <f>IF($E337="","",N(INDEX(进销存对接!$M$4:$U$305,112,2)))</f>
        <v/>
      </c>
      <c r="I337" s="27" t="str">
        <f>IF($E337="","",N(INDEX(进销存对接!$M$4:$U$305,112,3)))</f>
        <v/>
      </c>
      <c r="J337" s="26"/>
      <c r="K337" s="26" t="str">
        <f>IF($E337="","",INDEX(进销存对接!$D$4:$D$305,112))</f>
        <v/>
      </c>
      <c r="L337" s="32"/>
      <c r="M337" s="32"/>
      <c r="N337" s="26" t="str">
        <f t="shared" si="22"/>
        <v/>
      </c>
      <c r="O337" s="26" t="str">
        <f t="shared" si="23"/>
        <v/>
      </c>
      <c r="P337" s="10"/>
    </row>
    <row r="338" ht="18" customHeight="1" spans="1:16">
      <c r="A338" s="32" t="str">
        <f t="shared" si="20"/>
        <v/>
      </c>
      <c r="B338" s="100" t="str">
        <f>IF($E338="","",INDEX(进销存对接!$C$4:$C$305,112))</f>
        <v/>
      </c>
      <c r="C338" s="26" t="str">
        <f t="shared" si="21"/>
        <v/>
      </c>
      <c r="D338" s="32" t="str">
        <f>IF($E338="","",INDEX(进销存对接!$D$4:$D$305,112)&amp;" "&amp;TEXT($B338,"YYYY年M月")&amp;" 自动结转")</f>
        <v/>
      </c>
      <c r="E338" s="26" t="str">
        <f>IF(INDEX(进销存对接!$M$4:$U$305,112,4)=0,"",INDEX(进销存对接!$M$4:$U$305,112,4))</f>
        <v/>
      </c>
      <c r="F338" s="25" t="str">
        <f>IF($E338="","",IFERROR(INDEX(科目表!$A$4:$A$81,MATCH($E338,科目表!$B$4:$B$81,0)),""))</f>
        <v/>
      </c>
      <c r="G338" s="26" t="str">
        <f>IF($E338="","",IFERROR(INDEX(科目表!$E$4:$E$81,MATCH($E338,科目表!$B$4:$B$81,0)),""))</f>
        <v/>
      </c>
      <c r="H338" s="27" t="str">
        <f>IF($E338="","",N(INDEX(进销存对接!$M$4:$U$305,112,5)))</f>
        <v/>
      </c>
      <c r="I338" s="27" t="str">
        <f>IF($E338="","",N(INDEX(进销存对接!$M$4:$U$305,112,6)))</f>
        <v/>
      </c>
      <c r="J338" s="26"/>
      <c r="K338" s="26" t="str">
        <f>IF($E338="","",INDEX(进销存对接!$D$4:$D$305,112))</f>
        <v/>
      </c>
      <c r="L338" s="32"/>
      <c r="M338" s="32"/>
      <c r="N338" s="26" t="str">
        <f t="shared" si="22"/>
        <v/>
      </c>
      <c r="O338" s="26" t="str">
        <f t="shared" si="23"/>
        <v/>
      </c>
      <c r="P338" s="10"/>
    </row>
    <row r="339" ht="18" customHeight="1" spans="1:16">
      <c r="A339" s="32" t="str">
        <f t="shared" si="20"/>
        <v/>
      </c>
      <c r="B339" s="100" t="str">
        <f>IF($E339="","",INDEX(进销存对接!$C$4:$C$305,112))</f>
        <v/>
      </c>
      <c r="C339" s="26" t="str">
        <f t="shared" si="21"/>
        <v/>
      </c>
      <c r="D339" s="32" t="str">
        <f>IF($E339="","",INDEX(进销存对接!$D$4:$D$305,112)&amp;" "&amp;TEXT($B339,"YYYY年M月")&amp;" 自动结转")</f>
        <v/>
      </c>
      <c r="E339" s="26" t="str">
        <f>IF(INDEX(进销存对接!$M$4:$U$305,112,7)=0,"",INDEX(进销存对接!$M$4:$U$305,112,7))</f>
        <v/>
      </c>
      <c r="F339" s="25" t="str">
        <f>IF($E339="","",IFERROR(INDEX(科目表!$A$4:$A$81,MATCH($E339,科目表!$B$4:$B$81,0)),""))</f>
        <v/>
      </c>
      <c r="G339" s="26" t="str">
        <f>IF($E339="","",IFERROR(INDEX(科目表!$E$4:$E$81,MATCH($E339,科目表!$B$4:$B$81,0)),""))</f>
        <v/>
      </c>
      <c r="H339" s="27" t="str">
        <f>IF($E339="","",N(INDEX(进销存对接!$M$4:$U$305,112,8)))</f>
        <v/>
      </c>
      <c r="I339" s="27" t="str">
        <f>IF($E339="","",N(INDEX(进销存对接!$M$4:$U$305,112,9)))</f>
        <v/>
      </c>
      <c r="J339" s="26"/>
      <c r="K339" s="26" t="str">
        <f>IF($E339="","",INDEX(进销存对接!$D$4:$D$305,112))</f>
        <v/>
      </c>
      <c r="L339" s="32"/>
      <c r="M339" s="32"/>
      <c r="N339" s="26" t="str">
        <f t="shared" si="22"/>
        <v/>
      </c>
      <c r="O339" s="26" t="str">
        <f t="shared" si="23"/>
        <v/>
      </c>
      <c r="P339" s="10"/>
    </row>
    <row r="340" ht="18" customHeight="1" spans="1:16">
      <c r="A340" s="32" t="str">
        <f t="shared" si="20"/>
        <v/>
      </c>
      <c r="B340" s="100" t="str">
        <f>IF($E340="","",INDEX(进销存对接!$C$4:$C$305,113))</f>
        <v/>
      </c>
      <c r="C340" s="26" t="str">
        <f t="shared" si="21"/>
        <v/>
      </c>
      <c r="D340" s="32" t="str">
        <f>IF($E340="","",INDEX(进销存对接!$D$4:$D$305,113)&amp;" "&amp;TEXT($B340,"YYYY年M月")&amp;" 自动结转")</f>
        <v/>
      </c>
      <c r="E340" s="26" t="str">
        <f>IF(INDEX(进销存对接!$M$4:$U$305,113,1)=0,"",INDEX(进销存对接!$M$4:$U$305,113,1))</f>
        <v/>
      </c>
      <c r="F340" s="25" t="str">
        <f>IF($E340="","",IFERROR(INDEX(科目表!$A$4:$A$81,MATCH($E340,科目表!$B$4:$B$81,0)),""))</f>
        <v/>
      </c>
      <c r="G340" s="26" t="str">
        <f>IF($E340="","",IFERROR(INDEX(科目表!$E$4:$E$81,MATCH($E340,科目表!$B$4:$B$81,0)),""))</f>
        <v/>
      </c>
      <c r="H340" s="27" t="str">
        <f>IF($E340="","",N(INDEX(进销存对接!$M$4:$U$305,113,2)))</f>
        <v/>
      </c>
      <c r="I340" s="27" t="str">
        <f>IF($E340="","",N(INDEX(进销存对接!$M$4:$U$305,113,3)))</f>
        <v/>
      </c>
      <c r="J340" s="26"/>
      <c r="K340" s="26" t="str">
        <f>IF($E340="","",INDEX(进销存对接!$D$4:$D$305,113))</f>
        <v/>
      </c>
      <c r="L340" s="32"/>
      <c r="M340" s="32"/>
      <c r="N340" s="26" t="str">
        <f t="shared" si="22"/>
        <v/>
      </c>
      <c r="O340" s="26" t="str">
        <f t="shared" si="23"/>
        <v/>
      </c>
      <c r="P340" s="10"/>
    </row>
    <row r="341" ht="18" customHeight="1" spans="1:16">
      <c r="A341" s="32" t="str">
        <f t="shared" si="20"/>
        <v/>
      </c>
      <c r="B341" s="100" t="str">
        <f>IF($E341="","",INDEX(进销存对接!$C$4:$C$305,113))</f>
        <v/>
      </c>
      <c r="C341" s="26" t="str">
        <f t="shared" si="21"/>
        <v/>
      </c>
      <c r="D341" s="32" t="str">
        <f>IF($E341="","",INDEX(进销存对接!$D$4:$D$305,113)&amp;" "&amp;TEXT($B341,"YYYY年M月")&amp;" 自动结转")</f>
        <v/>
      </c>
      <c r="E341" s="26" t="str">
        <f>IF(INDEX(进销存对接!$M$4:$U$305,113,4)=0,"",INDEX(进销存对接!$M$4:$U$305,113,4))</f>
        <v/>
      </c>
      <c r="F341" s="25" t="str">
        <f>IF($E341="","",IFERROR(INDEX(科目表!$A$4:$A$81,MATCH($E341,科目表!$B$4:$B$81,0)),""))</f>
        <v/>
      </c>
      <c r="G341" s="26" t="str">
        <f>IF($E341="","",IFERROR(INDEX(科目表!$E$4:$E$81,MATCH($E341,科目表!$B$4:$B$81,0)),""))</f>
        <v/>
      </c>
      <c r="H341" s="27" t="str">
        <f>IF($E341="","",N(INDEX(进销存对接!$M$4:$U$305,113,5)))</f>
        <v/>
      </c>
      <c r="I341" s="27" t="str">
        <f>IF($E341="","",N(INDEX(进销存对接!$M$4:$U$305,113,6)))</f>
        <v/>
      </c>
      <c r="J341" s="26"/>
      <c r="K341" s="26" t="str">
        <f>IF($E341="","",INDEX(进销存对接!$D$4:$D$305,113))</f>
        <v/>
      </c>
      <c r="L341" s="32"/>
      <c r="M341" s="32"/>
      <c r="N341" s="26" t="str">
        <f t="shared" si="22"/>
        <v/>
      </c>
      <c r="O341" s="26" t="str">
        <f t="shared" si="23"/>
        <v/>
      </c>
      <c r="P341" s="10"/>
    </row>
    <row r="342" ht="18" customHeight="1" spans="1:16">
      <c r="A342" s="32" t="str">
        <f t="shared" si="20"/>
        <v/>
      </c>
      <c r="B342" s="100" t="str">
        <f>IF($E342="","",INDEX(进销存对接!$C$4:$C$305,113))</f>
        <v/>
      </c>
      <c r="C342" s="26" t="str">
        <f t="shared" si="21"/>
        <v/>
      </c>
      <c r="D342" s="32" t="str">
        <f>IF($E342="","",INDEX(进销存对接!$D$4:$D$305,113)&amp;" "&amp;TEXT($B342,"YYYY年M月")&amp;" 自动结转")</f>
        <v/>
      </c>
      <c r="E342" s="26" t="str">
        <f>IF(INDEX(进销存对接!$M$4:$U$305,113,7)=0,"",INDEX(进销存对接!$M$4:$U$305,113,7))</f>
        <v/>
      </c>
      <c r="F342" s="25" t="str">
        <f>IF($E342="","",IFERROR(INDEX(科目表!$A$4:$A$81,MATCH($E342,科目表!$B$4:$B$81,0)),""))</f>
        <v/>
      </c>
      <c r="G342" s="26" t="str">
        <f>IF($E342="","",IFERROR(INDEX(科目表!$E$4:$E$81,MATCH($E342,科目表!$B$4:$B$81,0)),""))</f>
        <v/>
      </c>
      <c r="H342" s="27" t="str">
        <f>IF($E342="","",N(INDEX(进销存对接!$M$4:$U$305,113,8)))</f>
        <v/>
      </c>
      <c r="I342" s="27" t="str">
        <f>IF($E342="","",N(INDEX(进销存对接!$M$4:$U$305,113,9)))</f>
        <v/>
      </c>
      <c r="J342" s="26"/>
      <c r="K342" s="26" t="str">
        <f>IF($E342="","",INDEX(进销存对接!$D$4:$D$305,113))</f>
        <v/>
      </c>
      <c r="L342" s="32"/>
      <c r="M342" s="32"/>
      <c r="N342" s="26" t="str">
        <f t="shared" si="22"/>
        <v/>
      </c>
      <c r="O342" s="26" t="str">
        <f t="shared" si="23"/>
        <v/>
      </c>
      <c r="P342" s="10"/>
    </row>
    <row r="343" ht="18" customHeight="1" spans="1:16">
      <c r="A343" s="32" t="str">
        <f t="shared" si="20"/>
        <v/>
      </c>
      <c r="B343" s="100" t="str">
        <f>IF($E343="","",INDEX(进销存对接!$C$4:$C$305,114))</f>
        <v/>
      </c>
      <c r="C343" s="26" t="str">
        <f t="shared" si="21"/>
        <v/>
      </c>
      <c r="D343" s="32" t="str">
        <f>IF($E343="","",INDEX(进销存对接!$D$4:$D$305,114)&amp;" "&amp;TEXT($B343,"YYYY年M月")&amp;" 自动结转")</f>
        <v/>
      </c>
      <c r="E343" s="26" t="str">
        <f>IF(INDEX(进销存对接!$M$4:$U$305,114,1)=0,"",INDEX(进销存对接!$M$4:$U$305,114,1))</f>
        <v/>
      </c>
      <c r="F343" s="25" t="str">
        <f>IF($E343="","",IFERROR(INDEX(科目表!$A$4:$A$81,MATCH($E343,科目表!$B$4:$B$81,0)),""))</f>
        <v/>
      </c>
      <c r="G343" s="26" t="str">
        <f>IF($E343="","",IFERROR(INDEX(科目表!$E$4:$E$81,MATCH($E343,科目表!$B$4:$B$81,0)),""))</f>
        <v/>
      </c>
      <c r="H343" s="27" t="str">
        <f>IF($E343="","",N(INDEX(进销存对接!$M$4:$U$305,114,2)))</f>
        <v/>
      </c>
      <c r="I343" s="27" t="str">
        <f>IF($E343="","",N(INDEX(进销存对接!$M$4:$U$305,114,3)))</f>
        <v/>
      </c>
      <c r="J343" s="26"/>
      <c r="K343" s="26" t="str">
        <f>IF($E343="","",INDEX(进销存对接!$D$4:$D$305,114))</f>
        <v/>
      </c>
      <c r="L343" s="32"/>
      <c r="M343" s="32"/>
      <c r="N343" s="26" t="str">
        <f t="shared" si="22"/>
        <v/>
      </c>
      <c r="O343" s="26" t="str">
        <f t="shared" si="23"/>
        <v/>
      </c>
      <c r="P343" s="10"/>
    </row>
    <row r="344" ht="18" customHeight="1" spans="1:16">
      <c r="A344" s="32" t="str">
        <f t="shared" si="20"/>
        <v/>
      </c>
      <c r="B344" s="100" t="str">
        <f>IF($E344="","",INDEX(进销存对接!$C$4:$C$305,114))</f>
        <v/>
      </c>
      <c r="C344" s="26" t="str">
        <f t="shared" si="21"/>
        <v/>
      </c>
      <c r="D344" s="32" t="str">
        <f>IF($E344="","",INDEX(进销存对接!$D$4:$D$305,114)&amp;" "&amp;TEXT($B344,"YYYY年M月")&amp;" 自动结转")</f>
        <v/>
      </c>
      <c r="E344" s="26" t="str">
        <f>IF(INDEX(进销存对接!$M$4:$U$305,114,4)=0,"",INDEX(进销存对接!$M$4:$U$305,114,4))</f>
        <v/>
      </c>
      <c r="F344" s="25" t="str">
        <f>IF($E344="","",IFERROR(INDEX(科目表!$A$4:$A$81,MATCH($E344,科目表!$B$4:$B$81,0)),""))</f>
        <v/>
      </c>
      <c r="G344" s="26" t="str">
        <f>IF($E344="","",IFERROR(INDEX(科目表!$E$4:$E$81,MATCH($E344,科目表!$B$4:$B$81,0)),""))</f>
        <v/>
      </c>
      <c r="H344" s="27" t="str">
        <f>IF($E344="","",N(INDEX(进销存对接!$M$4:$U$305,114,5)))</f>
        <v/>
      </c>
      <c r="I344" s="27" t="str">
        <f>IF($E344="","",N(INDEX(进销存对接!$M$4:$U$305,114,6)))</f>
        <v/>
      </c>
      <c r="J344" s="26"/>
      <c r="K344" s="26" t="str">
        <f>IF($E344="","",INDEX(进销存对接!$D$4:$D$305,114))</f>
        <v/>
      </c>
      <c r="L344" s="32"/>
      <c r="M344" s="32"/>
      <c r="N344" s="26" t="str">
        <f t="shared" si="22"/>
        <v/>
      </c>
      <c r="O344" s="26" t="str">
        <f t="shared" si="23"/>
        <v/>
      </c>
      <c r="P344" s="10"/>
    </row>
    <row r="345" ht="18" customHeight="1" spans="1:16">
      <c r="A345" s="32" t="str">
        <f t="shared" si="20"/>
        <v/>
      </c>
      <c r="B345" s="100" t="str">
        <f>IF($E345="","",INDEX(进销存对接!$C$4:$C$305,114))</f>
        <v/>
      </c>
      <c r="C345" s="26" t="str">
        <f t="shared" si="21"/>
        <v/>
      </c>
      <c r="D345" s="32" t="str">
        <f>IF($E345="","",INDEX(进销存对接!$D$4:$D$305,114)&amp;" "&amp;TEXT($B345,"YYYY年M月")&amp;" 自动结转")</f>
        <v/>
      </c>
      <c r="E345" s="26" t="str">
        <f>IF(INDEX(进销存对接!$M$4:$U$305,114,7)=0,"",INDEX(进销存对接!$M$4:$U$305,114,7))</f>
        <v/>
      </c>
      <c r="F345" s="25" t="str">
        <f>IF($E345="","",IFERROR(INDEX(科目表!$A$4:$A$81,MATCH($E345,科目表!$B$4:$B$81,0)),""))</f>
        <v/>
      </c>
      <c r="G345" s="26" t="str">
        <f>IF($E345="","",IFERROR(INDEX(科目表!$E$4:$E$81,MATCH($E345,科目表!$B$4:$B$81,0)),""))</f>
        <v/>
      </c>
      <c r="H345" s="27" t="str">
        <f>IF($E345="","",N(INDEX(进销存对接!$M$4:$U$305,114,8)))</f>
        <v/>
      </c>
      <c r="I345" s="27" t="str">
        <f>IF($E345="","",N(INDEX(进销存对接!$M$4:$U$305,114,9)))</f>
        <v/>
      </c>
      <c r="J345" s="26"/>
      <c r="K345" s="26" t="str">
        <f>IF($E345="","",INDEX(进销存对接!$D$4:$D$305,114))</f>
        <v/>
      </c>
      <c r="L345" s="32"/>
      <c r="M345" s="32"/>
      <c r="N345" s="26" t="str">
        <f t="shared" si="22"/>
        <v/>
      </c>
      <c r="O345" s="26" t="str">
        <f t="shared" si="23"/>
        <v/>
      </c>
      <c r="P345" s="10"/>
    </row>
    <row r="346" ht="18" customHeight="1" spans="1:16">
      <c r="A346" s="32" t="str">
        <f t="shared" si="20"/>
        <v/>
      </c>
      <c r="B346" s="100" t="str">
        <f>IF($E346="","",INDEX(进销存对接!$C$4:$C$305,115))</f>
        <v/>
      </c>
      <c r="C346" s="26" t="str">
        <f t="shared" si="21"/>
        <v/>
      </c>
      <c r="D346" s="32" t="str">
        <f>IF($E346="","",INDEX(进销存对接!$D$4:$D$305,115)&amp;" "&amp;TEXT($B346,"YYYY年M月")&amp;" 自动结转")</f>
        <v/>
      </c>
      <c r="E346" s="26" t="str">
        <f>IF(INDEX(进销存对接!$M$4:$U$305,115,1)=0,"",INDEX(进销存对接!$M$4:$U$305,115,1))</f>
        <v/>
      </c>
      <c r="F346" s="25" t="str">
        <f>IF($E346="","",IFERROR(INDEX(科目表!$A$4:$A$81,MATCH($E346,科目表!$B$4:$B$81,0)),""))</f>
        <v/>
      </c>
      <c r="G346" s="26" t="str">
        <f>IF($E346="","",IFERROR(INDEX(科目表!$E$4:$E$81,MATCH($E346,科目表!$B$4:$B$81,0)),""))</f>
        <v/>
      </c>
      <c r="H346" s="27" t="str">
        <f>IF($E346="","",N(INDEX(进销存对接!$M$4:$U$305,115,2)))</f>
        <v/>
      </c>
      <c r="I346" s="27" t="str">
        <f>IF($E346="","",N(INDEX(进销存对接!$M$4:$U$305,115,3)))</f>
        <v/>
      </c>
      <c r="J346" s="26"/>
      <c r="K346" s="26" t="str">
        <f>IF($E346="","",INDEX(进销存对接!$D$4:$D$305,115))</f>
        <v/>
      </c>
      <c r="L346" s="32"/>
      <c r="M346" s="32"/>
      <c r="N346" s="26" t="str">
        <f t="shared" si="22"/>
        <v/>
      </c>
      <c r="O346" s="26" t="str">
        <f t="shared" si="23"/>
        <v/>
      </c>
      <c r="P346" s="10"/>
    </row>
    <row r="347" ht="18" customHeight="1" spans="1:16">
      <c r="A347" s="32" t="str">
        <f t="shared" si="20"/>
        <v/>
      </c>
      <c r="B347" s="100" t="str">
        <f>IF($E347="","",INDEX(进销存对接!$C$4:$C$305,115))</f>
        <v/>
      </c>
      <c r="C347" s="26" t="str">
        <f t="shared" si="21"/>
        <v/>
      </c>
      <c r="D347" s="32" t="str">
        <f>IF($E347="","",INDEX(进销存对接!$D$4:$D$305,115)&amp;" "&amp;TEXT($B347,"YYYY年M月")&amp;" 自动结转")</f>
        <v/>
      </c>
      <c r="E347" s="26" t="str">
        <f>IF(INDEX(进销存对接!$M$4:$U$305,115,4)=0,"",INDEX(进销存对接!$M$4:$U$305,115,4))</f>
        <v/>
      </c>
      <c r="F347" s="25" t="str">
        <f>IF($E347="","",IFERROR(INDEX(科目表!$A$4:$A$81,MATCH($E347,科目表!$B$4:$B$81,0)),""))</f>
        <v/>
      </c>
      <c r="G347" s="26" t="str">
        <f>IF($E347="","",IFERROR(INDEX(科目表!$E$4:$E$81,MATCH($E347,科目表!$B$4:$B$81,0)),""))</f>
        <v/>
      </c>
      <c r="H347" s="27" t="str">
        <f>IF($E347="","",N(INDEX(进销存对接!$M$4:$U$305,115,5)))</f>
        <v/>
      </c>
      <c r="I347" s="27" t="str">
        <f>IF($E347="","",N(INDEX(进销存对接!$M$4:$U$305,115,6)))</f>
        <v/>
      </c>
      <c r="J347" s="26"/>
      <c r="K347" s="26" t="str">
        <f>IF($E347="","",INDEX(进销存对接!$D$4:$D$305,115))</f>
        <v/>
      </c>
      <c r="L347" s="32"/>
      <c r="M347" s="32"/>
      <c r="N347" s="26" t="str">
        <f t="shared" si="22"/>
        <v/>
      </c>
      <c r="O347" s="26" t="str">
        <f t="shared" si="23"/>
        <v/>
      </c>
      <c r="P347" s="10"/>
    </row>
    <row r="348" ht="18" customHeight="1" spans="1:16">
      <c r="A348" s="32" t="str">
        <f t="shared" si="20"/>
        <v/>
      </c>
      <c r="B348" s="100" t="str">
        <f>IF($E348="","",INDEX(进销存对接!$C$4:$C$305,115))</f>
        <v/>
      </c>
      <c r="C348" s="26" t="str">
        <f t="shared" si="21"/>
        <v/>
      </c>
      <c r="D348" s="32" t="str">
        <f>IF($E348="","",INDEX(进销存对接!$D$4:$D$305,115)&amp;" "&amp;TEXT($B348,"YYYY年M月")&amp;" 自动结转")</f>
        <v/>
      </c>
      <c r="E348" s="26" t="str">
        <f>IF(INDEX(进销存对接!$M$4:$U$305,115,7)=0,"",INDEX(进销存对接!$M$4:$U$305,115,7))</f>
        <v/>
      </c>
      <c r="F348" s="25" t="str">
        <f>IF($E348="","",IFERROR(INDEX(科目表!$A$4:$A$81,MATCH($E348,科目表!$B$4:$B$81,0)),""))</f>
        <v/>
      </c>
      <c r="G348" s="26" t="str">
        <f>IF($E348="","",IFERROR(INDEX(科目表!$E$4:$E$81,MATCH($E348,科目表!$B$4:$B$81,0)),""))</f>
        <v/>
      </c>
      <c r="H348" s="27" t="str">
        <f>IF($E348="","",N(INDEX(进销存对接!$M$4:$U$305,115,8)))</f>
        <v/>
      </c>
      <c r="I348" s="27" t="str">
        <f>IF($E348="","",N(INDEX(进销存对接!$M$4:$U$305,115,9)))</f>
        <v/>
      </c>
      <c r="J348" s="26"/>
      <c r="K348" s="26" t="str">
        <f>IF($E348="","",INDEX(进销存对接!$D$4:$D$305,115))</f>
        <v/>
      </c>
      <c r="L348" s="32"/>
      <c r="M348" s="32"/>
      <c r="N348" s="26" t="str">
        <f t="shared" si="22"/>
        <v/>
      </c>
      <c r="O348" s="26" t="str">
        <f t="shared" si="23"/>
        <v/>
      </c>
      <c r="P348" s="10"/>
    </row>
    <row r="349" ht="18" customHeight="1" spans="1:16">
      <c r="A349" s="32" t="str">
        <f t="shared" si="20"/>
        <v/>
      </c>
      <c r="B349" s="100" t="str">
        <f>IF($E349="","",INDEX(进销存对接!$C$4:$C$305,116))</f>
        <v/>
      </c>
      <c r="C349" s="26" t="str">
        <f t="shared" si="21"/>
        <v/>
      </c>
      <c r="D349" s="32" t="str">
        <f>IF($E349="","",INDEX(进销存对接!$D$4:$D$305,116)&amp;" "&amp;TEXT($B349,"YYYY年M月")&amp;" 自动结转")</f>
        <v/>
      </c>
      <c r="E349" s="26" t="str">
        <f>IF(INDEX(进销存对接!$M$4:$U$305,116,1)=0,"",INDEX(进销存对接!$M$4:$U$305,116,1))</f>
        <v/>
      </c>
      <c r="F349" s="25" t="str">
        <f>IF($E349="","",IFERROR(INDEX(科目表!$A$4:$A$81,MATCH($E349,科目表!$B$4:$B$81,0)),""))</f>
        <v/>
      </c>
      <c r="G349" s="26" t="str">
        <f>IF($E349="","",IFERROR(INDEX(科目表!$E$4:$E$81,MATCH($E349,科目表!$B$4:$B$81,0)),""))</f>
        <v/>
      </c>
      <c r="H349" s="27" t="str">
        <f>IF($E349="","",N(INDEX(进销存对接!$M$4:$U$305,116,2)))</f>
        <v/>
      </c>
      <c r="I349" s="27" t="str">
        <f>IF($E349="","",N(INDEX(进销存对接!$M$4:$U$305,116,3)))</f>
        <v/>
      </c>
      <c r="J349" s="26"/>
      <c r="K349" s="26" t="str">
        <f>IF($E349="","",INDEX(进销存对接!$D$4:$D$305,116))</f>
        <v/>
      </c>
      <c r="L349" s="32"/>
      <c r="M349" s="32"/>
      <c r="N349" s="26" t="str">
        <f t="shared" si="22"/>
        <v/>
      </c>
      <c r="O349" s="26" t="str">
        <f t="shared" si="23"/>
        <v/>
      </c>
      <c r="P349" s="10"/>
    </row>
    <row r="350" ht="18" customHeight="1" spans="1:16">
      <c r="A350" s="32" t="str">
        <f t="shared" si="20"/>
        <v/>
      </c>
      <c r="B350" s="100" t="str">
        <f>IF($E350="","",INDEX(进销存对接!$C$4:$C$305,116))</f>
        <v/>
      </c>
      <c r="C350" s="26" t="str">
        <f t="shared" si="21"/>
        <v/>
      </c>
      <c r="D350" s="32" t="str">
        <f>IF($E350="","",INDEX(进销存对接!$D$4:$D$305,116)&amp;" "&amp;TEXT($B350,"YYYY年M月")&amp;" 自动结转")</f>
        <v/>
      </c>
      <c r="E350" s="26" t="str">
        <f>IF(INDEX(进销存对接!$M$4:$U$305,116,4)=0,"",INDEX(进销存对接!$M$4:$U$305,116,4))</f>
        <v/>
      </c>
      <c r="F350" s="25" t="str">
        <f>IF($E350="","",IFERROR(INDEX(科目表!$A$4:$A$81,MATCH($E350,科目表!$B$4:$B$81,0)),""))</f>
        <v/>
      </c>
      <c r="G350" s="26" t="str">
        <f>IF($E350="","",IFERROR(INDEX(科目表!$E$4:$E$81,MATCH($E350,科目表!$B$4:$B$81,0)),""))</f>
        <v/>
      </c>
      <c r="H350" s="27" t="str">
        <f>IF($E350="","",N(INDEX(进销存对接!$M$4:$U$305,116,5)))</f>
        <v/>
      </c>
      <c r="I350" s="27" t="str">
        <f>IF($E350="","",N(INDEX(进销存对接!$M$4:$U$305,116,6)))</f>
        <v/>
      </c>
      <c r="J350" s="26"/>
      <c r="K350" s="26" t="str">
        <f>IF($E350="","",INDEX(进销存对接!$D$4:$D$305,116))</f>
        <v/>
      </c>
      <c r="L350" s="32"/>
      <c r="M350" s="32"/>
      <c r="N350" s="26" t="str">
        <f t="shared" si="22"/>
        <v/>
      </c>
      <c r="O350" s="26" t="str">
        <f t="shared" si="23"/>
        <v/>
      </c>
      <c r="P350" s="10"/>
    </row>
    <row r="351" ht="18" customHeight="1" spans="1:16">
      <c r="A351" s="32" t="str">
        <f t="shared" si="20"/>
        <v/>
      </c>
      <c r="B351" s="100" t="str">
        <f>IF($E351="","",INDEX(进销存对接!$C$4:$C$305,116))</f>
        <v/>
      </c>
      <c r="C351" s="26" t="str">
        <f t="shared" si="21"/>
        <v/>
      </c>
      <c r="D351" s="32" t="str">
        <f>IF($E351="","",INDEX(进销存对接!$D$4:$D$305,116)&amp;" "&amp;TEXT($B351,"YYYY年M月")&amp;" 自动结转")</f>
        <v/>
      </c>
      <c r="E351" s="26" t="str">
        <f>IF(INDEX(进销存对接!$M$4:$U$305,116,7)=0,"",INDEX(进销存对接!$M$4:$U$305,116,7))</f>
        <v/>
      </c>
      <c r="F351" s="25" t="str">
        <f>IF($E351="","",IFERROR(INDEX(科目表!$A$4:$A$81,MATCH($E351,科目表!$B$4:$B$81,0)),""))</f>
        <v/>
      </c>
      <c r="G351" s="26" t="str">
        <f>IF($E351="","",IFERROR(INDEX(科目表!$E$4:$E$81,MATCH($E351,科目表!$B$4:$B$81,0)),""))</f>
        <v/>
      </c>
      <c r="H351" s="27" t="str">
        <f>IF($E351="","",N(INDEX(进销存对接!$M$4:$U$305,116,8)))</f>
        <v/>
      </c>
      <c r="I351" s="27" t="str">
        <f>IF($E351="","",N(INDEX(进销存对接!$M$4:$U$305,116,9)))</f>
        <v/>
      </c>
      <c r="J351" s="26"/>
      <c r="K351" s="26" t="str">
        <f>IF($E351="","",INDEX(进销存对接!$D$4:$D$305,116))</f>
        <v/>
      </c>
      <c r="L351" s="32"/>
      <c r="M351" s="32"/>
      <c r="N351" s="26" t="str">
        <f t="shared" si="22"/>
        <v/>
      </c>
      <c r="O351" s="26" t="str">
        <f t="shared" si="23"/>
        <v/>
      </c>
      <c r="P351" s="10"/>
    </row>
    <row r="352" ht="18" customHeight="1" spans="1:16">
      <c r="A352" s="32" t="str">
        <f t="shared" si="20"/>
        <v/>
      </c>
      <c r="B352" s="100" t="str">
        <f>IF($E352="","",INDEX(进销存对接!$C$4:$C$305,117))</f>
        <v/>
      </c>
      <c r="C352" s="26" t="str">
        <f t="shared" si="21"/>
        <v/>
      </c>
      <c r="D352" s="32" t="str">
        <f>IF($E352="","",INDEX(进销存对接!$D$4:$D$305,117)&amp;" "&amp;TEXT($B352,"YYYY年M月")&amp;" 自动结转")</f>
        <v/>
      </c>
      <c r="E352" s="26" t="str">
        <f>IF(INDEX(进销存对接!$M$4:$U$305,117,1)=0,"",INDEX(进销存对接!$M$4:$U$305,117,1))</f>
        <v/>
      </c>
      <c r="F352" s="25" t="str">
        <f>IF($E352="","",IFERROR(INDEX(科目表!$A$4:$A$81,MATCH($E352,科目表!$B$4:$B$81,0)),""))</f>
        <v/>
      </c>
      <c r="G352" s="26" t="str">
        <f>IF($E352="","",IFERROR(INDEX(科目表!$E$4:$E$81,MATCH($E352,科目表!$B$4:$B$81,0)),""))</f>
        <v/>
      </c>
      <c r="H352" s="27" t="str">
        <f>IF($E352="","",N(INDEX(进销存对接!$M$4:$U$305,117,2)))</f>
        <v/>
      </c>
      <c r="I352" s="27" t="str">
        <f>IF($E352="","",N(INDEX(进销存对接!$M$4:$U$305,117,3)))</f>
        <v/>
      </c>
      <c r="J352" s="26"/>
      <c r="K352" s="26" t="str">
        <f>IF($E352="","",INDEX(进销存对接!$D$4:$D$305,117))</f>
        <v/>
      </c>
      <c r="L352" s="32"/>
      <c r="M352" s="32"/>
      <c r="N352" s="26" t="str">
        <f t="shared" si="22"/>
        <v/>
      </c>
      <c r="O352" s="26" t="str">
        <f t="shared" si="23"/>
        <v/>
      </c>
      <c r="P352" s="10"/>
    </row>
    <row r="353" ht="18" customHeight="1" spans="1:16">
      <c r="A353" s="32" t="str">
        <f t="shared" si="20"/>
        <v/>
      </c>
      <c r="B353" s="100" t="str">
        <f>IF($E353="","",INDEX(进销存对接!$C$4:$C$305,117))</f>
        <v/>
      </c>
      <c r="C353" s="26" t="str">
        <f t="shared" si="21"/>
        <v/>
      </c>
      <c r="D353" s="32" t="str">
        <f>IF($E353="","",INDEX(进销存对接!$D$4:$D$305,117)&amp;" "&amp;TEXT($B353,"YYYY年M月")&amp;" 自动结转")</f>
        <v/>
      </c>
      <c r="E353" s="26" t="str">
        <f>IF(INDEX(进销存对接!$M$4:$U$305,117,4)=0,"",INDEX(进销存对接!$M$4:$U$305,117,4))</f>
        <v/>
      </c>
      <c r="F353" s="25" t="str">
        <f>IF($E353="","",IFERROR(INDEX(科目表!$A$4:$A$81,MATCH($E353,科目表!$B$4:$B$81,0)),""))</f>
        <v/>
      </c>
      <c r="G353" s="26" t="str">
        <f>IF($E353="","",IFERROR(INDEX(科目表!$E$4:$E$81,MATCH($E353,科目表!$B$4:$B$81,0)),""))</f>
        <v/>
      </c>
      <c r="H353" s="27" t="str">
        <f>IF($E353="","",N(INDEX(进销存对接!$M$4:$U$305,117,5)))</f>
        <v/>
      </c>
      <c r="I353" s="27" t="str">
        <f>IF($E353="","",N(INDEX(进销存对接!$M$4:$U$305,117,6)))</f>
        <v/>
      </c>
      <c r="J353" s="26"/>
      <c r="K353" s="26" t="str">
        <f>IF($E353="","",INDEX(进销存对接!$D$4:$D$305,117))</f>
        <v/>
      </c>
      <c r="L353" s="32"/>
      <c r="M353" s="32"/>
      <c r="N353" s="26" t="str">
        <f t="shared" si="22"/>
        <v/>
      </c>
      <c r="O353" s="26" t="str">
        <f t="shared" si="23"/>
        <v/>
      </c>
      <c r="P353" s="10"/>
    </row>
    <row r="354" ht="18" customHeight="1" spans="1:16">
      <c r="A354" s="32" t="str">
        <f t="shared" si="20"/>
        <v/>
      </c>
      <c r="B354" s="100" t="str">
        <f>IF($E354="","",INDEX(进销存对接!$C$4:$C$305,117))</f>
        <v/>
      </c>
      <c r="C354" s="26" t="str">
        <f t="shared" si="21"/>
        <v/>
      </c>
      <c r="D354" s="32" t="str">
        <f>IF($E354="","",INDEX(进销存对接!$D$4:$D$305,117)&amp;" "&amp;TEXT($B354,"YYYY年M月")&amp;" 自动结转")</f>
        <v/>
      </c>
      <c r="E354" s="26" t="str">
        <f>IF(INDEX(进销存对接!$M$4:$U$305,117,7)=0,"",INDEX(进销存对接!$M$4:$U$305,117,7))</f>
        <v/>
      </c>
      <c r="F354" s="25" t="str">
        <f>IF($E354="","",IFERROR(INDEX(科目表!$A$4:$A$81,MATCH($E354,科目表!$B$4:$B$81,0)),""))</f>
        <v/>
      </c>
      <c r="G354" s="26" t="str">
        <f>IF($E354="","",IFERROR(INDEX(科目表!$E$4:$E$81,MATCH($E354,科目表!$B$4:$B$81,0)),""))</f>
        <v/>
      </c>
      <c r="H354" s="27" t="str">
        <f>IF($E354="","",N(INDEX(进销存对接!$M$4:$U$305,117,8)))</f>
        <v/>
      </c>
      <c r="I354" s="27" t="str">
        <f>IF($E354="","",N(INDEX(进销存对接!$M$4:$U$305,117,9)))</f>
        <v/>
      </c>
      <c r="J354" s="26"/>
      <c r="K354" s="26" t="str">
        <f>IF($E354="","",INDEX(进销存对接!$D$4:$D$305,117))</f>
        <v/>
      </c>
      <c r="L354" s="32"/>
      <c r="M354" s="32"/>
      <c r="N354" s="26" t="str">
        <f t="shared" si="22"/>
        <v/>
      </c>
      <c r="O354" s="26" t="str">
        <f t="shared" si="23"/>
        <v/>
      </c>
      <c r="P354" s="10"/>
    </row>
    <row r="355" ht="18" customHeight="1" spans="1:16">
      <c r="A355" s="32" t="str">
        <f t="shared" si="20"/>
        <v/>
      </c>
      <c r="B355" s="100" t="str">
        <f>IF($E355="","",INDEX(进销存对接!$C$4:$C$305,118))</f>
        <v/>
      </c>
      <c r="C355" s="26" t="str">
        <f t="shared" si="21"/>
        <v/>
      </c>
      <c r="D355" s="32" t="str">
        <f>IF($E355="","",INDEX(进销存对接!$D$4:$D$305,118)&amp;" "&amp;TEXT($B355,"YYYY年M月")&amp;" 自动结转")</f>
        <v/>
      </c>
      <c r="E355" s="26" t="str">
        <f>IF(INDEX(进销存对接!$M$4:$U$305,118,1)=0,"",INDEX(进销存对接!$M$4:$U$305,118,1))</f>
        <v/>
      </c>
      <c r="F355" s="25" t="str">
        <f>IF($E355="","",IFERROR(INDEX(科目表!$A$4:$A$81,MATCH($E355,科目表!$B$4:$B$81,0)),""))</f>
        <v/>
      </c>
      <c r="G355" s="26" t="str">
        <f>IF($E355="","",IFERROR(INDEX(科目表!$E$4:$E$81,MATCH($E355,科目表!$B$4:$B$81,0)),""))</f>
        <v/>
      </c>
      <c r="H355" s="27" t="str">
        <f>IF($E355="","",N(INDEX(进销存对接!$M$4:$U$305,118,2)))</f>
        <v/>
      </c>
      <c r="I355" s="27" t="str">
        <f>IF($E355="","",N(INDEX(进销存对接!$M$4:$U$305,118,3)))</f>
        <v/>
      </c>
      <c r="J355" s="26"/>
      <c r="K355" s="26" t="str">
        <f>IF($E355="","",INDEX(进销存对接!$D$4:$D$305,118))</f>
        <v/>
      </c>
      <c r="L355" s="32"/>
      <c r="M355" s="32"/>
      <c r="N355" s="26" t="str">
        <f t="shared" si="22"/>
        <v/>
      </c>
      <c r="O355" s="26" t="str">
        <f t="shared" si="23"/>
        <v/>
      </c>
      <c r="P355" s="10"/>
    </row>
    <row r="356" ht="18" customHeight="1" spans="1:16">
      <c r="A356" s="32" t="str">
        <f t="shared" si="20"/>
        <v/>
      </c>
      <c r="B356" s="100" t="str">
        <f>IF($E356="","",INDEX(进销存对接!$C$4:$C$305,118))</f>
        <v/>
      </c>
      <c r="C356" s="26" t="str">
        <f t="shared" si="21"/>
        <v/>
      </c>
      <c r="D356" s="32" t="str">
        <f>IF($E356="","",INDEX(进销存对接!$D$4:$D$305,118)&amp;" "&amp;TEXT($B356,"YYYY年M月")&amp;" 自动结转")</f>
        <v/>
      </c>
      <c r="E356" s="26" t="str">
        <f>IF(INDEX(进销存对接!$M$4:$U$305,118,4)=0,"",INDEX(进销存对接!$M$4:$U$305,118,4))</f>
        <v/>
      </c>
      <c r="F356" s="25" t="str">
        <f>IF($E356="","",IFERROR(INDEX(科目表!$A$4:$A$81,MATCH($E356,科目表!$B$4:$B$81,0)),""))</f>
        <v/>
      </c>
      <c r="G356" s="26" t="str">
        <f>IF($E356="","",IFERROR(INDEX(科目表!$E$4:$E$81,MATCH($E356,科目表!$B$4:$B$81,0)),""))</f>
        <v/>
      </c>
      <c r="H356" s="27" t="str">
        <f>IF($E356="","",N(INDEX(进销存对接!$M$4:$U$305,118,5)))</f>
        <v/>
      </c>
      <c r="I356" s="27" t="str">
        <f>IF($E356="","",N(INDEX(进销存对接!$M$4:$U$305,118,6)))</f>
        <v/>
      </c>
      <c r="J356" s="26"/>
      <c r="K356" s="26" t="str">
        <f>IF($E356="","",INDEX(进销存对接!$D$4:$D$305,118))</f>
        <v/>
      </c>
      <c r="L356" s="32"/>
      <c r="M356" s="32"/>
      <c r="N356" s="26" t="str">
        <f t="shared" si="22"/>
        <v/>
      </c>
      <c r="O356" s="26" t="str">
        <f t="shared" si="23"/>
        <v/>
      </c>
      <c r="P356" s="10"/>
    </row>
    <row r="357" ht="18" customHeight="1" spans="1:16">
      <c r="A357" s="32" t="str">
        <f t="shared" si="20"/>
        <v/>
      </c>
      <c r="B357" s="100" t="str">
        <f>IF($E357="","",INDEX(进销存对接!$C$4:$C$305,118))</f>
        <v/>
      </c>
      <c r="C357" s="26" t="str">
        <f t="shared" si="21"/>
        <v/>
      </c>
      <c r="D357" s="32" t="str">
        <f>IF($E357="","",INDEX(进销存对接!$D$4:$D$305,118)&amp;" "&amp;TEXT($B357,"YYYY年M月")&amp;" 自动结转")</f>
        <v/>
      </c>
      <c r="E357" s="26" t="str">
        <f>IF(INDEX(进销存对接!$M$4:$U$305,118,7)=0,"",INDEX(进销存对接!$M$4:$U$305,118,7))</f>
        <v/>
      </c>
      <c r="F357" s="25" t="str">
        <f>IF($E357="","",IFERROR(INDEX(科目表!$A$4:$A$81,MATCH($E357,科目表!$B$4:$B$81,0)),""))</f>
        <v/>
      </c>
      <c r="G357" s="26" t="str">
        <f>IF($E357="","",IFERROR(INDEX(科目表!$E$4:$E$81,MATCH($E357,科目表!$B$4:$B$81,0)),""))</f>
        <v/>
      </c>
      <c r="H357" s="27" t="str">
        <f>IF($E357="","",N(INDEX(进销存对接!$M$4:$U$305,118,8)))</f>
        <v/>
      </c>
      <c r="I357" s="27" t="str">
        <f>IF($E357="","",N(INDEX(进销存对接!$M$4:$U$305,118,9)))</f>
        <v/>
      </c>
      <c r="J357" s="26"/>
      <c r="K357" s="26" t="str">
        <f>IF($E357="","",INDEX(进销存对接!$D$4:$D$305,118))</f>
        <v/>
      </c>
      <c r="L357" s="32"/>
      <c r="M357" s="32"/>
      <c r="N357" s="26" t="str">
        <f t="shared" si="22"/>
        <v/>
      </c>
      <c r="O357" s="26" t="str">
        <f t="shared" si="23"/>
        <v/>
      </c>
      <c r="P357" s="10"/>
    </row>
    <row r="358" ht="18" customHeight="1" spans="1:16">
      <c r="A358" s="32" t="str">
        <f t="shared" si="20"/>
        <v/>
      </c>
      <c r="B358" s="100" t="str">
        <f>IF($E358="","",INDEX(进销存对接!$C$4:$C$305,119))</f>
        <v/>
      </c>
      <c r="C358" s="26" t="str">
        <f t="shared" si="21"/>
        <v/>
      </c>
      <c r="D358" s="32" t="str">
        <f>IF($E358="","",INDEX(进销存对接!$D$4:$D$305,119)&amp;" "&amp;TEXT($B358,"YYYY年M月")&amp;" 自动结转")</f>
        <v/>
      </c>
      <c r="E358" s="26" t="str">
        <f>IF(INDEX(进销存对接!$M$4:$U$305,119,1)=0,"",INDEX(进销存对接!$M$4:$U$305,119,1))</f>
        <v/>
      </c>
      <c r="F358" s="25" t="str">
        <f>IF($E358="","",IFERROR(INDEX(科目表!$A$4:$A$81,MATCH($E358,科目表!$B$4:$B$81,0)),""))</f>
        <v/>
      </c>
      <c r="G358" s="26" t="str">
        <f>IF($E358="","",IFERROR(INDEX(科目表!$E$4:$E$81,MATCH($E358,科目表!$B$4:$B$81,0)),""))</f>
        <v/>
      </c>
      <c r="H358" s="27" t="str">
        <f>IF($E358="","",N(INDEX(进销存对接!$M$4:$U$305,119,2)))</f>
        <v/>
      </c>
      <c r="I358" s="27" t="str">
        <f>IF($E358="","",N(INDEX(进销存对接!$M$4:$U$305,119,3)))</f>
        <v/>
      </c>
      <c r="J358" s="26"/>
      <c r="K358" s="26" t="str">
        <f>IF($E358="","",INDEX(进销存对接!$D$4:$D$305,119))</f>
        <v/>
      </c>
      <c r="L358" s="32"/>
      <c r="M358" s="32"/>
      <c r="N358" s="26" t="str">
        <f t="shared" si="22"/>
        <v/>
      </c>
      <c r="O358" s="26" t="str">
        <f t="shared" si="23"/>
        <v/>
      </c>
      <c r="P358" s="10"/>
    </row>
    <row r="359" ht="18" customHeight="1" spans="1:16">
      <c r="A359" s="32" t="str">
        <f t="shared" si="20"/>
        <v/>
      </c>
      <c r="B359" s="100" t="str">
        <f>IF($E359="","",INDEX(进销存对接!$C$4:$C$305,119))</f>
        <v/>
      </c>
      <c r="C359" s="26" t="str">
        <f t="shared" si="21"/>
        <v/>
      </c>
      <c r="D359" s="32" t="str">
        <f>IF($E359="","",INDEX(进销存对接!$D$4:$D$305,119)&amp;" "&amp;TEXT($B359,"YYYY年M月")&amp;" 自动结转")</f>
        <v/>
      </c>
      <c r="E359" s="26" t="str">
        <f>IF(INDEX(进销存对接!$M$4:$U$305,119,4)=0,"",INDEX(进销存对接!$M$4:$U$305,119,4))</f>
        <v/>
      </c>
      <c r="F359" s="25" t="str">
        <f>IF($E359="","",IFERROR(INDEX(科目表!$A$4:$A$81,MATCH($E359,科目表!$B$4:$B$81,0)),""))</f>
        <v/>
      </c>
      <c r="G359" s="26" t="str">
        <f>IF($E359="","",IFERROR(INDEX(科目表!$E$4:$E$81,MATCH($E359,科目表!$B$4:$B$81,0)),""))</f>
        <v/>
      </c>
      <c r="H359" s="27" t="str">
        <f>IF($E359="","",N(INDEX(进销存对接!$M$4:$U$305,119,5)))</f>
        <v/>
      </c>
      <c r="I359" s="27" t="str">
        <f>IF($E359="","",N(INDEX(进销存对接!$M$4:$U$305,119,6)))</f>
        <v/>
      </c>
      <c r="J359" s="26"/>
      <c r="K359" s="26" t="str">
        <f>IF($E359="","",INDEX(进销存对接!$D$4:$D$305,119))</f>
        <v/>
      </c>
      <c r="L359" s="32"/>
      <c r="M359" s="32"/>
      <c r="N359" s="26" t="str">
        <f t="shared" si="22"/>
        <v/>
      </c>
      <c r="O359" s="26" t="str">
        <f t="shared" si="23"/>
        <v/>
      </c>
      <c r="P359" s="10"/>
    </row>
    <row r="360" ht="18" customHeight="1" spans="1:16">
      <c r="A360" s="32" t="str">
        <f t="shared" si="20"/>
        <v/>
      </c>
      <c r="B360" s="100" t="str">
        <f>IF($E360="","",INDEX(进销存对接!$C$4:$C$305,119))</f>
        <v/>
      </c>
      <c r="C360" s="26" t="str">
        <f t="shared" si="21"/>
        <v/>
      </c>
      <c r="D360" s="32" t="str">
        <f>IF($E360="","",INDEX(进销存对接!$D$4:$D$305,119)&amp;" "&amp;TEXT($B360,"YYYY年M月")&amp;" 自动结转")</f>
        <v/>
      </c>
      <c r="E360" s="26" t="str">
        <f>IF(INDEX(进销存对接!$M$4:$U$305,119,7)=0,"",INDEX(进销存对接!$M$4:$U$305,119,7))</f>
        <v/>
      </c>
      <c r="F360" s="25" t="str">
        <f>IF($E360="","",IFERROR(INDEX(科目表!$A$4:$A$81,MATCH($E360,科目表!$B$4:$B$81,0)),""))</f>
        <v/>
      </c>
      <c r="G360" s="26" t="str">
        <f>IF($E360="","",IFERROR(INDEX(科目表!$E$4:$E$81,MATCH($E360,科目表!$B$4:$B$81,0)),""))</f>
        <v/>
      </c>
      <c r="H360" s="27" t="str">
        <f>IF($E360="","",N(INDEX(进销存对接!$M$4:$U$305,119,8)))</f>
        <v/>
      </c>
      <c r="I360" s="27" t="str">
        <f>IF($E360="","",N(INDEX(进销存对接!$M$4:$U$305,119,9)))</f>
        <v/>
      </c>
      <c r="J360" s="26"/>
      <c r="K360" s="26" t="str">
        <f>IF($E360="","",INDEX(进销存对接!$D$4:$D$305,119))</f>
        <v/>
      </c>
      <c r="L360" s="32"/>
      <c r="M360" s="32"/>
      <c r="N360" s="26" t="str">
        <f t="shared" si="22"/>
        <v/>
      </c>
      <c r="O360" s="26" t="str">
        <f t="shared" si="23"/>
        <v/>
      </c>
      <c r="P360" s="10"/>
    </row>
    <row r="361" ht="18" customHeight="1" spans="1:16">
      <c r="A361" s="32" t="str">
        <f t="shared" si="20"/>
        <v/>
      </c>
      <c r="B361" s="100" t="str">
        <f>IF($E361="","",INDEX(进销存对接!$C$4:$C$305,120))</f>
        <v/>
      </c>
      <c r="C361" s="26" t="str">
        <f t="shared" si="21"/>
        <v/>
      </c>
      <c r="D361" s="32" t="str">
        <f>IF($E361="","",INDEX(进销存对接!$D$4:$D$305,120)&amp;" "&amp;TEXT($B361,"YYYY年M月")&amp;" 自动结转")</f>
        <v/>
      </c>
      <c r="E361" s="26" t="str">
        <f>IF(INDEX(进销存对接!$M$4:$U$305,120,1)=0,"",INDEX(进销存对接!$M$4:$U$305,120,1))</f>
        <v/>
      </c>
      <c r="F361" s="25" t="str">
        <f>IF($E361="","",IFERROR(INDEX(科目表!$A$4:$A$81,MATCH($E361,科目表!$B$4:$B$81,0)),""))</f>
        <v/>
      </c>
      <c r="G361" s="26" t="str">
        <f>IF($E361="","",IFERROR(INDEX(科目表!$E$4:$E$81,MATCH($E361,科目表!$B$4:$B$81,0)),""))</f>
        <v/>
      </c>
      <c r="H361" s="27" t="str">
        <f>IF($E361="","",N(INDEX(进销存对接!$M$4:$U$305,120,2)))</f>
        <v/>
      </c>
      <c r="I361" s="27" t="str">
        <f>IF($E361="","",N(INDEX(进销存对接!$M$4:$U$305,120,3)))</f>
        <v/>
      </c>
      <c r="J361" s="26"/>
      <c r="K361" s="26" t="str">
        <f>IF($E361="","",INDEX(进销存对接!$D$4:$D$305,120))</f>
        <v/>
      </c>
      <c r="L361" s="32"/>
      <c r="M361" s="32"/>
      <c r="N361" s="26" t="str">
        <f t="shared" si="22"/>
        <v/>
      </c>
      <c r="O361" s="26" t="str">
        <f t="shared" si="23"/>
        <v/>
      </c>
      <c r="P361" s="10"/>
    </row>
    <row r="362" ht="18" customHeight="1" spans="1:16">
      <c r="A362" s="32" t="str">
        <f t="shared" si="20"/>
        <v/>
      </c>
      <c r="B362" s="100" t="str">
        <f>IF($E362="","",INDEX(进销存对接!$C$4:$C$305,120))</f>
        <v/>
      </c>
      <c r="C362" s="26" t="str">
        <f t="shared" si="21"/>
        <v/>
      </c>
      <c r="D362" s="32" t="str">
        <f>IF($E362="","",INDEX(进销存对接!$D$4:$D$305,120)&amp;" "&amp;TEXT($B362,"YYYY年M月")&amp;" 自动结转")</f>
        <v/>
      </c>
      <c r="E362" s="26" t="str">
        <f>IF(INDEX(进销存对接!$M$4:$U$305,120,4)=0,"",INDEX(进销存对接!$M$4:$U$305,120,4))</f>
        <v/>
      </c>
      <c r="F362" s="25" t="str">
        <f>IF($E362="","",IFERROR(INDEX(科目表!$A$4:$A$81,MATCH($E362,科目表!$B$4:$B$81,0)),""))</f>
        <v/>
      </c>
      <c r="G362" s="26" t="str">
        <f>IF($E362="","",IFERROR(INDEX(科目表!$E$4:$E$81,MATCH($E362,科目表!$B$4:$B$81,0)),""))</f>
        <v/>
      </c>
      <c r="H362" s="27" t="str">
        <f>IF($E362="","",N(INDEX(进销存对接!$M$4:$U$305,120,5)))</f>
        <v/>
      </c>
      <c r="I362" s="27" t="str">
        <f>IF($E362="","",N(INDEX(进销存对接!$M$4:$U$305,120,6)))</f>
        <v/>
      </c>
      <c r="J362" s="26"/>
      <c r="K362" s="26" t="str">
        <f>IF($E362="","",INDEX(进销存对接!$D$4:$D$305,120))</f>
        <v/>
      </c>
      <c r="L362" s="32"/>
      <c r="M362" s="32"/>
      <c r="N362" s="26" t="str">
        <f t="shared" si="22"/>
        <v/>
      </c>
      <c r="O362" s="26" t="str">
        <f t="shared" si="23"/>
        <v/>
      </c>
      <c r="P362" s="10"/>
    </row>
    <row r="363" ht="18" customHeight="1" spans="1:16">
      <c r="A363" s="32" t="str">
        <f t="shared" si="20"/>
        <v/>
      </c>
      <c r="B363" s="100" t="str">
        <f>IF($E363="","",INDEX(进销存对接!$C$4:$C$305,120))</f>
        <v/>
      </c>
      <c r="C363" s="26" t="str">
        <f t="shared" si="21"/>
        <v/>
      </c>
      <c r="D363" s="32" t="str">
        <f>IF($E363="","",INDEX(进销存对接!$D$4:$D$305,120)&amp;" "&amp;TEXT($B363,"YYYY年M月")&amp;" 自动结转")</f>
        <v/>
      </c>
      <c r="E363" s="26" t="str">
        <f>IF(INDEX(进销存对接!$M$4:$U$305,120,7)=0,"",INDEX(进销存对接!$M$4:$U$305,120,7))</f>
        <v/>
      </c>
      <c r="F363" s="25" t="str">
        <f>IF($E363="","",IFERROR(INDEX(科目表!$A$4:$A$81,MATCH($E363,科目表!$B$4:$B$81,0)),""))</f>
        <v/>
      </c>
      <c r="G363" s="26" t="str">
        <f>IF($E363="","",IFERROR(INDEX(科目表!$E$4:$E$81,MATCH($E363,科目表!$B$4:$B$81,0)),""))</f>
        <v/>
      </c>
      <c r="H363" s="27" t="str">
        <f>IF($E363="","",N(INDEX(进销存对接!$M$4:$U$305,120,8)))</f>
        <v/>
      </c>
      <c r="I363" s="27" t="str">
        <f>IF($E363="","",N(INDEX(进销存对接!$M$4:$U$305,120,9)))</f>
        <v/>
      </c>
      <c r="J363" s="26"/>
      <c r="K363" s="26" t="str">
        <f>IF($E363="","",INDEX(进销存对接!$D$4:$D$305,120))</f>
        <v/>
      </c>
      <c r="L363" s="32"/>
      <c r="M363" s="32"/>
      <c r="N363" s="26" t="str">
        <f t="shared" si="22"/>
        <v/>
      </c>
      <c r="O363" s="26" t="str">
        <f t="shared" si="23"/>
        <v/>
      </c>
      <c r="P363" s="10"/>
    </row>
    <row r="364" ht="18" customHeight="1" spans="1:16">
      <c r="A364" s="32" t="str">
        <f t="shared" si="20"/>
        <v/>
      </c>
      <c r="B364" s="100" t="str">
        <f>IF($E364="","",INDEX(进销存对接!$C$4:$C$305,121))</f>
        <v/>
      </c>
      <c r="C364" s="26" t="str">
        <f t="shared" si="21"/>
        <v/>
      </c>
      <c r="D364" s="32" t="str">
        <f>IF($E364="","",INDEX(进销存对接!$D$4:$D$305,121)&amp;" "&amp;TEXT($B364,"YYYY年M月")&amp;" 自动结转")</f>
        <v/>
      </c>
      <c r="E364" s="26" t="str">
        <f>IF(INDEX(进销存对接!$M$4:$U$305,121,1)=0,"",INDEX(进销存对接!$M$4:$U$305,121,1))</f>
        <v/>
      </c>
      <c r="F364" s="25" t="str">
        <f>IF($E364="","",IFERROR(INDEX(科目表!$A$4:$A$81,MATCH($E364,科目表!$B$4:$B$81,0)),""))</f>
        <v/>
      </c>
      <c r="G364" s="26" t="str">
        <f>IF($E364="","",IFERROR(INDEX(科目表!$E$4:$E$81,MATCH($E364,科目表!$B$4:$B$81,0)),""))</f>
        <v/>
      </c>
      <c r="H364" s="27" t="str">
        <f>IF($E364="","",N(INDEX(进销存对接!$M$4:$U$305,121,2)))</f>
        <v/>
      </c>
      <c r="I364" s="27" t="str">
        <f>IF($E364="","",N(INDEX(进销存对接!$M$4:$U$305,121,3)))</f>
        <v/>
      </c>
      <c r="J364" s="26"/>
      <c r="K364" s="26" t="str">
        <f>IF($E364="","",INDEX(进销存对接!$D$4:$D$305,121))</f>
        <v/>
      </c>
      <c r="L364" s="32"/>
      <c r="M364" s="32"/>
      <c r="N364" s="26" t="str">
        <f t="shared" si="22"/>
        <v/>
      </c>
      <c r="O364" s="26" t="str">
        <f t="shared" si="23"/>
        <v/>
      </c>
      <c r="P364" s="10"/>
    </row>
    <row r="365" ht="18" customHeight="1" spans="1:16">
      <c r="A365" s="32" t="str">
        <f t="shared" si="20"/>
        <v/>
      </c>
      <c r="B365" s="100" t="str">
        <f>IF($E365="","",INDEX(进销存对接!$C$4:$C$305,121))</f>
        <v/>
      </c>
      <c r="C365" s="26" t="str">
        <f t="shared" si="21"/>
        <v/>
      </c>
      <c r="D365" s="32" t="str">
        <f>IF($E365="","",INDEX(进销存对接!$D$4:$D$305,121)&amp;" "&amp;TEXT($B365,"YYYY年M月")&amp;" 自动结转")</f>
        <v/>
      </c>
      <c r="E365" s="26" t="str">
        <f>IF(INDEX(进销存对接!$M$4:$U$305,121,4)=0,"",INDEX(进销存对接!$M$4:$U$305,121,4))</f>
        <v/>
      </c>
      <c r="F365" s="25" t="str">
        <f>IF($E365="","",IFERROR(INDEX(科目表!$A$4:$A$81,MATCH($E365,科目表!$B$4:$B$81,0)),""))</f>
        <v/>
      </c>
      <c r="G365" s="26" t="str">
        <f>IF($E365="","",IFERROR(INDEX(科目表!$E$4:$E$81,MATCH($E365,科目表!$B$4:$B$81,0)),""))</f>
        <v/>
      </c>
      <c r="H365" s="27" t="str">
        <f>IF($E365="","",N(INDEX(进销存对接!$M$4:$U$305,121,5)))</f>
        <v/>
      </c>
      <c r="I365" s="27" t="str">
        <f>IF($E365="","",N(INDEX(进销存对接!$M$4:$U$305,121,6)))</f>
        <v/>
      </c>
      <c r="J365" s="26"/>
      <c r="K365" s="26" t="str">
        <f>IF($E365="","",INDEX(进销存对接!$D$4:$D$305,121))</f>
        <v/>
      </c>
      <c r="L365" s="32"/>
      <c r="M365" s="32"/>
      <c r="N365" s="26" t="str">
        <f t="shared" si="22"/>
        <v/>
      </c>
      <c r="O365" s="26" t="str">
        <f t="shared" si="23"/>
        <v/>
      </c>
      <c r="P365" s="10"/>
    </row>
    <row r="366" ht="18" customHeight="1" spans="1:16">
      <c r="A366" s="32" t="str">
        <f t="shared" si="20"/>
        <v/>
      </c>
      <c r="B366" s="100" t="str">
        <f>IF($E366="","",INDEX(进销存对接!$C$4:$C$305,121))</f>
        <v/>
      </c>
      <c r="C366" s="26" t="str">
        <f t="shared" si="21"/>
        <v/>
      </c>
      <c r="D366" s="32" t="str">
        <f>IF($E366="","",INDEX(进销存对接!$D$4:$D$305,121)&amp;" "&amp;TEXT($B366,"YYYY年M月")&amp;" 自动结转")</f>
        <v/>
      </c>
      <c r="E366" s="26" t="str">
        <f>IF(INDEX(进销存对接!$M$4:$U$305,121,7)=0,"",INDEX(进销存对接!$M$4:$U$305,121,7))</f>
        <v/>
      </c>
      <c r="F366" s="25" t="str">
        <f>IF($E366="","",IFERROR(INDEX(科目表!$A$4:$A$81,MATCH($E366,科目表!$B$4:$B$81,0)),""))</f>
        <v/>
      </c>
      <c r="G366" s="26" t="str">
        <f>IF($E366="","",IFERROR(INDEX(科目表!$E$4:$E$81,MATCH($E366,科目表!$B$4:$B$81,0)),""))</f>
        <v/>
      </c>
      <c r="H366" s="27" t="str">
        <f>IF($E366="","",N(INDEX(进销存对接!$M$4:$U$305,121,8)))</f>
        <v/>
      </c>
      <c r="I366" s="27" t="str">
        <f>IF($E366="","",N(INDEX(进销存对接!$M$4:$U$305,121,9)))</f>
        <v/>
      </c>
      <c r="J366" s="26"/>
      <c r="K366" s="26" t="str">
        <f>IF($E366="","",INDEX(进销存对接!$D$4:$D$305,121))</f>
        <v/>
      </c>
      <c r="L366" s="32"/>
      <c r="M366" s="32"/>
      <c r="N366" s="26" t="str">
        <f t="shared" si="22"/>
        <v/>
      </c>
      <c r="O366" s="26" t="str">
        <f t="shared" si="23"/>
        <v/>
      </c>
      <c r="P366" s="10"/>
    </row>
    <row r="367" ht="18" customHeight="1" spans="1:16">
      <c r="A367" s="32" t="str">
        <f t="shared" si="20"/>
        <v/>
      </c>
      <c r="B367" s="100" t="str">
        <f>IF($E367="","",INDEX(进销存对接!$C$4:$C$305,122))</f>
        <v/>
      </c>
      <c r="C367" s="26" t="str">
        <f t="shared" si="21"/>
        <v/>
      </c>
      <c r="D367" s="32" t="str">
        <f>IF($E367="","",INDEX(进销存对接!$D$4:$D$305,122)&amp;" "&amp;TEXT($B367,"YYYY年M月")&amp;" 自动结转")</f>
        <v/>
      </c>
      <c r="E367" s="26" t="str">
        <f>IF(INDEX(进销存对接!$M$4:$U$305,122,1)=0,"",INDEX(进销存对接!$M$4:$U$305,122,1))</f>
        <v/>
      </c>
      <c r="F367" s="25" t="str">
        <f>IF($E367="","",IFERROR(INDEX(科目表!$A$4:$A$81,MATCH($E367,科目表!$B$4:$B$81,0)),""))</f>
        <v/>
      </c>
      <c r="G367" s="26" t="str">
        <f>IF($E367="","",IFERROR(INDEX(科目表!$E$4:$E$81,MATCH($E367,科目表!$B$4:$B$81,0)),""))</f>
        <v/>
      </c>
      <c r="H367" s="27" t="str">
        <f>IF($E367="","",N(INDEX(进销存对接!$M$4:$U$305,122,2)))</f>
        <v/>
      </c>
      <c r="I367" s="27" t="str">
        <f>IF($E367="","",N(INDEX(进销存对接!$M$4:$U$305,122,3)))</f>
        <v/>
      </c>
      <c r="J367" s="26"/>
      <c r="K367" s="26" t="str">
        <f>IF($E367="","",INDEX(进销存对接!$D$4:$D$305,122))</f>
        <v/>
      </c>
      <c r="L367" s="32"/>
      <c r="M367" s="32"/>
      <c r="N367" s="26" t="str">
        <f t="shared" si="22"/>
        <v/>
      </c>
      <c r="O367" s="26" t="str">
        <f t="shared" si="23"/>
        <v/>
      </c>
      <c r="P367" s="10"/>
    </row>
    <row r="368" ht="18" customHeight="1" spans="1:16">
      <c r="A368" s="32" t="str">
        <f t="shared" si="20"/>
        <v/>
      </c>
      <c r="B368" s="100" t="str">
        <f>IF($E368="","",INDEX(进销存对接!$C$4:$C$305,122))</f>
        <v/>
      </c>
      <c r="C368" s="26" t="str">
        <f t="shared" si="21"/>
        <v/>
      </c>
      <c r="D368" s="32" t="str">
        <f>IF($E368="","",INDEX(进销存对接!$D$4:$D$305,122)&amp;" "&amp;TEXT($B368,"YYYY年M月")&amp;" 自动结转")</f>
        <v/>
      </c>
      <c r="E368" s="26" t="str">
        <f>IF(INDEX(进销存对接!$M$4:$U$305,122,4)=0,"",INDEX(进销存对接!$M$4:$U$305,122,4))</f>
        <v/>
      </c>
      <c r="F368" s="25" t="str">
        <f>IF($E368="","",IFERROR(INDEX(科目表!$A$4:$A$81,MATCH($E368,科目表!$B$4:$B$81,0)),""))</f>
        <v/>
      </c>
      <c r="G368" s="26" t="str">
        <f>IF($E368="","",IFERROR(INDEX(科目表!$E$4:$E$81,MATCH($E368,科目表!$B$4:$B$81,0)),""))</f>
        <v/>
      </c>
      <c r="H368" s="27" t="str">
        <f>IF($E368="","",N(INDEX(进销存对接!$M$4:$U$305,122,5)))</f>
        <v/>
      </c>
      <c r="I368" s="27" t="str">
        <f>IF($E368="","",N(INDEX(进销存对接!$M$4:$U$305,122,6)))</f>
        <v/>
      </c>
      <c r="J368" s="26"/>
      <c r="K368" s="26" t="str">
        <f>IF($E368="","",INDEX(进销存对接!$D$4:$D$305,122))</f>
        <v/>
      </c>
      <c r="L368" s="32"/>
      <c r="M368" s="32"/>
      <c r="N368" s="26" t="str">
        <f t="shared" si="22"/>
        <v/>
      </c>
      <c r="O368" s="26" t="str">
        <f t="shared" si="23"/>
        <v/>
      </c>
      <c r="P368" s="10"/>
    </row>
    <row r="369" ht="18" customHeight="1" spans="1:16">
      <c r="A369" s="32" t="str">
        <f t="shared" si="20"/>
        <v/>
      </c>
      <c r="B369" s="100" t="str">
        <f>IF($E369="","",INDEX(进销存对接!$C$4:$C$305,122))</f>
        <v/>
      </c>
      <c r="C369" s="26" t="str">
        <f t="shared" si="21"/>
        <v/>
      </c>
      <c r="D369" s="32" t="str">
        <f>IF($E369="","",INDEX(进销存对接!$D$4:$D$305,122)&amp;" "&amp;TEXT($B369,"YYYY年M月")&amp;" 自动结转")</f>
        <v/>
      </c>
      <c r="E369" s="26" t="str">
        <f>IF(INDEX(进销存对接!$M$4:$U$305,122,7)=0,"",INDEX(进销存对接!$M$4:$U$305,122,7))</f>
        <v/>
      </c>
      <c r="F369" s="25" t="str">
        <f>IF($E369="","",IFERROR(INDEX(科目表!$A$4:$A$81,MATCH($E369,科目表!$B$4:$B$81,0)),""))</f>
        <v/>
      </c>
      <c r="G369" s="26" t="str">
        <f>IF($E369="","",IFERROR(INDEX(科目表!$E$4:$E$81,MATCH($E369,科目表!$B$4:$B$81,0)),""))</f>
        <v/>
      </c>
      <c r="H369" s="27" t="str">
        <f>IF($E369="","",N(INDEX(进销存对接!$M$4:$U$305,122,8)))</f>
        <v/>
      </c>
      <c r="I369" s="27" t="str">
        <f>IF($E369="","",N(INDEX(进销存对接!$M$4:$U$305,122,9)))</f>
        <v/>
      </c>
      <c r="J369" s="26"/>
      <c r="K369" s="26" t="str">
        <f>IF($E369="","",INDEX(进销存对接!$D$4:$D$305,122))</f>
        <v/>
      </c>
      <c r="L369" s="32"/>
      <c r="M369" s="32"/>
      <c r="N369" s="26" t="str">
        <f t="shared" si="22"/>
        <v/>
      </c>
      <c r="O369" s="26" t="str">
        <f t="shared" si="23"/>
        <v/>
      </c>
      <c r="P369" s="10"/>
    </row>
    <row r="370" ht="18" customHeight="1" spans="1:16">
      <c r="A370" s="32" t="str">
        <f t="shared" si="20"/>
        <v/>
      </c>
      <c r="B370" s="100" t="str">
        <f>IF($E370="","",INDEX(进销存对接!$C$4:$C$305,123))</f>
        <v/>
      </c>
      <c r="C370" s="26" t="str">
        <f t="shared" si="21"/>
        <v/>
      </c>
      <c r="D370" s="32" t="str">
        <f>IF($E370="","",INDEX(进销存对接!$D$4:$D$305,123)&amp;" "&amp;TEXT($B370,"YYYY年M月")&amp;" 自动结转")</f>
        <v/>
      </c>
      <c r="E370" s="26" t="str">
        <f>IF(INDEX(进销存对接!$M$4:$U$305,123,1)=0,"",INDEX(进销存对接!$M$4:$U$305,123,1))</f>
        <v/>
      </c>
      <c r="F370" s="25" t="str">
        <f>IF($E370="","",IFERROR(INDEX(科目表!$A$4:$A$81,MATCH($E370,科目表!$B$4:$B$81,0)),""))</f>
        <v/>
      </c>
      <c r="G370" s="26" t="str">
        <f>IF($E370="","",IFERROR(INDEX(科目表!$E$4:$E$81,MATCH($E370,科目表!$B$4:$B$81,0)),""))</f>
        <v/>
      </c>
      <c r="H370" s="27" t="str">
        <f>IF($E370="","",N(INDEX(进销存对接!$M$4:$U$305,123,2)))</f>
        <v/>
      </c>
      <c r="I370" s="27" t="str">
        <f>IF($E370="","",N(INDEX(进销存对接!$M$4:$U$305,123,3)))</f>
        <v/>
      </c>
      <c r="J370" s="26"/>
      <c r="K370" s="26" t="str">
        <f>IF($E370="","",INDEX(进销存对接!$D$4:$D$305,123))</f>
        <v/>
      </c>
      <c r="L370" s="32"/>
      <c r="M370" s="32"/>
      <c r="N370" s="26" t="str">
        <f t="shared" si="22"/>
        <v/>
      </c>
      <c r="O370" s="26" t="str">
        <f t="shared" si="23"/>
        <v/>
      </c>
      <c r="P370" s="10"/>
    </row>
    <row r="371" ht="18" customHeight="1" spans="1:16">
      <c r="A371" s="32" t="str">
        <f t="shared" si="20"/>
        <v/>
      </c>
      <c r="B371" s="100" t="str">
        <f>IF($E371="","",INDEX(进销存对接!$C$4:$C$305,123))</f>
        <v/>
      </c>
      <c r="C371" s="26" t="str">
        <f t="shared" si="21"/>
        <v/>
      </c>
      <c r="D371" s="32" t="str">
        <f>IF($E371="","",INDEX(进销存对接!$D$4:$D$305,123)&amp;" "&amp;TEXT($B371,"YYYY年M月")&amp;" 自动结转")</f>
        <v/>
      </c>
      <c r="E371" s="26" t="str">
        <f>IF(INDEX(进销存对接!$M$4:$U$305,123,4)=0,"",INDEX(进销存对接!$M$4:$U$305,123,4))</f>
        <v/>
      </c>
      <c r="F371" s="25" t="str">
        <f>IF($E371="","",IFERROR(INDEX(科目表!$A$4:$A$81,MATCH($E371,科目表!$B$4:$B$81,0)),""))</f>
        <v/>
      </c>
      <c r="G371" s="26" t="str">
        <f>IF($E371="","",IFERROR(INDEX(科目表!$E$4:$E$81,MATCH($E371,科目表!$B$4:$B$81,0)),""))</f>
        <v/>
      </c>
      <c r="H371" s="27" t="str">
        <f>IF($E371="","",N(INDEX(进销存对接!$M$4:$U$305,123,5)))</f>
        <v/>
      </c>
      <c r="I371" s="27" t="str">
        <f>IF($E371="","",N(INDEX(进销存对接!$M$4:$U$305,123,6)))</f>
        <v/>
      </c>
      <c r="J371" s="26"/>
      <c r="K371" s="26" t="str">
        <f>IF($E371="","",INDEX(进销存对接!$D$4:$D$305,123))</f>
        <v/>
      </c>
      <c r="L371" s="32"/>
      <c r="M371" s="32"/>
      <c r="N371" s="26" t="str">
        <f t="shared" si="22"/>
        <v/>
      </c>
      <c r="O371" s="26" t="str">
        <f t="shared" si="23"/>
        <v/>
      </c>
      <c r="P371" s="10"/>
    </row>
    <row r="372" ht="18" customHeight="1" spans="1:16">
      <c r="A372" s="32" t="str">
        <f t="shared" si="20"/>
        <v/>
      </c>
      <c r="B372" s="100" t="str">
        <f>IF($E372="","",INDEX(进销存对接!$C$4:$C$305,123))</f>
        <v/>
      </c>
      <c r="C372" s="26" t="str">
        <f t="shared" si="21"/>
        <v/>
      </c>
      <c r="D372" s="32" t="str">
        <f>IF($E372="","",INDEX(进销存对接!$D$4:$D$305,123)&amp;" "&amp;TEXT($B372,"YYYY年M月")&amp;" 自动结转")</f>
        <v/>
      </c>
      <c r="E372" s="26" t="str">
        <f>IF(INDEX(进销存对接!$M$4:$U$305,123,7)=0,"",INDEX(进销存对接!$M$4:$U$305,123,7))</f>
        <v/>
      </c>
      <c r="F372" s="25" t="str">
        <f>IF($E372="","",IFERROR(INDEX(科目表!$A$4:$A$81,MATCH($E372,科目表!$B$4:$B$81,0)),""))</f>
        <v/>
      </c>
      <c r="G372" s="26" t="str">
        <f>IF($E372="","",IFERROR(INDEX(科目表!$E$4:$E$81,MATCH($E372,科目表!$B$4:$B$81,0)),""))</f>
        <v/>
      </c>
      <c r="H372" s="27" t="str">
        <f>IF($E372="","",N(INDEX(进销存对接!$M$4:$U$305,123,8)))</f>
        <v/>
      </c>
      <c r="I372" s="27" t="str">
        <f>IF($E372="","",N(INDEX(进销存对接!$M$4:$U$305,123,9)))</f>
        <v/>
      </c>
      <c r="J372" s="26"/>
      <c r="K372" s="26" t="str">
        <f>IF($E372="","",INDEX(进销存对接!$D$4:$D$305,123))</f>
        <v/>
      </c>
      <c r="L372" s="32"/>
      <c r="M372" s="32"/>
      <c r="N372" s="26" t="str">
        <f t="shared" si="22"/>
        <v/>
      </c>
      <c r="O372" s="26" t="str">
        <f t="shared" si="23"/>
        <v/>
      </c>
      <c r="P372" s="10"/>
    </row>
    <row r="373" ht="18" customHeight="1" spans="1:16">
      <c r="A373" s="32" t="str">
        <f t="shared" si="20"/>
        <v/>
      </c>
      <c r="B373" s="100" t="str">
        <f>IF($E373="","",INDEX(进销存对接!$C$4:$C$305,124))</f>
        <v/>
      </c>
      <c r="C373" s="26" t="str">
        <f t="shared" si="21"/>
        <v/>
      </c>
      <c r="D373" s="32" t="str">
        <f>IF($E373="","",INDEX(进销存对接!$D$4:$D$305,124)&amp;" "&amp;TEXT($B373,"YYYY年M月")&amp;" 自动结转")</f>
        <v/>
      </c>
      <c r="E373" s="26" t="str">
        <f>IF(INDEX(进销存对接!$M$4:$U$305,124,1)=0,"",INDEX(进销存对接!$M$4:$U$305,124,1))</f>
        <v/>
      </c>
      <c r="F373" s="25" t="str">
        <f>IF($E373="","",IFERROR(INDEX(科目表!$A$4:$A$81,MATCH($E373,科目表!$B$4:$B$81,0)),""))</f>
        <v/>
      </c>
      <c r="G373" s="26" t="str">
        <f>IF($E373="","",IFERROR(INDEX(科目表!$E$4:$E$81,MATCH($E373,科目表!$B$4:$B$81,0)),""))</f>
        <v/>
      </c>
      <c r="H373" s="27" t="str">
        <f>IF($E373="","",N(INDEX(进销存对接!$M$4:$U$305,124,2)))</f>
        <v/>
      </c>
      <c r="I373" s="27" t="str">
        <f>IF($E373="","",N(INDEX(进销存对接!$M$4:$U$305,124,3)))</f>
        <v/>
      </c>
      <c r="J373" s="26"/>
      <c r="K373" s="26" t="str">
        <f>IF($E373="","",INDEX(进销存对接!$D$4:$D$305,124))</f>
        <v/>
      </c>
      <c r="L373" s="32"/>
      <c r="M373" s="32"/>
      <c r="N373" s="26" t="str">
        <f t="shared" si="22"/>
        <v/>
      </c>
      <c r="O373" s="26" t="str">
        <f t="shared" si="23"/>
        <v/>
      </c>
      <c r="P373" s="10"/>
    </row>
    <row r="374" ht="18" customHeight="1" spans="1:16">
      <c r="A374" s="32" t="str">
        <f t="shared" si="20"/>
        <v/>
      </c>
      <c r="B374" s="100" t="str">
        <f>IF($E374="","",INDEX(进销存对接!$C$4:$C$305,124))</f>
        <v/>
      </c>
      <c r="C374" s="26" t="str">
        <f t="shared" si="21"/>
        <v/>
      </c>
      <c r="D374" s="32" t="str">
        <f>IF($E374="","",INDEX(进销存对接!$D$4:$D$305,124)&amp;" "&amp;TEXT($B374,"YYYY年M月")&amp;" 自动结转")</f>
        <v/>
      </c>
      <c r="E374" s="26" t="str">
        <f>IF(INDEX(进销存对接!$M$4:$U$305,124,4)=0,"",INDEX(进销存对接!$M$4:$U$305,124,4))</f>
        <v/>
      </c>
      <c r="F374" s="25" t="str">
        <f>IF($E374="","",IFERROR(INDEX(科目表!$A$4:$A$81,MATCH($E374,科目表!$B$4:$B$81,0)),""))</f>
        <v/>
      </c>
      <c r="G374" s="26" t="str">
        <f>IF($E374="","",IFERROR(INDEX(科目表!$E$4:$E$81,MATCH($E374,科目表!$B$4:$B$81,0)),""))</f>
        <v/>
      </c>
      <c r="H374" s="27" t="str">
        <f>IF($E374="","",N(INDEX(进销存对接!$M$4:$U$305,124,5)))</f>
        <v/>
      </c>
      <c r="I374" s="27" t="str">
        <f>IF($E374="","",N(INDEX(进销存对接!$M$4:$U$305,124,6)))</f>
        <v/>
      </c>
      <c r="J374" s="26"/>
      <c r="K374" s="26" t="str">
        <f>IF($E374="","",INDEX(进销存对接!$D$4:$D$305,124))</f>
        <v/>
      </c>
      <c r="L374" s="32"/>
      <c r="M374" s="32"/>
      <c r="N374" s="26" t="str">
        <f t="shared" si="22"/>
        <v/>
      </c>
      <c r="O374" s="26" t="str">
        <f t="shared" si="23"/>
        <v/>
      </c>
      <c r="P374" s="10"/>
    </row>
    <row r="375" ht="18" customHeight="1" spans="1:16">
      <c r="A375" s="32" t="str">
        <f t="shared" si="20"/>
        <v/>
      </c>
      <c r="B375" s="100" t="str">
        <f>IF($E375="","",INDEX(进销存对接!$C$4:$C$305,124))</f>
        <v/>
      </c>
      <c r="C375" s="26" t="str">
        <f t="shared" si="21"/>
        <v/>
      </c>
      <c r="D375" s="32" t="str">
        <f>IF($E375="","",INDEX(进销存对接!$D$4:$D$305,124)&amp;" "&amp;TEXT($B375,"YYYY年M月")&amp;" 自动结转")</f>
        <v/>
      </c>
      <c r="E375" s="26" t="str">
        <f>IF(INDEX(进销存对接!$M$4:$U$305,124,7)=0,"",INDEX(进销存对接!$M$4:$U$305,124,7))</f>
        <v/>
      </c>
      <c r="F375" s="25" t="str">
        <f>IF($E375="","",IFERROR(INDEX(科目表!$A$4:$A$81,MATCH($E375,科目表!$B$4:$B$81,0)),""))</f>
        <v/>
      </c>
      <c r="G375" s="26" t="str">
        <f>IF($E375="","",IFERROR(INDEX(科目表!$E$4:$E$81,MATCH($E375,科目表!$B$4:$B$81,0)),""))</f>
        <v/>
      </c>
      <c r="H375" s="27" t="str">
        <f>IF($E375="","",N(INDEX(进销存对接!$M$4:$U$305,124,8)))</f>
        <v/>
      </c>
      <c r="I375" s="27" t="str">
        <f>IF($E375="","",N(INDEX(进销存对接!$M$4:$U$305,124,9)))</f>
        <v/>
      </c>
      <c r="J375" s="26"/>
      <c r="K375" s="26" t="str">
        <f>IF($E375="","",INDEX(进销存对接!$D$4:$D$305,124))</f>
        <v/>
      </c>
      <c r="L375" s="32"/>
      <c r="M375" s="32"/>
      <c r="N375" s="26" t="str">
        <f t="shared" si="22"/>
        <v/>
      </c>
      <c r="O375" s="26" t="str">
        <f t="shared" si="23"/>
        <v/>
      </c>
      <c r="P375" s="10"/>
    </row>
    <row r="376" ht="18" customHeight="1" spans="1:16">
      <c r="A376" s="32" t="str">
        <f t="shared" si="20"/>
        <v/>
      </c>
      <c r="B376" s="100" t="str">
        <f>IF($E376="","",INDEX(进销存对接!$C$4:$C$305,125))</f>
        <v/>
      </c>
      <c r="C376" s="26" t="str">
        <f t="shared" si="21"/>
        <v/>
      </c>
      <c r="D376" s="32" t="str">
        <f>IF($E376="","",INDEX(进销存对接!$D$4:$D$305,125)&amp;" "&amp;TEXT($B376,"YYYY年M月")&amp;" 自动结转")</f>
        <v/>
      </c>
      <c r="E376" s="26" t="str">
        <f>IF(INDEX(进销存对接!$M$4:$U$305,125,1)=0,"",INDEX(进销存对接!$M$4:$U$305,125,1))</f>
        <v/>
      </c>
      <c r="F376" s="25" t="str">
        <f>IF($E376="","",IFERROR(INDEX(科目表!$A$4:$A$81,MATCH($E376,科目表!$B$4:$B$81,0)),""))</f>
        <v/>
      </c>
      <c r="G376" s="26" t="str">
        <f>IF($E376="","",IFERROR(INDEX(科目表!$E$4:$E$81,MATCH($E376,科目表!$B$4:$B$81,0)),""))</f>
        <v/>
      </c>
      <c r="H376" s="27" t="str">
        <f>IF($E376="","",N(INDEX(进销存对接!$M$4:$U$305,125,2)))</f>
        <v/>
      </c>
      <c r="I376" s="27" t="str">
        <f>IF($E376="","",N(INDEX(进销存对接!$M$4:$U$305,125,3)))</f>
        <v/>
      </c>
      <c r="J376" s="26"/>
      <c r="K376" s="26" t="str">
        <f>IF($E376="","",INDEX(进销存对接!$D$4:$D$305,125))</f>
        <v/>
      </c>
      <c r="L376" s="32"/>
      <c r="M376" s="32"/>
      <c r="N376" s="26" t="str">
        <f t="shared" si="22"/>
        <v/>
      </c>
      <c r="O376" s="26" t="str">
        <f t="shared" si="23"/>
        <v/>
      </c>
      <c r="P376" s="10"/>
    </row>
    <row r="377" ht="18" customHeight="1" spans="1:16">
      <c r="A377" s="32" t="str">
        <f t="shared" si="20"/>
        <v/>
      </c>
      <c r="B377" s="100" t="str">
        <f>IF($E377="","",INDEX(进销存对接!$C$4:$C$305,125))</f>
        <v/>
      </c>
      <c r="C377" s="26" t="str">
        <f t="shared" si="21"/>
        <v/>
      </c>
      <c r="D377" s="32" t="str">
        <f>IF($E377="","",INDEX(进销存对接!$D$4:$D$305,125)&amp;" "&amp;TEXT($B377,"YYYY年M月")&amp;" 自动结转")</f>
        <v/>
      </c>
      <c r="E377" s="26" t="str">
        <f>IF(INDEX(进销存对接!$M$4:$U$305,125,4)=0,"",INDEX(进销存对接!$M$4:$U$305,125,4))</f>
        <v/>
      </c>
      <c r="F377" s="25" t="str">
        <f>IF($E377="","",IFERROR(INDEX(科目表!$A$4:$A$81,MATCH($E377,科目表!$B$4:$B$81,0)),""))</f>
        <v/>
      </c>
      <c r="G377" s="26" t="str">
        <f>IF($E377="","",IFERROR(INDEX(科目表!$E$4:$E$81,MATCH($E377,科目表!$B$4:$B$81,0)),""))</f>
        <v/>
      </c>
      <c r="H377" s="27" t="str">
        <f>IF($E377="","",N(INDEX(进销存对接!$M$4:$U$305,125,5)))</f>
        <v/>
      </c>
      <c r="I377" s="27" t="str">
        <f>IF($E377="","",N(INDEX(进销存对接!$M$4:$U$305,125,6)))</f>
        <v/>
      </c>
      <c r="J377" s="26"/>
      <c r="K377" s="26" t="str">
        <f>IF($E377="","",INDEX(进销存对接!$D$4:$D$305,125))</f>
        <v/>
      </c>
      <c r="L377" s="32"/>
      <c r="M377" s="32"/>
      <c r="N377" s="26" t="str">
        <f t="shared" si="22"/>
        <v/>
      </c>
      <c r="O377" s="26" t="str">
        <f t="shared" si="23"/>
        <v/>
      </c>
      <c r="P377" s="10"/>
    </row>
    <row r="378" ht="18" customHeight="1" spans="1:16">
      <c r="A378" s="32" t="str">
        <f t="shared" si="20"/>
        <v/>
      </c>
      <c r="B378" s="100" t="str">
        <f>IF($E378="","",INDEX(进销存对接!$C$4:$C$305,125))</f>
        <v/>
      </c>
      <c r="C378" s="26" t="str">
        <f t="shared" si="21"/>
        <v/>
      </c>
      <c r="D378" s="32" t="str">
        <f>IF($E378="","",INDEX(进销存对接!$D$4:$D$305,125)&amp;" "&amp;TEXT($B378,"YYYY年M月")&amp;" 自动结转")</f>
        <v/>
      </c>
      <c r="E378" s="26" t="str">
        <f>IF(INDEX(进销存对接!$M$4:$U$305,125,7)=0,"",INDEX(进销存对接!$M$4:$U$305,125,7))</f>
        <v/>
      </c>
      <c r="F378" s="25" t="str">
        <f>IF($E378="","",IFERROR(INDEX(科目表!$A$4:$A$81,MATCH($E378,科目表!$B$4:$B$81,0)),""))</f>
        <v/>
      </c>
      <c r="G378" s="26" t="str">
        <f>IF($E378="","",IFERROR(INDEX(科目表!$E$4:$E$81,MATCH($E378,科目表!$B$4:$B$81,0)),""))</f>
        <v/>
      </c>
      <c r="H378" s="27" t="str">
        <f>IF($E378="","",N(INDEX(进销存对接!$M$4:$U$305,125,8)))</f>
        <v/>
      </c>
      <c r="I378" s="27" t="str">
        <f>IF($E378="","",N(INDEX(进销存对接!$M$4:$U$305,125,9)))</f>
        <v/>
      </c>
      <c r="J378" s="26"/>
      <c r="K378" s="26" t="str">
        <f>IF($E378="","",INDEX(进销存对接!$D$4:$D$305,125))</f>
        <v/>
      </c>
      <c r="L378" s="32"/>
      <c r="M378" s="32"/>
      <c r="N378" s="26" t="str">
        <f t="shared" si="22"/>
        <v/>
      </c>
      <c r="O378" s="26" t="str">
        <f t="shared" si="23"/>
        <v/>
      </c>
      <c r="P378" s="10"/>
    </row>
    <row r="379" ht="18" customHeight="1" spans="1:16">
      <c r="A379" s="32" t="str">
        <f t="shared" si="20"/>
        <v/>
      </c>
      <c r="B379" s="100" t="str">
        <f>IF($E379="","",INDEX(进销存对接!$C$4:$C$305,126))</f>
        <v/>
      </c>
      <c r="C379" s="26" t="str">
        <f t="shared" si="21"/>
        <v/>
      </c>
      <c r="D379" s="32" t="str">
        <f>IF($E379="","",INDEX(进销存对接!$D$4:$D$305,126)&amp;" "&amp;TEXT($B379,"YYYY年M月")&amp;" 自动结转")</f>
        <v/>
      </c>
      <c r="E379" s="26" t="str">
        <f>IF(INDEX(进销存对接!$M$4:$U$305,126,1)=0,"",INDEX(进销存对接!$M$4:$U$305,126,1))</f>
        <v/>
      </c>
      <c r="F379" s="25" t="str">
        <f>IF($E379="","",IFERROR(INDEX(科目表!$A$4:$A$81,MATCH($E379,科目表!$B$4:$B$81,0)),""))</f>
        <v/>
      </c>
      <c r="G379" s="26" t="str">
        <f>IF($E379="","",IFERROR(INDEX(科目表!$E$4:$E$81,MATCH($E379,科目表!$B$4:$B$81,0)),""))</f>
        <v/>
      </c>
      <c r="H379" s="27" t="str">
        <f>IF($E379="","",N(INDEX(进销存对接!$M$4:$U$305,126,2)))</f>
        <v/>
      </c>
      <c r="I379" s="27" t="str">
        <f>IF($E379="","",N(INDEX(进销存对接!$M$4:$U$305,126,3)))</f>
        <v/>
      </c>
      <c r="J379" s="26"/>
      <c r="K379" s="26" t="str">
        <f>IF($E379="","",INDEX(进销存对接!$D$4:$D$305,126))</f>
        <v/>
      </c>
      <c r="L379" s="32"/>
      <c r="M379" s="32"/>
      <c r="N379" s="26" t="str">
        <f t="shared" si="22"/>
        <v/>
      </c>
      <c r="O379" s="26" t="str">
        <f t="shared" si="23"/>
        <v/>
      </c>
      <c r="P379" s="10"/>
    </row>
    <row r="380" ht="18" customHeight="1" spans="1:16">
      <c r="A380" s="32" t="str">
        <f t="shared" si="20"/>
        <v/>
      </c>
      <c r="B380" s="100" t="str">
        <f>IF($E380="","",INDEX(进销存对接!$C$4:$C$305,126))</f>
        <v/>
      </c>
      <c r="C380" s="26" t="str">
        <f t="shared" si="21"/>
        <v/>
      </c>
      <c r="D380" s="32" t="str">
        <f>IF($E380="","",INDEX(进销存对接!$D$4:$D$305,126)&amp;" "&amp;TEXT($B380,"YYYY年M月")&amp;" 自动结转")</f>
        <v/>
      </c>
      <c r="E380" s="26" t="str">
        <f>IF(INDEX(进销存对接!$M$4:$U$305,126,4)=0,"",INDEX(进销存对接!$M$4:$U$305,126,4))</f>
        <v/>
      </c>
      <c r="F380" s="25" t="str">
        <f>IF($E380="","",IFERROR(INDEX(科目表!$A$4:$A$81,MATCH($E380,科目表!$B$4:$B$81,0)),""))</f>
        <v/>
      </c>
      <c r="G380" s="26" t="str">
        <f>IF($E380="","",IFERROR(INDEX(科目表!$E$4:$E$81,MATCH($E380,科目表!$B$4:$B$81,0)),""))</f>
        <v/>
      </c>
      <c r="H380" s="27" t="str">
        <f>IF($E380="","",N(INDEX(进销存对接!$M$4:$U$305,126,5)))</f>
        <v/>
      </c>
      <c r="I380" s="27" t="str">
        <f>IF($E380="","",N(INDEX(进销存对接!$M$4:$U$305,126,6)))</f>
        <v/>
      </c>
      <c r="J380" s="26"/>
      <c r="K380" s="26" t="str">
        <f>IF($E380="","",INDEX(进销存对接!$D$4:$D$305,126))</f>
        <v/>
      </c>
      <c r="L380" s="32"/>
      <c r="M380" s="32"/>
      <c r="N380" s="26" t="str">
        <f t="shared" si="22"/>
        <v/>
      </c>
      <c r="O380" s="26" t="str">
        <f t="shared" si="23"/>
        <v/>
      </c>
      <c r="P380" s="10"/>
    </row>
    <row r="381" ht="18" customHeight="1" spans="1:16">
      <c r="A381" s="32" t="str">
        <f t="shared" si="20"/>
        <v/>
      </c>
      <c r="B381" s="100" t="str">
        <f>IF($E381="","",INDEX(进销存对接!$C$4:$C$305,126))</f>
        <v/>
      </c>
      <c r="C381" s="26" t="str">
        <f t="shared" si="21"/>
        <v/>
      </c>
      <c r="D381" s="32" t="str">
        <f>IF($E381="","",INDEX(进销存对接!$D$4:$D$305,126)&amp;" "&amp;TEXT($B381,"YYYY年M月")&amp;" 自动结转")</f>
        <v/>
      </c>
      <c r="E381" s="26" t="str">
        <f>IF(INDEX(进销存对接!$M$4:$U$305,126,7)=0,"",INDEX(进销存对接!$M$4:$U$305,126,7))</f>
        <v/>
      </c>
      <c r="F381" s="25" t="str">
        <f>IF($E381="","",IFERROR(INDEX(科目表!$A$4:$A$81,MATCH($E381,科目表!$B$4:$B$81,0)),""))</f>
        <v/>
      </c>
      <c r="G381" s="26" t="str">
        <f>IF($E381="","",IFERROR(INDEX(科目表!$E$4:$E$81,MATCH($E381,科目表!$B$4:$B$81,0)),""))</f>
        <v/>
      </c>
      <c r="H381" s="27" t="str">
        <f>IF($E381="","",N(INDEX(进销存对接!$M$4:$U$305,126,8)))</f>
        <v/>
      </c>
      <c r="I381" s="27" t="str">
        <f>IF($E381="","",N(INDEX(进销存对接!$M$4:$U$305,126,9)))</f>
        <v/>
      </c>
      <c r="J381" s="26"/>
      <c r="K381" s="26" t="str">
        <f>IF($E381="","",INDEX(进销存对接!$D$4:$D$305,126))</f>
        <v/>
      </c>
      <c r="L381" s="32"/>
      <c r="M381" s="32"/>
      <c r="N381" s="26" t="str">
        <f t="shared" si="22"/>
        <v/>
      </c>
      <c r="O381" s="26" t="str">
        <f t="shared" si="23"/>
        <v/>
      </c>
      <c r="P381" s="10"/>
    </row>
    <row r="382" ht="18" customHeight="1" spans="1:16">
      <c r="A382" s="32" t="str">
        <f t="shared" si="20"/>
        <v/>
      </c>
      <c r="B382" s="100" t="str">
        <f>IF($E382="","",INDEX(进销存对接!$C$4:$C$305,127))</f>
        <v/>
      </c>
      <c r="C382" s="26" t="str">
        <f t="shared" si="21"/>
        <v/>
      </c>
      <c r="D382" s="32" t="str">
        <f>IF($E382="","",INDEX(进销存对接!$D$4:$D$305,127)&amp;" "&amp;TEXT($B382,"YYYY年M月")&amp;" 自动结转")</f>
        <v/>
      </c>
      <c r="E382" s="26" t="str">
        <f>IF(INDEX(进销存对接!$M$4:$U$305,127,1)=0,"",INDEX(进销存对接!$M$4:$U$305,127,1))</f>
        <v/>
      </c>
      <c r="F382" s="25" t="str">
        <f>IF($E382="","",IFERROR(INDEX(科目表!$A$4:$A$81,MATCH($E382,科目表!$B$4:$B$81,0)),""))</f>
        <v/>
      </c>
      <c r="G382" s="26" t="str">
        <f>IF($E382="","",IFERROR(INDEX(科目表!$E$4:$E$81,MATCH($E382,科目表!$B$4:$B$81,0)),""))</f>
        <v/>
      </c>
      <c r="H382" s="27" t="str">
        <f>IF($E382="","",N(INDEX(进销存对接!$M$4:$U$305,127,2)))</f>
        <v/>
      </c>
      <c r="I382" s="27" t="str">
        <f>IF($E382="","",N(INDEX(进销存对接!$M$4:$U$305,127,3)))</f>
        <v/>
      </c>
      <c r="J382" s="26"/>
      <c r="K382" s="26" t="str">
        <f>IF($E382="","",INDEX(进销存对接!$D$4:$D$305,127))</f>
        <v/>
      </c>
      <c r="L382" s="32"/>
      <c r="M382" s="32"/>
      <c r="N382" s="26" t="str">
        <f t="shared" si="22"/>
        <v/>
      </c>
      <c r="O382" s="26" t="str">
        <f t="shared" si="23"/>
        <v/>
      </c>
      <c r="P382" s="10"/>
    </row>
    <row r="383" ht="18" customHeight="1" spans="1:16">
      <c r="A383" s="32" t="str">
        <f t="shared" si="20"/>
        <v/>
      </c>
      <c r="B383" s="100" t="str">
        <f>IF($E383="","",INDEX(进销存对接!$C$4:$C$305,127))</f>
        <v/>
      </c>
      <c r="C383" s="26" t="str">
        <f t="shared" si="21"/>
        <v/>
      </c>
      <c r="D383" s="32" t="str">
        <f>IF($E383="","",INDEX(进销存对接!$D$4:$D$305,127)&amp;" "&amp;TEXT($B383,"YYYY年M月")&amp;" 自动结转")</f>
        <v/>
      </c>
      <c r="E383" s="26" t="str">
        <f>IF(INDEX(进销存对接!$M$4:$U$305,127,4)=0,"",INDEX(进销存对接!$M$4:$U$305,127,4))</f>
        <v/>
      </c>
      <c r="F383" s="25" t="str">
        <f>IF($E383="","",IFERROR(INDEX(科目表!$A$4:$A$81,MATCH($E383,科目表!$B$4:$B$81,0)),""))</f>
        <v/>
      </c>
      <c r="G383" s="26" t="str">
        <f>IF($E383="","",IFERROR(INDEX(科目表!$E$4:$E$81,MATCH($E383,科目表!$B$4:$B$81,0)),""))</f>
        <v/>
      </c>
      <c r="H383" s="27" t="str">
        <f>IF($E383="","",N(INDEX(进销存对接!$M$4:$U$305,127,5)))</f>
        <v/>
      </c>
      <c r="I383" s="27" t="str">
        <f>IF($E383="","",N(INDEX(进销存对接!$M$4:$U$305,127,6)))</f>
        <v/>
      </c>
      <c r="J383" s="26"/>
      <c r="K383" s="26" t="str">
        <f>IF($E383="","",INDEX(进销存对接!$D$4:$D$305,127))</f>
        <v/>
      </c>
      <c r="L383" s="32"/>
      <c r="M383" s="32"/>
      <c r="N383" s="26" t="str">
        <f t="shared" si="22"/>
        <v/>
      </c>
      <c r="O383" s="26" t="str">
        <f t="shared" si="23"/>
        <v/>
      </c>
      <c r="P383" s="10"/>
    </row>
    <row r="384" ht="18" customHeight="1" spans="1:16">
      <c r="A384" s="32" t="str">
        <f t="shared" si="20"/>
        <v/>
      </c>
      <c r="B384" s="100" t="str">
        <f>IF($E384="","",INDEX(进销存对接!$C$4:$C$305,127))</f>
        <v/>
      </c>
      <c r="C384" s="26" t="str">
        <f t="shared" si="21"/>
        <v/>
      </c>
      <c r="D384" s="32" t="str">
        <f>IF($E384="","",INDEX(进销存对接!$D$4:$D$305,127)&amp;" "&amp;TEXT($B384,"YYYY年M月")&amp;" 自动结转")</f>
        <v/>
      </c>
      <c r="E384" s="26" t="str">
        <f>IF(INDEX(进销存对接!$M$4:$U$305,127,7)=0,"",INDEX(进销存对接!$M$4:$U$305,127,7))</f>
        <v/>
      </c>
      <c r="F384" s="25" t="str">
        <f>IF($E384="","",IFERROR(INDEX(科目表!$A$4:$A$81,MATCH($E384,科目表!$B$4:$B$81,0)),""))</f>
        <v/>
      </c>
      <c r="G384" s="26" t="str">
        <f>IF($E384="","",IFERROR(INDEX(科目表!$E$4:$E$81,MATCH($E384,科目表!$B$4:$B$81,0)),""))</f>
        <v/>
      </c>
      <c r="H384" s="27" t="str">
        <f>IF($E384="","",N(INDEX(进销存对接!$M$4:$U$305,127,8)))</f>
        <v/>
      </c>
      <c r="I384" s="27" t="str">
        <f>IF($E384="","",N(INDEX(进销存对接!$M$4:$U$305,127,9)))</f>
        <v/>
      </c>
      <c r="J384" s="26"/>
      <c r="K384" s="26" t="str">
        <f>IF($E384="","",INDEX(进销存对接!$D$4:$D$305,127))</f>
        <v/>
      </c>
      <c r="L384" s="32"/>
      <c r="M384" s="32"/>
      <c r="N384" s="26" t="str">
        <f t="shared" si="22"/>
        <v/>
      </c>
      <c r="O384" s="26" t="str">
        <f t="shared" si="23"/>
        <v/>
      </c>
      <c r="P384" s="10"/>
    </row>
    <row r="385" ht="18" customHeight="1" spans="1:16">
      <c r="A385" s="32" t="str">
        <f t="shared" si="20"/>
        <v/>
      </c>
      <c r="B385" s="100" t="str">
        <f>IF($E385="","",INDEX(进销存对接!$C$4:$C$305,128))</f>
        <v/>
      </c>
      <c r="C385" s="26" t="str">
        <f t="shared" si="21"/>
        <v/>
      </c>
      <c r="D385" s="32" t="str">
        <f>IF($E385="","",INDEX(进销存对接!$D$4:$D$305,128)&amp;" "&amp;TEXT($B385,"YYYY年M月")&amp;" 自动结转")</f>
        <v/>
      </c>
      <c r="E385" s="26" t="str">
        <f>IF(INDEX(进销存对接!$M$4:$U$305,128,1)=0,"",INDEX(进销存对接!$M$4:$U$305,128,1))</f>
        <v/>
      </c>
      <c r="F385" s="25" t="str">
        <f>IF($E385="","",IFERROR(INDEX(科目表!$A$4:$A$81,MATCH($E385,科目表!$B$4:$B$81,0)),""))</f>
        <v/>
      </c>
      <c r="G385" s="26" t="str">
        <f>IF($E385="","",IFERROR(INDEX(科目表!$E$4:$E$81,MATCH($E385,科目表!$B$4:$B$81,0)),""))</f>
        <v/>
      </c>
      <c r="H385" s="27" t="str">
        <f>IF($E385="","",N(INDEX(进销存对接!$M$4:$U$305,128,2)))</f>
        <v/>
      </c>
      <c r="I385" s="27" t="str">
        <f>IF($E385="","",N(INDEX(进销存对接!$M$4:$U$305,128,3)))</f>
        <v/>
      </c>
      <c r="J385" s="26"/>
      <c r="K385" s="26" t="str">
        <f>IF($E385="","",INDEX(进销存对接!$D$4:$D$305,128))</f>
        <v/>
      </c>
      <c r="L385" s="32"/>
      <c r="M385" s="32"/>
      <c r="N385" s="26" t="str">
        <f t="shared" si="22"/>
        <v/>
      </c>
      <c r="O385" s="26" t="str">
        <f t="shared" si="23"/>
        <v/>
      </c>
      <c r="P385" s="10"/>
    </row>
    <row r="386" ht="18" customHeight="1" spans="1:16">
      <c r="A386" s="32" t="str">
        <f t="shared" si="20"/>
        <v/>
      </c>
      <c r="B386" s="100" t="str">
        <f>IF($E386="","",INDEX(进销存对接!$C$4:$C$305,128))</f>
        <v/>
      </c>
      <c r="C386" s="26" t="str">
        <f t="shared" si="21"/>
        <v/>
      </c>
      <c r="D386" s="32" t="str">
        <f>IF($E386="","",INDEX(进销存对接!$D$4:$D$305,128)&amp;" "&amp;TEXT($B386,"YYYY年M月")&amp;" 自动结转")</f>
        <v/>
      </c>
      <c r="E386" s="26" t="str">
        <f>IF(INDEX(进销存对接!$M$4:$U$305,128,4)=0,"",INDEX(进销存对接!$M$4:$U$305,128,4))</f>
        <v/>
      </c>
      <c r="F386" s="25" t="str">
        <f>IF($E386="","",IFERROR(INDEX(科目表!$A$4:$A$81,MATCH($E386,科目表!$B$4:$B$81,0)),""))</f>
        <v/>
      </c>
      <c r="G386" s="26" t="str">
        <f>IF($E386="","",IFERROR(INDEX(科目表!$E$4:$E$81,MATCH($E386,科目表!$B$4:$B$81,0)),""))</f>
        <v/>
      </c>
      <c r="H386" s="27" t="str">
        <f>IF($E386="","",N(INDEX(进销存对接!$M$4:$U$305,128,5)))</f>
        <v/>
      </c>
      <c r="I386" s="27" t="str">
        <f>IF($E386="","",N(INDEX(进销存对接!$M$4:$U$305,128,6)))</f>
        <v/>
      </c>
      <c r="J386" s="26"/>
      <c r="K386" s="26" t="str">
        <f>IF($E386="","",INDEX(进销存对接!$D$4:$D$305,128))</f>
        <v/>
      </c>
      <c r="L386" s="32"/>
      <c r="M386" s="32"/>
      <c r="N386" s="26" t="str">
        <f t="shared" si="22"/>
        <v/>
      </c>
      <c r="O386" s="26" t="str">
        <f t="shared" si="23"/>
        <v/>
      </c>
      <c r="P386" s="10"/>
    </row>
    <row r="387" ht="18" customHeight="1" spans="1:16">
      <c r="A387" s="32" t="str">
        <f t="shared" si="20"/>
        <v/>
      </c>
      <c r="B387" s="100" t="str">
        <f>IF($E387="","",INDEX(进销存对接!$C$4:$C$305,128))</f>
        <v/>
      </c>
      <c r="C387" s="26" t="str">
        <f t="shared" si="21"/>
        <v/>
      </c>
      <c r="D387" s="32" t="str">
        <f>IF($E387="","",INDEX(进销存对接!$D$4:$D$305,128)&amp;" "&amp;TEXT($B387,"YYYY年M月")&amp;" 自动结转")</f>
        <v/>
      </c>
      <c r="E387" s="26" t="str">
        <f>IF(INDEX(进销存对接!$M$4:$U$305,128,7)=0,"",INDEX(进销存对接!$M$4:$U$305,128,7))</f>
        <v/>
      </c>
      <c r="F387" s="25" t="str">
        <f>IF($E387="","",IFERROR(INDEX(科目表!$A$4:$A$81,MATCH($E387,科目表!$B$4:$B$81,0)),""))</f>
        <v/>
      </c>
      <c r="G387" s="26" t="str">
        <f>IF($E387="","",IFERROR(INDEX(科目表!$E$4:$E$81,MATCH($E387,科目表!$B$4:$B$81,0)),""))</f>
        <v/>
      </c>
      <c r="H387" s="27" t="str">
        <f>IF($E387="","",N(INDEX(进销存对接!$M$4:$U$305,128,8)))</f>
        <v/>
      </c>
      <c r="I387" s="27" t="str">
        <f>IF($E387="","",N(INDEX(进销存对接!$M$4:$U$305,128,9)))</f>
        <v/>
      </c>
      <c r="J387" s="26"/>
      <c r="K387" s="26" t="str">
        <f>IF($E387="","",INDEX(进销存对接!$D$4:$D$305,128))</f>
        <v/>
      </c>
      <c r="L387" s="32"/>
      <c r="M387" s="32"/>
      <c r="N387" s="26" t="str">
        <f t="shared" si="22"/>
        <v/>
      </c>
      <c r="O387" s="26" t="str">
        <f t="shared" si="23"/>
        <v/>
      </c>
      <c r="P387" s="10"/>
    </row>
    <row r="388" ht="18" customHeight="1" spans="1:16">
      <c r="A388" s="32" t="str">
        <f t="shared" ref="A388:A451" si="24">IF($E388="","",ROW()-3)</f>
        <v/>
      </c>
      <c r="B388" s="100" t="str">
        <f>IF($E388="","",INDEX(进销存对接!$C$4:$C$305,129))</f>
        <v/>
      </c>
      <c r="C388" s="26" t="str">
        <f t="shared" ref="C388:C451" si="25">IF($E388="","","记-"&amp;TEXT($B388,"YYYYMM")&amp;"-进销存")</f>
        <v/>
      </c>
      <c r="D388" s="32" t="str">
        <f>IF($E388="","",INDEX(进销存对接!$D$4:$D$305,129)&amp;" "&amp;TEXT($B388,"YYYY年M月")&amp;" 自动结转")</f>
        <v/>
      </c>
      <c r="E388" s="26" t="str">
        <f>IF(INDEX(进销存对接!$M$4:$U$305,129,1)=0,"",INDEX(进销存对接!$M$4:$U$305,129,1))</f>
        <v/>
      </c>
      <c r="F388" s="25" t="str">
        <f>IF($E388="","",IFERROR(INDEX(科目表!$A$4:$A$81,MATCH($E388,科目表!$B$4:$B$81,0)),""))</f>
        <v/>
      </c>
      <c r="G388" s="26" t="str">
        <f>IF($E388="","",IFERROR(INDEX(科目表!$E$4:$E$81,MATCH($E388,科目表!$B$4:$B$81,0)),""))</f>
        <v/>
      </c>
      <c r="H388" s="27" t="str">
        <f>IF($E388="","",N(INDEX(进销存对接!$M$4:$U$305,129,2)))</f>
        <v/>
      </c>
      <c r="I388" s="27" t="str">
        <f>IF($E388="","",N(INDEX(进销存对接!$M$4:$U$305,129,3)))</f>
        <v/>
      </c>
      <c r="J388" s="26"/>
      <c r="K388" s="26" t="str">
        <f>IF($E388="","",INDEX(进销存对接!$D$4:$D$305,129))</f>
        <v/>
      </c>
      <c r="L388" s="32"/>
      <c r="M388" s="32"/>
      <c r="N388" s="26" t="str">
        <f t="shared" ref="N388:N451" si="26">IF($E388="","","系统")</f>
        <v/>
      </c>
      <c r="O388" s="26" t="str">
        <f t="shared" ref="O388:O451" si="27">IF($E388="","","自动A")</f>
        <v/>
      </c>
      <c r="P388" s="10"/>
    </row>
    <row r="389" ht="18" customHeight="1" spans="1:16">
      <c r="A389" s="32" t="str">
        <f t="shared" si="24"/>
        <v/>
      </c>
      <c r="B389" s="100" t="str">
        <f>IF($E389="","",INDEX(进销存对接!$C$4:$C$305,129))</f>
        <v/>
      </c>
      <c r="C389" s="26" t="str">
        <f t="shared" si="25"/>
        <v/>
      </c>
      <c r="D389" s="32" t="str">
        <f>IF($E389="","",INDEX(进销存对接!$D$4:$D$305,129)&amp;" "&amp;TEXT($B389,"YYYY年M月")&amp;" 自动结转")</f>
        <v/>
      </c>
      <c r="E389" s="26" t="str">
        <f>IF(INDEX(进销存对接!$M$4:$U$305,129,4)=0,"",INDEX(进销存对接!$M$4:$U$305,129,4))</f>
        <v/>
      </c>
      <c r="F389" s="25" t="str">
        <f>IF($E389="","",IFERROR(INDEX(科目表!$A$4:$A$81,MATCH($E389,科目表!$B$4:$B$81,0)),""))</f>
        <v/>
      </c>
      <c r="G389" s="26" t="str">
        <f>IF($E389="","",IFERROR(INDEX(科目表!$E$4:$E$81,MATCH($E389,科目表!$B$4:$B$81,0)),""))</f>
        <v/>
      </c>
      <c r="H389" s="27" t="str">
        <f>IF($E389="","",N(INDEX(进销存对接!$M$4:$U$305,129,5)))</f>
        <v/>
      </c>
      <c r="I389" s="27" t="str">
        <f>IF($E389="","",N(INDEX(进销存对接!$M$4:$U$305,129,6)))</f>
        <v/>
      </c>
      <c r="J389" s="26"/>
      <c r="K389" s="26" t="str">
        <f>IF($E389="","",INDEX(进销存对接!$D$4:$D$305,129))</f>
        <v/>
      </c>
      <c r="L389" s="32"/>
      <c r="M389" s="32"/>
      <c r="N389" s="26" t="str">
        <f t="shared" si="26"/>
        <v/>
      </c>
      <c r="O389" s="26" t="str">
        <f t="shared" si="27"/>
        <v/>
      </c>
      <c r="P389" s="10"/>
    </row>
    <row r="390" ht="18" customHeight="1" spans="1:16">
      <c r="A390" s="32" t="str">
        <f t="shared" si="24"/>
        <v/>
      </c>
      <c r="B390" s="100" t="str">
        <f>IF($E390="","",INDEX(进销存对接!$C$4:$C$305,129))</f>
        <v/>
      </c>
      <c r="C390" s="26" t="str">
        <f t="shared" si="25"/>
        <v/>
      </c>
      <c r="D390" s="32" t="str">
        <f>IF($E390="","",INDEX(进销存对接!$D$4:$D$305,129)&amp;" "&amp;TEXT($B390,"YYYY年M月")&amp;" 自动结转")</f>
        <v/>
      </c>
      <c r="E390" s="26" t="str">
        <f>IF(INDEX(进销存对接!$M$4:$U$305,129,7)=0,"",INDEX(进销存对接!$M$4:$U$305,129,7))</f>
        <v/>
      </c>
      <c r="F390" s="25" t="str">
        <f>IF($E390="","",IFERROR(INDEX(科目表!$A$4:$A$81,MATCH($E390,科目表!$B$4:$B$81,0)),""))</f>
        <v/>
      </c>
      <c r="G390" s="26" t="str">
        <f>IF($E390="","",IFERROR(INDEX(科目表!$E$4:$E$81,MATCH($E390,科目表!$B$4:$B$81,0)),""))</f>
        <v/>
      </c>
      <c r="H390" s="27" t="str">
        <f>IF($E390="","",N(INDEX(进销存对接!$M$4:$U$305,129,8)))</f>
        <v/>
      </c>
      <c r="I390" s="27" t="str">
        <f>IF($E390="","",N(INDEX(进销存对接!$M$4:$U$305,129,9)))</f>
        <v/>
      </c>
      <c r="J390" s="26"/>
      <c r="K390" s="26" t="str">
        <f>IF($E390="","",INDEX(进销存对接!$D$4:$D$305,129))</f>
        <v/>
      </c>
      <c r="L390" s="32"/>
      <c r="M390" s="32"/>
      <c r="N390" s="26" t="str">
        <f t="shared" si="26"/>
        <v/>
      </c>
      <c r="O390" s="26" t="str">
        <f t="shared" si="27"/>
        <v/>
      </c>
      <c r="P390" s="10"/>
    </row>
    <row r="391" ht="18" customHeight="1" spans="1:16">
      <c r="A391" s="32" t="str">
        <f t="shared" si="24"/>
        <v/>
      </c>
      <c r="B391" s="100" t="str">
        <f>IF($E391="","",INDEX(进销存对接!$C$4:$C$305,130))</f>
        <v/>
      </c>
      <c r="C391" s="26" t="str">
        <f t="shared" si="25"/>
        <v/>
      </c>
      <c r="D391" s="32" t="str">
        <f>IF($E391="","",INDEX(进销存对接!$D$4:$D$305,130)&amp;" "&amp;TEXT($B391,"YYYY年M月")&amp;" 自动结转")</f>
        <v/>
      </c>
      <c r="E391" s="26" t="str">
        <f>IF(INDEX(进销存对接!$M$4:$U$305,130,1)=0,"",INDEX(进销存对接!$M$4:$U$305,130,1))</f>
        <v/>
      </c>
      <c r="F391" s="25" t="str">
        <f>IF($E391="","",IFERROR(INDEX(科目表!$A$4:$A$81,MATCH($E391,科目表!$B$4:$B$81,0)),""))</f>
        <v/>
      </c>
      <c r="G391" s="26" t="str">
        <f>IF($E391="","",IFERROR(INDEX(科目表!$E$4:$E$81,MATCH($E391,科目表!$B$4:$B$81,0)),""))</f>
        <v/>
      </c>
      <c r="H391" s="27" t="str">
        <f>IF($E391="","",N(INDEX(进销存对接!$M$4:$U$305,130,2)))</f>
        <v/>
      </c>
      <c r="I391" s="27" t="str">
        <f>IF($E391="","",N(INDEX(进销存对接!$M$4:$U$305,130,3)))</f>
        <v/>
      </c>
      <c r="J391" s="26"/>
      <c r="K391" s="26" t="str">
        <f>IF($E391="","",INDEX(进销存对接!$D$4:$D$305,130))</f>
        <v/>
      </c>
      <c r="L391" s="32"/>
      <c r="M391" s="32"/>
      <c r="N391" s="26" t="str">
        <f t="shared" si="26"/>
        <v/>
      </c>
      <c r="O391" s="26" t="str">
        <f t="shared" si="27"/>
        <v/>
      </c>
      <c r="P391" s="10"/>
    </row>
    <row r="392" ht="18" customHeight="1" spans="1:16">
      <c r="A392" s="32" t="str">
        <f t="shared" si="24"/>
        <v/>
      </c>
      <c r="B392" s="100" t="str">
        <f>IF($E392="","",INDEX(进销存对接!$C$4:$C$305,130))</f>
        <v/>
      </c>
      <c r="C392" s="26" t="str">
        <f t="shared" si="25"/>
        <v/>
      </c>
      <c r="D392" s="32" t="str">
        <f>IF($E392="","",INDEX(进销存对接!$D$4:$D$305,130)&amp;" "&amp;TEXT($B392,"YYYY年M月")&amp;" 自动结转")</f>
        <v/>
      </c>
      <c r="E392" s="26" t="str">
        <f>IF(INDEX(进销存对接!$M$4:$U$305,130,4)=0,"",INDEX(进销存对接!$M$4:$U$305,130,4))</f>
        <v/>
      </c>
      <c r="F392" s="25" t="str">
        <f>IF($E392="","",IFERROR(INDEX(科目表!$A$4:$A$81,MATCH($E392,科目表!$B$4:$B$81,0)),""))</f>
        <v/>
      </c>
      <c r="G392" s="26" t="str">
        <f>IF($E392="","",IFERROR(INDEX(科目表!$E$4:$E$81,MATCH($E392,科目表!$B$4:$B$81,0)),""))</f>
        <v/>
      </c>
      <c r="H392" s="27" t="str">
        <f>IF($E392="","",N(INDEX(进销存对接!$M$4:$U$305,130,5)))</f>
        <v/>
      </c>
      <c r="I392" s="27" t="str">
        <f>IF($E392="","",N(INDEX(进销存对接!$M$4:$U$305,130,6)))</f>
        <v/>
      </c>
      <c r="J392" s="26"/>
      <c r="K392" s="26" t="str">
        <f>IF($E392="","",INDEX(进销存对接!$D$4:$D$305,130))</f>
        <v/>
      </c>
      <c r="L392" s="32"/>
      <c r="M392" s="32"/>
      <c r="N392" s="26" t="str">
        <f t="shared" si="26"/>
        <v/>
      </c>
      <c r="O392" s="26" t="str">
        <f t="shared" si="27"/>
        <v/>
      </c>
      <c r="P392" s="10"/>
    </row>
    <row r="393" ht="18" customHeight="1" spans="1:16">
      <c r="A393" s="32" t="str">
        <f t="shared" si="24"/>
        <v/>
      </c>
      <c r="B393" s="100" t="str">
        <f>IF($E393="","",INDEX(进销存对接!$C$4:$C$305,130))</f>
        <v/>
      </c>
      <c r="C393" s="26" t="str">
        <f t="shared" si="25"/>
        <v/>
      </c>
      <c r="D393" s="32" t="str">
        <f>IF($E393="","",INDEX(进销存对接!$D$4:$D$305,130)&amp;" "&amp;TEXT($B393,"YYYY年M月")&amp;" 自动结转")</f>
        <v/>
      </c>
      <c r="E393" s="26" t="str">
        <f>IF(INDEX(进销存对接!$M$4:$U$305,130,7)=0,"",INDEX(进销存对接!$M$4:$U$305,130,7))</f>
        <v/>
      </c>
      <c r="F393" s="25" t="str">
        <f>IF($E393="","",IFERROR(INDEX(科目表!$A$4:$A$81,MATCH($E393,科目表!$B$4:$B$81,0)),""))</f>
        <v/>
      </c>
      <c r="G393" s="26" t="str">
        <f>IF($E393="","",IFERROR(INDEX(科目表!$E$4:$E$81,MATCH($E393,科目表!$B$4:$B$81,0)),""))</f>
        <v/>
      </c>
      <c r="H393" s="27" t="str">
        <f>IF($E393="","",N(INDEX(进销存对接!$M$4:$U$305,130,8)))</f>
        <v/>
      </c>
      <c r="I393" s="27" t="str">
        <f>IF($E393="","",N(INDEX(进销存对接!$M$4:$U$305,130,9)))</f>
        <v/>
      </c>
      <c r="J393" s="26"/>
      <c r="K393" s="26" t="str">
        <f>IF($E393="","",INDEX(进销存对接!$D$4:$D$305,130))</f>
        <v/>
      </c>
      <c r="L393" s="32"/>
      <c r="M393" s="32"/>
      <c r="N393" s="26" t="str">
        <f t="shared" si="26"/>
        <v/>
      </c>
      <c r="O393" s="26" t="str">
        <f t="shared" si="27"/>
        <v/>
      </c>
      <c r="P393" s="10"/>
    </row>
    <row r="394" ht="18" customHeight="1" spans="1:16">
      <c r="A394" s="32" t="str">
        <f t="shared" si="24"/>
        <v/>
      </c>
      <c r="B394" s="100" t="str">
        <f>IF($E394="","",INDEX(进销存对接!$C$4:$C$305,131))</f>
        <v/>
      </c>
      <c r="C394" s="26" t="str">
        <f t="shared" si="25"/>
        <v/>
      </c>
      <c r="D394" s="32" t="str">
        <f>IF($E394="","",INDEX(进销存对接!$D$4:$D$305,131)&amp;" "&amp;TEXT($B394,"YYYY年M月")&amp;" 自动结转")</f>
        <v/>
      </c>
      <c r="E394" s="26" t="str">
        <f>IF(INDEX(进销存对接!$M$4:$U$305,131,1)=0,"",INDEX(进销存对接!$M$4:$U$305,131,1))</f>
        <v/>
      </c>
      <c r="F394" s="25" t="str">
        <f>IF($E394="","",IFERROR(INDEX(科目表!$A$4:$A$81,MATCH($E394,科目表!$B$4:$B$81,0)),""))</f>
        <v/>
      </c>
      <c r="G394" s="26" t="str">
        <f>IF($E394="","",IFERROR(INDEX(科目表!$E$4:$E$81,MATCH($E394,科目表!$B$4:$B$81,0)),""))</f>
        <v/>
      </c>
      <c r="H394" s="27" t="str">
        <f>IF($E394="","",N(INDEX(进销存对接!$M$4:$U$305,131,2)))</f>
        <v/>
      </c>
      <c r="I394" s="27" t="str">
        <f>IF($E394="","",N(INDEX(进销存对接!$M$4:$U$305,131,3)))</f>
        <v/>
      </c>
      <c r="J394" s="26"/>
      <c r="K394" s="26" t="str">
        <f>IF($E394="","",INDEX(进销存对接!$D$4:$D$305,131))</f>
        <v/>
      </c>
      <c r="L394" s="32"/>
      <c r="M394" s="32"/>
      <c r="N394" s="26" t="str">
        <f t="shared" si="26"/>
        <v/>
      </c>
      <c r="O394" s="26" t="str">
        <f t="shared" si="27"/>
        <v/>
      </c>
      <c r="P394" s="10"/>
    </row>
    <row r="395" ht="18" customHeight="1" spans="1:16">
      <c r="A395" s="32" t="str">
        <f t="shared" si="24"/>
        <v/>
      </c>
      <c r="B395" s="100" t="str">
        <f>IF($E395="","",INDEX(进销存对接!$C$4:$C$305,131))</f>
        <v/>
      </c>
      <c r="C395" s="26" t="str">
        <f t="shared" si="25"/>
        <v/>
      </c>
      <c r="D395" s="32" t="str">
        <f>IF($E395="","",INDEX(进销存对接!$D$4:$D$305,131)&amp;" "&amp;TEXT($B395,"YYYY年M月")&amp;" 自动结转")</f>
        <v/>
      </c>
      <c r="E395" s="26" t="str">
        <f>IF(INDEX(进销存对接!$M$4:$U$305,131,4)=0,"",INDEX(进销存对接!$M$4:$U$305,131,4))</f>
        <v/>
      </c>
      <c r="F395" s="25" t="str">
        <f>IF($E395="","",IFERROR(INDEX(科目表!$A$4:$A$81,MATCH($E395,科目表!$B$4:$B$81,0)),""))</f>
        <v/>
      </c>
      <c r="G395" s="26" t="str">
        <f>IF($E395="","",IFERROR(INDEX(科目表!$E$4:$E$81,MATCH($E395,科目表!$B$4:$B$81,0)),""))</f>
        <v/>
      </c>
      <c r="H395" s="27" t="str">
        <f>IF($E395="","",N(INDEX(进销存对接!$M$4:$U$305,131,5)))</f>
        <v/>
      </c>
      <c r="I395" s="27" t="str">
        <f>IF($E395="","",N(INDEX(进销存对接!$M$4:$U$305,131,6)))</f>
        <v/>
      </c>
      <c r="J395" s="26"/>
      <c r="K395" s="26" t="str">
        <f>IF($E395="","",INDEX(进销存对接!$D$4:$D$305,131))</f>
        <v/>
      </c>
      <c r="L395" s="32"/>
      <c r="M395" s="32"/>
      <c r="N395" s="26" t="str">
        <f t="shared" si="26"/>
        <v/>
      </c>
      <c r="O395" s="26" t="str">
        <f t="shared" si="27"/>
        <v/>
      </c>
      <c r="P395" s="10"/>
    </row>
    <row r="396" ht="18" customHeight="1" spans="1:16">
      <c r="A396" s="32" t="str">
        <f t="shared" si="24"/>
        <v/>
      </c>
      <c r="B396" s="100" t="str">
        <f>IF($E396="","",INDEX(进销存对接!$C$4:$C$305,131))</f>
        <v/>
      </c>
      <c r="C396" s="26" t="str">
        <f t="shared" si="25"/>
        <v/>
      </c>
      <c r="D396" s="32" t="str">
        <f>IF($E396="","",INDEX(进销存对接!$D$4:$D$305,131)&amp;" "&amp;TEXT($B396,"YYYY年M月")&amp;" 自动结转")</f>
        <v/>
      </c>
      <c r="E396" s="26" t="str">
        <f>IF(INDEX(进销存对接!$M$4:$U$305,131,7)=0,"",INDEX(进销存对接!$M$4:$U$305,131,7))</f>
        <v/>
      </c>
      <c r="F396" s="25" t="str">
        <f>IF($E396="","",IFERROR(INDEX(科目表!$A$4:$A$81,MATCH($E396,科目表!$B$4:$B$81,0)),""))</f>
        <v/>
      </c>
      <c r="G396" s="26" t="str">
        <f>IF($E396="","",IFERROR(INDEX(科目表!$E$4:$E$81,MATCH($E396,科目表!$B$4:$B$81,0)),""))</f>
        <v/>
      </c>
      <c r="H396" s="27" t="str">
        <f>IF($E396="","",N(INDEX(进销存对接!$M$4:$U$305,131,8)))</f>
        <v/>
      </c>
      <c r="I396" s="27" t="str">
        <f>IF($E396="","",N(INDEX(进销存对接!$M$4:$U$305,131,9)))</f>
        <v/>
      </c>
      <c r="J396" s="26"/>
      <c r="K396" s="26" t="str">
        <f>IF($E396="","",INDEX(进销存对接!$D$4:$D$305,131))</f>
        <v/>
      </c>
      <c r="L396" s="32"/>
      <c r="M396" s="32"/>
      <c r="N396" s="26" t="str">
        <f t="shared" si="26"/>
        <v/>
      </c>
      <c r="O396" s="26" t="str">
        <f t="shared" si="27"/>
        <v/>
      </c>
      <c r="P396" s="10"/>
    </row>
    <row r="397" ht="18" customHeight="1" spans="1:16">
      <c r="A397" s="32" t="str">
        <f t="shared" si="24"/>
        <v/>
      </c>
      <c r="B397" s="100" t="str">
        <f>IF($E397="","",INDEX(进销存对接!$C$4:$C$305,132))</f>
        <v/>
      </c>
      <c r="C397" s="26" t="str">
        <f t="shared" si="25"/>
        <v/>
      </c>
      <c r="D397" s="32" t="str">
        <f>IF($E397="","",INDEX(进销存对接!$D$4:$D$305,132)&amp;" "&amp;TEXT($B397,"YYYY年M月")&amp;" 自动结转")</f>
        <v/>
      </c>
      <c r="E397" s="26" t="str">
        <f>IF(INDEX(进销存对接!$M$4:$U$305,132,1)=0,"",INDEX(进销存对接!$M$4:$U$305,132,1))</f>
        <v/>
      </c>
      <c r="F397" s="25" t="str">
        <f>IF($E397="","",IFERROR(INDEX(科目表!$A$4:$A$81,MATCH($E397,科目表!$B$4:$B$81,0)),""))</f>
        <v/>
      </c>
      <c r="G397" s="26" t="str">
        <f>IF($E397="","",IFERROR(INDEX(科目表!$E$4:$E$81,MATCH($E397,科目表!$B$4:$B$81,0)),""))</f>
        <v/>
      </c>
      <c r="H397" s="27" t="str">
        <f>IF($E397="","",N(INDEX(进销存对接!$M$4:$U$305,132,2)))</f>
        <v/>
      </c>
      <c r="I397" s="27" t="str">
        <f>IF($E397="","",N(INDEX(进销存对接!$M$4:$U$305,132,3)))</f>
        <v/>
      </c>
      <c r="J397" s="26"/>
      <c r="K397" s="26" t="str">
        <f>IF($E397="","",INDEX(进销存对接!$D$4:$D$305,132))</f>
        <v/>
      </c>
      <c r="L397" s="32"/>
      <c r="M397" s="32"/>
      <c r="N397" s="26" t="str">
        <f t="shared" si="26"/>
        <v/>
      </c>
      <c r="O397" s="26" t="str">
        <f t="shared" si="27"/>
        <v/>
      </c>
      <c r="P397" s="10"/>
    </row>
    <row r="398" ht="18" customHeight="1" spans="1:16">
      <c r="A398" s="32" t="str">
        <f t="shared" si="24"/>
        <v/>
      </c>
      <c r="B398" s="100" t="str">
        <f>IF($E398="","",INDEX(进销存对接!$C$4:$C$305,132))</f>
        <v/>
      </c>
      <c r="C398" s="26" t="str">
        <f t="shared" si="25"/>
        <v/>
      </c>
      <c r="D398" s="32" t="str">
        <f>IF($E398="","",INDEX(进销存对接!$D$4:$D$305,132)&amp;" "&amp;TEXT($B398,"YYYY年M月")&amp;" 自动结转")</f>
        <v/>
      </c>
      <c r="E398" s="26" t="str">
        <f>IF(INDEX(进销存对接!$M$4:$U$305,132,4)=0,"",INDEX(进销存对接!$M$4:$U$305,132,4))</f>
        <v/>
      </c>
      <c r="F398" s="25" t="str">
        <f>IF($E398="","",IFERROR(INDEX(科目表!$A$4:$A$81,MATCH($E398,科目表!$B$4:$B$81,0)),""))</f>
        <v/>
      </c>
      <c r="G398" s="26" t="str">
        <f>IF($E398="","",IFERROR(INDEX(科目表!$E$4:$E$81,MATCH($E398,科目表!$B$4:$B$81,0)),""))</f>
        <v/>
      </c>
      <c r="H398" s="27" t="str">
        <f>IF($E398="","",N(INDEX(进销存对接!$M$4:$U$305,132,5)))</f>
        <v/>
      </c>
      <c r="I398" s="27" t="str">
        <f>IF($E398="","",N(INDEX(进销存对接!$M$4:$U$305,132,6)))</f>
        <v/>
      </c>
      <c r="J398" s="26"/>
      <c r="K398" s="26" t="str">
        <f>IF($E398="","",INDEX(进销存对接!$D$4:$D$305,132))</f>
        <v/>
      </c>
      <c r="L398" s="32"/>
      <c r="M398" s="32"/>
      <c r="N398" s="26" t="str">
        <f t="shared" si="26"/>
        <v/>
      </c>
      <c r="O398" s="26" t="str">
        <f t="shared" si="27"/>
        <v/>
      </c>
      <c r="P398" s="10"/>
    </row>
    <row r="399" ht="18" customHeight="1" spans="1:16">
      <c r="A399" s="32" t="str">
        <f t="shared" si="24"/>
        <v/>
      </c>
      <c r="B399" s="100" t="str">
        <f>IF($E399="","",INDEX(进销存对接!$C$4:$C$305,132))</f>
        <v/>
      </c>
      <c r="C399" s="26" t="str">
        <f t="shared" si="25"/>
        <v/>
      </c>
      <c r="D399" s="32" t="str">
        <f>IF($E399="","",INDEX(进销存对接!$D$4:$D$305,132)&amp;" "&amp;TEXT($B399,"YYYY年M月")&amp;" 自动结转")</f>
        <v/>
      </c>
      <c r="E399" s="26" t="str">
        <f>IF(INDEX(进销存对接!$M$4:$U$305,132,7)=0,"",INDEX(进销存对接!$M$4:$U$305,132,7))</f>
        <v/>
      </c>
      <c r="F399" s="25" t="str">
        <f>IF($E399="","",IFERROR(INDEX(科目表!$A$4:$A$81,MATCH($E399,科目表!$B$4:$B$81,0)),""))</f>
        <v/>
      </c>
      <c r="G399" s="26" t="str">
        <f>IF($E399="","",IFERROR(INDEX(科目表!$E$4:$E$81,MATCH($E399,科目表!$B$4:$B$81,0)),""))</f>
        <v/>
      </c>
      <c r="H399" s="27" t="str">
        <f>IF($E399="","",N(INDEX(进销存对接!$M$4:$U$305,132,8)))</f>
        <v/>
      </c>
      <c r="I399" s="27" t="str">
        <f>IF($E399="","",N(INDEX(进销存对接!$M$4:$U$305,132,9)))</f>
        <v/>
      </c>
      <c r="J399" s="26"/>
      <c r="K399" s="26" t="str">
        <f>IF($E399="","",INDEX(进销存对接!$D$4:$D$305,132))</f>
        <v/>
      </c>
      <c r="L399" s="32"/>
      <c r="M399" s="32"/>
      <c r="N399" s="26" t="str">
        <f t="shared" si="26"/>
        <v/>
      </c>
      <c r="O399" s="26" t="str">
        <f t="shared" si="27"/>
        <v/>
      </c>
      <c r="P399" s="10"/>
    </row>
    <row r="400" ht="18" customHeight="1" spans="1:16">
      <c r="A400" s="32" t="str">
        <f t="shared" si="24"/>
        <v/>
      </c>
      <c r="B400" s="100" t="str">
        <f>IF($E400="","",INDEX(进销存对接!$C$4:$C$305,133))</f>
        <v/>
      </c>
      <c r="C400" s="26" t="str">
        <f t="shared" si="25"/>
        <v/>
      </c>
      <c r="D400" s="32" t="str">
        <f>IF($E400="","",INDEX(进销存对接!$D$4:$D$305,133)&amp;" "&amp;TEXT($B400,"YYYY年M月")&amp;" 自动结转")</f>
        <v/>
      </c>
      <c r="E400" s="26" t="str">
        <f>IF(INDEX(进销存对接!$M$4:$U$305,133,1)=0,"",INDEX(进销存对接!$M$4:$U$305,133,1))</f>
        <v/>
      </c>
      <c r="F400" s="25" t="str">
        <f>IF($E400="","",IFERROR(INDEX(科目表!$A$4:$A$81,MATCH($E400,科目表!$B$4:$B$81,0)),""))</f>
        <v/>
      </c>
      <c r="G400" s="26" t="str">
        <f>IF($E400="","",IFERROR(INDEX(科目表!$E$4:$E$81,MATCH($E400,科目表!$B$4:$B$81,0)),""))</f>
        <v/>
      </c>
      <c r="H400" s="27" t="str">
        <f>IF($E400="","",N(INDEX(进销存对接!$M$4:$U$305,133,2)))</f>
        <v/>
      </c>
      <c r="I400" s="27" t="str">
        <f>IF($E400="","",N(INDEX(进销存对接!$M$4:$U$305,133,3)))</f>
        <v/>
      </c>
      <c r="J400" s="26"/>
      <c r="K400" s="26" t="str">
        <f>IF($E400="","",INDEX(进销存对接!$D$4:$D$305,133))</f>
        <v/>
      </c>
      <c r="L400" s="32"/>
      <c r="M400" s="32"/>
      <c r="N400" s="26" t="str">
        <f t="shared" si="26"/>
        <v/>
      </c>
      <c r="O400" s="26" t="str">
        <f t="shared" si="27"/>
        <v/>
      </c>
      <c r="P400" s="10"/>
    </row>
    <row r="401" ht="18" customHeight="1" spans="1:16">
      <c r="A401" s="32" t="str">
        <f t="shared" si="24"/>
        <v/>
      </c>
      <c r="B401" s="100" t="str">
        <f>IF($E401="","",INDEX(进销存对接!$C$4:$C$305,133))</f>
        <v/>
      </c>
      <c r="C401" s="26" t="str">
        <f t="shared" si="25"/>
        <v/>
      </c>
      <c r="D401" s="32" t="str">
        <f>IF($E401="","",INDEX(进销存对接!$D$4:$D$305,133)&amp;" "&amp;TEXT($B401,"YYYY年M月")&amp;" 自动结转")</f>
        <v/>
      </c>
      <c r="E401" s="26" t="str">
        <f>IF(INDEX(进销存对接!$M$4:$U$305,133,4)=0,"",INDEX(进销存对接!$M$4:$U$305,133,4))</f>
        <v/>
      </c>
      <c r="F401" s="25" t="str">
        <f>IF($E401="","",IFERROR(INDEX(科目表!$A$4:$A$81,MATCH($E401,科目表!$B$4:$B$81,0)),""))</f>
        <v/>
      </c>
      <c r="G401" s="26" t="str">
        <f>IF($E401="","",IFERROR(INDEX(科目表!$E$4:$E$81,MATCH($E401,科目表!$B$4:$B$81,0)),""))</f>
        <v/>
      </c>
      <c r="H401" s="27" t="str">
        <f>IF($E401="","",N(INDEX(进销存对接!$M$4:$U$305,133,5)))</f>
        <v/>
      </c>
      <c r="I401" s="27" t="str">
        <f>IF($E401="","",N(INDEX(进销存对接!$M$4:$U$305,133,6)))</f>
        <v/>
      </c>
      <c r="J401" s="26"/>
      <c r="K401" s="26" t="str">
        <f>IF($E401="","",INDEX(进销存对接!$D$4:$D$305,133))</f>
        <v/>
      </c>
      <c r="L401" s="32"/>
      <c r="M401" s="32"/>
      <c r="N401" s="26" t="str">
        <f t="shared" si="26"/>
        <v/>
      </c>
      <c r="O401" s="26" t="str">
        <f t="shared" si="27"/>
        <v/>
      </c>
      <c r="P401" s="10"/>
    </row>
    <row r="402" ht="18" customHeight="1" spans="1:16">
      <c r="A402" s="32" t="str">
        <f t="shared" si="24"/>
        <v/>
      </c>
      <c r="B402" s="100" t="str">
        <f>IF($E402="","",INDEX(进销存对接!$C$4:$C$305,133))</f>
        <v/>
      </c>
      <c r="C402" s="26" t="str">
        <f t="shared" si="25"/>
        <v/>
      </c>
      <c r="D402" s="32" t="str">
        <f>IF($E402="","",INDEX(进销存对接!$D$4:$D$305,133)&amp;" "&amp;TEXT($B402,"YYYY年M月")&amp;" 自动结转")</f>
        <v/>
      </c>
      <c r="E402" s="26" t="str">
        <f>IF(INDEX(进销存对接!$M$4:$U$305,133,7)=0,"",INDEX(进销存对接!$M$4:$U$305,133,7))</f>
        <v/>
      </c>
      <c r="F402" s="25" t="str">
        <f>IF($E402="","",IFERROR(INDEX(科目表!$A$4:$A$81,MATCH($E402,科目表!$B$4:$B$81,0)),""))</f>
        <v/>
      </c>
      <c r="G402" s="26" t="str">
        <f>IF($E402="","",IFERROR(INDEX(科目表!$E$4:$E$81,MATCH($E402,科目表!$B$4:$B$81,0)),""))</f>
        <v/>
      </c>
      <c r="H402" s="27" t="str">
        <f>IF($E402="","",N(INDEX(进销存对接!$M$4:$U$305,133,8)))</f>
        <v/>
      </c>
      <c r="I402" s="27" t="str">
        <f>IF($E402="","",N(INDEX(进销存对接!$M$4:$U$305,133,9)))</f>
        <v/>
      </c>
      <c r="J402" s="26"/>
      <c r="K402" s="26" t="str">
        <f>IF($E402="","",INDEX(进销存对接!$D$4:$D$305,133))</f>
        <v/>
      </c>
      <c r="L402" s="32"/>
      <c r="M402" s="32"/>
      <c r="N402" s="26" t="str">
        <f t="shared" si="26"/>
        <v/>
      </c>
      <c r="O402" s="26" t="str">
        <f t="shared" si="27"/>
        <v/>
      </c>
      <c r="P402" s="10"/>
    </row>
    <row r="403" ht="18" customHeight="1" spans="1:16">
      <c r="A403" s="32" t="str">
        <f t="shared" si="24"/>
        <v/>
      </c>
      <c r="B403" s="100" t="str">
        <f>IF($E403="","",INDEX(进销存对接!$C$4:$C$305,134))</f>
        <v/>
      </c>
      <c r="C403" s="26" t="str">
        <f t="shared" si="25"/>
        <v/>
      </c>
      <c r="D403" s="32" t="str">
        <f>IF($E403="","",INDEX(进销存对接!$D$4:$D$305,134)&amp;" "&amp;TEXT($B403,"YYYY年M月")&amp;" 自动结转")</f>
        <v/>
      </c>
      <c r="E403" s="26" t="str">
        <f>IF(INDEX(进销存对接!$M$4:$U$305,134,1)=0,"",INDEX(进销存对接!$M$4:$U$305,134,1))</f>
        <v/>
      </c>
      <c r="F403" s="25" t="str">
        <f>IF($E403="","",IFERROR(INDEX(科目表!$A$4:$A$81,MATCH($E403,科目表!$B$4:$B$81,0)),""))</f>
        <v/>
      </c>
      <c r="G403" s="26" t="str">
        <f>IF($E403="","",IFERROR(INDEX(科目表!$E$4:$E$81,MATCH($E403,科目表!$B$4:$B$81,0)),""))</f>
        <v/>
      </c>
      <c r="H403" s="27" t="str">
        <f>IF($E403="","",N(INDEX(进销存对接!$M$4:$U$305,134,2)))</f>
        <v/>
      </c>
      <c r="I403" s="27" t="str">
        <f>IF($E403="","",N(INDEX(进销存对接!$M$4:$U$305,134,3)))</f>
        <v/>
      </c>
      <c r="J403" s="26"/>
      <c r="K403" s="26" t="str">
        <f>IF($E403="","",INDEX(进销存对接!$D$4:$D$305,134))</f>
        <v/>
      </c>
      <c r="L403" s="32"/>
      <c r="M403" s="32"/>
      <c r="N403" s="26" t="str">
        <f t="shared" si="26"/>
        <v/>
      </c>
      <c r="O403" s="26" t="str">
        <f t="shared" si="27"/>
        <v/>
      </c>
      <c r="P403" s="10"/>
    </row>
    <row r="404" ht="18" customHeight="1" spans="1:16">
      <c r="A404" s="32" t="str">
        <f t="shared" si="24"/>
        <v/>
      </c>
      <c r="B404" s="100" t="str">
        <f>IF($E404="","",INDEX(进销存对接!$C$4:$C$305,134))</f>
        <v/>
      </c>
      <c r="C404" s="26" t="str">
        <f t="shared" si="25"/>
        <v/>
      </c>
      <c r="D404" s="32" t="str">
        <f>IF($E404="","",INDEX(进销存对接!$D$4:$D$305,134)&amp;" "&amp;TEXT($B404,"YYYY年M月")&amp;" 自动结转")</f>
        <v/>
      </c>
      <c r="E404" s="26" t="str">
        <f>IF(INDEX(进销存对接!$M$4:$U$305,134,4)=0,"",INDEX(进销存对接!$M$4:$U$305,134,4))</f>
        <v/>
      </c>
      <c r="F404" s="25" t="str">
        <f>IF($E404="","",IFERROR(INDEX(科目表!$A$4:$A$81,MATCH($E404,科目表!$B$4:$B$81,0)),""))</f>
        <v/>
      </c>
      <c r="G404" s="26" t="str">
        <f>IF($E404="","",IFERROR(INDEX(科目表!$E$4:$E$81,MATCH($E404,科目表!$B$4:$B$81,0)),""))</f>
        <v/>
      </c>
      <c r="H404" s="27" t="str">
        <f>IF($E404="","",N(INDEX(进销存对接!$M$4:$U$305,134,5)))</f>
        <v/>
      </c>
      <c r="I404" s="27" t="str">
        <f>IF($E404="","",N(INDEX(进销存对接!$M$4:$U$305,134,6)))</f>
        <v/>
      </c>
      <c r="J404" s="26"/>
      <c r="K404" s="26" t="str">
        <f>IF($E404="","",INDEX(进销存对接!$D$4:$D$305,134))</f>
        <v/>
      </c>
      <c r="L404" s="32"/>
      <c r="M404" s="32"/>
      <c r="N404" s="26" t="str">
        <f t="shared" si="26"/>
        <v/>
      </c>
      <c r="O404" s="26" t="str">
        <f t="shared" si="27"/>
        <v/>
      </c>
      <c r="P404" s="10"/>
    </row>
    <row r="405" ht="18" customHeight="1" spans="1:16">
      <c r="A405" s="32" t="str">
        <f t="shared" si="24"/>
        <v/>
      </c>
      <c r="B405" s="100" t="str">
        <f>IF($E405="","",INDEX(进销存对接!$C$4:$C$305,134))</f>
        <v/>
      </c>
      <c r="C405" s="26" t="str">
        <f t="shared" si="25"/>
        <v/>
      </c>
      <c r="D405" s="32" t="str">
        <f>IF($E405="","",INDEX(进销存对接!$D$4:$D$305,134)&amp;" "&amp;TEXT($B405,"YYYY年M月")&amp;" 自动结转")</f>
        <v/>
      </c>
      <c r="E405" s="26" t="str">
        <f>IF(INDEX(进销存对接!$M$4:$U$305,134,7)=0,"",INDEX(进销存对接!$M$4:$U$305,134,7))</f>
        <v/>
      </c>
      <c r="F405" s="25" t="str">
        <f>IF($E405="","",IFERROR(INDEX(科目表!$A$4:$A$81,MATCH($E405,科目表!$B$4:$B$81,0)),""))</f>
        <v/>
      </c>
      <c r="G405" s="26" t="str">
        <f>IF($E405="","",IFERROR(INDEX(科目表!$E$4:$E$81,MATCH($E405,科目表!$B$4:$B$81,0)),""))</f>
        <v/>
      </c>
      <c r="H405" s="27" t="str">
        <f>IF($E405="","",N(INDEX(进销存对接!$M$4:$U$305,134,8)))</f>
        <v/>
      </c>
      <c r="I405" s="27" t="str">
        <f>IF($E405="","",N(INDEX(进销存对接!$M$4:$U$305,134,9)))</f>
        <v/>
      </c>
      <c r="J405" s="26"/>
      <c r="K405" s="26" t="str">
        <f>IF($E405="","",INDEX(进销存对接!$D$4:$D$305,134))</f>
        <v/>
      </c>
      <c r="L405" s="32"/>
      <c r="M405" s="32"/>
      <c r="N405" s="26" t="str">
        <f t="shared" si="26"/>
        <v/>
      </c>
      <c r="O405" s="26" t="str">
        <f t="shared" si="27"/>
        <v/>
      </c>
      <c r="P405" s="10"/>
    </row>
    <row r="406" ht="18" customHeight="1" spans="1:16">
      <c r="A406" s="32" t="str">
        <f t="shared" si="24"/>
        <v/>
      </c>
      <c r="B406" s="100" t="str">
        <f>IF($E406="","",INDEX(进销存对接!$C$4:$C$305,135))</f>
        <v/>
      </c>
      <c r="C406" s="26" t="str">
        <f t="shared" si="25"/>
        <v/>
      </c>
      <c r="D406" s="32" t="str">
        <f>IF($E406="","",INDEX(进销存对接!$D$4:$D$305,135)&amp;" "&amp;TEXT($B406,"YYYY年M月")&amp;" 自动结转")</f>
        <v/>
      </c>
      <c r="E406" s="26" t="str">
        <f>IF(INDEX(进销存对接!$M$4:$U$305,135,1)=0,"",INDEX(进销存对接!$M$4:$U$305,135,1))</f>
        <v/>
      </c>
      <c r="F406" s="25" t="str">
        <f>IF($E406="","",IFERROR(INDEX(科目表!$A$4:$A$81,MATCH($E406,科目表!$B$4:$B$81,0)),""))</f>
        <v/>
      </c>
      <c r="G406" s="26" t="str">
        <f>IF($E406="","",IFERROR(INDEX(科目表!$E$4:$E$81,MATCH($E406,科目表!$B$4:$B$81,0)),""))</f>
        <v/>
      </c>
      <c r="H406" s="27" t="str">
        <f>IF($E406="","",N(INDEX(进销存对接!$M$4:$U$305,135,2)))</f>
        <v/>
      </c>
      <c r="I406" s="27" t="str">
        <f>IF($E406="","",N(INDEX(进销存对接!$M$4:$U$305,135,3)))</f>
        <v/>
      </c>
      <c r="J406" s="26"/>
      <c r="K406" s="26" t="str">
        <f>IF($E406="","",INDEX(进销存对接!$D$4:$D$305,135))</f>
        <v/>
      </c>
      <c r="L406" s="32"/>
      <c r="M406" s="32"/>
      <c r="N406" s="26" t="str">
        <f t="shared" si="26"/>
        <v/>
      </c>
      <c r="O406" s="26" t="str">
        <f t="shared" si="27"/>
        <v/>
      </c>
      <c r="P406" s="10"/>
    </row>
    <row r="407" ht="18" customHeight="1" spans="1:16">
      <c r="A407" s="32" t="str">
        <f t="shared" si="24"/>
        <v/>
      </c>
      <c r="B407" s="100" t="str">
        <f>IF($E407="","",INDEX(进销存对接!$C$4:$C$305,135))</f>
        <v/>
      </c>
      <c r="C407" s="26" t="str">
        <f t="shared" si="25"/>
        <v/>
      </c>
      <c r="D407" s="32" t="str">
        <f>IF($E407="","",INDEX(进销存对接!$D$4:$D$305,135)&amp;" "&amp;TEXT($B407,"YYYY年M月")&amp;" 自动结转")</f>
        <v/>
      </c>
      <c r="E407" s="26" t="str">
        <f>IF(INDEX(进销存对接!$M$4:$U$305,135,4)=0,"",INDEX(进销存对接!$M$4:$U$305,135,4))</f>
        <v/>
      </c>
      <c r="F407" s="25" t="str">
        <f>IF($E407="","",IFERROR(INDEX(科目表!$A$4:$A$81,MATCH($E407,科目表!$B$4:$B$81,0)),""))</f>
        <v/>
      </c>
      <c r="G407" s="26" t="str">
        <f>IF($E407="","",IFERROR(INDEX(科目表!$E$4:$E$81,MATCH($E407,科目表!$B$4:$B$81,0)),""))</f>
        <v/>
      </c>
      <c r="H407" s="27" t="str">
        <f>IF($E407="","",N(INDEX(进销存对接!$M$4:$U$305,135,5)))</f>
        <v/>
      </c>
      <c r="I407" s="27" t="str">
        <f>IF($E407="","",N(INDEX(进销存对接!$M$4:$U$305,135,6)))</f>
        <v/>
      </c>
      <c r="J407" s="26"/>
      <c r="K407" s="26" t="str">
        <f>IF($E407="","",INDEX(进销存对接!$D$4:$D$305,135))</f>
        <v/>
      </c>
      <c r="L407" s="32"/>
      <c r="M407" s="32"/>
      <c r="N407" s="26" t="str">
        <f t="shared" si="26"/>
        <v/>
      </c>
      <c r="O407" s="26" t="str">
        <f t="shared" si="27"/>
        <v/>
      </c>
      <c r="P407" s="10"/>
    </row>
    <row r="408" ht="18" customHeight="1" spans="1:16">
      <c r="A408" s="32" t="str">
        <f t="shared" si="24"/>
        <v/>
      </c>
      <c r="B408" s="100" t="str">
        <f>IF($E408="","",INDEX(进销存对接!$C$4:$C$305,135))</f>
        <v/>
      </c>
      <c r="C408" s="26" t="str">
        <f t="shared" si="25"/>
        <v/>
      </c>
      <c r="D408" s="32" t="str">
        <f>IF($E408="","",INDEX(进销存对接!$D$4:$D$305,135)&amp;" "&amp;TEXT($B408,"YYYY年M月")&amp;" 自动结转")</f>
        <v/>
      </c>
      <c r="E408" s="26" t="str">
        <f>IF(INDEX(进销存对接!$M$4:$U$305,135,7)=0,"",INDEX(进销存对接!$M$4:$U$305,135,7))</f>
        <v/>
      </c>
      <c r="F408" s="25" t="str">
        <f>IF($E408="","",IFERROR(INDEX(科目表!$A$4:$A$81,MATCH($E408,科目表!$B$4:$B$81,0)),""))</f>
        <v/>
      </c>
      <c r="G408" s="26" t="str">
        <f>IF($E408="","",IFERROR(INDEX(科目表!$E$4:$E$81,MATCH($E408,科目表!$B$4:$B$81,0)),""))</f>
        <v/>
      </c>
      <c r="H408" s="27" t="str">
        <f>IF($E408="","",N(INDEX(进销存对接!$M$4:$U$305,135,8)))</f>
        <v/>
      </c>
      <c r="I408" s="27" t="str">
        <f>IF($E408="","",N(INDEX(进销存对接!$M$4:$U$305,135,9)))</f>
        <v/>
      </c>
      <c r="J408" s="26"/>
      <c r="K408" s="26" t="str">
        <f>IF($E408="","",INDEX(进销存对接!$D$4:$D$305,135))</f>
        <v/>
      </c>
      <c r="L408" s="32"/>
      <c r="M408" s="32"/>
      <c r="N408" s="26" t="str">
        <f t="shared" si="26"/>
        <v/>
      </c>
      <c r="O408" s="26" t="str">
        <f t="shared" si="27"/>
        <v/>
      </c>
      <c r="P408" s="10"/>
    </row>
    <row r="409" ht="18" customHeight="1" spans="1:16">
      <c r="A409" s="32" t="str">
        <f t="shared" si="24"/>
        <v/>
      </c>
      <c r="B409" s="100" t="str">
        <f>IF($E409="","",INDEX(进销存对接!$C$4:$C$305,136))</f>
        <v/>
      </c>
      <c r="C409" s="26" t="str">
        <f t="shared" si="25"/>
        <v/>
      </c>
      <c r="D409" s="32" t="str">
        <f>IF($E409="","",INDEX(进销存对接!$D$4:$D$305,136)&amp;" "&amp;TEXT($B409,"YYYY年M月")&amp;" 自动结转")</f>
        <v/>
      </c>
      <c r="E409" s="26" t="str">
        <f>IF(INDEX(进销存对接!$M$4:$U$305,136,1)=0,"",INDEX(进销存对接!$M$4:$U$305,136,1))</f>
        <v/>
      </c>
      <c r="F409" s="25" t="str">
        <f>IF($E409="","",IFERROR(INDEX(科目表!$A$4:$A$81,MATCH($E409,科目表!$B$4:$B$81,0)),""))</f>
        <v/>
      </c>
      <c r="G409" s="26" t="str">
        <f>IF($E409="","",IFERROR(INDEX(科目表!$E$4:$E$81,MATCH($E409,科目表!$B$4:$B$81,0)),""))</f>
        <v/>
      </c>
      <c r="H409" s="27" t="str">
        <f>IF($E409="","",N(INDEX(进销存对接!$M$4:$U$305,136,2)))</f>
        <v/>
      </c>
      <c r="I409" s="27" t="str">
        <f>IF($E409="","",N(INDEX(进销存对接!$M$4:$U$305,136,3)))</f>
        <v/>
      </c>
      <c r="J409" s="26"/>
      <c r="K409" s="26" t="str">
        <f>IF($E409="","",INDEX(进销存对接!$D$4:$D$305,136))</f>
        <v/>
      </c>
      <c r="L409" s="32"/>
      <c r="M409" s="32"/>
      <c r="N409" s="26" t="str">
        <f t="shared" si="26"/>
        <v/>
      </c>
      <c r="O409" s="26" t="str">
        <f t="shared" si="27"/>
        <v/>
      </c>
      <c r="P409" s="10"/>
    </row>
    <row r="410" ht="18" customHeight="1" spans="1:16">
      <c r="A410" s="32" t="str">
        <f t="shared" si="24"/>
        <v/>
      </c>
      <c r="B410" s="100" t="str">
        <f>IF($E410="","",INDEX(进销存对接!$C$4:$C$305,136))</f>
        <v/>
      </c>
      <c r="C410" s="26" t="str">
        <f t="shared" si="25"/>
        <v/>
      </c>
      <c r="D410" s="32" t="str">
        <f>IF($E410="","",INDEX(进销存对接!$D$4:$D$305,136)&amp;" "&amp;TEXT($B410,"YYYY年M月")&amp;" 自动结转")</f>
        <v/>
      </c>
      <c r="E410" s="26" t="str">
        <f>IF(INDEX(进销存对接!$M$4:$U$305,136,4)=0,"",INDEX(进销存对接!$M$4:$U$305,136,4))</f>
        <v/>
      </c>
      <c r="F410" s="25" t="str">
        <f>IF($E410="","",IFERROR(INDEX(科目表!$A$4:$A$81,MATCH($E410,科目表!$B$4:$B$81,0)),""))</f>
        <v/>
      </c>
      <c r="G410" s="26" t="str">
        <f>IF($E410="","",IFERROR(INDEX(科目表!$E$4:$E$81,MATCH($E410,科目表!$B$4:$B$81,0)),""))</f>
        <v/>
      </c>
      <c r="H410" s="27" t="str">
        <f>IF($E410="","",N(INDEX(进销存对接!$M$4:$U$305,136,5)))</f>
        <v/>
      </c>
      <c r="I410" s="27" t="str">
        <f>IF($E410="","",N(INDEX(进销存对接!$M$4:$U$305,136,6)))</f>
        <v/>
      </c>
      <c r="J410" s="26"/>
      <c r="K410" s="26" t="str">
        <f>IF($E410="","",INDEX(进销存对接!$D$4:$D$305,136))</f>
        <v/>
      </c>
      <c r="L410" s="32"/>
      <c r="M410" s="32"/>
      <c r="N410" s="26" t="str">
        <f t="shared" si="26"/>
        <v/>
      </c>
      <c r="O410" s="26" t="str">
        <f t="shared" si="27"/>
        <v/>
      </c>
      <c r="P410" s="10"/>
    </row>
    <row r="411" ht="18" customHeight="1" spans="1:16">
      <c r="A411" s="32" t="str">
        <f t="shared" si="24"/>
        <v/>
      </c>
      <c r="B411" s="100" t="str">
        <f>IF($E411="","",INDEX(进销存对接!$C$4:$C$305,136))</f>
        <v/>
      </c>
      <c r="C411" s="26" t="str">
        <f t="shared" si="25"/>
        <v/>
      </c>
      <c r="D411" s="32" t="str">
        <f>IF($E411="","",INDEX(进销存对接!$D$4:$D$305,136)&amp;" "&amp;TEXT($B411,"YYYY年M月")&amp;" 自动结转")</f>
        <v/>
      </c>
      <c r="E411" s="26" t="str">
        <f>IF(INDEX(进销存对接!$M$4:$U$305,136,7)=0,"",INDEX(进销存对接!$M$4:$U$305,136,7))</f>
        <v/>
      </c>
      <c r="F411" s="25" t="str">
        <f>IF($E411="","",IFERROR(INDEX(科目表!$A$4:$A$81,MATCH($E411,科目表!$B$4:$B$81,0)),""))</f>
        <v/>
      </c>
      <c r="G411" s="26" t="str">
        <f>IF($E411="","",IFERROR(INDEX(科目表!$E$4:$E$81,MATCH($E411,科目表!$B$4:$B$81,0)),""))</f>
        <v/>
      </c>
      <c r="H411" s="27" t="str">
        <f>IF($E411="","",N(INDEX(进销存对接!$M$4:$U$305,136,8)))</f>
        <v/>
      </c>
      <c r="I411" s="27" t="str">
        <f>IF($E411="","",N(INDEX(进销存对接!$M$4:$U$305,136,9)))</f>
        <v/>
      </c>
      <c r="J411" s="26"/>
      <c r="K411" s="26" t="str">
        <f>IF($E411="","",INDEX(进销存对接!$D$4:$D$305,136))</f>
        <v/>
      </c>
      <c r="L411" s="32"/>
      <c r="M411" s="32"/>
      <c r="N411" s="26" t="str">
        <f t="shared" si="26"/>
        <v/>
      </c>
      <c r="O411" s="26" t="str">
        <f t="shared" si="27"/>
        <v/>
      </c>
      <c r="P411" s="10"/>
    </row>
    <row r="412" ht="18" customHeight="1" spans="1:16">
      <c r="A412" s="32" t="str">
        <f t="shared" si="24"/>
        <v/>
      </c>
      <c r="B412" s="100" t="str">
        <f>IF($E412="","",INDEX(进销存对接!$C$4:$C$305,137))</f>
        <v/>
      </c>
      <c r="C412" s="26" t="str">
        <f t="shared" si="25"/>
        <v/>
      </c>
      <c r="D412" s="32" t="str">
        <f>IF($E412="","",INDEX(进销存对接!$D$4:$D$305,137)&amp;" "&amp;TEXT($B412,"YYYY年M月")&amp;" 自动结转")</f>
        <v/>
      </c>
      <c r="E412" s="26" t="str">
        <f>IF(INDEX(进销存对接!$M$4:$U$305,137,1)=0,"",INDEX(进销存对接!$M$4:$U$305,137,1))</f>
        <v/>
      </c>
      <c r="F412" s="25" t="str">
        <f>IF($E412="","",IFERROR(INDEX(科目表!$A$4:$A$81,MATCH($E412,科目表!$B$4:$B$81,0)),""))</f>
        <v/>
      </c>
      <c r="G412" s="26" t="str">
        <f>IF($E412="","",IFERROR(INDEX(科目表!$E$4:$E$81,MATCH($E412,科目表!$B$4:$B$81,0)),""))</f>
        <v/>
      </c>
      <c r="H412" s="27" t="str">
        <f>IF($E412="","",N(INDEX(进销存对接!$M$4:$U$305,137,2)))</f>
        <v/>
      </c>
      <c r="I412" s="27" t="str">
        <f>IF($E412="","",N(INDEX(进销存对接!$M$4:$U$305,137,3)))</f>
        <v/>
      </c>
      <c r="J412" s="26"/>
      <c r="K412" s="26" t="str">
        <f>IF($E412="","",INDEX(进销存对接!$D$4:$D$305,137))</f>
        <v/>
      </c>
      <c r="L412" s="32"/>
      <c r="M412" s="32"/>
      <c r="N412" s="26" t="str">
        <f t="shared" si="26"/>
        <v/>
      </c>
      <c r="O412" s="26" t="str">
        <f t="shared" si="27"/>
        <v/>
      </c>
      <c r="P412" s="10"/>
    </row>
    <row r="413" ht="18" customHeight="1" spans="1:16">
      <c r="A413" s="32" t="str">
        <f t="shared" si="24"/>
        <v/>
      </c>
      <c r="B413" s="100" t="str">
        <f>IF($E413="","",INDEX(进销存对接!$C$4:$C$305,137))</f>
        <v/>
      </c>
      <c r="C413" s="26" t="str">
        <f t="shared" si="25"/>
        <v/>
      </c>
      <c r="D413" s="32" t="str">
        <f>IF($E413="","",INDEX(进销存对接!$D$4:$D$305,137)&amp;" "&amp;TEXT($B413,"YYYY年M月")&amp;" 自动结转")</f>
        <v/>
      </c>
      <c r="E413" s="26" t="str">
        <f>IF(INDEX(进销存对接!$M$4:$U$305,137,4)=0,"",INDEX(进销存对接!$M$4:$U$305,137,4))</f>
        <v/>
      </c>
      <c r="F413" s="25" t="str">
        <f>IF($E413="","",IFERROR(INDEX(科目表!$A$4:$A$81,MATCH($E413,科目表!$B$4:$B$81,0)),""))</f>
        <v/>
      </c>
      <c r="G413" s="26" t="str">
        <f>IF($E413="","",IFERROR(INDEX(科目表!$E$4:$E$81,MATCH($E413,科目表!$B$4:$B$81,0)),""))</f>
        <v/>
      </c>
      <c r="H413" s="27" t="str">
        <f>IF($E413="","",N(INDEX(进销存对接!$M$4:$U$305,137,5)))</f>
        <v/>
      </c>
      <c r="I413" s="27" t="str">
        <f>IF($E413="","",N(INDEX(进销存对接!$M$4:$U$305,137,6)))</f>
        <v/>
      </c>
      <c r="J413" s="26"/>
      <c r="K413" s="26" t="str">
        <f>IF($E413="","",INDEX(进销存对接!$D$4:$D$305,137))</f>
        <v/>
      </c>
      <c r="L413" s="32"/>
      <c r="M413" s="32"/>
      <c r="N413" s="26" t="str">
        <f t="shared" si="26"/>
        <v/>
      </c>
      <c r="O413" s="26" t="str">
        <f t="shared" si="27"/>
        <v/>
      </c>
      <c r="P413" s="10"/>
    </row>
    <row r="414" ht="18" customHeight="1" spans="1:16">
      <c r="A414" s="32" t="str">
        <f t="shared" si="24"/>
        <v/>
      </c>
      <c r="B414" s="100" t="str">
        <f>IF($E414="","",INDEX(进销存对接!$C$4:$C$305,137))</f>
        <v/>
      </c>
      <c r="C414" s="26" t="str">
        <f t="shared" si="25"/>
        <v/>
      </c>
      <c r="D414" s="32" t="str">
        <f>IF($E414="","",INDEX(进销存对接!$D$4:$D$305,137)&amp;" "&amp;TEXT($B414,"YYYY年M月")&amp;" 自动结转")</f>
        <v/>
      </c>
      <c r="E414" s="26" t="str">
        <f>IF(INDEX(进销存对接!$M$4:$U$305,137,7)=0,"",INDEX(进销存对接!$M$4:$U$305,137,7))</f>
        <v/>
      </c>
      <c r="F414" s="25" t="str">
        <f>IF($E414="","",IFERROR(INDEX(科目表!$A$4:$A$81,MATCH($E414,科目表!$B$4:$B$81,0)),""))</f>
        <v/>
      </c>
      <c r="G414" s="26" t="str">
        <f>IF($E414="","",IFERROR(INDEX(科目表!$E$4:$E$81,MATCH($E414,科目表!$B$4:$B$81,0)),""))</f>
        <v/>
      </c>
      <c r="H414" s="27" t="str">
        <f>IF($E414="","",N(INDEX(进销存对接!$M$4:$U$305,137,8)))</f>
        <v/>
      </c>
      <c r="I414" s="27" t="str">
        <f>IF($E414="","",N(INDEX(进销存对接!$M$4:$U$305,137,9)))</f>
        <v/>
      </c>
      <c r="J414" s="26"/>
      <c r="K414" s="26" t="str">
        <f>IF($E414="","",INDEX(进销存对接!$D$4:$D$305,137))</f>
        <v/>
      </c>
      <c r="L414" s="32"/>
      <c r="M414" s="32"/>
      <c r="N414" s="26" t="str">
        <f t="shared" si="26"/>
        <v/>
      </c>
      <c r="O414" s="26" t="str">
        <f t="shared" si="27"/>
        <v/>
      </c>
      <c r="P414" s="10"/>
    </row>
    <row r="415" ht="18" customHeight="1" spans="1:16">
      <c r="A415" s="32" t="str">
        <f t="shared" si="24"/>
        <v/>
      </c>
      <c r="B415" s="100" t="str">
        <f>IF($E415="","",INDEX(进销存对接!$C$4:$C$305,138))</f>
        <v/>
      </c>
      <c r="C415" s="26" t="str">
        <f t="shared" si="25"/>
        <v/>
      </c>
      <c r="D415" s="32" t="str">
        <f>IF($E415="","",INDEX(进销存对接!$D$4:$D$305,138)&amp;" "&amp;TEXT($B415,"YYYY年M月")&amp;" 自动结转")</f>
        <v/>
      </c>
      <c r="E415" s="26" t="str">
        <f>IF(INDEX(进销存对接!$M$4:$U$305,138,1)=0,"",INDEX(进销存对接!$M$4:$U$305,138,1))</f>
        <v/>
      </c>
      <c r="F415" s="25" t="str">
        <f>IF($E415="","",IFERROR(INDEX(科目表!$A$4:$A$81,MATCH($E415,科目表!$B$4:$B$81,0)),""))</f>
        <v/>
      </c>
      <c r="G415" s="26" t="str">
        <f>IF($E415="","",IFERROR(INDEX(科目表!$E$4:$E$81,MATCH($E415,科目表!$B$4:$B$81,0)),""))</f>
        <v/>
      </c>
      <c r="H415" s="27" t="str">
        <f>IF($E415="","",N(INDEX(进销存对接!$M$4:$U$305,138,2)))</f>
        <v/>
      </c>
      <c r="I415" s="27" t="str">
        <f>IF($E415="","",N(INDEX(进销存对接!$M$4:$U$305,138,3)))</f>
        <v/>
      </c>
      <c r="J415" s="26"/>
      <c r="K415" s="26" t="str">
        <f>IF($E415="","",INDEX(进销存对接!$D$4:$D$305,138))</f>
        <v/>
      </c>
      <c r="L415" s="32"/>
      <c r="M415" s="32"/>
      <c r="N415" s="26" t="str">
        <f t="shared" si="26"/>
        <v/>
      </c>
      <c r="O415" s="26" t="str">
        <f t="shared" si="27"/>
        <v/>
      </c>
      <c r="P415" s="10"/>
    </row>
    <row r="416" ht="18" customHeight="1" spans="1:16">
      <c r="A416" s="32" t="str">
        <f t="shared" si="24"/>
        <v/>
      </c>
      <c r="B416" s="100" t="str">
        <f>IF($E416="","",INDEX(进销存对接!$C$4:$C$305,138))</f>
        <v/>
      </c>
      <c r="C416" s="26" t="str">
        <f t="shared" si="25"/>
        <v/>
      </c>
      <c r="D416" s="32" t="str">
        <f>IF($E416="","",INDEX(进销存对接!$D$4:$D$305,138)&amp;" "&amp;TEXT($B416,"YYYY年M月")&amp;" 自动结转")</f>
        <v/>
      </c>
      <c r="E416" s="26" t="str">
        <f>IF(INDEX(进销存对接!$M$4:$U$305,138,4)=0,"",INDEX(进销存对接!$M$4:$U$305,138,4))</f>
        <v/>
      </c>
      <c r="F416" s="25" t="str">
        <f>IF($E416="","",IFERROR(INDEX(科目表!$A$4:$A$81,MATCH($E416,科目表!$B$4:$B$81,0)),""))</f>
        <v/>
      </c>
      <c r="G416" s="26" t="str">
        <f>IF($E416="","",IFERROR(INDEX(科目表!$E$4:$E$81,MATCH($E416,科目表!$B$4:$B$81,0)),""))</f>
        <v/>
      </c>
      <c r="H416" s="27" t="str">
        <f>IF($E416="","",N(INDEX(进销存对接!$M$4:$U$305,138,5)))</f>
        <v/>
      </c>
      <c r="I416" s="27" t="str">
        <f>IF($E416="","",N(INDEX(进销存对接!$M$4:$U$305,138,6)))</f>
        <v/>
      </c>
      <c r="J416" s="26"/>
      <c r="K416" s="26" t="str">
        <f>IF($E416="","",INDEX(进销存对接!$D$4:$D$305,138))</f>
        <v/>
      </c>
      <c r="L416" s="32"/>
      <c r="M416" s="32"/>
      <c r="N416" s="26" t="str">
        <f t="shared" si="26"/>
        <v/>
      </c>
      <c r="O416" s="26" t="str">
        <f t="shared" si="27"/>
        <v/>
      </c>
      <c r="P416" s="10"/>
    </row>
    <row r="417" ht="18" customHeight="1" spans="1:16">
      <c r="A417" s="32" t="str">
        <f t="shared" si="24"/>
        <v/>
      </c>
      <c r="B417" s="100" t="str">
        <f>IF($E417="","",INDEX(进销存对接!$C$4:$C$305,138))</f>
        <v/>
      </c>
      <c r="C417" s="26" t="str">
        <f t="shared" si="25"/>
        <v/>
      </c>
      <c r="D417" s="32" t="str">
        <f>IF($E417="","",INDEX(进销存对接!$D$4:$D$305,138)&amp;" "&amp;TEXT($B417,"YYYY年M月")&amp;" 自动结转")</f>
        <v/>
      </c>
      <c r="E417" s="26" t="str">
        <f>IF(INDEX(进销存对接!$M$4:$U$305,138,7)=0,"",INDEX(进销存对接!$M$4:$U$305,138,7))</f>
        <v/>
      </c>
      <c r="F417" s="25" t="str">
        <f>IF($E417="","",IFERROR(INDEX(科目表!$A$4:$A$81,MATCH($E417,科目表!$B$4:$B$81,0)),""))</f>
        <v/>
      </c>
      <c r="G417" s="26" t="str">
        <f>IF($E417="","",IFERROR(INDEX(科目表!$E$4:$E$81,MATCH($E417,科目表!$B$4:$B$81,0)),""))</f>
        <v/>
      </c>
      <c r="H417" s="27" t="str">
        <f>IF($E417="","",N(INDEX(进销存对接!$M$4:$U$305,138,8)))</f>
        <v/>
      </c>
      <c r="I417" s="27" t="str">
        <f>IF($E417="","",N(INDEX(进销存对接!$M$4:$U$305,138,9)))</f>
        <v/>
      </c>
      <c r="J417" s="26"/>
      <c r="K417" s="26" t="str">
        <f>IF($E417="","",INDEX(进销存对接!$D$4:$D$305,138))</f>
        <v/>
      </c>
      <c r="L417" s="32"/>
      <c r="M417" s="32"/>
      <c r="N417" s="26" t="str">
        <f t="shared" si="26"/>
        <v/>
      </c>
      <c r="O417" s="26" t="str">
        <f t="shared" si="27"/>
        <v/>
      </c>
      <c r="P417" s="10"/>
    </row>
    <row r="418" ht="18" customHeight="1" spans="1:16">
      <c r="A418" s="32" t="str">
        <f t="shared" si="24"/>
        <v/>
      </c>
      <c r="B418" s="100" t="str">
        <f>IF($E418="","",INDEX(进销存对接!$C$4:$C$305,139))</f>
        <v/>
      </c>
      <c r="C418" s="26" t="str">
        <f t="shared" si="25"/>
        <v/>
      </c>
      <c r="D418" s="32" t="str">
        <f>IF($E418="","",INDEX(进销存对接!$D$4:$D$305,139)&amp;" "&amp;TEXT($B418,"YYYY年M月")&amp;" 自动结转")</f>
        <v/>
      </c>
      <c r="E418" s="26" t="str">
        <f>IF(INDEX(进销存对接!$M$4:$U$305,139,1)=0,"",INDEX(进销存对接!$M$4:$U$305,139,1))</f>
        <v/>
      </c>
      <c r="F418" s="25" t="str">
        <f>IF($E418="","",IFERROR(INDEX(科目表!$A$4:$A$81,MATCH($E418,科目表!$B$4:$B$81,0)),""))</f>
        <v/>
      </c>
      <c r="G418" s="26" t="str">
        <f>IF($E418="","",IFERROR(INDEX(科目表!$E$4:$E$81,MATCH($E418,科目表!$B$4:$B$81,0)),""))</f>
        <v/>
      </c>
      <c r="H418" s="27" t="str">
        <f>IF($E418="","",N(INDEX(进销存对接!$M$4:$U$305,139,2)))</f>
        <v/>
      </c>
      <c r="I418" s="27" t="str">
        <f>IF($E418="","",N(INDEX(进销存对接!$M$4:$U$305,139,3)))</f>
        <v/>
      </c>
      <c r="J418" s="26"/>
      <c r="K418" s="26" t="str">
        <f>IF($E418="","",INDEX(进销存对接!$D$4:$D$305,139))</f>
        <v/>
      </c>
      <c r="L418" s="32"/>
      <c r="M418" s="32"/>
      <c r="N418" s="26" t="str">
        <f t="shared" si="26"/>
        <v/>
      </c>
      <c r="O418" s="26" t="str">
        <f t="shared" si="27"/>
        <v/>
      </c>
      <c r="P418" s="10"/>
    </row>
    <row r="419" ht="18" customHeight="1" spans="1:16">
      <c r="A419" s="32" t="str">
        <f t="shared" si="24"/>
        <v/>
      </c>
      <c r="B419" s="100" t="str">
        <f>IF($E419="","",INDEX(进销存对接!$C$4:$C$305,139))</f>
        <v/>
      </c>
      <c r="C419" s="26" t="str">
        <f t="shared" si="25"/>
        <v/>
      </c>
      <c r="D419" s="32" t="str">
        <f>IF($E419="","",INDEX(进销存对接!$D$4:$D$305,139)&amp;" "&amp;TEXT($B419,"YYYY年M月")&amp;" 自动结转")</f>
        <v/>
      </c>
      <c r="E419" s="26" t="str">
        <f>IF(INDEX(进销存对接!$M$4:$U$305,139,4)=0,"",INDEX(进销存对接!$M$4:$U$305,139,4))</f>
        <v/>
      </c>
      <c r="F419" s="25" t="str">
        <f>IF($E419="","",IFERROR(INDEX(科目表!$A$4:$A$81,MATCH($E419,科目表!$B$4:$B$81,0)),""))</f>
        <v/>
      </c>
      <c r="G419" s="26" t="str">
        <f>IF($E419="","",IFERROR(INDEX(科目表!$E$4:$E$81,MATCH($E419,科目表!$B$4:$B$81,0)),""))</f>
        <v/>
      </c>
      <c r="H419" s="27" t="str">
        <f>IF($E419="","",N(INDEX(进销存对接!$M$4:$U$305,139,5)))</f>
        <v/>
      </c>
      <c r="I419" s="27" t="str">
        <f>IF($E419="","",N(INDEX(进销存对接!$M$4:$U$305,139,6)))</f>
        <v/>
      </c>
      <c r="J419" s="26"/>
      <c r="K419" s="26" t="str">
        <f>IF($E419="","",INDEX(进销存对接!$D$4:$D$305,139))</f>
        <v/>
      </c>
      <c r="L419" s="32"/>
      <c r="M419" s="32"/>
      <c r="N419" s="26" t="str">
        <f t="shared" si="26"/>
        <v/>
      </c>
      <c r="O419" s="26" t="str">
        <f t="shared" si="27"/>
        <v/>
      </c>
      <c r="P419" s="10"/>
    </row>
    <row r="420" ht="18" customHeight="1" spans="1:16">
      <c r="A420" s="32" t="str">
        <f t="shared" si="24"/>
        <v/>
      </c>
      <c r="B420" s="100" t="str">
        <f>IF($E420="","",INDEX(进销存对接!$C$4:$C$305,139))</f>
        <v/>
      </c>
      <c r="C420" s="26" t="str">
        <f t="shared" si="25"/>
        <v/>
      </c>
      <c r="D420" s="32" t="str">
        <f>IF($E420="","",INDEX(进销存对接!$D$4:$D$305,139)&amp;" "&amp;TEXT($B420,"YYYY年M月")&amp;" 自动结转")</f>
        <v/>
      </c>
      <c r="E420" s="26" t="str">
        <f>IF(INDEX(进销存对接!$M$4:$U$305,139,7)=0,"",INDEX(进销存对接!$M$4:$U$305,139,7))</f>
        <v/>
      </c>
      <c r="F420" s="25" t="str">
        <f>IF($E420="","",IFERROR(INDEX(科目表!$A$4:$A$81,MATCH($E420,科目表!$B$4:$B$81,0)),""))</f>
        <v/>
      </c>
      <c r="G420" s="26" t="str">
        <f>IF($E420="","",IFERROR(INDEX(科目表!$E$4:$E$81,MATCH($E420,科目表!$B$4:$B$81,0)),""))</f>
        <v/>
      </c>
      <c r="H420" s="27" t="str">
        <f>IF($E420="","",N(INDEX(进销存对接!$M$4:$U$305,139,8)))</f>
        <v/>
      </c>
      <c r="I420" s="27" t="str">
        <f>IF($E420="","",N(INDEX(进销存对接!$M$4:$U$305,139,9)))</f>
        <v/>
      </c>
      <c r="J420" s="26"/>
      <c r="K420" s="26" t="str">
        <f>IF($E420="","",INDEX(进销存对接!$D$4:$D$305,139))</f>
        <v/>
      </c>
      <c r="L420" s="32"/>
      <c r="M420" s="32"/>
      <c r="N420" s="26" t="str">
        <f t="shared" si="26"/>
        <v/>
      </c>
      <c r="O420" s="26" t="str">
        <f t="shared" si="27"/>
        <v/>
      </c>
      <c r="P420" s="10"/>
    </row>
    <row r="421" ht="18" customHeight="1" spans="1:16">
      <c r="A421" s="32" t="str">
        <f t="shared" si="24"/>
        <v/>
      </c>
      <c r="B421" s="100" t="str">
        <f>IF($E421="","",INDEX(进销存对接!$C$4:$C$305,140))</f>
        <v/>
      </c>
      <c r="C421" s="26" t="str">
        <f t="shared" si="25"/>
        <v/>
      </c>
      <c r="D421" s="32" t="str">
        <f>IF($E421="","",INDEX(进销存对接!$D$4:$D$305,140)&amp;" "&amp;TEXT($B421,"YYYY年M月")&amp;" 自动结转")</f>
        <v/>
      </c>
      <c r="E421" s="26" t="str">
        <f>IF(INDEX(进销存对接!$M$4:$U$305,140,1)=0,"",INDEX(进销存对接!$M$4:$U$305,140,1))</f>
        <v/>
      </c>
      <c r="F421" s="25" t="str">
        <f>IF($E421="","",IFERROR(INDEX(科目表!$A$4:$A$81,MATCH($E421,科目表!$B$4:$B$81,0)),""))</f>
        <v/>
      </c>
      <c r="G421" s="26" t="str">
        <f>IF($E421="","",IFERROR(INDEX(科目表!$E$4:$E$81,MATCH($E421,科目表!$B$4:$B$81,0)),""))</f>
        <v/>
      </c>
      <c r="H421" s="27" t="str">
        <f>IF($E421="","",N(INDEX(进销存对接!$M$4:$U$305,140,2)))</f>
        <v/>
      </c>
      <c r="I421" s="27" t="str">
        <f>IF($E421="","",N(INDEX(进销存对接!$M$4:$U$305,140,3)))</f>
        <v/>
      </c>
      <c r="J421" s="26"/>
      <c r="K421" s="26" t="str">
        <f>IF($E421="","",INDEX(进销存对接!$D$4:$D$305,140))</f>
        <v/>
      </c>
      <c r="L421" s="32"/>
      <c r="M421" s="32"/>
      <c r="N421" s="26" t="str">
        <f t="shared" si="26"/>
        <v/>
      </c>
      <c r="O421" s="26" t="str">
        <f t="shared" si="27"/>
        <v/>
      </c>
      <c r="P421" s="10"/>
    </row>
    <row r="422" ht="18" customHeight="1" spans="1:16">
      <c r="A422" s="32" t="str">
        <f t="shared" si="24"/>
        <v/>
      </c>
      <c r="B422" s="100" t="str">
        <f>IF($E422="","",INDEX(进销存对接!$C$4:$C$305,140))</f>
        <v/>
      </c>
      <c r="C422" s="26" t="str">
        <f t="shared" si="25"/>
        <v/>
      </c>
      <c r="D422" s="32" t="str">
        <f>IF($E422="","",INDEX(进销存对接!$D$4:$D$305,140)&amp;" "&amp;TEXT($B422,"YYYY年M月")&amp;" 自动结转")</f>
        <v/>
      </c>
      <c r="E422" s="26" t="str">
        <f>IF(INDEX(进销存对接!$M$4:$U$305,140,4)=0,"",INDEX(进销存对接!$M$4:$U$305,140,4))</f>
        <v/>
      </c>
      <c r="F422" s="25" t="str">
        <f>IF($E422="","",IFERROR(INDEX(科目表!$A$4:$A$81,MATCH($E422,科目表!$B$4:$B$81,0)),""))</f>
        <v/>
      </c>
      <c r="G422" s="26" t="str">
        <f>IF($E422="","",IFERROR(INDEX(科目表!$E$4:$E$81,MATCH($E422,科目表!$B$4:$B$81,0)),""))</f>
        <v/>
      </c>
      <c r="H422" s="27" t="str">
        <f>IF($E422="","",N(INDEX(进销存对接!$M$4:$U$305,140,5)))</f>
        <v/>
      </c>
      <c r="I422" s="27" t="str">
        <f>IF($E422="","",N(INDEX(进销存对接!$M$4:$U$305,140,6)))</f>
        <v/>
      </c>
      <c r="J422" s="26"/>
      <c r="K422" s="26" t="str">
        <f>IF($E422="","",INDEX(进销存对接!$D$4:$D$305,140))</f>
        <v/>
      </c>
      <c r="L422" s="32"/>
      <c r="M422" s="32"/>
      <c r="N422" s="26" t="str">
        <f t="shared" si="26"/>
        <v/>
      </c>
      <c r="O422" s="26" t="str">
        <f t="shared" si="27"/>
        <v/>
      </c>
      <c r="P422" s="10"/>
    </row>
    <row r="423" ht="18" customHeight="1" spans="1:16">
      <c r="A423" s="32" t="str">
        <f t="shared" si="24"/>
        <v/>
      </c>
      <c r="B423" s="100" t="str">
        <f>IF($E423="","",INDEX(进销存对接!$C$4:$C$305,140))</f>
        <v/>
      </c>
      <c r="C423" s="26" t="str">
        <f t="shared" si="25"/>
        <v/>
      </c>
      <c r="D423" s="32" t="str">
        <f>IF($E423="","",INDEX(进销存对接!$D$4:$D$305,140)&amp;" "&amp;TEXT($B423,"YYYY年M月")&amp;" 自动结转")</f>
        <v/>
      </c>
      <c r="E423" s="26" t="str">
        <f>IF(INDEX(进销存对接!$M$4:$U$305,140,7)=0,"",INDEX(进销存对接!$M$4:$U$305,140,7))</f>
        <v/>
      </c>
      <c r="F423" s="25" t="str">
        <f>IF($E423="","",IFERROR(INDEX(科目表!$A$4:$A$81,MATCH($E423,科目表!$B$4:$B$81,0)),""))</f>
        <v/>
      </c>
      <c r="G423" s="26" t="str">
        <f>IF($E423="","",IFERROR(INDEX(科目表!$E$4:$E$81,MATCH($E423,科目表!$B$4:$B$81,0)),""))</f>
        <v/>
      </c>
      <c r="H423" s="27" t="str">
        <f>IF($E423="","",N(INDEX(进销存对接!$M$4:$U$305,140,8)))</f>
        <v/>
      </c>
      <c r="I423" s="27" t="str">
        <f>IF($E423="","",N(INDEX(进销存对接!$M$4:$U$305,140,9)))</f>
        <v/>
      </c>
      <c r="J423" s="26"/>
      <c r="K423" s="26" t="str">
        <f>IF($E423="","",INDEX(进销存对接!$D$4:$D$305,140))</f>
        <v/>
      </c>
      <c r="L423" s="32"/>
      <c r="M423" s="32"/>
      <c r="N423" s="26" t="str">
        <f t="shared" si="26"/>
        <v/>
      </c>
      <c r="O423" s="26" t="str">
        <f t="shared" si="27"/>
        <v/>
      </c>
      <c r="P423" s="10"/>
    </row>
    <row r="424" ht="18" customHeight="1" spans="1:16">
      <c r="A424" s="32" t="str">
        <f t="shared" si="24"/>
        <v/>
      </c>
      <c r="B424" s="100" t="str">
        <f>IF($E424="","",INDEX(进销存对接!$C$4:$C$305,141))</f>
        <v/>
      </c>
      <c r="C424" s="26" t="str">
        <f t="shared" si="25"/>
        <v/>
      </c>
      <c r="D424" s="32" t="str">
        <f>IF($E424="","",INDEX(进销存对接!$D$4:$D$305,141)&amp;" "&amp;TEXT($B424,"YYYY年M月")&amp;" 自动结转")</f>
        <v/>
      </c>
      <c r="E424" s="26" t="str">
        <f>IF(INDEX(进销存对接!$M$4:$U$305,141,1)=0,"",INDEX(进销存对接!$M$4:$U$305,141,1))</f>
        <v/>
      </c>
      <c r="F424" s="25" t="str">
        <f>IF($E424="","",IFERROR(INDEX(科目表!$A$4:$A$81,MATCH($E424,科目表!$B$4:$B$81,0)),""))</f>
        <v/>
      </c>
      <c r="G424" s="26" t="str">
        <f>IF($E424="","",IFERROR(INDEX(科目表!$E$4:$E$81,MATCH($E424,科目表!$B$4:$B$81,0)),""))</f>
        <v/>
      </c>
      <c r="H424" s="27" t="str">
        <f>IF($E424="","",N(INDEX(进销存对接!$M$4:$U$305,141,2)))</f>
        <v/>
      </c>
      <c r="I424" s="27" t="str">
        <f>IF($E424="","",N(INDEX(进销存对接!$M$4:$U$305,141,3)))</f>
        <v/>
      </c>
      <c r="J424" s="26"/>
      <c r="K424" s="26" t="str">
        <f>IF($E424="","",INDEX(进销存对接!$D$4:$D$305,141))</f>
        <v/>
      </c>
      <c r="L424" s="32"/>
      <c r="M424" s="32"/>
      <c r="N424" s="26" t="str">
        <f t="shared" si="26"/>
        <v/>
      </c>
      <c r="O424" s="26" t="str">
        <f t="shared" si="27"/>
        <v/>
      </c>
      <c r="P424" s="10"/>
    </row>
    <row r="425" ht="18" customHeight="1" spans="1:16">
      <c r="A425" s="32" t="str">
        <f t="shared" si="24"/>
        <v/>
      </c>
      <c r="B425" s="100" t="str">
        <f>IF($E425="","",INDEX(进销存对接!$C$4:$C$305,141))</f>
        <v/>
      </c>
      <c r="C425" s="26" t="str">
        <f t="shared" si="25"/>
        <v/>
      </c>
      <c r="D425" s="32" t="str">
        <f>IF($E425="","",INDEX(进销存对接!$D$4:$D$305,141)&amp;" "&amp;TEXT($B425,"YYYY年M月")&amp;" 自动结转")</f>
        <v/>
      </c>
      <c r="E425" s="26" t="str">
        <f>IF(INDEX(进销存对接!$M$4:$U$305,141,4)=0,"",INDEX(进销存对接!$M$4:$U$305,141,4))</f>
        <v/>
      </c>
      <c r="F425" s="25" t="str">
        <f>IF($E425="","",IFERROR(INDEX(科目表!$A$4:$A$81,MATCH($E425,科目表!$B$4:$B$81,0)),""))</f>
        <v/>
      </c>
      <c r="G425" s="26" t="str">
        <f>IF($E425="","",IFERROR(INDEX(科目表!$E$4:$E$81,MATCH($E425,科目表!$B$4:$B$81,0)),""))</f>
        <v/>
      </c>
      <c r="H425" s="27" t="str">
        <f>IF($E425="","",N(INDEX(进销存对接!$M$4:$U$305,141,5)))</f>
        <v/>
      </c>
      <c r="I425" s="27" t="str">
        <f>IF($E425="","",N(INDEX(进销存对接!$M$4:$U$305,141,6)))</f>
        <v/>
      </c>
      <c r="J425" s="26"/>
      <c r="K425" s="26" t="str">
        <f>IF($E425="","",INDEX(进销存对接!$D$4:$D$305,141))</f>
        <v/>
      </c>
      <c r="L425" s="32"/>
      <c r="M425" s="32"/>
      <c r="N425" s="26" t="str">
        <f t="shared" si="26"/>
        <v/>
      </c>
      <c r="O425" s="26" t="str">
        <f t="shared" si="27"/>
        <v/>
      </c>
      <c r="P425" s="10"/>
    </row>
    <row r="426" ht="18" customHeight="1" spans="1:16">
      <c r="A426" s="32" t="str">
        <f t="shared" si="24"/>
        <v/>
      </c>
      <c r="B426" s="100" t="str">
        <f>IF($E426="","",INDEX(进销存对接!$C$4:$C$305,141))</f>
        <v/>
      </c>
      <c r="C426" s="26" t="str">
        <f t="shared" si="25"/>
        <v/>
      </c>
      <c r="D426" s="32" t="str">
        <f>IF($E426="","",INDEX(进销存对接!$D$4:$D$305,141)&amp;" "&amp;TEXT($B426,"YYYY年M月")&amp;" 自动结转")</f>
        <v/>
      </c>
      <c r="E426" s="26" t="str">
        <f>IF(INDEX(进销存对接!$M$4:$U$305,141,7)=0,"",INDEX(进销存对接!$M$4:$U$305,141,7))</f>
        <v/>
      </c>
      <c r="F426" s="25" t="str">
        <f>IF($E426="","",IFERROR(INDEX(科目表!$A$4:$A$81,MATCH($E426,科目表!$B$4:$B$81,0)),""))</f>
        <v/>
      </c>
      <c r="G426" s="26" t="str">
        <f>IF($E426="","",IFERROR(INDEX(科目表!$E$4:$E$81,MATCH($E426,科目表!$B$4:$B$81,0)),""))</f>
        <v/>
      </c>
      <c r="H426" s="27" t="str">
        <f>IF($E426="","",N(INDEX(进销存对接!$M$4:$U$305,141,8)))</f>
        <v/>
      </c>
      <c r="I426" s="27" t="str">
        <f>IF($E426="","",N(INDEX(进销存对接!$M$4:$U$305,141,9)))</f>
        <v/>
      </c>
      <c r="J426" s="26"/>
      <c r="K426" s="26" t="str">
        <f>IF($E426="","",INDEX(进销存对接!$D$4:$D$305,141))</f>
        <v/>
      </c>
      <c r="L426" s="32"/>
      <c r="M426" s="32"/>
      <c r="N426" s="26" t="str">
        <f t="shared" si="26"/>
        <v/>
      </c>
      <c r="O426" s="26" t="str">
        <f t="shared" si="27"/>
        <v/>
      </c>
      <c r="P426" s="10"/>
    </row>
    <row r="427" ht="18" customHeight="1" spans="1:16">
      <c r="A427" s="32" t="str">
        <f t="shared" si="24"/>
        <v/>
      </c>
      <c r="B427" s="100" t="str">
        <f>IF($E427="","",INDEX(进销存对接!$C$4:$C$305,142))</f>
        <v/>
      </c>
      <c r="C427" s="26" t="str">
        <f t="shared" si="25"/>
        <v/>
      </c>
      <c r="D427" s="32" t="str">
        <f>IF($E427="","",INDEX(进销存对接!$D$4:$D$305,142)&amp;" "&amp;TEXT($B427,"YYYY年M月")&amp;" 自动结转")</f>
        <v/>
      </c>
      <c r="E427" s="26" t="str">
        <f>IF(INDEX(进销存对接!$M$4:$U$305,142,1)=0,"",INDEX(进销存对接!$M$4:$U$305,142,1))</f>
        <v/>
      </c>
      <c r="F427" s="25" t="str">
        <f>IF($E427="","",IFERROR(INDEX(科目表!$A$4:$A$81,MATCH($E427,科目表!$B$4:$B$81,0)),""))</f>
        <v/>
      </c>
      <c r="G427" s="26" t="str">
        <f>IF($E427="","",IFERROR(INDEX(科目表!$E$4:$E$81,MATCH($E427,科目表!$B$4:$B$81,0)),""))</f>
        <v/>
      </c>
      <c r="H427" s="27" t="str">
        <f>IF($E427="","",N(INDEX(进销存对接!$M$4:$U$305,142,2)))</f>
        <v/>
      </c>
      <c r="I427" s="27" t="str">
        <f>IF($E427="","",N(INDEX(进销存对接!$M$4:$U$305,142,3)))</f>
        <v/>
      </c>
      <c r="J427" s="26"/>
      <c r="K427" s="26" t="str">
        <f>IF($E427="","",INDEX(进销存对接!$D$4:$D$305,142))</f>
        <v/>
      </c>
      <c r="L427" s="32"/>
      <c r="M427" s="32"/>
      <c r="N427" s="26" t="str">
        <f t="shared" si="26"/>
        <v/>
      </c>
      <c r="O427" s="26" t="str">
        <f t="shared" si="27"/>
        <v/>
      </c>
      <c r="P427" s="10"/>
    </row>
    <row r="428" ht="18" customHeight="1" spans="1:16">
      <c r="A428" s="32" t="str">
        <f t="shared" si="24"/>
        <v/>
      </c>
      <c r="B428" s="100" t="str">
        <f>IF($E428="","",INDEX(进销存对接!$C$4:$C$305,142))</f>
        <v/>
      </c>
      <c r="C428" s="26" t="str">
        <f t="shared" si="25"/>
        <v/>
      </c>
      <c r="D428" s="32" t="str">
        <f>IF($E428="","",INDEX(进销存对接!$D$4:$D$305,142)&amp;" "&amp;TEXT($B428,"YYYY年M月")&amp;" 自动结转")</f>
        <v/>
      </c>
      <c r="E428" s="26" t="str">
        <f>IF(INDEX(进销存对接!$M$4:$U$305,142,4)=0,"",INDEX(进销存对接!$M$4:$U$305,142,4))</f>
        <v/>
      </c>
      <c r="F428" s="25" t="str">
        <f>IF($E428="","",IFERROR(INDEX(科目表!$A$4:$A$81,MATCH($E428,科目表!$B$4:$B$81,0)),""))</f>
        <v/>
      </c>
      <c r="G428" s="26" t="str">
        <f>IF($E428="","",IFERROR(INDEX(科目表!$E$4:$E$81,MATCH($E428,科目表!$B$4:$B$81,0)),""))</f>
        <v/>
      </c>
      <c r="H428" s="27" t="str">
        <f>IF($E428="","",N(INDEX(进销存对接!$M$4:$U$305,142,5)))</f>
        <v/>
      </c>
      <c r="I428" s="27" t="str">
        <f>IF($E428="","",N(INDEX(进销存对接!$M$4:$U$305,142,6)))</f>
        <v/>
      </c>
      <c r="J428" s="26"/>
      <c r="K428" s="26" t="str">
        <f>IF($E428="","",INDEX(进销存对接!$D$4:$D$305,142))</f>
        <v/>
      </c>
      <c r="L428" s="32"/>
      <c r="M428" s="32"/>
      <c r="N428" s="26" t="str">
        <f t="shared" si="26"/>
        <v/>
      </c>
      <c r="O428" s="26" t="str">
        <f t="shared" si="27"/>
        <v/>
      </c>
      <c r="P428" s="10"/>
    </row>
    <row r="429" ht="18" customHeight="1" spans="1:16">
      <c r="A429" s="32" t="str">
        <f t="shared" si="24"/>
        <v/>
      </c>
      <c r="B429" s="100" t="str">
        <f>IF($E429="","",INDEX(进销存对接!$C$4:$C$305,142))</f>
        <v/>
      </c>
      <c r="C429" s="26" t="str">
        <f t="shared" si="25"/>
        <v/>
      </c>
      <c r="D429" s="32" t="str">
        <f>IF($E429="","",INDEX(进销存对接!$D$4:$D$305,142)&amp;" "&amp;TEXT($B429,"YYYY年M月")&amp;" 自动结转")</f>
        <v/>
      </c>
      <c r="E429" s="26" t="str">
        <f>IF(INDEX(进销存对接!$M$4:$U$305,142,7)=0,"",INDEX(进销存对接!$M$4:$U$305,142,7))</f>
        <v/>
      </c>
      <c r="F429" s="25" t="str">
        <f>IF($E429="","",IFERROR(INDEX(科目表!$A$4:$A$81,MATCH($E429,科目表!$B$4:$B$81,0)),""))</f>
        <v/>
      </c>
      <c r="G429" s="26" t="str">
        <f>IF($E429="","",IFERROR(INDEX(科目表!$E$4:$E$81,MATCH($E429,科目表!$B$4:$B$81,0)),""))</f>
        <v/>
      </c>
      <c r="H429" s="27" t="str">
        <f>IF($E429="","",N(INDEX(进销存对接!$M$4:$U$305,142,8)))</f>
        <v/>
      </c>
      <c r="I429" s="27" t="str">
        <f>IF($E429="","",N(INDEX(进销存对接!$M$4:$U$305,142,9)))</f>
        <v/>
      </c>
      <c r="J429" s="26"/>
      <c r="K429" s="26" t="str">
        <f>IF($E429="","",INDEX(进销存对接!$D$4:$D$305,142))</f>
        <v/>
      </c>
      <c r="L429" s="32"/>
      <c r="M429" s="32"/>
      <c r="N429" s="26" t="str">
        <f t="shared" si="26"/>
        <v/>
      </c>
      <c r="O429" s="26" t="str">
        <f t="shared" si="27"/>
        <v/>
      </c>
      <c r="P429" s="10"/>
    </row>
    <row r="430" ht="18" customHeight="1" spans="1:16">
      <c r="A430" s="32" t="str">
        <f t="shared" si="24"/>
        <v/>
      </c>
      <c r="B430" s="100" t="str">
        <f>IF($E430="","",INDEX(进销存对接!$C$4:$C$305,143))</f>
        <v/>
      </c>
      <c r="C430" s="26" t="str">
        <f t="shared" si="25"/>
        <v/>
      </c>
      <c r="D430" s="32" t="str">
        <f>IF($E430="","",INDEX(进销存对接!$D$4:$D$305,143)&amp;" "&amp;TEXT($B430,"YYYY年M月")&amp;" 自动结转")</f>
        <v/>
      </c>
      <c r="E430" s="26" t="str">
        <f>IF(INDEX(进销存对接!$M$4:$U$305,143,1)=0,"",INDEX(进销存对接!$M$4:$U$305,143,1))</f>
        <v/>
      </c>
      <c r="F430" s="25" t="str">
        <f>IF($E430="","",IFERROR(INDEX(科目表!$A$4:$A$81,MATCH($E430,科目表!$B$4:$B$81,0)),""))</f>
        <v/>
      </c>
      <c r="G430" s="26" t="str">
        <f>IF($E430="","",IFERROR(INDEX(科目表!$E$4:$E$81,MATCH($E430,科目表!$B$4:$B$81,0)),""))</f>
        <v/>
      </c>
      <c r="H430" s="27" t="str">
        <f>IF($E430="","",N(INDEX(进销存对接!$M$4:$U$305,143,2)))</f>
        <v/>
      </c>
      <c r="I430" s="27" t="str">
        <f>IF($E430="","",N(INDEX(进销存对接!$M$4:$U$305,143,3)))</f>
        <v/>
      </c>
      <c r="J430" s="26"/>
      <c r="K430" s="26" t="str">
        <f>IF($E430="","",INDEX(进销存对接!$D$4:$D$305,143))</f>
        <v/>
      </c>
      <c r="L430" s="32"/>
      <c r="M430" s="32"/>
      <c r="N430" s="26" t="str">
        <f t="shared" si="26"/>
        <v/>
      </c>
      <c r="O430" s="26" t="str">
        <f t="shared" si="27"/>
        <v/>
      </c>
      <c r="P430" s="10"/>
    </row>
    <row r="431" ht="18" customHeight="1" spans="1:16">
      <c r="A431" s="32" t="str">
        <f t="shared" si="24"/>
        <v/>
      </c>
      <c r="B431" s="100" t="str">
        <f>IF($E431="","",INDEX(进销存对接!$C$4:$C$305,143))</f>
        <v/>
      </c>
      <c r="C431" s="26" t="str">
        <f t="shared" si="25"/>
        <v/>
      </c>
      <c r="D431" s="32" t="str">
        <f>IF($E431="","",INDEX(进销存对接!$D$4:$D$305,143)&amp;" "&amp;TEXT($B431,"YYYY年M月")&amp;" 自动结转")</f>
        <v/>
      </c>
      <c r="E431" s="26" t="str">
        <f>IF(INDEX(进销存对接!$M$4:$U$305,143,4)=0,"",INDEX(进销存对接!$M$4:$U$305,143,4))</f>
        <v/>
      </c>
      <c r="F431" s="25" t="str">
        <f>IF($E431="","",IFERROR(INDEX(科目表!$A$4:$A$81,MATCH($E431,科目表!$B$4:$B$81,0)),""))</f>
        <v/>
      </c>
      <c r="G431" s="26" t="str">
        <f>IF($E431="","",IFERROR(INDEX(科目表!$E$4:$E$81,MATCH($E431,科目表!$B$4:$B$81,0)),""))</f>
        <v/>
      </c>
      <c r="H431" s="27" t="str">
        <f>IF($E431="","",N(INDEX(进销存对接!$M$4:$U$305,143,5)))</f>
        <v/>
      </c>
      <c r="I431" s="27" t="str">
        <f>IF($E431="","",N(INDEX(进销存对接!$M$4:$U$305,143,6)))</f>
        <v/>
      </c>
      <c r="J431" s="26"/>
      <c r="K431" s="26" t="str">
        <f>IF($E431="","",INDEX(进销存对接!$D$4:$D$305,143))</f>
        <v/>
      </c>
      <c r="L431" s="32"/>
      <c r="M431" s="32"/>
      <c r="N431" s="26" t="str">
        <f t="shared" si="26"/>
        <v/>
      </c>
      <c r="O431" s="26" t="str">
        <f t="shared" si="27"/>
        <v/>
      </c>
      <c r="P431" s="10"/>
    </row>
    <row r="432" ht="18" customHeight="1" spans="1:16">
      <c r="A432" s="32" t="str">
        <f t="shared" si="24"/>
        <v/>
      </c>
      <c r="B432" s="100" t="str">
        <f>IF($E432="","",INDEX(进销存对接!$C$4:$C$305,143))</f>
        <v/>
      </c>
      <c r="C432" s="26" t="str">
        <f t="shared" si="25"/>
        <v/>
      </c>
      <c r="D432" s="32" t="str">
        <f>IF($E432="","",INDEX(进销存对接!$D$4:$D$305,143)&amp;" "&amp;TEXT($B432,"YYYY年M月")&amp;" 自动结转")</f>
        <v/>
      </c>
      <c r="E432" s="26" t="str">
        <f>IF(INDEX(进销存对接!$M$4:$U$305,143,7)=0,"",INDEX(进销存对接!$M$4:$U$305,143,7))</f>
        <v/>
      </c>
      <c r="F432" s="25" t="str">
        <f>IF($E432="","",IFERROR(INDEX(科目表!$A$4:$A$81,MATCH($E432,科目表!$B$4:$B$81,0)),""))</f>
        <v/>
      </c>
      <c r="G432" s="26" t="str">
        <f>IF($E432="","",IFERROR(INDEX(科目表!$E$4:$E$81,MATCH($E432,科目表!$B$4:$B$81,0)),""))</f>
        <v/>
      </c>
      <c r="H432" s="27" t="str">
        <f>IF($E432="","",N(INDEX(进销存对接!$M$4:$U$305,143,8)))</f>
        <v/>
      </c>
      <c r="I432" s="27" t="str">
        <f>IF($E432="","",N(INDEX(进销存对接!$M$4:$U$305,143,9)))</f>
        <v/>
      </c>
      <c r="J432" s="26"/>
      <c r="K432" s="26" t="str">
        <f>IF($E432="","",INDEX(进销存对接!$D$4:$D$305,143))</f>
        <v/>
      </c>
      <c r="L432" s="32"/>
      <c r="M432" s="32"/>
      <c r="N432" s="26" t="str">
        <f t="shared" si="26"/>
        <v/>
      </c>
      <c r="O432" s="26" t="str">
        <f t="shared" si="27"/>
        <v/>
      </c>
      <c r="P432" s="10"/>
    </row>
    <row r="433" ht="18" customHeight="1" spans="1:16">
      <c r="A433" s="32" t="str">
        <f t="shared" si="24"/>
        <v/>
      </c>
      <c r="B433" s="100" t="str">
        <f>IF($E433="","",INDEX(进销存对接!$C$4:$C$305,144))</f>
        <v/>
      </c>
      <c r="C433" s="26" t="str">
        <f t="shared" si="25"/>
        <v/>
      </c>
      <c r="D433" s="32" t="str">
        <f>IF($E433="","",INDEX(进销存对接!$D$4:$D$305,144)&amp;" "&amp;TEXT($B433,"YYYY年M月")&amp;" 自动结转")</f>
        <v/>
      </c>
      <c r="E433" s="26" t="str">
        <f>IF(INDEX(进销存对接!$M$4:$U$305,144,1)=0,"",INDEX(进销存对接!$M$4:$U$305,144,1))</f>
        <v/>
      </c>
      <c r="F433" s="25" t="str">
        <f>IF($E433="","",IFERROR(INDEX(科目表!$A$4:$A$81,MATCH($E433,科目表!$B$4:$B$81,0)),""))</f>
        <v/>
      </c>
      <c r="G433" s="26" t="str">
        <f>IF($E433="","",IFERROR(INDEX(科目表!$E$4:$E$81,MATCH($E433,科目表!$B$4:$B$81,0)),""))</f>
        <v/>
      </c>
      <c r="H433" s="27" t="str">
        <f>IF($E433="","",N(INDEX(进销存对接!$M$4:$U$305,144,2)))</f>
        <v/>
      </c>
      <c r="I433" s="27" t="str">
        <f>IF($E433="","",N(INDEX(进销存对接!$M$4:$U$305,144,3)))</f>
        <v/>
      </c>
      <c r="J433" s="26"/>
      <c r="K433" s="26" t="str">
        <f>IF($E433="","",INDEX(进销存对接!$D$4:$D$305,144))</f>
        <v/>
      </c>
      <c r="L433" s="32"/>
      <c r="M433" s="32"/>
      <c r="N433" s="26" t="str">
        <f t="shared" si="26"/>
        <v/>
      </c>
      <c r="O433" s="26" t="str">
        <f t="shared" si="27"/>
        <v/>
      </c>
      <c r="P433" s="10"/>
    </row>
    <row r="434" ht="18" customHeight="1" spans="1:16">
      <c r="A434" s="32" t="str">
        <f t="shared" si="24"/>
        <v/>
      </c>
      <c r="B434" s="100" t="str">
        <f>IF($E434="","",INDEX(进销存对接!$C$4:$C$305,144))</f>
        <v/>
      </c>
      <c r="C434" s="26" t="str">
        <f t="shared" si="25"/>
        <v/>
      </c>
      <c r="D434" s="32" t="str">
        <f>IF($E434="","",INDEX(进销存对接!$D$4:$D$305,144)&amp;" "&amp;TEXT($B434,"YYYY年M月")&amp;" 自动结转")</f>
        <v/>
      </c>
      <c r="E434" s="26" t="str">
        <f>IF(INDEX(进销存对接!$M$4:$U$305,144,4)=0,"",INDEX(进销存对接!$M$4:$U$305,144,4))</f>
        <v/>
      </c>
      <c r="F434" s="25" t="str">
        <f>IF($E434="","",IFERROR(INDEX(科目表!$A$4:$A$81,MATCH($E434,科目表!$B$4:$B$81,0)),""))</f>
        <v/>
      </c>
      <c r="G434" s="26" t="str">
        <f>IF($E434="","",IFERROR(INDEX(科目表!$E$4:$E$81,MATCH($E434,科目表!$B$4:$B$81,0)),""))</f>
        <v/>
      </c>
      <c r="H434" s="27" t="str">
        <f>IF($E434="","",N(INDEX(进销存对接!$M$4:$U$305,144,5)))</f>
        <v/>
      </c>
      <c r="I434" s="27" t="str">
        <f>IF($E434="","",N(INDEX(进销存对接!$M$4:$U$305,144,6)))</f>
        <v/>
      </c>
      <c r="J434" s="26"/>
      <c r="K434" s="26" t="str">
        <f>IF($E434="","",INDEX(进销存对接!$D$4:$D$305,144))</f>
        <v/>
      </c>
      <c r="L434" s="32"/>
      <c r="M434" s="32"/>
      <c r="N434" s="26" t="str">
        <f t="shared" si="26"/>
        <v/>
      </c>
      <c r="O434" s="26" t="str">
        <f t="shared" si="27"/>
        <v/>
      </c>
      <c r="P434" s="10"/>
    </row>
    <row r="435" ht="18" customHeight="1" spans="1:16">
      <c r="A435" s="32" t="str">
        <f t="shared" si="24"/>
        <v/>
      </c>
      <c r="B435" s="100" t="str">
        <f>IF($E435="","",INDEX(进销存对接!$C$4:$C$305,144))</f>
        <v/>
      </c>
      <c r="C435" s="26" t="str">
        <f t="shared" si="25"/>
        <v/>
      </c>
      <c r="D435" s="32" t="str">
        <f>IF($E435="","",INDEX(进销存对接!$D$4:$D$305,144)&amp;" "&amp;TEXT($B435,"YYYY年M月")&amp;" 自动结转")</f>
        <v/>
      </c>
      <c r="E435" s="26" t="str">
        <f>IF(INDEX(进销存对接!$M$4:$U$305,144,7)=0,"",INDEX(进销存对接!$M$4:$U$305,144,7))</f>
        <v/>
      </c>
      <c r="F435" s="25" t="str">
        <f>IF($E435="","",IFERROR(INDEX(科目表!$A$4:$A$81,MATCH($E435,科目表!$B$4:$B$81,0)),""))</f>
        <v/>
      </c>
      <c r="G435" s="26" t="str">
        <f>IF($E435="","",IFERROR(INDEX(科目表!$E$4:$E$81,MATCH($E435,科目表!$B$4:$B$81,0)),""))</f>
        <v/>
      </c>
      <c r="H435" s="27" t="str">
        <f>IF($E435="","",N(INDEX(进销存对接!$M$4:$U$305,144,8)))</f>
        <v/>
      </c>
      <c r="I435" s="27" t="str">
        <f>IF($E435="","",N(INDEX(进销存对接!$M$4:$U$305,144,9)))</f>
        <v/>
      </c>
      <c r="J435" s="26"/>
      <c r="K435" s="26" t="str">
        <f>IF($E435="","",INDEX(进销存对接!$D$4:$D$305,144))</f>
        <v/>
      </c>
      <c r="L435" s="32"/>
      <c r="M435" s="32"/>
      <c r="N435" s="26" t="str">
        <f t="shared" si="26"/>
        <v/>
      </c>
      <c r="O435" s="26" t="str">
        <f t="shared" si="27"/>
        <v/>
      </c>
      <c r="P435" s="10"/>
    </row>
    <row r="436" ht="18" customHeight="1" spans="1:16">
      <c r="A436" s="32" t="str">
        <f t="shared" si="24"/>
        <v/>
      </c>
      <c r="B436" s="100" t="str">
        <f>IF($E436="","",INDEX(进销存对接!$C$4:$C$305,145))</f>
        <v/>
      </c>
      <c r="C436" s="26" t="str">
        <f t="shared" si="25"/>
        <v/>
      </c>
      <c r="D436" s="32" t="str">
        <f>IF($E436="","",INDEX(进销存对接!$D$4:$D$305,145)&amp;" "&amp;TEXT($B436,"YYYY年M月")&amp;" 自动结转")</f>
        <v/>
      </c>
      <c r="E436" s="26" t="str">
        <f>IF(INDEX(进销存对接!$M$4:$U$305,145,1)=0,"",INDEX(进销存对接!$M$4:$U$305,145,1))</f>
        <v/>
      </c>
      <c r="F436" s="25" t="str">
        <f>IF($E436="","",IFERROR(INDEX(科目表!$A$4:$A$81,MATCH($E436,科目表!$B$4:$B$81,0)),""))</f>
        <v/>
      </c>
      <c r="G436" s="26" t="str">
        <f>IF($E436="","",IFERROR(INDEX(科目表!$E$4:$E$81,MATCH($E436,科目表!$B$4:$B$81,0)),""))</f>
        <v/>
      </c>
      <c r="H436" s="27" t="str">
        <f>IF($E436="","",N(INDEX(进销存对接!$M$4:$U$305,145,2)))</f>
        <v/>
      </c>
      <c r="I436" s="27" t="str">
        <f>IF($E436="","",N(INDEX(进销存对接!$M$4:$U$305,145,3)))</f>
        <v/>
      </c>
      <c r="J436" s="26"/>
      <c r="K436" s="26" t="str">
        <f>IF($E436="","",INDEX(进销存对接!$D$4:$D$305,145))</f>
        <v/>
      </c>
      <c r="L436" s="32"/>
      <c r="M436" s="32"/>
      <c r="N436" s="26" t="str">
        <f t="shared" si="26"/>
        <v/>
      </c>
      <c r="O436" s="26" t="str">
        <f t="shared" si="27"/>
        <v/>
      </c>
      <c r="P436" s="10"/>
    </row>
    <row r="437" ht="18" customHeight="1" spans="1:16">
      <c r="A437" s="32" t="str">
        <f t="shared" si="24"/>
        <v/>
      </c>
      <c r="B437" s="100" t="str">
        <f>IF($E437="","",INDEX(进销存对接!$C$4:$C$305,145))</f>
        <v/>
      </c>
      <c r="C437" s="26" t="str">
        <f t="shared" si="25"/>
        <v/>
      </c>
      <c r="D437" s="32" t="str">
        <f>IF($E437="","",INDEX(进销存对接!$D$4:$D$305,145)&amp;" "&amp;TEXT($B437,"YYYY年M月")&amp;" 自动结转")</f>
        <v/>
      </c>
      <c r="E437" s="26" t="str">
        <f>IF(INDEX(进销存对接!$M$4:$U$305,145,4)=0,"",INDEX(进销存对接!$M$4:$U$305,145,4))</f>
        <v/>
      </c>
      <c r="F437" s="25" t="str">
        <f>IF($E437="","",IFERROR(INDEX(科目表!$A$4:$A$81,MATCH($E437,科目表!$B$4:$B$81,0)),""))</f>
        <v/>
      </c>
      <c r="G437" s="26" t="str">
        <f>IF($E437="","",IFERROR(INDEX(科目表!$E$4:$E$81,MATCH($E437,科目表!$B$4:$B$81,0)),""))</f>
        <v/>
      </c>
      <c r="H437" s="27" t="str">
        <f>IF($E437="","",N(INDEX(进销存对接!$M$4:$U$305,145,5)))</f>
        <v/>
      </c>
      <c r="I437" s="27" t="str">
        <f>IF($E437="","",N(INDEX(进销存对接!$M$4:$U$305,145,6)))</f>
        <v/>
      </c>
      <c r="J437" s="26"/>
      <c r="K437" s="26" t="str">
        <f>IF($E437="","",INDEX(进销存对接!$D$4:$D$305,145))</f>
        <v/>
      </c>
      <c r="L437" s="32"/>
      <c r="M437" s="32"/>
      <c r="N437" s="26" t="str">
        <f t="shared" si="26"/>
        <v/>
      </c>
      <c r="O437" s="26" t="str">
        <f t="shared" si="27"/>
        <v/>
      </c>
      <c r="P437" s="10"/>
    </row>
    <row r="438" ht="18" customHeight="1" spans="1:16">
      <c r="A438" s="32" t="str">
        <f t="shared" si="24"/>
        <v/>
      </c>
      <c r="B438" s="100" t="str">
        <f>IF($E438="","",INDEX(进销存对接!$C$4:$C$305,145))</f>
        <v/>
      </c>
      <c r="C438" s="26" t="str">
        <f t="shared" si="25"/>
        <v/>
      </c>
      <c r="D438" s="32" t="str">
        <f>IF($E438="","",INDEX(进销存对接!$D$4:$D$305,145)&amp;" "&amp;TEXT($B438,"YYYY年M月")&amp;" 自动结转")</f>
        <v/>
      </c>
      <c r="E438" s="26" t="str">
        <f>IF(INDEX(进销存对接!$M$4:$U$305,145,7)=0,"",INDEX(进销存对接!$M$4:$U$305,145,7))</f>
        <v/>
      </c>
      <c r="F438" s="25" t="str">
        <f>IF($E438="","",IFERROR(INDEX(科目表!$A$4:$A$81,MATCH($E438,科目表!$B$4:$B$81,0)),""))</f>
        <v/>
      </c>
      <c r="G438" s="26" t="str">
        <f>IF($E438="","",IFERROR(INDEX(科目表!$E$4:$E$81,MATCH($E438,科目表!$B$4:$B$81,0)),""))</f>
        <v/>
      </c>
      <c r="H438" s="27" t="str">
        <f>IF($E438="","",N(INDEX(进销存对接!$M$4:$U$305,145,8)))</f>
        <v/>
      </c>
      <c r="I438" s="27" t="str">
        <f>IF($E438="","",N(INDEX(进销存对接!$M$4:$U$305,145,9)))</f>
        <v/>
      </c>
      <c r="J438" s="26"/>
      <c r="K438" s="26" t="str">
        <f>IF($E438="","",INDEX(进销存对接!$D$4:$D$305,145))</f>
        <v/>
      </c>
      <c r="L438" s="32"/>
      <c r="M438" s="32"/>
      <c r="N438" s="26" t="str">
        <f t="shared" si="26"/>
        <v/>
      </c>
      <c r="O438" s="26" t="str">
        <f t="shared" si="27"/>
        <v/>
      </c>
      <c r="P438" s="10"/>
    </row>
    <row r="439" ht="18" customHeight="1" spans="1:16">
      <c r="A439" s="32" t="str">
        <f t="shared" si="24"/>
        <v/>
      </c>
      <c r="B439" s="100" t="str">
        <f>IF($E439="","",INDEX(进销存对接!$C$4:$C$305,146))</f>
        <v/>
      </c>
      <c r="C439" s="26" t="str">
        <f t="shared" si="25"/>
        <v/>
      </c>
      <c r="D439" s="32" t="str">
        <f>IF($E439="","",INDEX(进销存对接!$D$4:$D$305,146)&amp;" "&amp;TEXT($B439,"YYYY年M月")&amp;" 自动结转")</f>
        <v/>
      </c>
      <c r="E439" s="26" t="str">
        <f>IF(INDEX(进销存对接!$M$4:$U$305,146,1)=0,"",INDEX(进销存对接!$M$4:$U$305,146,1))</f>
        <v/>
      </c>
      <c r="F439" s="25" t="str">
        <f>IF($E439="","",IFERROR(INDEX(科目表!$A$4:$A$81,MATCH($E439,科目表!$B$4:$B$81,0)),""))</f>
        <v/>
      </c>
      <c r="G439" s="26" t="str">
        <f>IF($E439="","",IFERROR(INDEX(科目表!$E$4:$E$81,MATCH($E439,科目表!$B$4:$B$81,0)),""))</f>
        <v/>
      </c>
      <c r="H439" s="27" t="str">
        <f>IF($E439="","",N(INDEX(进销存对接!$M$4:$U$305,146,2)))</f>
        <v/>
      </c>
      <c r="I439" s="27" t="str">
        <f>IF($E439="","",N(INDEX(进销存对接!$M$4:$U$305,146,3)))</f>
        <v/>
      </c>
      <c r="J439" s="26"/>
      <c r="K439" s="26" t="str">
        <f>IF($E439="","",INDEX(进销存对接!$D$4:$D$305,146))</f>
        <v/>
      </c>
      <c r="L439" s="32"/>
      <c r="M439" s="32"/>
      <c r="N439" s="26" t="str">
        <f t="shared" si="26"/>
        <v/>
      </c>
      <c r="O439" s="26" t="str">
        <f t="shared" si="27"/>
        <v/>
      </c>
      <c r="P439" s="10"/>
    </row>
    <row r="440" ht="18" customHeight="1" spans="1:16">
      <c r="A440" s="32" t="str">
        <f t="shared" si="24"/>
        <v/>
      </c>
      <c r="B440" s="100" t="str">
        <f>IF($E440="","",INDEX(进销存对接!$C$4:$C$305,146))</f>
        <v/>
      </c>
      <c r="C440" s="26" t="str">
        <f t="shared" si="25"/>
        <v/>
      </c>
      <c r="D440" s="32" t="str">
        <f>IF($E440="","",INDEX(进销存对接!$D$4:$D$305,146)&amp;" "&amp;TEXT($B440,"YYYY年M月")&amp;" 自动结转")</f>
        <v/>
      </c>
      <c r="E440" s="26" t="str">
        <f>IF(INDEX(进销存对接!$M$4:$U$305,146,4)=0,"",INDEX(进销存对接!$M$4:$U$305,146,4))</f>
        <v/>
      </c>
      <c r="F440" s="25" t="str">
        <f>IF($E440="","",IFERROR(INDEX(科目表!$A$4:$A$81,MATCH($E440,科目表!$B$4:$B$81,0)),""))</f>
        <v/>
      </c>
      <c r="G440" s="26" t="str">
        <f>IF($E440="","",IFERROR(INDEX(科目表!$E$4:$E$81,MATCH($E440,科目表!$B$4:$B$81,0)),""))</f>
        <v/>
      </c>
      <c r="H440" s="27" t="str">
        <f>IF($E440="","",N(INDEX(进销存对接!$M$4:$U$305,146,5)))</f>
        <v/>
      </c>
      <c r="I440" s="27" t="str">
        <f>IF($E440="","",N(INDEX(进销存对接!$M$4:$U$305,146,6)))</f>
        <v/>
      </c>
      <c r="J440" s="26"/>
      <c r="K440" s="26" t="str">
        <f>IF($E440="","",INDEX(进销存对接!$D$4:$D$305,146))</f>
        <v/>
      </c>
      <c r="L440" s="32"/>
      <c r="M440" s="32"/>
      <c r="N440" s="26" t="str">
        <f t="shared" si="26"/>
        <v/>
      </c>
      <c r="O440" s="26" t="str">
        <f t="shared" si="27"/>
        <v/>
      </c>
      <c r="P440" s="10"/>
    </row>
    <row r="441" ht="18" customHeight="1" spans="1:16">
      <c r="A441" s="32" t="str">
        <f t="shared" si="24"/>
        <v/>
      </c>
      <c r="B441" s="100" t="str">
        <f>IF($E441="","",INDEX(进销存对接!$C$4:$C$305,146))</f>
        <v/>
      </c>
      <c r="C441" s="26" t="str">
        <f t="shared" si="25"/>
        <v/>
      </c>
      <c r="D441" s="32" t="str">
        <f>IF($E441="","",INDEX(进销存对接!$D$4:$D$305,146)&amp;" "&amp;TEXT($B441,"YYYY年M月")&amp;" 自动结转")</f>
        <v/>
      </c>
      <c r="E441" s="26" t="str">
        <f>IF(INDEX(进销存对接!$M$4:$U$305,146,7)=0,"",INDEX(进销存对接!$M$4:$U$305,146,7))</f>
        <v/>
      </c>
      <c r="F441" s="25" t="str">
        <f>IF($E441="","",IFERROR(INDEX(科目表!$A$4:$A$81,MATCH($E441,科目表!$B$4:$B$81,0)),""))</f>
        <v/>
      </c>
      <c r="G441" s="26" t="str">
        <f>IF($E441="","",IFERROR(INDEX(科目表!$E$4:$E$81,MATCH($E441,科目表!$B$4:$B$81,0)),""))</f>
        <v/>
      </c>
      <c r="H441" s="27" t="str">
        <f>IF($E441="","",N(INDEX(进销存对接!$M$4:$U$305,146,8)))</f>
        <v/>
      </c>
      <c r="I441" s="27" t="str">
        <f>IF($E441="","",N(INDEX(进销存对接!$M$4:$U$305,146,9)))</f>
        <v/>
      </c>
      <c r="J441" s="26"/>
      <c r="K441" s="26" t="str">
        <f>IF($E441="","",INDEX(进销存对接!$D$4:$D$305,146))</f>
        <v/>
      </c>
      <c r="L441" s="32"/>
      <c r="M441" s="32"/>
      <c r="N441" s="26" t="str">
        <f t="shared" si="26"/>
        <v/>
      </c>
      <c r="O441" s="26" t="str">
        <f t="shared" si="27"/>
        <v/>
      </c>
      <c r="P441" s="10"/>
    </row>
    <row r="442" ht="18" customHeight="1" spans="1:16">
      <c r="A442" s="32" t="str">
        <f t="shared" si="24"/>
        <v/>
      </c>
      <c r="B442" s="100" t="str">
        <f>IF($E442="","",INDEX(进销存对接!$C$4:$C$305,147))</f>
        <v/>
      </c>
      <c r="C442" s="26" t="str">
        <f t="shared" si="25"/>
        <v/>
      </c>
      <c r="D442" s="32" t="str">
        <f>IF($E442="","",INDEX(进销存对接!$D$4:$D$305,147)&amp;" "&amp;TEXT($B442,"YYYY年M月")&amp;" 自动结转")</f>
        <v/>
      </c>
      <c r="E442" s="26" t="str">
        <f>IF(INDEX(进销存对接!$M$4:$U$305,147,1)=0,"",INDEX(进销存对接!$M$4:$U$305,147,1))</f>
        <v/>
      </c>
      <c r="F442" s="25" t="str">
        <f>IF($E442="","",IFERROR(INDEX(科目表!$A$4:$A$81,MATCH($E442,科目表!$B$4:$B$81,0)),""))</f>
        <v/>
      </c>
      <c r="G442" s="26" t="str">
        <f>IF($E442="","",IFERROR(INDEX(科目表!$E$4:$E$81,MATCH($E442,科目表!$B$4:$B$81,0)),""))</f>
        <v/>
      </c>
      <c r="H442" s="27" t="str">
        <f>IF($E442="","",N(INDEX(进销存对接!$M$4:$U$305,147,2)))</f>
        <v/>
      </c>
      <c r="I442" s="27" t="str">
        <f>IF($E442="","",N(INDEX(进销存对接!$M$4:$U$305,147,3)))</f>
        <v/>
      </c>
      <c r="J442" s="26"/>
      <c r="K442" s="26" t="str">
        <f>IF($E442="","",INDEX(进销存对接!$D$4:$D$305,147))</f>
        <v/>
      </c>
      <c r="L442" s="32"/>
      <c r="M442" s="32"/>
      <c r="N442" s="26" t="str">
        <f t="shared" si="26"/>
        <v/>
      </c>
      <c r="O442" s="26" t="str">
        <f t="shared" si="27"/>
        <v/>
      </c>
      <c r="P442" s="10"/>
    </row>
    <row r="443" ht="18" customHeight="1" spans="1:16">
      <c r="A443" s="32" t="str">
        <f t="shared" si="24"/>
        <v/>
      </c>
      <c r="B443" s="100" t="str">
        <f>IF($E443="","",INDEX(进销存对接!$C$4:$C$305,147))</f>
        <v/>
      </c>
      <c r="C443" s="26" t="str">
        <f t="shared" si="25"/>
        <v/>
      </c>
      <c r="D443" s="32" t="str">
        <f>IF($E443="","",INDEX(进销存对接!$D$4:$D$305,147)&amp;" "&amp;TEXT($B443,"YYYY年M月")&amp;" 自动结转")</f>
        <v/>
      </c>
      <c r="E443" s="26" t="str">
        <f>IF(INDEX(进销存对接!$M$4:$U$305,147,4)=0,"",INDEX(进销存对接!$M$4:$U$305,147,4))</f>
        <v/>
      </c>
      <c r="F443" s="25" t="str">
        <f>IF($E443="","",IFERROR(INDEX(科目表!$A$4:$A$81,MATCH($E443,科目表!$B$4:$B$81,0)),""))</f>
        <v/>
      </c>
      <c r="G443" s="26" t="str">
        <f>IF($E443="","",IFERROR(INDEX(科目表!$E$4:$E$81,MATCH($E443,科目表!$B$4:$B$81,0)),""))</f>
        <v/>
      </c>
      <c r="H443" s="27" t="str">
        <f>IF($E443="","",N(INDEX(进销存对接!$M$4:$U$305,147,5)))</f>
        <v/>
      </c>
      <c r="I443" s="27" t="str">
        <f>IF($E443="","",N(INDEX(进销存对接!$M$4:$U$305,147,6)))</f>
        <v/>
      </c>
      <c r="J443" s="26"/>
      <c r="K443" s="26" t="str">
        <f>IF($E443="","",INDEX(进销存对接!$D$4:$D$305,147))</f>
        <v/>
      </c>
      <c r="L443" s="32"/>
      <c r="M443" s="32"/>
      <c r="N443" s="26" t="str">
        <f t="shared" si="26"/>
        <v/>
      </c>
      <c r="O443" s="26" t="str">
        <f t="shared" si="27"/>
        <v/>
      </c>
      <c r="P443" s="10"/>
    </row>
    <row r="444" ht="18" customHeight="1" spans="1:16">
      <c r="A444" s="32" t="str">
        <f t="shared" si="24"/>
        <v/>
      </c>
      <c r="B444" s="100" t="str">
        <f>IF($E444="","",INDEX(进销存对接!$C$4:$C$305,147))</f>
        <v/>
      </c>
      <c r="C444" s="26" t="str">
        <f t="shared" si="25"/>
        <v/>
      </c>
      <c r="D444" s="32" t="str">
        <f>IF($E444="","",INDEX(进销存对接!$D$4:$D$305,147)&amp;" "&amp;TEXT($B444,"YYYY年M月")&amp;" 自动结转")</f>
        <v/>
      </c>
      <c r="E444" s="26" t="str">
        <f>IF(INDEX(进销存对接!$M$4:$U$305,147,7)=0,"",INDEX(进销存对接!$M$4:$U$305,147,7))</f>
        <v/>
      </c>
      <c r="F444" s="25" t="str">
        <f>IF($E444="","",IFERROR(INDEX(科目表!$A$4:$A$81,MATCH($E444,科目表!$B$4:$B$81,0)),""))</f>
        <v/>
      </c>
      <c r="G444" s="26" t="str">
        <f>IF($E444="","",IFERROR(INDEX(科目表!$E$4:$E$81,MATCH($E444,科目表!$B$4:$B$81,0)),""))</f>
        <v/>
      </c>
      <c r="H444" s="27" t="str">
        <f>IF($E444="","",N(INDEX(进销存对接!$M$4:$U$305,147,8)))</f>
        <v/>
      </c>
      <c r="I444" s="27" t="str">
        <f>IF($E444="","",N(INDEX(进销存对接!$M$4:$U$305,147,9)))</f>
        <v/>
      </c>
      <c r="J444" s="26"/>
      <c r="K444" s="26" t="str">
        <f>IF($E444="","",INDEX(进销存对接!$D$4:$D$305,147))</f>
        <v/>
      </c>
      <c r="L444" s="32"/>
      <c r="M444" s="32"/>
      <c r="N444" s="26" t="str">
        <f t="shared" si="26"/>
        <v/>
      </c>
      <c r="O444" s="26" t="str">
        <f t="shared" si="27"/>
        <v/>
      </c>
      <c r="P444" s="10"/>
    </row>
    <row r="445" ht="18" customHeight="1" spans="1:16">
      <c r="A445" s="32" t="str">
        <f t="shared" si="24"/>
        <v/>
      </c>
      <c r="B445" s="100" t="str">
        <f>IF($E445="","",INDEX(进销存对接!$C$4:$C$305,148))</f>
        <v/>
      </c>
      <c r="C445" s="26" t="str">
        <f t="shared" si="25"/>
        <v/>
      </c>
      <c r="D445" s="32" t="str">
        <f>IF($E445="","",INDEX(进销存对接!$D$4:$D$305,148)&amp;" "&amp;TEXT($B445,"YYYY年M月")&amp;" 自动结转")</f>
        <v/>
      </c>
      <c r="E445" s="26" t="str">
        <f>IF(INDEX(进销存对接!$M$4:$U$305,148,1)=0,"",INDEX(进销存对接!$M$4:$U$305,148,1))</f>
        <v/>
      </c>
      <c r="F445" s="25" t="str">
        <f>IF($E445="","",IFERROR(INDEX(科目表!$A$4:$A$81,MATCH($E445,科目表!$B$4:$B$81,0)),""))</f>
        <v/>
      </c>
      <c r="G445" s="26" t="str">
        <f>IF($E445="","",IFERROR(INDEX(科目表!$E$4:$E$81,MATCH($E445,科目表!$B$4:$B$81,0)),""))</f>
        <v/>
      </c>
      <c r="H445" s="27" t="str">
        <f>IF($E445="","",N(INDEX(进销存对接!$M$4:$U$305,148,2)))</f>
        <v/>
      </c>
      <c r="I445" s="27" t="str">
        <f>IF($E445="","",N(INDEX(进销存对接!$M$4:$U$305,148,3)))</f>
        <v/>
      </c>
      <c r="J445" s="26"/>
      <c r="K445" s="26" t="str">
        <f>IF($E445="","",INDEX(进销存对接!$D$4:$D$305,148))</f>
        <v/>
      </c>
      <c r="L445" s="32"/>
      <c r="M445" s="32"/>
      <c r="N445" s="26" t="str">
        <f t="shared" si="26"/>
        <v/>
      </c>
      <c r="O445" s="26" t="str">
        <f t="shared" si="27"/>
        <v/>
      </c>
      <c r="P445" s="10"/>
    </row>
    <row r="446" ht="18" customHeight="1" spans="1:16">
      <c r="A446" s="32" t="str">
        <f t="shared" si="24"/>
        <v/>
      </c>
      <c r="B446" s="100" t="str">
        <f>IF($E446="","",INDEX(进销存对接!$C$4:$C$305,148))</f>
        <v/>
      </c>
      <c r="C446" s="26" t="str">
        <f t="shared" si="25"/>
        <v/>
      </c>
      <c r="D446" s="32" t="str">
        <f>IF($E446="","",INDEX(进销存对接!$D$4:$D$305,148)&amp;" "&amp;TEXT($B446,"YYYY年M月")&amp;" 自动结转")</f>
        <v/>
      </c>
      <c r="E446" s="26" t="str">
        <f>IF(INDEX(进销存对接!$M$4:$U$305,148,4)=0,"",INDEX(进销存对接!$M$4:$U$305,148,4))</f>
        <v/>
      </c>
      <c r="F446" s="25" t="str">
        <f>IF($E446="","",IFERROR(INDEX(科目表!$A$4:$A$81,MATCH($E446,科目表!$B$4:$B$81,0)),""))</f>
        <v/>
      </c>
      <c r="G446" s="26" t="str">
        <f>IF($E446="","",IFERROR(INDEX(科目表!$E$4:$E$81,MATCH($E446,科目表!$B$4:$B$81,0)),""))</f>
        <v/>
      </c>
      <c r="H446" s="27" t="str">
        <f>IF($E446="","",N(INDEX(进销存对接!$M$4:$U$305,148,5)))</f>
        <v/>
      </c>
      <c r="I446" s="27" t="str">
        <f>IF($E446="","",N(INDEX(进销存对接!$M$4:$U$305,148,6)))</f>
        <v/>
      </c>
      <c r="J446" s="26"/>
      <c r="K446" s="26" t="str">
        <f>IF($E446="","",INDEX(进销存对接!$D$4:$D$305,148))</f>
        <v/>
      </c>
      <c r="L446" s="32"/>
      <c r="M446" s="32"/>
      <c r="N446" s="26" t="str">
        <f t="shared" si="26"/>
        <v/>
      </c>
      <c r="O446" s="26" t="str">
        <f t="shared" si="27"/>
        <v/>
      </c>
      <c r="P446" s="10"/>
    </row>
    <row r="447" ht="18" customHeight="1" spans="1:16">
      <c r="A447" s="32" t="str">
        <f t="shared" si="24"/>
        <v/>
      </c>
      <c r="B447" s="100" t="str">
        <f>IF($E447="","",INDEX(进销存对接!$C$4:$C$305,148))</f>
        <v/>
      </c>
      <c r="C447" s="26" t="str">
        <f t="shared" si="25"/>
        <v/>
      </c>
      <c r="D447" s="32" t="str">
        <f>IF($E447="","",INDEX(进销存对接!$D$4:$D$305,148)&amp;" "&amp;TEXT($B447,"YYYY年M月")&amp;" 自动结转")</f>
        <v/>
      </c>
      <c r="E447" s="26" t="str">
        <f>IF(INDEX(进销存对接!$M$4:$U$305,148,7)=0,"",INDEX(进销存对接!$M$4:$U$305,148,7))</f>
        <v/>
      </c>
      <c r="F447" s="25" t="str">
        <f>IF($E447="","",IFERROR(INDEX(科目表!$A$4:$A$81,MATCH($E447,科目表!$B$4:$B$81,0)),""))</f>
        <v/>
      </c>
      <c r="G447" s="26" t="str">
        <f>IF($E447="","",IFERROR(INDEX(科目表!$E$4:$E$81,MATCH($E447,科目表!$B$4:$B$81,0)),""))</f>
        <v/>
      </c>
      <c r="H447" s="27" t="str">
        <f>IF($E447="","",N(INDEX(进销存对接!$M$4:$U$305,148,8)))</f>
        <v/>
      </c>
      <c r="I447" s="27" t="str">
        <f>IF($E447="","",N(INDEX(进销存对接!$M$4:$U$305,148,9)))</f>
        <v/>
      </c>
      <c r="J447" s="26"/>
      <c r="K447" s="26" t="str">
        <f>IF($E447="","",INDEX(进销存对接!$D$4:$D$305,148))</f>
        <v/>
      </c>
      <c r="L447" s="32"/>
      <c r="M447" s="32"/>
      <c r="N447" s="26" t="str">
        <f t="shared" si="26"/>
        <v/>
      </c>
      <c r="O447" s="26" t="str">
        <f t="shared" si="27"/>
        <v/>
      </c>
      <c r="P447" s="10"/>
    </row>
    <row r="448" ht="18" customHeight="1" spans="1:16">
      <c r="A448" s="32" t="str">
        <f t="shared" si="24"/>
        <v/>
      </c>
      <c r="B448" s="100" t="str">
        <f>IF($E448="","",INDEX(进销存对接!$C$4:$C$305,149))</f>
        <v/>
      </c>
      <c r="C448" s="26" t="str">
        <f t="shared" si="25"/>
        <v/>
      </c>
      <c r="D448" s="32" t="str">
        <f>IF($E448="","",INDEX(进销存对接!$D$4:$D$305,149)&amp;" "&amp;TEXT($B448,"YYYY年M月")&amp;" 自动结转")</f>
        <v/>
      </c>
      <c r="E448" s="26" t="str">
        <f>IF(INDEX(进销存对接!$M$4:$U$305,149,1)=0,"",INDEX(进销存对接!$M$4:$U$305,149,1))</f>
        <v/>
      </c>
      <c r="F448" s="25" t="str">
        <f>IF($E448="","",IFERROR(INDEX(科目表!$A$4:$A$81,MATCH($E448,科目表!$B$4:$B$81,0)),""))</f>
        <v/>
      </c>
      <c r="G448" s="26" t="str">
        <f>IF($E448="","",IFERROR(INDEX(科目表!$E$4:$E$81,MATCH($E448,科目表!$B$4:$B$81,0)),""))</f>
        <v/>
      </c>
      <c r="H448" s="27" t="str">
        <f>IF($E448="","",N(INDEX(进销存对接!$M$4:$U$305,149,2)))</f>
        <v/>
      </c>
      <c r="I448" s="27" t="str">
        <f>IF($E448="","",N(INDEX(进销存对接!$M$4:$U$305,149,3)))</f>
        <v/>
      </c>
      <c r="J448" s="26"/>
      <c r="K448" s="26" t="str">
        <f>IF($E448="","",INDEX(进销存对接!$D$4:$D$305,149))</f>
        <v/>
      </c>
      <c r="L448" s="32"/>
      <c r="M448" s="32"/>
      <c r="N448" s="26" t="str">
        <f t="shared" si="26"/>
        <v/>
      </c>
      <c r="O448" s="26" t="str">
        <f t="shared" si="27"/>
        <v/>
      </c>
      <c r="P448" s="10"/>
    </row>
    <row r="449" ht="18" customHeight="1" spans="1:16">
      <c r="A449" s="32" t="str">
        <f t="shared" si="24"/>
        <v/>
      </c>
      <c r="B449" s="100" t="str">
        <f>IF($E449="","",INDEX(进销存对接!$C$4:$C$305,149))</f>
        <v/>
      </c>
      <c r="C449" s="26" t="str">
        <f t="shared" si="25"/>
        <v/>
      </c>
      <c r="D449" s="32" t="str">
        <f>IF($E449="","",INDEX(进销存对接!$D$4:$D$305,149)&amp;" "&amp;TEXT($B449,"YYYY年M月")&amp;" 自动结转")</f>
        <v/>
      </c>
      <c r="E449" s="26" t="str">
        <f>IF(INDEX(进销存对接!$M$4:$U$305,149,4)=0,"",INDEX(进销存对接!$M$4:$U$305,149,4))</f>
        <v/>
      </c>
      <c r="F449" s="25" t="str">
        <f>IF($E449="","",IFERROR(INDEX(科目表!$A$4:$A$81,MATCH($E449,科目表!$B$4:$B$81,0)),""))</f>
        <v/>
      </c>
      <c r="G449" s="26" t="str">
        <f>IF($E449="","",IFERROR(INDEX(科目表!$E$4:$E$81,MATCH($E449,科目表!$B$4:$B$81,0)),""))</f>
        <v/>
      </c>
      <c r="H449" s="27" t="str">
        <f>IF($E449="","",N(INDEX(进销存对接!$M$4:$U$305,149,5)))</f>
        <v/>
      </c>
      <c r="I449" s="27" t="str">
        <f>IF($E449="","",N(INDEX(进销存对接!$M$4:$U$305,149,6)))</f>
        <v/>
      </c>
      <c r="J449" s="26"/>
      <c r="K449" s="26" t="str">
        <f>IF($E449="","",INDEX(进销存对接!$D$4:$D$305,149))</f>
        <v/>
      </c>
      <c r="L449" s="32"/>
      <c r="M449" s="32"/>
      <c r="N449" s="26" t="str">
        <f t="shared" si="26"/>
        <v/>
      </c>
      <c r="O449" s="26" t="str">
        <f t="shared" si="27"/>
        <v/>
      </c>
      <c r="P449" s="10"/>
    </row>
    <row r="450" ht="18" customHeight="1" spans="1:16">
      <c r="A450" s="32" t="str">
        <f t="shared" si="24"/>
        <v/>
      </c>
      <c r="B450" s="100" t="str">
        <f>IF($E450="","",INDEX(进销存对接!$C$4:$C$305,149))</f>
        <v/>
      </c>
      <c r="C450" s="26" t="str">
        <f t="shared" si="25"/>
        <v/>
      </c>
      <c r="D450" s="32" t="str">
        <f>IF($E450="","",INDEX(进销存对接!$D$4:$D$305,149)&amp;" "&amp;TEXT($B450,"YYYY年M月")&amp;" 自动结转")</f>
        <v/>
      </c>
      <c r="E450" s="26" t="str">
        <f>IF(INDEX(进销存对接!$M$4:$U$305,149,7)=0,"",INDEX(进销存对接!$M$4:$U$305,149,7))</f>
        <v/>
      </c>
      <c r="F450" s="25" t="str">
        <f>IF($E450="","",IFERROR(INDEX(科目表!$A$4:$A$81,MATCH($E450,科目表!$B$4:$B$81,0)),""))</f>
        <v/>
      </c>
      <c r="G450" s="26" t="str">
        <f>IF($E450="","",IFERROR(INDEX(科目表!$E$4:$E$81,MATCH($E450,科目表!$B$4:$B$81,0)),""))</f>
        <v/>
      </c>
      <c r="H450" s="27" t="str">
        <f>IF($E450="","",N(INDEX(进销存对接!$M$4:$U$305,149,8)))</f>
        <v/>
      </c>
      <c r="I450" s="27" t="str">
        <f>IF($E450="","",N(INDEX(进销存对接!$M$4:$U$305,149,9)))</f>
        <v/>
      </c>
      <c r="J450" s="26"/>
      <c r="K450" s="26" t="str">
        <f>IF($E450="","",INDEX(进销存对接!$D$4:$D$305,149))</f>
        <v/>
      </c>
      <c r="L450" s="32"/>
      <c r="M450" s="32"/>
      <c r="N450" s="26" t="str">
        <f t="shared" si="26"/>
        <v/>
      </c>
      <c r="O450" s="26" t="str">
        <f t="shared" si="27"/>
        <v/>
      </c>
      <c r="P450" s="10"/>
    </row>
    <row r="451" ht="18" customHeight="1" spans="1:16">
      <c r="A451" s="32" t="str">
        <f t="shared" si="24"/>
        <v/>
      </c>
      <c r="B451" s="100" t="str">
        <f>IF($E451="","",INDEX(进销存对接!$C$4:$C$305,150))</f>
        <v/>
      </c>
      <c r="C451" s="26" t="str">
        <f t="shared" si="25"/>
        <v/>
      </c>
      <c r="D451" s="32" t="str">
        <f>IF($E451="","",INDEX(进销存对接!$D$4:$D$305,150)&amp;" "&amp;TEXT($B451,"YYYY年M月")&amp;" 自动结转")</f>
        <v/>
      </c>
      <c r="E451" s="26" t="str">
        <f>IF(INDEX(进销存对接!$M$4:$U$305,150,1)=0,"",INDEX(进销存对接!$M$4:$U$305,150,1))</f>
        <v/>
      </c>
      <c r="F451" s="25" t="str">
        <f>IF($E451="","",IFERROR(INDEX(科目表!$A$4:$A$81,MATCH($E451,科目表!$B$4:$B$81,0)),""))</f>
        <v/>
      </c>
      <c r="G451" s="26" t="str">
        <f>IF($E451="","",IFERROR(INDEX(科目表!$E$4:$E$81,MATCH($E451,科目表!$B$4:$B$81,0)),""))</f>
        <v/>
      </c>
      <c r="H451" s="27" t="str">
        <f>IF($E451="","",N(INDEX(进销存对接!$M$4:$U$305,150,2)))</f>
        <v/>
      </c>
      <c r="I451" s="27" t="str">
        <f>IF($E451="","",N(INDEX(进销存对接!$M$4:$U$305,150,3)))</f>
        <v/>
      </c>
      <c r="J451" s="26"/>
      <c r="K451" s="26" t="str">
        <f>IF($E451="","",INDEX(进销存对接!$D$4:$D$305,150))</f>
        <v/>
      </c>
      <c r="L451" s="32"/>
      <c r="M451" s="32"/>
      <c r="N451" s="26" t="str">
        <f t="shared" si="26"/>
        <v/>
      </c>
      <c r="O451" s="26" t="str">
        <f t="shared" si="27"/>
        <v/>
      </c>
      <c r="P451" s="10"/>
    </row>
    <row r="452" ht="18" customHeight="1" spans="1:16">
      <c r="A452" s="32" t="str">
        <f t="shared" ref="A452:A515" si="28">IF($E452="","",ROW()-3)</f>
        <v/>
      </c>
      <c r="B452" s="100" t="str">
        <f>IF($E452="","",INDEX(进销存对接!$C$4:$C$305,150))</f>
        <v/>
      </c>
      <c r="C452" s="26" t="str">
        <f t="shared" ref="C452:C515" si="29">IF($E452="","","记-"&amp;TEXT($B452,"YYYYMM")&amp;"-进销存")</f>
        <v/>
      </c>
      <c r="D452" s="32" t="str">
        <f>IF($E452="","",INDEX(进销存对接!$D$4:$D$305,150)&amp;" "&amp;TEXT($B452,"YYYY年M月")&amp;" 自动结转")</f>
        <v/>
      </c>
      <c r="E452" s="26" t="str">
        <f>IF(INDEX(进销存对接!$M$4:$U$305,150,4)=0,"",INDEX(进销存对接!$M$4:$U$305,150,4))</f>
        <v/>
      </c>
      <c r="F452" s="25" t="str">
        <f>IF($E452="","",IFERROR(INDEX(科目表!$A$4:$A$81,MATCH($E452,科目表!$B$4:$B$81,0)),""))</f>
        <v/>
      </c>
      <c r="G452" s="26" t="str">
        <f>IF($E452="","",IFERROR(INDEX(科目表!$E$4:$E$81,MATCH($E452,科目表!$B$4:$B$81,0)),""))</f>
        <v/>
      </c>
      <c r="H452" s="27" t="str">
        <f>IF($E452="","",N(INDEX(进销存对接!$M$4:$U$305,150,5)))</f>
        <v/>
      </c>
      <c r="I452" s="27" t="str">
        <f>IF($E452="","",N(INDEX(进销存对接!$M$4:$U$305,150,6)))</f>
        <v/>
      </c>
      <c r="J452" s="26"/>
      <c r="K452" s="26" t="str">
        <f>IF($E452="","",INDEX(进销存对接!$D$4:$D$305,150))</f>
        <v/>
      </c>
      <c r="L452" s="32"/>
      <c r="M452" s="32"/>
      <c r="N452" s="26" t="str">
        <f t="shared" ref="N452:N515" si="30">IF($E452="","","系统")</f>
        <v/>
      </c>
      <c r="O452" s="26" t="str">
        <f t="shared" ref="O452:O515" si="31">IF($E452="","","自动A")</f>
        <v/>
      </c>
      <c r="P452" s="10"/>
    </row>
    <row r="453" ht="18" customHeight="1" spans="1:16">
      <c r="A453" s="32" t="str">
        <f t="shared" si="28"/>
        <v/>
      </c>
      <c r="B453" s="100" t="str">
        <f>IF($E453="","",INDEX(进销存对接!$C$4:$C$305,150))</f>
        <v/>
      </c>
      <c r="C453" s="26" t="str">
        <f t="shared" si="29"/>
        <v/>
      </c>
      <c r="D453" s="32" t="str">
        <f>IF($E453="","",INDEX(进销存对接!$D$4:$D$305,150)&amp;" "&amp;TEXT($B453,"YYYY年M月")&amp;" 自动结转")</f>
        <v/>
      </c>
      <c r="E453" s="26" t="str">
        <f>IF(INDEX(进销存对接!$M$4:$U$305,150,7)=0,"",INDEX(进销存对接!$M$4:$U$305,150,7))</f>
        <v/>
      </c>
      <c r="F453" s="25" t="str">
        <f>IF($E453="","",IFERROR(INDEX(科目表!$A$4:$A$81,MATCH($E453,科目表!$B$4:$B$81,0)),""))</f>
        <v/>
      </c>
      <c r="G453" s="26" t="str">
        <f>IF($E453="","",IFERROR(INDEX(科目表!$E$4:$E$81,MATCH($E453,科目表!$B$4:$B$81,0)),""))</f>
        <v/>
      </c>
      <c r="H453" s="27" t="str">
        <f>IF($E453="","",N(INDEX(进销存对接!$M$4:$U$305,150,8)))</f>
        <v/>
      </c>
      <c r="I453" s="27" t="str">
        <f>IF($E453="","",N(INDEX(进销存对接!$M$4:$U$305,150,9)))</f>
        <v/>
      </c>
      <c r="J453" s="26"/>
      <c r="K453" s="26" t="str">
        <f>IF($E453="","",INDEX(进销存对接!$D$4:$D$305,150))</f>
        <v/>
      </c>
      <c r="L453" s="32"/>
      <c r="M453" s="32"/>
      <c r="N453" s="26" t="str">
        <f t="shared" si="30"/>
        <v/>
      </c>
      <c r="O453" s="26" t="str">
        <f t="shared" si="31"/>
        <v/>
      </c>
      <c r="P453" s="10"/>
    </row>
    <row r="454" ht="18" customHeight="1" spans="1:16">
      <c r="A454" s="32" t="str">
        <f t="shared" si="28"/>
        <v/>
      </c>
      <c r="B454" s="100" t="str">
        <f>IF($E454="","",INDEX(进销存对接!$C$4:$C$305,151))</f>
        <v/>
      </c>
      <c r="C454" s="26" t="str">
        <f t="shared" si="29"/>
        <v/>
      </c>
      <c r="D454" s="32" t="str">
        <f>IF($E454="","",INDEX(进销存对接!$D$4:$D$305,151)&amp;" "&amp;TEXT($B454,"YYYY年M月")&amp;" 自动结转")</f>
        <v/>
      </c>
      <c r="E454" s="26" t="str">
        <f>IF(INDEX(进销存对接!$M$4:$U$305,151,1)=0,"",INDEX(进销存对接!$M$4:$U$305,151,1))</f>
        <v/>
      </c>
      <c r="F454" s="25" t="str">
        <f>IF($E454="","",IFERROR(INDEX(科目表!$A$4:$A$81,MATCH($E454,科目表!$B$4:$B$81,0)),""))</f>
        <v/>
      </c>
      <c r="G454" s="26" t="str">
        <f>IF($E454="","",IFERROR(INDEX(科目表!$E$4:$E$81,MATCH($E454,科目表!$B$4:$B$81,0)),""))</f>
        <v/>
      </c>
      <c r="H454" s="27" t="str">
        <f>IF($E454="","",N(INDEX(进销存对接!$M$4:$U$305,151,2)))</f>
        <v/>
      </c>
      <c r="I454" s="27" t="str">
        <f>IF($E454="","",N(INDEX(进销存对接!$M$4:$U$305,151,3)))</f>
        <v/>
      </c>
      <c r="J454" s="26"/>
      <c r="K454" s="26" t="str">
        <f>IF($E454="","",INDEX(进销存对接!$D$4:$D$305,151))</f>
        <v/>
      </c>
      <c r="L454" s="32"/>
      <c r="M454" s="32"/>
      <c r="N454" s="26" t="str">
        <f t="shared" si="30"/>
        <v/>
      </c>
      <c r="O454" s="26" t="str">
        <f t="shared" si="31"/>
        <v/>
      </c>
      <c r="P454" s="10"/>
    </row>
    <row r="455" ht="18" customHeight="1" spans="1:16">
      <c r="A455" s="32" t="str">
        <f t="shared" si="28"/>
        <v/>
      </c>
      <c r="B455" s="100" t="str">
        <f>IF($E455="","",INDEX(进销存对接!$C$4:$C$305,151))</f>
        <v/>
      </c>
      <c r="C455" s="26" t="str">
        <f t="shared" si="29"/>
        <v/>
      </c>
      <c r="D455" s="32" t="str">
        <f>IF($E455="","",INDEX(进销存对接!$D$4:$D$305,151)&amp;" "&amp;TEXT($B455,"YYYY年M月")&amp;" 自动结转")</f>
        <v/>
      </c>
      <c r="E455" s="26" t="str">
        <f>IF(INDEX(进销存对接!$M$4:$U$305,151,4)=0,"",INDEX(进销存对接!$M$4:$U$305,151,4))</f>
        <v/>
      </c>
      <c r="F455" s="25" t="str">
        <f>IF($E455="","",IFERROR(INDEX(科目表!$A$4:$A$81,MATCH($E455,科目表!$B$4:$B$81,0)),""))</f>
        <v/>
      </c>
      <c r="G455" s="26" t="str">
        <f>IF($E455="","",IFERROR(INDEX(科目表!$E$4:$E$81,MATCH($E455,科目表!$B$4:$B$81,0)),""))</f>
        <v/>
      </c>
      <c r="H455" s="27" t="str">
        <f>IF($E455="","",N(INDEX(进销存对接!$M$4:$U$305,151,5)))</f>
        <v/>
      </c>
      <c r="I455" s="27" t="str">
        <f>IF($E455="","",N(INDEX(进销存对接!$M$4:$U$305,151,6)))</f>
        <v/>
      </c>
      <c r="J455" s="26"/>
      <c r="K455" s="26" t="str">
        <f>IF($E455="","",INDEX(进销存对接!$D$4:$D$305,151))</f>
        <v/>
      </c>
      <c r="L455" s="32"/>
      <c r="M455" s="32"/>
      <c r="N455" s="26" t="str">
        <f t="shared" si="30"/>
        <v/>
      </c>
      <c r="O455" s="26" t="str">
        <f t="shared" si="31"/>
        <v/>
      </c>
      <c r="P455" s="10"/>
    </row>
    <row r="456" ht="18" customHeight="1" spans="1:16">
      <c r="A456" s="32" t="str">
        <f t="shared" si="28"/>
        <v/>
      </c>
      <c r="B456" s="100" t="str">
        <f>IF($E456="","",INDEX(进销存对接!$C$4:$C$305,151))</f>
        <v/>
      </c>
      <c r="C456" s="26" t="str">
        <f t="shared" si="29"/>
        <v/>
      </c>
      <c r="D456" s="32" t="str">
        <f>IF($E456="","",INDEX(进销存对接!$D$4:$D$305,151)&amp;" "&amp;TEXT($B456,"YYYY年M月")&amp;" 自动结转")</f>
        <v/>
      </c>
      <c r="E456" s="26" t="str">
        <f>IF(INDEX(进销存对接!$M$4:$U$305,151,7)=0,"",INDEX(进销存对接!$M$4:$U$305,151,7))</f>
        <v/>
      </c>
      <c r="F456" s="25" t="str">
        <f>IF($E456="","",IFERROR(INDEX(科目表!$A$4:$A$81,MATCH($E456,科目表!$B$4:$B$81,0)),""))</f>
        <v/>
      </c>
      <c r="G456" s="26" t="str">
        <f>IF($E456="","",IFERROR(INDEX(科目表!$E$4:$E$81,MATCH($E456,科目表!$B$4:$B$81,0)),""))</f>
        <v/>
      </c>
      <c r="H456" s="27" t="str">
        <f>IF($E456="","",N(INDEX(进销存对接!$M$4:$U$305,151,8)))</f>
        <v/>
      </c>
      <c r="I456" s="27" t="str">
        <f>IF($E456="","",N(INDEX(进销存对接!$M$4:$U$305,151,9)))</f>
        <v/>
      </c>
      <c r="J456" s="26"/>
      <c r="K456" s="26" t="str">
        <f>IF($E456="","",INDEX(进销存对接!$D$4:$D$305,151))</f>
        <v/>
      </c>
      <c r="L456" s="32"/>
      <c r="M456" s="32"/>
      <c r="N456" s="26" t="str">
        <f t="shared" si="30"/>
        <v/>
      </c>
      <c r="O456" s="26" t="str">
        <f t="shared" si="31"/>
        <v/>
      </c>
      <c r="P456" s="10"/>
    </row>
    <row r="457" ht="18" customHeight="1" spans="1:16">
      <c r="A457" s="32" t="str">
        <f t="shared" si="28"/>
        <v/>
      </c>
      <c r="B457" s="100" t="str">
        <f>IF($E457="","",INDEX(进销存对接!$C$4:$C$305,152))</f>
        <v/>
      </c>
      <c r="C457" s="26" t="str">
        <f t="shared" si="29"/>
        <v/>
      </c>
      <c r="D457" s="32" t="str">
        <f>IF($E457="","",INDEX(进销存对接!$D$4:$D$305,152)&amp;" "&amp;TEXT($B457,"YYYY年M月")&amp;" 自动结转")</f>
        <v/>
      </c>
      <c r="E457" s="26" t="str">
        <f>IF(INDEX(进销存对接!$M$4:$U$305,152,1)=0,"",INDEX(进销存对接!$M$4:$U$305,152,1))</f>
        <v/>
      </c>
      <c r="F457" s="25" t="str">
        <f>IF($E457="","",IFERROR(INDEX(科目表!$A$4:$A$81,MATCH($E457,科目表!$B$4:$B$81,0)),""))</f>
        <v/>
      </c>
      <c r="G457" s="26" t="str">
        <f>IF($E457="","",IFERROR(INDEX(科目表!$E$4:$E$81,MATCH($E457,科目表!$B$4:$B$81,0)),""))</f>
        <v/>
      </c>
      <c r="H457" s="27" t="str">
        <f>IF($E457="","",N(INDEX(进销存对接!$M$4:$U$305,152,2)))</f>
        <v/>
      </c>
      <c r="I457" s="27" t="str">
        <f>IF($E457="","",N(INDEX(进销存对接!$M$4:$U$305,152,3)))</f>
        <v/>
      </c>
      <c r="J457" s="26"/>
      <c r="K457" s="26" t="str">
        <f>IF($E457="","",INDEX(进销存对接!$D$4:$D$305,152))</f>
        <v/>
      </c>
      <c r="L457" s="32"/>
      <c r="M457" s="32"/>
      <c r="N457" s="26" t="str">
        <f t="shared" si="30"/>
        <v/>
      </c>
      <c r="O457" s="26" t="str">
        <f t="shared" si="31"/>
        <v/>
      </c>
      <c r="P457" s="10"/>
    </row>
    <row r="458" ht="18" customHeight="1" spans="1:16">
      <c r="A458" s="32" t="str">
        <f t="shared" si="28"/>
        <v/>
      </c>
      <c r="B458" s="100" t="str">
        <f>IF($E458="","",INDEX(进销存对接!$C$4:$C$305,152))</f>
        <v/>
      </c>
      <c r="C458" s="26" t="str">
        <f t="shared" si="29"/>
        <v/>
      </c>
      <c r="D458" s="32" t="str">
        <f>IF($E458="","",INDEX(进销存对接!$D$4:$D$305,152)&amp;" "&amp;TEXT($B458,"YYYY年M月")&amp;" 自动结转")</f>
        <v/>
      </c>
      <c r="E458" s="26" t="str">
        <f>IF(INDEX(进销存对接!$M$4:$U$305,152,4)=0,"",INDEX(进销存对接!$M$4:$U$305,152,4))</f>
        <v/>
      </c>
      <c r="F458" s="25" t="str">
        <f>IF($E458="","",IFERROR(INDEX(科目表!$A$4:$A$81,MATCH($E458,科目表!$B$4:$B$81,0)),""))</f>
        <v/>
      </c>
      <c r="G458" s="26" t="str">
        <f>IF($E458="","",IFERROR(INDEX(科目表!$E$4:$E$81,MATCH($E458,科目表!$B$4:$B$81,0)),""))</f>
        <v/>
      </c>
      <c r="H458" s="27" t="str">
        <f>IF($E458="","",N(INDEX(进销存对接!$M$4:$U$305,152,5)))</f>
        <v/>
      </c>
      <c r="I458" s="27" t="str">
        <f>IF($E458="","",N(INDEX(进销存对接!$M$4:$U$305,152,6)))</f>
        <v/>
      </c>
      <c r="J458" s="26"/>
      <c r="K458" s="26" t="str">
        <f>IF($E458="","",INDEX(进销存对接!$D$4:$D$305,152))</f>
        <v/>
      </c>
      <c r="L458" s="32"/>
      <c r="M458" s="32"/>
      <c r="N458" s="26" t="str">
        <f t="shared" si="30"/>
        <v/>
      </c>
      <c r="O458" s="26" t="str">
        <f t="shared" si="31"/>
        <v/>
      </c>
      <c r="P458" s="10"/>
    </row>
    <row r="459" ht="18" customHeight="1" spans="1:16">
      <c r="A459" s="32" t="str">
        <f t="shared" si="28"/>
        <v/>
      </c>
      <c r="B459" s="100" t="str">
        <f>IF($E459="","",INDEX(进销存对接!$C$4:$C$305,152))</f>
        <v/>
      </c>
      <c r="C459" s="26" t="str">
        <f t="shared" si="29"/>
        <v/>
      </c>
      <c r="D459" s="32" t="str">
        <f>IF($E459="","",INDEX(进销存对接!$D$4:$D$305,152)&amp;" "&amp;TEXT($B459,"YYYY年M月")&amp;" 自动结转")</f>
        <v/>
      </c>
      <c r="E459" s="26" t="str">
        <f>IF(INDEX(进销存对接!$M$4:$U$305,152,7)=0,"",INDEX(进销存对接!$M$4:$U$305,152,7))</f>
        <v/>
      </c>
      <c r="F459" s="25" t="str">
        <f>IF($E459="","",IFERROR(INDEX(科目表!$A$4:$A$81,MATCH($E459,科目表!$B$4:$B$81,0)),""))</f>
        <v/>
      </c>
      <c r="G459" s="26" t="str">
        <f>IF($E459="","",IFERROR(INDEX(科目表!$E$4:$E$81,MATCH($E459,科目表!$B$4:$B$81,0)),""))</f>
        <v/>
      </c>
      <c r="H459" s="27" t="str">
        <f>IF($E459="","",N(INDEX(进销存对接!$M$4:$U$305,152,8)))</f>
        <v/>
      </c>
      <c r="I459" s="27" t="str">
        <f>IF($E459="","",N(INDEX(进销存对接!$M$4:$U$305,152,9)))</f>
        <v/>
      </c>
      <c r="J459" s="26"/>
      <c r="K459" s="26" t="str">
        <f>IF($E459="","",INDEX(进销存对接!$D$4:$D$305,152))</f>
        <v/>
      </c>
      <c r="L459" s="32"/>
      <c r="M459" s="32"/>
      <c r="N459" s="26" t="str">
        <f t="shared" si="30"/>
        <v/>
      </c>
      <c r="O459" s="26" t="str">
        <f t="shared" si="31"/>
        <v/>
      </c>
      <c r="P459" s="10"/>
    </row>
    <row r="460" ht="18" customHeight="1" spans="1:16">
      <c r="A460" s="32" t="str">
        <f t="shared" si="28"/>
        <v/>
      </c>
      <c r="B460" s="100" t="str">
        <f>IF($E460="","",INDEX(进销存对接!$C$4:$C$305,153))</f>
        <v/>
      </c>
      <c r="C460" s="26" t="str">
        <f t="shared" si="29"/>
        <v/>
      </c>
      <c r="D460" s="32" t="str">
        <f>IF($E460="","",INDEX(进销存对接!$D$4:$D$305,153)&amp;" "&amp;TEXT($B460,"YYYY年M月")&amp;" 自动结转")</f>
        <v/>
      </c>
      <c r="E460" s="26" t="str">
        <f>IF(INDEX(进销存对接!$M$4:$U$305,153,1)=0,"",INDEX(进销存对接!$M$4:$U$305,153,1))</f>
        <v/>
      </c>
      <c r="F460" s="25" t="str">
        <f>IF($E460="","",IFERROR(INDEX(科目表!$A$4:$A$81,MATCH($E460,科目表!$B$4:$B$81,0)),""))</f>
        <v/>
      </c>
      <c r="G460" s="26" t="str">
        <f>IF($E460="","",IFERROR(INDEX(科目表!$E$4:$E$81,MATCH($E460,科目表!$B$4:$B$81,0)),""))</f>
        <v/>
      </c>
      <c r="H460" s="27" t="str">
        <f>IF($E460="","",N(INDEX(进销存对接!$M$4:$U$305,153,2)))</f>
        <v/>
      </c>
      <c r="I460" s="27" t="str">
        <f>IF($E460="","",N(INDEX(进销存对接!$M$4:$U$305,153,3)))</f>
        <v/>
      </c>
      <c r="J460" s="26"/>
      <c r="K460" s="26" t="str">
        <f>IF($E460="","",INDEX(进销存对接!$D$4:$D$305,153))</f>
        <v/>
      </c>
      <c r="L460" s="32"/>
      <c r="M460" s="32"/>
      <c r="N460" s="26" t="str">
        <f t="shared" si="30"/>
        <v/>
      </c>
      <c r="O460" s="26" t="str">
        <f t="shared" si="31"/>
        <v/>
      </c>
      <c r="P460" s="10"/>
    </row>
    <row r="461" ht="18" customHeight="1" spans="1:16">
      <c r="A461" s="32" t="str">
        <f t="shared" si="28"/>
        <v/>
      </c>
      <c r="B461" s="100" t="str">
        <f>IF($E461="","",INDEX(进销存对接!$C$4:$C$305,153))</f>
        <v/>
      </c>
      <c r="C461" s="26" t="str">
        <f t="shared" si="29"/>
        <v/>
      </c>
      <c r="D461" s="32" t="str">
        <f>IF($E461="","",INDEX(进销存对接!$D$4:$D$305,153)&amp;" "&amp;TEXT($B461,"YYYY年M月")&amp;" 自动结转")</f>
        <v/>
      </c>
      <c r="E461" s="26" t="str">
        <f>IF(INDEX(进销存对接!$M$4:$U$305,153,4)=0,"",INDEX(进销存对接!$M$4:$U$305,153,4))</f>
        <v/>
      </c>
      <c r="F461" s="25" t="str">
        <f>IF($E461="","",IFERROR(INDEX(科目表!$A$4:$A$81,MATCH($E461,科目表!$B$4:$B$81,0)),""))</f>
        <v/>
      </c>
      <c r="G461" s="26" t="str">
        <f>IF($E461="","",IFERROR(INDEX(科目表!$E$4:$E$81,MATCH($E461,科目表!$B$4:$B$81,0)),""))</f>
        <v/>
      </c>
      <c r="H461" s="27" t="str">
        <f>IF($E461="","",N(INDEX(进销存对接!$M$4:$U$305,153,5)))</f>
        <v/>
      </c>
      <c r="I461" s="27" t="str">
        <f>IF($E461="","",N(INDEX(进销存对接!$M$4:$U$305,153,6)))</f>
        <v/>
      </c>
      <c r="J461" s="26"/>
      <c r="K461" s="26" t="str">
        <f>IF($E461="","",INDEX(进销存对接!$D$4:$D$305,153))</f>
        <v/>
      </c>
      <c r="L461" s="32"/>
      <c r="M461" s="32"/>
      <c r="N461" s="26" t="str">
        <f t="shared" si="30"/>
        <v/>
      </c>
      <c r="O461" s="26" t="str">
        <f t="shared" si="31"/>
        <v/>
      </c>
      <c r="P461" s="10"/>
    </row>
    <row r="462" ht="18" customHeight="1" spans="1:16">
      <c r="A462" s="32" t="str">
        <f t="shared" si="28"/>
        <v/>
      </c>
      <c r="B462" s="100" t="str">
        <f>IF($E462="","",INDEX(进销存对接!$C$4:$C$305,153))</f>
        <v/>
      </c>
      <c r="C462" s="26" t="str">
        <f t="shared" si="29"/>
        <v/>
      </c>
      <c r="D462" s="32" t="str">
        <f>IF($E462="","",INDEX(进销存对接!$D$4:$D$305,153)&amp;" "&amp;TEXT($B462,"YYYY年M月")&amp;" 自动结转")</f>
        <v/>
      </c>
      <c r="E462" s="26" t="str">
        <f>IF(INDEX(进销存对接!$M$4:$U$305,153,7)=0,"",INDEX(进销存对接!$M$4:$U$305,153,7))</f>
        <v/>
      </c>
      <c r="F462" s="25" t="str">
        <f>IF($E462="","",IFERROR(INDEX(科目表!$A$4:$A$81,MATCH($E462,科目表!$B$4:$B$81,0)),""))</f>
        <v/>
      </c>
      <c r="G462" s="26" t="str">
        <f>IF($E462="","",IFERROR(INDEX(科目表!$E$4:$E$81,MATCH($E462,科目表!$B$4:$B$81,0)),""))</f>
        <v/>
      </c>
      <c r="H462" s="27" t="str">
        <f>IF($E462="","",N(INDEX(进销存对接!$M$4:$U$305,153,8)))</f>
        <v/>
      </c>
      <c r="I462" s="27" t="str">
        <f>IF($E462="","",N(INDEX(进销存对接!$M$4:$U$305,153,9)))</f>
        <v/>
      </c>
      <c r="J462" s="26"/>
      <c r="K462" s="26" t="str">
        <f>IF($E462="","",INDEX(进销存对接!$D$4:$D$305,153))</f>
        <v/>
      </c>
      <c r="L462" s="32"/>
      <c r="M462" s="32"/>
      <c r="N462" s="26" t="str">
        <f t="shared" si="30"/>
        <v/>
      </c>
      <c r="O462" s="26" t="str">
        <f t="shared" si="31"/>
        <v/>
      </c>
      <c r="P462" s="10"/>
    </row>
    <row r="463" ht="18" customHeight="1" spans="1:16">
      <c r="A463" s="32" t="str">
        <f t="shared" si="28"/>
        <v/>
      </c>
      <c r="B463" s="100" t="str">
        <f>IF($E463="","",INDEX(进销存对接!$C$4:$C$305,154))</f>
        <v/>
      </c>
      <c r="C463" s="26" t="str">
        <f t="shared" si="29"/>
        <v/>
      </c>
      <c r="D463" s="32" t="str">
        <f>IF($E463="","",INDEX(进销存对接!$D$4:$D$305,154)&amp;" "&amp;TEXT($B463,"YYYY年M月")&amp;" 自动结转")</f>
        <v/>
      </c>
      <c r="E463" s="26" t="str">
        <f>IF(INDEX(进销存对接!$M$4:$U$305,154,1)=0,"",INDEX(进销存对接!$M$4:$U$305,154,1))</f>
        <v/>
      </c>
      <c r="F463" s="25" t="str">
        <f>IF($E463="","",IFERROR(INDEX(科目表!$A$4:$A$81,MATCH($E463,科目表!$B$4:$B$81,0)),""))</f>
        <v/>
      </c>
      <c r="G463" s="26" t="str">
        <f>IF($E463="","",IFERROR(INDEX(科目表!$E$4:$E$81,MATCH($E463,科目表!$B$4:$B$81,0)),""))</f>
        <v/>
      </c>
      <c r="H463" s="27" t="str">
        <f>IF($E463="","",N(INDEX(进销存对接!$M$4:$U$305,154,2)))</f>
        <v/>
      </c>
      <c r="I463" s="27" t="str">
        <f>IF($E463="","",N(INDEX(进销存对接!$M$4:$U$305,154,3)))</f>
        <v/>
      </c>
      <c r="J463" s="26"/>
      <c r="K463" s="26" t="str">
        <f>IF($E463="","",INDEX(进销存对接!$D$4:$D$305,154))</f>
        <v/>
      </c>
      <c r="L463" s="32"/>
      <c r="M463" s="32"/>
      <c r="N463" s="26" t="str">
        <f t="shared" si="30"/>
        <v/>
      </c>
      <c r="O463" s="26" t="str">
        <f t="shared" si="31"/>
        <v/>
      </c>
      <c r="P463" s="10"/>
    </row>
    <row r="464" ht="18" customHeight="1" spans="1:16">
      <c r="A464" s="32" t="str">
        <f t="shared" si="28"/>
        <v/>
      </c>
      <c r="B464" s="100" t="str">
        <f>IF($E464="","",INDEX(进销存对接!$C$4:$C$305,154))</f>
        <v/>
      </c>
      <c r="C464" s="26" t="str">
        <f t="shared" si="29"/>
        <v/>
      </c>
      <c r="D464" s="32" t="str">
        <f>IF($E464="","",INDEX(进销存对接!$D$4:$D$305,154)&amp;" "&amp;TEXT($B464,"YYYY年M月")&amp;" 自动结转")</f>
        <v/>
      </c>
      <c r="E464" s="26" t="str">
        <f>IF(INDEX(进销存对接!$M$4:$U$305,154,4)=0,"",INDEX(进销存对接!$M$4:$U$305,154,4))</f>
        <v/>
      </c>
      <c r="F464" s="25" t="str">
        <f>IF($E464="","",IFERROR(INDEX(科目表!$A$4:$A$81,MATCH($E464,科目表!$B$4:$B$81,0)),""))</f>
        <v/>
      </c>
      <c r="G464" s="26" t="str">
        <f>IF($E464="","",IFERROR(INDEX(科目表!$E$4:$E$81,MATCH($E464,科目表!$B$4:$B$81,0)),""))</f>
        <v/>
      </c>
      <c r="H464" s="27" t="str">
        <f>IF($E464="","",N(INDEX(进销存对接!$M$4:$U$305,154,5)))</f>
        <v/>
      </c>
      <c r="I464" s="27" t="str">
        <f>IF($E464="","",N(INDEX(进销存对接!$M$4:$U$305,154,6)))</f>
        <v/>
      </c>
      <c r="J464" s="26"/>
      <c r="K464" s="26" t="str">
        <f>IF($E464="","",INDEX(进销存对接!$D$4:$D$305,154))</f>
        <v/>
      </c>
      <c r="L464" s="32"/>
      <c r="M464" s="32"/>
      <c r="N464" s="26" t="str">
        <f t="shared" si="30"/>
        <v/>
      </c>
      <c r="O464" s="26" t="str">
        <f t="shared" si="31"/>
        <v/>
      </c>
      <c r="P464" s="10"/>
    </row>
    <row r="465" ht="18" customHeight="1" spans="1:16">
      <c r="A465" s="32" t="str">
        <f t="shared" si="28"/>
        <v/>
      </c>
      <c r="B465" s="100" t="str">
        <f>IF($E465="","",INDEX(进销存对接!$C$4:$C$305,154))</f>
        <v/>
      </c>
      <c r="C465" s="26" t="str">
        <f t="shared" si="29"/>
        <v/>
      </c>
      <c r="D465" s="32" t="str">
        <f>IF($E465="","",INDEX(进销存对接!$D$4:$D$305,154)&amp;" "&amp;TEXT($B465,"YYYY年M月")&amp;" 自动结转")</f>
        <v/>
      </c>
      <c r="E465" s="26" t="str">
        <f>IF(INDEX(进销存对接!$M$4:$U$305,154,7)=0,"",INDEX(进销存对接!$M$4:$U$305,154,7))</f>
        <v/>
      </c>
      <c r="F465" s="25" t="str">
        <f>IF($E465="","",IFERROR(INDEX(科目表!$A$4:$A$81,MATCH($E465,科目表!$B$4:$B$81,0)),""))</f>
        <v/>
      </c>
      <c r="G465" s="26" t="str">
        <f>IF($E465="","",IFERROR(INDEX(科目表!$E$4:$E$81,MATCH($E465,科目表!$B$4:$B$81,0)),""))</f>
        <v/>
      </c>
      <c r="H465" s="27" t="str">
        <f>IF($E465="","",N(INDEX(进销存对接!$M$4:$U$305,154,8)))</f>
        <v/>
      </c>
      <c r="I465" s="27" t="str">
        <f>IF($E465="","",N(INDEX(进销存对接!$M$4:$U$305,154,9)))</f>
        <v/>
      </c>
      <c r="J465" s="26"/>
      <c r="K465" s="26" t="str">
        <f>IF($E465="","",INDEX(进销存对接!$D$4:$D$305,154))</f>
        <v/>
      </c>
      <c r="L465" s="32"/>
      <c r="M465" s="32"/>
      <c r="N465" s="26" t="str">
        <f t="shared" si="30"/>
        <v/>
      </c>
      <c r="O465" s="26" t="str">
        <f t="shared" si="31"/>
        <v/>
      </c>
      <c r="P465" s="10"/>
    </row>
    <row r="466" ht="18" customHeight="1" spans="1:16">
      <c r="A466" s="32" t="str">
        <f t="shared" si="28"/>
        <v/>
      </c>
      <c r="B466" s="100" t="str">
        <f>IF($E466="","",INDEX(进销存对接!$C$4:$C$305,155))</f>
        <v/>
      </c>
      <c r="C466" s="26" t="str">
        <f t="shared" si="29"/>
        <v/>
      </c>
      <c r="D466" s="32" t="str">
        <f>IF($E466="","",INDEX(进销存对接!$D$4:$D$305,155)&amp;" "&amp;TEXT($B466,"YYYY年M月")&amp;" 自动结转")</f>
        <v/>
      </c>
      <c r="E466" s="26" t="str">
        <f>IF(INDEX(进销存对接!$M$4:$U$305,155,1)=0,"",INDEX(进销存对接!$M$4:$U$305,155,1))</f>
        <v/>
      </c>
      <c r="F466" s="25" t="str">
        <f>IF($E466="","",IFERROR(INDEX(科目表!$A$4:$A$81,MATCH($E466,科目表!$B$4:$B$81,0)),""))</f>
        <v/>
      </c>
      <c r="G466" s="26" t="str">
        <f>IF($E466="","",IFERROR(INDEX(科目表!$E$4:$E$81,MATCH($E466,科目表!$B$4:$B$81,0)),""))</f>
        <v/>
      </c>
      <c r="H466" s="27" t="str">
        <f>IF($E466="","",N(INDEX(进销存对接!$M$4:$U$305,155,2)))</f>
        <v/>
      </c>
      <c r="I466" s="27" t="str">
        <f>IF($E466="","",N(INDEX(进销存对接!$M$4:$U$305,155,3)))</f>
        <v/>
      </c>
      <c r="J466" s="26"/>
      <c r="K466" s="26" t="str">
        <f>IF($E466="","",INDEX(进销存对接!$D$4:$D$305,155))</f>
        <v/>
      </c>
      <c r="L466" s="32"/>
      <c r="M466" s="32"/>
      <c r="N466" s="26" t="str">
        <f t="shared" si="30"/>
        <v/>
      </c>
      <c r="O466" s="26" t="str">
        <f t="shared" si="31"/>
        <v/>
      </c>
      <c r="P466" s="10"/>
    </row>
    <row r="467" ht="18" customHeight="1" spans="1:16">
      <c r="A467" s="32" t="str">
        <f t="shared" si="28"/>
        <v/>
      </c>
      <c r="B467" s="100" t="str">
        <f>IF($E467="","",INDEX(进销存对接!$C$4:$C$305,155))</f>
        <v/>
      </c>
      <c r="C467" s="26" t="str">
        <f t="shared" si="29"/>
        <v/>
      </c>
      <c r="D467" s="32" t="str">
        <f>IF($E467="","",INDEX(进销存对接!$D$4:$D$305,155)&amp;" "&amp;TEXT($B467,"YYYY年M月")&amp;" 自动结转")</f>
        <v/>
      </c>
      <c r="E467" s="26" t="str">
        <f>IF(INDEX(进销存对接!$M$4:$U$305,155,4)=0,"",INDEX(进销存对接!$M$4:$U$305,155,4))</f>
        <v/>
      </c>
      <c r="F467" s="25" t="str">
        <f>IF($E467="","",IFERROR(INDEX(科目表!$A$4:$A$81,MATCH($E467,科目表!$B$4:$B$81,0)),""))</f>
        <v/>
      </c>
      <c r="G467" s="26" t="str">
        <f>IF($E467="","",IFERROR(INDEX(科目表!$E$4:$E$81,MATCH($E467,科目表!$B$4:$B$81,0)),""))</f>
        <v/>
      </c>
      <c r="H467" s="27" t="str">
        <f>IF($E467="","",N(INDEX(进销存对接!$M$4:$U$305,155,5)))</f>
        <v/>
      </c>
      <c r="I467" s="27" t="str">
        <f>IF($E467="","",N(INDEX(进销存对接!$M$4:$U$305,155,6)))</f>
        <v/>
      </c>
      <c r="J467" s="26"/>
      <c r="K467" s="26" t="str">
        <f>IF($E467="","",INDEX(进销存对接!$D$4:$D$305,155))</f>
        <v/>
      </c>
      <c r="L467" s="32"/>
      <c r="M467" s="32"/>
      <c r="N467" s="26" t="str">
        <f t="shared" si="30"/>
        <v/>
      </c>
      <c r="O467" s="26" t="str">
        <f t="shared" si="31"/>
        <v/>
      </c>
      <c r="P467" s="10"/>
    </row>
    <row r="468" ht="18" customHeight="1" spans="1:16">
      <c r="A468" s="32" t="str">
        <f t="shared" si="28"/>
        <v/>
      </c>
      <c r="B468" s="100" t="str">
        <f>IF($E468="","",INDEX(进销存对接!$C$4:$C$305,155))</f>
        <v/>
      </c>
      <c r="C468" s="26" t="str">
        <f t="shared" si="29"/>
        <v/>
      </c>
      <c r="D468" s="32" t="str">
        <f>IF($E468="","",INDEX(进销存对接!$D$4:$D$305,155)&amp;" "&amp;TEXT($B468,"YYYY年M月")&amp;" 自动结转")</f>
        <v/>
      </c>
      <c r="E468" s="26" t="str">
        <f>IF(INDEX(进销存对接!$M$4:$U$305,155,7)=0,"",INDEX(进销存对接!$M$4:$U$305,155,7))</f>
        <v/>
      </c>
      <c r="F468" s="25" t="str">
        <f>IF($E468="","",IFERROR(INDEX(科目表!$A$4:$A$81,MATCH($E468,科目表!$B$4:$B$81,0)),""))</f>
        <v/>
      </c>
      <c r="G468" s="26" t="str">
        <f>IF($E468="","",IFERROR(INDEX(科目表!$E$4:$E$81,MATCH($E468,科目表!$B$4:$B$81,0)),""))</f>
        <v/>
      </c>
      <c r="H468" s="27" t="str">
        <f>IF($E468="","",N(INDEX(进销存对接!$M$4:$U$305,155,8)))</f>
        <v/>
      </c>
      <c r="I468" s="27" t="str">
        <f>IF($E468="","",N(INDEX(进销存对接!$M$4:$U$305,155,9)))</f>
        <v/>
      </c>
      <c r="J468" s="26"/>
      <c r="K468" s="26" t="str">
        <f>IF($E468="","",INDEX(进销存对接!$D$4:$D$305,155))</f>
        <v/>
      </c>
      <c r="L468" s="32"/>
      <c r="M468" s="32"/>
      <c r="N468" s="26" t="str">
        <f t="shared" si="30"/>
        <v/>
      </c>
      <c r="O468" s="26" t="str">
        <f t="shared" si="31"/>
        <v/>
      </c>
      <c r="P468" s="10"/>
    </row>
    <row r="469" ht="18" customHeight="1" spans="1:16">
      <c r="A469" s="32" t="str">
        <f t="shared" si="28"/>
        <v/>
      </c>
      <c r="B469" s="100" t="str">
        <f>IF($E469="","",INDEX(进销存对接!$C$4:$C$305,156))</f>
        <v/>
      </c>
      <c r="C469" s="26" t="str">
        <f t="shared" si="29"/>
        <v/>
      </c>
      <c r="D469" s="32" t="str">
        <f>IF($E469="","",INDEX(进销存对接!$D$4:$D$305,156)&amp;" "&amp;TEXT($B469,"YYYY年M月")&amp;" 自动结转")</f>
        <v/>
      </c>
      <c r="E469" s="26" t="str">
        <f>IF(INDEX(进销存对接!$M$4:$U$305,156,1)=0,"",INDEX(进销存对接!$M$4:$U$305,156,1))</f>
        <v/>
      </c>
      <c r="F469" s="25" t="str">
        <f>IF($E469="","",IFERROR(INDEX(科目表!$A$4:$A$81,MATCH($E469,科目表!$B$4:$B$81,0)),""))</f>
        <v/>
      </c>
      <c r="G469" s="26" t="str">
        <f>IF($E469="","",IFERROR(INDEX(科目表!$E$4:$E$81,MATCH($E469,科目表!$B$4:$B$81,0)),""))</f>
        <v/>
      </c>
      <c r="H469" s="27" t="str">
        <f>IF($E469="","",N(INDEX(进销存对接!$M$4:$U$305,156,2)))</f>
        <v/>
      </c>
      <c r="I469" s="27" t="str">
        <f>IF($E469="","",N(INDEX(进销存对接!$M$4:$U$305,156,3)))</f>
        <v/>
      </c>
      <c r="J469" s="26"/>
      <c r="K469" s="26" t="str">
        <f>IF($E469="","",INDEX(进销存对接!$D$4:$D$305,156))</f>
        <v/>
      </c>
      <c r="L469" s="32"/>
      <c r="M469" s="32"/>
      <c r="N469" s="26" t="str">
        <f t="shared" si="30"/>
        <v/>
      </c>
      <c r="O469" s="26" t="str">
        <f t="shared" si="31"/>
        <v/>
      </c>
      <c r="P469" s="10"/>
    </row>
    <row r="470" ht="18" customHeight="1" spans="1:16">
      <c r="A470" s="32" t="str">
        <f t="shared" si="28"/>
        <v/>
      </c>
      <c r="B470" s="100" t="str">
        <f>IF($E470="","",INDEX(进销存对接!$C$4:$C$305,156))</f>
        <v/>
      </c>
      <c r="C470" s="26" t="str">
        <f t="shared" si="29"/>
        <v/>
      </c>
      <c r="D470" s="32" t="str">
        <f>IF($E470="","",INDEX(进销存对接!$D$4:$D$305,156)&amp;" "&amp;TEXT($B470,"YYYY年M月")&amp;" 自动结转")</f>
        <v/>
      </c>
      <c r="E470" s="26" t="str">
        <f>IF(INDEX(进销存对接!$M$4:$U$305,156,4)=0,"",INDEX(进销存对接!$M$4:$U$305,156,4))</f>
        <v/>
      </c>
      <c r="F470" s="25" t="str">
        <f>IF($E470="","",IFERROR(INDEX(科目表!$A$4:$A$81,MATCH($E470,科目表!$B$4:$B$81,0)),""))</f>
        <v/>
      </c>
      <c r="G470" s="26" t="str">
        <f>IF($E470="","",IFERROR(INDEX(科目表!$E$4:$E$81,MATCH($E470,科目表!$B$4:$B$81,0)),""))</f>
        <v/>
      </c>
      <c r="H470" s="27" t="str">
        <f>IF($E470="","",N(INDEX(进销存对接!$M$4:$U$305,156,5)))</f>
        <v/>
      </c>
      <c r="I470" s="27" t="str">
        <f>IF($E470="","",N(INDEX(进销存对接!$M$4:$U$305,156,6)))</f>
        <v/>
      </c>
      <c r="J470" s="26"/>
      <c r="K470" s="26" t="str">
        <f>IF($E470="","",INDEX(进销存对接!$D$4:$D$305,156))</f>
        <v/>
      </c>
      <c r="L470" s="32"/>
      <c r="M470" s="32"/>
      <c r="N470" s="26" t="str">
        <f t="shared" si="30"/>
        <v/>
      </c>
      <c r="O470" s="26" t="str">
        <f t="shared" si="31"/>
        <v/>
      </c>
      <c r="P470" s="10"/>
    </row>
    <row r="471" ht="18" customHeight="1" spans="1:16">
      <c r="A471" s="32" t="str">
        <f t="shared" si="28"/>
        <v/>
      </c>
      <c r="B471" s="100" t="str">
        <f>IF($E471="","",INDEX(进销存对接!$C$4:$C$305,156))</f>
        <v/>
      </c>
      <c r="C471" s="26" t="str">
        <f t="shared" si="29"/>
        <v/>
      </c>
      <c r="D471" s="32" t="str">
        <f>IF($E471="","",INDEX(进销存对接!$D$4:$D$305,156)&amp;" "&amp;TEXT($B471,"YYYY年M月")&amp;" 自动结转")</f>
        <v/>
      </c>
      <c r="E471" s="26" t="str">
        <f>IF(INDEX(进销存对接!$M$4:$U$305,156,7)=0,"",INDEX(进销存对接!$M$4:$U$305,156,7))</f>
        <v/>
      </c>
      <c r="F471" s="25" t="str">
        <f>IF($E471="","",IFERROR(INDEX(科目表!$A$4:$A$81,MATCH($E471,科目表!$B$4:$B$81,0)),""))</f>
        <v/>
      </c>
      <c r="G471" s="26" t="str">
        <f>IF($E471="","",IFERROR(INDEX(科目表!$E$4:$E$81,MATCH($E471,科目表!$B$4:$B$81,0)),""))</f>
        <v/>
      </c>
      <c r="H471" s="27" t="str">
        <f>IF($E471="","",N(INDEX(进销存对接!$M$4:$U$305,156,8)))</f>
        <v/>
      </c>
      <c r="I471" s="27" t="str">
        <f>IF($E471="","",N(INDEX(进销存对接!$M$4:$U$305,156,9)))</f>
        <v/>
      </c>
      <c r="J471" s="26"/>
      <c r="K471" s="26" t="str">
        <f>IF($E471="","",INDEX(进销存对接!$D$4:$D$305,156))</f>
        <v/>
      </c>
      <c r="L471" s="32"/>
      <c r="M471" s="32"/>
      <c r="N471" s="26" t="str">
        <f t="shared" si="30"/>
        <v/>
      </c>
      <c r="O471" s="26" t="str">
        <f t="shared" si="31"/>
        <v/>
      </c>
      <c r="P471" s="10"/>
    </row>
    <row r="472" ht="18" customHeight="1" spans="1:16">
      <c r="A472" s="32" t="str">
        <f t="shared" si="28"/>
        <v/>
      </c>
      <c r="B472" s="100" t="str">
        <f>IF($E472="","",INDEX(进销存对接!$C$4:$C$305,157))</f>
        <v/>
      </c>
      <c r="C472" s="26" t="str">
        <f t="shared" si="29"/>
        <v/>
      </c>
      <c r="D472" s="32" t="str">
        <f>IF($E472="","",INDEX(进销存对接!$D$4:$D$305,157)&amp;" "&amp;TEXT($B472,"YYYY年M月")&amp;" 自动结转")</f>
        <v/>
      </c>
      <c r="E472" s="26" t="str">
        <f>IF(INDEX(进销存对接!$M$4:$U$305,157,1)=0,"",INDEX(进销存对接!$M$4:$U$305,157,1))</f>
        <v/>
      </c>
      <c r="F472" s="25" t="str">
        <f>IF($E472="","",IFERROR(INDEX(科目表!$A$4:$A$81,MATCH($E472,科目表!$B$4:$B$81,0)),""))</f>
        <v/>
      </c>
      <c r="G472" s="26" t="str">
        <f>IF($E472="","",IFERROR(INDEX(科目表!$E$4:$E$81,MATCH($E472,科目表!$B$4:$B$81,0)),""))</f>
        <v/>
      </c>
      <c r="H472" s="27" t="str">
        <f>IF($E472="","",N(INDEX(进销存对接!$M$4:$U$305,157,2)))</f>
        <v/>
      </c>
      <c r="I472" s="27" t="str">
        <f>IF($E472="","",N(INDEX(进销存对接!$M$4:$U$305,157,3)))</f>
        <v/>
      </c>
      <c r="J472" s="26"/>
      <c r="K472" s="26" t="str">
        <f>IF($E472="","",INDEX(进销存对接!$D$4:$D$305,157))</f>
        <v/>
      </c>
      <c r="L472" s="32"/>
      <c r="M472" s="32"/>
      <c r="N472" s="26" t="str">
        <f t="shared" si="30"/>
        <v/>
      </c>
      <c r="O472" s="26" t="str">
        <f t="shared" si="31"/>
        <v/>
      </c>
      <c r="P472" s="10"/>
    </row>
    <row r="473" ht="18" customHeight="1" spans="1:16">
      <c r="A473" s="32" t="str">
        <f t="shared" si="28"/>
        <v/>
      </c>
      <c r="B473" s="100" t="str">
        <f>IF($E473="","",INDEX(进销存对接!$C$4:$C$305,157))</f>
        <v/>
      </c>
      <c r="C473" s="26" t="str">
        <f t="shared" si="29"/>
        <v/>
      </c>
      <c r="D473" s="32" t="str">
        <f>IF($E473="","",INDEX(进销存对接!$D$4:$D$305,157)&amp;" "&amp;TEXT($B473,"YYYY年M月")&amp;" 自动结转")</f>
        <v/>
      </c>
      <c r="E473" s="26" t="str">
        <f>IF(INDEX(进销存对接!$M$4:$U$305,157,4)=0,"",INDEX(进销存对接!$M$4:$U$305,157,4))</f>
        <v/>
      </c>
      <c r="F473" s="25" t="str">
        <f>IF($E473="","",IFERROR(INDEX(科目表!$A$4:$A$81,MATCH($E473,科目表!$B$4:$B$81,0)),""))</f>
        <v/>
      </c>
      <c r="G473" s="26" t="str">
        <f>IF($E473="","",IFERROR(INDEX(科目表!$E$4:$E$81,MATCH($E473,科目表!$B$4:$B$81,0)),""))</f>
        <v/>
      </c>
      <c r="H473" s="27" t="str">
        <f>IF($E473="","",N(INDEX(进销存对接!$M$4:$U$305,157,5)))</f>
        <v/>
      </c>
      <c r="I473" s="27" t="str">
        <f>IF($E473="","",N(INDEX(进销存对接!$M$4:$U$305,157,6)))</f>
        <v/>
      </c>
      <c r="J473" s="26"/>
      <c r="K473" s="26" t="str">
        <f>IF($E473="","",INDEX(进销存对接!$D$4:$D$305,157))</f>
        <v/>
      </c>
      <c r="L473" s="32"/>
      <c r="M473" s="32"/>
      <c r="N473" s="26" t="str">
        <f t="shared" si="30"/>
        <v/>
      </c>
      <c r="O473" s="26" t="str">
        <f t="shared" si="31"/>
        <v/>
      </c>
      <c r="P473" s="10"/>
    </row>
    <row r="474" ht="18" customHeight="1" spans="1:16">
      <c r="A474" s="32" t="str">
        <f t="shared" si="28"/>
        <v/>
      </c>
      <c r="B474" s="100" t="str">
        <f>IF($E474="","",INDEX(进销存对接!$C$4:$C$305,157))</f>
        <v/>
      </c>
      <c r="C474" s="26" t="str">
        <f t="shared" si="29"/>
        <v/>
      </c>
      <c r="D474" s="32" t="str">
        <f>IF($E474="","",INDEX(进销存对接!$D$4:$D$305,157)&amp;" "&amp;TEXT($B474,"YYYY年M月")&amp;" 自动结转")</f>
        <v/>
      </c>
      <c r="E474" s="26" t="str">
        <f>IF(INDEX(进销存对接!$M$4:$U$305,157,7)=0,"",INDEX(进销存对接!$M$4:$U$305,157,7))</f>
        <v/>
      </c>
      <c r="F474" s="25" t="str">
        <f>IF($E474="","",IFERROR(INDEX(科目表!$A$4:$A$81,MATCH($E474,科目表!$B$4:$B$81,0)),""))</f>
        <v/>
      </c>
      <c r="G474" s="26" t="str">
        <f>IF($E474="","",IFERROR(INDEX(科目表!$E$4:$E$81,MATCH($E474,科目表!$B$4:$B$81,0)),""))</f>
        <v/>
      </c>
      <c r="H474" s="27" t="str">
        <f>IF($E474="","",N(INDEX(进销存对接!$M$4:$U$305,157,8)))</f>
        <v/>
      </c>
      <c r="I474" s="27" t="str">
        <f>IF($E474="","",N(INDEX(进销存对接!$M$4:$U$305,157,9)))</f>
        <v/>
      </c>
      <c r="J474" s="26"/>
      <c r="K474" s="26" t="str">
        <f>IF($E474="","",INDEX(进销存对接!$D$4:$D$305,157))</f>
        <v/>
      </c>
      <c r="L474" s="32"/>
      <c r="M474" s="32"/>
      <c r="N474" s="26" t="str">
        <f t="shared" si="30"/>
        <v/>
      </c>
      <c r="O474" s="26" t="str">
        <f t="shared" si="31"/>
        <v/>
      </c>
      <c r="P474" s="10"/>
    </row>
    <row r="475" ht="18" customHeight="1" spans="1:16">
      <c r="A475" s="32" t="str">
        <f t="shared" si="28"/>
        <v/>
      </c>
      <c r="B475" s="100" t="str">
        <f>IF($E475="","",INDEX(进销存对接!$C$4:$C$305,158))</f>
        <v/>
      </c>
      <c r="C475" s="26" t="str">
        <f t="shared" si="29"/>
        <v/>
      </c>
      <c r="D475" s="32" t="str">
        <f>IF($E475="","",INDEX(进销存对接!$D$4:$D$305,158)&amp;" "&amp;TEXT($B475,"YYYY年M月")&amp;" 自动结转")</f>
        <v/>
      </c>
      <c r="E475" s="26" t="str">
        <f>IF(INDEX(进销存对接!$M$4:$U$305,158,1)=0,"",INDEX(进销存对接!$M$4:$U$305,158,1))</f>
        <v/>
      </c>
      <c r="F475" s="25" t="str">
        <f>IF($E475="","",IFERROR(INDEX(科目表!$A$4:$A$81,MATCH($E475,科目表!$B$4:$B$81,0)),""))</f>
        <v/>
      </c>
      <c r="G475" s="26" t="str">
        <f>IF($E475="","",IFERROR(INDEX(科目表!$E$4:$E$81,MATCH($E475,科目表!$B$4:$B$81,0)),""))</f>
        <v/>
      </c>
      <c r="H475" s="27" t="str">
        <f>IF($E475="","",N(INDEX(进销存对接!$M$4:$U$305,158,2)))</f>
        <v/>
      </c>
      <c r="I475" s="27" t="str">
        <f>IF($E475="","",N(INDEX(进销存对接!$M$4:$U$305,158,3)))</f>
        <v/>
      </c>
      <c r="J475" s="26"/>
      <c r="K475" s="26" t="str">
        <f>IF($E475="","",INDEX(进销存对接!$D$4:$D$305,158))</f>
        <v/>
      </c>
      <c r="L475" s="32"/>
      <c r="M475" s="32"/>
      <c r="N475" s="26" t="str">
        <f t="shared" si="30"/>
        <v/>
      </c>
      <c r="O475" s="26" t="str">
        <f t="shared" si="31"/>
        <v/>
      </c>
      <c r="P475" s="10"/>
    </row>
    <row r="476" ht="18" customHeight="1" spans="1:16">
      <c r="A476" s="32" t="str">
        <f t="shared" si="28"/>
        <v/>
      </c>
      <c r="B476" s="100" t="str">
        <f>IF($E476="","",INDEX(进销存对接!$C$4:$C$305,158))</f>
        <v/>
      </c>
      <c r="C476" s="26" t="str">
        <f t="shared" si="29"/>
        <v/>
      </c>
      <c r="D476" s="32" t="str">
        <f>IF($E476="","",INDEX(进销存对接!$D$4:$D$305,158)&amp;" "&amp;TEXT($B476,"YYYY年M月")&amp;" 自动结转")</f>
        <v/>
      </c>
      <c r="E476" s="26" t="str">
        <f>IF(INDEX(进销存对接!$M$4:$U$305,158,4)=0,"",INDEX(进销存对接!$M$4:$U$305,158,4))</f>
        <v/>
      </c>
      <c r="F476" s="25" t="str">
        <f>IF($E476="","",IFERROR(INDEX(科目表!$A$4:$A$81,MATCH($E476,科目表!$B$4:$B$81,0)),""))</f>
        <v/>
      </c>
      <c r="G476" s="26" t="str">
        <f>IF($E476="","",IFERROR(INDEX(科目表!$E$4:$E$81,MATCH($E476,科目表!$B$4:$B$81,0)),""))</f>
        <v/>
      </c>
      <c r="H476" s="27" t="str">
        <f>IF($E476="","",N(INDEX(进销存对接!$M$4:$U$305,158,5)))</f>
        <v/>
      </c>
      <c r="I476" s="27" t="str">
        <f>IF($E476="","",N(INDEX(进销存对接!$M$4:$U$305,158,6)))</f>
        <v/>
      </c>
      <c r="J476" s="26"/>
      <c r="K476" s="26" t="str">
        <f>IF($E476="","",INDEX(进销存对接!$D$4:$D$305,158))</f>
        <v/>
      </c>
      <c r="L476" s="32"/>
      <c r="M476" s="32"/>
      <c r="N476" s="26" t="str">
        <f t="shared" si="30"/>
        <v/>
      </c>
      <c r="O476" s="26" t="str">
        <f t="shared" si="31"/>
        <v/>
      </c>
      <c r="P476" s="10"/>
    </row>
    <row r="477" ht="18" customHeight="1" spans="1:16">
      <c r="A477" s="32" t="str">
        <f t="shared" si="28"/>
        <v/>
      </c>
      <c r="B477" s="100" t="str">
        <f>IF($E477="","",INDEX(进销存对接!$C$4:$C$305,158))</f>
        <v/>
      </c>
      <c r="C477" s="26" t="str">
        <f t="shared" si="29"/>
        <v/>
      </c>
      <c r="D477" s="32" t="str">
        <f>IF($E477="","",INDEX(进销存对接!$D$4:$D$305,158)&amp;" "&amp;TEXT($B477,"YYYY年M月")&amp;" 自动结转")</f>
        <v/>
      </c>
      <c r="E477" s="26" t="str">
        <f>IF(INDEX(进销存对接!$M$4:$U$305,158,7)=0,"",INDEX(进销存对接!$M$4:$U$305,158,7))</f>
        <v/>
      </c>
      <c r="F477" s="25" t="str">
        <f>IF($E477="","",IFERROR(INDEX(科目表!$A$4:$A$81,MATCH($E477,科目表!$B$4:$B$81,0)),""))</f>
        <v/>
      </c>
      <c r="G477" s="26" t="str">
        <f>IF($E477="","",IFERROR(INDEX(科目表!$E$4:$E$81,MATCH($E477,科目表!$B$4:$B$81,0)),""))</f>
        <v/>
      </c>
      <c r="H477" s="27" t="str">
        <f>IF($E477="","",N(INDEX(进销存对接!$M$4:$U$305,158,8)))</f>
        <v/>
      </c>
      <c r="I477" s="27" t="str">
        <f>IF($E477="","",N(INDEX(进销存对接!$M$4:$U$305,158,9)))</f>
        <v/>
      </c>
      <c r="J477" s="26"/>
      <c r="K477" s="26" t="str">
        <f>IF($E477="","",INDEX(进销存对接!$D$4:$D$305,158))</f>
        <v/>
      </c>
      <c r="L477" s="32"/>
      <c r="M477" s="32"/>
      <c r="N477" s="26" t="str">
        <f t="shared" si="30"/>
        <v/>
      </c>
      <c r="O477" s="26" t="str">
        <f t="shared" si="31"/>
        <v/>
      </c>
      <c r="P477" s="10"/>
    </row>
    <row r="478" ht="18" customHeight="1" spans="1:16">
      <c r="A478" s="32" t="str">
        <f t="shared" si="28"/>
        <v/>
      </c>
      <c r="B478" s="100" t="str">
        <f>IF($E478="","",INDEX(进销存对接!$C$4:$C$305,159))</f>
        <v/>
      </c>
      <c r="C478" s="26" t="str">
        <f t="shared" si="29"/>
        <v/>
      </c>
      <c r="D478" s="32" t="str">
        <f>IF($E478="","",INDEX(进销存对接!$D$4:$D$305,159)&amp;" "&amp;TEXT($B478,"YYYY年M月")&amp;" 自动结转")</f>
        <v/>
      </c>
      <c r="E478" s="26" t="str">
        <f>IF(INDEX(进销存对接!$M$4:$U$305,159,1)=0,"",INDEX(进销存对接!$M$4:$U$305,159,1))</f>
        <v/>
      </c>
      <c r="F478" s="25" t="str">
        <f>IF($E478="","",IFERROR(INDEX(科目表!$A$4:$A$81,MATCH($E478,科目表!$B$4:$B$81,0)),""))</f>
        <v/>
      </c>
      <c r="G478" s="26" t="str">
        <f>IF($E478="","",IFERROR(INDEX(科目表!$E$4:$E$81,MATCH($E478,科目表!$B$4:$B$81,0)),""))</f>
        <v/>
      </c>
      <c r="H478" s="27" t="str">
        <f>IF($E478="","",N(INDEX(进销存对接!$M$4:$U$305,159,2)))</f>
        <v/>
      </c>
      <c r="I478" s="27" t="str">
        <f>IF($E478="","",N(INDEX(进销存对接!$M$4:$U$305,159,3)))</f>
        <v/>
      </c>
      <c r="J478" s="26"/>
      <c r="K478" s="26" t="str">
        <f>IF($E478="","",INDEX(进销存对接!$D$4:$D$305,159))</f>
        <v/>
      </c>
      <c r="L478" s="32"/>
      <c r="M478" s="32"/>
      <c r="N478" s="26" t="str">
        <f t="shared" si="30"/>
        <v/>
      </c>
      <c r="O478" s="26" t="str">
        <f t="shared" si="31"/>
        <v/>
      </c>
      <c r="P478" s="10"/>
    </row>
    <row r="479" ht="18" customHeight="1" spans="1:16">
      <c r="A479" s="32" t="str">
        <f t="shared" si="28"/>
        <v/>
      </c>
      <c r="B479" s="100" t="str">
        <f>IF($E479="","",INDEX(进销存对接!$C$4:$C$305,159))</f>
        <v/>
      </c>
      <c r="C479" s="26" t="str">
        <f t="shared" si="29"/>
        <v/>
      </c>
      <c r="D479" s="32" t="str">
        <f>IF($E479="","",INDEX(进销存对接!$D$4:$D$305,159)&amp;" "&amp;TEXT($B479,"YYYY年M月")&amp;" 自动结转")</f>
        <v/>
      </c>
      <c r="E479" s="26" t="str">
        <f>IF(INDEX(进销存对接!$M$4:$U$305,159,4)=0,"",INDEX(进销存对接!$M$4:$U$305,159,4))</f>
        <v/>
      </c>
      <c r="F479" s="25" t="str">
        <f>IF($E479="","",IFERROR(INDEX(科目表!$A$4:$A$81,MATCH($E479,科目表!$B$4:$B$81,0)),""))</f>
        <v/>
      </c>
      <c r="G479" s="26" t="str">
        <f>IF($E479="","",IFERROR(INDEX(科目表!$E$4:$E$81,MATCH($E479,科目表!$B$4:$B$81,0)),""))</f>
        <v/>
      </c>
      <c r="H479" s="27" t="str">
        <f>IF($E479="","",N(INDEX(进销存对接!$M$4:$U$305,159,5)))</f>
        <v/>
      </c>
      <c r="I479" s="27" t="str">
        <f>IF($E479="","",N(INDEX(进销存对接!$M$4:$U$305,159,6)))</f>
        <v/>
      </c>
      <c r="J479" s="26"/>
      <c r="K479" s="26" t="str">
        <f>IF($E479="","",INDEX(进销存对接!$D$4:$D$305,159))</f>
        <v/>
      </c>
      <c r="L479" s="32"/>
      <c r="M479" s="32"/>
      <c r="N479" s="26" t="str">
        <f t="shared" si="30"/>
        <v/>
      </c>
      <c r="O479" s="26" t="str">
        <f t="shared" si="31"/>
        <v/>
      </c>
      <c r="P479" s="10"/>
    </row>
    <row r="480" ht="18" customHeight="1" spans="1:16">
      <c r="A480" s="32" t="str">
        <f t="shared" si="28"/>
        <v/>
      </c>
      <c r="B480" s="100" t="str">
        <f>IF($E480="","",INDEX(进销存对接!$C$4:$C$305,159))</f>
        <v/>
      </c>
      <c r="C480" s="26" t="str">
        <f t="shared" si="29"/>
        <v/>
      </c>
      <c r="D480" s="32" t="str">
        <f>IF($E480="","",INDEX(进销存对接!$D$4:$D$305,159)&amp;" "&amp;TEXT($B480,"YYYY年M月")&amp;" 自动结转")</f>
        <v/>
      </c>
      <c r="E480" s="26" t="str">
        <f>IF(INDEX(进销存对接!$M$4:$U$305,159,7)=0,"",INDEX(进销存对接!$M$4:$U$305,159,7))</f>
        <v/>
      </c>
      <c r="F480" s="25" t="str">
        <f>IF($E480="","",IFERROR(INDEX(科目表!$A$4:$A$81,MATCH($E480,科目表!$B$4:$B$81,0)),""))</f>
        <v/>
      </c>
      <c r="G480" s="26" t="str">
        <f>IF($E480="","",IFERROR(INDEX(科目表!$E$4:$E$81,MATCH($E480,科目表!$B$4:$B$81,0)),""))</f>
        <v/>
      </c>
      <c r="H480" s="27" t="str">
        <f>IF($E480="","",N(INDEX(进销存对接!$M$4:$U$305,159,8)))</f>
        <v/>
      </c>
      <c r="I480" s="27" t="str">
        <f>IF($E480="","",N(INDEX(进销存对接!$M$4:$U$305,159,9)))</f>
        <v/>
      </c>
      <c r="J480" s="26"/>
      <c r="K480" s="26" t="str">
        <f>IF($E480="","",INDEX(进销存对接!$D$4:$D$305,159))</f>
        <v/>
      </c>
      <c r="L480" s="32"/>
      <c r="M480" s="32"/>
      <c r="N480" s="26" t="str">
        <f t="shared" si="30"/>
        <v/>
      </c>
      <c r="O480" s="26" t="str">
        <f t="shared" si="31"/>
        <v/>
      </c>
      <c r="P480" s="10"/>
    </row>
    <row r="481" ht="18" customHeight="1" spans="1:16">
      <c r="A481" s="32" t="str">
        <f t="shared" si="28"/>
        <v/>
      </c>
      <c r="B481" s="100" t="str">
        <f>IF($E481="","",INDEX(进销存对接!$C$4:$C$305,160))</f>
        <v/>
      </c>
      <c r="C481" s="26" t="str">
        <f t="shared" si="29"/>
        <v/>
      </c>
      <c r="D481" s="32" t="str">
        <f>IF($E481="","",INDEX(进销存对接!$D$4:$D$305,160)&amp;" "&amp;TEXT($B481,"YYYY年M月")&amp;" 自动结转")</f>
        <v/>
      </c>
      <c r="E481" s="26" t="str">
        <f>IF(INDEX(进销存对接!$M$4:$U$305,160,1)=0,"",INDEX(进销存对接!$M$4:$U$305,160,1))</f>
        <v/>
      </c>
      <c r="F481" s="25" t="str">
        <f>IF($E481="","",IFERROR(INDEX(科目表!$A$4:$A$81,MATCH($E481,科目表!$B$4:$B$81,0)),""))</f>
        <v/>
      </c>
      <c r="G481" s="26" t="str">
        <f>IF($E481="","",IFERROR(INDEX(科目表!$E$4:$E$81,MATCH($E481,科目表!$B$4:$B$81,0)),""))</f>
        <v/>
      </c>
      <c r="H481" s="27" t="str">
        <f>IF($E481="","",N(INDEX(进销存对接!$M$4:$U$305,160,2)))</f>
        <v/>
      </c>
      <c r="I481" s="27" t="str">
        <f>IF($E481="","",N(INDEX(进销存对接!$M$4:$U$305,160,3)))</f>
        <v/>
      </c>
      <c r="J481" s="26"/>
      <c r="K481" s="26" t="str">
        <f>IF($E481="","",INDEX(进销存对接!$D$4:$D$305,160))</f>
        <v/>
      </c>
      <c r="L481" s="32"/>
      <c r="M481" s="32"/>
      <c r="N481" s="26" t="str">
        <f t="shared" si="30"/>
        <v/>
      </c>
      <c r="O481" s="26" t="str">
        <f t="shared" si="31"/>
        <v/>
      </c>
      <c r="P481" s="10"/>
    </row>
    <row r="482" ht="18" customHeight="1" spans="1:16">
      <c r="A482" s="32" t="str">
        <f t="shared" si="28"/>
        <v/>
      </c>
      <c r="B482" s="100" t="str">
        <f>IF($E482="","",INDEX(进销存对接!$C$4:$C$305,160))</f>
        <v/>
      </c>
      <c r="C482" s="26" t="str">
        <f t="shared" si="29"/>
        <v/>
      </c>
      <c r="D482" s="32" t="str">
        <f>IF($E482="","",INDEX(进销存对接!$D$4:$D$305,160)&amp;" "&amp;TEXT($B482,"YYYY年M月")&amp;" 自动结转")</f>
        <v/>
      </c>
      <c r="E482" s="26" t="str">
        <f>IF(INDEX(进销存对接!$M$4:$U$305,160,4)=0,"",INDEX(进销存对接!$M$4:$U$305,160,4))</f>
        <v/>
      </c>
      <c r="F482" s="25" t="str">
        <f>IF($E482="","",IFERROR(INDEX(科目表!$A$4:$A$81,MATCH($E482,科目表!$B$4:$B$81,0)),""))</f>
        <v/>
      </c>
      <c r="G482" s="26" t="str">
        <f>IF($E482="","",IFERROR(INDEX(科目表!$E$4:$E$81,MATCH($E482,科目表!$B$4:$B$81,0)),""))</f>
        <v/>
      </c>
      <c r="H482" s="27" t="str">
        <f>IF($E482="","",N(INDEX(进销存对接!$M$4:$U$305,160,5)))</f>
        <v/>
      </c>
      <c r="I482" s="27" t="str">
        <f>IF($E482="","",N(INDEX(进销存对接!$M$4:$U$305,160,6)))</f>
        <v/>
      </c>
      <c r="J482" s="26"/>
      <c r="K482" s="26" t="str">
        <f>IF($E482="","",INDEX(进销存对接!$D$4:$D$305,160))</f>
        <v/>
      </c>
      <c r="L482" s="32"/>
      <c r="M482" s="32"/>
      <c r="N482" s="26" t="str">
        <f t="shared" si="30"/>
        <v/>
      </c>
      <c r="O482" s="26" t="str">
        <f t="shared" si="31"/>
        <v/>
      </c>
      <c r="P482" s="10"/>
    </row>
    <row r="483" ht="18" customHeight="1" spans="1:16">
      <c r="A483" s="32" t="str">
        <f t="shared" si="28"/>
        <v/>
      </c>
      <c r="B483" s="100" t="str">
        <f>IF($E483="","",INDEX(进销存对接!$C$4:$C$305,160))</f>
        <v/>
      </c>
      <c r="C483" s="26" t="str">
        <f t="shared" si="29"/>
        <v/>
      </c>
      <c r="D483" s="32" t="str">
        <f>IF($E483="","",INDEX(进销存对接!$D$4:$D$305,160)&amp;" "&amp;TEXT($B483,"YYYY年M月")&amp;" 自动结转")</f>
        <v/>
      </c>
      <c r="E483" s="26" t="str">
        <f>IF(INDEX(进销存对接!$M$4:$U$305,160,7)=0,"",INDEX(进销存对接!$M$4:$U$305,160,7))</f>
        <v/>
      </c>
      <c r="F483" s="25" t="str">
        <f>IF($E483="","",IFERROR(INDEX(科目表!$A$4:$A$81,MATCH($E483,科目表!$B$4:$B$81,0)),""))</f>
        <v/>
      </c>
      <c r="G483" s="26" t="str">
        <f>IF($E483="","",IFERROR(INDEX(科目表!$E$4:$E$81,MATCH($E483,科目表!$B$4:$B$81,0)),""))</f>
        <v/>
      </c>
      <c r="H483" s="27" t="str">
        <f>IF($E483="","",N(INDEX(进销存对接!$M$4:$U$305,160,8)))</f>
        <v/>
      </c>
      <c r="I483" s="27" t="str">
        <f>IF($E483="","",N(INDEX(进销存对接!$M$4:$U$305,160,9)))</f>
        <v/>
      </c>
      <c r="J483" s="26"/>
      <c r="K483" s="26" t="str">
        <f>IF($E483="","",INDEX(进销存对接!$D$4:$D$305,160))</f>
        <v/>
      </c>
      <c r="L483" s="32"/>
      <c r="M483" s="32"/>
      <c r="N483" s="26" t="str">
        <f t="shared" si="30"/>
        <v/>
      </c>
      <c r="O483" s="26" t="str">
        <f t="shared" si="31"/>
        <v/>
      </c>
      <c r="P483" s="10"/>
    </row>
    <row r="484" ht="18" customHeight="1" spans="1:16">
      <c r="A484" s="32" t="str">
        <f t="shared" si="28"/>
        <v/>
      </c>
      <c r="B484" s="100" t="str">
        <f>IF($E484="","",INDEX(进销存对接!$C$4:$C$305,161))</f>
        <v/>
      </c>
      <c r="C484" s="26" t="str">
        <f t="shared" si="29"/>
        <v/>
      </c>
      <c r="D484" s="32" t="str">
        <f>IF($E484="","",INDEX(进销存对接!$D$4:$D$305,161)&amp;" "&amp;TEXT($B484,"YYYY年M月")&amp;" 自动结转")</f>
        <v/>
      </c>
      <c r="E484" s="26" t="str">
        <f>IF(INDEX(进销存对接!$M$4:$U$305,161,1)=0,"",INDEX(进销存对接!$M$4:$U$305,161,1))</f>
        <v/>
      </c>
      <c r="F484" s="25" t="str">
        <f>IF($E484="","",IFERROR(INDEX(科目表!$A$4:$A$81,MATCH($E484,科目表!$B$4:$B$81,0)),""))</f>
        <v/>
      </c>
      <c r="G484" s="26" t="str">
        <f>IF($E484="","",IFERROR(INDEX(科目表!$E$4:$E$81,MATCH($E484,科目表!$B$4:$B$81,0)),""))</f>
        <v/>
      </c>
      <c r="H484" s="27" t="str">
        <f>IF($E484="","",N(INDEX(进销存对接!$M$4:$U$305,161,2)))</f>
        <v/>
      </c>
      <c r="I484" s="27" t="str">
        <f>IF($E484="","",N(INDEX(进销存对接!$M$4:$U$305,161,3)))</f>
        <v/>
      </c>
      <c r="J484" s="26"/>
      <c r="K484" s="26" t="str">
        <f>IF($E484="","",INDEX(进销存对接!$D$4:$D$305,161))</f>
        <v/>
      </c>
      <c r="L484" s="32"/>
      <c r="M484" s="32"/>
      <c r="N484" s="26" t="str">
        <f t="shared" si="30"/>
        <v/>
      </c>
      <c r="O484" s="26" t="str">
        <f t="shared" si="31"/>
        <v/>
      </c>
      <c r="P484" s="10"/>
    </row>
    <row r="485" ht="18" customHeight="1" spans="1:16">
      <c r="A485" s="32" t="str">
        <f t="shared" si="28"/>
        <v/>
      </c>
      <c r="B485" s="100" t="str">
        <f>IF($E485="","",INDEX(进销存对接!$C$4:$C$305,161))</f>
        <v/>
      </c>
      <c r="C485" s="26" t="str">
        <f t="shared" si="29"/>
        <v/>
      </c>
      <c r="D485" s="32" t="str">
        <f>IF($E485="","",INDEX(进销存对接!$D$4:$D$305,161)&amp;" "&amp;TEXT($B485,"YYYY年M月")&amp;" 自动结转")</f>
        <v/>
      </c>
      <c r="E485" s="26" t="str">
        <f>IF(INDEX(进销存对接!$M$4:$U$305,161,4)=0,"",INDEX(进销存对接!$M$4:$U$305,161,4))</f>
        <v/>
      </c>
      <c r="F485" s="25" t="str">
        <f>IF($E485="","",IFERROR(INDEX(科目表!$A$4:$A$81,MATCH($E485,科目表!$B$4:$B$81,0)),""))</f>
        <v/>
      </c>
      <c r="G485" s="26" t="str">
        <f>IF($E485="","",IFERROR(INDEX(科目表!$E$4:$E$81,MATCH($E485,科目表!$B$4:$B$81,0)),""))</f>
        <v/>
      </c>
      <c r="H485" s="27" t="str">
        <f>IF($E485="","",N(INDEX(进销存对接!$M$4:$U$305,161,5)))</f>
        <v/>
      </c>
      <c r="I485" s="27" t="str">
        <f>IF($E485="","",N(INDEX(进销存对接!$M$4:$U$305,161,6)))</f>
        <v/>
      </c>
      <c r="J485" s="26"/>
      <c r="K485" s="26" t="str">
        <f>IF($E485="","",INDEX(进销存对接!$D$4:$D$305,161))</f>
        <v/>
      </c>
      <c r="L485" s="32"/>
      <c r="M485" s="32"/>
      <c r="N485" s="26" t="str">
        <f t="shared" si="30"/>
        <v/>
      </c>
      <c r="O485" s="26" t="str">
        <f t="shared" si="31"/>
        <v/>
      </c>
      <c r="P485" s="10"/>
    </row>
    <row r="486" ht="18" customHeight="1" spans="1:16">
      <c r="A486" s="32" t="str">
        <f t="shared" si="28"/>
        <v/>
      </c>
      <c r="B486" s="100" t="str">
        <f>IF($E486="","",INDEX(进销存对接!$C$4:$C$305,161))</f>
        <v/>
      </c>
      <c r="C486" s="26" t="str">
        <f t="shared" si="29"/>
        <v/>
      </c>
      <c r="D486" s="32" t="str">
        <f>IF($E486="","",INDEX(进销存对接!$D$4:$D$305,161)&amp;" "&amp;TEXT($B486,"YYYY年M月")&amp;" 自动结转")</f>
        <v/>
      </c>
      <c r="E486" s="26" t="str">
        <f>IF(INDEX(进销存对接!$M$4:$U$305,161,7)=0,"",INDEX(进销存对接!$M$4:$U$305,161,7))</f>
        <v/>
      </c>
      <c r="F486" s="25" t="str">
        <f>IF($E486="","",IFERROR(INDEX(科目表!$A$4:$A$81,MATCH($E486,科目表!$B$4:$B$81,0)),""))</f>
        <v/>
      </c>
      <c r="G486" s="26" t="str">
        <f>IF($E486="","",IFERROR(INDEX(科目表!$E$4:$E$81,MATCH($E486,科目表!$B$4:$B$81,0)),""))</f>
        <v/>
      </c>
      <c r="H486" s="27" t="str">
        <f>IF($E486="","",N(INDEX(进销存对接!$M$4:$U$305,161,8)))</f>
        <v/>
      </c>
      <c r="I486" s="27" t="str">
        <f>IF($E486="","",N(INDEX(进销存对接!$M$4:$U$305,161,9)))</f>
        <v/>
      </c>
      <c r="J486" s="26"/>
      <c r="K486" s="26" t="str">
        <f>IF($E486="","",INDEX(进销存对接!$D$4:$D$305,161))</f>
        <v/>
      </c>
      <c r="L486" s="32"/>
      <c r="M486" s="32"/>
      <c r="N486" s="26" t="str">
        <f t="shared" si="30"/>
        <v/>
      </c>
      <c r="O486" s="26" t="str">
        <f t="shared" si="31"/>
        <v/>
      </c>
      <c r="P486" s="10"/>
    </row>
    <row r="487" ht="18" customHeight="1" spans="1:16">
      <c r="A487" s="32" t="str">
        <f t="shared" si="28"/>
        <v/>
      </c>
      <c r="B487" s="100" t="str">
        <f>IF($E487="","",INDEX(进销存对接!$C$4:$C$305,162))</f>
        <v/>
      </c>
      <c r="C487" s="26" t="str">
        <f t="shared" si="29"/>
        <v/>
      </c>
      <c r="D487" s="32" t="str">
        <f>IF($E487="","",INDEX(进销存对接!$D$4:$D$305,162)&amp;" "&amp;TEXT($B487,"YYYY年M月")&amp;" 自动结转")</f>
        <v/>
      </c>
      <c r="E487" s="26" t="str">
        <f>IF(INDEX(进销存对接!$M$4:$U$305,162,1)=0,"",INDEX(进销存对接!$M$4:$U$305,162,1))</f>
        <v/>
      </c>
      <c r="F487" s="25" t="str">
        <f>IF($E487="","",IFERROR(INDEX(科目表!$A$4:$A$81,MATCH($E487,科目表!$B$4:$B$81,0)),""))</f>
        <v/>
      </c>
      <c r="G487" s="26" t="str">
        <f>IF($E487="","",IFERROR(INDEX(科目表!$E$4:$E$81,MATCH($E487,科目表!$B$4:$B$81,0)),""))</f>
        <v/>
      </c>
      <c r="H487" s="27" t="str">
        <f>IF($E487="","",N(INDEX(进销存对接!$M$4:$U$305,162,2)))</f>
        <v/>
      </c>
      <c r="I487" s="27" t="str">
        <f>IF($E487="","",N(INDEX(进销存对接!$M$4:$U$305,162,3)))</f>
        <v/>
      </c>
      <c r="J487" s="26"/>
      <c r="K487" s="26" t="str">
        <f>IF($E487="","",INDEX(进销存对接!$D$4:$D$305,162))</f>
        <v/>
      </c>
      <c r="L487" s="32"/>
      <c r="M487" s="32"/>
      <c r="N487" s="26" t="str">
        <f t="shared" si="30"/>
        <v/>
      </c>
      <c r="O487" s="26" t="str">
        <f t="shared" si="31"/>
        <v/>
      </c>
      <c r="P487" s="10"/>
    </row>
    <row r="488" ht="18" customHeight="1" spans="1:16">
      <c r="A488" s="32" t="str">
        <f t="shared" si="28"/>
        <v/>
      </c>
      <c r="B488" s="100" t="str">
        <f>IF($E488="","",INDEX(进销存对接!$C$4:$C$305,162))</f>
        <v/>
      </c>
      <c r="C488" s="26" t="str">
        <f t="shared" si="29"/>
        <v/>
      </c>
      <c r="D488" s="32" t="str">
        <f>IF($E488="","",INDEX(进销存对接!$D$4:$D$305,162)&amp;" "&amp;TEXT($B488,"YYYY年M月")&amp;" 自动结转")</f>
        <v/>
      </c>
      <c r="E488" s="26" t="str">
        <f>IF(INDEX(进销存对接!$M$4:$U$305,162,4)=0,"",INDEX(进销存对接!$M$4:$U$305,162,4))</f>
        <v/>
      </c>
      <c r="F488" s="25" t="str">
        <f>IF($E488="","",IFERROR(INDEX(科目表!$A$4:$A$81,MATCH($E488,科目表!$B$4:$B$81,0)),""))</f>
        <v/>
      </c>
      <c r="G488" s="26" t="str">
        <f>IF($E488="","",IFERROR(INDEX(科目表!$E$4:$E$81,MATCH($E488,科目表!$B$4:$B$81,0)),""))</f>
        <v/>
      </c>
      <c r="H488" s="27" t="str">
        <f>IF($E488="","",N(INDEX(进销存对接!$M$4:$U$305,162,5)))</f>
        <v/>
      </c>
      <c r="I488" s="27" t="str">
        <f>IF($E488="","",N(INDEX(进销存对接!$M$4:$U$305,162,6)))</f>
        <v/>
      </c>
      <c r="J488" s="26"/>
      <c r="K488" s="26" t="str">
        <f>IF($E488="","",INDEX(进销存对接!$D$4:$D$305,162))</f>
        <v/>
      </c>
      <c r="L488" s="32"/>
      <c r="M488" s="32"/>
      <c r="N488" s="26" t="str">
        <f t="shared" si="30"/>
        <v/>
      </c>
      <c r="O488" s="26" t="str">
        <f t="shared" si="31"/>
        <v/>
      </c>
      <c r="P488" s="10"/>
    </row>
    <row r="489" ht="18" customHeight="1" spans="1:16">
      <c r="A489" s="32" t="str">
        <f t="shared" si="28"/>
        <v/>
      </c>
      <c r="B489" s="100" t="str">
        <f>IF($E489="","",INDEX(进销存对接!$C$4:$C$305,162))</f>
        <v/>
      </c>
      <c r="C489" s="26" t="str">
        <f t="shared" si="29"/>
        <v/>
      </c>
      <c r="D489" s="32" t="str">
        <f>IF($E489="","",INDEX(进销存对接!$D$4:$D$305,162)&amp;" "&amp;TEXT($B489,"YYYY年M月")&amp;" 自动结转")</f>
        <v/>
      </c>
      <c r="E489" s="26" t="str">
        <f>IF(INDEX(进销存对接!$M$4:$U$305,162,7)=0,"",INDEX(进销存对接!$M$4:$U$305,162,7))</f>
        <v/>
      </c>
      <c r="F489" s="25" t="str">
        <f>IF($E489="","",IFERROR(INDEX(科目表!$A$4:$A$81,MATCH($E489,科目表!$B$4:$B$81,0)),""))</f>
        <v/>
      </c>
      <c r="G489" s="26" t="str">
        <f>IF($E489="","",IFERROR(INDEX(科目表!$E$4:$E$81,MATCH($E489,科目表!$B$4:$B$81,0)),""))</f>
        <v/>
      </c>
      <c r="H489" s="27" t="str">
        <f>IF($E489="","",N(INDEX(进销存对接!$M$4:$U$305,162,8)))</f>
        <v/>
      </c>
      <c r="I489" s="27" t="str">
        <f>IF($E489="","",N(INDEX(进销存对接!$M$4:$U$305,162,9)))</f>
        <v/>
      </c>
      <c r="J489" s="26"/>
      <c r="K489" s="26" t="str">
        <f>IF($E489="","",INDEX(进销存对接!$D$4:$D$305,162))</f>
        <v/>
      </c>
      <c r="L489" s="32"/>
      <c r="M489" s="32"/>
      <c r="N489" s="26" t="str">
        <f t="shared" si="30"/>
        <v/>
      </c>
      <c r="O489" s="26" t="str">
        <f t="shared" si="31"/>
        <v/>
      </c>
      <c r="P489" s="10"/>
    </row>
    <row r="490" ht="18" customHeight="1" spans="1:16">
      <c r="A490" s="32" t="str">
        <f t="shared" si="28"/>
        <v/>
      </c>
      <c r="B490" s="100" t="str">
        <f>IF($E490="","",INDEX(进销存对接!$C$4:$C$305,163))</f>
        <v/>
      </c>
      <c r="C490" s="26" t="str">
        <f t="shared" si="29"/>
        <v/>
      </c>
      <c r="D490" s="32" t="str">
        <f>IF($E490="","",INDEX(进销存对接!$D$4:$D$305,163)&amp;" "&amp;TEXT($B490,"YYYY年M月")&amp;" 自动结转")</f>
        <v/>
      </c>
      <c r="E490" s="26" t="str">
        <f>IF(INDEX(进销存对接!$M$4:$U$305,163,1)=0,"",INDEX(进销存对接!$M$4:$U$305,163,1))</f>
        <v/>
      </c>
      <c r="F490" s="25" t="str">
        <f>IF($E490="","",IFERROR(INDEX(科目表!$A$4:$A$81,MATCH($E490,科目表!$B$4:$B$81,0)),""))</f>
        <v/>
      </c>
      <c r="G490" s="26" t="str">
        <f>IF($E490="","",IFERROR(INDEX(科目表!$E$4:$E$81,MATCH($E490,科目表!$B$4:$B$81,0)),""))</f>
        <v/>
      </c>
      <c r="H490" s="27" t="str">
        <f>IF($E490="","",N(INDEX(进销存对接!$M$4:$U$305,163,2)))</f>
        <v/>
      </c>
      <c r="I490" s="27" t="str">
        <f>IF($E490="","",N(INDEX(进销存对接!$M$4:$U$305,163,3)))</f>
        <v/>
      </c>
      <c r="J490" s="26"/>
      <c r="K490" s="26" t="str">
        <f>IF($E490="","",INDEX(进销存对接!$D$4:$D$305,163))</f>
        <v/>
      </c>
      <c r="L490" s="32"/>
      <c r="M490" s="32"/>
      <c r="N490" s="26" t="str">
        <f t="shared" si="30"/>
        <v/>
      </c>
      <c r="O490" s="26" t="str">
        <f t="shared" si="31"/>
        <v/>
      </c>
      <c r="P490" s="10"/>
    </row>
    <row r="491" ht="18" customHeight="1" spans="1:16">
      <c r="A491" s="32" t="str">
        <f t="shared" si="28"/>
        <v/>
      </c>
      <c r="B491" s="100" t="str">
        <f>IF($E491="","",INDEX(进销存对接!$C$4:$C$305,163))</f>
        <v/>
      </c>
      <c r="C491" s="26" t="str">
        <f t="shared" si="29"/>
        <v/>
      </c>
      <c r="D491" s="32" t="str">
        <f>IF($E491="","",INDEX(进销存对接!$D$4:$D$305,163)&amp;" "&amp;TEXT($B491,"YYYY年M月")&amp;" 自动结转")</f>
        <v/>
      </c>
      <c r="E491" s="26" t="str">
        <f>IF(INDEX(进销存对接!$M$4:$U$305,163,4)=0,"",INDEX(进销存对接!$M$4:$U$305,163,4))</f>
        <v/>
      </c>
      <c r="F491" s="25" t="str">
        <f>IF($E491="","",IFERROR(INDEX(科目表!$A$4:$A$81,MATCH($E491,科目表!$B$4:$B$81,0)),""))</f>
        <v/>
      </c>
      <c r="G491" s="26" t="str">
        <f>IF($E491="","",IFERROR(INDEX(科目表!$E$4:$E$81,MATCH($E491,科目表!$B$4:$B$81,0)),""))</f>
        <v/>
      </c>
      <c r="H491" s="27" t="str">
        <f>IF($E491="","",N(INDEX(进销存对接!$M$4:$U$305,163,5)))</f>
        <v/>
      </c>
      <c r="I491" s="27" t="str">
        <f>IF($E491="","",N(INDEX(进销存对接!$M$4:$U$305,163,6)))</f>
        <v/>
      </c>
      <c r="J491" s="26"/>
      <c r="K491" s="26" t="str">
        <f>IF($E491="","",INDEX(进销存对接!$D$4:$D$305,163))</f>
        <v/>
      </c>
      <c r="L491" s="32"/>
      <c r="M491" s="32"/>
      <c r="N491" s="26" t="str">
        <f t="shared" si="30"/>
        <v/>
      </c>
      <c r="O491" s="26" t="str">
        <f t="shared" si="31"/>
        <v/>
      </c>
      <c r="P491" s="10"/>
    </row>
    <row r="492" ht="18" customHeight="1" spans="1:16">
      <c r="A492" s="32" t="str">
        <f t="shared" si="28"/>
        <v/>
      </c>
      <c r="B492" s="100" t="str">
        <f>IF($E492="","",INDEX(进销存对接!$C$4:$C$305,163))</f>
        <v/>
      </c>
      <c r="C492" s="26" t="str">
        <f t="shared" si="29"/>
        <v/>
      </c>
      <c r="D492" s="32" t="str">
        <f>IF($E492="","",INDEX(进销存对接!$D$4:$D$305,163)&amp;" "&amp;TEXT($B492,"YYYY年M月")&amp;" 自动结转")</f>
        <v/>
      </c>
      <c r="E492" s="26" t="str">
        <f>IF(INDEX(进销存对接!$M$4:$U$305,163,7)=0,"",INDEX(进销存对接!$M$4:$U$305,163,7))</f>
        <v/>
      </c>
      <c r="F492" s="25" t="str">
        <f>IF($E492="","",IFERROR(INDEX(科目表!$A$4:$A$81,MATCH($E492,科目表!$B$4:$B$81,0)),""))</f>
        <v/>
      </c>
      <c r="G492" s="26" t="str">
        <f>IF($E492="","",IFERROR(INDEX(科目表!$E$4:$E$81,MATCH($E492,科目表!$B$4:$B$81,0)),""))</f>
        <v/>
      </c>
      <c r="H492" s="27" t="str">
        <f>IF($E492="","",N(INDEX(进销存对接!$M$4:$U$305,163,8)))</f>
        <v/>
      </c>
      <c r="I492" s="27" t="str">
        <f>IF($E492="","",N(INDEX(进销存对接!$M$4:$U$305,163,9)))</f>
        <v/>
      </c>
      <c r="J492" s="26"/>
      <c r="K492" s="26" t="str">
        <f>IF($E492="","",INDEX(进销存对接!$D$4:$D$305,163))</f>
        <v/>
      </c>
      <c r="L492" s="32"/>
      <c r="M492" s="32"/>
      <c r="N492" s="26" t="str">
        <f t="shared" si="30"/>
        <v/>
      </c>
      <c r="O492" s="26" t="str">
        <f t="shared" si="31"/>
        <v/>
      </c>
      <c r="P492" s="10"/>
    </row>
    <row r="493" ht="18" customHeight="1" spans="1:16">
      <c r="A493" s="32" t="str">
        <f t="shared" si="28"/>
        <v/>
      </c>
      <c r="B493" s="100" t="str">
        <f>IF($E493="","",INDEX(进销存对接!$C$4:$C$305,164))</f>
        <v/>
      </c>
      <c r="C493" s="26" t="str">
        <f t="shared" si="29"/>
        <v/>
      </c>
      <c r="D493" s="32" t="str">
        <f>IF($E493="","",INDEX(进销存对接!$D$4:$D$305,164)&amp;" "&amp;TEXT($B493,"YYYY年M月")&amp;" 自动结转")</f>
        <v/>
      </c>
      <c r="E493" s="26" t="str">
        <f>IF(INDEX(进销存对接!$M$4:$U$305,164,1)=0,"",INDEX(进销存对接!$M$4:$U$305,164,1))</f>
        <v/>
      </c>
      <c r="F493" s="25" t="str">
        <f>IF($E493="","",IFERROR(INDEX(科目表!$A$4:$A$81,MATCH($E493,科目表!$B$4:$B$81,0)),""))</f>
        <v/>
      </c>
      <c r="G493" s="26" t="str">
        <f>IF($E493="","",IFERROR(INDEX(科目表!$E$4:$E$81,MATCH($E493,科目表!$B$4:$B$81,0)),""))</f>
        <v/>
      </c>
      <c r="H493" s="27" t="str">
        <f>IF($E493="","",N(INDEX(进销存对接!$M$4:$U$305,164,2)))</f>
        <v/>
      </c>
      <c r="I493" s="27" t="str">
        <f>IF($E493="","",N(INDEX(进销存对接!$M$4:$U$305,164,3)))</f>
        <v/>
      </c>
      <c r="J493" s="26"/>
      <c r="K493" s="26" t="str">
        <f>IF($E493="","",INDEX(进销存对接!$D$4:$D$305,164))</f>
        <v/>
      </c>
      <c r="L493" s="32"/>
      <c r="M493" s="32"/>
      <c r="N493" s="26" t="str">
        <f t="shared" si="30"/>
        <v/>
      </c>
      <c r="O493" s="26" t="str">
        <f t="shared" si="31"/>
        <v/>
      </c>
      <c r="P493" s="10"/>
    </row>
    <row r="494" ht="18" customHeight="1" spans="1:16">
      <c r="A494" s="32" t="str">
        <f t="shared" si="28"/>
        <v/>
      </c>
      <c r="B494" s="100" t="str">
        <f>IF($E494="","",INDEX(进销存对接!$C$4:$C$305,164))</f>
        <v/>
      </c>
      <c r="C494" s="26" t="str">
        <f t="shared" si="29"/>
        <v/>
      </c>
      <c r="D494" s="32" t="str">
        <f>IF($E494="","",INDEX(进销存对接!$D$4:$D$305,164)&amp;" "&amp;TEXT($B494,"YYYY年M月")&amp;" 自动结转")</f>
        <v/>
      </c>
      <c r="E494" s="26" t="str">
        <f>IF(INDEX(进销存对接!$M$4:$U$305,164,4)=0,"",INDEX(进销存对接!$M$4:$U$305,164,4))</f>
        <v/>
      </c>
      <c r="F494" s="25" t="str">
        <f>IF($E494="","",IFERROR(INDEX(科目表!$A$4:$A$81,MATCH($E494,科目表!$B$4:$B$81,0)),""))</f>
        <v/>
      </c>
      <c r="G494" s="26" t="str">
        <f>IF($E494="","",IFERROR(INDEX(科目表!$E$4:$E$81,MATCH($E494,科目表!$B$4:$B$81,0)),""))</f>
        <v/>
      </c>
      <c r="H494" s="27" t="str">
        <f>IF($E494="","",N(INDEX(进销存对接!$M$4:$U$305,164,5)))</f>
        <v/>
      </c>
      <c r="I494" s="27" t="str">
        <f>IF($E494="","",N(INDEX(进销存对接!$M$4:$U$305,164,6)))</f>
        <v/>
      </c>
      <c r="J494" s="26"/>
      <c r="K494" s="26" t="str">
        <f>IF($E494="","",INDEX(进销存对接!$D$4:$D$305,164))</f>
        <v/>
      </c>
      <c r="L494" s="32"/>
      <c r="M494" s="32"/>
      <c r="N494" s="26" t="str">
        <f t="shared" si="30"/>
        <v/>
      </c>
      <c r="O494" s="26" t="str">
        <f t="shared" si="31"/>
        <v/>
      </c>
      <c r="P494" s="10"/>
    </row>
    <row r="495" ht="18" customHeight="1" spans="1:16">
      <c r="A495" s="32" t="str">
        <f t="shared" si="28"/>
        <v/>
      </c>
      <c r="B495" s="100" t="str">
        <f>IF($E495="","",INDEX(进销存对接!$C$4:$C$305,164))</f>
        <v/>
      </c>
      <c r="C495" s="26" t="str">
        <f t="shared" si="29"/>
        <v/>
      </c>
      <c r="D495" s="32" t="str">
        <f>IF($E495="","",INDEX(进销存对接!$D$4:$D$305,164)&amp;" "&amp;TEXT($B495,"YYYY年M月")&amp;" 自动结转")</f>
        <v/>
      </c>
      <c r="E495" s="26" t="str">
        <f>IF(INDEX(进销存对接!$M$4:$U$305,164,7)=0,"",INDEX(进销存对接!$M$4:$U$305,164,7))</f>
        <v/>
      </c>
      <c r="F495" s="25" t="str">
        <f>IF($E495="","",IFERROR(INDEX(科目表!$A$4:$A$81,MATCH($E495,科目表!$B$4:$B$81,0)),""))</f>
        <v/>
      </c>
      <c r="G495" s="26" t="str">
        <f>IF($E495="","",IFERROR(INDEX(科目表!$E$4:$E$81,MATCH($E495,科目表!$B$4:$B$81,0)),""))</f>
        <v/>
      </c>
      <c r="H495" s="27" t="str">
        <f>IF($E495="","",N(INDEX(进销存对接!$M$4:$U$305,164,8)))</f>
        <v/>
      </c>
      <c r="I495" s="27" t="str">
        <f>IF($E495="","",N(INDEX(进销存对接!$M$4:$U$305,164,9)))</f>
        <v/>
      </c>
      <c r="J495" s="26"/>
      <c r="K495" s="26" t="str">
        <f>IF($E495="","",INDEX(进销存对接!$D$4:$D$305,164))</f>
        <v/>
      </c>
      <c r="L495" s="32"/>
      <c r="M495" s="32"/>
      <c r="N495" s="26" t="str">
        <f t="shared" si="30"/>
        <v/>
      </c>
      <c r="O495" s="26" t="str">
        <f t="shared" si="31"/>
        <v/>
      </c>
      <c r="P495" s="10"/>
    </row>
    <row r="496" ht="18" customHeight="1" spans="1:16">
      <c r="A496" s="32" t="str">
        <f t="shared" si="28"/>
        <v/>
      </c>
      <c r="B496" s="100" t="str">
        <f>IF($E496="","",INDEX(进销存对接!$C$4:$C$305,165))</f>
        <v/>
      </c>
      <c r="C496" s="26" t="str">
        <f t="shared" si="29"/>
        <v/>
      </c>
      <c r="D496" s="32" t="str">
        <f>IF($E496="","",INDEX(进销存对接!$D$4:$D$305,165)&amp;" "&amp;TEXT($B496,"YYYY年M月")&amp;" 自动结转")</f>
        <v/>
      </c>
      <c r="E496" s="26" t="str">
        <f>IF(INDEX(进销存对接!$M$4:$U$305,165,1)=0,"",INDEX(进销存对接!$M$4:$U$305,165,1))</f>
        <v/>
      </c>
      <c r="F496" s="25" t="str">
        <f>IF($E496="","",IFERROR(INDEX(科目表!$A$4:$A$81,MATCH($E496,科目表!$B$4:$B$81,0)),""))</f>
        <v/>
      </c>
      <c r="G496" s="26" t="str">
        <f>IF($E496="","",IFERROR(INDEX(科目表!$E$4:$E$81,MATCH($E496,科目表!$B$4:$B$81,0)),""))</f>
        <v/>
      </c>
      <c r="H496" s="27" t="str">
        <f>IF($E496="","",N(INDEX(进销存对接!$M$4:$U$305,165,2)))</f>
        <v/>
      </c>
      <c r="I496" s="27" t="str">
        <f>IF($E496="","",N(INDEX(进销存对接!$M$4:$U$305,165,3)))</f>
        <v/>
      </c>
      <c r="J496" s="26"/>
      <c r="K496" s="26" t="str">
        <f>IF($E496="","",INDEX(进销存对接!$D$4:$D$305,165))</f>
        <v/>
      </c>
      <c r="L496" s="32"/>
      <c r="M496" s="32"/>
      <c r="N496" s="26" t="str">
        <f t="shared" si="30"/>
        <v/>
      </c>
      <c r="O496" s="26" t="str">
        <f t="shared" si="31"/>
        <v/>
      </c>
      <c r="P496" s="10"/>
    </row>
    <row r="497" ht="18" customHeight="1" spans="1:16">
      <c r="A497" s="32" t="str">
        <f t="shared" si="28"/>
        <v/>
      </c>
      <c r="B497" s="100" t="str">
        <f>IF($E497="","",INDEX(进销存对接!$C$4:$C$305,165))</f>
        <v/>
      </c>
      <c r="C497" s="26" t="str">
        <f t="shared" si="29"/>
        <v/>
      </c>
      <c r="D497" s="32" t="str">
        <f>IF($E497="","",INDEX(进销存对接!$D$4:$D$305,165)&amp;" "&amp;TEXT($B497,"YYYY年M月")&amp;" 自动结转")</f>
        <v/>
      </c>
      <c r="E497" s="26" t="str">
        <f>IF(INDEX(进销存对接!$M$4:$U$305,165,4)=0,"",INDEX(进销存对接!$M$4:$U$305,165,4))</f>
        <v/>
      </c>
      <c r="F497" s="25" t="str">
        <f>IF($E497="","",IFERROR(INDEX(科目表!$A$4:$A$81,MATCH($E497,科目表!$B$4:$B$81,0)),""))</f>
        <v/>
      </c>
      <c r="G497" s="26" t="str">
        <f>IF($E497="","",IFERROR(INDEX(科目表!$E$4:$E$81,MATCH($E497,科目表!$B$4:$B$81,0)),""))</f>
        <v/>
      </c>
      <c r="H497" s="27" t="str">
        <f>IF($E497="","",N(INDEX(进销存对接!$M$4:$U$305,165,5)))</f>
        <v/>
      </c>
      <c r="I497" s="27" t="str">
        <f>IF($E497="","",N(INDEX(进销存对接!$M$4:$U$305,165,6)))</f>
        <v/>
      </c>
      <c r="J497" s="26"/>
      <c r="K497" s="26" t="str">
        <f>IF($E497="","",INDEX(进销存对接!$D$4:$D$305,165))</f>
        <v/>
      </c>
      <c r="L497" s="32"/>
      <c r="M497" s="32"/>
      <c r="N497" s="26" t="str">
        <f t="shared" si="30"/>
        <v/>
      </c>
      <c r="O497" s="26" t="str">
        <f t="shared" si="31"/>
        <v/>
      </c>
      <c r="P497" s="10"/>
    </row>
    <row r="498" ht="18" customHeight="1" spans="1:16">
      <c r="A498" s="32" t="str">
        <f t="shared" si="28"/>
        <v/>
      </c>
      <c r="B498" s="100" t="str">
        <f>IF($E498="","",INDEX(进销存对接!$C$4:$C$305,165))</f>
        <v/>
      </c>
      <c r="C498" s="26" t="str">
        <f t="shared" si="29"/>
        <v/>
      </c>
      <c r="D498" s="32" t="str">
        <f>IF($E498="","",INDEX(进销存对接!$D$4:$D$305,165)&amp;" "&amp;TEXT($B498,"YYYY年M月")&amp;" 自动结转")</f>
        <v/>
      </c>
      <c r="E498" s="26" t="str">
        <f>IF(INDEX(进销存对接!$M$4:$U$305,165,7)=0,"",INDEX(进销存对接!$M$4:$U$305,165,7))</f>
        <v/>
      </c>
      <c r="F498" s="25" t="str">
        <f>IF($E498="","",IFERROR(INDEX(科目表!$A$4:$A$81,MATCH($E498,科目表!$B$4:$B$81,0)),""))</f>
        <v/>
      </c>
      <c r="G498" s="26" t="str">
        <f>IF($E498="","",IFERROR(INDEX(科目表!$E$4:$E$81,MATCH($E498,科目表!$B$4:$B$81,0)),""))</f>
        <v/>
      </c>
      <c r="H498" s="27" t="str">
        <f>IF($E498="","",N(INDEX(进销存对接!$M$4:$U$305,165,8)))</f>
        <v/>
      </c>
      <c r="I498" s="27" t="str">
        <f>IF($E498="","",N(INDEX(进销存对接!$M$4:$U$305,165,9)))</f>
        <v/>
      </c>
      <c r="J498" s="26"/>
      <c r="K498" s="26" t="str">
        <f>IF($E498="","",INDEX(进销存对接!$D$4:$D$305,165))</f>
        <v/>
      </c>
      <c r="L498" s="32"/>
      <c r="M498" s="32"/>
      <c r="N498" s="26" t="str">
        <f t="shared" si="30"/>
        <v/>
      </c>
      <c r="O498" s="26" t="str">
        <f t="shared" si="31"/>
        <v/>
      </c>
      <c r="P498" s="10"/>
    </row>
    <row r="499" ht="18" customHeight="1" spans="1:16">
      <c r="A499" s="32" t="str">
        <f t="shared" si="28"/>
        <v/>
      </c>
      <c r="B499" s="100" t="str">
        <f>IF($E499="","",INDEX(进销存对接!$C$4:$C$305,166))</f>
        <v/>
      </c>
      <c r="C499" s="26" t="str">
        <f t="shared" si="29"/>
        <v/>
      </c>
      <c r="D499" s="32" t="str">
        <f>IF($E499="","",INDEX(进销存对接!$D$4:$D$305,166)&amp;" "&amp;TEXT($B499,"YYYY年M月")&amp;" 自动结转")</f>
        <v/>
      </c>
      <c r="E499" s="26" t="str">
        <f>IF(INDEX(进销存对接!$M$4:$U$305,166,1)=0,"",INDEX(进销存对接!$M$4:$U$305,166,1))</f>
        <v/>
      </c>
      <c r="F499" s="25" t="str">
        <f>IF($E499="","",IFERROR(INDEX(科目表!$A$4:$A$81,MATCH($E499,科目表!$B$4:$B$81,0)),""))</f>
        <v/>
      </c>
      <c r="G499" s="26" t="str">
        <f>IF($E499="","",IFERROR(INDEX(科目表!$E$4:$E$81,MATCH($E499,科目表!$B$4:$B$81,0)),""))</f>
        <v/>
      </c>
      <c r="H499" s="27" t="str">
        <f>IF($E499="","",N(INDEX(进销存对接!$M$4:$U$305,166,2)))</f>
        <v/>
      </c>
      <c r="I499" s="27" t="str">
        <f>IF($E499="","",N(INDEX(进销存对接!$M$4:$U$305,166,3)))</f>
        <v/>
      </c>
      <c r="J499" s="26"/>
      <c r="K499" s="26" t="str">
        <f>IF($E499="","",INDEX(进销存对接!$D$4:$D$305,166))</f>
        <v/>
      </c>
      <c r="L499" s="32"/>
      <c r="M499" s="32"/>
      <c r="N499" s="26" t="str">
        <f t="shared" si="30"/>
        <v/>
      </c>
      <c r="O499" s="26" t="str">
        <f t="shared" si="31"/>
        <v/>
      </c>
      <c r="P499" s="10"/>
    </row>
    <row r="500" ht="18" customHeight="1" spans="1:16">
      <c r="A500" s="32" t="str">
        <f t="shared" si="28"/>
        <v/>
      </c>
      <c r="B500" s="100" t="str">
        <f>IF($E500="","",INDEX(进销存对接!$C$4:$C$305,166))</f>
        <v/>
      </c>
      <c r="C500" s="26" t="str">
        <f t="shared" si="29"/>
        <v/>
      </c>
      <c r="D500" s="32" t="str">
        <f>IF($E500="","",INDEX(进销存对接!$D$4:$D$305,166)&amp;" "&amp;TEXT($B500,"YYYY年M月")&amp;" 自动结转")</f>
        <v/>
      </c>
      <c r="E500" s="26" t="str">
        <f>IF(INDEX(进销存对接!$M$4:$U$305,166,4)=0,"",INDEX(进销存对接!$M$4:$U$305,166,4))</f>
        <v/>
      </c>
      <c r="F500" s="25" t="str">
        <f>IF($E500="","",IFERROR(INDEX(科目表!$A$4:$A$81,MATCH($E500,科目表!$B$4:$B$81,0)),""))</f>
        <v/>
      </c>
      <c r="G500" s="26" t="str">
        <f>IF($E500="","",IFERROR(INDEX(科目表!$E$4:$E$81,MATCH($E500,科目表!$B$4:$B$81,0)),""))</f>
        <v/>
      </c>
      <c r="H500" s="27" t="str">
        <f>IF($E500="","",N(INDEX(进销存对接!$M$4:$U$305,166,5)))</f>
        <v/>
      </c>
      <c r="I500" s="27" t="str">
        <f>IF($E500="","",N(INDEX(进销存对接!$M$4:$U$305,166,6)))</f>
        <v/>
      </c>
      <c r="J500" s="26"/>
      <c r="K500" s="26" t="str">
        <f>IF($E500="","",INDEX(进销存对接!$D$4:$D$305,166))</f>
        <v/>
      </c>
      <c r="L500" s="32"/>
      <c r="M500" s="32"/>
      <c r="N500" s="26" t="str">
        <f t="shared" si="30"/>
        <v/>
      </c>
      <c r="O500" s="26" t="str">
        <f t="shared" si="31"/>
        <v/>
      </c>
      <c r="P500" s="10"/>
    </row>
    <row r="501" ht="18" customHeight="1" spans="1:16">
      <c r="A501" s="32" t="str">
        <f t="shared" si="28"/>
        <v/>
      </c>
      <c r="B501" s="100" t="str">
        <f>IF($E501="","",INDEX(进销存对接!$C$4:$C$305,166))</f>
        <v/>
      </c>
      <c r="C501" s="26" t="str">
        <f t="shared" si="29"/>
        <v/>
      </c>
      <c r="D501" s="32" t="str">
        <f>IF($E501="","",INDEX(进销存对接!$D$4:$D$305,166)&amp;" "&amp;TEXT($B501,"YYYY年M月")&amp;" 自动结转")</f>
        <v/>
      </c>
      <c r="E501" s="26" t="str">
        <f>IF(INDEX(进销存对接!$M$4:$U$305,166,7)=0,"",INDEX(进销存对接!$M$4:$U$305,166,7))</f>
        <v/>
      </c>
      <c r="F501" s="25" t="str">
        <f>IF($E501="","",IFERROR(INDEX(科目表!$A$4:$A$81,MATCH($E501,科目表!$B$4:$B$81,0)),""))</f>
        <v/>
      </c>
      <c r="G501" s="26" t="str">
        <f>IF($E501="","",IFERROR(INDEX(科目表!$E$4:$E$81,MATCH($E501,科目表!$B$4:$B$81,0)),""))</f>
        <v/>
      </c>
      <c r="H501" s="27" t="str">
        <f>IF($E501="","",N(INDEX(进销存对接!$M$4:$U$305,166,8)))</f>
        <v/>
      </c>
      <c r="I501" s="27" t="str">
        <f>IF($E501="","",N(INDEX(进销存对接!$M$4:$U$305,166,9)))</f>
        <v/>
      </c>
      <c r="J501" s="26"/>
      <c r="K501" s="26" t="str">
        <f>IF($E501="","",INDEX(进销存对接!$D$4:$D$305,166))</f>
        <v/>
      </c>
      <c r="L501" s="32"/>
      <c r="M501" s="32"/>
      <c r="N501" s="26" t="str">
        <f t="shared" si="30"/>
        <v/>
      </c>
      <c r="O501" s="26" t="str">
        <f t="shared" si="31"/>
        <v/>
      </c>
      <c r="P501" s="10"/>
    </row>
    <row r="502" ht="18" customHeight="1" spans="1:16">
      <c r="A502" s="32" t="str">
        <f t="shared" si="28"/>
        <v/>
      </c>
      <c r="B502" s="100" t="str">
        <f>IF($E502="","",INDEX(进销存对接!$C$4:$C$305,167))</f>
        <v/>
      </c>
      <c r="C502" s="26" t="str">
        <f t="shared" si="29"/>
        <v/>
      </c>
      <c r="D502" s="32" t="str">
        <f>IF($E502="","",INDEX(进销存对接!$D$4:$D$305,167)&amp;" "&amp;TEXT($B502,"YYYY年M月")&amp;" 自动结转")</f>
        <v/>
      </c>
      <c r="E502" s="26" t="str">
        <f>IF(INDEX(进销存对接!$M$4:$U$305,167,1)=0,"",INDEX(进销存对接!$M$4:$U$305,167,1))</f>
        <v/>
      </c>
      <c r="F502" s="25" t="str">
        <f>IF($E502="","",IFERROR(INDEX(科目表!$A$4:$A$81,MATCH($E502,科目表!$B$4:$B$81,0)),""))</f>
        <v/>
      </c>
      <c r="G502" s="26" t="str">
        <f>IF($E502="","",IFERROR(INDEX(科目表!$E$4:$E$81,MATCH($E502,科目表!$B$4:$B$81,0)),""))</f>
        <v/>
      </c>
      <c r="H502" s="27" t="str">
        <f>IF($E502="","",N(INDEX(进销存对接!$M$4:$U$305,167,2)))</f>
        <v/>
      </c>
      <c r="I502" s="27" t="str">
        <f>IF($E502="","",N(INDEX(进销存对接!$M$4:$U$305,167,3)))</f>
        <v/>
      </c>
      <c r="J502" s="26"/>
      <c r="K502" s="26" t="str">
        <f>IF($E502="","",INDEX(进销存对接!$D$4:$D$305,167))</f>
        <v/>
      </c>
      <c r="L502" s="32"/>
      <c r="M502" s="32"/>
      <c r="N502" s="26" t="str">
        <f t="shared" si="30"/>
        <v/>
      </c>
      <c r="O502" s="26" t="str">
        <f t="shared" si="31"/>
        <v/>
      </c>
      <c r="P502" s="10"/>
    </row>
    <row r="503" ht="18" customHeight="1" spans="1:16">
      <c r="A503" s="32" t="str">
        <f t="shared" si="28"/>
        <v/>
      </c>
      <c r="B503" s="100" t="str">
        <f>IF($E503="","",INDEX(进销存对接!$C$4:$C$305,167))</f>
        <v/>
      </c>
      <c r="C503" s="26" t="str">
        <f t="shared" si="29"/>
        <v/>
      </c>
      <c r="D503" s="32" t="str">
        <f>IF($E503="","",INDEX(进销存对接!$D$4:$D$305,167)&amp;" "&amp;TEXT($B503,"YYYY年M月")&amp;" 自动结转")</f>
        <v/>
      </c>
      <c r="E503" s="26" t="str">
        <f>IF(INDEX(进销存对接!$M$4:$U$305,167,4)=0,"",INDEX(进销存对接!$M$4:$U$305,167,4))</f>
        <v/>
      </c>
      <c r="F503" s="25" t="str">
        <f>IF($E503="","",IFERROR(INDEX(科目表!$A$4:$A$81,MATCH($E503,科目表!$B$4:$B$81,0)),""))</f>
        <v/>
      </c>
      <c r="G503" s="26" t="str">
        <f>IF($E503="","",IFERROR(INDEX(科目表!$E$4:$E$81,MATCH($E503,科目表!$B$4:$B$81,0)),""))</f>
        <v/>
      </c>
      <c r="H503" s="27" t="str">
        <f>IF($E503="","",N(INDEX(进销存对接!$M$4:$U$305,167,5)))</f>
        <v/>
      </c>
      <c r="I503" s="27" t="str">
        <f>IF($E503="","",N(INDEX(进销存对接!$M$4:$U$305,167,6)))</f>
        <v/>
      </c>
      <c r="J503" s="26"/>
      <c r="K503" s="26" t="str">
        <f>IF($E503="","",INDEX(进销存对接!$D$4:$D$305,167))</f>
        <v/>
      </c>
      <c r="L503" s="32"/>
      <c r="M503" s="32"/>
      <c r="N503" s="26" t="str">
        <f t="shared" si="30"/>
        <v/>
      </c>
      <c r="O503" s="26" t="str">
        <f t="shared" si="31"/>
        <v/>
      </c>
      <c r="P503" s="10"/>
    </row>
    <row r="504" ht="18" customHeight="1" spans="1:16">
      <c r="A504" s="32" t="str">
        <f t="shared" si="28"/>
        <v/>
      </c>
      <c r="B504" s="100" t="str">
        <f>IF($E504="","",INDEX(进销存对接!$C$4:$C$305,167))</f>
        <v/>
      </c>
      <c r="C504" s="26" t="str">
        <f t="shared" si="29"/>
        <v/>
      </c>
      <c r="D504" s="32" t="str">
        <f>IF($E504="","",INDEX(进销存对接!$D$4:$D$305,167)&amp;" "&amp;TEXT($B504,"YYYY年M月")&amp;" 自动结转")</f>
        <v/>
      </c>
      <c r="E504" s="26" t="str">
        <f>IF(INDEX(进销存对接!$M$4:$U$305,167,7)=0,"",INDEX(进销存对接!$M$4:$U$305,167,7))</f>
        <v/>
      </c>
      <c r="F504" s="25" t="str">
        <f>IF($E504="","",IFERROR(INDEX(科目表!$A$4:$A$81,MATCH($E504,科目表!$B$4:$B$81,0)),""))</f>
        <v/>
      </c>
      <c r="G504" s="26" t="str">
        <f>IF($E504="","",IFERROR(INDEX(科目表!$E$4:$E$81,MATCH($E504,科目表!$B$4:$B$81,0)),""))</f>
        <v/>
      </c>
      <c r="H504" s="27" t="str">
        <f>IF($E504="","",N(INDEX(进销存对接!$M$4:$U$305,167,8)))</f>
        <v/>
      </c>
      <c r="I504" s="27" t="str">
        <f>IF($E504="","",N(INDEX(进销存对接!$M$4:$U$305,167,9)))</f>
        <v/>
      </c>
      <c r="J504" s="26"/>
      <c r="K504" s="26" t="str">
        <f>IF($E504="","",INDEX(进销存对接!$D$4:$D$305,167))</f>
        <v/>
      </c>
      <c r="L504" s="32"/>
      <c r="M504" s="32"/>
      <c r="N504" s="26" t="str">
        <f t="shared" si="30"/>
        <v/>
      </c>
      <c r="O504" s="26" t="str">
        <f t="shared" si="31"/>
        <v/>
      </c>
      <c r="P504" s="10"/>
    </row>
    <row r="505" ht="18" customHeight="1" spans="1:16">
      <c r="A505" s="32" t="str">
        <f t="shared" si="28"/>
        <v/>
      </c>
      <c r="B505" s="100" t="str">
        <f>IF($E505="","",INDEX(进销存对接!$C$4:$C$305,168))</f>
        <v/>
      </c>
      <c r="C505" s="26" t="str">
        <f t="shared" si="29"/>
        <v/>
      </c>
      <c r="D505" s="32" t="str">
        <f>IF($E505="","",INDEX(进销存对接!$D$4:$D$305,168)&amp;" "&amp;TEXT($B505,"YYYY年M月")&amp;" 自动结转")</f>
        <v/>
      </c>
      <c r="E505" s="26" t="str">
        <f>IF(INDEX(进销存对接!$M$4:$U$305,168,1)=0,"",INDEX(进销存对接!$M$4:$U$305,168,1))</f>
        <v/>
      </c>
      <c r="F505" s="25" t="str">
        <f>IF($E505="","",IFERROR(INDEX(科目表!$A$4:$A$81,MATCH($E505,科目表!$B$4:$B$81,0)),""))</f>
        <v/>
      </c>
      <c r="G505" s="26" t="str">
        <f>IF($E505="","",IFERROR(INDEX(科目表!$E$4:$E$81,MATCH($E505,科目表!$B$4:$B$81,0)),""))</f>
        <v/>
      </c>
      <c r="H505" s="27" t="str">
        <f>IF($E505="","",N(INDEX(进销存对接!$M$4:$U$305,168,2)))</f>
        <v/>
      </c>
      <c r="I505" s="27" t="str">
        <f>IF($E505="","",N(INDEX(进销存对接!$M$4:$U$305,168,3)))</f>
        <v/>
      </c>
      <c r="J505" s="26"/>
      <c r="K505" s="26" t="str">
        <f>IF($E505="","",INDEX(进销存对接!$D$4:$D$305,168))</f>
        <v/>
      </c>
      <c r="L505" s="32"/>
      <c r="M505" s="32"/>
      <c r="N505" s="26" t="str">
        <f t="shared" si="30"/>
        <v/>
      </c>
      <c r="O505" s="26" t="str">
        <f t="shared" si="31"/>
        <v/>
      </c>
      <c r="P505" s="10"/>
    </row>
    <row r="506" ht="18" customHeight="1" spans="1:16">
      <c r="A506" s="32" t="str">
        <f t="shared" si="28"/>
        <v/>
      </c>
      <c r="B506" s="100" t="str">
        <f>IF($E506="","",INDEX(进销存对接!$C$4:$C$305,168))</f>
        <v/>
      </c>
      <c r="C506" s="26" t="str">
        <f t="shared" si="29"/>
        <v/>
      </c>
      <c r="D506" s="32" t="str">
        <f>IF($E506="","",INDEX(进销存对接!$D$4:$D$305,168)&amp;" "&amp;TEXT($B506,"YYYY年M月")&amp;" 自动结转")</f>
        <v/>
      </c>
      <c r="E506" s="26" t="str">
        <f>IF(INDEX(进销存对接!$M$4:$U$305,168,4)=0,"",INDEX(进销存对接!$M$4:$U$305,168,4))</f>
        <v/>
      </c>
      <c r="F506" s="25" t="str">
        <f>IF($E506="","",IFERROR(INDEX(科目表!$A$4:$A$81,MATCH($E506,科目表!$B$4:$B$81,0)),""))</f>
        <v/>
      </c>
      <c r="G506" s="26" t="str">
        <f>IF($E506="","",IFERROR(INDEX(科目表!$E$4:$E$81,MATCH($E506,科目表!$B$4:$B$81,0)),""))</f>
        <v/>
      </c>
      <c r="H506" s="27" t="str">
        <f>IF($E506="","",N(INDEX(进销存对接!$M$4:$U$305,168,5)))</f>
        <v/>
      </c>
      <c r="I506" s="27" t="str">
        <f>IF($E506="","",N(INDEX(进销存对接!$M$4:$U$305,168,6)))</f>
        <v/>
      </c>
      <c r="J506" s="26"/>
      <c r="K506" s="26" t="str">
        <f>IF($E506="","",INDEX(进销存对接!$D$4:$D$305,168))</f>
        <v/>
      </c>
      <c r="L506" s="32"/>
      <c r="M506" s="32"/>
      <c r="N506" s="26" t="str">
        <f t="shared" si="30"/>
        <v/>
      </c>
      <c r="O506" s="26" t="str">
        <f t="shared" si="31"/>
        <v/>
      </c>
      <c r="P506" s="10"/>
    </row>
    <row r="507" ht="18" customHeight="1" spans="1:16">
      <c r="A507" s="32" t="str">
        <f t="shared" si="28"/>
        <v/>
      </c>
      <c r="B507" s="100" t="str">
        <f>IF($E507="","",INDEX(进销存对接!$C$4:$C$305,168))</f>
        <v/>
      </c>
      <c r="C507" s="26" t="str">
        <f t="shared" si="29"/>
        <v/>
      </c>
      <c r="D507" s="32" t="str">
        <f>IF($E507="","",INDEX(进销存对接!$D$4:$D$305,168)&amp;" "&amp;TEXT($B507,"YYYY年M月")&amp;" 自动结转")</f>
        <v/>
      </c>
      <c r="E507" s="26" t="str">
        <f>IF(INDEX(进销存对接!$M$4:$U$305,168,7)=0,"",INDEX(进销存对接!$M$4:$U$305,168,7))</f>
        <v/>
      </c>
      <c r="F507" s="25" t="str">
        <f>IF($E507="","",IFERROR(INDEX(科目表!$A$4:$A$81,MATCH($E507,科目表!$B$4:$B$81,0)),""))</f>
        <v/>
      </c>
      <c r="G507" s="26" t="str">
        <f>IF($E507="","",IFERROR(INDEX(科目表!$E$4:$E$81,MATCH($E507,科目表!$B$4:$B$81,0)),""))</f>
        <v/>
      </c>
      <c r="H507" s="27" t="str">
        <f>IF($E507="","",N(INDEX(进销存对接!$M$4:$U$305,168,8)))</f>
        <v/>
      </c>
      <c r="I507" s="27" t="str">
        <f>IF($E507="","",N(INDEX(进销存对接!$M$4:$U$305,168,9)))</f>
        <v/>
      </c>
      <c r="J507" s="26"/>
      <c r="K507" s="26" t="str">
        <f>IF($E507="","",INDEX(进销存对接!$D$4:$D$305,168))</f>
        <v/>
      </c>
      <c r="L507" s="32"/>
      <c r="M507" s="32"/>
      <c r="N507" s="26" t="str">
        <f t="shared" si="30"/>
        <v/>
      </c>
      <c r="O507" s="26" t="str">
        <f t="shared" si="31"/>
        <v/>
      </c>
      <c r="P507" s="10"/>
    </row>
    <row r="508" ht="18" customHeight="1" spans="1:16">
      <c r="A508" s="32" t="str">
        <f t="shared" si="28"/>
        <v/>
      </c>
      <c r="B508" s="100" t="str">
        <f>IF($E508="","",INDEX(进销存对接!$C$4:$C$305,169))</f>
        <v/>
      </c>
      <c r="C508" s="26" t="str">
        <f t="shared" si="29"/>
        <v/>
      </c>
      <c r="D508" s="32" t="str">
        <f>IF($E508="","",INDEX(进销存对接!$D$4:$D$305,169)&amp;" "&amp;TEXT($B508,"YYYY年M月")&amp;" 自动结转")</f>
        <v/>
      </c>
      <c r="E508" s="26" t="str">
        <f>IF(INDEX(进销存对接!$M$4:$U$305,169,1)=0,"",INDEX(进销存对接!$M$4:$U$305,169,1))</f>
        <v/>
      </c>
      <c r="F508" s="25" t="str">
        <f>IF($E508="","",IFERROR(INDEX(科目表!$A$4:$A$81,MATCH($E508,科目表!$B$4:$B$81,0)),""))</f>
        <v/>
      </c>
      <c r="G508" s="26" t="str">
        <f>IF($E508="","",IFERROR(INDEX(科目表!$E$4:$E$81,MATCH($E508,科目表!$B$4:$B$81,0)),""))</f>
        <v/>
      </c>
      <c r="H508" s="27" t="str">
        <f>IF($E508="","",N(INDEX(进销存对接!$M$4:$U$305,169,2)))</f>
        <v/>
      </c>
      <c r="I508" s="27" t="str">
        <f>IF($E508="","",N(INDEX(进销存对接!$M$4:$U$305,169,3)))</f>
        <v/>
      </c>
      <c r="J508" s="26"/>
      <c r="K508" s="26" t="str">
        <f>IF($E508="","",INDEX(进销存对接!$D$4:$D$305,169))</f>
        <v/>
      </c>
      <c r="L508" s="32"/>
      <c r="M508" s="32"/>
      <c r="N508" s="26" t="str">
        <f t="shared" si="30"/>
        <v/>
      </c>
      <c r="O508" s="26" t="str">
        <f t="shared" si="31"/>
        <v/>
      </c>
      <c r="P508" s="10"/>
    </row>
    <row r="509" ht="18" customHeight="1" spans="1:16">
      <c r="A509" s="32" t="str">
        <f t="shared" si="28"/>
        <v/>
      </c>
      <c r="B509" s="100" t="str">
        <f>IF($E509="","",INDEX(进销存对接!$C$4:$C$305,169))</f>
        <v/>
      </c>
      <c r="C509" s="26" t="str">
        <f t="shared" si="29"/>
        <v/>
      </c>
      <c r="D509" s="32" t="str">
        <f>IF($E509="","",INDEX(进销存对接!$D$4:$D$305,169)&amp;" "&amp;TEXT($B509,"YYYY年M月")&amp;" 自动结转")</f>
        <v/>
      </c>
      <c r="E509" s="26" t="str">
        <f>IF(INDEX(进销存对接!$M$4:$U$305,169,4)=0,"",INDEX(进销存对接!$M$4:$U$305,169,4))</f>
        <v/>
      </c>
      <c r="F509" s="25" t="str">
        <f>IF($E509="","",IFERROR(INDEX(科目表!$A$4:$A$81,MATCH($E509,科目表!$B$4:$B$81,0)),""))</f>
        <v/>
      </c>
      <c r="G509" s="26" t="str">
        <f>IF($E509="","",IFERROR(INDEX(科目表!$E$4:$E$81,MATCH($E509,科目表!$B$4:$B$81,0)),""))</f>
        <v/>
      </c>
      <c r="H509" s="27" t="str">
        <f>IF($E509="","",N(INDEX(进销存对接!$M$4:$U$305,169,5)))</f>
        <v/>
      </c>
      <c r="I509" s="27" t="str">
        <f>IF($E509="","",N(INDEX(进销存对接!$M$4:$U$305,169,6)))</f>
        <v/>
      </c>
      <c r="J509" s="26"/>
      <c r="K509" s="26" t="str">
        <f>IF($E509="","",INDEX(进销存对接!$D$4:$D$305,169))</f>
        <v/>
      </c>
      <c r="L509" s="32"/>
      <c r="M509" s="32"/>
      <c r="N509" s="26" t="str">
        <f t="shared" si="30"/>
        <v/>
      </c>
      <c r="O509" s="26" t="str">
        <f t="shared" si="31"/>
        <v/>
      </c>
      <c r="P509" s="10"/>
    </row>
    <row r="510" ht="18" customHeight="1" spans="1:16">
      <c r="A510" s="32" t="str">
        <f t="shared" si="28"/>
        <v/>
      </c>
      <c r="B510" s="100" t="str">
        <f>IF($E510="","",INDEX(进销存对接!$C$4:$C$305,169))</f>
        <v/>
      </c>
      <c r="C510" s="26" t="str">
        <f t="shared" si="29"/>
        <v/>
      </c>
      <c r="D510" s="32" t="str">
        <f>IF($E510="","",INDEX(进销存对接!$D$4:$D$305,169)&amp;" "&amp;TEXT($B510,"YYYY年M月")&amp;" 自动结转")</f>
        <v/>
      </c>
      <c r="E510" s="26" t="str">
        <f>IF(INDEX(进销存对接!$M$4:$U$305,169,7)=0,"",INDEX(进销存对接!$M$4:$U$305,169,7))</f>
        <v/>
      </c>
      <c r="F510" s="25" t="str">
        <f>IF($E510="","",IFERROR(INDEX(科目表!$A$4:$A$81,MATCH($E510,科目表!$B$4:$B$81,0)),""))</f>
        <v/>
      </c>
      <c r="G510" s="26" t="str">
        <f>IF($E510="","",IFERROR(INDEX(科目表!$E$4:$E$81,MATCH($E510,科目表!$B$4:$B$81,0)),""))</f>
        <v/>
      </c>
      <c r="H510" s="27" t="str">
        <f>IF($E510="","",N(INDEX(进销存对接!$M$4:$U$305,169,8)))</f>
        <v/>
      </c>
      <c r="I510" s="27" t="str">
        <f>IF($E510="","",N(INDEX(进销存对接!$M$4:$U$305,169,9)))</f>
        <v/>
      </c>
      <c r="J510" s="26"/>
      <c r="K510" s="26" t="str">
        <f>IF($E510="","",INDEX(进销存对接!$D$4:$D$305,169))</f>
        <v/>
      </c>
      <c r="L510" s="32"/>
      <c r="M510" s="32"/>
      <c r="N510" s="26" t="str">
        <f t="shared" si="30"/>
        <v/>
      </c>
      <c r="O510" s="26" t="str">
        <f t="shared" si="31"/>
        <v/>
      </c>
      <c r="P510" s="10"/>
    </row>
    <row r="511" ht="18" customHeight="1" spans="1:16">
      <c r="A511" s="32" t="str">
        <f t="shared" si="28"/>
        <v/>
      </c>
      <c r="B511" s="100" t="str">
        <f>IF($E511="","",INDEX(进销存对接!$C$4:$C$305,170))</f>
        <v/>
      </c>
      <c r="C511" s="26" t="str">
        <f t="shared" si="29"/>
        <v/>
      </c>
      <c r="D511" s="32" t="str">
        <f>IF($E511="","",INDEX(进销存对接!$D$4:$D$305,170)&amp;" "&amp;TEXT($B511,"YYYY年M月")&amp;" 自动结转")</f>
        <v/>
      </c>
      <c r="E511" s="26" t="str">
        <f>IF(INDEX(进销存对接!$M$4:$U$305,170,1)=0,"",INDEX(进销存对接!$M$4:$U$305,170,1))</f>
        <v/>
      </c>
      <c r="F511" s="25" t="str">
        <f>IF($E511="","",IFERROR(INDEX(科目表!$A$4:$A$81,MATCH($E511,科目表!$B$4:$B$81,0)),""))</f>
        <v/>
      </c>
      <c r="G511" s="26" t="str">
        <f>IF($E511="","",IFERROR(INDEX(科目表!$E$4:$E$81,MATCH($E511,科目表!$B$4:$B$81,0)),""))</f>
        <v/>
      </c>
      <c r="H511" s="27" t="str">
        <f>IF($E511="","",N(INDEX(进销存对接!$M$4:$U$305,170,2)))</f>
        <v/>
      </c>
      <c r="I511" s="27" t="str">
        <f>IF($E511="","",N(INDEX(进销存对接!$M$4:$U$305,170,3)))</f>
        <v/>
      </c>
      <c r="J511" s="26"/>
      <c r="K511" s="26" t="str">
        <f>IF($E511="","",INDEX(进销存对接!$D$4:$D$305,170))</f>
        <v/>
      </c>
      <c r="L511" s="32"/>
      <c r="M511" s="32"/>
      <c r="N511" s="26" t="str">
        <f t="shared" si="30"/>
        <v/>
      </c>
      <c r="O511" s="26" t="str">
        <f t="shared" si="31"/>
        <v/>
      </c>
      <c r="P511" s="10"/>
    </row>
    <row r="512" ht="18" customHeight="1" spans="1:16">
      <c r="A512" s="32" t="str">
        <f t="shared" si="28"/>
        <v/>
      </c>
      <c r="B512" s="100" t="str">
        <f>IF($E512="","",INDEX(进销存对接!$C$4:$C$305,170))</f>
        <v/>
      </c>
      <c r="C512" s="26" t="str">
        <f t="shared" si="29"/>
        <v/>
      </c>
      <c r="D512" s="32" t="str">
        <f>IF($E512="","",INDEX(进销存对接!$D$4:$D$305,170)&amp;" "&amp;TEXT($B512,"YYYY年M月")&amp;" 自动结转")</f>
        <v/>
      </c>
      <c r="E512" s="26" t="str">
        <f>IF(INDEX(进销存对接!$M$4:$U$305,170,4)=0,"",INDEX(进销存对接!$M$4:$U$305,170,4))</f>
        <v/>
      </c>
      <c r="F512" s="25" t="str">
        <f>IF($E512="","",IFERROR(INDEX(科目表!$A$4:$A$81,MATCH($E512,科目表!$B$4:$B$81,0)),""))</f>
        <v/>
      </c>
      <c r="G512" s="26" t="str">
        <f>IF($E512="","",IFERROR(INDEX(科目表!$E$4:$E$81,MATCH($E512,科目表!$B$4:$B$81,0)),""))</f>
        <v/>
      </c>
      <c r="H512" s="27" t="str">
        <f>IF($E512="","",N(INDEX(进销存对接!$M$4:$U$305,170,5)))</f>
        <v/>
      </c>
      <c r="I512" s="27" t="str">
        <f>IF($E512="","",N(INDEX(进销存对接!$M$4:$U$305,170,6)))</f>
        <v/>
      </c>
      <c r="J512" s="26"/>
      <c r="K512" s="26" t="str">
        <f>IF($E512="","",INDEX(进销存对接!$D$4:$D$305,170))</f>
        <v/>
      </c>
      <c r="L512" s="32"/>
      <c r="M512" s="32"/>
      <c r="N512" s="26" t="str">
        <f t="shared" si="30"/>
        <v/>
      </c>
      <c r="O512" s="26" t="str">
        <f t="shared" si="31"/>
        <v/>
      </c>
      <c r="P512" s="10"/>
    </row>
    <row r="513" ht="18" customHeight="1" spans="1:16">
      <c r="A513" s="32" t="str">
        <f t="shared" si="28"/>
        <v/>
      </c>
      <c r="B513" s="100" t="str">
        <f>IF($E513="","",INDEX(进销存对接!$C$4:$C$305,170))</f>
        <v/>
      </c>
      <c r="C513" s="26" t="str">
        <f t="shared" si="29"/>
        <v/>
      </c>
      <c r="D513" s="32" t="str">
        <f>IF($E513="","",INDEX(进销存对接!$D$4:$D$305,170)&amp;" "&amp;TEXT($B513,"YYYY年M月")&amp;" 自动结转")</f>
        <v/>
      </c>
      <c r="E513" s="26" t="str">
        <f>IF(INDEX(进销存对接!$M$4:$U$305,170,7)=0,"",INDEX(进销存对接!$M$4:$U$305,170,7))</f>
        <v/>
      </c>
      <c r="F513" s="25" t="str">
        <f>IF($E513="","",IFERROR(INDEX(科目表!$A$4:$A$81,MATCH($E513,科目表!$B$4:$B$81,0)),""))</f>
        <v/>
      </c>
      <c r="G513" s="26" t="str">
        <f>IF($E513="","",IFERROR(INDEX(科目表!$E$4:$E$81,MATCH($E513,科目表!$B$4:$B$81,0)),""))</f>
        <v/>
      </c>
      <c r="H513" s="27" t="str">
        <f>IF($E513="","",N(INDEX(进销存对接!$M$4:$U$305,170,8)))</f>
        <v/>
      </c>
      <c r="I513" s="27" t="str">
        <f>IF($E513="","",N(INDEX(进销存对接!$M$4:$U$305,170,9)))</f>
        <v/>
      </c>
      <c r="J513" s="26"/>
      <c r="K513" s="26" t="str">
        <f>IF($E513="","",INDEX(进销存对接!$D$4:$D$305,170))</f>
        <v/>
      </c>
      <c r="L513" s="32"/>
      <c r="M513" s="32"/>
      <c r="N513" s="26" t="str">
        <f t="shared" si="30"/>
        <v/>
      </c>
      <c r="O513" s="26" t="str">
        <f t="shared" si="31"/>
        <v/>
      </c>
      <c r="P513" s="10"/>
    </row>
    <row r="514" ht="18" customHeight="1" spans="1:16">
      <c r="A514" s="32" t="str">
        <f t="shared" si="28"/>
        <v/>
      </c>
      <c r="B514" s="100" t="str">
        <f>IF($E514="","",INDEX(进销存对接!$C$4:$C$305,171))</f>
        <v/>
      </c>
      <c r="C514" s="26" t="str">
        <f t="shared" si="29"/>
        <v/>
      </c>
      <c r="D514" s="32" t="str">
        <f>IF($E514="","",INDEX(进销存对接!$D$4:$D$305,171)&amp;" "&amp;TEXT($B514,"YYYY年M月")&amp;" 自动结转")</f>
        <v/>
      </c>
      <c r="E514" s="26" t="str">
        <f>IF(INDEX(进销存对接!$M$4:$U$305,171,1)=0,"",INDEX(进销存对接!$M$4:$U$305,171,1))</f>
        <v/>
      </c>
      <c r="F514" s="25" t="str">
        <f>IF($E514="","",IFERROR(INDEX(科目表!$A$4:$A$81,MATCH($E514,科目表!$B$4:$B$81,0)),""))</f>
        <v/>
      </c>
      <c r="G514" s="26" t="str">
        <f>IF($E514="","",IFERROR(INDEX(科目表!$E$4:$E$81,MATCH($E514,科目表!$B$4:$B$81,0)),""))</f>
        <v/>
      </c>
      <c r="H514" s="27" t="str">
        <f>IF($E514="","",N(INDEX(进销存对接!$M$4:$U$305,171,2)))</f>
        <v/>
      </c>
      <c r="I514" s="27" t="str">
        <f>IF($E514="","",N(INDEX(进销存对接!$M$4:$U$305,171,3)))</f>
        <v/>
      </c>
      <c r="J514" s="26"/>
      <c r="K514" s="26" t="str">
        <f>IF($E514="","",INDEX(进销存对接!$D$4:$D$305,171))</f>
        <v/>
      </c>
      <c r="L514" s="32"/>
      <c r="M514" s="32"/>
      <c r="N514" s="26" t="str">
        <f t="shared" si="30"/>
        <v/>
      </c>
      <c r="O514" s="26" t="str">
        <f t="shared" si="31"/>
        <v/>
      </c>
      <c r="P514" s="10"/>
    </row>
    <row r="515" ht="18" customHeight="1" spans="1:16">
      <c r="A515" s="32" t="str">
        <f t="shared" si="28"/>
        <v/>
      </c>
      <c r="B515" s="100" t="str">
        <f>IF($E515="","",INDEX(进销存对接!$C$4:$C$305,171))</f>
        <v/>
      </c>
      <c r="C515" s="26" t="str">
        <f t="shared" si="29"/>
        <v/>
      </c>
      <c r="D515" s="32" t="str">
        <f>IF($E515="","",INDEX(进销存对接!$D$4:$D$305,171)&amp;" "&amp;TEXT($B515,"YYYY年M月")&amp;" 自动结转")</f>
        <v/>
      </c>
      <c r="E515" s="26" t="str">
        <f>IF(INDEX(进销存对接!$M$4:$U$305,171,4)=0,"",INDEX(进销存对接!$M$4:$U$305,171,4))</f>
        <v/>
      </c>
      <c r="F515" s="25" t="str">
        <f>IF($E515="","",IFERROR(INDEX(科目表!$A$4:$A$81,MATCH($E515,科目表!$B$4:$B$81,0)),""))</f>
        <v/>
      </c>
      <c r="G515" s="26" t="str">
        <f>IF($E515="","",IFERROR(INDEX(科目表!$E$4:$E$81,MATCH($E515,科目表!$B$4:$B$81,0)),""))</f>
        <v/>
      </c>
      <c r="H515" s="27" t="str">
        <f>IF($E515="","",N(INDEX(进销存对接!$M$4:$U$305,171,5)))</f>
        <v/>
      </c>
      <c r="I515" s="27" t="str">
        <f>IF($E515="","",N(INDEX(进销存对接!$M$4:$U$305,171,6)))</f>
        <v/>
      </c>
      <c r="J515" s="26"/>
      <c r="K515" s="26" t="str">
        <f>IF($E515="","",INDEX(进销存对接!$D$4:$D$305,171))</f>
        <v/>
      </c>
      <c r="L515" s="32"/>
      <c r="M515" s="32"/>
      <c r="N515" s="26" t="str">
        <f t="shared" si="30"/>
        <v/>
      </c>
      <c r="O515" s="26" t="str">
        <f t="shared" si="31"/>
        <v/>
      </c>
      <c r="P515" s="10"/>
    </row>
    <row r="516" ht="18" customHeight="1" spans="1:16">
      <c r="A516" s="32" t="str">
        <f t="shared" ref="A516:A579" si="32">IF($E516="","",ROW()-3)</f>
        <v/>
      </c>
      <c r="B516" s="100" t="str">
        <f>IF($E516="","",INDEX(进销存对接!$C$4:$C$305,171))</f>
        <v/>
      </c>
      <c r="C516" s="26" t="str">
        <f t="shared" ref="C516:C579" si="33">IF($E516="","","记-"&amp;TEXT($B516,"YYYYMM")&amp;"-进销存")</f>
        <v/>
      </c>
      <c r="D516" s="32" t="str">
        <f>IF($E516="","",INDEX(进销存对接!$D$4:$D$305,171)&amp;" "&amp;TEXT($B516,"YYYY年M月")&amp;" 自动结转")</f>
        <v/>
      </c>
      <c r="E516" s="26" t="str">
        <f>IF(INDEX(进销存对接!$M$4:$U$305,171,7)=0,"",INDEX(进销存对接!$M$4:$U$305,171,7))</f>
        <v/>
      </c>
      <c r="F516" s="25" t="str">
        <f>IF($E516="","",IFERROR(INDEX(科目表!$A$4:$A$81,MATCH($E516,科目表!$B$4:$B$81,0)),""))</f>
        <v/>
      </c>
      <c r="G516" s="26" t="str">
        <f>IF($E516="","",IFERROR(INDEX(科目表!$E$4:$E$81,MATCH($E516,科目表!$B$4:$B$81,0)),""))</f>
        <v/>
      </c>
      <c r="H516" s="27" t="str">
        <f>IF($E516="","",N(INDEX(进销存对接!$M$4:$U$305,171,8)))</f>
        <v/>
      </c>
      <c r="I516" s="27" t="str">
        <f>IF($E516="","",N(INDEX(进销存对接!$M$4:$U$305,171,9)))</f>
        <v/>
      </c>
      <c r="J516" s="26"/>
      <c r="K516" s="26" t="str">
        <f>IF($E516="","",INDEX(进销存对接!$D$4:$D$305,171))</f>
        <v/>
      </c>
      <c r="L516" s="32"/>
      <c r="M516" s="32"/>
      <c r="N516" s="26" t="str">
        <f t="shared" ref="N516:N579" si="34">IF($E516="","","系统")</f>
        <v/>
      </c>
      <c r="O516" s="26" t="str">
        <f t="shared" ref="O516:O579" si="35">IF($E516="","","自动A")</f>
        <v/>
      </c>
      <c r="P516" s="10"/>
    </row>
    <row r="517" ht="18" customHeight="1" spans="1:16">
      <c r="A517" s="32" t="str">
        <f t="shared" si="32"/>
        <v/>
      </c>
      <c r="B517" s="100" t="str">
        <f>IF($E517="","",INDEX(进销存对接!$C$4:$C$305,172))</f>
        <v/>
      </c>
      <c r="C517" s="26" t="str">
        <f t="shared" si="33"/>
        <v/>
      </c>
      <c r="D517" s="32" t="str">
        <f>IF($E517="","",INDEX(进销存对接!$D$4:$D$305,172)&amp;" "&amp;TEXT($B517,"YYYY年M月")&amp;" 自动结转")</f>
        <v/>
      </c>
      <c r="E517" s="26" t="str">
        <f>IF(INDEX(进销存对接!$M$4:$U$305,172,1)=0,"",INDEX(进销存对接!$M$4:$U$305,172,1))</f>
        <v/>
      </c>
      <c r="F517" s="25" t="str">
        <f>IF($E517="","",IFERROR(INDEX(科目表!$A$4:$A$81,MATCH($E517,科目表!$B$4:$B$81,0)),""))</f>
        <v/>
      </c>
      <c r="G517" s="26" t="str">
        <f>IF($E517="","",IFERROR(INDEX(科目表!$E$4:$E$81,MATCH($E517,科目表!$B$4:$B$81,0)),""))</f>
        <v/>
      </c>
      <c r="H517" s="27" t="str">
        <f>IF($E517="","",N(INDEX(进销存对接!$M$4:$U$305,172,2)))</f>
        <v/>
      </c>
      <c r="I517" s="27" t="str">
        <f>IF($E517="","",N(INDEX(进销存对接!$M$4:$U$305,172,3)))</f>
        <v/>
      </c>
      <c r="J517" s="26"/>
      <c r="K517" s="26" t="str">
        <f>IF($E517="","",INDEX(进销存对接!$D$4:$D$305,172))</f>
        <v/>
      </c>
      <c r="L517" s="32"/>
      <c r="M517" s="32"/>
      <c r="N517" s="26" t="str">
        <f t="shared" si="34"/>
        <v/>
      </c>
      <c r="O517" s="26" t="str">
        <f t="shared" si="35"/>
        <v/>
      </c>
      <c r="P517" s="10"/>
    </row>
    <row r="518" ht="18" customHeight="1" spans="1:16">
      <c r="A518" s="32" t="str">
        <f t="shared" si="32"/>
        <v/>
      </c>
      <c r="B518" s="100" t="str">
        <f>IF($E518="","",INDEX(进销存对接!$C$4:$C$305,172))</f>
        <v/>
      </c>
      <c r="C518" s="26" t="str">
        <f t="shared" si="33"/>
        <v/>
      </c>
      <c r="D518" s="32" t="str">
        <f>IF($E518="","",INDEX(进销存对接!$D$4:$D$305,172)&amp;" "&amp;TEXT($B518,"YYYY年M月")&amp;" 自动结转")</f>
        <v/>
      </c>
      <c r="E518" s="26" t="str">
        <f>IF(INDEX(进销存对接!$M$4:$U$305,172,4)=0,"",INDEX(进销存对接!$M$4:$U$305,172,4))</f>
        <v/>
      </c>
      <c r="F518" s="25" t="str">
        <f>IF($E518="","",IFERROR(INDEX(科目表!$A$4:$A$81,MATCH($E518,科目表!$B$4:$B$81,0)),""))</f>
        <v/>
      </c>
      <c r="G518" s="26" t="str">
        <f>IF($E518="","",IFERROR(INDEX(科目表!$E$4:$E$81,MATCH($E518,科目表!$B$4:$B$81,0)),""))</f>
        <v/>
      </c>
      <c r="H518" s="27" t="str">
        <f>IF($E518="","",N(INDEX(进销存对接!$M$4:$U$305,172,5)))</f>
        <v/>
      </c>
      <c r="I518" s="27" t="str">
        <f>IF($E518="","",N(INDEX(进销存对接!$M$4:$U$305,172,6)))</f>
        <v/>
      </c>
      <c r="J518" s="26"/>
      <c r="K518" s="26" t="str">
        <f>IF($E518="","",INDEX(进销存对接!$D$4:$D$305,172))</f>
        <v/>
      </c>
      <c r="L518" s="32"/>
      <c r="M518" s="32"/>
      <c r="N518" s="26" t="str">
        <f t="shared" si="34"/>
        <v/>
      </c>
      <c r="O518" s="26" t="str">
        <f t="shared" si="35"/>
        <v/>
      </c>
      <c r="P518" s="10"/>
    </row>
    <row r="519" ht="18" customHeight="1" spans="1:16">
      <c r="A519" s="32" t="str">
        <f t="shared" si="32"/>
        <v/>
      </c>
      <c r="B519" s="100" t="str">
        <f>IF($E519="","",INDEX(进销存对接!$C$4:$C$305,172))</f>
        <v/>
      </c>
      <c r="C519" s="26" t="str">
        <f t="shared" si="33"/>
        <v/>
      </c>
      <c r="D519" s="32" t="str">
        <f>IF($E519="","",INDEX(进销存对接!$D$4:$D$305,172)&amp;" "&amp;TEXT($B519,"YYYY年M月")&amp;" 自动结转")</f>
        <v/>
      </c>
      <c r="E519" s="26" t="str">
        <f>IF(INDEX(进销存对接!$M$4:$U$305,172,7)=0,"",INDEX(进销存对接!$M$4:$U$305,172,7))</f>
        <v/>
      </c>
      <c r="F519" s="25" t="str">
        <f>IF($E519="","",IFERROR(INDEX(科目表!$A$4:$A$81,MATCH($E519,科目表!$B$4:$B$81,0)),""))</f>
        <v/>
      </c>
      <c r="G519" s="26" t="str">
        <f>IF($E519="","",IFERROR(INDEX(科目表!$E$4:$E$81,MATCH($E519,科目表!$B$4:$B$81,0)),""))</f>
        <v/>
      </c>
      <c r="H519" s="27" t="str">
        <f>IF($E519="","",N(INDEX(进销存对接!$M$4:$U$305,172,8)))</f>
        <v/>
      </c>
      <c r="I519" s="27" t="str">
        <f>IF($E519="","",N(INDEX(进销存对接!$M$4:$U$305,172,9)))</f>
        <v/>
      </c>
      <c r="J519" s="26"/>
      <c r="K519" s="26" t="str">
        <f>IF($E519="","",INDEX(进销存对接!$D$4:$D$305,172))</f>
        <v/>
      </c>
      <c r="L519" s="32"/>
      <c r="M519" s="32"/>
      <c r="N519" s="26" t="str">
        <f t="shared" si="34"/>
        <v/>
      </c>
      <c r="O519" s="26" t="str">
        <f t="shared" si="35"/>
        <v/>
      </c>
      <c r="P519" s="10"/>
    </row>
    <row r="520" ht="18" customHeight="1" spans="1:16">
      <c r="A520" s="32" t="str">
        <f t="shared" si="32"/>
        <v/>
      </c>
      <c r="B520" s="100" t="str">
        <f>IF($E520="","",INDEX(进销存对接!$C$4:$C$305,173))</f>
        <v/>
      </c>
      <c r="C520" s="26" t="str">
        <f t="shared" si="33"/>
        <v/>
      </c>
      <c r="D520" s="32" t="str">
        <f>IF($E520="","",INDEX(进销存对接!$D$4:$D$305,173)&amp;" "&amp;TEXT($B520,"YYYY年M月")&amp;" 自动结转")</f>
        <v/>
      </c>
      <c r="E520" s="26" t="str">
        <f>IF(INDEX(进销存对接!$M$4:$U$305,173,1)=0,"",INDEX(进销存对接!$M$4:$U$305,173,1))</f>
        <v/>
      </c>
      <c r="F520" s="25" t="str">
        <f>IF($E520="","",IFERROR(INDEX(科目表!$A$4:$A$81,MATCH($E520,科目表!$B$4:$B$81,0)),""))</f>
        <v/>
      </c>
      <c r="G520" s="26" t="str">
        <f>IF($E520="","",IFERROR(INDEX(科目表!$E$4:$E$81,MATCH($E520,科目表!$B$4:$B$81,0)),""))</f>
        <v/>
      </c>
      <c r="H520" s="27" t="str">
        <f>IF($E520="","",N(INDEX(进销存对接!$M$4:$U$305,173,2)))</f>
        <v/>
      </c>
      <c r="I520" s="27" t="str">
        <f>IF($E520="","",N(INDEX(进销存对接!$M$4:$U$305,173,3)))</f>
        <v/>
      </c>
      <c r="J520" s="26"/>
      <c r="K520" s="26" t="str">
        <f>IF($E520="","",INDEX(进销存对接!$D$4:$D$305,173))</f>
        <v/>
      </c>
      <c r="L520" s="32"/>
      <c r="M520" s="32"/>
      <c r="N520" s="26" t="str">
        <f t="shared" si="34"/>
        <v/>
      </c>
      <c r="O520" s="26" t="str">
        <f t="shared" si="35"/>
        <v/>
      </c>
      <c r="P520" s="10"/>
    </row>
    <row r="521" ht="18" customHeight="1" spans="1:16">
      <c r="A521" s="32" t="str">
        <f t="shared" si="32"/>
        <v/>
      </c>
      <c r="B521" s="100" t="str">
        <f>IF($E521="","",INDEX(进销存对接!$C$4:$C$305,173))</f>
        <v/>
      </c>
      <c r="C521" s="26" t="str">
        <f t="shared" si="33"/>
        <v/>
      </c>
      <c r="D521" s="32" t="str">
        <f>IF($E521="","",INDEX(进销存对接!$D$4:$D$305,173)&amp;" "&amp;TEXT($B521,"YYYY年M月")&amp;" 自动结转")</f>
        <v/>
      </c>
      <c r="E521" s="26" t="str">
        <f>IF(INDEX(进销存对接!$M$4:$U$305,173,4)=0,"",INDEX(进销存对接!$M$4:$U$305,173,4))</f>
        <v/>
      </c>
      <c r="F521" s="25" t="str">
        <f>IF($E521="","",IFERROR(INDEX(科目表!$A$4:$A$81,MATCH($E521,科目表!$B$4:$B$81,0)),""))</f>
        <v/>
      </c>
      <c r="G521" s="26" t="str">
        <f>IF($E521="","",IFERROR(INDEX(科目表!$E$4:$E$81,MATCH($E521,科目表!$B$4:$B$81,0)),""))</f>
        <v/>
      </c>
      <c r="H521" s="27" t="str">
        <f>IF($E521="","",N(INDEX(进销存对接!$M$4:$U$305,173,5)))</f>
        <v/>
      </c>
      <c r="I521" s="27" t="str">
        <f>IF($E521="","",N(INDEX(进销存对接!$M$4:$U$305,173,6)))</f>
        <v/>
      </c>
      <c r="J521" s="26"/>
      <c r="K521" s="26" t="str">
        <f>IF($E521="","",INDEX(进销存对接!$D$4:$D$305,173))</f>
        <v/>
      </c>
      <c r="L521" s="32"/>
      <c r="M521" s="32"/>
      <c r="N521" s="26" t="str">
        <f t="shared" si="34"/>
        <v/>
      </c>
      <c r="O521" s="26" t="str">
        <f t="shared" si="35"/>
        <v/>
      </c>
      <c r="P521" s="10"/>
    </row>
    <row r="522" ht="18" customHeight="1" spans="1:16">
      <c r="A522" s="32" t="str">
        <f t="shared" si="32"/>
        <v/>
      </c>
      <c r="B522" s="100" t="str">
        <f>IF($E522="","",INDEX(进销存对接!$C$4:$C$305,173))</f>
        <v/>
      </c>
      <c r="C522" s="26" t="str">
        <f t="shared" si="33"/>
        <v/>
      </c>
      <c r="D522" s="32" t="str">
        <f>IF($E522="","",INDEX(进销存对接!$D$4:$D$305,173)&amp;" "&amp;TEXT($B522,"YYYY年M月")&amp;" 自动结转")</f>
        <v/>
      </c>
      <c r="E522" s="26" t="str">
        <f>IF(INDEX(进销存对接!$M$4:$U$305,173,7)=0,"",INDEX(进销存对接!$M$4:$U$305,173,7))</f>
        <v/>
      </c>
      <c r="F522" s="25" t="str">
        <f>IF($E522="","",IFERROR(INDEX(科目表!$A$4:$A$81,MATCH($E522,科目表!$B$4:$B$81,0)),""))</f>
        <v/>
      </c>
      <c r="G522" s="26" t="str">
        <f>IF($E522="","",IFERROR(INDEX(科目表!$E$4:$E$81,MATCH($E522,科目表!$B$4:$B$81,0)),""))</f>
        <v/>
      </c>
      <c r="H522" s="27" t="str">
        <f>IF($E522="","",N(INDEX(进销存对接!$M$4:$U$305,173,8)))</f>
        <v/>
      </c>
      <c r="I522" s="27" t="str">
        <f>IF($E522="","",N(INDEX(进销存对接!$M$4:$U$305,173,9)))</f>
        <v/>
      </c>
      <c r="J522" s="26"/>
      <c r="K522" s="26" t="str">
        <f>IF($E522="","",INDEX(进销存对接!$D$4:$D$305,173))</f>
        <v/>
      </c>
      <c r="L522" s="32"/>
      <c r="M522" s="32"/>
      <c r="N522" s="26" t="str">
        <f t="shared" si="34"/>
        <v/>
      </c>
      <c r="O522" s="26" t="str">
        <f t="shared" si="35"/>
        <v/>
      </c>
      <c r="P522" s="10"/>
    </row>
    <row r="523" ht="18" customHeight="1" spans="1:16">
      <c r="A523" s="32" t="str">
        <f t="shared" si="32"/>
        <v/>
      </c>
      <c r="B523" s="100" t="str">
        <f>IF($E523="","",INDEX(进销存对接!$C$4:$C$305,174))</f>
        <v/>
      </c>
      <c r="C523" s="26" t="str">
        <f t="shared" si="33"/>
        <v/>
      </c>
      <c r="D523" s="32" t="str">
        <f>IF($E523="","",INDEX(进销存对接!$D$4:$D$305,174)&amp;" "&amp;TEXT($B523,"YYYY年M月")&amp;" 自动结转")</f>
        <v/>
      </c>
      <c r="E523" s="26" t="str">
        <f>IF(INDEX(进销存对接!$M$4:$U$305,174,1)=0,"",INDEX(进销存对接!$M$4:$U$305,174,1))</f>
        <v/>
      </c>
      <c r="F523" s="25" t="str">
        <f>IF($E523="","",IFERROR(INDEX(科目表!$A$4:$A$81,MATCH($E523,科目表!$B$4:$B$81,0)),""))</f>
        <v/>
      </c>
      <c r="G523" s="26" t="str">
        <f>IF($E523="","",IFERROR(INDEX(科目表!$E$4:$E$81,MATCH($E523,科目表!$B$4:$B$81,0)),""))</f>
        <v/>
      </c>
      <c r="H523" s="27" t="str">
        <f>IF($E523="","",N(INDEX(进销存对接!$M$4:$U$305,174,2)))</f>
        <v/>
      </c>
      <c r="I523" s="27" t="str">
        <f>IF($E523="","",N(INDEX(进销存对接!$M$4:$U$305,174,3)))</f>
        <v/>
      </c>
      <c r="J523" s="26"/>
      <c r="K523" s="26" t="str">
        <f>IF($E523="","",INDEX(进销存对接!$D$4:$D$305,174))</f>
        <v/>
      </c>
      <c r="L523" s="32"/>
      <c r="M523" s="32"/>
      <c r="N523" s="26" t="str">
        <f t="shared" si="34"/>
        <v/>
      </c>
      <c r="O523" s="26" t="str">
        <f t="shared" si="35"/>
        <v/>
      </c>
      <c r="P523" s="10"/>
    </row>
    <row r="524" ht="18" customHeight="1" spans="1:16">
      <c r="A524" s="32" t="str">
        <f t="shared" si="32"/>
        <v/>
      </c>
      <c r="B524" s="100" t="str">
        <f>IF($E524="","",INDEX(进销存对接!$C$4:$C$305,174))</f>
        <v/>
      </c>
      <c r="C524" s="26" t="str">
        <f t="shared" si="33"/>
        <v/>
      </c>
      <c r="D524" s="32" t="str">
        <f>IF($E524="","",INDEX(进销存对接!$D$4:$D$305,174)&amp;" "&amp;TEXT($B524,"YYYY年M月")&amp;" 自动结转")</f>
        <v/>
      </c>
      <c r="E524" s="26" t="str">
        <f>IF(INDEX(进销存对接!$M$4:$U$305,174,4)=0,"",INDEX(进销存对接!$M$4:$U$305,174,4))</f>
        <v/>
      </c>
      <c r="F524" s="25" t="str">
        <f>IF($E524="","",IFERROR(INDEX(科目表!$A$4:$A$81,MATCH($E524,科目表!$B$4:$B$81,0)),""))</f>
        <v/>
      </c>
      <c r="G524" s="26" t="str">
        <f>IF($E524="","",IFERROR(INDEX(科目表!$E$4:$E$81,MATCH($E524,科目表!$B$4:$B$81,0)),""))</f>
        <v/>
      </c>
      <c r="H524" s="27" t="str">
        <f>IF($E524="","",N(INDEX(进销存对接!$M$4:$U$305,174,5)))</f>
        <v/>
      </c>
      <c r="I524" s="27" t="str">
        <f>IF($E524="","",N(INDEX(进销存对接!$M$4:$U$305,174,6)))</f>
        <v/>
      </c>
      <c r="J524" s="26"/>
      <c r="K524" s="26" t="str">
        <f>IF($E524="","",INDEX(进销存对接!$D$4:$D$305,174))</f>
        <v/>
      </c>
      <c r="L524" s="32"/>
      <c r="M524" s="32"/>
      <c r="N524" s="26" t="str">
        <f t="shared" si="34"/>
        <v/>
      </c>
      <c r="O524" s="26" t="str">
        <f t="shared" si="35"/>
        <v/>
      </c>
      <c r="P524" s="10"/>
    </row>
    <row r="525" ht="18" customHeight="1" spans="1:16">
      <c r="A525" s="32" t="str">
        <f t="shared" si="32"/>
        <v/>
      </c>
      <c r="B525" s="100" t="str">
        <f>IF($E525="","",INDEX(进销存对接!$C$4:$C$305,174))</f>
        <v/>
      </c>
      <c r="C525" s="26" t="str">
        <f t="shared" si="33"/>
        <v/>
      </c>
      <c r="D525" s="32" t="str">
        <f>IF($E525="","",INDEX(进销存对接!$D$4:$D$305,174)&amp;" "&amp;TEXT($B525,"YYYY年M月")&amp;" 自动结转")</f>
        <v/>
      </c>
      <c r="E525" s="26" t="str">
        <f>IF(INDEX(进销存对接!$M$4:$U$305,174,7)=0,"",INDEX(进销存对接!$M$4:$U$305,174,7))</f>
        <v/>
      </c>
      <c r="F525" s="25" t="str">
        <f>IF($E525="","",IFERROR(INDEX(科目表!$A$4:$A$81,MATCH($E525,科目表!$B$4:$B$81,0)),""))</f>
        <v/>
      </c>
      <c r="G525" s="26" t="str">
        <f>IF($E525="","",IFERROR(INDEX(科目表!$E$4:$E$81,MATCH($E525,科目表!$B$4:$B$81,0)),""))</f>
        <v/>
      </c>
      <c r="H525" s="27" t="str">
        <f>IF($E525="","",N(INDEX(进销存对接!$M$4:$U$305,174,8)))</f>
        <v/>
      </c>
      <c r="I525" s="27" t="str">
        <f>IF($E525="","",N(INDEX(进销存对接!$M$4:$U$305,174,9)))</f>
        <v/>
      </c>
      <c r="J525" s="26"/>
      <c r="K525" s="26" t="str">
        <f>IF($E525="","",INDEX(进销存对接!$D$4:$D$305,174))</f>
        <v/>
      </c>
      <c r="L525" s="32"/>
      <c r="M525" s="32"/>
      <c r="N525" s="26" t="str">
        <f t="shared" si="34"/>
        <v/>
      </c>
      <c r="O525" s="26" t="str">
        <f t="shared" si="35"/>
        <v/>
      </c>
      <c r="P525" s="10"/>
    </row>
    <row r="526" ht="18" customHeight="1" spans="1:16">
      <c r="A526" s="32" t="str">
        <f t="shared" si="32"/>
        <v/>
      </c>
      <c r="B526" s="100" t="str">
        <f>IF($E526="","",INDEX(进销存对接!$C$4:$C$305,175))</f>
        <v/>
      </c>
      <c r="C526" s="26" t="str">
        <f t="shared" si="33"/>
        <v/>
      </c>
      <c r="D526" s="32" t="str">
        <f>IF($E526="","",INDEX(进销存对接!$D$4:$D$305,175)&amp;" "&amp;TEXT($B526,"YYYY年M月")&amp;" 自动结转")</f>
        <v/>
      </c>
      <c r="E526" s="26" t="str">
        <f>IF(INDEX(进销存对接!$M$4:$U$305,175,1)=0,"",INDEX(进销存对接!$M$4:$U$305,175,1))</f>
        <v/>
      </c>
      <c r="F526" s="25" t="str">
        <f>IF($E526="","",IFERROR(INDEX(科目表!$A$4:$A$81,MATCH($E526,科目表!$B$4:$B$81,0)),""))</f>
        <v/>
      </c>
      <c r="G526" s="26" t="str">
        <f>IF($E526="","",IFERROR(INDEX(科目表!$E$4:$E$81,MATCH($E526,科目表!$B$4:$B$81,0)),""))</f>
        <v/>
      </c>
      <c r="H526" s="27" t="str">
        <f>IF($E526="","",N(INDEX(进销存对接!$M$4:$U$305,175,2)))</f>
        <v/>
      </c>
      <c r="I526" s="27" t="str">
        <f>IF($E526="","",N(INDEX(进销存对接!$M$4:$U$305,175,3)))</f>
        <v/>
      </c>
      <c r="J526" s="26"/>
      <c r="K526" s="26" t="str">
        <f>IF($E526="","",INDEX(进销存对接!$D$4:$D$305,175))</f>
        <v/>
      </c>
      <c r="L526" s="32"/>
      <c r="M526" s="32"/>
      <c r="N526" s="26" t="str">
        <f t="shared" si="34"/>
        <v/>
      </c>
      <c r="O526" s="26" t="str">
        <f t="shared" si="35"/>
        <v/>
      </c>
      <c r="P526" s="10"/>
    </row>
    <row r="527" ht="18" customHeight="1" spans="1:16">
      <c r="A527" s="32" t="str">
        <f t="shared" si="32"/>
        <v/>
      </c>
      <c r="B527" s="100" t="str">
        <f>IF($E527="","",INDEX(进销存对接!$C$4:$C$305,175))</f>
        <v/>
      </c>
      <c r="C527" s="26" t="str">
        <f t="shared" si="33"/>
        <v/>
      </c>
      <c r="D527" s="32" t="str">
        <f>IF($E527="","",INDEX(进销存对接!$D$4:$D$305,175)&amp;" "&amp;TEXT($B527,"YYYY年M月")&amp;" 自动结转")</f>
        <v/>
      </c>
      <c r="E527" s="26" t="str">
        <f>IF(INDEX(进销存对接!$M$4:$U$305,175,4)=0,"",INDEX(进销存对接!$M$4:$U$305,175,4))</f>
        <v/>
      </c>
      <c r="F527" s="25" t="str">
        <f>IF($E527="","",IFERROR(INDEX(科目表!$A$4:$A$81,MATCH($E527,科目表!$B$4:$B$81,0)),""))</f>
        <v/>
      </c>
      <c r="G527" s="26" t="str">
        <f>IF($E527="","",IFERROR(INDEX(科目表!$E$4:$E$81,MATCH($E527,科目表!$B$4:$B$81,0)),""))</f>
        <v/>
      </c>
      <c r="H527" s="27" t="str">
        <f>IF($E527="","",N(INDEX(进销存对接!$M$4:$U$305,175,5)))</f>
        <v/>
      </c>
      <c r="I527" s="27" t="str">
        <f>IF($E527="","",N(INDEX(进销存对接!$M$4:$U$305,175,6)))</f>
        <v/>
      </c>
      <c r="J527" s="26"/>
      <c r="K527" s="26" t="str">
        <f>IF($E527="","",INDEX(进销存对接!$D$4:$D$305,175))</f>
        <v/>
      </c>
      <c r="L527" s="32"/>
      <c r="M527" s="32"/>
      <c r="N527" s="26" t="str">
        <f t="shared" si="34"/>
        <v/>
      </c>
      <c r="O527" s="26" t="str">
        <f t="shared" si="35"/>
        <v/>
      </c>
      <c r="P527" s="10"/>
    </row>
    <row r="528" ht="18" customHeight="1" spans="1:16">
      <c r="A528" s="32" t="str">
        <f t="shared" si="32"/>
        <v/>
      </c>
      <c r="B528" s="100" t="str">
        <f>IF($E528="","",INDEX(进销存对接!$C$4:$C$305,175))</f>
        <v/>
      </c>
      <c r="C528" s="26" t="str">
        <f t="shared" si="33"/>
        <v/>
      </c>
      <c r="D528" s="32" t="str">
        <f>IF($E528="","",INDEX(进销存对接!$D$4:$D$305,175)&amp;" "&amp;TEXT($B528,"YYYY年M月")&amp;" 自动结转")</f>
        <v/>
      </c>
      <c r="E528" s="26" t="str">
        <f>IF(INDEX(进销存对接!$M$4:$U$305,175,7)=0,"",INDEX(进销存对接!$M$4:$U$305,175,7))</f>
        <v/>
      </c>
      <c r="F528" s="25" t="str">
        <f>IF($E528="","",IFERROR(INDEX(科目表!$A$4:$A$81,MATCH($E528,科目表!$B$4:$B$81,0)),""))</f>
        <v/>
      </c>
      <c r="G528" s="26" t="str">
        <f>IF($E528="","",IFERROR(INDEX(科目表!$E$4:$E$81,MATCH($E528,科目表!$B$4:$B$81,0)),""))</f>
        <v/>
      </c>
      <c r="H528" s="27" t="str">
        <f>IF($E528="","",N(INDEX(进销存对接!$M$4:$U$305,175,8)))</f>
        <v/>
      </c>
      <c r="I528" s="27" t="str">
        <f>IF($E528="","",N(INDEX(进销存对接!$M$4:$U$305,175,9)))</f>
        <v/>
      </c>
      <c r="J528" s="26"/>
      <c r="K528" s="26" t="str">
        <f>IF($E528="","",INDEX(进销存对接!$D$4:$D$305,175))</f>
        <v/>
      </c>
      <c r="L528" s="32"/>
      <c r="M528" s="32"/>
      <c r="N528" s="26" t="str">
        <f t="shared" si="34"/>
        <v/>
      </c>
      <c r="O528" s="26" t="str">
        <f t="shared" si="35"/>
        <v/>
      </c>
      <c r="P528" s="10"/>
    </row>
    <row r="529" ht="18" customHeight="1" spans="1:16">
      <c r="A529" s="32" t="str">
        <f t="shared" si="32"/>
        <v/>
      </c>
      <c r="B529" s="100" t="str">
        <f>IF($E529="","",INDEX(进销存对接!$C$4:$C$305,176))</f>
        <v/>
      </c>
      <c r="C529" s="26" t="str">
        <f t="shared" si="33"/>
        <v/>
      </c>
      <c r="D529" s="32" t="str">
        <f>IF($E529="","",INDEX(进销存对接!$D$4:$D$305,176)&amp;" "&amp;TEXT($B529,"YYYY年M月")&amp;" 自动结转")</f>
        <v/>
      </c>
      <c r="E529" s="26" t="str">
        <f>IF(INDEX(进销存对接!$M$4:$U$305,176,1)=0,"",INDEX(进销存对接!$M$4:$U$305,176,1))</f>
        <v/>
      </c>
      <c r="F529" s="25" t="str">
        <f>IF($E529="","",IFERROR(INDEX(科目表!$A$4:$A$81,MATCH($E529,科目表!$B$4:$B$81,0)),""))</f>
        <v/>
      </c>
      <c r="G529" s="26" t="str">
        <f>IF($E529="","",IFERROR(INDEX(科目表!$E$4:$E$81,MATCH($E529,科目表!$B$4:$B$81,0)),""))</f>
        <v/>
      </c>
      <c r="H529" s="27" t="str">
        <f>IF($E529="","",N(INDEX(进销存对接!$M$4:$U$305,176,2)))</f>
        <v/>
      </c>
      <c r="I529" s="27" t="str">
        <f>IF($E529="","",N(INDEX(进销存对接!$M$4:$U$305,176,3)))</f>
        <v/>
      </c>
      <c r="J529" s="26"/>
      <c r="K529" s="26" t="str">
        <f>IF($E529="","",INDEX(进销存对接!$D$4:$D$305,176))</f>
        <v/>
      </c>
      <c r="L529" s="32"/>
      <c r="M529" s="32"/>
      <c r="N529" s="26" t="str">
        <f t="shared" si="34"/>
        <v/>
      </c>
      <c r="O529" s="26" t="str">
        <f t="shared" si="35"/>
        <v/>
      </c>
      <c r="P529" s="10"/>
    </row>
    <row r="530" ht="18" customHeight="1" spans="1:16">
      <c r="A530" s="32" t="str">
        <f t="shared" si="32"/>
        <v/>
      </c>
      <c r="B530" s="100" t="str">
        <f>IF($E530="","",INDEX(进销存对接!$C$4:$C$305,176))</f>
        <v/>
      </c>
      <c r="C530" s="26" t="str">
        <f t="shared" si="33"/>
        <v/>
      </c>
      <c r="D530" s="32" t="str">
        <f>IF($E530="","",INDEX(进销存对接!$D$4:$D$305,176)&amp;" "&amp;TEXT($B530,"YYYY年M月")&amp;" 自动结转")</f>
        <v/>
      </c>
      <c r="E530" s="26" t="str">
        <f>IF(INDEX(进销存对接!$M$4:$U$305,176,4)=0,"",INDEX(进销存对接!$M$4:$U$305,176,4))</f>
        <v/>
      </c>
      <c r="F530" s="25" t="str">
        <f>IF($E530="","",IFERROR(INDEX(科目表!$A$4:$A$81,MATCH($E530,科目表!$B$4:$B$81,0)),""))</f>
        <v/>
      </c>
      <c r="G530" s="26" t="str">
        <f>IF($E530="","",IFERROR(INDEX(科目表!$E$4:$E$81,MATCH($E530,科目表!$B$4:$B$81,0)),""))</f>
        <v/>
      </c>
      <c r="H530" s="27" t="str">
        <f>IF($E530="","",N(INDEX(进销存对接!$M$4:$U$305,176,5)))</f>
        <v/>
      </c>
      <c r="I530" s="27" t="str">
        <f>IF($E530="","",N(INDEX(进销存对接!$M$4:$U$305,176,6)))</f>
        <v/>
      </c>
      <c r="J530" s="26"/>
      <c r="K530" s="26" t="str">
        <f>IF($E530="","",INDEX(进销存对接!$D$4:$D$305,176))</f>
        <v/>
      </c>
      <c r="L530" s="32"/>
      <c r="M530" s="32"/>
      <c r="N530" s="26" t="str">
        <f t="shared" si="34"/>
        <v/>
      </c>
      <c r="O530" s="26" t="str">
        <f t="shared" si="35"/>
        <v/>
      </c>
      <c r="P530" s="10"/>
    </row>
    <row r="531" ht="18" customHeight="1" spans="1:16">
      <c r="A531" s="32" t="str">
        <f t="shared" si="32"/>
        <v/>
      </c>
      <c r="B531" s="100" t="str">
        <f>IF($E531="","",INDEX(进销存对接!$C$4:$C$305,176))</f>
        <v/>
      </c>
      <c r="C531" s="26" t="str">
        <f t="shared" si="33"/>
        <v/>
      </c>
      <c r="D531" s="32" t="str">
        <f>IF($E531="","",INDEX(进销存对接!$D$4:$D$305,176)&amp;" "&amp;TEXT($B531,"YYYY年M月")&amp;" 自动结转")</f>
        <v/>
      </c>
      <c r="E531" s="26" t="str">
        <f>IF(INDEX(进销存对接!$M$4:$U$305,176,7)=0,"",INDEX(进销存对接!$M$4:$U$305,176,7))</f>
        <v/>
      </c>
      <c r="F531" s="25" t="str">
        <f>IF($E531="","",IFERROR(INDEX(科目表!$A$4:$A$81,MATCH($E531,科目表!$B$4:$B$81,0)),""))</f>
        <v/>
      </c>
      <c r="G531" s="26" t="str">
        <f>IF($E531="","",IFERROR(INDEX(科目表!$E$4:$E$81,MATCH($E531,科目表!$B$4:$B$81,0)),""))</f>
        <v/>
      </c>
      <c r="H531" s="27" t="str">
        <f>IF($E531="","",N(INDEX(进销存对接!$M$4:$U$305,176,8)))</f>
        <v/>
      </c>
      <c r="I531" s="27" t="str">
        <f>IF($E531="","",N(INDEX(进销存对接!$M$4:$U$305,176,9)))</f>
        <v/>
      </c>
      <c r="J531" s="26"/>
      <c r="K531" s="26" t="str">
        <f>IF($E531="","",INDEX(进销存对接!$D$4:$D$305,176))</f>
        <v/>
      </c>
      <c r="L531" s="32"/>
      <c r="M531" s="32"/>
      <c r="N531" s="26" t="str">
        <f t="shared" si="34"/>
        <v/>
      </c>
      <c r="O531" s="26" t="str">
        <f t="shared" si="35"/>
        <v/>
      </c>
      <c r="P531" s="10"/>
    </row>
    <row r="532" ht="18" customHeight="1" spans="1:16">
      <c r="A532" s="32" t="str">
        <f t="shared" si="32"/>
        <v/>
      </c>
      <c r="B532" s="100" t="str">
        <f>IF($E532="","",INDEX(进销存对接!$C$4:$C$305,177))</f>
        <v/>
      </c>
      <c r="C532" s="26" t="str">
        <f t="shared" si="33"/>
        <v/>
      </c>
      <c r="D532" s="32" t="str">
        <f>IF($E532="","",INDEX(进销存对接!$D$4:$D$305,177)&amp;" "&amp;TEXT($B532,"YYYY年M月")&amp;" 自动结转")</f>
        <v/>
      </c>
      <c r="E532" s="26" t="str">
        <f>IF(INDEX(进销存对接!$M$4:$U$305,177,1)=0,"",INDEX(进销存对接!$M$4:$U$305,177,1))</f>
        <v/>
      </c>
      <c r="F532" s="25" t="str">
        <f>IF($E532="","",IFERROR(INDEX(科目表!$A$4:$A$81,MATCH($E532,科目表!$B$4:$B$81,0)),""))</f>
        <v/>
      </c>
      <c r="G532" s="26" t="str">
        <f>IF($E532="","",IFERROR(INDEX(科目表!$E$4:$E$81,MATCH($E532,科目表!$B$4:$B$81,0)),""))</f>
        <v/>
      </c>
      <c r="H532" s="27" t="str">
        <f>IF($E532="","",N(INDEX(进销存对接!$M$4:$U$305,177,2)))</f>
        <v/>
      </c>
      <c r="I532" s="27" t="str">
        <f>IF($E532="","",N(INDEX(进销存对接!$M$4:$U$305,177,3)))</f>
        <v/>
      </c>
      <c r="J532" s="26"/>
      <c r="K532" s="26" t="str">
        <f>IF($E532="","",INDEX(进销存对接!$D$4:$D$305,177))</f>
        <v/>
      </c>
      <c r="L532" s="32"/>
      <c r="M532" s="32"/>
      <c r="N532" s="26" t="str">
        <f t="shared" si="34"/>
        <v/>
      </c>
      <c r="O532" s="26" t="str">
        <f t="shared" si="35"/>
        <v/>
      </c>
      <c r="P532" s="10"/>
    </row>
    <row r="533" ht="18" customHeight="1" spans="1:16">
      <c r="A533" s="32" t="str">
        <f t="shared" si="32"/>
        <v/>
      </c>
      <c r="B533" s="100" t="str">
        <f>IF($E533="","",INDEX(进销存对接!$C$4:$C$305,177))</f>
        <v/>
      </c>
      <c r="C533" s="26" t="str">
        <f t="shared" si="33"/>
        <v/>
      </c>
      <c r="D533" s="32" t="str">
        <f>IF($E533="","",INDEX(进销存对接!$D$4:$D$305,177)&amp;" "&amp;TEXT($B533,"YYYY年M月")&amp;" 自动结转")</f>
        <v/>
      </c>
      <c r="E533" s="26" t="str">
        <f>IF(INDEX(进销存对接!$M$4:$U$305,177,4)=0,"",INDEX(进销存对接!$M$4:$U$305,177,4))</f>
        <v/>
      </c>
      <c r="F533" s="25" t="str">
        <f>IF($E533="","",IFERROR(INDEX(科目表!$A$4:$A$81,MATCH($E533,科目表!$B$4:$B$81,0)),""))</f>
        <v/>
      </c>
      <c r="G533" s="26" t="str">
        <f>IF($E533="","",IFERROR(INDEX(科目表!$E$4:$E$81,MATCH($E533,科目表!$B$4:$B$81,0)),""))</f>
        <v/>
      </c>
      <c r="H533" s="27" t="str">
        <f>IF($E533="","",N(INDEX(进销存对接!$M$4:$U$305,177,5)))</f>
        <v/>
      </c>
      <c r="I533" s="27" t="str">
        <f>IF($E533="","",N(INDEX(进销存对接!$M$4:$U$305,177,6)))</f>
        <v/>
      </c>
      <c r="J533" s="26"/>
      <c r="K533" s="26" t="str">
        <f>IF($E533="","",INDEX(进销存对接!$D$4:$D$305,177))</f>
        <v/>
      </c>
      <c r="L533" s="32"/>
      <c r="M533" s="32"/>
      <c r="N533" s="26" t="str">
        <f t="shared" si="34"/>
        <v/>
      </c>
      <c r="O533" s="26" t="str">
        <f t="shared" si="35"/>
        <v/>
      </c>
      <c r="P533" s="10"/>
    </row>
    <row r="534" ht="18" customHeight="1" spans="1:16">
      <c r="A534" s="32" t="str">
        <f t="shared" si="32"/>
        <v/>
      </c>
      <c r="B534" s="100" t="str">
        <f>IF($E534="","",INDEX(进销存对接!$C$4:$C$305,177))</f>
        <v/>
      </c>
      <c r="C534" s="26" t="str">
        <f t="shared" si="33"/>
        <v/>
      </c>
      <c r="D534" s="32" t="str">
        <f>IF($E534="","",INDEX(进销存对接!$D$4:$D$305,177)&amp;" "&amp;TEXT($B534,"YYYY年M月")&amp;" 自动结转")</f>
        <v/>
      </c>
      <c r="E534" s="26" t="str">
        <f>IF(INDEX(进销存对接!$M$4:$U$305,177,7)=0,"",INDEX(进销存对接!$M$4:$U$305,177,7))</f>
        <v/>
      </c>
      <c r="F534" s="25" t="str">
        <f>IF($E534="","",IFERROR(INDEX(科目表!$A$4:$A$81,MATCH($E534,科目表!$B$4:$B$81,0)),""))</f>
        <v/>
      </c>
      <c r="G534" s="26" t="str">
        <f>IF($E534="","",IFERROR(INDEX(科目表!$E$4:$E$81,MATCH($E534,科目表!$B$4:$B$81,0)),""))</f>
        <v/>
      </c>
      <c r="H534" s="27" t="str">
        <f>IF($E534="","",N(INDEX(进销存对接!$M$4:$U$305,177,8)))</f>
        <v/>
      </c>
      <c r="I534" s="27" t="str">
        <f>IF($E534="","",N(INDEX(进销存对接!$M$4:$U$305,177,9)))</f>
        <v/>
      </c>
      <c r="J534" s="26"/>
      <c r="K534" s="26" t="str">
        <f>IF($E534="","",INDEX(进销存对接!$D$4:$D$305,177))</f>
        <v/>
      </c>
      <c r="L534" s="32"/>
      <c r="M534" s="32"/>
      <c r="N534" s="26" t="str">
        <f t="shared" si="34"/>
        <v/>
      </c>
      <c r="O534" s="26" t="str">
        <f t="shared" si="35"/>
        <v/>
      </c>
      <c r="P534" s="10"/>
    </row>
    <row r="535" ht="18" customHeight="1" spans="1:16">
      <c r="A535" s="32" t="str">
        <f t="shared" si="32"/>
        <v/>
      </c>
      <c r="B535" s="100" t="str">
        <f>IF($E535="","",INDEX(进销存对接!$C$4:$C$305,178))</f>
        <v/>
      </c>
      <c r="C535" s="26" t="str">
        <f t="shared" si="33"/>
        <v/>
      </c>
      <c r="D535" s="32" t="str">
        <f>IF($E535="","",INDEX(进销存对接!$D$4:$D$305,178)&amp;" "&amp;TEXT($B535,"YYYY年M月")&amp;" 自动结转")</f>
        <v/>
      </c>
      <c r="E535" s="26" t="str">
        <f>IF(INDEX(进销存对接!$M$4:$U$305,178,1)=0,"",INDEX(进销存对接!$M$4:$U$305,178,1))</f>
        <v/>
      </c>
      <c r="F535" s="25" t="str">
        <f>IF($E535="","",IFERROR(INDEX(科目表!$A$4:$A$81,MATCH($E535,科目表!$B$4:$B$81,0)),""))</f>
        <v/>
      </c>
      <c r="G535" s="26" t="str">
        <f>IF($E535="","",IFERROR(INDEX(科目表!$E$4:$E$81,MATCH($E535,科目表!$B$4:$B$81,0)),""))</f>
        <v/>
      </c>
      <c r="H535" s="27" t="str">
        <f>IF($E535="","",N(INDEX(进销存对接!$M$4:$U$305,178,2)))</f>
        <v/>
      </c>
      <c r="I535" s="27" t="str">
        <f>IF($E535="","",N(INDEX(进销存对接!$M$4:$U$305,178,3)))</f>
        <v/>
      </c>
      <c r="J535" s="26"/>
      <c r="K535" s="26" t="str">
        <f>IF($E535="","",INDEX(进销存对接!$D$4:$D$305,178))</f>
        <v/>
      </c>
      <c r="L535" s="32"/>
      <c r="M535" s="32"/>
      <c r="N535" s="26" t="str">
        <f t="shared" si="34"/>
        <v/>
      </c>
      <c r="O535" s="26" t="str">
        <f t="shared" si="35"/>
        <v/>
      </c>
      <c r="P535" s="10"/>
    </row>
    <row r="536" ht="18" customHeight="1" spans="1:16">
      <c r="A536" s="32" t="str">
        <f t="shared" si="32"/>
        <v/>
      </c>
      <c r="B536" s="100" t="str">
        <f>IF($E536="","",INDEX(进销存对接!$C$4:$C$305,178))</f>
        <v/>
      </c>
      <c r="C536" s="26" t="str">
        <f t="shared" si="33"/>
        <v/>
      </c>
      <c r="D536" s="32" t="str">
        <f>IF($E536="","",INDEX(进销存对接!$D$4:$D$305,178)&amp;" "&amp;TEXT($B536,"YYYY年M月")&amp;" 自动结转")</f>
        <v/>
      </c>
      <c r="E536" s="26" t="str">
        <f>IF(INDEX(进销存对接!$M$4:$U$305,178,4)=0,"",INDEX(进销存对接!$M$4:$U$305,178,4))</f>
        <v/>
      </c>
      <c r="F536" s="25" t="str">
        <f>IF($E536="","",IFERROR(INDEX(科目表!$A$4:$A$81,MATCH($E536,科目表!$B$4:$B$81,0)),""))</f>
        <v/>
      </c>
      <c r="G536" s="26" t="str">
        <f>IF($E536="","",IFERROR(INDEX(科目表!$E$4:$E$81,MATCH($E536,科目表!$B$4:$B$81,0)),""))</f>
        <v/>
      </c>
      <c r="H536" s="27" t="str">
        <f>IF($E536="","",N(INDEX(进销存对接!$M$4:$U$305,178,5)))</f>
        <v/>
      </c>
      <c r="I536" s="27" t="str">
        <f>IF($E536="","",N(INDEX(进销存对接!$M$4:$U$305,178,6)))</f>
        <v/>
      </c>
      <c r="J536" s="26"/>
      <c r="K536" s="26" t="str">
        <f>IF($E536="","",INDEX(进销存对接!$D$4:$D$305,178))</f>
        <v/>
      </c>
      <c r="L536" s="32"/>
      <c r="M536" s="32"/>
      <c r="N536" s="26" t="str">
        <f t="shared" si="34"/>
        <v/>
      </c>
      <c r="O536" s="26" t="str">
        <f t="shared" si="35"/>
        <v/>
      </c>
      <c r="P536" s="10"/>
    </row>
    <row r="537" ht="18" customHeight="1" spans="1:16">
      <c r="A537" s="32" t="str">
        <f t="shared" si="32"/>
        <v/>
      </c>
      <c r="B537" s="100" t="str">
        <f>IF($E537="","",INDEX(进销存对接!$C$4:$C$305,178))</f>
        <v/>
      </c>
      <c r="C537" s="26" t="str">
        <f t="shared" si="33"/>
        <v/>
      </c>
      <c r="D537" s="32" t="str">
        <f>IF($E537="","",INDEX(进销存对接!$D$4:$D$305,178)&amp;" "&amp;TEXT($B537,"YYYY年M月")&amp;" 自动结转")</f>
        <v/>
      </c>
      <c r="E537" s="26" t="str">
        <f>IF(INDEX(进销存对接!$M$4:$U$305,178,7)=0,"",INDEX(进销存对接!$M$4:$U$305,178,7))</f>
        <v/>
      </c>
      <c r="F537" s="25" t="str">
        <f>IF($E537="","",IFERROR(INDEX(科目表!$A$4:$A$81,MATCH($E537,科目表!$B$4:$B$81,0)),""))</f>
        <v/>
      </c>
      <c r="G537" s="26" t="str">
        <f>IF($E537="","",IFERROR(INDEX(科目表!$E$4:$E$81,MATCH($E537,科目表!$B$4:$B$81,0)),""))</f>
        <v/>
      </c>
      <c r="H537" s="27" t="str">
        <f>IF($E537="","",N(INDEX(进销存对接!$M$4:$U$305,178,8)))</f>
        <v/>
      </c>
      <c r="I537" s="27" t="str">
        <f>IF($E537="","",N(INDEX(进销存对接!$M$4:$U$305,178,9)))</f>
        <v/>
      </c>
      <c r="J537" s="26"/>
      <c r="K537" s="26" t="str">
        <f>IF($E537="","",INDEX(进销存对接!$D$4:$D$305,178))</f>
        <v/>
      </c>
      <c r="L537" s="32"/>
      <c r="M537" s="32"/>
      <c r="N537" s="26" t="str">
        <f t="shared" si="34"/>
        <v/>
      </c>
      <c r="O537" s="26" t="str">
        <f t="shared" si="35"/>
        <v/>
      </c>
      <c r="P537" s="10"/>
    </row>
    <row r="538" ht="18" customHeight="1" spans="1:16">
      <c r="A538" s="32" t="str">
        <f t="shared" si="32"/>
        <v/>
      </c>
      <c r="B538" s="100" t="str">
        <f>IF($E538="","",INDEX(进销存对接!$C$4:$C$305,179))</f>
        <v/>
      </c>
      <c r="C538" s="26" t="str">
        <f t="shared" si="33"/>
        <v/>
      </c>
      <c r="D538" s="32" t="str">
        <f>IF($E538="","",INDEX(进销存对接!$D$4:$D$305,179)&amp;" "&amp;TEXT($B538,"YYYY年M月")&amp;" 自动结转")</f>
        <v/>
      </c>
      <c r="E538" s="26" t="str">
        <f>IF(INDEX(进销存对接!$M$4:$U$305,179,1)=0,"",INDEX(进销存对接!$M$4:$U$305,179,1))</f>
        <v/>
      </c>
      <c r="F538" s="25" t="str">
        <f>IF($E538="","",IFERROR(INDEX(科目表!$A$4:$A$81,MATCH($E538,科目表!$B$4:$B$81,0)),""))</f>
        <v/>
      </c>
      <c r="G538" s="26" t="str">
        <f>IF($E538="","",IFERROR(INDEX(科目表!$E$4:$E$81,MATCH($E538,科目表!$B$4:$B$81,0)),""))</f>
        <v/>
      </c>
      <c r="H538" s="27" t="str">
        <f>IF($E538="","",N(INDEX(进销存对接!$M$4:$U$305,179,2)))</f>
        <v/>
      </c>
      <c r="I538" s="27" t="str">
        <f>IF($E538="","",N(INDEX(进销存对接!$M$4:$U$305,179,3)))</f>
        <v/>
      </c>
      <c r="J538" s="26"/>
      <c r="K538" s="26" t="str">
        <f>IF($E538="","",INDEX(进销存对接!$D$4:$D$305,179))</f>
        <v/>
      </c>
      <c r="L538" s="32"/>
      <c r="M538" s="32"/>
      <c r="N538" s="26" t="str">
        <f t="shared" si="34"/>
        <v/>
      </c>
      <c r="O538" s="26" t="str">
        <f t="shared" si="35"/>
        <v/>
      </c>
      <c r="P538" s="10"/>
    </row>
    <row r="539" ht="18" customHeight="1" spans="1:16">
      <c r="A539" s="32" t="str">
        <f t="shared" si="32"/>
        <v/>
      </c>
      <c r="B539" s="100" t="str">
        <f>IF($E539="","",INDEX(进销存对接!$C$4:$C$305,179))</f>
        <v/>
      </c>
      <c r="C539" s="26" t="str">
        <f t="shared" si="33"/>
        <v/>
      </c>
      <c r="D539" s="32" t="str">
        <f>IF($E539="","",INDEX(进销存对接!$D$4:$D$305,179)&amp;" "&amp;TEXT($B539,"YYYY年M月")&amp;" 自动结转")</f>
        <v/>
      </c>
      <c r="E539" s="26" t="str">
        <f>IF(INDEX(进销存对接!$M$4:$U$305,179,4)=0,"",INDEX(进销存对接!$M$4:$U$305,179,4))</f>
        <v/>
      </c>
      <c r="F539" s="25" t="str">
        <f>IF($E539="","",IFERROR(INDEX(科目表!$A$4:$A$81,MATCH($E539,科目表!$B$4:$B$81,0)),""))</f>
        <v/>
      </c>
      <c r="G539" s="26" t="str">
        <f>IF($E539="","",IFERROR(INDEX(科目表!$E$4:$E$81,MATCH($E539,科目表!$B$4:$B$81,0)),""))</f>
        <v/>
      </c>
      <c r="H539" s="27" t="str">
        <f>IF($E539="","",N(INDEX(进销存对接!$M$4:$U$305,179,5)))</f>
        <v/>
      </c>
      <c r="I539" s="27" t="str">
        <f>IF($E539="","",N(INDEX(进销存对接!$M$4:$U$305,179,6)))</f>
        <v/>
      </c>
      <c r="J539" s="26"/>
      <c r="K539" s="26" t="str">
        <f>IF($E539="","",INDEX(进销存对接!$D$4:$D$305,179))</f>
        <v/>
      </c>
      <c r="L539" s="32"/>
      <c r="M539" s="32"/>
      <c r="N539" s="26" t="str">
        <f t="shared" si="34"/>
        <v/>
      </c>
      <c r="O539" s="26" t="str">
        <f t="shared" si="35"/>
        <v/>
      </c>
      <c r="P539" s="10"/>
    </row>
    <row r="540" ht="18" customHeight="1" spans="1:16">
      <c r="A540" s="32" t="str">
        <f t="shared" si="32"/>
        <v/>
      </c>
      <c r="B540" s="100" t="str">
        <f>IF($E540="","",INDEX(进销存对接!$C$4:$C$305,179))</f>
        <v/>
      </c>
      <c r="C540" s="26" t="str">
        <f t="shared" si="33"/>
        <v/>
      </c>
      <c r="D540" s="32" t="str">
        <f>IF($E540="","",INDEX(进销存对接!$D$4:$D$305,179)&amp;" "&amp;TEXT($B540,"YYYY年M月")&amp;" 自动结转")</f>
        <v/>
      </c>
      <c r="E540" s="26" t="str">
        <f>IF(INDEX(进销存对接!$M$4:$U$305,179,7)=0,"",INDEX(进销存对接!$M$4:$U$305,179,7))</f>
        <v/>
      </c>
      <c r="F540" s="25" t="str">
        <f>IF($E540="","",IFERROR(INDEX(科目表!$A$4:$A$81,MATCH($E540,科目表!$B$4:$B$81,0)),""))</f>
        <v/>
      </c>
      <c r="G540" s="26" t="str">
        <f>IF($E540="","",IFERROR(INDEX(科目表!$E$4:$E$81,MATCH($E540,科目表!$B$4:$B$81,0)),""))</f>
        <v/>
      </c>
      <c r="H540" s="27" t="str">
        <f>IF($E540="","",N(INDEX(进销存对接!$M$4:$U$305,179,8)))</f>
        <v/>
      </c>
      <c r="I540" s="27" t="str">
        <f>IF($E540="","",N(INDEX(进销存对接!$M$4:$U$305,179,9)))</f>
        <v/>
      </c>
      <c r="J540" s="26"/>
      <c r="K540" s="26" t="str">
        <f>IF($E540="","",INDEX(进销存对接!$D$4:$D$305,179))</f>
        <v/>
      </c>
      <c r="L540" s="32"/>
      <c r="M540" s="32"/>
      <c r="N540" s="26" t="str">
        <f t="shared" si="34"/>
        <v/>
      </c>
      <c r="O540" s="26" t="str">
        <f t="shared" si="35"/>
        <v/>
      </c>
      <c r="P540" s="10"/>
    </row>
    <row r="541" ht="18" customHeight="1" spans="1:16">
      <c r="A541" s="32" t="str">
        <f t="shared" si="32"/>
        <v/>
      </c>
      <c r="B541" s="100" t="str">
        <f>IF($E541="","",INDEX(进销存对接!$C$4:$C$305,180))</f>
        <v/>
      </c>
      <c r="C541" s="26" t="str">
        <f t="shared" si="33"/>
        <v/>
      </c>
      <c r="D541" s="32" t="str">
        <f>IF($E541="","",INDEX(进销存对接!$D$4:$D$305,180)&amp;" "&amp;TEXT($B541,"YYYY年M月")&amp;" 自动结转")</f>
        <v/>
      </c>
      <c r="E541" s="26" t="str">
        <f>IF(INDEX(进销存对接!$M$4:$U$305,180,1)=0,"",INDEX(进销存对接!$M$4:$U$305,180,1))</f>
        <v/>
      </c>
      <c r="F541" s="25" t="str">
        <f>IF($E541="","",IFERROR(INDEX(科目表!$A$4:$A$81,MATCH($E541,科目表!$B$4:$B$81,0)),""))</f>
        <v/>
      </c>
      <c r="G541" s="26" t="str">
        <f>IF($E541="","",IFERROR(INDEX(科目表!$E$4:$E$81,MATCH($E541,科目表!$B$4:$B$81,0)),""))</f>
        <v/>
      </c>
      <c r="H541" s="27" t="str">
        <f>IF($E541="","",N(INDEX(进销存对接!$M$4:$U$305,180,2)))</f>
        <v/>
      </c>
      <c r="I541" s="27" t="str">
        <f>IF($E541="","",N(INDEX(进销存对接!$M$4:$U$305,180,3)))</f>
        <v/>
      </c>
      <c r="J541" s="26"/>
      <c r="K541" s="26" t="str">
        <f>IF($E541="","",INDEX(进销存对接!$D$4:$D$305,180))</f>
        <v/>
      </c>
      <c r="L541" s="32"/>
      <c r="M541" s="32"/>
      <c r="N541" s="26" t="str">
        <f t="shared" si="34"/>
        <v/>
      </c>
      <c r="O541" s="26" t="str">
        <f t="shared" si="35"/>
        <v/>
      </c>
      <c r="P541" s="10"/>
    </row>
    <row r="542" ht="18" customHeight="1" spans="1:16">
      <c r="A542" s="32" t="str">
        <f t="shared" si="32"/>
        <v/>
      </c>
      <c r="B542" s="100" t="str">
        <f>IF($E542="","",INDEX(进销存对接!$C$4:$C$305,180))</f>
        <v/>
      </c>
      <c r="C542" s="26" t="str">
        <f t="shared" si="33"/>
        <v/>
      </c>
      <c r="D542" s="32" t="str">
        <f>IF($E542="","",INDEX(进销存对接!$D$4:$D$305,180)&amp;" "&amp;TEXT($B542,"YYYY年M月")&amp;" 自动结转")</f>
        <v/>
      </c>
      <c r="E542" s="26" t="str">
        <f>IF(INDEX(进销存对接!$M$4:$U$305,180,4)=0,"",INDEX(进销存对接!$M$4:$U$305,180,4))</f>
        <v/>
      </c>
      <c r="F542" s="25" t="str">
        <f>IF($E542="","",IFERROR(INDEX(科目表!$A$4:$A$81,MATCH($E542,科目表!$B$4:$B$81,0)),""))</f>
        <v/>
      </c>
      <c r="G542" s="26" t="str">
        <f>IF($E542="","",IFERROR(INDEX(科目表!$E$4:$E$81,MATCH($E542,科目表!$B$4:$B$81,0)),""))</f>
        <v/>
      </c>
      <c r="H542" s="27" t="str">
        <f>IF($E542="","",N(INDEX(进销存对接!$M$4:$U$305,180,5)))</f>
        <v/>
      </c>
      <c r="I542" s="27" t="str">
        <f>IF($E542="","",N(INDEX(进销存对接!$M$4:$U$305,180,6)))</f>
        <v/>
      </c>
      <c r="J542" s="26"/>
      <c r="K542" s="26" t="str">
        <f>IF($E542="","",INDEX(进销存对接!$D$4:$D$305,180))</f>
        <v/>
      </c>
      <c r="L542" s="32"/>
      <c r="M542" s="32"/>
      <c r="N542" s="26" t="str">
        <f t="shared" si="34"/>
        <v/>
      </c>
      <c r="O542" s="26" t="str">
        <f t="shared" si="35"/>
        <v/>
      </c>
      <c r="P542" s="10"/>
    </row>
    <row r="543" ht="18" customHeight="1" spans="1:16">
      <c r="A543" s="32" t="str">
        <f t="shared" si="32"/>
        <v/>
      </c>
      <c r="B543" s="100" t="str">
        <f>IF($E543="","",INDEX(进销存对接!$C$4:$C$305,180))</f>
        <v/>
      </c>
      <c r="C543" s="26" t="str">
        <f t="shared" si="33"/>
        <v/>
      </c>
      <c r="D543" s="32" t="str">
        <f>IF($E543="","",INDEX(进销存对接!$D$4:$D$305,180)&amp;" "&amp;TEXT($B543,"YYYY年M月")&amp;" 自动结转")</f>
        <v/>
      </c>
      <c r="E543" s="26" t="str">
        <f>IF(INDEX(进销存对接!$M$4:$U$305,180,7)=0,"",INDEX(进销存对接!$M$4:$U$305,180,7))</f>
        <v/>
      </c>
      <c r="F543" s="25" t="str">
        <f>IF($E543="","",IFERROR(INDEX(科目表!$A$4:$A$81,MATCH($E543,科目表!$B$4:$B$81,0)),""))</f>
        <v/>
      </c>
      <c r="G543" s="26" t="str">
        <f>IF($E543="","",IFERROR(INDEX(科目表!$E$4:$E$81,MATCH($E543,科目表!$B$4:$B$81,0)),""))</f>
        <v/>
      </c>
      <c r="H543" s="27" t="str">
        <f>IF($E543="","",N(INDEX(进销存对接!$M$4:$U$305,180,8)))</f>
        <v/>
      </c>
      <c r="I543" s="27" t="str">
        <f>IF($E543="","",N(INDEX(进销存对接!$M$4:$U$305,180,9)))</f>
        <v/>
      </c>
      <c r="J543" s="26"/>
      <c r="K543" s="26" t="str">
        <f>IF($E543="","",INDEX(进销存对接!$D$4:$D$305,180))</f>
        <v/>
      </c>
      <c r="L543" s="32"/>
      <c r="M543" s="32"/>
      <c r="N543" s="26" t="str">
        <f t="shared" si="34"/>
        <v/>
      </c>
      <c r="O543" s="26" t="str">
        <f t="shared" si="35"/>
        <v/>
      </c>
      <c r="P543" s="10"/>
    </row>
    <row r="544" ht="18" customHeight="1" spans="1:16">
      <c r="A544" s="32" t="str">
        <f t="shared" si="32"/>
        <v/>
      </c>
      <c r="B544" s="100" t="str">
        <f>IF($E544="","",INDEX(进销存对接!$C$4:$C$305,181))</f>
        <v/>
      </c>
      <c r="C544" s="26" t="str">
        <f t="shared" si="33"/>
        <v/>
      </c>
      <c r="D544" s="32" t="str">
        <f>IF($E544="","",INDEX(进销存对接!$D$4:$D$305,181)&amp;" "&amp;TEXT($B544,"YYYY年M月")&amp;" 自动结转")</f>
        <v/>
      </c>
      <c r="E544" s="26" t="str">
        <f>IF(INDEX(进销存对接!$M$4:$U$305,181,1)=0,"",INDEX(进销存对接!$M$4:$U$305,181,1))</f>
        <v/>
      </c>
      <c r="F544" s="25" t="str">
        <f>IF($E544="","",IFERROR(INDEX(科目表!$A$4:$A$81,MATCH($E544,科目表!$B$4:$B$81,0)),""))</f>
        <v/>
      </c>
      <c r="G544" s="26" t="str">
        <f>IF($E544="","",IFERROR(INDEX(科目表!$E$4:$E$81,MATCH($E544,科目表!$B$4:$B$81,0)),""))</f>
        <v/>
      </c>
      <c r="H544" s="27" t="str">
        <f>IF($E544="","",N(INDEX(进销存对接!$M$4:$U$305,181,2)))</f>
        <v/>
      </c>
      <c r="I544" s="27" t="str">
        <f>IF($E544="","",N(INDEX(进销存对接!$M$4:$U$305,181,3)))</f>
        <v/>
      </c>
      <c r="J544" s="26"/>
      <c r="K544" s="26" t="str">
        <f>IF($E544="","",INDEX(进销存对接!$D$4:$D$305,181))</f>
        <v/>
      </c>
      <c r="L544" s="32"/>
      <c r="M544" s="32"/>
      <c r="N544" s="26" t="str">
        <f t="shared" si="34"/>
        <v/>
      </c>
      <c r="O544" s="26" t="str">
        <f t="shared" si="35"/>
        <v/>
      </c>
      <c r="P544" s="10"/>
    </row>
    <row r="545" ht="18" customHeight="1" spans="1:16">
      <c r="A545" s="32" t="str">
        <f t="shared" si="32"/>
        <v/>
      </c>
      <c r="B545" s="100" t="str">
        <f>IF($E545="","",INDEX(进销存对接!$C$4:$C$305,181))</f>
        <v/>
      </c>
      <c r="C545" s="26" t="str">
        <f t="shared" si="33"/>
        <v/>
      </c>
      <c r="D545" s="32" t="str">
        <f>IF($E545="","",INDEX(进销存对接!$D$4:$D$305,181)&amp;" "&amp;TEXT($B545,"YYYY年M月")&amp;" 自动结转")</f>
        <v/>
      </c>
      <c r="E545" s="26" t="str">
        <f>IF(INDEX(进销存对接!$M$4:$U$305,181,4)=0,"",INDEX(进销存对接!$M$4:$U$305,181,4))</f>
        <v/>
      </c>
      <c r="F545" s="25" t="str">
        <f>IF($E545="","",IFERROR(INDEX(科目表!$A$4:$A$81,MATCH($E545,科目表!$B$4:$B$81,0)),""))</f>
        <v/>
      </c>
      <c r="G545" s="26" t="str">
        <f>IF($E545="","",IFERROR(INDEX(科目表!$E$4:$E$81,MATCH($E545,科目表!$B$4:$B$81,0)),""))</f>
        <v/>
      </c>
      <c r="H545" s="27" t="str">
        <f>IF($E545="","",N(INDEX(进销存对接!$M$4:$U$305,181,5)))</f>
        <v/>
      </c>
      <c r="I545" s="27" t="str">
        <f>IF($E545="","",N(INDEX(进销存对接!$M$4:$U$305,181,6)))</f>
        <v/>
      </c>
      <c r="J545" s="26"/>
      <c r="K545" s="26" t="str">
        <f>IF($E545="","",INDEX(进销存对接!$D$4:$D$305,181))</f>
        <v/>
      </c>
      <c r="L545" s="32"/>
      <c r="M545" s="32"/>
      <c r="N545" s="26" t="str">
        <f t="shared" si="34"/>
        <v/>
      </c>
      <c r="O545" s="26" t="str">
        <f t="shared" si="35"/>
        <v/>
      </c>
      <c r="P545" s="10"/>
    </row>
    <row r="546" ht="18" customHeight="1" spans="1:16">
      <c r="A546" s="32" t="str">
        <f t="shared" si="32"/>
        <v/>
      </c>
      <c r="B546" s="100" t="str">
        <f>IF($E546="","",INDEX(进销存对接!$C$4:$C$305,181))</f>
        <v/>
      </c>
      <c r="C546" s="26" t="str">
        <f t="shared" si="33"/>
        <v/>
      </c>
      <c r="D546" s="32" t="str">
        <f>IF($E546="","",INDEX(进销存对接!$D$4:$D$305,181)&amp;" "&amp;TEXT($B546,"YYYY年M月")&amp;" 自动结转")</f>
        <v/>
      </c>
      <c r="E546" s="26" t="str">
        <f>IF(INDEX(进销存对接!$M$4:$U$305,181,7)=0,"",INDEX(进销存对接!$M$4:$U$305,181,7))</f>
        <v/>
      </c>
      <c r="F546" s="25" t="str">
        <f>IF($E546="","",IFERROR(INDEX(科目表!$A$4:$A$81,MATCH($E546,科目表!$B$4:$B$81,0)),""))</f>
        <v/>
      </c>
      <c r="G546" s="26" t="str">
        <f>IF($E546="","",IFERROR(INDEX(科目表!$E$4:$E$81,MATCH($E546,科目表!$B$4:$B$81,0)),""))</f>
        <v/>
      </c>
      <c r="H546" s="27" t="str">
        <f>IF($E546="","",N(INDEX(进销存对接!$M$4:$U$305,181,8)))</f>
        <v/>
      </c>
      <c r="I546" s="27" t="str">
        <f>IF($E546="","",N(INDEX(进销存对接!$M$4:$U$305,181,9)))</f>
        <v/>
      </c>
      <c r="J546" s="26"/>
      <c r="K546" s="26" t="str">
        <f>IF($E546="","",INDEX(进销存对接!$D$4:$D$305,181))</f>
        <v/>
      </c>
      <c r="L546" s="32"/>
      <c r="M546" s="32"/>
      <c r="N546" s="26" t="str">
        <f t="shared" si="34"/>
        <v/>
      </c>
      <c r="O546" s="26" t="str">
        <f t="shared" si="35"/>
        <v/>
      </c>
      <c r="P546" s="10"/>
    </row>
    <row r="547" ht="18" customHeight="1" spans="1:16">
      <c r="A547" s="32" t="str">
        <f t="shared" si="32"/>
        <v/>
      </c>
      <c r="B547" s="100" t="str">
        <f>IF($E547="","",INDEX(进销存对接!$C$4:$C$305,182))</f>
        <v/>
      </c>
      <c r="C547" s="26" t="str">
        <f t="shared" si="33"/>
        <v/>
      </c>
      <c r="D547" s="32" t="str">
        <f>IF($E547="","",INDEX(进销存对接!$D$4:$D$305,182)&amp;" "&amp;TEXT($B547,"YYYY年M月")&amp;" 自动结转")</f>
        <v/>
      </c>
      <c r="E547" s="26" t="str">
        <f>IF(INDEX(进销存对接!$M$4:$U$305,182,1)=0,"",INDEX(进销存对接!$M$4:$U$305,182,1))</f>
        <v/>
      </c>
      <c r="F547" s="25" t="str">
        <f>IF($E547="","",IFERROR(INDEX(科目表!$A$4:$A$81,MATCH($E547,科目表!$B$4:$B$81,0)),""))</f>
        <v/>
      </c>
      <c r="G547" s="26" t="str">
        <f>IF($E547="","",IFERROR(INDEX(科目表!$E$4:$E$81,MATCH($E547,科目表!$B$4:$B$81,0)),""))</f>
        <v/>
      </c>
      <c r="H547" s="27" t="str">
        <f>IF($E547="","",N(INDEX(进销存对接!$M$4:$U$305,182,2)))</f>
        <v/>
      </c>
      <c r="I547" s="27" t="str">
        <f>IF($E547="","",N(INDEX(进销存对接!$M$4:$U$305,182,3)))</f>
        <v/>
      </c>
      <c r="J547" s="26"/>
      <c r="K547" s="26" t="str">
        <f>IF($E547="","",INDEX(进销存对接!$D$4:$D$305,182))</f>
        <v/>
      </c>
      <c r="L547" s="32"/>
      <c r="M547" s="32"/>
      <c r="N547" s="26" t="str">
        <f t="shared" si="34"/>
        <v/>
      </c>
      <c r="O547" s="26" t="str">
        <f t="shared" si="35"/>
        <v/>
      </c>
      <c r="P547" s="10"/>
    </row>
    <row r="548" ht="18" customHeight="1" spans="1:16">
      <c r="A548" s="32" t="str">
        <f t="shared" si="32"/>
        <v/>
      </c>
      <c r="B548" s="100" t="str">
        <f>IF($E548="","",INDEX(进销存对接!$C$4:$C$305,182))</f>
        <v/>
      </c>
      <c r="C548" s="26" t="str">
        <f t="shared" si="33"/>
        <v/>
      </c>
      <c r="D548" s="32" t="str">
        <f>IF($E548="","",INDEX(进销存对接!$D$4:$D$305,182)&amp;" "&amp;TEXT($B548,"YYYY年M月")&amp;" 自动结转")</f>
        <v/>
      </c>
      <c r="E548" s="26" t="str">
        <f>IF(INDEX(进销存对接!$M$4:$U$305,182,4)=0,"",INDEX(进销存对接!$M$4:$U$305,182,4))</f>
        <v/>
      </c>
      <c r="F548" s="25" t="str">
        <f>IF($E548="","",IFERROR(INDEX(科目表!$A$4:$A$81,MATCH($E548,科目表!$B$4:$B$81,0)),""))</f>
        <v/>
      </c>
      <c r="G548" s="26" t="str">
        <f>IF($E548="","",IFERROR(INDEX(科目表!$E$4:$E$81,MATCH($E548,科目表!$B$4:$B$81,0)),""))</f>
        <v/>
      </c>
      <c r="H548" s="27" t="str">
        <f>IF($E548="","",N(INDEX(进销存对接!$M$4:$U$305,182,5)))</f>
        <v/>
      </c>
      <c r="I548" s="27" t="str">
        <f>IF($E548="","",N(INDEX(进销存对接!$M$4:$U$305,182,6)))</f>
        <v/>
      </c>
      <c r="J548" s="26"/>
      <c r="K548" s="26" t="str">
        <f>IF($E548="","",INDEX(进销存对接!$D$4:$D$305,182))</f>
        <v/>
      </c>
      <c r="L548" s="32"/>
      <c r="M548" s="32"/>
      <c r="N548" s="26" t="str">
        <f t="shared" si="34"/>
        <v/>
      </c>
      <c r="O548" s="26" t="str">
        <f t="shared" si="35"/>
        <v/>
      </c>
      <c r="P548" s="10"/>
    </row>
    <row r="549" ht="18" customHeight="1" spans="1:16">
      <c r="A549" s="32" t="str">
        <f t="shared" si="32"/>
        <v/>
      </c>
      <c r="B549" s="100" t="str">
        <f>IF($E549="","",INDEX(进销存对接!$C$4:$C$305,182))</f>
        <v/>
      </c>
      <c r="C549" s="26" t="str">
        <f t="shared" si="33"/>
        <v/>
      </c>
      <c r="D549" s="32" t="str">
        <f>IF($E549="","",INDEX(进销存对接!$D$4:$D$305,182)&amp;" "&amp;TEXT($B549,"YYYY年M月")&amp;" 自动结转")</f>
        <v/>
      </c>
      <c r="E549" s="26" t="str">
        <f>IF(INDEX(进销存对接!$M$4:$U$305,182,7)=0,"",INDEX(进销存对接!$M$4:$U$305,182,7))</f>
        <v/>
      </c>
      <c r="F549" s="25" t="str">
        <f>IF($E549="","",IFERROR(INDEX(科目表!$A$4:$A$81,MATCH($E549,科目表!$B$4:$B$81,0)),""))</f>
        <v/>
      </c>
      <c r="G549" s="26" t="str">
        <f>IF($E549="","",IFERROR(INDEX(科目表!$E$4:$E$81,MATCH($E549,科目表!$B$4:$B$81,0)),""))</f>
        <v/>
      </c>
      <c r="H549" s="27" t="str">
        <f>IF($E549="","",N(INDEX(进销存对接!$M$4:$U$305,182,8)))</f>
        <v/>
      </c>
      <c r="I549" s="27" t="str">
        <f>IF($E549="","",N(INDEX(进销存对接!$M$4:$U$305,182,9)))</f>
        <v/>
      </c>
      <c r="J549" s="26"/>
      <c r="K549" s="26" t="str">
        <f>IF($E549="","",INDEX(进销存对接!$D$4:$D$305,182))</f>
        <v/>
      </c>
      <c r="L549" s="32"/>
      <c r="M549" s="32"/>
      <c r="N549" s="26" t="str">
        <f t="shared" si="34"/>
        <v/>
      </c>
      <c r="O549" s="26" t="str">
        <f t="shared" si="35"/>
        <v/>
      </c>
      <c r="P549" s="10"/>
    </row>
    <row r="550" ht="18" customHeight="1" spans="1:16">
      <c r="A550" s="32" t="str">
        <f t="shared" si="32"/>
        <v/>
      </c>
      <c r="B550" s="100" t="str">
        <f>IF($E550="","",INDEX(进销存对接!$C$4:$C$305,183))</f>
        <v/>
      </c>
      <c r="C550" s="26" t="str">
        <f t="shared" si="33"/>
        <v/>
      </c>
      <c r="D550" s="32" t="str">
        <f>IF($E550="","",INDEX(进销存对接!$D$4:$D$305,183)&amp;" "&amp;TEXT($B550,"YYYY年M月")&amp;" 自动结转")</f>
        <v/>
      </c>
      <c r="E550" s="26" t="str">
        <f>IF(INDEX(进销存对接!$M$4:$U$305,183,1)=0,"",INDEX(进销存对接!$M$4:$U$305,183,1))</f>
        <v/>
      </c>
      <c r="F550" s="25" t="str">
        <f>IF($E550="","",IFERROR(INDEX(科目表!$A$4:$A$81,MATCH($E550,科目表!$B$4:$B$81,0)),""))</f>
        <v/>
      </c>
      <c r="G550" s="26" t="str">
        <f>IF($E550="","",IFERROR(INDEX(科目表!$E$4:$E$81,MATCH($E550,科目表!$B$4:$B$81,0)),""))</f>
        <v/>
      </c>
      <c r="H550" s="27" t="str">
        <f>IF($E550="","",N(INDEX(进销存对接!$M$4:$U$305,183,2)))</f>
        <v/>
      </c>
      <c r="I550" s="27" t="str">
        <f>IF($E550="","",N(INDEX(进销存对接!$M$4:$U$305,183,3)))</f>
        <v/>
      </c>
      <c r="J550" s="26"/>
      <c r="K550" s="26" t="str">
        <f>IF($E550="","",INDEX(进销存对接!$D$4:$D$305,183))</f>
        <v/>
      </c>
      <c r="L550" s="32"/>
      <c r="M550" s="32"/>
      <c r="N550" s="26" t="str">
        <f t="shared" si="34"/>
        <v/>
      </c>
      <c r="O550" s="26" t="str">
        <f t="shared" si="35"/>
        <v/>
      </c>
      <c r="P550" s="10"/>
    </row>
    <row r="551" ht="18" customHeight="1" spans="1:16">
      <c r="A551" s="32" t="str">
        <f t="shared" si="32"/>
        <v/>
      </c>
      <c r="B551" s="100" t="str">
        <f>IF($E551="","",INDEX(进销存对接!$C$4:$C$305,183))</f>
        <v/>
      </c>
      <c r="C551" s="26" t="str">
        <f t="shared" si="33"/>
        <v/>
      </c>
      <c r="D551" s="32" t="str">
        <f>IF($E551="","",INDEX(进销存对接!$D$4:$D$305,183)&amp;" "&amp;TEXT($B551,"YYYY年M月")&amp;" 自动结转")</f>
        <v/>
      </c>
      <c r="E551" s="26" t="str">
        <f>IF(INDEX(进销存对接!$M$4:$U$305,183,4)=0,"",INDEX(进销存对接!$M$4:$U$305,183,4))</f>
        <v/>
      </c>
      <c r="F551" s="25" t="str">
        <f>IF($E551="","",IFERROR(INDEX(科目表!$A$4:$A$81,MATCH($E551,科目表!$B$4:$B$81,0)),""))</f>
        <v/>
      </c>
      <c r="G551" s="26" t="str">
        <f>IF($E551="","",IFERROR(INDEX(科目表!$E$4:$E$81,MATCH($E551,科目表!$B$4:$B$81,0)),""))</f>
        <v/>
      </c>
      <c r="H551" s="27" t="str">
        <f>IF($E551="","",N(INDEX(进销存对接!$M$4:$U$305,183,5)))</f>
        <v/>
      </c>
      <c r="I551" s="27" t="str">
        <f>IF($E551="","",N(INDEX(进销存对接!$M$4:$U$305,183,6)))</f>
        <v/>
      </c>
      <c r="J551" s="26"/>
      <c r="K551" s="26" t="str">
        <f>IF($E551="","",INDEX(进销存对接!$D$4:$D$305,183))</f>
        <v/>
      </c>
      <c r="L551" s="32"/>
      <c r="M551" s="32"/>
      <c r="N551" s="26" t="str">
        <f t="shared" si="34"/>
        <v/>
      </c>
      <c r="O551" s="26" t="str">
        <f t="shared" si="35"/>
        <v/>
      </c>
      <c r="P551" s="10"/>
    </row>
    <row r="552" ht="18" customHeight="1" spans="1:16">
      <c r="A552" s="32" t="str">
        <f t="shared" si="32"/>
        <v/>
      </c>
      <c r="B552" s="100" t="str">
        <f>IF($E552="","",INDEX(进销存对接!$C$4:$C$305,183))</f>
        <v/>
      </c>
      <c r="C552" s="26" t="str">
        <f t="shared" si="33"/>
        <v/>
      </c>
      <c r="D552" s="32" t="str">
        <f>IF($E552="","",INDEX(进销存对接!$D$4:$D$305,183)&amp;" "&amp;TEXT($B552,"YYYY年M月")&amp;" 自动结转")</f>
        <v/>
      </c>
      <c r="E552" s="26" t="str">
        <f>IF(INDEX(进销存对接!$M$4:$U$305,183,7)=0,"",INDEX(进销存对接!$M$4:$U$305,183,7))</f>
        <v/>
      </c>
      <c r="F552" s="25" t="str">
        <f>IF($E552="","",IFERROR(INDEX(科目表!$A$4:$A$81,MATCH($E552,科目表!$B$4:$B$81,0)),""))</f>
        <v/>
      </c>
      <c r="G552" s="26" t="str">
        <f>IF($E552="","",IFERROR(INDEX(科目表!$E$4:$E$81,MATCH($E552,科目表!$B$4:$B$81,0)),""))</f>
        <v/>
      </c>
      <c r="H552" s="27" t="str">
        <f>IF($E552="","",N(INDEX(进销存对接!$M$4:$U$305,183,8)))</f>
        <v/>
      </c>
      <c r="I552" s="27" t="str">
        <f>IF($E552="","",N(INDEX(进销存对接!$M$4:$U$305,183,9)))</f>
        <v/>
      </c>
      <c r="J552" s="26"/>
      <c r="K552" s="26" t="str">
        <f>IF($E552="","",INDEX(进销存对接!$D$4:$D$305,183))</f>
        <v/>
      </c>
      <c r="L552" s="32"/>
      <c r="M552" s="32"/>
      <c r="N552" s="26" t="str">
        <f t="shared" si="34"/>
        <v/>
      </c>
      <c r="O552" s="26" t="str">
        <f t="shared" si="35"/>
        <v/>
      </c>
      <c r="P552" s="10"/>
    </row>
    <row r="553" ht="18" customHeight="1" spans="1:16">
      <c r="A553" s="32" t="str">
        <f t="shared" si="32"/>
        <v/>
      </c>
      <c r="B553" s="100" t="str">
        <f>IF($E553="","",INDEX(进销存对接!$C$4:$C$305,184))</f>
        <v/>
      </c>
      <c r="C553" s="26" t="str">
        <f t="shared" si="33"/>
        <v/>
      </c>
      <c r="D553" s="32" t="str">
        <f>IF($E553="","",INDEX(进销存对接!$D$4:$D$305,184)&amp;" "&amp;TEXT($B553,"YYYY年M月")&amp;" 自动结转")</f>
        <v/>
      </c>
      <c r="E553" s="26" t="str">
        <f>IF(INDEX(进销存对接!$M$4:$U$305,184,1)=0,"",INDEX(进销存对接!$M$4:$U$305,184,1))</f>
        <v/>
      </c>
      <c r="F553" s="25" t="str">
        <f>IF($E553="","",IFERROR(INDEX(科目表!$A$4:$A$81,MATCH($E553,科目表!$B$4:$B$81,0)),""))</f>
        <v/>
      </c>
      <c r="G553" s="26" t="str">
        <f>IF($E553="","",IFERROR(INDEX(科目表!$E$4:$E$81,MATCH($E553,科目表!$B$4:$B$81,0)),""))</f>
        <v/>
      </c>
      <c r="H553" s="27" t="str">
        <f>IF($E553="","",N(INDEX(进销存对接!$M$4:$U$305,184,2)))</f>
        <v/>
      </c>
      <c r="I553" s="27" t="str">
        <f>IF($E553="","",N(INDEX(进销存对接!$M$4:$U$305,184,3)))</f>
        <v/>
      </c>
      <c r="J553" s="26"/>
      <c r="K553" s="26" t="str">
        <f>IF($E553="","",INDEX(进销存对接!$D$4:$D$305,184))</f>
        <v/>
      </c>
      <c r="L553" s="32"/>
      <c r="M553" s="32"/>
      <c r="N553" s="26" t="str">
        <f t="shared" si="34"/>
        <v/>
      </c>
      <c r="O553" s="26" t="str">
        <f t="shared" si="35"/>
        <v/>
      </c>
      <c r="P553" s="10"/>
    </row>
    <row r="554" ht="18" customHeight="1" spans="1:16">
      <c r="A554" s="32" t="str">
        <f t="shared" si="32"/>
        <v/>
      </c>
      <c r="B554" s="100" t="str">
        <f>IF($E554="","",INDEX(进销存对接!$C$4:$C$305,184))</f>
        <v/>
      </c>
      <c r="C554" s="26" t="str">
        <f t="shared" si="33"/>
        <v/>
      </c>
      <c r="D554" s="32" t="str">
        <f>IF($E554="","",INDEX(进销存对接!$D$4:$D$305,184)&amp;" "&amp;TEXT($B554,"YYYY年M月")&amp;" 自动结转")</f>
        <v/>
      </c>
      <c r="E554" s="26" t="str">
        <f>IF(INDEX(进销存对接!$M$4:$U$305,184,4)=0,"",INDEX(进销存对接!$M$4:$U$305,184,4))</f>
        <v/>
      </c>
      <c r="F554" s="25" t="str">
        <f>IF($E554="","",IFERROR(INDEX(科目表!$A$4:$A$81,MATCH($E554,科目表!$B$4:$B$81,0)),""))</f>
        <v/>
      </c>
      <c r="G554" s="26" t="str">
        <f>IF($E554="","",IFERROR(INDEX(科目表!$E$4:$E$81,MATCH($E554,科目表!$B$4:$B$81,0)),""))</f>
        <v/>
      </c>
      <c r="H554" s="27" t="str">
        <f>IF($E554="","",N(INDEX(进销存对接!$M$4:$U$305,184,5)))</f>
        <v/>
      </c>
      <c r="I554" s="27" t="str">
        <f>IF($E554="","",N(INDEX(进销存对接!$M$4:$U$305,184,6)))</f>
        <v/>
      </c>
      <c r="J554" s="26"/>
      <c r="K554" s="26" t="str">
        <f>IF($E554="","",INDEX(进销存对接!$D$4:$D$305,184))</f>
        <v/>
      </c>
      <c r="L554" s="32"/>
      <c r="M554" s="32"/>
      <c r="N554" s="26" t="str">
        <f t="shared" si="34"/>
        <v/>
      </c>
      <c r="O554" s="26" t="str">
        <f t="shared" si="35"/>
        <v/>
      </c>
      <c r="P554" s="10"/>
    </row>
    <row r="555" ht="18" customHeight="1" spans="1:16">
      <c r="A555" s="32" t="str">
        <f t="shared" si="32"/>
        <v/>
      </c>
      <c r="B555" s="100" t="str">
        <f>IF($E555="","",INDEX(进销存对接!$C$4:$C$305,184))</f>
        <v/>
      </c>
      <c r="C555" s="26" t="str">
        <f t="shared" si="33"/>
        <v/>
      </c>
      <c r="D555" s="32" t="str">
        <f>IF($E555="","",INDEX(进销存对接!$D$4:$D$305,184)&amp;" "&amp;TEXT($B555,"YYYY年M月")&amp;" 自动结转")</f>
        <v/>
      </c>
      <c r="E555" s="26" t="str">
        <f>IF(INDEX(进销存对接!$M$4:$U$305,184,7)=0,"",INDEX(进销存对接!$M$4:$U$305,184,7))</f>
        <v/>
      </c>
      <c r="F555" s="25" t="str">
        <f>IF($E555="","",IFERROR(INDEX(科目表!$A$4:$A$81,MATCH($E555,科目表!$B$4:$B$81,0)),""))</f>
        <v/>
      </c>
      <c r="G555" s="26" t="str">
        <f>IF($E555="","",IFERROR(INDEX(科目表!$E$4:$E$81,MATCH($E555,科目表!$B$4:$B$81,0)),""))</f>
        <v/>
      </c>
      <c r="H555" s="27" t="str">
        <f>IF($E555="","",N(INDEX(进销存对接!$M$4:$U$305,184,8)))</f>
        <v/>
      </c>
      <c r="I555" s="27" t="str">
        <f>IF($E555="","",N(INDEX(进销存对接!$M$4:$U$305,184,9)))</f>
        <v/>
      </c>
      <c r="J555" s="26"/>
      <c r="K555" s="26" t="str">
        <f>IF($E555="","",INDEX(进销存对接!$D$4:$D$305,184))</f>
        <v/>
      </c>
      <c r="L555" s="32"/>
      <c r="M555" s="32"/>
      <c r="N555" s="26" t="str">
        <f t="shared" si="34"/>
        <v/>
      </c>
      <c r="O555" s="26" t="str">
        <f t="shared" si="35"/>
        <v/>
      </c>
      <c r="P555" s="10"/>
    </row>
    <row r="556" ht="18" customHeight="1" spans="1:16">
      <c r="A556" s="32" t="str">
        <f t="shared" si="32"/>
        <v/>
      </c>
      <c r="B556" s="100" t="str">
        <f>IF($E556="","",INDEX(进销存对接!$C$4:$C$305,185))</f>
        <v/>
      </c>
      <c r="C556" s="26" t="str">
        <f t="shared" si="33"/>
        <v/>
      </c>
      <c r="D556" s="32" t="str">
        <f>IF($E556="","",INDEX(进销存对接!$D$4:$D$305,185)&amp;" "&amp;TEXT($B556,"YYYY年M月")&amp;" 自动结转")</f>
        <v/>
      </c>
      <c r="E556" s="26" t="str">
        <f>IF(INDEX(进销存对接!$M$4:$U$305,185,1)=0,"",INDEX(进销存对接!$M$4:$U$305,185,1))</f>
        <v/>
      </c>
      <c r="F556" s="25" t="str">
        <f>IF($E556="","",IFERROR(INDEX(科目表!$A$4:$A$81,MATCH($E556,科目表!$B$4:$B$81,0)),""))</f>
        <v/>
      </c>
      <c r="G556" s="26" t="str">
        <f>IF($E556="","",IFERROR(INDEX(科目表!$E$4:$E$81,MATCH($E556,科目表!$B$4:$B$81,0)),""))</f>
        <v/>
      </c>
      <c r="H556" s="27" t="str">
        <f>IF($E556="","",N(INDEX(进销存对接!$M$4:$U$305,185,2)))</f>
        <v/>
      </c>
      <c r="I556" s="27" t="str">
        <f>IF($E556="","",N(INDEX(进销存对接!$M$4:$U$305,185,3)))</f>
        <v/>
      </c>
      <c r="J556" s="26"/>
      <c r="K556" s="26" t="str">
        <f>IF($E556="","",INDEX(进销存对接!$D$4:$D$305,185))</f>
        <v/>
      </c>
      <c r="L556" s="32"/>
      <c r="M556" s="32"/>
      <c r="N556" s="26" t="str">
        <f t="shared" si="34"/>
        <v/>
      </c>
      <c r="O556" s="26" t="str">
        <f t="shared" si="35"/>
        <v/>
      </c>
      <c r="P556" s="10"/>
    </row>
    <row r="557" ht="18" customHeight="1" spans="1:16">
      <c r="A557" s="32" t="str">
        <f t="shared" si="32"/>
        <v/>
      </c>
      <c r="B557" s="100" t="str">
        <f>IF($E557="","",INDEX(进销存对接!$C$4:$C$305,185))</f>
        <v/>
      </c>
      <c r="C557" s="26" t="str">
        <f t="shared" si="33"/>
        <v/>
      </c>
      <c r="D557" s="32" t="str">
        <f>IF($E557="","",INDEX(进销存对接!$D$4:$D$305,185)&amp;" "&amp;TEXT($B557,"YYYY年M月")&amp;" 自动结转")</f>
        <v/>
      </c>
      <c r="E557" s="26" t="str">
        <f>IF(INDEX(进销存对接!$M$4:$U$305,185,4)=0,"",INDEX(进销存对接!$M$4:$U$305,185,4))</f>
        <v/>
      </c>
      <c r="F557" s="25" t="str">
        <f>IF($E557="","",IFERROR(INDEX(科目表!$A$4:$A$81,MATCH($E557,科目表!$B$4:$B$81,0)),""))</f>
        <v/>
      </c>
      <c r="G557" s="26" t="str">
        <f>IF($E557="","",IFERROR(INDEX(科目表!$E$4:$E$81,MATCH($E557,科目表!$B$4:$B$81,0)),""))</f>
        <v/>
      </c>
      <c r="H557" s="27" t="str">
        <f>IF($E557="","",N(INDEX(进销存对接!$M$4:$U$305,185,5)))</f>
        <v/>
      </c>
      <c r="I557" s="27" t="str">
        <f>IF($E557="","",N(INDEX(进销存对接!$M$4:$U$305,185,6)))</f>
        <v/>
      </c>
      <c r="J557" s="26"/>
      <c r="K557" s="26" t="str">
        <f>IF($E557="","",INDEX(进销存对接!$D$4:$D$305,185))</f>
        <v/>
      </c>
      <c r="L557" s="32"/>
      <c r="M557" s="32"/>
      <c r="N557" s="26" t="str">
        <f t="shared" si="34"/>
        <v/>
      </c>
      <c r="O557" s="26" t="str">
        <f t="shared" si="35"/>
        <v/>
      </c>
      <c r="P557" s="10"/>
    </row>
    <row r="558" ht="18" customHeight="1" spans="1:16">
      <c r="A558" s="32" t="str">
        <f t="shared" si="32"/>
        <v/>
      </c>
      <c r="B558" s="100" t="str">
        <f>IF($E558="","",INDEX(进销存对接!$C$4:$C$305,185))</f>
        <v/>
      </c>
      <c r="C558" s="26" t="str">
        <f t="shared" si="33"/>
        <v/>
      </c>
      <c r="D558" s="32" t="str">
        <f>IF($E558="","",INDEX(进销存对接!$D$4:$D$305,185)&amp;" "&amp;TEXT($B558,"YYYY年M月")&amp;" 自动结转")</f>
        <v/>
      </c>
      <c r="E558" s="26" t="str">
        <f>IF(INDEX(进销存对接!$M$4:$U$305,185,7)=0,"",INDEX(进销存对接!$M$4:$U$305,185,7))</f>
        <v/>
      </c>
      <c r="F558" s="25" t="str">
        <f>IF($E558="","",IFERROR(INDEX(科目表!$A$4:$A$81,MATCH($E558,科目表!$B$4:$B$81,0)),""))</f>
        <v/>
      </c>
      <c r="G558" s="26" t="str">
        <f>IF($E558="","",IFERROR(INDEX(科目表!$E$4:$E$81,MATCH($E558,科目表!$B$4:$B$81,0)),""))</f>
        <v/>
      </c>
      <c r="H558" s="27" t="str">
        <f>IF($E558="","",N(INDEX(进销存对接!$M$4:$U$305,185,8)))</f>
        <v/>
      </c>
      <c r="I558" s="27" t="str">
        <f>IF($E558="","",N(INDEX(进销存对接!$M$4:$U$305,185,9)))</f>
        <v/>
      </c>
      <c r="J558" s="26"/>
      <c r="K558" s="26" t="str">
        <f>IF($E558="","",INDEX(进销存对接!$D$4:$D$305,185))</f>
        <v/>
      </c>
      <c r="L558" s="32"/>
      <c r="M558" s="32"/>
      <c r="N558" s="26" t="str">
        <f t="shared" si="34"/>
        <v/>
      </c>
      <c r="O558" s="26" t="str">
        <f t="shared" si="35"/>
        <v/>
      </c>
      <c r="P558" s="10"/>
    </row>
    <row r="559" ht="18" customHeight="1" spans="1:16">
      <c r="A559" s="32" t="str">
        <f t="shared" si="32"/>
        <v/>
      </c>
      <c r="B559" s="100" t="str">
        <f>IF($E559="","",INDEX(进销存对接!$C$4:$C$305,186))</f>
        <v/>
      </c>
      <c r="C559" s="26" t="str">
        <f t="shared" si="33"/>
        <v/>
      </c>
      <c r="D559" s="32" t="str">
        <f>IF($E559="","",INDEX(进销存对接!$D$4:$D$305,186)&amp;" "&amp;TEXT($B559,"YYYY年M月")&amp;" 自动结转")</f>
        <v/>
      </c>
      <c r="E559" s="26" t="str">
        <f>IF(INDEX(进销存对接!$M$4:$U$305,186,1)=0,"",INDEX(进销存对接!$M$4:$U$305,186,1))</f>
        <v/>
      </c>
      <c r="F559" s="25" t="str">
        <f>IF($E559="","",IFERROR(INDEX(科目表!$A$4:$A$81,MATCH($E559,科目表!$B$4:$B$81,0)),""))</f>
        <v/>
      </c>
      <c r="G559" s="26" t="str">
        <f>IF($E559="","",IFERROR(INDEX(科目表!$E$4:$E$81,MATCH($E559,科目表!$B$4:$B$81,0)),""))</f>
        <v/>
      </c>
      <c r="H559" s="27" t="str">
        <f>IF($E559="","",N(INDEX(进销存对接!$M$4:$U$305,186,2)))</f>
        <v/>
      </c>
      <c r="I559" s="27" t="str">
        <f>IF($E559="","",N(INDEX(进销存对接!$M$4:$U$305,186,3)))</f>
        <v/>
      </c>
      <c r="J559" s="26"/>
      <c r="K559" s="26" t="str">
        <f>IF($E559="","",INDEX(进销存对接!$D$4:$D$305,186))</f>
        <v/>
      </c>
      <c r="L559" s="32"/>
      <c r="M559" s="32"/>
      <c r="N559" s="26" t="str">
        <f t="shared" si="34"/>
        <v/>
      </c>
      <c r="O559" s="26" t="str">
        <f t="shared" si="35"/>
        <v/>
      </c>
      <c r="P559" s="10"/>
    </row>
    <row r="560" ht="18" customHeight="1" spans="1:16">
      <c r="A560" s="32" t="str">
        <f t="shared" si="32"/>
        <v/>
      </c>
      <c r="B560" s="100" t="str">
        <f>IF($E560="","",INDEX(进销存对接!$C$4:$C$305,186))</f>
        <v/>
      </c>
      <c r="C560" s="26" t="str">
        <f t="shared" si="33"/>
        <v/>
      </c>
      <c r="D560" s="32" t="str">
        <f>IF($E560="","",INDEX(进销存对接!$D$4:$D$305,186)&amp;" "&amp;TEXT($B560,"YYYY年M月")&amp;" 自动结转")</f>
        <v/>
      </c>
      <c r="E560" s="26" t="str">
        <f>IF(INDEX(进销存对接!$M$4:$U$305,186,4)=0,"",INDEX(进销存对接!$M$4:$U$305,186,4))</f>
        <v/>
      </c>
      <c r="F560" s="25" t="str">
        <f>IF($E560="","",IFERROR(INDEX(科目表!$A$4:$A$81,MATCH($E560,科目表!$B$4:$B$81,0)),""))</f>
        <v/>
      </c>
      <c r="G560" s="26" t="str">
        <f>IF($E560="","",IFERROR(INDEX(科目表!$E$4:$E$81,MATCH($E560,科目表!$B$4:$B$81,0)),""))</f>
        <v/>
      </c>
      <c r="H560" s="27" t="str">
        <f>IF($E560="","",N(INDEX(进销存对接!$M$4:$U$305,186,5)))</f>
        <v/>
      </c>
      <c r="I560" s="27" t="str">
        <f>IF($E560="","",N(INDEX(进销存对接!$M$4:$U$305,186,6)))</f>
        <v/>
      </c>
      <c r="J560" s="26"/>
      <c r="K560" s="26" t="str">
        <f>IF($E560="","",INDEX(进销存对接!$D$4:$D$305,186))</f>
        <v/>
      </c>
      <c r="L560" s="32"/>
      <c r="M560" s="32"/>
      <c r="N560" s="26" t="str">
        <f t="shared" si="34"/>
        <v/>
      </c>
      <c r="O560" s="26" t="str">
        <f t="shared" si="35"/>
        <v/>
      </c>
      <c r="P560" s="10"/>
    </row>
    <row r="561" ht="18" customHeight="1" spans="1:16">
      <c r="A561" s="32" t="str">
        <f t="shared" si="32"/>
        <v/>
      </c>
      <c r="B561" s="100" t="str">
        <f>IF($E561="","",INDEX(进销存对接!$C$4:$C$305,186))</f>
        <v/>
      </c>
      <c r="C561" s="26" t="str">
        <f t="shared" si="33"/>
        <v/>
      </c>
      <c r="D561" s="32" t="str">
        <f>IF($E561="","",INDEX(进销存对接!$D$4:$D$305,186)&amp;" "&amp;TEXT($B561,"YYYY年M月")&amp;" 自动结转")</f>
        <v/>
      </c>
      <c r="E561" s="26" t="str">
        <f>IF(INDEX(进销存对接!$M$4:$U$305,186,7)=0,"",INDEX(进销存对接!$M$4:$U$305,186,7))</f>
        <v/>
      </c>
      <c r="F561" s="25" t="str">
        <f>IF($E561="","",IFERROR(INDEX(科目表!$A$4:$A$81,MATCH($E561,科目表!$B$4:$B$81,0)),""))</f>
        <v/>
      </c>
      <c r="G561" s="26" t="str">
        <f>IF($E561="","",IFERROR(INDEX(科目表!$E$4:$E$81,MATCH($E561,科目表!$B$4:$B$81,0)),""))</f>
        <v/>
      </c>
      <c r="H561" s="27" t="str">
        <f>IF($E561="","",N(INDEX(进销存对接!$M$4:$U$305,186,8)))</f>
        <v/>
      </c>
      <c r="I561" s="27" t="str">
        <f>IF($E561="","",N(INDEX(进销存对接!$M$4:$U$305,186,9)))</f>
        <v/>
      </c>
      <c r="J561" s="26"/>
      <c r="K561" s="26" t="str">
        <f>IF($E561="","",INDEX(进销存对接!$D$4:$D$305,186))</f>
        <v/>
      </c>
      <c r="L561" s="32"/>
      <c r="M561" s="32"/>
      <c r="N561" s="26" t="str">
        <f t="shared" si="34"/>
        <v/>
      </c>
      <c r="O561" s="26" t="str">
        <f t="shared" si="35"/>
        <v/>
      </c>
      <c r="P561" s="10"/>
    </row>
    <row r="562" ht="18" customHeight="1" spans="1:16">
      <c r="A562" s="32" t="str">
        <f t="shared" si="32"/>
        <v/>
      </c>
      <c r="B562" s="100" t="str">
        <f>IF($E562="","",INDEX(进销存对接!$C$4:$C$305,187))</f>
        <v/>
      </c>
      <c r="C562" s="26" t="str">
        <f t="shared" si="33"/>
        <v/>
      </c>
      <c r="D562" s="32" t="str">
        <f>IF($E562="","",INDEX(进销存对接!$D$4:$D$305,187)&amp;" "&amp;TEXT($B562,"YYYY年M月")&amp;" 自动结转")</f>
        <v/>
      </c>
      <c r="E562" s="26" t="str">
        <f>IF(INDEX(进销存对接!$M$4:$U$305,187,1)=0,"",INDEX(进销存对接!$M$4:$U$305,187,1))</f>
        <v/>
      </c>
      <c r="F562" s="25" t="str">
        <f>IF($E562="","",IFERROR(INDEX(科目表!$A$4:$A$81,MATCH($E562,科目表!$B$4:$B$81,0)),""))</f>
        <v/>
      </c>
      <c r="G562" s="26" t="str">
        <f>IF($E562="","",IFERROR(INDEX(科目表!$E$4:$E$81,MATCH($E562,科目表!$B$4:$B$81,0)),""))</f>
        <v/>
      </c>
      <c r="H562" s="27" t="str">
        <f>IF($E562="","",N(INDEX(进销存对接!$M$4:$U$305,187,2)))</f>
        <v/>
      </c>
      <c r="I562" s="27" t="str">
        <f>IF($E562="","",N(INDEX(进销存对接!$M$4:$U$305,187,3)))</f>
        <v/>
      </c>
      <c r="J562" s="26"/>
      <c r="K562" s="26" t="str">
        <f>IF($E562="","",INDEX(进销存对接!$D$4:$D$305,187))</f>
        <v/>
      </c>
      <c r="L562" s="32"/>
      <c r="M562" s="32"/>
      <c r="N562" s="26" t="str">
        <f t="shared" si="34"/>
        <v/>
      </c>
      <c r="O562" s="26" t="str">
        <f t="shared" si="35"/>
        <v/>
      </c>
      <c r="P562" s="10"/>
    </row>
    <row r="563" ht="18" customHeight="1" spans="1:16">
      <c r="A563" s="32" t="str">
        <f t="shared" si="32"/>
        <v/>
      </c>
      <c r="B563" s="100" t="str">
        <f>IF($E563="","",INDEX(进销存对接!$C$4:$C$305,187))</f>
        <v/>
      </c>
      <c r="C563" s="26" t="str">
        <f t="shared" si="33"/>
        <v/>
      </c>
      <c r="D563" s="32" t="str">
        <f>IF($E563="","",INDEX(进销存对接!$D$4:$D$305,187)&amp;" "&amp;TEXT($B563,"YYYY年M月")&amp;" 自动结转")</f>
        <v/>
      </c>
      <c r="E563" s="26" t="str">
        <f>IF(INDEX(进销存对接!$M$4:$U$305,187,4)=0,"",INDEX(进销存对接!$M$4:$U$305,187,4))</f>
        <v/>
      </c>
      <c r="F563" s="25" t="str">
        <f>IF($E563="","",IFERROR(INDEX(科目表!$A$4:$A$81,MATCH($E563,科目表!$B$4:$B$81,0)),""))</f>
        <v/>
      </c>
      <c r="G563" s="26" t="str">
        <f>IF($E563="","",IFERROR(INDEX(科目表!$E$4:$E$81,MATCH($E563,科目表!$B$4:$B$81,0)),""))</f>
        <v/>
      </c>
      <c r="H563" s="27" t="str">
        <f>IF($E563="","",N(INDEX(进销存对接!$M$4:$U$305,187,5)))</f>
        <v/>
      </c>
      <c r="I563" s="27" t="str">
        <f>IF($E563="","",N(INDEX(进销存对接!$M$4:$U$305,187,6)))</f>
        <v/>
      </c>
      <c r="J563" s="26"/>
      <c r="K563" s="26" t="str">
        <f>IF($E563="","",INDEX(进销存对接!$D$4:$D$305,187))</f>
        <v/>
      </c>
      <c r="L563" s="32"/>
      <c r="M563" s="32"/>
      <c r="N563" s="26" t="str">
        <f t="shared" si="34"/>
        <v/>
      </c>
      <c r="O563" s="26" t="str">
        <f t="shared" si="35"/>
        <v/>
      </c>
      <c r="P563" s="10"/>
    </row>
    <row r="564" ht="18" customHeight="1" spans="1:16">
      <c r="A564" s="32" t="str">
        <f t="shared" si="32"/>
        <v/>
      </c>
      <c r="B564" s="100" t="str">
        <f>IF($E564="","",INDEX(进销存对接!$C$4:$C$305,187))</f>
        <v/>
      </c>
      <c r="C564" s="26" t="str">
        <f t="shared" si="33"/>
        <v/>
      </c>
      <c r="D564" s="32" t="str">
        <f>IF($E564="","",INDEX(进销存对接!$D$4:$D$305,187)&amp;" "&amp;TEXT($B564,"YYYY年M月")&amp;" 自动结转")</f>
        <v/>
      </c>
      <c r="E564" s="26" t="str">
        <f>IF(INDEX(进销存对接!$M$4:$U$305,187,7)=0,"",INDEX(进销存对接!$M$4:$U$305,187,7))</f>
        <v/>
      </c>
      <c r="F564" s="25" t="str">
        <f>IF($E564="","",IFERROR(INDEX(科目表!$A$4:$A$81,MATCH($E564,科目表!$B$4:$B$81,0)),""))</f>
        <v/>
      </c>
      <c r="G564" s="26" t="str">
        <f>IF($E564="","",IFERROR(INDEX(科目表!$E$4:$E$81,MATCH($E564,科目表!$B$4:$B$81,0)),""))</f>
        <v/>
      </c>
      <c r="H564" s="27" t="str">
        <f>IF($E564="","",N(INDEX(进销存对接!$M$4:$U$305,187,8)))</f>
        <v/>
      </c>
      <c r="I564" s="27" t="str">
        <f>IF($E564="","",N(INDEX(进销存对接!$M$4:$U$305,187,9)))</f>
        <v/>
      </c>
      <c r="J564" s="26"/>
      <c r="K564" s="26" t="str">
        <f>IF($E564="","",INDEX(进销存对接!$D$4:$D$305,187))</f>
        <v/>
      </c>
      <c r="L564" s="32"/>
      <c r="M564" s="32"/>
      <c r="N564" s="26" t="str">
        <f t="shared" si="34"/>
        <v/>
      </c>
      <c r="O564" s="26" t="str">
        <f t="shared" si="35"/>
        <v/>
      </c>
      <c r="P564" s="10"/>
    </row>
    <row r="565" ht="18" customHeight="1" spans="1:16">
      <c r="A565" s="32" t="str">
        <f t="shared" si="32"/>
        <v/>
      </c>
      <c r="B565" s="100" t="str">
        <f>IF($E565="","",INDEX(进销存对接!$C$4:$C$305,188))</f>
        <v/>
      </c>
      <c r="C565" s="26" t="str">
        <f t="shared" si="33"/>
        <v/>
      </c>
      <c r="D565" s="32" t="str">
        <f>IF($E565="","",INDEX(进销存对接!$D$4:$D$305,188)&amp;" "&amp;TEXT($B565,"YYYY年M月")&amp;" 自动结转")</f>
        <v/>
      </c>
      <c r="E565" s="26" t="str">
        <f>IF(INDEX(进销存对接!$M$4:$U$305,188,1)=0,"",INDEX(进销存对接!$M$4:$U$305,188,1))</f>
        <v/>
      </c>
      <c r="F565" s="25" t="str">
        <f>IF($E565="","",IFERROR(INDEX(科目表!$A$4:$A$81,MATCH($E565,科目表!$B$4:$B$81,0)),""))</f>
        <v/>
      </c>
      <c r="G565" s="26" t="str">
        <f>IF($E565="","",IFERROR(INDEX(科目表!$E$4:$E$81,MATCH($E565,科目表!$B$4:$B$81,0)),""))</f>
        <v/>
      </c>
      <c r="H565" s="27" t="str">
        <f>IF($E565="","",N(INDEX(进销存对接!$M$4:$U$305,188,2)))</f>
        <v/>
      </c>
      <c r="I565" s="27" t="str">
        <f>IF($E565="","",N(INDEX(进销存对接!$M$4:$U$305,188,3)))</f>
        <v/>
      </c>
      <c r="J565" s="26"/>
      <c r="K565" s="26" t="str">
        <f>IF($E565="","",INDEX(进销存对接!$D$4:$D$305,188))</f>
        <v/>
      </c>
      <c r="L565" s="32"/>
      <c r="M565" s="32"/>
      <c r="N565" s="26" t="str">
        <f t="shared" si="34"/>
        <v/>
      </c>
      <c r="O565" s="26" t="str">
        <f t="shared" si="35"/>
        <v/>
      </c>
      <c r="P565" s="10"/>
    </row>
    <row r="566" ht="18" customHeight="1" spans="1:16">
      <c r="A566" s="32" t="str">
        <f t="shared" si="32"/>
        <v/>
      </c>
      <c r="B566" s="100" t="str">
        <f>IF($E566="","",INDEX(进销存对接!$C$4:$C$305,188))</f>
        <v/>
      </c>
      <c r="C566" s="26" t="str">
        <f t="shared" si="33"/>
        <v/>
      </c>
      <c r="D566" s="32" t="str">
        <f>IF($E566="","",INDEX(进销存对接!$D$4:$D$305,188)&amp;" "&amp;TEXT($B566,"YYYY年M月")&amp;" 自动结转")</f>
        <v/>
      </c>
      <c r="E566" s="26" t="str">
        <f>IF(INDEX(进销存对接!$M$4:$U$305,188,4)=0,"",INDEX(进销存对接!$M$4:$U$305,188,4))</f>
        <v/>
      </c>
      <c r="F566" s="25" t="str">
        <f>IF($E566="","",IFERROR(INDEX(科目表!$A$4:$A$81,MATCH($E566,科目表!$B$4:$B$81,0)),""))</f>
        <v/>
      </c>
      <c r="G566" s="26" t="str">
        <f>IF($E566="","",IFERROR(INDEX(科目表!$E$4:$E$81,MATCH($E566,科目表!$B$4:$B$81,0)),""))</f>
        <v/>
      </c>
      <c r="H566" s="27" t="str">
        <f>IF($E566="","",N(INDEX(进销存对接!$M$4:$U$305,188,5)))</f>
        <v/>
      </c>
      <c r="I566" s="27" t="str">
        <f>IF($E566="","",N(INDEX(进销存对接!$M$4:$U$305,188,6)))</f>
        <v/>
      </c>
      <c r="J566" s="26"/>
      <c r="K566" s="26" t="str">
        <f>IF($E566="","",INDEX(进销存对接!$D$4:$D$305,188))</f>
        <v/>
      </c>
      <c r="L566" s="32"/>
      <c r="M566" s="32"/>
      <c r="N566" s="26" t="str">
        <f t="shared" si="34"/>
        <v/>
      </c>
      <c r="O566" s="26" t="str">
        <f t="shared" si="35"/>
        <v/>
      </c>
      <c r="P566" s="10"/>
    </row>
    <row r="567" ht="18" customHeight="1" spans="1:16">
      <c r="A567" s="32" t="str">
        <f t="shared" si="32"/>
        <v/>
      </c>
      <c r="B567" s="100" t="str">
        <f>IF($E567="","",INDEX(进销存对接!$C$4:$C$305,188))</f>
        <v/>
      </c>
      <c r="C567" s="26" t="str">
        <f t="shared" si="33"/>
        <v/>
      </c>
      <c r="D567" s="32" t="str">
        <f>IF($E567="","",INDEX(进销存对接!$D$4:$D$305,188)&amp;" "&amp;TEXT($B567,"YYYY年M月")&amp;" 自动结转")</f>
        <v/>
      </c>
      <c r="E567" s="26" t="str">
        <f>IF(INDEX(进销存对接!$M$4:$U$305,188,7)=0,"",INDEX(进销存对接!$M$4:$U$305,188,7))</f>
        <v/>
      </c>
      <c r="F567" s="25" t="str">
        <f>IF($E567="","",IFERROR(INDEX(科目表!$A$4:$A$81,MATCH($E567,科目表!$B$4:$B$81,0)),""))</f>
        <v/>
      </c>
      <c r="G567" s="26" t="str">
        <f>IF($E567="","",IFERROR(INDEX(科目表!$E$4:$E$81,MATCH($E567,科目表!$B$4:$B$81,0)),""))</f>
        <v/>
      </c>
      <c r="H567" s="27" t="str">
        <f>IF($E567="","",N(INDEX(进销存对接!$M$4:$U$305,188,8)))</f>
        <v/>
      </c>
      <c r="I567" s="27" t="str">
        <f>IF($E567="","",N(INDEX(进销存对接!$M$4:$U$305,188,9)))</f>
        <v/>
      </c>
      <c r="J567" s="26"/>
      <c r="K567" s="26" t="str">
        <f>IF($E567="","",INDEX(进销存对接!$D$4:$D$305,188))</f>
        <v/>
      </c>
      <c r="L567" s="32"/>
      <c r="M567" s="32"/>
      <c r="N567" s="26" t="str">
        <f t="shared" si="34"/>
        <v/>
      </c>
      <c r="O567" s="26" t="str">
        <f t="shared" si="35"/>
        <v/>
      </c>
      <c r="P567" s="10"/>
    </row>
    <row r="568" ht="18" customHeight="1" spans="1:16">
      <c r="A568" s="32" t="str">
        <f t="shared" si="32"/>
        <v/>
      </c>
      <c r="B568" s="100" t="str">
        <f>IF($E568="","",INDEX(进销存对接!$C$4:$C$305,189))</f>
        <v/>
      </c>
      <c r="C568" s="26" t="str">
        <f t="shared" si="33"/>
        <v/>
      </c>
      <c r="D568" s="32" t="str">
        <f>IF($E568="","",INDEX(进销存对接!$D$4:$D$305,189)&amp;" "&amp;TEXT($B568,"YYYY年M月")&amp;" 自动结转")</f>
        <v/>
      </c>
      <c r="E568" s="26" t="str">
        <f>IF(INDEX(进销存对接!$M$4:$U$305,189,1)=0,"",INDEX(进销存对接!$M$4:$U$305,189,1))</f>
        <v/>
      </c>
      <c r="F568" s="25" t="str">
        <f>IF($E568="","",IFERROR(INDEX(科目表!$A$4:$A$81,MATCH($E568,科目表!$B$4:$B$81,0)),""))</f>
        <v/>
      </c>
      <c r="G568" s="26" t="str">
        <f>IF($E568="","",IFERROR(INDEX(科目表!$E$4:$E$81,MATCH($E568,科目表!$B$4:$B$81,0)),""))</f>
        <v/>
      </c>
      <c r="H568" s="27" t="str">
        <f>IF($E568="","",N(INDEX(进销存对接!$M$4:$U$305,189,2)))</f>
        <v/>
      </c>
      <c r="I568" s="27" t="str">
        <f>IF($E568="","",N(INDEX(进销存对接!$M$4:$U$305,189,3)))</f>
        <v/>
      </c>
      <c r="J568" s="26"/>
      <c r="K568" s="26" t="str">
        <f>IF($E568="","",INDEX(进销存对接!$D$4:$D$305,189))</f>
        <v/>
      </c>
      <c r="L568" s="32"/>
      <c r="M568" s="32"/>
      <c r="N568" s="26" t="str">
        <f t="shared" si="34"/>
        <v/>
      </c>
      <c r="O568" s="26" t="str">
        <f t="shared" si="35"/>
        <v/>
      </c>
      <c r="P568" s="10"/>
    </row>
    <row r="569" ht="18" customHeight="1" spans="1:16">
      <c r="A569" s="32" t="str">
        <f t="shared" si="32"/>
        <v/>
      </c>
      <c r="B569" s="100" t="str">
        <f>IF($E569="","",INDEX(进销存对接!$C$4:$C$305,189))</f>
        <v/>
      </c>
      <c r="C569" s="26" t="str">
        <f t="shared" si="33"/>
        <v/>
      </c>
      <c r="D569" s="32" t="str">
        <f>IF($E569="","",INDEX(进销存对接!$D$4:$D$305,189)&amp;" "&amp;TEXT($B569,"YYYY年M月")&amp;" 自动结转")</f>
        <v/>
      </c>
      <c r="E569" s="26" t="str">
        <f>IF(INDEX(进销存对接!$M$4:$U$305,189,4)=0,"",INDEX(进销存对接!$M$4:$U$305,189,4))</f>
        <v/>
      </c>
      <c r="F569" s="25" t="str">
        <f>IF($E569="","",IFERROR(INDEX(科目表!$A$4:$A$81,MATCH($E569,科目表!$B$4:$B$81,0)),""))</f>
        <v/>
      </c>
      <c r="G569" s="26" t="str">
        <f>IF($E569="","",IFERROR(INDEX(科目表!$E$4:$E$81,MATCH($E569,科目表!$B$4:$B$81,0)),""))</f>
        <v/>
      </c>
      <c r="H569" s="27" t="str">
        <f>IF($E569="","",N(INDEX(进销存对接!$M$4:$U$305,189,5)))</f>
        <v/>
      </c>
      <c r="I569" s="27" t="str">
        <f>IF($E569="","",N(INDEX(进销存对接!$M$4:$U$305,189,6)))</f>
        <v/>
      </c>
      <c r="J569" s="26"/>
      <c r="K569" s="26" t="str">
        <f>IF($E569="","",INDEX(进销存对接!$D$4:$D$305,189))</f>
        <v/>
      </c>
      <c r="L569" s="32"/>
      <c r="M569" s="32"/>
      <c r="N569" s="26" t="str">
        <f t="shared" si="34"/>
        <v/>
      </c>
      <c r="O569" s="26" t="str">
        <f t="shared" si="35"/>
        <v/>
      </c>
      <c r="P569" s="10"/>
    </row>
    <row r="570" ht="18" customHeight="1" spans="1:16">
      <c r="A570" s="32" t="str">
        <f t="shared" si="32"/>
        <v/>
      </c>
      <c r="B570" s="100" t="str">
        <f>IF($E570="","",INDEX(进销存对接!$C$4:$C$305,189))</f>
        <v/>
      </c>
      <c r="C570" s="26" t="str">
        <f t="shared" si="33"/>
        <v/>
      </c>
      <c r="D570" s="32" t="str">
        <f>IF($E570="","",INDEX(进销存对接!$D$4:$D$305,189)&amp;" "&amp;TEXT($B570,"YYYY年M月")&amp;" 自动结转")</f>
        <v/>
      </c>
      <c r="E570" s="26" t="str">
        <f>IF(INDEX(进销存对接!$M$4:$U$305,189,7)=0,"",INDEX(进销存对接!$M$4:$U$305,189,7))</f>
        <v/>
      </c>
      <c r="F570" s="25" t="str">
        <f>IF($E570="","",IFERROR(INDEX(科目表!$A$4:$A$81,MATCH($E570,科目表!$B$4:$B$81,0)),""))</f>
        <v/>
      </c>
      <c r="G570" s="26" t="str">
        <f>IF($E570="","",IFERROR(INDEX(科目表!$E$4:$E$81,MATCH($E570,科目表!$B$4:$B$81,0)),""))</f>
        <v/>
      </c>
      <c r="H570" s="27" t="str">
        <f>IF($E570="","",N(INDEX(进销存对接!$M$4:$U$305,189,8)))</f>
        <v/>
      </c>
      <c r="I570" s="27" t="str">
        <f>IF($E570="","",N(INDEX(进销存对接!$M$4:$U$305,189,9)))</f>
        <v/>
      </c>
      <c r="J570" s="26"/>
      <c r="K570" s="26" t="str">
        <f>IF($E570="","",INDEX(进销存对接!$D$4:$D$305,189))</f>
        <v/>
      </c>
      <c r="L570" s="32"/>
      <c r="M570" s="32"/>
      <c r="N570" s="26" t="str">
        <f t="shared" si="34"/>
        <v/>
      </c>
      <c r="O570" s="26" t="str">
        <f t="shared" si="35"/>
        <v/>
      </c>
      <c r="P570" s="10"/>
    </row>
    <row r="571" ht="18" customHeight="1" spans="1:16">
      <c r="A571" s="32" t="str">
        <f t="shared" si="32"/>
        <v/>
      </c>
      <c r="B571" s="100" t="str">
        <f>IF($E571="","",INDEX(进销存对接!$C$4:$C$305,190))</f>
        <v/>
      </c>
      <c r="C571" s="26" t="str">
        <f t="shared" si="33"/>
        <v/>
      </c>
      <c r="D571" s="32" t="str">
        <f>IF($E571="","",INDEX(进销存对接!$D$4:$D$305,190)&amp;" "&amp;TEXT($B571,"YYYY年M月")&amp;" 自动结转")</f>
        <v/>
      </c>
      <c r="E571" s="26" t="str">
        <f>IF(INDEX(进销存对接!$M$4:$U$305,190,1)=0,"",INDEX(进销存对接!$M$4:$U$305,190,1))</f>
        <v/>
      </c>
      <c r="F571" s="25" t="str">
        <f>IF($E571="","",IFERROR(INDEX(科目表!$A$4:$A$81,MATCH($E571,科目表!$B$4:$B$81,0)),""))</f>
        <v/>
      </c>
      <c r="G571" s="26" t="str">
        <f>IF($E571="","",IFERROR(INDEX(科目表!$E$4:$E$81,MATCH($E571,科目表!$B$4:$B$81,0)),""))</f>
        <v/>
      </c>
      <c r="H571" s="27" t="str">
        <f>IF($E571="","",N(INDEX(进销存对接!$M$4:$U$305,190,2)))</f>
        <v/>
      </c>
      <c r="I571" s="27" t="str">
        <f>IF($E571="","",N(INDEX(进销存对接!$M$4:$U$305,190,3)))</f>
        <v/>
      </c>
      <c r="J571" s="26"/>
      <c r="K571" s="26" t="str">
        <f>IF($E571="","",INDEX(进销存对接!$D$4:$D$305,190))</f>
        <v/>
      </c>
      <c r="L571" s="32"/>
      <c r="M571" s="32"/>
      <c r="N571" s="26" t="str">
        <f t="shared" si="34"/>
        <v/>
      </c>
      <c r="O571" s="26" t="str">
        <f t="shared" si="35"/>
        <v/>
      </c>
      <c r="P571" s="10"/>
    </row>
    <row r="572" ht="18" customHeight="1" spans="1:16">
      <c r="A572" s="32" t="str">
        <f t="shared" si="32"/>
        <v/>
      </c>
      <c r="B572" s="100" t="str">
        <f>IF($E572="","",INDEX(进销存对接!$C$4:$C$305,190))</f>
        <v/>
      </c>
      <c r="C572" s="26" t="str">
        <f t="shared" si="33"/>
        <v/>
      </c>
      <c r="D572" s="32" t="str">
        <f>IF($E572="","",INDEX(进销存对接!$D$4:$D$305,190)&amp;" "&amp;TEXT($B572,"YYYY年M月")&amp;" 自动结转")</f>
        <v/>
      </c>
      <c r="E572" s="26" t="str">
        <f>IF(INDEX(进销存对接!$M$4:$U$305,190,4)=0,"",INDEX(进销存对接!$M$4:$U$305,190,4))</f>
        <v/>
      </c>
      <c r="F572" s="25" t="str">
        <f>IF($E572="","",IFERROR(INDEX(科目表!$A$4:$A$81,MATCH($E572,科目表!$B$4:$B$81,0)),""))</f>
        <v/>
      </c>
      <c r="G572" s="26" t="str">
        <f>IF($E572="","",IFERROR(INDEX(科目表!$E$4:$E$81,MATCH($E572,科目表!$B$4:$B$81,0)),""))</f>
        <v/>
      </c>
      <c r="H572" s="27" t="str">
        <f>IF($E572="","",N(INDEX(进销存对接!$M$4:$U$305,190,5)))</f>
        <v/>
      </c>
      <c r="I572" s="27" t="str">
        <f>IF($E572="","",N(INDEX(进销存对接!$M$4:$U$305,190,6)))</f>
        <v/>
      </c>
      <c r="J572" s="26"/>
      <c r="K572" s="26" t="str">
        <f>IF($E572="","",INDEX(进销存对接!$D$4:$D$305,190))</f>
        <v/>
      </c>
      <c r="L572" s="32"/>
      <c r="M572" s="32"/>
      <c r="N572" s="26" t="str">
        <f t="shared" si="34"/>
        <v/>
      </c>
      <c r="O572" s="26" t="str">
        <f t="shared" si="35"/>
        <v/>
      </c>
      <c r="P572" s="10"/>
    </row>
    <row r="573" ht="18" customHeight="1" spans="1:16">
      <c r="A573" s="32" t="str">
        <f t="shared" si="32"/>
        <v/>
      </c>
      <c r="B573" s="100" t="str">
        <f>IF($E573="","",INDEX(进销存对接!$C$4:$C$305,190))</f>
        <v/>
      </c>
      <c r="C573" s="26" t="str">
        <f t="shared" si="33"/>
        <v/>
      </c>
      <c r="D573" s="32" t="str">
        <f>IF($E573="","",INDEX(进销存对接!$D$4:$D$305,190)&amp;" "&amp;TEXT($B573,"YYYY年M月")&amp;" 自动结转")</f>
        <v/>
      </c>
      <c r="E573" s="26" t="str">
        <f>IF(INDEX(进销存对接!$M$4:$U$305,190,7)=0,"",INDEX(进销存对接!$M$4:$U$305,190,7))</f>
        <v/>
      </c>
      <c r="F573" s="25" t="str">
        <f>IF($E573="","",IFERROR(INDEX(科目表!$A$4:$A$81,MATCH($E573,科目表!$B$4:$B$81,0)),""))</f>
        <v/>
      </c>
      <c r="G573" s="26" t="str">
        <f>IF($E573="","",IFERROR(INDEX(科目表!$E$4:$E$81,MATCH($E573,科目表!$B$4:$B$81,0)),""))</f>
        <v/>
      </c>
      <c r="H573" s="27" t="str">
        <f>IF($E573="","",N(INDEX(进销存对接!$M$4:$U$305,190,8)))</f>
        <v/>
      </c>
      <c r="I573" s="27" t="str">
        <f>IF($E573="","",N(INDEX(进销存对接!$M$4:$U$305,190,9)))</f>
        <v/>
      </c>
      <c r="J573" s="26"/>
      <c r="K573" s="26" t="str">
        <f>IF($E573="","",INDEX(进销存对接!$D$4:$D$305,190))</f>
        <v/>
      </c>
      <c r="L573" s="32"/>
      <c r="M573" s="32"/>
      <c r="N573" s="26" t="str">
        <f t="shared" si="34"/>
        <v/>
      </c>
      <c r="O573" s="26" t="str">
        <f t="shared" si="35"/>
        <v/>
      </c>
      <c r="P573" s="10"/>
    </row>
    <row r="574" ht="18" customHeight="1" spans="1:16">
      <c r="A574" s="32" t="str">
        <f t="shared" si="32"/>
        <v/>
      </c>
      <c r="B574" s="100" t="str">
        <f>IF($E574="","",INDEX(进销存对接!$C$4:$C$305,191))</f>
        <v/>
      </c>
      <c r="C574" s="26" t="str">
        <f t="shared" si="33"/>
        <v/>
      </c>
      <c r="D574" s="32" t="str">
        <f>IF($E574="","",INDEX(进销存对接!$D$4:$D$305,191)&amp;" "&amp;TEXT($B574,"YYYY年M月")&amp;" 自动结转")</f>
        <v/>
      </c>
      <c r="E574" s="26" t="str">
        <f>IF(INDEX(进销存对接!$M$4:$U$305,191,1)=0,"",INDEX(进销存对接!$M$4:$U$305,191,1))</f>
        <v/>
      </c>
      <c r="F574" s="25" t="str">
        <f>IF($E574="","",IFERROR(INDEX(科目表!$A$4:$A$81,MATCH($E574,科目表!$B$4:$B$81,0)),""))</f>
        <v/>
      </c>
      <c r="G574" s="26" t="str">
        <f>IF($E574="","",IFERROR(INDEX(科目表!$E$4:$E$81,MATCH($E574,科目表!$B$4:$B$81,0)),""))</f>
        <v/>
      </c>
      <c r="H574" s="27" t="str">
        <f>IF($E574="","",N(INDEX(进销存对接!$M$4:$U$305,191,2)))</f>
        <v/>
      </c>
      <c r="I574" s="27" t="str">
        <f>IF($E574="","",N(INDEX(进销存对接!$M$4:$U$305,191,3)))</f>
        <v/>
      </c>
      <c r="J574" s="26"/>
      <c r="K574" s="26" t="str">
        <f>IF($E574="","",INDEX(进销存对接!$D$4:$D$305,191))</f>
        <v/>
      </c>
      <c r="L574" s="32"/>
      <c r="M574" s="32"/>
      <c r="N574" s="26" t="str">
        <f t="shared" si="34"/>
        <v/>
      </c>
      <c r="O574" s="26" t="str">
        <f t="shared" si="35"/>
        <v/>
      </c>
      <c r="P574" s="10"/>
    </row>
    <row r="575" ht="18" customHeight="1" spans="1:16">
      <c r="A575" s="32" t="str">
        <f t="shared" si="32"/>
        <v/>
      </c>
      <c r="B575" s="100" t="str">
        <f>IF($E575="","",INDEX(进销存对接!$C$4:$C$305,191))</f>
        <v/>
      </c>
      <c r="C575" s="26" t="str">
        <f t="shared" si="33"/>
        <v/>
      </c>
      <c r="D575" s="32" t="str">
        <f>IF($E575="","",INDEX(进销存对接!$D$4:$D$305,191)&amp;" "&amp;TEXT($B575,"YYYY年M月")&amp;" 自动结转")</f>
        <v/>
      </c>
      <c r="E575" s="26" t="str">
        <f>IF(INDEX(进销存对接!$M$4:$U$305,191,4)=0,"",INDEX(进销存对接!$M$4:$U$305,191,4))</f>
        <v/>
      </c>
      <c r="F575" s="25" t="str">
        <f>IF($E575="","",IFERROR(INDEX(科目表!$A$4:$A$81,MATCH($E575,科目表!$B$4:$B$81,0)),""))</f>
        <v/>
      </c>
      <c r="G575" s="26" t="str">
        <f>IF($E575="","",IFERROR(INDEX(科目表!$E$4:$E$81,MATCH($E575,科目表!$B$4:$B$81,0)),""))</f>
        <v/>
      </c>
      <c r="H575" s="27" t="str">
        <f>IF($E575="","",N(INDEX(进销存对接!$M$4:$U$305,191,5)))</f>
        <v/>
      </c>
      <c r="I575" s="27" t="str">
        <f>IF($E575="","",N(INDEX(进销存对接!$M$4:$U$305,191,6)))</f>
        <v/>
      </c>
      <c r="J575" s="26"/>
      <c r="K575" s="26" t="str">
        <f>IF($E575="","",INDEX(进销存对接!$D$4:$D$305,191))</f>
        <v/>
      </c>
      <c r="L575" s="32"/>
      <c r="M575" s="32"/>
      <c r="N575" s="26" t="str">
        <f t="shared" si="34"/>
        <v/>
      </c>
      <c r="O575" s="26" t="str">
        <f t="shared" si="35"/>
        <v/>
      </c>
      <c r="P575" s="10"/>
    </row>
    <row r="576" ht="18" customHeight="1" spans="1:16">
      <c r="A576" s="32" t="str">
        <f t="shared" si="32"/>
        <v/>
      </c>
      <c r="B576" s="100" t="str">
        <f>IF($E576="","",INDEX(进销存对接!$C$4:$C$305,191))</f>
        <v/>
      </c>
      <c r="C576" s="26" t="str">
        <f t="shared" si="33"/>
        <v/>
      </c>
      <c r="D576" s="32" t="str">
        <f>IF($E576="","",INDEX(进销存对接!$D$4:$D$305,191)&amp;" "&amp;TEXT($B576,"YYYY年M月")&amp;" 自动结转")</f>
        <v/>
      </c>
      <c r="E576" s="26" t="str">
        <f>IF(INDEX(进销存对接!$M$4:$U$305,191,7)=0,"",INDEX(进销存对接!$M$4:$U$305,191,7))</f>
        <v/>
      </c>
      <c r="F576" s="25" t="str">
        <f>IF($E576="","",IFERROR(INDEX(科目表!$A$4:$A$81,MATCH($E576,科目表!$B$4:$B$81,0)),""))</f>
        <v/>
      </c>
      <c r="G576" s="26" t="str">
        <f>IF($E576="","",IFERROR(INDEX(科目表!$E$4:$E$81,MATCH($E576,科目表!$B$4:$B$81,0)),""))</f>
        <v/>
      </c>
      <c r="H576" s="27" t="str">
        <f>IF($E576="","",N(INDEX(进销存对接!$M$4:$U$305,191,8)))</f>
        <v/>
      </c>
      <c r="I576" s="27" t="str">
        <f>IF($E576="","",N(INDEX(进销存对接!$M$4:$U$305,191,9)))</f>
        <v/>
      </c>
      <c r="J576" s="26"/>
      <c r="K576" s="26" t="str">
        <f>IF($E576="","",INDEX(进销存对接!$D$4:$D$305,191))</f>
        <v/>
      </c>
      <c r="L576" s="32"/>
      <c r="M576" s="32"/>
      <c r="N576" s="26" t="str">
        <f t="shared" si="34"/>
        <v/>
      </c>
      <c r="O576" s="26" t="str">
        <f t="shared" si="35"/>
        <v/>
      </c>
      <c r="P576" s="10"/>
    </row>
    <row r="577" ht="18" customHeight="1" spans="1:16">
      <c r="A577" s="32" t="str">
        <f t="shared" si="32"/>
        <v/>
      </c>
      <c r="B577" s="100" t="str">
        <f>IF($E577="","",INDEX(进销存对接!$C$4:$C$305,192))</f>
        <v/>
      </c>
      <c r="C577" s="26" t="str">
        <f t="shared" si="33"/>
        <v/>
      </c>
      <c r="D577" s="32" t="str">
        <f>IF($E577="","",INDEX(进销存对接!$D$4:$D$305,192)&amp;" "&amp;TEXT($B577,"YYYY年M月")&amp;" 自动结转")</f>
        <v/>
      </c>
      <c r="E577" s="26" t="str">
        <f>IF(INDEX(进销存对接!$M$4:$U$305,192,1)=0,"",INDEX(进销存对接!$M$4:$U$305,192,1))</f>
        <v/>
      </c>
      <c r="F577" s="25" t="str">
        <f>IF($E577="","",IFERROR(INDEX(科目表!$A$4:$A$81,MATCH($E577,科目表!$B$4:$B$81,0)),""))</f>
        <v/>
      </c>
      <c r="G577" s="26" t="str">
        <f>IF($E577="","",IFERROR(INDEX(科目表!$E$4:$E$81,MATCH($E577,科目表!$B$4:$B$81,0)),""))</f>
        <v/>
      </c>
      <c r="H577" s="27" t="str">
        <f>IF($E577="","",N(INDEX(进销存对接!$M$4:$U$305,192,2)))</f>
        <v/>
      </c>
      <c r="I577" s="27" t="str">
        <f>IF($E577="","",N(INDEX(进销存对接!$M$4:$U$305,192,3)))</f>
        <v/>
      </c>
      <c r="J577" s="26"/>
      <c r="K577" s="26" t="str">
        <f>IF($E577="","",INDEX(进销存对接!$D$4:$D$305,192))</f>
        <v/>
      </c>
      <c r="L577" s="32"/>
      <c r="M577" s="32"/>
      <c r="N577" s="26" t="str">
        <f t="shared" si="34"/>
        <v/>
      </c>
      <c r="O577" s="26" t="str">
        <f t="shared" si="35"/>
        <v/>
      </c>
      <c r="P577" s="10"/>
    </row>
    <row r="578" ht="18" customHeight="1" spans="1:16">
      <c r="A578" s="32" t="str">
        <f t="shared" si="32"/>
        <v/>
      </c>
      <c r="B578" s="100" t="str">
        <f>IF($E578="","",INDEX(进销存对接!$C$4:$C$305,192))</f>
        <v/>
      </c>
      <c r="C578" s="26" t="str">
        <f t="shared" si="33"/>
        <v/>
      </c>
      <c r="D578" s="32" t="str">
        <f>IF($E578="","",INDEX(进销存对接!$D$4:$D$305,192)&amp;" "&amp;TEXT($B578,"YYYY年M月")&amp;" 自动结转")</f>
        <v/>
      </c>
      <c r="E578" s="26" t="str">
        <f>IF(INDEX(进销存对接!$M$4:$U$305,192,4)=0,"",INDEX(进销存对接!$M$4:$U$305,192,4))</f>
        <v/>
      </c>
      <c r="F578" s="25" t="str">
        <f>IF($E578="","",IFERROR(INDEX(科目表!$A$4:$A$81,MATCH($E578,科目表!$B$4:$B$81,0)),""))</f>
        <v/>
      </c>
      <c r="G578" s="26" t="str">
        <f>IF($E578="","",IFERROR(INDEX(科目表!$E$4:$E$81,MATCH($E578,科目表!$B$4:$B$81,0)),""))</f>
        <v/>
      </c>
      <c r="H578" s="27" t="str">
        <f>IF($E578="","",N(INDEX(进销存对接!$M$4:$U$305,192,5)))</f>
        <v/>
      </c>
      <c r="I578" s="27" t="str">
        <f>IF($E578="","",N(INDEX(进销存对接!$M$4:$U$305,192,6)))</f>
        <v/>
      </c>
      <c r="J578" s="26"/>
      <c r="K578" s="26" t="str">
        <f>IF($E578="","",INDEX(进销存对接!$D$4:$D$305,192))</f>
        <v/>
      </c>
      <c r="L578" s="32"/>
      <c r="M578" s="32"/>
      <c r="N578" s="26" t="str">
        <f t="shared" si="34"/>
        <v/>
      </c>
      <c r="O578" s="26" t="str">
        <f t="shared" si="35"/>
        <v/>
      </c>
      <c r="P578" s="10"/>
    </row>
    <row r="579" ht="18" customHeight="1" spans="1:16">
      <c r="A579" s="32" t="str">
        <f t="shared" si="32"/>
        <v/>
      </c>
      <c r="B579" s="100" t="str">
        <f>IF($E579="","",INDEX(进销存对接!$C$4:$C$305,192))</f>
        <v/>
      </c>
      <c r="C579" s="26" t="str">
        <f t="shared" si="33"/>
        <v/>
      </c>
      <c r="D579" s="32" t="str">
        <f>IF($E579="","",INDEX(进销存对接!$D$4:$D$305,192)&amp;" "&amp;TEXT($B579,"YYYY年M月")&amp;" 自动结转")</f>
        <v/>
      </c>
      <c r="E579" s="26" t="str">
        <f>IF(INDEX(进销存对接!$M$4:$U$305,192,7)=0,"",INDEX(进销存对接!$M$4:$U$305,192,7))</f>
        <v/>
      </c>
      <c r="F579" s="25" t="str">
        <f>IF($E579="","",IFERROR(INDEX(科目表!$A$4:$A$81,MATCH($E579,科目表!$B$4:$B$81,0)),""))</f>
        <v/>
      </c>
      <c r="G579" s="26" t="str">
        <f>IF($E579="","",IFERROR(INDEX(科目表!$E$4:$E$81,MATCH($E579,科目表!$B$4:$B$81,0)),""))</f>
        <v/>
      </c>
      <c r="H579" s="27" t="str">
        <f>IF($E579="","",N(INDEX(进销存对接!$M$4:$U$305,192,8)))</f>
        <v/>
      </c>
      <c r="I579" s="27" t="str">
        <f>IF($E579="","",N(INDEX(进销存对接!$M$4:$U$305,192,9)))</f>
        <v/>
      </c>
      <c r="J579" s="26"/>
      <c r="K579" s="26" t="str">
        <f>IF($E579="","",INDEX(进销存对接!$D$4:$D$305,192))</f>
        <v/>
      </c>
      <c r="L579" s="32"/>
      <c r="M579" s="32"/>
      <c r="N579" s="26" t="str">
        <f t="shared" si="34"/>
        <v/>
      </c>
      <c r="O579" s="26" t="str">
        <f t="shared" si="35"/>
        <v/>
      </c>
      <c r="P579" s="10"/>
    </row>
    <row r="580" ht="18" customHeight="1" spans="1:16">
      <c r="A580" s="32" t="str">
        <f t="shared" ref="A580:A643" si="36">IF($E580="","",ROW()-3)</f>
        <v/>
      </c>
      <c r="B580" s="100" t="str">
        <f>IF($E580="","",INDEX(进销存对接!$C$4:$C$305,193))</f>
        <v/>
      </c>
      <c r="C580" s="26" t="str">
        <f t="shared" ref="C580:C643" si="37">IF($E580="","","记-"&amp;TEXT($B580,"YYYYMM")&amp;"-进销存")</f>
        <v/>
      </c>
      <c r="D580" s="32" t="str">
        <f>IF($E580="","",INDEX(进销存对接!$D$4:$D$305,193)&amp;" "&amp;TEXT($B580,"YYYY年M月")&amp;" 自动结转")</f>
        <v/>
      </c>
      <c r="E580" s="26" t="str">
        <f>IF(INDEX(进销存对接!$M$4:$U$305,193,1)=0,"",INDEX(进销存对接!$M$4:$U$305,193,1))</f>
        <v/>
      </c>
      <c r="F580" s="25" t="str">
        <f>IF($E580="","",IFERROR(INDEX(科目表!$A$4:$A$81,MATCH($E580,科目表!$B$4:$B$81,0)),""))</f>
        <v/>
      </c>
      <c r="G580" s="26" t="str">
        <f>IF($E580="","",IFERROR(INDEX(科目表!$E$4:$E$81,MATCH($E580,科目表!$B$4:$B$81,0)),""))</f>
        <v/>
      </c>
      <c r="H580" s="27" t="str">
        <f>IF($E580="","",N(INDEX(进销存对接!$M$4:$U$305,193,2)))</f>
        <v/>
      </c>
      <c r="I580" s="27" t="str">
        <f>IF($E580="","",N(INDEX(进销存对接!$M$4:$U$305,193,3)))</f>
        <v/>
      </c>
      <c r="J580" s="26"/>
      <c r="K580" s="26" t="str">
        <f>IF($E580="","",INDEX(进销存对接!$D$4:$D$305,193))</f>
        <v/>
      </c>
      <c r="L580" s="32"/>
      <c r="M580" s="32"/>
      <c r="N580" s="26" t="str">
        <f t="shared" ref="N580:N643" si="38">IF($E580="","","系统")</f>
        <v/>
      </c>
      <c r="O580" s="26" t="str">
        <f t="shared" ref="O580:O643" si="39">IF($E580="","","自动A")</f>
        <v/>
      </c>
      <c r="P580" s="10"/>
    </row>
    <row r="581" ht="18" customHeight="1" spans="1:16">
      <c r="A581" s="32" t="str">
        <f t="shared" si="36"/>
        <v/>
      </c>
      <c r="B581" s="100" t="str">
        <f>IF($E581="","",INDEX(进销存对接!$C$4:$C$305,193))</f>
        <v/>
      </c>
      <c r="C581" s="26" t="str">
        <f t="shared" si="37"/>
        <v/>
      </c>
      <c r="D581" s="32" t="str">
        <f>IF($E581="","",INDEX(进销存对接!$D$4:$D$305,193)&amp;" "&amp;TEXT($B581,"YYYY年M月")&amp;" 自动结转")</f>
        <v/>
      </c>
      <c r="E581" s="26" t="str">
        <f>IF(INDEX(进销存对接!$M$4:$U$305,193,4)=0,"",INDEX(进销存对接!$M$4:$U$305,193,4))</f>
        <v/>
      </c>
      <c r="F581" s="25" t="str">
        <f>IF($E581="","",IFERROR(INDEX(科目表!$A$4:$A$81,MATCH($E581,科目表!$B$4:$B$81,0)),""))</f>
        <v/>
      </c>
      <c r="G581" s="26" t="str">
        <f>IF($E581="","",IFERROR(INDEX(科目表!$E$4:$E$81,MATCH($E581,科目表!$B$4:$B$81,0)),""))</f>
        <v/>
      </c>
      <c r="H581" s="27" t="str">
        <f>IF($E581="","",N(INDEX(进销存对接!$M$4:$U$305,193,5)))</f>
        <v/>
      </c>
      <c r="I581" s="27" t="str">
        <f>IF($E581="","",N(INDEX(进销存对接!$M$4:$U$305,193,6)))</f>
        <v/>
      </c>
      <c r="J581" s="26"/>
      <c r="K581" s="26" t="str">
        <f>IF($E581="","",INDEX(进销存对接!$D$4:$D$305,193))</f>
        <v/>
      </c>
      <c r="L581" s="32"/>
      <c r="M581" s="32"/>
      <c r="N581" s="26" t="str">
        <f t="shared" si="38"/>
        <v/>
      </c>
      <c r="O581" s="26" t="str">
        <f t="shared" si="39"/>
        <v/>
      </c>
      <c r="P581" s="10"/>
    </row>
    <row r="582" ht="18" customHeight="1" spans="1:16">
      <c r="A582" s="32" t="str">
        <f t="shared" si="36"/>
        <v/>
      </c>
      <c r="B582" s="100" t="str">
        <f>IF($E582="","",INDEX(进销存对接!$C$4:$C$305,193))</f>
        <v/>
      </c>
      <c r="C582" s="26" t="str">
        <f t="shared" si="37"/>
        <v/>
      </c>
      <c r="D582" s="32" t="str">
        <f>IF($E582="","",INDEX(进销存对接!$D$4:$D$305,193)&amp;" "&amp;TEXT($B582,"YYYY年M月")&amp;" 自动结转")</f>
        <v/>
      </c>
      <c r="E582" s="26" t="str">
        <f>IF(INDEX(进销存对接!$M$4:$U$305,193,7)=0,"",INDEX(进销存对接!$M$4:$U$305,193,7))</f>
        <v/>
      </c>
      <c r="F582" s="25" t="str">
        <f>IF($E582="","",IFERROR(INDEX(科目表!$A$4:$A$81,MATCH($E582,科目表!$B$4:$B$81,0)),""))</f>
        <v/>
      </c>
      <c r="G582" s="26" t="str">
        <f>IF($E582="","",IFERROR(INDEX(科目表!$E$4:$E$81,MATCH($E582,科目表!$B$4:$B$81,0)),""))</f>
        <v/>
      </c>
      <c r="H582" s="27" t="str">
        <f>IF($E582="","",N(INDEX(进销存对接!$M$4:$U$305,193,8)))</f>
        <v/>
      </c>
      <c r="I582" s="27" t="str">
        <f>IF($E582="","",N(INDEX(进销存对接!$M$4:$U$305,193,9)))</f>
        <v/>
      </c>
      <c r="J582" s="26"/>
      <c r="K582" s="26" t="str">
        <f>IF($E582="","",INDEX(进销存对接!$D$4:$D$305,193))</f>
        <v/>
      </c>
      <c r="L582" s="32"/>
      <c r="M582" s="32"/>
      <c r="N582" s="26" t="str">
        <f t="shared" si="38"/>
        <v/>
      </c>
      <c r="O582" s="26" t="str">
        <f t="shared" si="39"/>
        <v/>
      </c>
      <c r="P582" s="10"/>
    </row>
    <row r="583" ht="18" customHeight="1" spans="1:16">
      <c r="A583" s="32" t="str">
        <f t="shared" si="36"/>
        <v/>
      </c>
      <c r="B583" s="100" t="str">
        <f>IF($E583="","",INDEX(进销存对接!$C$4:$C$305,194))</f>
        <v/>
      </c>
      <c r="C583" s="26" t="str">
        <f t="shared" si="37"/>
        <v/>
      </c>
      <c r="D583" s="32" t="str">
        <f>IF($E583="","",INDEX(进销存对接!$D$4:$D$305,194)&amp;" "&amp;TEXT($B583,"YYYY年M月")&amp;" 自动结转")</f>
        <v/>
      </c>
      <c r="E583" s="26" t="str">
        <f>IF(INDEX(进销存对接!$M$4:$U$305,194,1)=0,"",INDEX(进销存对接!$M$4:$U$305,194,1))</f>
        <v/>
      </c>
      <c r="F583" s="25" t="str">
        <f>IF($E583="","",IFERROR(INDEX(科目表!$A$4:$A$81,MATCH($E583,科目表!$B$4:$B$81,0)),""))</f>
        <v/>
      </c>
      <c r="G583" s="26" t="str">
        <f>IF($E583="","",IFERROR(INDEX(科目表!$E$4:$E$81,MATCH($E583,科目表!$B$4:$B$81,0)),""))</f>
        <v/>
      </c>
      <c r="H583" s="27" t="str">
        <f>IF($E583="","",N(INDEX(进销存对接!$M$4:$U$305,194,2)))</f>
        <v/>
      </c>
      <c r="I583" s="27" t="str">
        <f>IF($E583="","",N(INDEX(进销存对接!$M$4:$U$305,194,3)))</f>
        <v/>
      </c>
      <c r="J583" s="26"/>
      <c r="K583" s="26" t="str">
        <f>IF($E583="","",INDEX(进销存对接!$D$4:$D$305,194))</f>
        <v/>
      </c>
      <c r="L583" s="32"/>
      <c r="M583" s="32"/>
      <c r="N583" s="26" t="str">
        <f t="shared" si="38"/>
        <v/>
      </c>
      <c r="O583" s="26" t="str">
        <f t="shared" si="39"/>
        <v/>
      </c>
      <c r="P583" s="10"/>
    </row>
    <row r="584" ht="18" customHeight="1" spans="1:16">
      <c r="A584" s="32" t="str">
        <f t="shared" si="36"/>
        <v/>
      </c>
      <c r="B584" s="100" t="str">
        <f>IF($E584="","",INDEX(进销存对接!$C$4:$C$305,194))</f>
        <v/>
      </c>
      <c r="C584" s="26" t="str">
        <f t="shared" si="37"/>
        <v/>
      </c>
      <c r="D584" s="32" t="str">
        <f>IF($E584="","",INDEX(进销存对接!$D$4:$D$305,194)&amp;" "&amp;TEXT($B584,"YYYY年M月")&amp;" 自动结转")</f>
        <v/>
      </c>
      <c r="E584" s="26" t="str">
        <f>IF(INDEX(进销存对接!$M$4:$U$305,194,4)=0,"",INDEX(进销存对接!$M$4:$U$305,194,4))</f>
        <v/>
      </c>
      <c r="F584" s="25" t="str">
        <f>IF($E584="","",IFERROR(INDEX(科目表!$A$4:$A$81,MATCH($E584,科目表!$B$4:$B$81,0)),""))</f>
        <v/>
      </c>
      <c r="G584" s="26" t="str">
        <f>IF($E584="","",IFERROR(INDEX(科目表!$E$4:$E$81,MATCH($E584,科目表!$B$4:$B$81,0)),""))</f>
        <v/>
      </c>
      <c r="H584" s="27" t="str">
        <f>IF($E584="","",N(INDEX(进销存对接!$M$4:$U$305,194,5)))</f>
        <v/>
      </c>
      <c r="I584" s="27" t="str">
        <f>IF($E584="","",N(INDEX(进销存对接!$M$4:$U$305,194,6)))</f>
        <v/>
      </c>
      <c r="J584" s="26"/>
      <c r="K584" s="26" t="str">
        <f>IF($E584="","",INDEX(进销存对接!$D$4:$D$305,194))</f>
        <v/>
      </c>
      <c r="L584" s="32"/>
      <c r="M584" s="32"/>
      <c r="N584" s="26" t="str">
        <f t="shared" si="38"/>
        <v/>
      </c>
      <c r="O584" s="26" t="str">
        <f t="shared" si="39"/>
        <v/>
      </c>
      <c r="P584" s="10"/>
    </row>
    <row r="585" ht="18" customHeight="1" spans="1:16">
      <c r="A585" s="32" t="str">
        <f t="shared" si="36"/>
        <v/>
      </c>
      <c r="B585" s="100" t="str">
        <f>IF($E585="","",INDEX(进销存对接!$C$4:$C$305,194))</f>
        <v/>
      </c>
      <c r="C585" s="26" t="str">
        <f t="shared" si="37"/>
        <v/>
      </c>
      <c r="D585" s="32" t="str">
        <f>IF($E585="","",INDEX(进销存对接!$D$4:$D$305,194)&amp;" "&amp;TEXT($B585,"YYYY年M月")&amp;" 自动结转")</f>
        <v/>
      </c>
      <c r="E585" s="26" t="str">
        <f>IF(INDEX(进销存对接!$M$4:$U$305,194,7)=0,"",INDEX(进销存对接!$M$4:$U$305,194,7))</f>
        <v/>
      </c>
      <c r="F585" s="25" t="str">
        <f>IF($E585="","",IFERROR(INDEX(科目表!$A$4:$A$81,MATCH($E585,科目表!$B$4:$B$81,0)),""))</f>
        <v/>
      </c>
      <c r="G585" s="26" t="str">
        <f>IF($E585="","",IFERROR(INDEX(科目表!$E$4:$E$81,MATCH($E585,科目表!$B$4:$B$81,0)),""))</f>
        <v/>
      </c>
      <c r="H585" s="27" t="str">
        <f>IF($E585="","",N(INDEX(进销存对接!$M$4:$U$305,194,8)))</f>
        <v/>
      </c>
      <c r="I585" s="27" t="str">
        <f>IF($E585="","",N(INDEX(进销存对接!$M$4:$U$305,194,9)))</f>
        <v/>
      </c>
      <c r="J585" s="26"/>
      <c r="K585" s="26" t="str">
        <f>IF($E585="","",INDEX(进销存对接!$D$4:$D$305,194))</f>
        <v/>
      </c>
      <c r="L585" s="32"/>
      <c r="M585" s="32"/>
      <c r="N585" s="26" t="str">
        <f t="shared" si="38"/>
        <v/>
      </c>
      <c r="O585" s="26" t="str">
        <f t="shared" si="39"/>
        <v/>
      </c>
      <c r="P585" s="10"/>
    </row>
    <row r="586" ht="18" customHeight="1" spans="1:16">
      <c r="A586" s="32" t="str">
        <f t="shared" si="36"/>
        <v/>
      </c>
      <c r="B586" s="100" t="str">
        <f>IF($E586="","",INDEX(进销存对接!$C$4:$C$305,195))</f>
        <v/>
      </c>
      <c r="C586" s="26" t="str">
        <f t="shared" si="37"/>
        <v/>
      </c>
      <c r="D586" s="32" t="str">
        <f>IF($E586="","",INDEX(进销存对接!$D$4:$D$305,195)&amp;" "&amp;TEXT($B586,"YYYY年M月")&amp;" 自动结转")</f>
        <v/>
      </c>
      <c r="E586" s="26" t="str">
        <f>IF(INDEX(进销存对接!$M$4:$U$305,195,1)=0,"",INDEX(进销存对接!$M$4:$U$305,195,1))</f>
        <v/>
      </c>
      <c r="F586" s="25" t="str">
        <f>IF($E586="","",IFERROR(INDEX(科目表!$A$4:$A$81,MATCH($E586,科目表!$B$4:$B$81,0)),""))</f>
        <v/>
      </c>
      <c r="G586" s="26" t="str">
        <f>IF($E586="","",IFERROR(INDEX(科目表!$E$4:$E$81,MATCH($E586,科目表!$B$4:$B$81,0)),""))</f>
        <v/>
      </c>
      <c r="H586" s="27" t="str">
        <f>IF($E586="","",N(INDEX(进销存对接!$M$4:$U$305,195,2)))</f>
        <v/>
      </c>
      <c r="I586" s="27" t="str">
        <f>IF($E586="","",N(INDEX(进销存对接!$M$4:$U$305,195,3)))</f>
        <v/>
      </c>
      <c r="J586" s="26"/>
      <c r="K586" s="26" t="str">
        <f>IF($E586="","",INDEX(进销存对接!$D$4:$D$305,195))</f>
        <v/>
      </c>
      <c r="L586" s="32"/>
      <c r="M586" s="32"/>
      <c r="N586" s="26" t="str">
        <f t="shared" si="38"/>
        <v/>
      </c>
      <c r="O586" s="26" t="str">
        <f t="shared" si="39"/>
        <v/>
      </c>
      <c r="P586" s="10"/>
    </row>
    <row r="587" ht="18" customHeight="1" spans="1:16">
      <c r="A587" s="32" t="str">
        <f t="shared" si="36"/>
        <v/>
      </c>
      <c r="B587" s="100" t="str">
        <f>IF($E587="","",INDEX(进销存对接!$C$4:$C$305,195))</f>
        <v/>
      </c>
      <c r="C587" s="26" t="str">
        <f t="shared" si="37"/>
        <v/>
      </c>
      <c r="D587" s="32" t="str">
        <f>IF($E587="","",INDEX(进销存对接!$D$4:$D$305,195)&amp;" "&amp;TEXT($B587,"YYYY年M月")&amp;" 自动结转")</f>
        <v/>
      </c>
      <c r="E587" s="26" t="str">
        <f>IF(INDEX(进销存对接!$M$4:$U$305,195,4)=0,"",INDEX(进销存对接!$M$4:$U$305,195,4))</f>
        <v/>
      </c>
      <c r="F587" s="25" t="str">
        <f>IF($E587="","",IFERROR(INDEX(科目表!$A$4:$A$81,MATCH($E587,科目表!$B$4:$B$81,0)),""))</f>
        <v/>
      </c>
      <c r="G587" s="26" t="str">
        <f>IF($E587="","",IFERROR(INDEX(科目表!$E$4:$E$81,MATCH($E587,科目表!$B$4:$B$81,0)),""))</f>
        <v/>
      </c>
      <c r="H587" s="27" t="str">
        <f>IF($E587="","",N(INDEX(进销存对接!$M$4:$U$305,195,5)))</f>
        <v/>
      </c>
      <c r="I587" s="27" t="str">
        <f>IF($E587="","",N(INDEX(进销存对接!$M$4:$U$305,195,6)))</f>
        <v/>
      </c>
      <c r="J587" s="26"/>
      <c r="K587" s="26" t="str">
        <f>IF($E587="","",INDEX(进销存对接!$D$4:$D$305,195))</f>
        <v/>
      </c>
      <c r="L587" s="32"/>
      <c r="M587" s="32"/>
      <c r="N587" s="26" t="str">
        <f t="shared" si="38"/>
        <v/>
      </c>
      <c r="O587" s="26" t="str">
        <f t="shared" si="39"/>
        <v/>
      </c>
      <c r="P587" s="10"/>
    </row>
    <row r="588" ht="18" customHeight="1" spans="1:16">
      <c r="A588" s="32" t="str">
        <f t="shared" si="36"/>
        <v/>
      </c>
      <c r="B588" s="100" t="str">
        <f>IF($E588="","",INDEX(进销存对接!$C$4:$C$305,195))</f>
        <v/>
      </c>
      <c r="C588" s="26" t="str">
        <f t="shared" si="37"/>
        <v/>
      </c>
      <c r="D588" s="32" t="str">
        <f>IF($E588="","",INDEX(进销存对接!$D$4:$D$305,195)&amp;" "&amp;TEXT($B588,"YYYY年M月")&amp;" 自动结转")</f>
        <v/>
      </c>
      <c r="E588" s="26" t="str">
        <f>IF(INDEX(进销存对接!$M$4:$U$305,195,7)=0,"",INDEX(进销存对接!$M$4:$U$305,195,7))</f>
        <v/>
      </c>
      <c r="F588" s="25" t="str">
        <f>IF($E588="","",IFERROR(INDEX(科目表!$A$4:$A$81,MATCH($E588,科目表!$B$4:$B$81,0)),""))</f>
        <v/>
      </c>
      <c r="G588" s="26" t="str">
        <f>IF($E588="","",IFERROR(INDEX(科目表!$E$4:$E$81,MATCH($E588,科目表!$B$4:$B$81,0)),""))</f>
        <v/>
      </c>
      <c r="H588" s="27" t="str">
        <f>IF($E588="","",N(INDEX(进销存对接!$M$4:$U$305,195,8)))</f>
        <v/>
      </c>
      <c r="I588" s="27" t="str">
        <f>IF($E588="","",N(INDEX(进销存对接!$M$4:$U$305,195,9)))</f>
        <v/>
      </c>
      <c r="J588" s="26"/>
      <c r="K588" s="26" t="str">
        <f>IF($E588="","",INDEX(进销存对接!$D$4:$D$305,195))</f>
        <v/>
      </c>
      <c r="L588" s="32"/>
      <c r="M588" s="32"/>
      <c r="N588" s="26" t="str">
        <f t="shared" si="38"/>
        <v/>
      </c>
      <c r="O588" s="26" t="str">
        <f t="shared" si="39"/>
        <v/>
      </c>
      <c r="P588" s="10"/>
    </row>
    <row r="589" ht="18" customHeight="1" spans="1:16">
      <c r="A589" s="32" t="str">
        <f t="shared" si="36"/>
        <v/>
      </c>
      <c r="B589" s="100" t="str">
        <f>IF($E589="","",INDEX(进销存对接!$C$4:$C$305,196))</f>
        <v/>
      </c>
      <c r="C589" s="26" t="str">
        <f t="shared" si="37"/>
        <v/>
      </c>
      <c r="D589" s="32" t="str">
        <f>IF($E589="","",INDEX(进销存对接!$D$4:$D$305,196)&amp;" "&amp;TEXT($B589,"YYYY年M月")&amp;" 自动结转")</f>
        <v/>
      </c>
      <c r="E589" s="26" t="str">
        <f>IF(INDEX(进销存对接!$M$4:$U$305,196,1)=0,"",INDEX(进销存对接!$M$4:$U$305,196,1))</f>
        <v/>
      </c>
      <c r="F589" s="25" t="str">
        <f>IF($E589="","",IFERROR(INDEX(科目表!$A$4:$A$81,MATCH($E589,科目表!$B$4:$B$81,0)),""))</f>
        <v/>
      </c>
      <c r="G589" s="26" t="str">
        <f>IF($E589="","",IFERROR(INDEX(科目表!$E$4:$E$81,MATCH($E589,科目表!$B$4:$B$81,0)),""))</f>
        <v/>
      </c>
      <c r="H589" s="27" t="str">
        <f>IF($E589="","",N(INDEX(进销存对接!$M$4:$U$305,196,2)))</f>
        <v/>
      </c>
      <c r="I589" s="27" t="str">
        <f>IF($E589="","",N(INDEX(进销存对接!$M$4:$U$305,196,3)))</f>
        <v/>
      </c>
      <c r="J589" s="26"/>
      <c r="K589" s="26" t="str">
        <f>IF($E589="","",INDEX(进销存对接!$D$4:$D$305,196))</f>
        <v/>
      </c>
      <c r="L589" s="32"/>
      <c r="M589" s="32"/>
      <c r="N589" s="26" t="str">
        <f t="shared" si="38"/>
        <v/>
      </c>
      <c r="O589" s="26" t="str">
        <f t="shared" si="39"/>
        <v/>
      </c>
      <c r="P589" s="10"/>
    </row>
    <row r="590" ht="18" customHeight="1" spans="1:16">
      <c r="A590" s="32" t="str">
        <f t="shared" si="36"/>
        <v/>
      </c>
      <c r="B590" s="100" t="str">
        <f>IF($E590="","",INDEX(进销存对接!$C$4:$C$305,196))</f>
        <v/>
      </c>
      <c r="C590" s="26" t="str">
        <f t="shared" si="37"/>
        <v/>
      </c>
      <c r="D590" s="32" t="str">
        <f>IF($E590="","",INDEX(进销存对接!$D$4:$D$305,196)&amp;" "&amp;TEXT($B590,"YYYY年M月")&amp;" 自动结转")</f>
        <v/>
      </c>
      <c r="E590" s="26" t="str">
        <f>IF(INDEX(进销存对接!$M$4:$U$305,196,4)=0,"",INDEX(进销存对接!$M$4:$U$305,196,4))</f>
        <v/>
      </c>
      <c r="F590" s="25" t="str">
        <f>IF($E590="","",IFERROR(INDEX(科目表!$A$4:$A$81,MATCH($E590,科目表!$B$4:$B$81,0)),""))</f>
        <v/>
      </c>
      <c r="G590" s="26" t="str">
        <f>IF($E590="","",IFERROR(INDEX(科目表!$E$4:$E$81,MATCH($E590,科目表!$B$4:$B$81,0)),""))</f>
        <v/>
      </c>
      <c r="H590" s="27" t="str">
        <f>IF($E590="","",N(INDEX(进销存对接!$M$4:$U$305,196,5)))</f>
        <v/>
      </c>
      <c r="I590" s="27" t="str">
        <f>IF($E590="","",N(INDEX(进销存对接!$M$4:$U$305,196,6)))</f>
        <v/>
      </c>
      <c r="J590" s="26"/>
      <c r="K590" s="26" t="str">
        <f>IF($E590="","",INDEX(进销存对接!$D$4:$D$305,196))</f>
        <v/>
      </c>
      <c r="L590" s="32"/>
      <c r="M590" s="32"/>
      <c r="N590" s="26" t="str">
        <f t="shared" si="38"/>
        <v/>
      </c>
      <c r="O590" s="26" t="str">
        <f t="shared" si="39"/>
        <v/>
      </c>
      <c r="P590" s="10"/>
    </row>
    <row r="591" ht="18" customHeight="1" spans="1:16">
      <c r="A591" s="32" t="str">
        <f t="shared" si="36"/>
        <v/>
      </c>
      <c r="B591" s="100" t="str">
        <f>IF($E591="","",INDEX(进销存对接!$C$4:$C$305,196))</f>
        <v/>
      </c>
      <c r="C591" s="26" t="str">
        <f t="shared" si="37"/>
        <v/>
      </c>
      <c r="D591" s="32" t="str">
        <f>IF($E591="","",INDEX(进销存对接!$D$4:$D$305,196)&amp;" "&amp;TEXT($B591,"YYYY年M月")&amp;" 自动结转")</f>
        <v/>
      </c>
      <c r="E591" s="26" t="str">
        <f>IF(INDEX(进销存对接!$M$4:$U$305,196,7)=0,"",INDEX(进销存对接!$M$4:$U$305,196,7))</f>
        <v/>
      </c>
      <c r="F591" s="25" t="str">
        <f>IF($E591="","",IFERROR(INDEX(科目表!$A$4:$A$81,MATCH($E591,科目表!$B$4:$B$81,0)),""))</f>
        <v/>
      </c>
      <c r="G591" s="26" t="str">
        <f>IF($E591="","",IFERROR(INDEX(科目表!$E$4:$E$81,MATCH($E591,科目表!$B$4:$B$81,0)),""))</f>
        <v/>
      </c>
      <c r="H591" s="27" t="str">
        <f>IF($E591="","",N(INDEX(进销存对接!$M$4:$U$305,196,8)))</f>
        <v/>
      </c>
      <c r="I591" s="27" t="str">
        <f>IF($E591="","",N(INDEX(进销存对接!$M$4:$U$305,196,9)))</f>
        <v/>
      </c>
      <c r="J591" s="26"/>
      <c r="K591" s="26" t="str">
        <f>IF($E591="","",INDEX(进销存对接!$D$4:$D$305,196))</f>
        <v/>
      </c>
      <c r="L591" s="32"/>
      <c r="M591" s="32"/>
      <c r="N591" s="26" t="str">
        <f t="shared" si="38"/>
        <v/>
      </c>
      <c r="O591" s="26" t="str">
        <f t="shared" si="39"/>
        <v/>
      </c>
      <c r="P591" s="10"/>
    </row>
    <row r="592" ht="18" customHeight="1" spans="1:16">
      <c r="A592" s="32" t="str">
        <f t="shared" si="36"/>
        <v/>
      </c>
      <c r="B592" s="100" t="str">
        <f>IF($E592="","",INDEX(进销存对接!$C$4:$C$305,197))</f>
        <v/>
      </c>
      <c r="C592" s="26" t="str">
        <f t="shared" si="37"/>
        <v/>
      </c>
      <c r="D592" s="32" t="str">
        <f>IF($E592="","",INDEX(进销存对接!$D$4:$D$305,197)&amp;" "&amp;TEXT($B592,"YYYY年M月")&amp;" 自动结转")</f>
        <v/>
      </c>
      <c r="E592" s="26" t="str">
        <f>IF(INDEX(进销存对接!$M$4:$U$305,197,1)=0,"",INDEX(进销存对接!$M$4:$U$305,197,1))</f>
        <v/>
      </c>
      <c r="F592" s="25" t="str">
        <f>IF($E592="","",IFERROR(INDEX(科目表!$A$4:$A$81,MATCH($E592,科目表!$B$4:$B$81,0)),""))</f>
        <v/>
      </c>
      <c r="G592" s="26" t="str">
        <f>IF($E592="","",IFERROR(INDEX(科目表!$E$4:$E$81,MATCH($E592,科目表!$B$4:$B$81,0)),""))</f>
        <v/>
      </c>
      <c r="H592" s="27" t="str">
        <f>IF($E592="","",N(INDEX(进销存对接!$M$4:$U$305,197,2)))</f>
        <v/>
      </c>
      <c r="I592" s="27" t="str">
        <f>IF($E592="","",N(INDEX(进销存对接!$M$4:$U$305,197,3)))</f>
        <v/>
      </c>
      <c r="J592" s="26"/>
      <c r="K592" s="26" t="str">
        <f>IF($E592="","",INDEX(进销存对接!$D$4:$D$305,197))</f>
        <v/>
      </c>
      <c r="L592" s="32"/>
      <c r="M592" s="32"/>
      <c r="N592" s="26" t="str">
        <f t="shared" si="38"/>
        <v/>
      </c>
      <c r="O592" s="26" t="str">
        <f t="shared" si="39"/>
        <v/>
      </c>
      <c r="P592" s="10"/>
    </row>
    <row r="593" ht="18" customHeight="1" spans="1:16">
      <c r="A593" s="32" t="str">
        <f t="shared" si="36"/>
        <v/>
      </c>
      <c r="B593" s="100" t="str">
        <f>IF($E593="","",INDEX(进销存对接!$C$4:$C$305,197))</f>
        <v/>
      </c>
      <c r="C593" s="26" t="str">
        <f t="shared" si="37"/>
        <v/>
      </c>
      <c r="D593" s="32" t="str">
        <f>IF($E593="","",INDEX(进销存对接!$D$4:$D$305,197)&amp;" "&amp;TEXT($B593,"YYYY年M月")&amp;" 自动结转")</f>
        <v/>
      </c>
      <c r="E593" s="26" t="str">
        <f>IF(INDEX(进销存对接!$M$4:$U$305,197,4)=0,"",INDEX(进销存对接!$M$4:$U$305,197,4))</f>
        <v/>
      </c>
      <c r="F593" s="25" t="str">
        <f>IF($E593="","",IFERROR(INDEX(科目表!$A$4:$A$81,MATCH($E593,科目表!$B$4:$B$81,0)),""))</f>
        <v/>
      </c>
      <c r="G593" s="26" t="str">
        <f>IF($E593="","",IFERROR(INDEX(科目表!$E$4:$E$81,MATCH($E593,科目表!$B$4:$B$81,0)),""))</f>
        <v/>
      </c>
      <c r="H593" s="27" t="str">
        <f>IF($E593="","",N(INDEX(进销存对接!$M$4:$U$305,197,5)))</f>
        <v/>
      </c>
      <c r="I593" s="27" t="str">
        <f>IF($E593="","",N(INDEX(进销存对接!$M$4:$U$305,197,6)))</f>
        <v/>
      </c>
      <c r="J593" s="26"/>
      <c r="K593" s="26" t="str">
        <f>IF($E593="","",INDEX(进销存对接!$D$4:$D$305,197))</f>
        <v/>
      </c>
      <c r="L593" s="32"/>
      <c r="M593" s="32"/>
      <c r="N593" s="26" t="str">
        <f t="shared" si="38"/>
        <v/>
      </c>
      <c r="O593" s="26" t="str">
        <f t="shared" si="39"/>
        <v/>
      </c>
      <c r="P593" s="10"/>
    </row>
    <row r="594" ht="18" customHeight="1" spans="1:16">
      <c r="A594" s="32" t="str">
        <f t="shared" si="36"/>
        <v/>
      </c>
      <c r="B594" s="100" t="str">
        <f>IF($E594="","",INDEX(进销存对接!$C$4:$C$305,197))</f>
        <v/>
      </c>
      <c r="C594" s="26" t="str">
        <f t="shared" si="37"/>
        <v/>
      </c>
      <c r="D594" s="32" t="str">
        <f>IF($E594="","",INDEX(进销存对接!$D$4:$D$305,197)&amp;" "&amp;TEXT($B594,"YYYY年M月")&amp;" 自动结转")</f>
        <v/>
      </c>
      <c r="E594" s="26" t="str">
        <f>IF(INDEX(进销存对接!$M$4:$U$305,197,7)=0,"",INDEX(进销存对接!$M$4:$U$305,197,7))</f>
        <v/>
      </c>
      <c r="F594" s="25" t="str">
        <f>IF($E594="","",IFERROR(INDEX(科目表!$A$4:$A$81,MATCH($E594,科目表!$B$4:$B$81,0)),""))</f>
        <v/>
      </c>
      <c r="G594" s="26" t="str">
        <f>IF($E594="","",IFERROR(INDEX(科目表!$E$4:$E$81,MATCH($E594,科目表!$B$4:$B$81,0)),""))</f>
        <v/>
      </c>
      <c r="H594" s="27" t="str">
        <f>IF($E594="","",N(INDEX(进销存对接!$M$4:$U$305,197,8)))</f>
        <v/>
      </c>
      <c r="I594" s="27" t="str">
        <f>IF($E594="","",N(INDEX(进销存对接!$M$4:$U$305,197,9)))</f>
        <v/>
      </c>
      <c r="J594" s="26"/>
      <c r="K594" s="26" t="str">
        <f>IF($E594="","",INDEX(进销存对接!$D$4:$D$305,197))</f>
        <v/>
      </c>
      <c r="L594" s="32"/>
      <c r="M594" s="32"/>
      <c r="N594" s="26" t="str">
        <f t="shared" si="38"/>
        <v/>
      </c>
      <c r="O594" s="26" t="str">
        <f t="shared" si="39"/>
        <v/>
      </c>
      <c r="P594" s="10"/>
    </row>
    <row r="595" ht="18" customHeight="1" spans="1:16">
      <c r="A595" s="32" t="str">
        <f t="shared" si="36"/>
        <v/>
      </c>
      <c r="B595" s="100" t="str">
        <f>IF($E595="","",INDEX(进销存对接!$C$4:$C$305,198))</f>
        <v/>
      </c>
      <c r="C595" s="26" t="str">
        <f t="shared" si="37"/>
        <v/>
      </c>
      <c r="D595" s="32" t="str">
        <f>IF($E595="","",INDEX(进销存对接!$D$4:$D$305,198)&amp;" "&amp;TEXT($B595,"YYYY年M月")&amp;" 自动结转")</f>
        <v/>
      </c>
      <c r="E595" s="26" t="str">
        <f>IF(INDEX(进销存对接!$M$4:$U$305,198,1)=0,"",INDEX(进销存对接!$M$4:$U$305,198,1))</f>
        <v/>
      </c>
      <c r="F595" s="25" t="str">
        <f>IF($E595="","",IFERROR(INDEX(科目表!$A$4:$A$81,MATCH($E595,科目表!$B$4:$B$81,0)),""))</f>
        <v/>
      </c>
      <c r="G595" s="26" t="str">
        <f>IF($E595="","",IFERROR(INDEX(科目表!$E$4:$E$81,MATCH($E595,科目表!$B$4:$B$81,0)),""))</f>
        <v/>
      </c>
      <c r="H595" s="27" t="str">
        <f>IF($E595="","",N(INDEX(进销存对接!$M$4:$U$305,198,2)))</f>
        <v/>
      </c>
      <c r="I595" s="27" t="str">
        <f>IF($E595="","",N(INDEX(进销存对接!$M$4:$U$305,198,3)))</f>
        <v/>
      </c>
      <c r="J595" s="26"/>
      <c r="K595" s="26" t="str">
        <f>IF($E595="","",INDEX(进销存对接!$D$4:$D$305,198))</f>
        <v/>
      </c>
      <c r="L595" s="32"/>
      <c r="M595" s="32"/>
      <c r="N595" s="26" t="str">
        <f t="shared" si="38"/>
        <v/>
      </c>
      <c r="O595" s="26" t="str">
        <f t="shared" si="39"/>
        <v/>
      </c>
      <c r="P595" s="10"/>
    </row>
    <row r="596" ht="18" customHeight="1" spans="1:16">
      <c r="A596" s="32" t="str">
        <f t="shared" si="36"/>
        <v/>
      </c>
      <c r="B596" s="100" t="str">
        <f>IF($E596="","",INDEX(进销存对接!$C$4:$C$305,198))</f>
        <v/>
      </c>
      <c r="C596" s="26" t="str">
        <f t="shared" si="37"/>
        <v/>
      </c>
      <c r="D596" s="32" t="str">
        <f>IF($E596="","",INDEX(进销存对接!$D$4:$D$305,198)&amp;" "&amp;TEXT($B596,"YYYY年M月")&amp;" 自动结转")</f>
        <v/>
      </c>
      <c r="E596" s="26" t="str">
        <f>IF(INDEX(进销存对接!$M$4:$U$305,198,4)=0,"",INDEX(进销存对接!$M$4:$U$305,198,4))</f>
        <v/>
      </c>
      <c r="F596" s="25" t="str">
        <f>IF($E596="","",IFERROR(INDEX(科目表!$A$4:$A$81,MATCH($E596,科目表!$B$4:$B$81,0)),""))</f>
        <v/>
      </c>
      <c r="G596" s="26" t="str">
        <f>IF($E596="","",IFERROR(INDEX(科目表!$E$4:$E$81,MATCH($E596,科目表!$B$4:$B$81,0)),""))</f>
        <v/>
      </c>
      <c r="H596" s="27" t="str">
        <f>IF($E596="","",N(INDEX(进销存对接!$M$4:$U$305,198,5)))</f>
        <v/>
      </c>
      <c r="I596" s="27" t="str">
        <f>IF($E596="","",N(INDEX(进销存对接!$M$4:$U$305,198,6)))</f>
        <v/>
      </c>
      <c r="J596" s="26"/>
      <c r="K596" s="26" t="str">
        <f>IF($E596="","",INDEX(进销存对接!$D$4:$D$305,198))</f>
        <v/>
      </c>
      <c r="L596" s="32"/>
      <c r="M596" s="32"/>
      <c r="N596" s="26" t="str">
        <f t="shared" si="38"/>
        <v/>
      </c>
      <c r="O596" s="26" t="str">
        <f t="shared" si="39"/>
        <v/>
      </c>
      <c r="P596" s="10"/>
    </row>
    <row r="597" ht="18" customHeight="1" spans="1:16">
      <c r="A597" s="32" t="str">
        <f t="shared" si="36"/>
        <v/>
      </c>
      <c r="B597" s="100" t="str">
        <f>IF($E597="","",INDEX(进销存对接!$C$4:$C$305,198))</f>
        <v/>
      </c>
      <c r="C597" s="26" t="str">
        <f t="shared" si="37"/>
        <v/>
      </c>
      <c r="D597" s="32" t="str">
        <f>IF($E597="","",INDEX(进销存对接!$D$4:$D$305,198)&amp;" "&amp;TEXT($B597,"YYYY年M月")&amp;" 自动结转")</f>
        <v/>
      </c>
      <c r="E597" s="26" t="str">
        <f>IF(INDEX(进销存对接!$M$4:$U$305,198,7)=0,"",INDEX(进销存对接!$M$4:$U$305,198,7))</f>
        <v/>
      </c>
      <c r="F597" s="25" t="str">
        <f>IF($E597="","",IFERROR(INDEX(科目表!$A$4:$A$81,MATCH($E597,科目表!$B$4:$B$81,0)),""))</f>
        <v/>
      </c>
      <c r="G597" s="26" t="str">
        <f>IF($E597="","",IFERROR(INDEX(科目表!$E$4:$E$81,MATCH($E597,科目表!$B$4:$B$81,0)),""))</f>
        <v/>
      </c>
      <c r="H597" s="27" t="str">
        <f>IF($E597="","",N(INDEX(进销存对接!$M$4:$U$305,198,8)))</f>
        <v/>
      </c>
      <c r="I597" s="27" t="str">
        <f>IF($E597="","",N(INDEX(进销存对接!$M$4:$U$305,198,9)))</f>
        <v/>
      </c>
      <c r="J597" s="26"/>
      <c r="K597" s="26" t="str">
        <f>IF($E597="","",INDEX(进销存对接!$D$4:$D$305,198))</f>
        <v/>
      </c>
      <c r="L597" s="32"/>
      <c r="M597" s="32"/>
      <c r="N597" s="26" t="str">
        <f t="shared" si="38"/>
        <v/>
      </c>
      <c r="O597" s="26" t="str">
        <f t="shared" si="39"/>
        <v/>
      </c>
      <c r="P597" s="10"/>
    </row>
    <row r="598" ht="18" customHeight="1" spans="1:16">
      <c r="A598" s="32" t="str">
        <f t="shared" si="36"/>
        <v/>
      </c>
      <c r="B598" s="100" t="str">
        <f>IF($E598="","",INDEX(进销存对接!$C$4:$C$305,199))</f>
        <v/>
      </c>
      <c r="C598" s="26" t="str">
        <f t="shared" si="37"/>
        <v/>
      </c>
      <c r="D598" s="32" t="str">
        <f>IF($E598="","",INDEX(进销存对接!$D$4:$D$305,199)&amp;" "&amp;TEXT($B598,"YYYY年M月")&amp;" 自动结转")</f>
        <v/>
      </c>
      <c r="E598" s="26" t="str">
        <f>IF(INDEX(进销存对接!$M$4:$U$305,199,1)=0,"",INDEX(进销存对接!$M$4:$U$305,199,1))</f>
        <v/>
      </c>
      <c r="F598" s="25" t="str">
        <f>IF($E598="","",IFERROR(INDEX(科目表!$A$4:$A$81,MATCH($E598,科目表!$B$4:$B$81,0)),""))</f>
        <v/>
      </c>
      <c r="G598" s="26" t="str">
        <f>IF($E598="","",IFERROR(INDEX(科目表!$E$4:$E$81,MATCH($E598,科目表!$B$4:$B$81,0)),""))</f>
        <v/>
      </c>
      <c r="H598" s="27" t="str">
        <f>IF($E598="","",N(INDEX(进销存对接!$M$4:$U$305,199,2)))</f>
        <v/>
      </c>
      <c r="I598" s="27" t="str">
        <f>IF($E598="","",N(INDEX(进销存对接!$M$4:$U$305,199,3)))</f>
        <v/>
      </c>
      <c r="J598" s="26"/>
      <c r="K598" s="26" t="str">
        <f>IF($E598="","",INDEX(进销存对接!$D$4:$D$305,199))</f>
        <v/>
      </c>
      <c r="L598" s="32"/>
      <c r="M598" s="32"/>
      <c r="N598" s="26" t="str">
        <f t="shared" si="38"/>
        <v/>
      </c>
      <c r="O598" s="26" t="str">
        <f t="shared" si="39"/>
        <v/>
      </c>
      <c r="P598" s="10"/>
    </row>
    <row r="599" ht="18" customHeight="1" spans="1:16">
      <c r="A599" s="32" t="str">
        <f t="shared" si="36"/>
        <v/>
      </c>
      <c r="B599" s="100" t="str">
        <f>IF($E599="","",INDEX(进销存对接!$C$4:$C$305,199))</f>
        <v/>
      </c>
      <c r="C599" s="26" t="str">
        <f t="shared" si="37"/>
        <v/>
      </c>
      <c r="D599" s="32" t="str">
        <f>IF($E599="","",INDEX(进销存对接!$D$4:$D$305,199)&amp;" "&amp;TEXT($B599,"YYYY年M月")&amp;" 自动结转")</f>
        <v/>
      </c>
      <c r="E599" s="26" t="str">
        <f>IF(INDEX(进销存对接!$M$4:$U$305,199,4)=0,"",INDEX(进销存对接!$M$4:$U$305,199,4))</f>
        <v/>
      </c>
      <c r="F599" s="25" t="str">
        <f>IF($E599="","",IFERROR(INDEX(科目表!$A$4:$A$81,MATCH($E599,科目表!$B$4:$B$81,0)),""))</f>
        <v/>
      </c>
      <c r="G599" s="26" t="str">
        <f>IF($E599="","",IFERROR(INDEX(科目表!$E$4:$E$81,MATCH($E599,科目表!$B$4:$B$81,0)),""))</f>
        <v/>
      </c>
      <c r="H599" s="27" t="str">
        <f>IF($E599="","",N(INDEX(进销存对接!$M$4:$U$305,199,5)))</f>
        <v/>
      </c>
      <c r="I599" s="27" t="str">
        <f>IF($E599="","",N(INDEX(进销存对接!$M$4:$U$305,199,6)))</f>
        <v/>
      </c>
      <c r="J599" s="26"/>
      <c r="K599" s="26" t="str">
        <f>IF($E599="","",INDEX(进销存对接!$D$4:$D$305,199))</f>
        <v/>
      </c>
      <c r="L599" s="32"/>
      <c r="M599" s="32"/>
      <c r="N599" s="26" t="str">
        <f t="shared" si="38"/>
        <v/>
      </c>
      <c r="O599" s="26" t="str">
        <f t="shared" si="39"/>
        <v/>
      </c>
      <c r="P599" s="10"/>
    </row>
    <row r="600" ht="18" customHeight="1" spans="1:16">
      <c r="A600" s="32" t="str">
        <f t="shared" si="36"/>
        <v/>
      </c>
      <c r="B600" s="100" t="str">
        <f>IF($E600="","",INDEX(进销存对接!$C$4:$C$305,199))</f>
        <v/>
      </c>
      <c r="C600" s="26" t="str">
        <f t="shared" si="37"/>
        <v/>
      </c>
      <c r="D600" s="32" t="str">
        <f>IF($E600="","",INDEX(进销存对接!$D$4:$D$305,199)&amp;" "&amp;TEXT($B600,"YYYY年M月")&amp;" 自动结转")</f>
        <v/>
      </c>
      <c r="E600" s="26" t="str">
        <f>IF(INDEX(进销存对接!$M$4:$U$305,199,7)=0,"",INDEX(进销存对接!$M$4:$U$305,199,7))</f>
        <v/>
      </c>
      <c r="F600" s="25" t="str">
        <f>IF($E600="","",IFERROR(INDEX(科目表!$A$4:$A$81,MATCH($E600,科目表!$B$4:$B$81,0)),""))</f>
        <v/>
      </c>
      <c r="G600" s="26" t="str">
        <f>IF($E600="","",IFERROR(INDEX(科目表!$E$4:$E$81,MATCH($E600,科目表!$B$4:$B$81,0)),""))</f>
        <v/>
      </c>
      <c r="H600" s="27" t="str">
        <f>IF($E600="","",N(INDEX(进销存对接!$M$4:$U$305,199,8)))</f>
        <v/>
      </c>
      <c r="I600" s="27" t="str">
        <f>IF($E600="","",N(INDEX(进销存对接!$M$4:$U$305,199,9)))</f>
        <v/>
      </c>
      <c r="J600" s="26"/>
      <c r="K600" s="26" t="str">
        <f>IF($E600="","",INDEX(进销存对接!$D$4:$D$305,199))</f>
        <v/>
      </c>
      <c r="L600" s="32"/>
      <c r="M600" s="32"/>
      <c r="N600" s="26" t="str">
        <f t="shared" si="38"/>
        <v/>
      </c>
      <c r="O600" s="26" t="str">
        <f t="shared" si="39"/>
        <v/>
      </c>
      <c r="P600" s="10"/>
    </row>
    <row r="601" ht="18" customHeight="1" spans="1:16">
      <c r="A601" s="32" t="str">
        <f t="shared" si="36"/>
        <v/>
      </c>
      <c r="B601" s="100" t="str">
        <f>IF($E601="","",INDEX(进销存对接!$C$4:$C$305,200))</f>
        <v/>
      </c>
      <c r="C601" s="26" t="str">
        <f t="shared" si="37"/>
        <v/>
      </c>
      <c r="D601" s="32" t="str">
        <f>IF($E601="","",INDEX(进销存对接!$D$4:$D$305,200)&amp;" "&amp;TEXT($B601,"YYYY年M月")&amp;" 自动结转")</f>
        <v/>
      </c>
      <c r="E601" s="26" t="str">
        <f>IF(INDEX(进销存对接!$M$4:$U$305,200,1)=0,"",INDEX(进销存对接!$M$4:$U$305,200,1))</f>
        <v/>
      </c>
      <c r="F601" s="25" t="str">
        <f>IF($E601="","",IFERROR(INDEX(科目表!$A$4:$A$81,MATCH($E601,科目表!$B$4:$B$81,0)),""))</f>
        <v/>
      </c>
      <c r="G601" s="26" t="str">
        <f>IF($E601="","",IFERROR(INDEX(科目表!$E$4:$E$81,MATCH($E601,科目表!$B$4:$B$81,0)),""))</f>
        <v/>
      </c>
      <c r="H601" s="27" t="str">
        <f>IF($E601="","",N(INDEX(进销存对接!$M$4:$U$305,200,2)))</f>
        <v/>
      </c>
      <c r="I601" s="27" t="str">
        <f>IF($E601="","",N(INDEX(进销存对接!$M$4:$U$305,200,3)))</f>
        <v/>
      </c>
      <c r="J601" s="26"/>
      <c r="K601" s="26" t="str">
        <f>IF($E601="","",INDEX(进销存对接!$D$4:$D$305,200))</f>
        <v/>
      </c>
      <c r="L601" s="32"/>
      <c r="M601" s="32"/>
      <c r="N601" s="26" t="str">
        <f t="shared" si="38"/>
        <v/>
      </c>
      <c r="O601" s="26" t="str">
        <f t="shared" si="39"/>
        <v/>
      </c>
      <c r="P601" s="10"/>
    </row>
    <row r="602" ht="18" customHeight="1" spans="1:16">
      <c r="A602" s="32" t="str">
        <f t="shared" si="36"/>
        <v/>
      </c>
      <c r="B602" s="100" t="str">
        <f>IF($E602="","",INDEX(进销存对接!$C$4:$C$305,200))</f>
        <v/>
      </c>
      <c r="C602" s="26" t="str">
        <f t="shared" si="37"/>
        <v/>
      </c>
      <c r="D602" s="32" t="str">
        <f>IF($E602="","",INDEX(进销存对接!$D$4:$D$305,200)&amp;" "&amp;TEXT($B602,"YYYY年M月")&amp;" 自动结转")</f>
        <v/>
      </c>
      <c r="E602" s="26" t="str">
        <f>IF(INDEX(进销存对接!$M$4:$U$305,200,4)=0,"",INDEX(进销存对接!$M$4:$U$305,200,4))</f>
        <v/>
      </c>
      <c r="F602" s="25" t="str">
        <f>IF($E602="","",IFERROR(INDEX(科目表!$A$4:$A$81,MATCH($E602,科目表!$B$4:$B$81,0)),""))</f>
        <v/>
      </c>
      <c r="G602" s="26" t="str">
        <f>IF($E602="","",IFERROR(INDEX(科目表!$E$4:$E$81,MATCH($E602,科目表!$B$4:$B$81,0)),""))</f>
        <v/>
      </c>
      <c r="H602" s="27" t="str">
        <f>IF($E602="","",N(INDEX(进销存对接!$M$4:$U$305,200,5)))</f>
        <v/>
      </c>
      <c r="I602" s="27" t="str">
        <f>IF($E602="","",N(INDEX(进销存对接!$M$4:$U$305,200,6)))</f>
        <v/>
      </c>
      <c r="J602" s="26"/>
      <c r="K602" s="26" t="str">
        <f>IF($E602="","",INDEX(进销存对接!$D$4:$D$305,200))</f>
        <v/>
      </c>
      <c r="L602" s="32"/>
      <c r="M602" s="32"/>
      <c r="N602" s="26" t="str">
        <f t="shared" si="38"/>
        <v/>
      </c>
      <c r="O602" s="26" t="str">
        <f t="shared" si="39"/>
        <v/>
      </c>
      <c r="P602" s="10"/>
    </row>
    <row r="603" ht="18" customHeight="1" spans="1:16">
      <c r="A603" s="32" t="str">
        <f t="shared" si="36"/>
        <v/>
      </c>
      <c r="B603" s="100" t="str">
        <f>IF($E603="","",INDEX(进销存对接!$C$4:$C$305,200))</f>
        <v/>
      </c>
      <c r="C603" s="26" t="str">
        <f t="shared" si="37"/>
        <v/>
      </c>
      <c r="D603" s="32" t="str">
        <f>IF($E603="","",INDEX(进销存对接!$D$4:$D$305,200)&amp;" "&amp;TEXT($B603,"YYYY年M月")&amp;" 自动结转")</f>
        <v/>
      </c>
      <c r="E603" s="26" t="str">
        <f>IF(INDEX(进销存对接!$M$4:$U$305,200,7)=0,"",INDEX(进销存对接!$M$4:$U$305,200,7))</f>
        <v/>
      </c>
      <c r="F603" s="25" t="str">
        <f>IF($E603="","",IFERROR(INDEX(科目表!$A$4:$A$81,MATCH($E603,科目表!$B$4:$B$81,0)),""))</f>
        <v/>
      </c>
      <c r="G603" s="26" t="str">
        <f>IF($E603="","",IFERROR(INDEX(科目表!$E$4:$E$81,MATCH($E603,科目表!$B$4:$B$81,0)),""))</f>
        <v/>
      </c>
      <c r="H603" s="27" t="str">
        <f>IF($E603="","",N(INDEX(进销存对接!$M$4:$U$305,200,8)))</f>
        <v/>
      </c>
      <c r="I603" s="27" t="str">
        <f>IF($E603="","",N(INDEX(进销存对接!$M$4:$U$305,200,9)))</f>
        <v/>
      </c>
      <c r="J603" s="26"/>
      <c r="K603" s="26" t="str">
        <f>IF($E603="","",INDEX(进销存对接!$D$4:$D$305,200))</f>
        <v/>
      </c>
      <c r="L603" s="32"/>
      <c r="M603" s="32"/>
      <c r="N603" s="26" t="str">
        <f t="shared" si="38"/>
        <v/>
      </c>
      <c r="O603" s="26" t="str">
        <f t="shared" si="39"/>
        <v/>
      </c>
      <c r="P603" s="10"/>
    </row>
    <row r="604" ht="18" customHeight="1" spans="1:16">
      <c r="A604" s="32" t="str">
        <f t="shared" si="36"/>
        <v/>
      </c>
      <c r="B604" s="100" t="str">
        <f>IF($E604="","",INDEX(进销存对接!$C$4:$C$305,201))</f>
        <v/>
      </c>
      <c r="C604" s="26" t="str">
        <f t="shared" si="37"/>
        <v/>
      </c>
      <c r="D604" s="32" t="str">
        <f>IF($E604="","",INDEX(进销存对接!$D$4:$D$305,201)&amp;" "&amp;TEXT($B604,"YYYY年M月")&amp;" 自动结转")</f>
        <v/>
      </c>
      <c r="E604" s="26" t="str">
        <f>IF(INDEX(进销存对接!$M$4:$U$305,201,1)=0,"",INDEX(进销存对接!$M$4:$U$305,201,1))</f>
        <v/>
      </c>
      <c r="F604" s="25" t="str">
        <f>IF($E604="","",IFERROR(INDEX(科目表!$A$4:$A$81,MATCH($E604,科目表!$B$4:$B$81,0)),""))</f>
        <v/>
      </c>
      <c r="G604" s="26" t="str">
        <f>IF($E604="","",IFERROR(INDEX(科目表!$E$4:$E$81,MATCH($E604,科目表!$B$4:$B$81,0)),""))</f>
        <v/>
      </c>
      <c r="H604" s="27" t="str">
        <f>IF($E604="","",N(INDEX(进销存对接!$M$4:$U$305,201,2)))</f>
        <v/>
      </c>
      <c r="I604" s="27" t="str">
        <f>IF($E604="","",N(INDEX(进销存对接!$M$4:$U$305,201,3)))</f>
        <v/>
      </c>
      <c r="J604" s="26"/>
      <c r="K604" s="26" t="str">
        <f>IF($E604="","",INDEX(进销存对接!$D$4:$D$305,201))</f>
        <v/>
      </c>
      <c r="L604" s="32"/>
      <c r="M604" s="32"/>
      <c r="N604" s="26" t="str">
        <f t="shared" si="38"/>
        <v/>
      </c>
      <c r="O604" s="26" t="str">
        <f t="shared" si="39"/>
        <v/>
      </c>
      <c r="P604" s="10"/>
    </row>
    <row r="605" ht="18" customHeight="1" spans="1:16">
      <c r="A605" s="32" t="str">
        <f t="shared" si="36"/>
        <v/>
      </c>
      <c r="B605" s="100" t="str">
        <f>IF($E605="","",INDEX(进销存对接!$C$4:$C$305,201))</f>
        <v/>
      </c>
      <c r="C605" s="26" t="str">
        <f t="shared" si="37"/>
        <v/>
      </c>
      <c r="D605" s="32" t="str">
        <f>IF($E605="","",INDEX(进销存对接!$D$4:$D$305,201)&amp;" "&amp;TEXT($B605,"YYYY年M月")&amp;" 自动结转")</f>
        <v/>
      </c>
      <c r="E605" s="26" t="str">
        <f>IF(INDEX(进销存对接!$M$4:$U$305,201,4)=0,"",INDEX(进销存对接!$M$4:$U$305,201,4))</f>
        <v/>
      </c>
      <c r="F605" s="25" t="str">
        <f>IF($E605="","",IFERROR(INDEX(科目表!$A$4:$A$81,MATCH($E605,科目表!$B$4:$B$81,0)),""))</f>
        <v/>
      </c>
      <c r="G605" s="26" t="str">
        <f>IF($E605="","",IFERROR(INDEX(科目表!$E$4:$E$81,MATCH($E605,科目表!$B$4:$B$81,0)),""))</f>
        <v/>
      </c>
      <c r="H605" s="27" t="str">
        <f>IF($E605="","",N(INDEX(进销存对接!$M$4:$U$305,201,5)))</f>
        <v/>
      </c>
      <c r="I605" s="27" t="str">
        <f>IF($E605="","",N(INDEX(进销存对接!$M$4:$U$305,201,6)))</f>
        <v/>
      </c>
      <c r="J605" s="26"/>
      <c r="K605" s="26" t="str">
        <f>IF($E605="","",INDEX(进销存对接!$D$4:$D$305,201))</f>
        <v/>
      </c>
      <c r="L605" s="32"/>
      <c r="M605" s="32"/>
      <c r="N605" s="26" t="str">
        <f t="shared" si="38"/>
        <v/>
      </c>
      <c r="O605" s="26" t="str">
        <f t="shared" si="39"/>
        <v/>
      </c>
      <c r="P605" s="10"/>
    </row>
    <row r="606" ht="18" customHeight="1" spans="1:16">
      <c r="A606" s="32" t="str">
        <f t="shared" si="36"/>
        <v/>
      </c>
      <c r="B606" s="100" t="str">
        <f>IF($E606="","",INDEX(进销存对接!$C$4:$C$305,201))</f>
        <v/>
      </c>
      <c r="C606" s="26" t="str">
        <f t="shared" si="37"/>
        <v/>
      </c>
      <c r="D606" s="32" t="str">
        <f>IF($E606="","",INDEX(进销存对接!$D$4:$D$305,201)&amp;" "&amp;TEXT($B606,"YYYY年M月")&amp;" 自动结转")</f>
        <v/>
      </c>
      <c r="E606" s="26" t="str">
        <f>IF(INDEX(进销存对接!$M$4:$U$305,201,7)=0,"",INDEX(进销存对接!$M$4:$U$305,201,7))</f>
        <v/>
      </c>
      <c r="F606" s="25" t="str">
        <f>IF($E606="","",IFERROR(INDEX(科目表!$A$4:$A$81,MATCH($E606,科目表!$B$4:$B$81,0)),""))</f>
        <v/>
      </c>
      <c r="G606" s="26" t="str">
        <f>IF($E606="","",IFERROR(INDEX(科目表!$E$4:$E$81,MATCH($E606,科目表!$B$4:$B$81,0)),""))</f>
        <v/>
      </c>
      <c r="H606" s="27" t="str">
        <f>IF($E606="","",N(INDEX(进销存对接!$M$4:$U$305,201,8)))</f>
        <v/>
      </c>
      <c r="I606" s="27" t="str">
        <f>IF($E606="","",N(INDEX(进销存对接!$M$4:$U$305,201,9)))</f>
        <v/>
      </c>
      <c r="J606" s="26"/>
      <c r="K606" s="26" t="str">
        <f>IF($E606="","",INDEX(进销存对接!$D$4:$D$305,201))</f>
        <v/>
      </c>
      <c r="L606" s="32"/>
      <c r="M606" s="32"/>
      <c r="N606" s="26" t="str">
        <f t="shared" si="38"/>
        <v/>
      </c>
      <c r="O606" s="26" t="str">
        <f t="shared" si="39"/>
        <v/>
      </c>
      <c r="P606" s="10"/>
    </row>
    <row r="607" ht="18" customHeight="1" spans="1:16">
      <c r="A607" s="32" t="str">
        <f t="shared" si="36"/>
        <v/>
      </c>
      <c r="B607" s="100" t="str">
        <f>IF($E607="","",INDEX(进销存对接!$C$4:$C$305,202))</f>
        <v/>
      </c>
      <c r="C607" s="26" t="str">
        <f t="shared" si="37"/>
        <v/>
      </c>
      <c r="D607" s="32" t="str">
        <f>IF($E607="","",INDEX(进销存对接!$D$4:$D$305,202)&amp;" "&amp;TEXT($B607,"YYYY年M月")&amp;" 自动结转")</f>
        <v/>
      </c>
      <c r="E607" s="26" t="str">
        <f>IF(INDEX(进销存对接!$M$4:$U$305,202,1)=0,"",INDEX(进销存对接!$M$4:$U$305,202,1))</f>
        <v/>
      </c>
      <c r="F607" s="25" t="str">
        <f>IF($E607="","",IFERROR(INDEX(科目表!$A$4:$A$81,MATCH($E607,科目表!$B$4:$B$81,0)),""))</f>
        <v/>
      </c>
      <c r="G607" s="26" t="str">
        <f>IF($E607="","",IFERROR(INDEX(科目表!$E$4:$E$81,MATCH($E607,科目表!$B$4:$B$81,0)),""))</f>
        <v/>
      </c>
      <c r="H607" s="27" t="str">
        <f>IF($E607="","",N(INDEX(进销存对接!$M$4:$U$305,202,2)))</f>
        <v/>
      </c>
      <c r="I607" s="27" t="str">
        <f>IF($E607="","",N(INDEX(进销存对接!$M$4:$U$305,202,3)))</f>
        <v/>
      </c>
      <c r="J607" s="26"/>
      <c r="K607" s="26" t="str">
        <f>IF($E607="","",INDEX(进销存对接!$D$4:$D$305,202))</f>
        <v/>
      </c>
      <c r="L607" s="32"/>
      <c r="M607" s="32"/>
      <c r="N607" s="26" t="str">
        <f t="shared" si="38"/>
        <v/>
      </c>
      <c r="O607" s="26" t="str">
        <f t="shared" si="39"/>
        <v/>
      </c>
      <c r="P607" s="10"/>
    </row>
    <row r="608" ht="18" customHeight="1" spans="1:16">
      <c r="A608" s="32" t="str">
        <f t="shared" si="36"/>
        <v/>
      </c>
      <c r="B608" s="100" t="str">
        <f>IF($E608="","",INDEX(进销存对接!$C$4:$C$305,202))</f>
        <v/>
      </c>
      <c r="C608" s="26" t="str">
        <f t="shared" si="37"/>
        <v/>
      </c>
      <c r="D608" s="32" t="str">
        <f>IF($E608="","",INDEX(进销存对接!$D$4:$D$305,202)&amp;" "&amp;TEXT($B608,"YYYY年M月")&amp;" 自动结转")</f>
        <v/>
      </c>
      <c r="E608" s="26" t="str">
        <f>IF(INDEX(进销存对接!$M$4:$U$305,202,4)=0,"",INDEX(进销存对接!$M$4:$U$305,202,4))</f>
        <v/>
      </c>
      <c r="F608" s="25" t="str">
        <f>IF($E608="","",IFERROR(INDEX(科目表!$A$4:$A$81,MATCH($E608,科目表!$B$4:$B$81,0)),""))</f>
        <v/>
      </c>
      <c r="G608" s="26" t="str">
        <f>IF($E608="","",IFERROR(INDEX(科目表!$E$4:$E$81,MATCH($E608,科目表!$B$4:$B$81,0)),""))</f>
        <v/>
      </c>
      <c r="H608" s="27" t="str">
        <f>IF($E608="","",N(INDEX(进销存对接!$M$4:$U$305,202,5)))</f>
        <v/>
      </c>
      <c r="I608" s="27" t="str">
        <f>IF($E608="","",N(INDEX(进销存对接!$M$4:$U$305,202,6)))</f>
        <v/>
      </c>
      <c r="J608" s="26"/>
      <c r="K608" s="26" t="str">
        <f>IF($E608="","",INDEX(进销存对接!$D$4:$D$305,202))</f>
        <v/>
      </c>
      <c r="L608" s="32"/>
      <c r="M608" s="32"/>
      <c r="N608" s="26" t="str">
        <f t="shared" si="38"/>
        <v/>
      </c>
      <c r="O608" s="26" t="str">
        <f t="shared" si="39"/>
        <v/>
      </c>
      <c r="P608" s="10"/>
    </row>
    <row r="609" ht="18" customHeight="1" spans="1:16">
      <c r="A609" s="32" t="str">
        <f t="shared" si="36"/>
        <v/>
      </c>
      <c r="B609" s="100" t="str">
        <f>IF($E609="","",INDEX(进销存对接!$C$4:$C$305,202))</f>
        <v/>
      </c>
      <c r="C609" s="26" t="str">
        <f t="shared" si="37"/>
        <v/>
      </c>
      <c r="D609" s="32" t="str">
        <f>IF($E609="","",INDEX(进销存对接!$D$4:$D$305,202)&amp;" "&amp;TEXT($B609,"YYYY年M月")&amp;" 自动结转")</f>
        <v/>
      </c>
      <c r="E609" s="26" t="str">
        <f>IF(INDEX(进销存对接!$M$4:$U$305,202,7)=0,"",INDEX(进销存对接!$M$4:$U$305,202,7))</f>
        <v/>
      </c>
      <c r="F609" s="25" t="str">
        <f>IF($E609="","",IFERROR(INDEX(科目表!$A$4:$A$81,MATCH($E609,科目表!$B$4:$B$81,0)),""))</f>
        <v/>
      </c>
      <c r="G609" s="26" t="str">
        <f>IF($E609="","",IFERROR(INDEX(科目表!$E$4:$E$81,MATCH($E609,科目表!$B$4:$B$81,0)),""))</f>
        <v/>
      </c>
      <c r="H609" s="27" t="str">
        <f>IF($E609="","",N(INDEX(进销存对接!$M$4:$U$305,202,8)))</f>
        <v/>
      </c>
      <c r="I609" s="27" t="str">
        <f>IF($E609="","",N(INDEX(进销存对接!$M$4:$U$305,202,9)))</f>
        <v/>
      </c>
      <c r="J609" s="26"/>
      <c r="K609" s="26" t="str">
        <f>IF($E609="","",INDEX(进销存对接!$D$4:$D$305,202))</f>
        <v/>
      </c>
      <c r="L609" s="32"/>
      <c r="M609" s="32"/>
      <c r="N609" s="26" t="str">
        <f t="shared" si="38"/>
        <v/>
      </c>
      <c r="O609" s="26" t="str">
        <f t="shared" si="39"/>
        <v/>
      </c>
      <c r="P609" s="10"/>
    </row>
    <row r="610" ht="18" customHeight="1" spans="1:16">
      <c r="A610" s="32" t="str">
        <f t="shared" si="36"/>
        <v/>
      </c>
      <c r="B610" s="100" t="str">
        <f>IF($E610="","",INDEX(进销存对接!$C$4:$C$305,203))</f>
        <v/>
      </c>
      <c r="C610" s="26" t="str">
        <f t="shared" si="37"/>
        <v/>
      </c>
      <c r="D610" s="32" t="str">
        <f>IF($E610="","",INDEX(进销存对接!$D$4:$D$305,203)&amp;" "&amp;TEXT($B610,"YYYY年M月")&amp;" 自动结转")</f>
        <v/>
      </c>
      <c r="E610" s="26" t="str">
        <f>IF(INDEX(进销存对接!$M$4:$U$305,203,1)=0,"",INDEX(进销存对接!$M$4:$U$305,203,1))</f>
        <v/>
      </c>
      <c r="F610" s="25" t="str">
        <f>IF($E610="","",IFERROR(INDEX(科目表!$A$4:$A$81,MATCH($E610,科目表!$B$4:$B$81,0)),""))</f>
        <v/>
      </c>
      <c r="G610" s="26" t="str">
        <f>IF($E610="","",IFERROR(INDEX(科目表!$E$4:$E$81,MATCH($E610,科目表!$B$4:$B$81,0)),""))</f>
        <v/>
      </c>
      <c r="H610" s="27" t="str">
        <f>IF($E610="","",N(INDEX(进销存对接!$M$4:$U$305,203,2)))</f>
        <v/>
      </c>
      <c r="I610" s="27" t="str">
        <f>IF($E610="","",N(INDEX(进销存对接!$M$4:$U$305,203,3)))</f>
        <v/>
      </c>
      <c r="J610" s="26"/>
      <c r="K610" s="26" t="str">
        <f>IF($E610="","",INDEX(进销存对接!$D$4:$D$305,203))</f>
        <v/>
      </c>
      <c r="L610" s="32"/>
      <c r="M610" s="32"/>
      <c r="N610" s="26" t="str">
        <f t="shared" si="38"/>
        <v/>
      </c>
      <c r="O610" s="26" t="str">
        <f t="shared" si="39"/>
        <v/>
      </c>
      <c r="P610" s="10"/>
    </row>
    <row r="611" ht="18" customHeight="1" spans="1:16">
      <c r="A611" s="32" t="str">
        <f t="shared" si="36"/>
        <v/>
      </c>
      <c r="B611" s="100" t="str">
        <f>IF($E611="","",INDEX(进销存对接!$C$4:$C$305,203))</f>
        <v/>
      </c>
      <c r="C611" s="26" t="str">
        <f t="shared" si="37"/>
        <v/>
      </c>
      <c r="D611" s="32" t="str">
        <f>IF($E611="","",INDEX(进销存对接!$D$4:$D$305,203)&amp;" "&amp;TEXT($B611,"YYYY年M月")&amp;" 自动结转")</f>
        <v/>
      </c>
      <c r="E611" s="26" t="str">
        <f>IF(INDEX(进销存对接!$M$4:$U$305,203,4)=0,"",INDEX(进销存对接!$M$4:$U$305,203,4))</f>
        <v/>
      </c>
      <c r="F611" s="25" t="str">
        <f>IF($E611="","",IFERROR(INDEX(科目表!$A$4:$A$81,MATCH($E611,科目表!$B$4:$B$81,0)),""))</f>
        <v/>
      </c>
      <c r="G611" s="26" t="str">
        <f>IF($E611="","",IFERROR(INDEX(科目表!$E$4:$E$81,MATCH($E611,科目表!$B$4:$B$81,0)),""))</f>
        <v/>
      </c>
      <c r="H611" s="27" t="str">
        <f>IF($E611="","",N(INDEX(进销存对接!$M$4:$U$305,203,5)))</f>
        <v/>
      </c>
      <c r="I611" s="27" t="str">
        <f>IF($E611="","",N(INDEX(进销存对接!$M$4:$U$305,203,6)))</f>
        <v/>
      </c>
      <c r="J611" s="26"/>
      <c r="K611" s="26" t="str">
        <f>IF($E611="","",INDEX(进销存对接!$D$4:$D$305,203))</f>
        <v/>
      </c>
      <c r="L611" s="32"/>
      <c r="M611" s="32"/>
      <c r="N611" s="26" t="str">
        <f t="shared" si="38"/>
        <v/>
      </c>
      <c r="O611" s="26" t="str">
        <f t="shared" si="39"/>
        <v/>
      </c>
      <c r="P611" s="10"/>
    </row>
    <row r="612" ht="18" customHeight="1" spans="1:16">
      <c r="A612" s="32" t="str">
        <f t="shared" si="36"/>
        <v/>
      </c>
      <c r="B612" s="100" t="str">
        <f>IF($E612="","",INDEX(进销存对接!$C$4:$C$305,203))</f>
        <v/>
      </c>
      <c r="C612" s="26" t="str">
        <f t="shared" si="37"/>
        <v/>
      </c>
      <c r="D612" s="32" t="str">
        <f>IF($E612="","",INDEX(进销存对接!$D$4:$D$305,203)&amp;" "&amp;TEXT($B612,"YYYY年M月")&amp;" 自动结转")</f>
        <v/>
      </c>
      <c r="E612" s="26" t="str">
        <f>IF(INDEX(进销存对接!$M$4:$U$305,203,7)=0,"",INDEX(进销存对接!$M$4:$U$305,203,7))</f>
        <v/>
      </c>
      <c r="F612" s="25" t="str">
        <f>IF($E612="","",IFERROR(INDEX(科目表!$A$4:$A$81,MATCH($E612,科目表!$B$4:$B$81,0)),""))</f>
        <v/>
      </c>
      <c r="G612" s="26" t="str">
        <f>IF($E612="","",IFERROR(INDEX(科目表!$E$4:$E$81,MATCH($E612,科目表!$B$4:$B$81,0)),""))</f>
        <v/>
      </c>
      <c r="H612" s="27" t="str">
        <f>IF($E612="","",N(INDEX(进销存对接!$M$4:$U$305,203,8)))</f>
        <v/>
      </c>
      <c r="I612" s="27" t="str">
        <f>IF($E612="","",N(INDEX(进销存对接!$M$4:$U$305,203,9)))</f>
        <v/>
      </c>
      <c r="J612" s="26"/>
      <c r="K612" s="26" t="str">
        <f>IF($E612="","",INDEX(进销存对接!$D$4:$D$305,203))</f>
        <v/>
      </c>
      <c r="L612" s="32"/>
      <c r="M612" s="32"/>
      <c r="N612" s="26" t="str">
        <f t="shared" si="38"/>
        <v/>
      </c>
      <c r="O612" s="26" t="str">
        <f t="shared" si="39"/>
        <v/>
      </c>
      <c r="P612" s="10"/>
    </row>
    <row r="613" ht="18" customHeight="1" spans="1:16">
      <c r="A613" s="32" t="str">
        <f t="shared" si="36"/>
        <v/>
      </c>
      <c r="B613" s="100" t="str">
        <f>IF($E613="","",INDEX(进销存对接!$C$4:$C$305,204))</f>
        <v/>
      </c>
      <c r="C613" s="26" t="str">
        <f t="shared" si="37"/>
        <v/>
      </c>
      <c r="D613" s="32" t="str">
        <f>IF($E613="","",INDEX(进销存对接!$D$4:$D$305,204)&amp;" "&amp;TEXT($B613,"YYYY年M月")&amp;" 自动结转")</f>
        <v/>
      </c>
      <c r="E613" s="26" t="str">
        <f>IF(INDEX(进销存对接!$M$4:$U$305,204,1)=0,"",INDEX(进销存对接!$M$4:$U$305,204,1))</f>
        <v/>
      </c>
      <c r="F613" s="25" t="str">
        <f>IF($E613="","",IFERROR(INDEX(科目表!$A$4:$A$81,MATCH($E613,科目表!$B$4:$B$81,0)),""))</f>
        <v/>
      </c>
      <c r="G613" s="26" t="str">
        <f>IF($E613="","",IFERROR(INDEX(科目表!$E$4:$E$81,MATCH($E613,科目表!$B$4:$B$81,0)),""))</f>
        <v/>
      </c>
      <c r="H613" s="27" t="str">
        <f>IF($E613="","",N(INDEX(进销存对接!$M$4:$U$305,204,2)))</f>
        <v/>
      </c>
      <c r="I613" s="27" t="str">
        <f>IF($E613="","",N(INDEX(进销存对接!$M$4:$U$305,204,3)))</f>
        <v/>
      </c>
      <c r="J613" s="26"/>
      <c r="K613" s="26" t="str">
        <f>IF($E613="","",INDEX(进销存对接!$D$4:$D$305,204))</f>
        <v/>
      </c>
      <c r="L613" s="32"/>
      <c r="M613" s="32"/>
      <c r="N613" s="26" t="str">
        <f t="shared" si="38"/>
        <v/>
      </c>
      <c r="O613" s="26" t="str">
        <f t="shared" si="39"/>
        <v/>
      </c>
      <c r="P613" s="10"/>
    </row>
    <row r="614" ht="18" customHeight="1" spans="1:16">
      <c r="A614" s="32" t="str">
        <f t="shared" si="36"/>
        <v/>
      </c>
      <c r="B614" s="100" t="str">
        <f>IF($E614="","",INDEX(进销存对接!$C$4:$C$305,204))</f>
        <v/>
      </c>
      <c r="C614" s="26" t="str">
        <f t="shared" si="37"/>
        <v/>
      </c>
      <c r="D614" s="32" t="str">
        <f>IF($E614="","",INDEX(进销存对接!$D$4:$D$305,204)&amp;" "&amp;TEXT($B614,"YYYY年M月")&amp;" 自动结转")</f>
        <v/>
      </c>
      <c r="E614" s="26" t="str">
        <f>IF(INDEX(进销存对接!$M$4:$U$305,204,4)=0,"",INDEX(进销存对接!$M$4:$U$305,204,4))</f>
        <v/>
      </c>
      <c r="F614" s="25" t="str">
        <f>IF($E614="","",IFERROR(INDEX(科目表!$A$4:$A$81,MATCH($E614,科目表!$B$4:$B$81,0)),""))</f>
        <v/>
      </c>
      <c r="G614" s="26" t="str">
        <f>IF($E614="","",IFERROR(INDEX(科目表!$E$4:$E$81,MATCH($E614,科目表!$B$4:$B$81,0)),""))</f>
        <v/>
      </c>
      <c r="H614" s="27" t="str">
        <f>IF($E614="","",N(INDEX(进销存对接!$M$4:$U$305,204,5)))</f>
        <v/>
      </c>
      <c r="I614" s="27" t="str">
        <f>IF($E614="","",N(INDEX(进销存对接!$M$4:$U$305,204,6)))</f>
        <v/>
      </c>
      <c r="J614" s="26"/>
      <c r="K614" s="26" t="str">
        <f>IF($E614="","",INDEX(进销存对接!$D$4:$D$305,204))</f>
        <v/>
      </c>
      <c r="L614" s="32"/>
      <c r="M614" s="32"/>
      <c r="N614" s="26" t="str">
        <f t="shared" si="38"/>
        <v/>
      </c>
      <c r="O614" s="26" t="str">
        <f t="shared" si="39"/>
        <v/>
      </c>
      <c r="P614" s="10"/>
    </row>
    <row r="615" ht="18" customHeight="1" spans="1:16">
      <c r="A615" s="32" t="str">
        <f t="shared" si="36"/>
        <v/>
      </c>
      <c r="B615" s="100" t="str">
        <f>IF($E615="","",INDEX(进销存对接!$C$4:$C$305,204))</f>
        <v/>
      </c>
      <c r="C615" s="26" t="str">
        <f t="shared" si="37"/>
        <v/>
      </c>
      <c r="D615" s="32" t="str">
        <f>IF($E615="","",INDEX(进销存对接!$D$4:$D$305,204)&amp;" "&amp;TEXT($B615,"YYYY年M月")&amp;" 自动结转")</f>
        <v/>
      </c>
      <c r="E615" s="26" t="str">
        <f>IF(INDEX(进销存对接!$M$4:$U$305,204,7)=0,"",INDEX(进销存对接!$M$4:$U$305,204,7))</f>
        <v/>
      </c>
      <c r="F615" s="25" t="str">
        <f>IF($E615="","",IFERROR(INDEX(科目表!$A$4:$A$81,MATCH($E615,科目表!$B$4:$B$81,0)),""))</f>
        <v/>
      </c>
      <c r="G615" s="26" t="str">
        <f>IF($E615="","",IFERROR(INDEX(科目表!$E$4:$E$81,MATCH($E615,科目表!$B$4:$B$81,0)),""))</f>
        <v/>
      </c>
      <c r="H615" s="27" t="str">
        <f>IF($E615="","",N(INDEX(进销存对接!$M$4:$U$305,204,8)))</f>
        <v/>
      </c>
      <c r="I615" s="27" t="str">
        <f>IF($E615="","",N(INDEX(进销存对接!$M$4:$U$305,204,9)))</f>
        <v/>
      </c>
      <c r="J615" s="26"/>
      <c r="K615" s="26" t="str">
        <f>IF($E615="","",INDEX(进销存对接!$D$4:$D$305,204))</f>
        <v/>
      </c>
      <c r="L615" s="32"/>
      <c r="M615" s="32"/>
      <c r="N615" s="26" t="str">
        <f t="shared" si="38"/>
        <v/>
      </c>
      <c r="O615" s="26" t="str">
        <f t="shared" si="39"/>
        <v/>
      </c>
      <c r="P615" s="10"/>
    </row>
    <row r="616" ht="18" customHeight="1" spans="1:16">
      <c r="A616" s="32" t="str">
        <f t="shared" si="36"/>
        <v/>
      </c>
      <c r="B616" s="100" t="str">
        <f>IF($E616="","",INDEX(进销存对接!$C$4:$C$305,205))</f>
        <v/>
      </c>
      <c r="C616" s="26" t="str">
        <f t="shared" si="37"/>
        <v/>
      </c>
      <c r="D616" s="32" t="str">
        <f>IF($E616="","",INDEX(进销存对接!$D$4:$D$305,205)&amp;" "&amp;TEXT($B616,"YYYY年M月")&amp;" 自动结转")</f>
        <v/>
      </c>
      <c r="E616" s="26" t="str">
        <f>IF(INDEX(进销存对接!$M$4:$U$305,205,1)=0,"",INDEX(进销存对接!$M$4:$U$305,205,1))</f>
        <v/>
      </c>
      <c r="F616" s="25" t="str">
        <f>IF($E616="","",IFERROR(INDEX(科目表!$A$4:$A$81,MATCH($E616,科目表!$B$4:$B$81,0)),""))</f>
        <v/>
      </c>
      <c r="G616" s="26" t="str">
        <f>IF($E616="","",IFERROR(INDEX(科目表!$E$4:$E$81,MATCH($E616,科目表!$B$4:$B$81,0)),""))</f>
        <v/>
      </c>
      <c r="H616" s="27" t="str">
        <f>IF($E616="","",N(INDEX(进销存对接!$M$4:$U$305,205,2)))</f>
        <v/>
      </c>
      <c r="I616" s="27" t="str">
        <f>IF($E616="","",N(INDEX(进销存对接!$M$4:$U$305,205,3)))</f>
        <v/>
      </c>
      <c r="J616" s="26"/>
      <c r="K616" s="26" t="str">
        <f>IF($E616="","",INDEX(进销存对接!$D$4:$D$305,205))</f>
        <v/>
      </c>
      <c r="L616" s="32"/>
      <c r="M616" s="32"/>
      <c r="N616" s="26" t="str">
        <f t="shared" si="38"/>
        <v/>
      </c>
      <c r="O616" s="26" t="str">
        <f t="shared" si="39"/>
        <v/>
      </c>
      <c r="P616" s="10"/>
    </row>
    <row r="617" ht="18" customHeight="1" spans="1:16">
      <c r="A617" s="32" t="str">
        <f t="shared" si="36"/>
        <v/>
      </c>
      <c r="B617" s="100" t="str">
        <f>IF($E617="","",INDEX(进销存对接!$C$4:$C$305,205))</f>
        <v/>
      </c>
      <c r="C617" s="26" t="str">
        <f t="shared" si="37"/>
        <v/>
      </c>
      <c r="D617" s="32" t="str">
        <f>IF($E617="","",INDEX(进销存对接!$D$4:$D$305,205)&amp;" "&amp;TEXT($B617,"YYYY年M月")&amp;" 自动结转")</f>
        <v/>
      </c>
      <c r="E617" s="26" t="str">
        <f>IF(INDEX(进销存对接!$M$4:$U$305,205,4)=0,"",INDEX(进销存对接!$M$4:$U$305,205,4))</f>
        <v/>
      </c>
      <c r="F617" s="25" t="str">
        <f>IF($E617="","",IFERROR(INDEX(科目表!$A$4:$A$81,MATCH($E617,科目表!$B$4:$B$81,0)),""))</f>
        <v/>
      </c>
      <c r="G617" s="26" t="str">
        <f>IF($E617="","",IFERROR(INDEX(科目表!$E$4:$E$81,MATCH($E617,科目表!$B$4:$B$81,0)),""))</f>
        <v/>
      </c>
      <c r="H617" s="27" t="str">
        <f>IF($E617="","",N(INDEX(进销存对接!$M$4:$U$305,205,5)))</f>
        <v/>
      </c>
      <c r="I617" s="27" t="str">
        <f>IF($E617="","",N(INDEX(进销存对接!$M$4:$U$305,205,6)))</f>
        <v/>
      </c>
      <c r="J617" s="26"/>
      <c r="K617" s="26" t="str">
        <f>IF($E617="","",INDEX(进销存对接!$D$4:$D$305,205))</f>
        <v/>
      </c>
      <c r="L617" s="32"/>
      <c r="M617" s="32"/>
      <c r="N617" s="26" t="str">
        <f t="shared" si="38"/>
        <v/>
      </c>
      <c r="O617" s="26" t="str">
        <f t="shared" si="39"/>
        <v/>
      </c>
      <c r="P617" s="10"/>
    </row>
    <row r="618" ht="18" customHeight="1" spans="1:16">
      <c r="A618" s="32" t="str">
        <f t="shared" si="36"/>
        <v/>
      </c>
      <c r="B618" s="100" t="str">
        <f>IF($E618="","",INDEX(进销存对接!$C$4:$C$305,205))</f>
        <v/>
      </c>
      <c r="C618" s="26" t="str">
        <f t="shared" si="37"/>
        <v/>
      </c>
      <c r="D618" s="32" t="str">
        <f>IF($E618="","",INDEX(进销存对接!$D$4:$D$305,205)&amp;" "&amp;TEXT($B618,"YYYY年M月")&amp;" 自动结转")</f>
        <v/>
      </c>
      <c r="E618" s="26" t="str">
        <f>IF(INDEX(进销存对接!$M$4:$U$305,205,7)=0,"",INDEX(进销存对接!$M$4:$U$305,205,7))</f>
        <v/>
      </c>
      <c r="F618" s="25" t="str">
        <f>IF($E618="","",IFERROR(INDEX(科目表!$A$4:$A$81,MATCH($E618,科目表!$B$4:$B$81,0)),""))</f>
        <v/>
      </c>
      <c r="G618" s="26" t="str">
        <f>IF($E618="","",IFERROR(INDEX(科目表!$E$4:$E$81,MATCH($E618,科目表!$B$4:$B$81,0)),""))</f>
        <v/>
      </c>
      <c r="H618" s="27" t="str">
        <f>IF($E618="","",N(INDEX(进销存对接!$M$4:$U$305,205,8)))</f>
        <v/>
      </c>
      <c r="I618" s="27" t="str">
        <f>IF($E618="","",N(INDEX(进销存对接!$M$4:$U$305,205,9)))</f>
        <v/>
      </c>
      <c r="J618" s="26"/>
      <c r="K618" s="26" t="str">
        <f>IF($E618="","",INDEX(进销存对接!$D$4:$D$305,205))</f>
        <v/>
      </c>
      <c r="L618" s="32"/>
      <c r="M618" s="32"/>
      <c r="N618" s="26" t="str">
        <f t="shared" si="38"/>
        <v/>
      </c>
      <c r="O618" s="26" t="str">
        <f t="shared" si="39"/>
        <v/>
      </c>
      <c r="P618" s="10"/>
    </row>
    <row r="619" ht="18" customHeight="1" spans="1:16">
      <c r="A619" s="32" t="str">
        <f t="shared" si="36"/>
        <v/>
      </c>
      <c r="B619" s="100" t="str">
        <f>IF($E619="","",INDEX(进销存对接!$C$4:$C$305,206))</f>
        <v/>
      </c>
      <c r="C619" s="26" t="str">
        <f t="shared" si="37"/>
        <v/>
      </c>
      <c r="D619" s="32" t="str">
        <f>IF($E619="","",INDEX(进销存对接!$D$4:$D$305,206)&amp;" "&amp;TEXT($B619,"YYYY年M月")&amp;" 自动结转")</f>
        <v/>
      </c>
      <c r="E619" s="26" t="str">
        <f>IF(INDEX(进销存对接!$M$4:$U$305,206,1)=0,"",INDEX(进销存对接!$M$4:$U$305,206,1))</f>
        <v/>
      </c>
      <c r="F619" s="25" t="str">
        <f>IF($E619="","",IFERROR(INDEX(科目表!$A$4:$A$81,MATCH($E619,科目表!$B$4:$B$81,0)),""))</f>
        <v/>
      </c>
      <c r="G619" s="26" t="str">
        <f>IF($E619="","",IFERROR(INDEX(科目表!$E$4:$E$81,MATCH($E619,科目表!$B$4:$B$81,0)),""))</f>
        <v/>
      </c>
      <c r="H619" s="27" t="str">
        <f>IF($E619="","",N(INDEX(进销存对接!$M$4:$U$305,206,2)))</f>
        <v/>
      </c>
      <c r="I619" s="27" t="str">
        <f>IF($E619="","",N(INDEX(进销存对接!$M$4:$U$305,206,3)))</f>
        <v/>
      </c>
      <c r="J619" s="26"/>
      <c r="K619" s="26" t="str">
        <f>IF($E619="","",INDEX(进销存对接!$D$4:$D$305,206))</f>
        <v/>
      </c>
      <c r="L619" s="32"/>
      <c r="M619" s="32"/>
      <c r="N619" s="26" t="str">
        <f t="shared" si="38"/>
        <v/>
      </c>
      <c r="O619" s="26" t="str">
        <f t="shared" si="39"/>
        <v/>
      </c>
      <c r="P619" s="10"/>
    </row>
    <row r="620" ht="18" customHeight="1" spans="1:16">
      <c r="A620" s="32" t="str">
        <f t="shared" si="36"/>
        <v/>
      </c>
      <c r="B620" s="100" t="str">
        <f>IF($E620="","",INDEX(进销存对接!$C$4:$C$305,206))</f>
        <v/>
      </c>
      <c r="C620" s="26" t="str">
        <f t="shared" si="37"/>
        <v/>
      </c>
      <c r="D620" s="32" t="str">
        <f>IF($E620="","",INDEX(进销存对接!$D$4:$D$305,206)&amp;" "&amp;TEXT($B620,"YYYY年M月")&amp;" 自动结转")</f>
        <v/>
      </c>
      <c r="E620" s="26" t="str">
        <f>IF(INDEX(进销存对接!$M$4:$U$305,206,4)=0,"",INDEX(进销存对接!$M$4:$U$305,206,4))</f>
        <v/>
      </c>
      <c r="F620" s="25" t="str">
        <f>IF($E620="","",IFERROR(INDEX(科目表!$A$4:$A$81,MATCH($E620,科目表!$B$4:$B$81,0)),""))</f>
        <v/>
      </c>
      <c r="G620" s="26" t="str">
        <f>IF($E620="","",IFERROR(INDEX(科目表!$E$4:$E$81,MATCH($E620,科目表!$B$4:$B$81,0)),""))</f>
        <v/>
      </c>
      <c r="H620" s="27" t="str">
        <f>IF($E620="","",N(INDEX(进销存对接!$M$4:$U$305,206,5)))</f>
        <v/>
      </c>
      <c r="I620" s="27" t="str">
        <f>IF($E620="","",N(INDEX(进销存对接!$M$4:$U$305,206,6)))</f>
        <v/>
      </c>
      <c r="J620" s="26"/>
      <c r="K620" s="26" t="str">
        <f>IF($E620="","",INDEX(进销存对接!$D$4:$D$305,206))</f>
        <v/>
      </c>
      <c r="L620" s="32"/>
      <c r="M620" s="32"/>
      <c r="N620" s="26" t="str">
        <f t="shared" si="38"/>
        <v/>
      </c>
      <c r="O620" s="26" t="str">
        <f t="shared" si="39"/>
        <v/>
      </c>
      <c r="P620" s="10"/>
    </row>
    <row r="621" ht="18" customHeight="1" spans="1:16">
      <c r="A621" s="32" t="str">
        <f t="shared" si="36"/>
        <v/>
      </c>
      <c r="B621" s="100" t="str">
        <f>IF($E621="","",INDEX(进销存对接!$C$4:$C$305,206))</f>
        <v/>
      </c>
      <c r="C621" s="26" t="str">
        <f t="shared" si="37"/>
        <v/>
      </c>
      <c r="D621" s="32" t="str">
        <f>IF($E621="","",INDEX(进销存对接!$D$4:$D$305,206)&amp;" "&amp;TEXT($B621,"YYYY年M月")&amp;" 自动结转")</f>
        <v/>
      </c>
      <c r="E621" s="26" t="str">
        <f>IF(INDEX(进销存对接!$M$4:$U$305,206,7)=0,"",INDEX(进销存对接!$M$4:$U$305,206,7))</f>
        <v/>
      </c>
      <c r="F621" s="25" t="str">
        <f>IF($E621="","",IFERROR(INDEX(科目表!$A$4:$A$81,MATCH($E621,科目表!$B$4:$B$81,0)),""))</f>
        <v/>
      </c>
      <c r="G621" s="26" t="str">
        <f>IF($E621="","",IFERROR(INDEX(科目表!$E$4:$E$81,MATCH($E621,科目表!$B$4:$B$81,0)),""))</f>
        <v/>
      </c>
      <c r="H621" s="27" t="str">
        <f>IF($E621="","",N(INDEX(进销存对接!$M$4:$U$305,206,8)))</f>
        <v/>
      </c>
      <c r="I621" s="27" t="str">
        <f>IF($E621="","",N(INDEX(进销存对接!$M$4:$U$305,206,9)))</f>
        <v/>
      </c>
      <c r="J621" s="26"/>
      <c r="K621" s="26" t="str">
        <f>IF($E621="","",INDEX(进销存对接!$D$4:$D$305,206))</f>
        <v/>
      </c>
      <c r="L621" s="32"/>
      <c r="M621" s="32"/>
      <c r="N621" s="26" t="str">
        <f t="shared" si="38"/>
        <v/>
      </c>
      <c r="O621" s="26" t="str">
        <f t="shared" si="39"/>
        <v/>
      </c>
      <c r="P621" s="10"/>
    </row>
    <row r="622" ht="18" customHeight="1" spans="1:16">
      <c r="A622" s="32" t="str">
        <f t="shared" si="36"/>
        <v/>
      </c>
      <c r="B622" s="100" t="str">
        <f>IF($E622="","",INDEX(进销存对接!$C$4:$C$305,207))</f>
        <v/>
      </c>
      <c r="C622" s="26" t="str">
        <f t="shared" si="37"/>
        <v/>
      </c>
      <c r="D622" s="32" t="str">
        <f>IF($E622="","",INDEX(进销存对接!$D$4:$D$305,207)&amp;" "&amp;TEXT($B622,"YYYY年M月")&amp;" 自动结转")</f>
        <v/>
      </c>
      <c r="E622" s="26" t="str">
        <f>IF(INDEX(进销存对接!$M$4:$U$305,207,1)=0,"",INDEX(进销存对接!$M$4:$U$305,207,1))</f>
        <v/>
      </c>
      <c r="F622" s="25" t="str">
        <f>IF($E622="","",IFERROR(INDEX(科目表!$A$4:$A$81,MATCH($E622,科目表!$B$4:$B$81,0)),""))</f>
        <v/>
      </c>
      <c r="G622" s="26" t="str">
        <f>IF($E622="","",IFERROR(INDEX(科目表!$E$4:$E$81,MATCH($E622,科目表!$B$4:$B$81,0)),""))</f>
        <v/>
      </c>
      <c r="H622" s="27" t="str">
        <f>IF($E622="","",N(INDEX(进销存对接!$M$4:$U$305,207,2)))</f>
        <v/>
      </c>
      <c r="I622" s="27" t="str">
        <f>IF($E622="","",N(INDEX(进销存对接!$M$4:$U$305,207,3)))</f>
        <v/>
      </c>
      <c r="J622" s="26"/>
      <c r="K622" s="26" t="str">
        <f>IF($E622="","",INDEX(进销存对接!$D$4:$D$305,207))</f>
        <v/>
      </c>
      <c r="L622" s="32"/>
      <c r="M622" s="32"/>
      <c r="N622" s="26" t="str">
        <f t="shared" si="38"/>
        <v/>
      </c>
      <c r="O622" s="26" t="str">
        <f t="shared" si="39"/>
        <v/>
      </c>
      <c r="P622" s="10"/>
    </row>
    <row r="623" ht="18" customHeight="1" spans="1:16">
      <c r="A623" s="32" t="str">
        <f t="shared" si="36"/>
        <v/>
      </c>
      <c r="B623" s="100" t="str">
        <f>IF($E623="","",INDEX(进销存对接!$C$4:$C$305,207))</f>
        <v/>
      </c>
      <c r="C623" s="26" t="str">
        <f t="shared" si="37"/>
        <v/>
      </c>
      <c r="D623" s="32" t="str">
        <f>IF($E623="","",INDEX(进销存对接!$D$4:$D$305,207)&amp;" "&amp;TEXT($B623,"YYYY年M月")&amp;" 自动结转")</f>
        <v/>
      </c>
      <c r="E623" s="26" t="str">
        <f>IF(INDEX(进销存对接!$M$4:$U$305,207,4)=0,"",INDEX(进销存对接!$M$4:$U$305,207,4))</f>
        <v/>
      </c>
      <c r="F623" s="25" t="str">
        <f>IF($E623="","",IFERROR(INDEX(科目表!$A$4:$A$81,MATCH($E623,科目表!$B$4:$B$81,0)),""))</f>
        <v/>
      </c>
      <c r="G623" s="26" t="str">
        <f>IF($E623="","",IFERROR(INDEX(科目表!$E$4:$E$81,MATCH($E623,科目表!$B$4:$B$81,0)),""))</f>
        <v/>
      </c>
      <c r="H623" s="27" t="str">
        <f>IF($E623="","",N(INDEX(进销存对接!$M$4:$U$305,207,5)))</f>
        <v/>
      </c>
      <c r="I623" s="27" t="str">
        <f>IF($E623="","",N(INDEX(进销存对接!$M$4:$U$305,207,6)))</f>
        <v/>
      </c>
      <c r="J623" s="26"/>
      <c r="K623" s="26" t="str">
        <f>IF($E623="","",INDEX(进销存对接!$D$4:$D$305,207))</f>
        <v/>
      </c>
      <c r="L623" s="32"/>
      <c r="M623" s="32"/>
      <c r="N623" s="26" t="str">
        <f t="shared" si="38"/>
        <v/>
      </c>
      <c r="O623" s="26" t="str">
        <f t="shared" si="39"/>
        <v/>
      </c>
      <c r="P623" s="10"/>
    </row>
    <row r="624" ht="18" customHeight="1" spans="1:16">
      <c r="A624" s="32" t="str">
        <f t="shared" si="36"/>
        <v/>
      </c>
      <c r="B624" s="100" t="str">
        <f>IF($E624="","",INDEX(进销存对接!$C$4:$C$305,207))</f>
        <v/>
      </c>
      <c r="C624" s="26" t="str">
        <f t="shared" si="37"/>
        <v/>
      </c>
      <c r="D624" s="32" t="str">
        <f>IF($E624="","",INDEX(进销存对接!$D$4:$D$305,207)&amp;" "&amp;TEXT($B624,"YYYY年M月")&amp;" 自动结转")</f>
        <v/>
      </c>
      <c r="E624" s="26" t="str">
        <f>IF(INDEX(进销存对接!$M$4:$U$305,207,7)=0,"",INDEX(进销存对接!$M$4:$U$305,207,7))</f>
        <v/>
      </c>
      <c r="F624" s="25" t="str">
        <f>IF($E624="","",IFERROR(INDEX(科目表!$A$4:$A$81,MATCH($E624,科目表!$B$4:$B$81,0)),""))</f>
        <v/>
      </c>
      <c r="G624" s="26" t="str">
        <f>IF($E624="","",IFERROR(INDEX(科目表!$E$4:$E$81,MATCH($E624,科目表!$B$4:$B$81,0)),""))</f>
        <v/>
      </c>
      <c r="H624" s="27" t="str">
        <f>IF($E624="","",N(INDEX(进销存对接!$M$4:$U$305,207,8)))</f>
        <v/>
      </c>
      <c r="I624" s="27" t="str">
        <f>IF($E624="","",N(INDEX(进销存对接!$M$4:$U$305,207,9)))</f>
        <v/>
      </c>
      <c r="J624" s="26"/>
      <c r="K624" s="26" t="str">
        <f>IF($E624="","",INDEX(进销存对接!$D$4:$D$305,207))</f>
        <v/>
      </c>
      <c r="L624" s="32"/>
      <c r="M624" s="32"/>
      <c r="N624" s="26" t="str">
        <f t="shared" si="38"/>
        <v/>
      </c>
      <c r="O624" s="26" t="str">
        <f t="shared" si="39"/>
        <v/>
      </c>
      <c r="P624" s="10"/>
    </row>
    <row r="625" ht="18" customHeight="1" spans="1:16">
      <c r="A625" s="32" t="str">
        <f t="shared" si="36"/>
        <v/>
      </c>
      <c r="B625" s="100" t="str">
        <f>IF($E625="","",INDEX(进销存对接!$C$4:$C$305,208))</f>
        <v/>
      </c>
      <c r="C625" s="26" t="str">
        <f t="shared" si="37"/>
        <v/>
      </c>
      <c r="D625" s="32" t="str">
        <f>IF($E625="","",INDEX(进销存对接!$D$4:$D$305,208)&amp;" "&amp;TEXT($B625,"YYYY年M月")&amp;" 自动结转")</f>
        <v/>
      </c>
      <c r="E625" s="26" t="str">
        <f>IF(INDEX(进销存对接!$M$4:$U$305,208,1)=0,"",INDEX(进销存对接!$M$4:$U$305,208,1))</f>
        <v/>
      </c>
      <c r="F625" s="25" t="str">
        <f>IF($E625="","",IFERROR(INDEX(科目表!$A$4:$A$81,MATCH($E625,科目表!$B$4:$B$81,0)),""))</f>
        <v/>
      </c>
      <c r="G625" s="26" t="str">
        <f>IF($E625="","",IFERROR(INDEX(科目表!$E$4:$E$81,MATCH($E625,科目表!$B$4:$B$81,0)),""))</f>
        <v/>
      </c>
      <c r="H625" s="27" t="str">
        <f>IF($E625="","",N(INDEX(进销存对接!$M$4:$U$305,208,2)))</f>
        <v/>
      </c>
      <c r="I625" s="27" t="str">
        <f>IF($E625="","",N(INDEX(进销存对接!$M$4:$U$305,208,3)))</f>
        <v/>
      </c>
      <c r="J625" s="26"/>
      <c r="K625" s="26" t="str">
        <f>IF($E625="","",INDEX(进销存对接!$D$4:$D$305,208))</f>
        <v/>
      </c>
      <c r="L625" s="32"/>
      <c r="M625" s="32"/>
      <c r="N625" s="26" t="str">
        <f t="shared" si="38"/>
        <v/>
      </c>
      <c r="O625" s="26" t="str">
        <f t="shared" si="39"/>
        <v/>
      </c>
      <c r="P625" s="10"/>
    </row>
    <row r="626" ht="18" customHeight="1" spans="1:16">
      <c r="A626" s="32" t="str">
        <f t="shared" si="36"/>
        <v/>
      </c>
      <c r="B626" s="100" t="str">
        <f>IF($E626="","",INDEX(进销存对接!$C$4:$C$305,208))</f>
        <v/>
      </c>
      <c r="C626" s="26" t="str">
        <f t="shared" si="37"/>
        <v/>
      </c>
      <c r="D626" s="32" t="str">
        <f>IF($E626="","",INDEX(进销存对接!$D$4:$D$305,208)&amp;" "&amp;TEXT($B626,"YYYY年M月")&amp;" 自动结转")</f>
        <v/>
      </c>
      <c r="E626" s="26" t="str">
        <f>IF(INDEX(进销存对接!$M$4:$U$305,208,4)=0,"",INDEX(进销存对接!$M$4:$U$305,208,4))</f>
        <v/>
      </c>
      <c r="F626" s="25" t="str">
        <f>IF($E626="","",IFERROR(INDEX(科目表!$A$4:$A$81,MATCH($E626,科目表!$B$4:$B$81,0)),""))</f>
        <v/>
      </c>
      <c r="G626" s="26" t="str">
        <f>IF($E626="","",IFERROR(INDEX(科目表!$E$4:$E$81,MATCH($E626,科目表!$B$4:$B$81,0)),""))</f>
        <v/>
      </c>
      <c r="H626" s="27" t="str">
        <f>IF($E626="","",N(INDEX(进销存对接!$M$4:$U$305,208,5)))</f>
        <v/>
      </c>
      <c r="I626" s="27" t="str">
        <f>IF($E626="","",N(INDEX(进销存对接!$M$4:$U$305,208,6)))</f>
        <v/>
      </c>
      <c r="J626" s="26"/>
      <c r="K626" s="26" t="str">
        <f>IF($E626="","",INDEX(进销存对接!$D$4:$D$305,208))</f>
        <v/>
      </c>
      <c r="L626" s="32"/>
      <c r="M626" s="32"/>
      <c r="N626" s="26" t="str">
        <f t="shared" si="38"/>
        <v/>
      </c>
      <c r="O626" s="26" t="str">
        <f t="shared" si="39"/>
        <v/>
      </c>
      <c r="P626" s="10"/>
    </row>
    <row r="627" ht="18" customHeight="1" spans="1:16">
      <c r="A627" s="32" t="str">
        <f t="shared" si="36"/>
        <v/>
      </c>
      <c r="B627" s="100" t="str">
        <f>IF($E627="","",INDEX(进销存对接!$C$4:$C$305,208))</f>
        <v/>
      </c>
      <c r="C627" s="26" t="str">
        <f t="shared" si="37"/>
        <v/>
      </c>
      <c r="D627" s="32" t="str">
        <f>IF($E627="","",INDEX(进销存对接!$D$4:$D$305,208)&amp;" "&amp;TEXT($B627,"YYYY年M月")&amp;" 自动结转")</f>
        <v/>
      </c>
      <c r="E627" s="26" t="str">
        <f>IF(INDEX(进销存对接!$M$4:$U$305,208,7)=0,"",INDEX(进销存对接!$M$4:$U$305,208,7))</f>
        <v/>
      </c>
      <c r="F627" s="25" t="str">
        <f>IF($E627="","",IFERROR(INDEX(科目表!$A$4:$A$81,MATCH($E627,科目表!$B$4:$B$81,0)),""))</f>
        <v/>
      </c>
      <c r="G627" s="26" t="str">
        <f>IF($E627="","",IFERROR(INDEX(科目表!$E$4:$E$81,MATCH($E627,科目表!$B$4:$B$81,0)),""))</f>
        <v/>
      </c>
      <c r="H627" s="27" t="str">
        <f>IF($E627="","",N(INDEX(进销存对接!$M$4:$U$305,208,8)))</f>
        <v/>
      </c>
      <c r="I627" s="27" t="str">
        <f>IF($E627="","",N(INDEX(进销存对接!$M$4:$U$305,208,9)))</f>
        <v/>
      </c>
      <c r="J627" s="26"/>
      <c r="K627" s="26" t="str">
        <f>IF($E627="","",INDEX(进销存对接!$D$4:$D$305,208))</f>
        <v/>
      </c>
      <c r="L627" s="32"/>
      <c r="M627" s="32"/>
      <c r="N627" s="26" t="str">
        <f t="shared" si="38"/>
        <v/>
      </c>
      <c r="O627" s="26" t="str">
        <f t="shared" si="39"/>
        <v/>
      </c>
      <c r="P627" s="10"/>
    </row>
    <row r="628" ht="18" customHeight="1" spans="1:16">
      <c r="A628" s="32" t="str">
        <f t="shared" si="36"/>
        <v/>
      </c>
      <c r="B628" s="100" t="str">
        <f>IF($E628="","",INDEX(进销存对接!$C$4:$C$305,209))</f>
        <v/>
      </c>
      <c r="C628" s="26" t="str">
        <f t="shared" si="37"/>
        <v/>
      </c>
      <c r="D628" s="32" t="str">
        <f>IF($E628="","",INDEX(进销存对接!$D$4:$D$305,209)&amp;" "&amp;TEXT($B628,"YYYY年M月")&amp;" 自动结转")</f>
        <v/>
      </c>
      <c r="E628" s="26" t="str">
        <f>IF(INDEX(进销存对接!$M$4:$U$305,209,1)=0,"",INDEX(进销存对接!$M$4:$U$305,209,1))</f>
        <v/>
      </c>
      <c r="F628" s="25" t="str">
        <f>IF($E628="","",IFERROR(INDEX(科目表!$A$4:$A$81,MATCH($E628,科目表!$B$4:$B$81,0)),""))</f>
        <v/>
      </c>
      <c r="G628" s="26" t="str">
        <f>IF($E628="","",IFERROR(INDEX(科目表!$E$4:$E$81,MATCH($E628,科目表!$B$4:$B$81,0)),""))</f>
        <v/>
      </c>
      <c r="H628" s="27" t="str">
        <f>IF($E628="","",N(INDEX(进销存对接!$M$4:$U$305,209,2)))</f>
        <v/>
      </c>
      <c r="I628" s="27" t="str">
        <f>IF($E628="","",N(INDEX(进销存对接!$M$4:$U$305,209,3)))</f>
        <v/>
      </c>
      <c r="J628" s="26"/>
      <c r="K628" s="26" t="str">
        <f>IF($E628="","",INDEX(进销存对接!$D$4:$D$305,209))</f>
        <v/>
      </c>
      <c r="L628" s="32"/>
      <c r="M628" s="32"/>
      <c r="N628" s="26" t="str">
        <f t="shared" si="38"/>
        <v/>
      </c>
      <c r="O628" s="26" t="str">
        <f t="shared" si="39"/>
        <v/>
      </c>
      <c r="P628" s="10"/>
    </row>
    <row r="629" ht="18" customHeight="1" spans="1:16">
      <c r="A629" s="32" t="str">
        <f t="shared" si="36"/>
        <v/>
      </c>
      <c r="B629" s="100" t="str">
        <f>IF($E629="","",INDEX(进销存对接!$C$4:$C$305,209))</f>
        <v/>
      </c>
      <c r="C629" s="26" t="str">
        <f t="shared" si="37"/>
        <v/>
      </c>
      <c r="D629" s="32" t="str">
        <f>IF($E629="","",INDEX(进销存对接!$D$4:$D$305,209)&amp;" "&amp;TEXT($B629,"YYYY年M月")&amp;" 自动结转")</f>
        <v/>
      </c>
      <c r="E629" s="26" t="str">
        <f>IF(INDEX(进销存对接!$M$4:$U$305,209,4)=0,"",INDEX(进销存对接!$M$4:$U$305,209,4))</f>
        <v/>
      </c>
      <c r="F629" s="25" t="str">
        <f>IF($E629="","",IFERROR(INDEX(科目表!$A$4:$A$81,MATCH($E629,科目表!$B$4:$B$81,0)),""))</f>
        <v/>
      </c>
      <c r="G629" s="26" t="str">
        <f>IF($E629="","",IFERROR(INDEX(科目表!$E$4:$E$81,MATCH($E629,科目表!$B$4:$B$81,0)),""))</f>
        <v/>
      </c>
      <c r="H629" s="27" t="str">
        <f>IF($E629="","",N(INDEX(进销存对接!$M$4:$U$305,209,5)))</f>
        <v/>
      </c>
      <c r="I629" s="27" t="str">
        <f>IF($E629="","",N(INDEX(进销存对接!$M$4:$U$305,209,6)))</f>
        <v/>
      </c>
      <c r="J629" s="26"/>
      <c r="K629" s="26" t="str">
        <f>IF($E629="","",INDEX(进销存对接!$D$4:$D$305,209))</f>
        <v/>
      </c>
      <c r="L629" s="32"/>
      <c r="M629" s="32"/>
      <c r="N629" s="26" t="str">
        <f t="shared" si="38"/>
        <v/>
      </c>
      <c r="O629" s="26" t="str">
        <f t="shared" si="39"/>
        <v/>
      </c>
      <c r="P629" s="10"/>
    </row>
    <row r="630" ht="18" customHeight="1" spans="1:16">
      <c r="A630" s="32" t="str">
        <f t="shared" si="36"/>
        <v/>
      </c>
      <c r="B630" s="100" t="str">
        <f>IF($E630="","",INDEX(进销存对接!$C$4:$C$305,209))</f>
        <v/>
      </c>
      <c r="C630" s="26" t="str">
        <f t="shared" si="37"/>
        <v/>
      </c>
      <c r="D630" s="32" t="str">
        <f>IF($E630="","",INDEX(进销存对接!$D$4:$D$305,209)&amp;" "&amp;TEXT($B630,"YYYY年M月")&amp;" 自动结转")</f>
        <v/>
      </c>
      <c r="E630" s="26" t="str">
        <f>IF(INDEX(进销存对接!$M$4:$U$305,209,7)=0,"",INDEX(进销存对接!$M$4:$U$305,209,7))</f>
        <v/>
      </c>
      <c r="F630" s="25" t="str">
        <f>IF($E630="","",IFERROR(INDEX(科目表!$A$4:$A$81,MATCH($E630,科目表!$B$4:$B$81,0)),""))</f>
        <v/>
      </c>
      <c r="G630" s="26" t="str">
        <f>IF($E630="","",IFERROR(INDEX(科目表!$E$4:$E$81,MATCH($E630,科目表!$B$4:$B$81,0)),""))</f>
        <v/>
      </c>
      <c r="H630" s="27" t="str">
        <f>IF($E630="","",N(INDEX(进销存对接!$M$4:$U$305,209,8)))</f>
        <v/>
      </c>
      <c r="I630" s="27" t="str">
        <f>IF($E630="","",N(INDEX(进销存对接!$M$4:$U$305,209,9)))</f>
        <v/>
      </c>
      <c r="J630" s="26"/>
      <c r="K630" s="26" t="str">
        <f>IF($E630="","",INDEX(进销存对接!$D$4:$D$305,209))</f>
        <v/>
      </c>
      <c r="L630" s="32"/>
      <c r="M630" s="32"/>
      <c r="N630" s="26" t="str">
        <f t="shared" si="38"/>
        <v/>
      </c>
      <c r="O630" s="26" t="str">
        <f t="shared" si="39"/>
        <v/>
      </c>
      <c r="P630" s="10"/>
    </row>
    <row r="631" ht="18" customHeight="1" spans="1:16">
      <c r="A631" s="32" t="str">
        <f t="shared" si="36"/>
        <v/>
      </c>
      <c r="B631" s="100" t="str">
        <f>IF($E631="","",INDEX(进销存对接!$C$4:$C$305,210))</f>
        <v/>
      </c>
      <c r="C631" s="26" t="str">
        <f t="shared" si="37"/>
        <v/>
      </c>
      <c r="D631" s="32" t="str">
        <f>IF($E631="","",INDEX(进销存对接!$D$4:$D$305,210)&amp;" "&amp;TEXT($B631,"YYYY年M月")&amp;" 自动结转")</f>
        <v/>
      </c>
      <c r="E631" s="26" t="str">
        <f>IF(INDEX(进销存对接!$M$4:$U$305,210,1)=0,"",INDEX(进销存对接!$M$4:$U$305,210,1))</f>
        <v/>
      </c>
      <c r="F631" s="25" t="str">
        <f>IF($E631="","",IFERROR(INDEX(科目表!$A$4:$A$81,MATCH($E631,科目表!$B$4:$B$81,0)),""))</f>
        <v/>
      </c>
      <c r="G631" s="26" t="str">
        <f>IF($E631="","",IFERROR(INDEX(科目表!$E$4:$E$81,MATCH($E631,科目表!$B$4:$B$81,0)),""))</f>
        <v/>
      </c>
      <c r="H631" s="27" t="str">
        <f>IF($E631="","",N(INDEX(进销存对接!$M$4:$U$305,210,2)))</f>
        <v/>
      </c>
      <c r="I631" s="27" t="str">
        <f>IF($E631="","",N(INDEX(进销存对接!$M$4:$U$305,210,3)))</f>
        <v/>
      </c>
      <c r="J631" s="26"/>
      <c r="K631" s="26" t="str">
        <f>IF($E631="","",INDEX(进销存对接!$D$4:$D$305,210))</f>
        <v/>
      </c>
      <c r="L631" s="32"/>
      <c r="M631" s="32"/>
      <c r="N631" s="26" t="str">
        <f t="shared" si="38"/>
        <v/>
      </c>
      <c r="O631" s="26" t="str">
        <f t="shared" si="39"/>
        <v/>
      </c>
      <c r="P631" s="10"/>
    </row>
    <row r="632" ht="18" customHeight="1" spans="1:16">
      <c r="A632" s="32" t="str">
        <f t="shared" si="36"/>
        <v/>
      </c>
      <c r="B632" s="100" t="str">
        <f>IF($E632="","",INDEX(进销存对接!$C$4:$C$305,210))</f>
        <v/>
      </c>
      <c r="C632" s="26" t="str">
        <f t="shared" si="37"/>
        <v/>
      </c>
      <c r="D632" s="32" t="str">
        <f>IF($E632="","",INDEX(进销存对接!$D$4:$D$305,210)&amp;" "&amp;TEXT($B632,"YYYY年M月")&amp;" 自动结转")</f>
        <v/>
      </c>
      <c r="E632" s="26" t="str">
        <f>IF(INDEX(进销存对接!$M$4:$U$305,210,4)=0,"",INDEX(进销存对接!$M$4:$U$305,210,4))</f>
        <v/>
      </c>
      <c r="F632" s="25" t="str">
        <f>IF($E632="","",IFERROR(INDEX(科目表!$A$4:$A$81,MATCH($E632,科目表!$B$4:$B$81,0)),""))</f>
        <v/>
      </c>
      <c r="G632" s="26" t="str">
        <f>IF($E632="","",IFERROR(INDEX(科目表!$E$4:$E$81,MATCH($E632,科目表!$B$4:$B$81,0)),""))</f>
        <v/>
      </c>
      <c r="H632" s="27" t="str">
        <f>IF($E632="","",N(INDEX(进销存对接!$M$4:$U$305,210,5)))</f>
        <v/>
      </c>
      <c r="I632" s="27" t="str">
        <f>IF($E632="","",N(INDEX(进销存对接!$M$4:$U$305,210,6)))</f>
        <v/>
      </c>
      <c r="J632" s="26"/>
      <c r="K632" s="26" t="str">
        <f>IF($E632="","",INDEX(进销存对接!$D$4:$D$305,210))</f>
        <v/>
      </c>
      <c r="L632" s="32"/>
      <c r="M632" s="32"/>
      <c r="N632" s="26" t="str">
        <f t="shared" si="38"/>
        <v/>
      </c>
      <c r="O632" s="26" t="str">
        <f t="shared" si="39"/>
        <v/>
      </c>
      <c r="P632" s="10"/>
    </row>
    <row r="633" ht="18" customHeight="1" spans="1:16">
      <c r="A633" s="32" t="str">
        <f t="shared" si="36"/>
        <v/>
      </c>
      <c r="B633" s="100" t="str">
        <f>IF($E633="","",INDEX(进销存对接!$C$4:$C$305,210))</f>
        <v/>
      </c>
      <c r="C633" s="26" t="str">
        <f t="shared" si="37"/>
        <v/>
      </c>
      <c r="D633" s="32" t="str">
        <f>IF($E633="","",INDEX(进销存对接!$D$4:$D$305,210)&amp;" "&amp;TEXT($B633,"YYYY年M月")&amp;" 自动结转")</f>
        <v/>
      </c>
      <c r="E633" s="26" t="str">
        <f>IF(INDEX(进销存对接!$M$4:$U$305,210,7)=0,"",INDEX(进销存对接!$M$4:$U$305,210,7))</f>
        <v/>
      </c>
      <c r="F633" s="25" t="str">
        <f>IF($E633="","",IFERROR(INDEX(科目表!$A$4:$A$81,MATCH($E633,科目表!$B$4:$B$81,0)),""))</f>
        <v/>
      </c>
      <c r="G633" s="26" t="str">
        <f>IF($E633="","",IFERROR(INDEX(科目表!$E$4:$E$81,MATCH($E633,科目表!$B$4:$B$81,0)),""))</f>
        <v/>
      </c>
      <c r="H633" s="27" t="str">
        <f>IF($E633="","",N(INDEX(进销存对接!$M$4:$U$305,210,8)))</f>
        <v/>
      </c>
      <c r="I633" s="27" t="str">
        <f>IF($E633="","",N(INDEX(进销存对接!$M$4:$U$305,210,9)))</f>
        <v/>
      </c>
      <c r="J633" s="26"/>
      <c r="K633" s="26" t="str">
        <f>IF($E633="","",INDEX(进销存对接!$D$4:$D$305,210))</f>
        <v/>
      </c>
      <c r="L633" s="32"/>
      <c r="M633" s="32"/>
      <c r="N633" s="26" t="str">
        <f t="shared" si="38"/>
        <v/>
      </c>
      <c r="O633" s="26" t="str">
        <f t="shared" si="39"/>
        <v/>
      </c>
      <c r="P633" s="10"/>
    </row>
    <row r="634" ht="18" customHeight="1" spans="1:16">
      <c r="A634" s="32" t="str">
        <f t="shared" si="36"/>
        <v/>
      </c>
      <c r="B634" s="100" t="str">
        <f>IF($E634="","",INDEX(进销存对接!$C$4:$C$305,211))</f>
        <v/>
      </c>
      <c r="C634" s="26" t="str">
        <f t="shared" si="37"/>
        <v/>
      </c>
      <c r="D634" s="32" t="str">
        <f>IF($E634="","",INDEX(进销存对接!$D$4:$D$305,211)&amp;" "&amp;TEXT($B634,"YYYY年M月")&amp;" 自动结转")</f>
        <v/>
      </c>
      <c r="E634" s="26" t="str">
        <f>IF(INDEX(进销存对接!$M$4:$U$305,211,1)=0,"",INDEX(进销存对接!$M$4:$U$305,211,1))</f>
        <v/>
      </c>
      <c r="F634" s="25" t="str">
        <f>IF($E634="","",IFERROR(INDEX(科目表!$A$4:$A$81,MATCH($E634,科目表!$B$4:$B$81,0)),""))</f>
        <v/>
      </c>
      <c r="G634" s="26" t="str">
        <f>IF($E634="","",IFERROR(INDEX(科目表!$E$4:$E$81,MATCH($E634,科目表!$B$4:$B$81,0)),""))</f>
        <v/>
      </c>
      <c r="H634" s="27" t="str">
        <f>IF($E634="","",N(INDEX(进销存对接!$M$4:$U$305,211,2)))</f>
        <v/>
      </c>
      <c r="I634" s="27" t="str">
        <f>IF($E634="","",N(INDEX(进销存对接!$M$4:$U$305,211,3)))</f>
        <v/>
      </c>
      <c r="J634" s="26"/>
      <c r="K634" s="26" t="str">
        <f>IF($E634="","",INDEX(进销存对接!$D$4:$D$305,211))</f>
        <v/>
      </c>
      <c r="L634" s="32"/>
      <c r="M634" s="32"/>
      <c r="N634" s="26" t="str">
        <f t="shared" si="38"/>
        <v/>
      </c>
      <c r="O634" s="26" t="str">
        <f t="shared" si="39"/>
        <v/>
      </c>
      <c r="P634" s="10"/>
    </row>
    <row r="635" ht="18" customHeight="1" spans="1:16">
      <c r="A635" s="32" t="str">
        <f t="shared" si="36"/>
        <v/>
      </c>
      <c r="B635" s="100" t="str">
        <f>IF($E635="","",INDEX(进销存对接!$C$4:$C$305,211))</f>
        <v/>
      </c>
      <c r="C635" s="26" t="str">
        <f t="shared" si="37"/>
        <v/>
      </c>
      <c r="D635" s="32" t="str">
        <f>IF($E635="","",INDEX(进销存对接!$D$4:$D$305,211)&amp;" "&amp;TEXT($B635,"YYYY年M月")&amp;" 自动结转")</f>
        <v/>
      </c>
      <c r="E635" s="26" t="str">
        <f>IF(INDEX(进销存对接!$M$4:$U$305,211,4)=0,"",INDEX(进销存对接!$M$4:$U$305,211,4))</f>
        <v/>
      </c>
      <c r="F635" s="25" t="str">
        <f>IF($E635="","",IFERROR(INDEX(科目表!$A$4:$A$81,MATCH($E635,科目表!$B$4:$B$81,0)),""))</f>
        <v/>
      </c>
      <c r="G635" s="26" t="str">
        <f>IF($E635="","",IFERROR(INDEX(科目表!$E$4:$E$81,MATCH($E635,科目表!$B$4:$B$81,0)),""))</f>
        <v/>
      </c>
      <c r="H635" s="27" t="str">
        <f>IF($E635="","",N(INDEX(进销存对接!$M$4:$U$305,211,5)))</f>
        <v/>
      </c>
      <c r="I635" s="27" t="str">
        <f>IF($E635="","",N(INDEX(进销存对接!$M$4:$U$305,211,6)))</f>
        <v/>
      </c>
      <c r="J635" s="26"/>
      <c r="K635" s="26" t="str">
        <f>IF($E635="","",INDEX(进销存对接!$D$4:$D$305,211))</f>
        <v/>
      </c>
      <c r="L635" s="32"/>
      <c r="M635" s="32"/>
      <c r="N635" s="26" t="str">
        <f t="shared" si="38"/>
        <v/>
      </c>
      <c r="O635" s="26" t="str">
        <f t="shared" si="39"/>
        <v/>
      </c>
      <c r="P635" s="10"/>
    </row>
    <row r="636" ht="18" customHeight="1" spans="1:16">
      <c r="A636" s="32" t="str">
        <f t="shared" si="36"/>
        <v/>
      </c>
      <c r="B636" s="100" t="str">
        <f>IF($E636="","",INDEX(进销存对接!$C$4:$C$305,211))</f>
        <v/>
      </c>
      <c r="C636" s="26" t="str">
        <f t="shared" si="37"/>
        <v/>
      </c>
      <c r="D636" s="32" t="str">
        <f>IF($E636="","",INDEX(进销存对接!$D$4:$D$305,211)&amp;" "&amp;TEXT($B636,"YYYY年M月")&amp;" 自动结转")</f>
        <v/>
      </c>
      <c r="E636" s="26" t="str">
        <f>IF(INDEX(进销存对接!$M$4:$U$305,211,7)=0,"",INDEX(进销存对接!$M$4:$U$305,211,7))</f>
        <v/>
      </c>
      <c r="F636" s="25" t="str">
        <f>IF($E636="","",IFERROR(INDEX(科目表!$A$4:$A$81,MATCH($E636,科目表!$B$4:$B$81,0)),""))</f>
        <v/>
      </c>
      <c r="G636" s="26" t="str">
        <f>IF($E636="","",IFERROR(INDEX(科目表!$E$4:$E$81,MATCH($E636,科目表!$B$4:$B$81,0)),""))</f>
        <v/>
      </c>
      <c r="H636" s="27" t="str">
        <f>IF($E636="","",N(INDEX(进销存对接!$M$4:$U$305,211,8)))</f>
        <v/>
      </c>
      <c r="I636" s="27" t="str">
        <f>IF($E636="","",N(INDEX(进销存对接!$M$4:$U$305,211,9)))</f>
        <v/>
      </c>
      <c r="J636" s="26"/>
      <c r="K636" s="26" t="str">
        <f>IF($E636="","",INDEX(进销存对接!$D$4:$D$305,211))</f>
        <v/>
      </c>
      <c r="L636" s="32"/>
      <c r="M636" s="32"/>
      <c r="N636" s="26" t="str">
        <f t="shared" si="38"/>
        <v/>
      </c>
      <c r="O636" s="26" t="str">
        <f t="shared" si="39"/>
        <v/>
      </c>
      <c r="P636" s="10"/>
    </row>
    <row r="637" ht="18" customHeight="1" spans="1:16">
      <c r="A637" s="32" t="str">
        <f t="shared" si="36"/>
        <v/>
      </c>
      <c r="B637" s="100" t="str">
        <f>IF($E637="","",INDEX(进销存对接!$C$4:$C$305,212))</f>
        <v/>
      </c>
      <c r="C637" s="26" t="str">
        <f t="shared" si="37"/>
        <v/>
      </c>
      <c r="D637" s="32" t="str">
        <f>IF($E637="","",INDEX(进销存对接!$D$4:$D$305,212)&amp;" "&amp;TEXT($B637,"YYYY年M月")&amp;" 自动结转")</f>
        <v/>
      </c>
      <c r="E637" s="26" t="str">
        <f>IF(INDEX(进销存对接!$M$4:$U$305,212,1)=0,"",INDEX(进销存对接!$M$4:$U$305,212,1))</f>
        <v/>
      </c>
      <c r="F637" s="25" t="str">
        <f>IF($E637="","",IFERROR(INDEX(科目表!$A$4:$A$81,MATCH($E637,科目表!$B$4:$B$81,0)),""))</f>
        <v/>
      </c>
      <c r="G637" s="26" t="str">
        <f>IF($E637="","",IFERROR(INDEX(科目表!$E$4:$E$81,MATCH($E637,科目表!$B$4:$B$81,0)),""))</f>
        <v/>
      </c>
      <c r="H637" s="27" t="str">
        <f>IF($E637="","",N(INDEX(进销存对接!$M$4:$U$305,212,2)))</f>
        <v/>
      </c>
      <c r="I637" s="27" t="str">
        <f>IF($E637="","",N(INDEX(进销存对接!$M$4:$U$305,212,3)))</f>
        <v/>
      </c>
      <c r="J637" s="26"/>
      <c r="K637" s="26" t="str">
        <f>IF($E637="","",INDEX(进销存对接!$D$4:$D$305,212))</f>
        <v/>
      </c>
      <c r="L637" s="32"/>
      <c r="M637" s="32"/>
      <c r="N637" s="26" t="str">
        <f t="shared" si="38"/>
        <v/>
      </c>
      <c r="O637" s="26" t="str">
        <f t="shared" si="39"/>
        <v/>
      </c>
      <c r="P637" s="10"/>
    </row>
    <row r="638" ht="18" customHeight="1" spans="1:16">
      <c r="A638" s="32" t="str">
        <f t="shared" si="36"/>
        <v/>
      </c>
      <c r="B638" s="100" t="str">
        <f>IF($E638="","",INDEX(进销存对接!$C$4:$C$305,212))</f>
        <v/>
      </c>
      <c r="C638" s="26" t="str">
        <f t="shared" si="37"/>
        <v/>
      </c>
      <c r="D638" s="32" t="str">
        <f>IF($E638="","",INDEX(进销存对接!$D$4:$D$305,212)&amp;" "&amp;TEXT($B638,"YYYY年M月")&amp;" 自动结转")</f>
        <v/>
      </c>
      <c r="E638" s="26" t="str">
        <f>IF(INDEX(进销存对接!$M$4:$U$305,212,4)=0,"",INDEX(进销存对接!$M$4:$U$305,212,4))</f>
        <v/>
      </c>
      <c r="F638" s="25" t="str">
        <f>IF($E638="","",IFERROR(INDEX(科目表!$A$4:$A$81,MATCH($E638,科目表!$B$4:$B$81,0)),""))</f>
        <v/>
      </c>
      <c r="G638" s="26" t="str">
        <f>IF($E638="","",IFERROR(INDEX(科目表!$E$4:$E$81,MATCH($E638,科目表!$B$4:$B$81,0)),""))</f>
        <v/>
      </c>
      <c r="H638" s="27" t="str">
        <f>IF($E638="","",N(INDEX(进销存对接!$M$4:$U$305,212,5)))</f>
        <v/>
      </c>
      <c r="I638" s="27" t="str">
        <f>IF($E638="","",N(INDEX(进销存对接!$M$4:$U$305,212,6)))</f>
        <v/>
      </c>
      <c r="J638" s="26"/>
      <c r="K638" s="26" t="str">
        <f>IF($E638="","",INDEX(进销存对接!$D$4:$D$305,212))</f>
        <v/>
      </c>
      <c r="L638" s="32"/>
      <c r="M638" s="32"/>
      <c r="N638" s="26" t="str">
        <f t="shared" si="38"/>
        <v/>
      </c>
      <c r="O638" s="26" t="str">
        <f t="shared" si="39"/>
        <v/>
      </c>
      <c r="P638" s="10"/>
    </row>
    <row r="639" ht="18" customHeight="1" spans="1:16">
      <c r="A639" s="32" t="str">
        <f t="shared" si="36"/>
        <v/>
      </c>
      <c r="B639" s="100" t="str">
        <f>IF($E639="","",INDEX(进销存对接!$C$4:$C$305,212))</f>
        <v/>
      </c>
      <c r="C639" s="26" t="str">
        <f t="shared" si="37"/>
        <v/>
      </c>
      <c r="D639" s="32" t="str">
        <f>IF($E639="","",INDEX(进销存对接!$D$4:$D$305,212)&amp;" "&amp;TEXT($B639,"YYYY年M月")&amp;" 自动结转")</f>
        <v/>
      </c>
      <c r="E639" s="26" t="str">
        <f>IF(INDEX(进销存对接!$M$4:$U$305,212,7)=0,"",INDEX(进销存对接!$M$4:$U$305,212,7))</f>
        <v/>
      </c>
      <c r="F639" s="25" t="str">
        <f>IF($E639="","",IFERROR(INDEX(科目表!$A$4:$A$81,MATCH($E639,科目表!$B$4:$B$81,0)),""))</f>
        <v/>
      </c>
      <c r="G639" s="26" t="str">
        <f>IF($E639="","",IFERROR(INDEX(科目表!$E$4:$E$81,MATCH($E639,科目表!$B$4:$B$81,0)),""))</f>
        <v/>
      </c>
      <c r="H639" s="27" t="str">
        <f>IF($E639="","",N(INDEX(进销存对接!$M$4:$U$305,212,8)))</f>
        <v/>
      </c>
      <c r="I639" s="27" t="str">
        <f>IF($E639="","",N(INDEX(进销存对接!$M$4:$U$305,212,9)))</f>
        <v/>
      </c>
      <c r="J639" s="26"/>
      <c r="K639" s="26" t="str">
        <f>IF($E639="","",INDEX(进销存对接!$D$4:$D$305,212))</f>
        <v/>
      </c>
      <c r="L639" s="32"/>
      <c r="M639" s="32"/>
      <c r="N639" s="26" t="str">
        <f t="shared" si="38"/>
        <v/>
      </c>
      <c r="O639" s="26" t="str">
        <f t="shared" si="39"/>
        <v/>
      </c>
      <c r="P639" s="10"/>
    </row>
    <row r="640" ht="18" customHeight="1" spans="1:16">
      <c r="A640" s="32" t="str">
        <f t="shared" si="36"/>
        <v/>
      </c>
      <c r="B640" s="100" t="str">
        <f>IF($E640="","",INDEX(进销存对接!$C$4:$C$305,213))</f>
        <v/>
      </c>
      <c r="C640" s="26" t="str">
        <f t="shared" si="37"/>
        <v/>
      </c>
      <c r="D640" s="32" t="str">
        <f>IF($E640="","",INDEX(进销存对接!$D$4:$D$305,213)&amp;" "&amp;TEXT($B640,"YYYY年M月")&amp;" 自动结转")</f>
        <v/>
      </c>
      <c r="E640" s="26" t="str">
        <f>IF(INDEX(进销存对接!$M$4:$U$305,213,1)=0,"",INDEX(进销存对接!$M$4:$U$305,213,1))</f>
        <v/>
      </c>
      <c r="F640" s="25" t="str">
        <f>IF($E640="","",IFERROR(INDEX(科目表!$A$4:$A$81,MATCH($E640,科目表!$B$4:$B$81,0)),""))</f>
        <v/>
      </c>
      <c r="G640" s="26" t="str">
        <f>IF($E640="","",IFERROR(INDEX(科目表!$E$4:$E$81,MATCH($E640,科目表!$B$4:$B$81,0)),""))</f>
        <v/>
      </c>
      <c r="H640" s="27" t="str">
        <f>IF($E640="","",N(INDEX(进销存对接!$M$4:$U$305,213,2)))</f>
        <v/>
      </c>
      <c r="I640" s="27" t="str">
        <f>IF($E640="","",N(INDEX(进销存对接!$M$4:$U$305,213,3)))</f>
        <v/>
      </c>
      <c r="J640" s="26"/>
      <c r="K640" s="26" t="str">
        <f>IF($E640="","",INDEX(进销存对接!$D$4:$D$305,213))</f>
        <v/>
      </c>
      <c r="L640" s="32"/>
      <c r="M640" s="32"/>
      <c r="N640" s="26" t="str">
        <f t="shared" si="38"/>
        <v/>
      </c>
      <c r="O640" s="26" t="str">
        <f t="shared" si="39"/>
        <v/>
      </c>
      <c r="P640" s="10"/>
    </row>
    <row r="641" ht="18" customHeight="1" spans="1:16">
      <c r="A641" s="32" t="str">
        <f t="shared" si="36"/>
        <v/>
      </c>
      <c r="B641" s="100" t="str">
        <f>IF($E641="","",INDEX(进销存对接!$C$4:$C$305,213))</f>
        <v/>
      </c>
      <c r="C641" s="26" t="str">
        <f t="shared" si="37"/>
        <v/>
      </c>
      <c r="D641" s="32" t="str">
        <f>IF($E641="","",INDEX(进销存对接!$D$4:$D$305,213)&amp;" "&amp;TEXT($B641,"YYYY年M月")&amp;" 自动结转")</f>
        <v/>
      </c>
      <c r="E641" s="26" t="str">
        <f>IF(INDEX(进销存对接!$M$4:$U$305,213,4)=0,"",INDEX(进销存对接!$M$4:$U$305,213,4))</f>
        <v/>
      </c>
      <c r="F641" s="25" t="str">
        <f>IF($E641="","",IFERROR(INDEX(科目表!$A$4:$A$81,MATCH($E641,科目表!$B$4:$B$81,0)),""))</f>
        <v/>
      </c>
      <c r="G641" s="26" t="str">
        <f>IF($E641="","",IFERROR(INDEX(科目表!$E$4:$E$81,MATCH($E641,科目表!$B$4:$B$81,0)),""))</f>
        <v/>
      </c>
      <c r="H641" s="27" t="str">
        <f>IF($E641="","",N(INDEX(进销存对接!$M$4:$U$305,213,5)))</f>
        <v/>
      </c>
      <c r="I641" s="27" t="str">
        <f>IF($E641="","",N(INDEX(进销存对接!$M$4:$U$305,213,6)))</f>
        <v/>
      </c>
      <c r="J641" s="26"/>
      <c r="K641" s="26" t="str">
        <f>IF($E641="","",INDEX(进销存对接!$D$4:$D$305,213))</f>
        <v/>
      </c>
      <c r="L641" s="32"/>
      <c r="M641" s="32"/>
      <c r="N641" s="26" t="str">
        <f t="shared" si="38"/>
        <v/>
      </c>
      <c r="O641" s="26" t="str">
        <f t="shared" si="39"/>
        <v/>
      </c>
      <c r="P641" s="10"/>
    </row>
    <row r="642" ht="18" customHeight="1" spans="1:16">
      <c r="A642" s="32" t="str">
        <f t="shared" si="36"/>
        <v/>
      </c>
      <c r="B642" s="100" t="str">
        <f>IF($E642="","",INDEX(进销存对接!$C$4:$C$305,213))</f>
        <v/>
      </c>
      <c r="C642" s="26" t="str">
        <f t="shared" si="37"/>
        <v/>
      </c>
      <c r="D642" s="32" t="str">
        <f>IF($E642="","",INDEX(进销存对接!$D$4:$D$305,213)&amp;" "&amp;TEXT($B642,"YYYY年M月")&amp;" 自动结转")</f>
        <v/>
      </c>
      <c r="E642" s="26" t="str">
        <f>IF(INDEX(进销存对接!$M$4:$U$305,213,7)=0,"",INDEX(进销存对接!$M$4:$U$305,213,7))</f>
        <v/>
      </c>
      <c r="F642" s="25" t="str">
        <f>IF($E642="","",IFERROR(INDEX(科目表!$A$4:$A$81,MATCH($E642,科目表!$B$4:$B$81,0)),""))</f>
        <v/>
      </c>
      <c r="G642" s="26" t="str">
        <f>IF($E642="","",IFERROR(INDEX(科目表!$E$4:$E$81,MATCH($E642,科目表!$B$4:$B$81,0)),""))</f>
        <v/>
      </c>
      <c r="H642" s="27" t="str">
        <f>IF($E642="","",N(INDEX(进销存对接!$M$4:$U$305,213,8)))</f>
        <v/>
      </c>
      <c r="I642" s="27" t="str">
        <f>IF($E642="","",N(INDEX(进销存对接!$M$4:$U$305,213,9)))</f>
        <v/>
      </c>
      <c r="J642" s="26"/>
      <c r="K642" s="26" t="str">
        <f>IF($E642="","",INDEX(进销存对接!$D$4:$D$305,213))</f>
        <v/>
      </c>
      <c r="L642" s="32"/>
      <c r="M642" s="32"/>
      <c r="N642" s="26" t="str">
        <f t="shared" si="38"/>
        <v/>
      </c>
      <c r="O642" s="26" t="str">
        <f t="shared" si="39"/>
        <v/>
      </c>
      <c r="P642" s="10"/>
    </row>
    <row r="643" ht="18" customHeight="1" spans="1:16">
      <c r="A643" s="32" t="str">
        <f t="shared" si="36"/>
        <v/>
      </c>
      <c r="B643" s="100" t="str">
        <f>IF($E643="","",INDEX(进销存对接!$C$4:$C$305,214))</f>
        <v/>
      </c>
      <c r="C643" s="26" t="str">
        <f t="shared" si="37"/>
        <v/>
      </c>
      <c r="D643" s="32" t="str">
        <f>IF($E643="","",INDEX(进销存对接!$D$4:$D$305,214)&amp;" "&amp;TEXT($B643,"YYYY年M月")&amp;" 自动结转")</f>
        <v/>
      </c>
      <c r="E643" s="26" t="str">
        <f>IF(INDEX(进销存对接!$M$4:$U$305,214,1)=0,"",INDEX(进销存对接!$M$4:$U$305,214,1))</f>
        <v/>
      </c>
      <c r="F643" s="25" t="str">
        <f>IF($E643="","",IFERROR(INDEX(科目表!$A$4:$A$81,MATCH($E643,科目表!$B$4:$B$81,0)),""))</f>
        <v/>
      </c>
      <c r="G643" s="26" t="str">
        <f>IF($E643="","",IFERROR(INDEX(科目表!$E$4:$E$81,MATCH($E643,科目表!$B$4:$B$81,0)),""))</f>
        <v/>
      </c>
      <c r="H643" s="27" t="str">
        <f>IF($E643="","",N(INDEX(进销存对接!$M$4:$U$305,214,2)))</f>
        <v/>
      </c>
      <c r="I643" s="27" t="str">
        <f>IF($E643="","",N(INDEX(进销存对接!$M$4:$U$305,214,3)))</f>
        <v/>
      </c>
      <c r="J643" s="26"/>
      <c r="K643" s="26" t="str">
        <f>IF($E643="","",INDEX(进销存对接!$D$4:$D$305,214))</f>
        <v/>
      </c>
      <c r="L643" s="32"/>
      <c r="M643" s="32"/>
      <c r="N643" s="26" t="str">
        <f t="shared" si="38"/>
        <v/>
      </c>
      <c r="O643" s="26" t="str">
        <f t="shared" si="39"/>
        <v/>
      </c>
      <c r="P643" s="10"/>
    </row>
    <row r="644" ht="18" customHeight="1" spans="1:16">
      <c r="A644" s="32" t="str">
        <f t="shared" ref="A644:A707" si="40">IF($E644="","",ROW()-3)</f>
        <v/>
      </c>
      <c r="B644" s="100" t="str">
        <f>IF($E644="","",INDEX(进销存对接!$C$4:$C$305,214))</f>
        <v/>
      </c>
      <c r="C644" s="26" t="str">
        <f t="shared" ref="C644:C707" si="41">IF($E644="","","记-"&amp;TEXT($B644,"YYYYMM")&amp;"-进销存")</f>
        <v/>
      </c>
      <c r="D644" s="32" t="str">
        <f>IF($E644="","",INDEX(进销存对接!$D$4:$D$305,214)&amp;" "&amp;TEXT($B644,"YYYY年M月")&amp;" 自动结转")</f>
        <v/>
      </c>
      <c r="E644" s="26" t="str">
        <f>IF(INDEX(进销存对接!$M$4:$U$305,214,4)=0,"",INDEX(进销存对接!$M$4:$U$305,214,4))</f>
        <v/>
      </c>
      <c r="F644" s="25" t="str">
        <f>IF($E644="","",IFERROR(INDEX(科目表!$A$4:$A$81,MATCH($E644,科目表!$B$4:$B$81,0)),""))</f>
        <v/>
      </c>
      <c r="G644" s="26" t="str">
        <f>IF($E644="","",IFERROR(INDEX(科目表!$E$4:$E$81,MATCH($E644,科目表!$B$4:$B$81,0)),""))</f>
        <v/>
      </c>
      <c r="H644" s="27" t="str">
        <f>IF($E644="","",N(INDEX(进销存对接!$M$4:$U$305,214,5)))</f>
        <v/>
      </c>
      <c r="I644" s="27" t="str">
        <f>IF($E644="","",N(INDEX(进销存对接!$M$4:$U$305,214,6)))</f>
        <v/>
      </c>
      <c r="J644" s="26"/>
      <c r="K644" s="26" t="str">
        <f>IF($E644="","",INDEX(进销存对接!$D$4:$D$305,214))</f>
        <v/>
      </c>
      <c r="L644" s="32"/>
      <c r="M644" s="32"/>
      <c r="N644" s="26" t="str">
        <f t="shared" ref="N644:N707" si="42">IF($E644="","","系统")</f>
        <v/>
      </c>
      <c r="O644" s="26" t="str">
        <f t="shared" ref="O644:O707" si="43">IF($E644="","","自动A")</f>
        <v/>
      </c>
      <c r="P644" s="10"/>
    </row>
    <row r="645" ht="18" customHeight="1" spans="1:16">
      <c r="A645" s="32" t="str">
        <f t="shared" si="40"/>
        <v/>
      </c>
      <c r="B645" s="100" t="str">
        <f>IF($E645="","",INDEX(进销存对接!$C$4:$C$305,214))</f>
        <v/>
      </c>
      <c r="C645" s="26" t="str">
        <f t="shared" si="41"/>
        <v/>
      </c>
      <c r="D645" s="32" t="str">
        <f>IF($E645="","",INDEX(进销存对接!$D$4:$D$305,214)&amp;" "&amp;TEXT($B645,"YYYY年M月")&amp;" 自动结转")</f>
        <v/>
      </c>
      <c r="E645" s="26" t="str">
        <f>IF(INDEX(进销存对接!$M$4:$U$305,214,7)=0,"",INDEX(进销存对接!$M$4:$U$305,214,7))</f>
        <v/>
      </c>
      <c r="F645" s="25" t="str">
        <f>IF($E645="","",IFERROR(INDEX(科目表!$A$4:$A$81,MATCH($E645,科目表!$B$4:$B$81,0)),""))</f>
        <v/>
      </c>
      <c r="G645" s="26" t="str">
        <f>IF($E645="","",IFERROR(INDEX(科目表!$E$4:$E$81,MATCH($E645,科目表!$B$4:$B$81,0)),""))</f>
        <v/>
      </c>
      <c r="H645" s="27" t="str">
        <f>IF($E645="","",N(INDEX(进销存对接!$M$4:$U$305,214,8)))</f>
        <v/>
      </c>
      <c r="I645" s="27" t="str">
        <f>IF($E645="","",N(INDEX(进销存对接!$M$4:$U$305,214,9)))</f>
        <v/>
      </c>
      <c r="J645" s="26"/>
      <c r="K645" s="26" t="str">
        <f>IF($E645="","",INDEX(进销存对接!$D$4:$D$305,214))</f>
        <v/>
      </c>
      <c r="L645" s="32"/>
      <c r="M645" s="32"/>
      <c r="N645" s="26" t="str">
        <f t="shared" si="42"/>
        <v/>
      </c>
      <c r="O645" s="26" t="str">
        <f t="shared" si="43"/>
        <v/>
      </c>
      <c r="P645" s="10"/>
    </row>
    <row r="646" ht="18" customHeight="1" spans="1:16">
      <c r="A646" s="32" t="str">
        <f t="shared" si="40"/>
        <v/>
      </c>
      <c r="B646" s="100" t="str">
        <f>IF($E646="","",INDEX(进销存对接!$C$4:$C$305,215))</f>
        <v/>
      </c>
      <c r="C646" s="26" t="str">
        <f t="shared" si="41"/>
        <v/>
      </c>
      <c r="D646" s="32" t="str">
        <f>IF($E646="","",INDEX(进销存对接!$D$4:$D$305,215)&amp;" "&amp;TEXT($B646,"YYYY年M月")&amp;" 自动结转")</f>
        <v/>
      </c>
      <c r="E646" s="26" t="str">
        <f>IF(INDEX(进销存对接!$M$4:$U$305,215,1)=0,"",INDEX(进销存对接!$M$4:$U$305,215,1))</f>
        <v/>
      </c>
      <c r="F646" s="25" t="str">
        <f>IF($E646="","",IFERROR(INDEX(科目表!$A$4:$A$81,MATCH($E646,科目表!$B$4:$B$81,0)),""))</f>
        <v/>
      </c>
      <c r="G646" s="26" t="str">
        <f>IF($E646="","",IFERROR(INDEX(科目表!$E$4:$E$81,MATCH($E646,科目表!$B$4:$B$81,0)),""))</f>
        <v/>
      </c>
      <c r="H646" s="27" t="str">
        <f>IF($E646="","",N(INDEX(进销存对接!$M$4:$U$305,215,2)))</f>
        <v/>
      </c>
      <c r="I646" s="27" t="str">
        <f>IF($E646="","",N(INDEX(进销存对接!$M$4:$U$305,215,3)))</f>
        <v/>
      </c>
      <c r="J646" s="26"/>
      <c r="K646" s="26" t="str">
        <f>IF($E646="","",INDEX(进销存对接!$D$4:$D$305,215))</f>
        <v/>
      </c>
      <c r="L646" s="32"/>
      <c r="M646" s="32"/>
      <c r="N646" s="26" t="str">
        <f t="shared" si="42"/>
        <v/>
      </c>
      <c r="O646" s="26" t="str">
        <f t="shared" si="43"/>
        <v/>
      </c>
      <c r="P646" s="10"/>
    </row>
    <row r="647" ht="18" customHeight="1" spans="1:16">
      <c r="A647" s="32" t="str">
        <f t="shared" si="40"/>
        <v/>
      </c>
      <c r="B647" s="100" t="str">
        <f>IF($E647="","",INDEX(进销存对接!$C$4:$C$305,215))</f>
        <v/>
      </c>
      <c r="C647" s="26" t="str">
        <f t="shared" si="41"/>
        <v/>
      </c>
      <c r="D647" s="32" t="str">
        <f>IF($E647="","",INDEX(进销存对接!$D$4:$D$305,215)&amp;" "&amp;TEXT($B647,"YYYY年M月")&amp;" 自动结转")</f>
        <v/>
      </c>
      <c r="E647" s="26" t="str">
        <f>IF(INDEX(进销存对接!$M$4:$U$305,215,4)=0,"",INDEX(进销存对接!$M$4:$U$305,215,4))</f>
        <v/>
      </c>
      <c r="F647" s="25" t="str">
        <f>IF($E647="","",IFERROR(INDEX(科目表!$A$4:$A$81,MATCH($E647,科目表!$B$4:$B$81,0)),""))</f>
        <v/>
      </c>
      <c r="G647" s="26" t="str">
        <f>IF($E647="","",IFERROR(INDEX(科目表!$E$4:$E$81,MATCH($E647,科目表!$B$4:$B$81,0)),""))</f>
        <v/>
      </c>
      <c r="H647" s="27" t="str">
        <f>IF($E647="","",N(INDEX(进销存对接!$M$4:$U$305,215,5)))</f>
        <v/>
      </c>
      <c r="I647" s="27" t="str">
        <f>IF($E647="","",N(INDEX(进销存对接!$M$4:$U$305,215,6)))</f>
        <v/>
      </c>
      <c r="J647" s="26"/>
      <c r="K647" s="26" t="str">
        <f>IF($E647="","",INDEX(进销存对接!$D$4:$D$305,215))</f>
        <v/>
      </c>
      <c r="L647" s="32"/>
      <c r="M647" s="32"/>
      <c r="N647" s="26" t="str">
        <f t="shared" si="42"/>
        <v/>
      </c>
      <c r="O647" s="26" t="str">
        <f t="shared" si="43"/>
        <v/>
      </c>
      <c r="P647" s="10"/>
    </row>
    <row r="648" ht="18" customHeight="1" spans="1:16">
      <c r="A648" s="32" t="str">
        <f t="shared" si="40"/>
        <v/>
      </c>
      <c r="B648" s="100" t="str">
        <f>IF($E648="","",INDEX(进销存对接!$C$4:$C$305,215))</f>
        <v/>
      </c>
      <c r="C648" s="26" t="str">
        <f t="shared" si="41"/>
        <v/>
      </c>
      <c r="D648" s="32" t="str">
        <f>IF($E648="","",INDEX(进销存对接!$D$4:$D$305,215)&amp;" "&amp;TEXT($B648,"YYYY年M月")&amp;" 自动结转")</f>
        <v/>
      </c>
      <c r="E648" s="26" t="str">
        <f>IF(INDEX(进销存对接!$M$4:$U$305,215,7)=0,"",INDEX(进销存对接!$M$4:$U$305,215,7))</f>
        <v/>
      </c>
      <c r="F648" s="25" t="str">
        <f>IF($E648="","",IFERROR(INDEX(科目表!$A$4:$A$81,MATCH($E648,科目表!$B$4:$B$81,0)),""))</f>
        <v/>
      </c>
      <c r="G648" s="26" t="str">
        <f>IF($E648="","",IFERROR(INDEX(科目表!$E$4:$E$81,MATCH($E648,科目表!$B$4:$B$81,0)),""))</f>
        <v/>
      </c>
      <c r="H648" s="27" t="str">
        <f>IF($E648="","",N(INDEX(进销存对接!$M$4:$U$305,215,8)))</f>
        <v/>
      </c>
      <c r="I648" s="27" t="str">
        <f>IF($E648="","",N(INDEX(进销存对接!$M$4:$U$305,215,9)))</f>
        <v/>
      </c>
      <c r="J648" s="26"/>
      <c r="K648" s="26" t="str">
        <f>IF($E648="","",INDEX(进销存对接!$D$4:$D$305,215))</f>
        <v/>
      </c>
      <c r="L648" s="32"/>
      <c r="M648" s="32"/>
      <c r="N648" s="26" t="str">
        <f t="shared" si="42"/>
        <v/>
      </c>
      <c r="O648" s="26" t="str">
        <f t="shared" si="43"/>
        <v/>
      </c>
      <c r="P648" s="10"/>
    </row>
    <row r="649" ht="18" customHeight="1" spans="1:16">
      <c r="A649" s="32" t="str">
        <f t="shared" si="40"/>
        <v/>
      </c>
      <c r="B649" s="100" t="str">
        <f>IF($E649="","",INDEX(进销存对接!$C$4:$C$305,216))</f>
        <v/>
      </c>
      <c r="C649" s="26" t="str">
        <f t="shared" si="41"/>
        <v/>
      </c>
      <c r="D649" s="32" t="str">
        <f>IF($E649="","",INDEX(进销存对接!$D$4:$D$305,216)&amp;" "&amp;TEXT($B649,"YYYY年M月")&amp;" 自动结转")</f>
        <v/>
      </c>
      <c r="E649" s="26" t="str">
        <f>IF(INDEX(进销存对接!$M$4:$U$305,216,1)=0,"",INDEX(进销存对接!$M$4:$U$305,216,1))</f>
        <v/>
      </c>
      <c r="F649" s="25" t="str">
        <f>IF($E649="","",IFERROR(INDEX(科目表!$A$4:$A$81,MATCH($E649,科目表!$B$4:$B$81,0)),""))</f>
        <v/>
      </c>
      <c r="G649" s="26" t="str">
        <f>IF($E649="","",IFERROR(INDEX(科目表!$E$4:$E$81,MATCH($E649,科目表!$B$4:$B$81,0)),""))</f>
        <v/>
      </c>
      <c r="H649" s="27" t="str">
        <f>IF($E649="","",N(INDEX(进销存对接!$M$4:$U$305,216,2)))</f>
        <v/>
      </c>
      <c r="I649" s="27" t="str">
        <f>IF($E649="","",N(INDEX(进销存对接!$M$4:$U$305,216,3)))</f>
        <v/>
      </c>
      <c r="J649" s="26"/>
      <c r="K649" s="26" t="str">
        <f>IF($E649="","",INDEX(进销存对接!$D$4:$D$305,216))</f>
        <v/>
      </c>
      <c r="L649" s="32"/>
      <c r="M649" s="32"/>
      <c r="N649" s="26" t="str">
        <f t="shared" si="42"/>
        <v/>
      </c>
      <c r="O649" s="26" t="str">
        <f t="shared" si="43"/>
        <v/>
      </c>
      <c r="P649" s="10"/>
    </row>
    <row r="650" ht="18" customHeight="1" spans="1:16">
      <c r="A650" s="32" t="str">
        <f t="shared" si="40"/>
        <v/>
      </c>
      <c r="B650" s="100" t="str">
        <f>IF($E650="","",INDEX(进销存对接!$C$4:$C$305,216))</f>
        <v/>
      </c>
      <c r="C650" s="26" t="str">
        <f t="shared" si="41"/>
        <v/>
      </c>
      <c r="D650" s="32" t="str">
        <f>IF($E650="","",INDEX(进销存对接!$D$4:$D$305,216)&amp;" "&amp;TEXT($B650,"YYYY年M月")&amp;" 自动结转")</f>
        <v/>
      </c>
      <c r="E650" s="26" t="str">
        <f>IF(INDEX(进销存对接!$M$4:$U$305,216,4)=0,"",INDEX(进销存对接!$M$4:$U$305,216,4))</f>
        <v/>
      </c>
      <c r="F650" s="25" t="str">
        <f>IF($E650="","",IFERROR(INDEX(科目表!$A$4:$A$81,MATCH($E650,科目表!$B$4:$B$81,0)),""))</f>
        <v/>
      </c>
      <c r="G650" s="26" t="str">
        <f>IF($E650="","",IFERROR(INDEX(科目表!$E$4:$E$81,MATCH($E650,科目表!$B$4:$B$81,0)),""))</f>
        <v/>
      </c>
      <c r="H650" s="27" t="str">
        <f>IF($E650="","",N(INDEX(进销存对接!$M$4:$U$305,216,5)))</f>
        <v/>
      </c>
      <c r="I650" s="27" t="str">
        <f>IF($E650="","",N(INDEX(进销存对接!$M$4:$U$305,216,6)))</f>
        <v/>
      </c>
      <c r="J650" s="26"/>
      <c r="K650" s="26" t="str">
        <f>IF($E650="","",INDEX(进销存对接!$D$4:$D$305,216))</f>
        <v/>
      </c>
      <c r="L650" s="32"/>
      <c r="M650" s="32"/>
      <c r="N650" s="26" t="str">
        <f t="shared" si="42"/>
        <v/>
      </c>
      <c r="O650" s="26" t="str">
        <f t="shared" si="43"/>
        <v/>
      </c>
      <c r="P650" s="10"/>
    </row>
    <row r="651" ht="18" customHeight="1" spans="1:16">
      <c r="A651" s="32" t="str">
        <f t="shared" si="40"/>
        <v/>
      </c>
      <c r="B651" s="100" t="str">
        <f>IF($E651="","",INDEX(进销存对接!$C$4:$C$305,216))</f>
        <v/>
      </c>
      <c r="C651" s="26" t="str">
        <f t="shared" si="41"/>
        <v/>
      </c>
      <c r="D651" s="32" t="str">
        <f>IF($E651="","",INDEX(进销存对接!$D$4:$D$305,216)&amp;" "&amp;TEXT($B651,"YYYY年M月")&amp;" 自动结转")</f>
        <v/>
      </c>
      <c r="E651" s="26" t="str">
        <f>IF(INDEX(进销存对接!$M$4:$U$305,216,7)=0,"",INDEX(进销存对接!$M$4:$U$305,216,7))</f>
        <v/>
      </c>
      <c r="F651" s="25" t="str">
        <f>IF($E651="","",IFERROR(INDEX(科目表!$A$4:$A$81,MATCH($E651,科目表!$B$4:$B$81,0)),""))</f>
        <v/>
      </c>
      <c r="G651" s="26" t="str">
        <f>IF($E651="","",IFERROR(INDEX(科目表!$E$4:$E$81,MATCH($E651,科目表!$B$4:$B$81,0)),""))</f>
        <v/>
      </c>
      <c r="H651" s="27" t="str">
        <f>IF($E651="","",N(INDEX(进销存对接!$M$4:$U$305,216,8)))</f>
        <v/>
      </c>
      <c r="I651" s="27" t="str">
        <f>IF($E651="","",N(INDEX(进销存对接!$M$4:$U$305,216,9)))</f>
        <v/>
      </c>
      <c r="J651" s="26"/>
      <c r="K651" s="26" t="str">
        <f>IF($E651="","",INDEX(进销存对接!$D$4:$D$305,216))</f>
        <v/>
      </c>
      <c r="L651" s="32"/>
      <c r="M651" s="32"/>
      <c r="N651" s="26" t="str">
        <f t="shared" si="42"/>
        <v/>
      </c>
      <c r="O651" s="26" t="str">
        <f t="shared" si="43"/>
        <v/>
      </c>
      <c r="P651" s="10"/>
    </row>
    <row r="652" ht="18" customHeight="1" spans="1:16">
      <c r="A652" s="32" t="str">
        <f t="shared" si="40"/>
        <v/>
      </c>
      <c r="B652" s="100" t="str">
        <f>IF($E652="","",INDEX(进销存对接!$C$4:$C$305,217))</f>
        <v/>
      </c>
      <c r="C652" s="26" t="str">
        <f t="shared" si="41"/>
        <v/>
      </c>
      <c r="D652" s="32" t="str">
        <f>IF($E652="","",INDEX(进销存对接!$D$4:$D$305,217)&amp;" "&amp;TEXT($B652,"YYYY年M月")&amp;" 自动结转")</f>
        <v/>
      </c>
      <c r="E652" s="26" t="str">
        <f>IF(INDEX(进销存对接!$M$4:$U$305,217,1)=0,"",INDEX(进销存对接!$M$4:$U$305,217,1))</f>
        <v/>
      </c>
      <c r="F652" s="25" t="str">
        <f>IF($E652="","",IFERROR(INDEX(科目表!$A$4:$A$81,MATCH($E652,科目表!$B$4:$B$81,0)),""))</f>
        <v/>
      </c>
      <c r="G652" s="26" t="str">
        <f>IF($E652="","",IFERROR(INDEX(科目表!$E$4:$E$81,MATCH($E652,科目表!$B$4:$B$81,0)),""))</f>
        <v/>
      </c>
      <c r="H652" s="27" t="str">
        <f>IF($E652="","",N(INDEX(进销存对接!$M$4:$U$305,217,2)))</f>
        <v/>
      </c>
      <c r="I652" s="27" t="str">
        <f>IF($E652="","",N(INDEX(进销存对接!$M$4:$U$305,217,3)))</f>
        <v/>
      </c>
      <c r="J652" s="26"/>
      <c r="K652" s="26" t="str">
        <f>IF($E652="","",INDEX(进销存对接!$D$4:$D$305,217))</f>
        <v/>
      </c>
      <c r="L652" s="32"/>
      <c r="M652" s="32"/>
      <c r="N652" s="26" t="str">
        <f t="shared" si="42"/>
        <v/>
      </c>
      <c r="O652" s="26" t="str">
        <f t="shared" si="43"/>
        <v/>
      </c>
      <c r="P652" s="10"/>
    </row>
    <row r="653" ht="18" customHeight="1" spans="1:16">
      <c r="A653" s="32" t="str">
        <f t="shared" si="40"/>
        <v/>
      </c>
      <c r="B653" s="100" t="str">
        <f>IF($E653="","",INDEX(进销存对接!$C$4:$C$305,217))</f>
        <v/>
      </c>
      <c r="C653" s="26" t="str">
        <f t="shared" si="41"/>
        <v/>
      </c>
      <c r="D653" s="32" t="str">
        <f>IF($E653="","",INDEX(进销存对接!$D$4:$D$305,217)&amp;" "&amp;TEXT($B653,"YYYY年M月")&amp;" 自动结转")</f>
        <v/>
      </c>
      <c r="E653" s="26" t="str">
        <f>IF(INDEX(进销存对接!$M$4:$U$305,217,4)=0,"",INDEX(进销存对接!$M$4:$U$305,217,4))</f>
        <v/>
      </c>
      <c r="F653" s="25" t="str">
        <f>IF($E653="","",IFERROR(INDEX(科目表!$A$4:$A$81,MATCH($E653,科目表!$B$4:$B$81,0)),""))</f>
        <v/>
      </c>
      <c r="G653" s="26" t="str">
        <f>IF($E653="","",IFERROR(INDEX(科目表!$E$4:$E$81,MATCH($E653,科目表!$B$4:$B$81,0)),""))</f>
        <v/>
      </c>
      <c r="H653" s="27" t="str">
        <f>IF($E653="","",N(INDEX(进销存对接!$M$4:$U$305,217,5)))</f>
        <v/>
      </c>
      <c r="I653" s="27" t="str">
        <f>IF($E653="","",N(INDEX(进销存对接!$M$4:$U$305,217,6)))</f>
        <v/>
      </c>
      <c r="J653" s="26"/>
      <c r="K653" s="26" t="str">
        <f>IF($E653="","",INDEX(进销存对接!$D$4:$D$305,217))</f>
        <v/>
      </c>
      <c r="L653" s="32"/>
      <c r="M653" s="32"/>
      <c r="N653" s="26" t="str">
        <f t="shared" si="42"/>
        <v/>
      </c>
      <c r="O653" s="26" t="str">
        <f t="shared" si="43"/>
        <v/>
      </c>
      <c r="P653" s="10"/>
    </row>
    <row r="654" ht="18" customHeight="1" spans="1:16">
      <c r="A654" s="32" t="str">
        <f t="shared" si="40"/>
        <v/>
      </c>
      <c r="B654" s="100" t="str">
        <f>IF($E654="","",INDEX(进销存对接!$C$4:$C$305,217))</f>
        <v/>
      </c>
      <c r="C654" s="26" t="str">
        <f t="shared" si="41"/>
        <v/>
      </c>
      <c r="D654" s="32" t="str">
        <f>IF($E654="","",INDEX(进销存对接!$D$4:$D$305,217)&amp;" "&amp;TEXT($B654,"YYYY年M月")&amp;" 自动结转")</f>
        <v/>
      </c>
      <c r="E654" s="26" t="str">
        <f>IF(INDEX(进销存对接!$M$4:$U$305,217,7)=0,"",INDEX(进销存对接!$M$4:$U$305,217,7))</f>
        <v/>
      </c>
      <c r="F654" s="25" t="str">
        <f>IF($E654="","",IFERROR(INDEX(科目表!$A$4:$A$81,MATCH($E654,科目表!$B$4:$B$81,0)),""))</f>
        <v/>
      </c>
      <c r="G654" s="26" t="str">
        <f>IF($E654="","",IFERROR(INDEX(科目表!$E$4:$E$81,MATCH($E654,科目表!$B$4:$B$81,0)),""))</f>
        <v/>
      </c>
      <c r="H654" s="27" t="str">
        <f>IF($E654="","",N(INDEX(进销存对接!$M$4:$U$305,217,8)))</f>
        <v/>
      </c>
      <c r="I654" s="27" t="str">
        <f>IF($E654="","",N(INDEX(进销存对接!$M$4:$U$305,217,9)))</f>
        <v/>
      </c>
      <c r="J654" s="26"/>
      <c r="K654" s="26" t="str">
        <f>IF($E654="","",INDEX(进销存对接!$D$4:$D$305,217))</f>
        <v/>
      </c>
      <c r="L654" s="32"/>
      <c r="M654" s="32"/>
      <c r="N654" s="26" t="str">
        <f t="shared" si="42"/>
        <v/>
      </c>
      <c r="O654" s="26" t="str">
        <f t="shared" si="43"/>
        <v/>
      </c>
      <c r="P654" s="10"/>
    </row>
    <row r="655" ht="18" customHeight="1" spans="1:16">
      <c r="A655" s="32" t="str">
        <f t="shared" si="40"/>
        <v/>
      </c>
      <c r="B655" s="100" t="str">
        <f>IF($E655="","",INDEX(进销存对接!$C$4:$C$305,218))</f>
        <v/>
      </c>
      <c r="C655" s="26" t="str">
        <f t="shared" si="41"/>
        <v/>
      </c>
      <c r="D655" s="32" t="str">
        <f>IF($E655="","",INDEX(进销存对接!$D$4:$D$305,218)&amp;" "&amp;TEXT($B655,"YYYY年M月")&amp;" 自动结转")</f>
        <v/>
      </c>
      <c r="E655" s="26" t="str">
        <f>IF(INDEX(进销存对接!$M$4:$U$305,218,1)=0,"",INDEX(进销存对接!$M$4:$U$305,218,1))</f>
        <v/>
      </c>
      <c r="F655" s="25" t="str">
        <f>IF($E655="","",IFERROR(INDEX(科目表!$A$4:$A$81,MATCH($E655,科目表!$B$4:$B$81,0)),""))</f>
        <v/>
      </c>
      <c r="G655" s="26" t="str">
        <f>IF($E655="","",IFERROR(INDEX(科目表!$E$4:$E$81,MATCH($E655,科目表!$B$4:$B$81,0)),""))</f>
        <v/>
      </c>
      <c r="H655" s="27" t="str">
        <f>IF($E655="","",N(INDEX(进销存对接!$M$4:$U$305,218,2)))</f>
        <v/>
      </c>
      <c r="I655" s="27" t="str">
        <f>IF($E655="","",N(INDEX(进销存对接!$M$4:$U$305,218,3)))</f>
        <v/>
      </c>
      <c r="J655" s="26"/>
      <c r="K655" s="26" t="str">
        <f>IF($E655="","",INDEX(进销存对接!$D$4:$D$305,218))</f>
        <v/>
      </c>
      <c r="L655" s="32"/>
      <c r="M655" s="32"/>
      <c r="N655" s="26" t="str">
        <f t="shared" si="42"/>
        <v/>
      </c>
      <c r="O655" s="26" t="str">
        <f t="shared" si="43"/>
        <v/>
      </c>
      <c r="P655" s="10"/>
    </row>
    <row r="656" ht="18" customHeight="1" spans="1:16">
      <c r="A656" s="32" t="str">
        <f t="shared" si="40"/>
        <v/>
      </c>
      <c r="B656" s="100" t="str">
        <f>IF($E656="","",INDEX(进销存对接!$C$4:$C$305,218))</f>
        <v/>
      </c>
      <c r="C656" s="26" t="str">
        <f t="shared" si="41"/>
        <v/>
      </c>
      <c r="D656" s="32" t="str">
        <f>IF($E656="","",INDEX(进销存对接!$D$4:$D$305,218)&amp;" "&amp;TEXT($B656,"YYYY年M月")&amp;" 自动结转")</f>
        <v/>
      </c>
      <c r="E656" s="26" t="str">
        <f>IF(INDEX(进销存对接!$M$4:$U$305,218,4)=0,"",INDEX(进销存对接!$M$4:$U$305,218,4))</f>
        <v/>
      </c>
      <c r="F656" s="25" t="str">
        <f>IF($E656="","",IFERROR(INDEX(科目表!$A$4:$A$81,MATCH($E656,科目表!$B$4:$B$81,0)),""))</f>
        <v/>
      </c>
      <c r="G656" s="26" t="str">
        <f>IF($E656="","",IFERROR(INDEX(科目表!$E$4:$E$81,MATCH($E656,科目表!$B$4:$B$81,0)),""))</f>
        <v/>
      </c>
      <c r="H656" s="27" t="str">
        <f>IF($E656="","",N(INDEX(进销存对接!$M$4:$U$305,218,5)))</f>
        <v/>
      </c>
      <c r="I656" s="27" t="str">
        <f>IF($E656="","",N(INDEX(进销存对接!$M$4:$U$305,218,6)))</f>
        <v/>
      </c>
      <c r="J656" s="26"/>
      <c r="K656" s="26" t="str">
        <f>IF($E656="","",INDEX(进销存对接!$D$4:$D$305,218))</f>
        <v/>
      </c>
      <c r="L656" s="32"/>
      <c r="M656" s="32"/>
      <c r="N656" s="26" t="str">
        <f t="shared" si="42"/>
        <v/>
      </c>
      <c r="O656" s="26" t="str">
        <f t="shared" si="43"/>
        <v/>
      </c>
      <c r="P656" s="10"/>
    </row>
    <row r="657" ht="18" customHeight="1" spans="1:16">
      <c r="A657" s="32" t="str">
        <f t="shared" si="40"/>
        <v/>
      </c>
      <c r="B657" s="100" t="str">
        <f>IF($E657="","",INDEX(进销存对接!$C$4:$C$305,218))</f>
        <v/>
      </c>
      <c r="C657" s="26" t="str">
        <f t="shared" si="41"/>
        <v/>
      </c>
      <c r="D657" s="32" t="str">
        <f>IF($E657="","",INDEX(进销存对接!$D$4:$D$305,218)&amp;" "&amp;TEXT($B657,"YYYY年M月")&amp;" 自动结转")</f>
        <v/>
      </c>
      <c r="E657" s="26" t="str">
        <f>IF(INDEX(进销存对接!$M$4:$U$305,218,7)=0,"",INDEX(进销存对接!$M$4:$U$305,218,7))</f>
        <v/>
      </c>
      <c r="F657" s="25" t="str">
        <f>IF($E657="","",IFERROR(INDEX(科目表!$A$4:$A$81,MATCH($E657,科目表!$B$4:$B$81,0)),""))</f>
        <v/>
      </c>
      <c r="G657" s="26" t="str">
        <f>IF($E657="","",IFERROR(INDEX(科目表!$E$4:$E$81,MATCH($E657,科目表!$B$4:$B$81,0)),""))</f>
        <v/>
      </c>
      <c r="H657" s="27" t="str">
        <f>IF($E657="","",N(INDEX(进销存对接!$M$4:$U$305,218,8)))</f>
        <v/>
      </c>
      <c r="I657" s="27" t="str">
        <f>IF($E657="","",N(INDEX(进销存对接!$M$4:$U$305,218,9)))</f>
        <v/>
      </c>
      <c r="J657" s="26"/>
      <c r="K657" s="26" t="str">
        <f>IF($E657="","",INDEX(进销存对接!$D$4:$D$305,218))</f>
        <v/>
      </c>
      <c r="L657" s="32"/>
      <c r="M657" s="32"/>
      <c r="N657" s="26" t="str">
        <f t="shared" si="42"/>
        <v/>
      </c>
      <c r="O657" s="26" t="str">
        <f t="shared" si="43"/>
        <v/>
      </c>
      <c r="P657" s="10"/>
    </row>
    <row r="658" ht="18" customHeight="1" spans="1:16">
      <c r="A658" s="32" t="str">
        <f t="shared" si="40"/>
        <v/>
      </c>
      <c r="B658" s="100" t="str">
        <f>IF($E658="","",INDEX(进销存对接!$C$4:$C$305,219))</f>
        <v/>
      </c>
      <c r="C658" s="26" t="str">
        <f t="shared" si="41"/>
        <v/>
      </c>
      <c r="D658" s="32" t="str">
        <f>IF($E658="","",INDEX(进销存对接!$D$4:$D$305,219)&amp;" "&amp;TEXT($B658,"YYYY年M月")&amp;" 自动结转")</f>
        <v/>
      </c>
      <c r="E658" s="26" t="str">
        <f>IF(INDEX(进销存对接!$M$4:$U$305,219,1)=0,"",INDEX(进销存对接!$M$4:$U$305,219,1))</f>
        <v/>
      </c>
      <c r="F658" s="25" t="str">
        <f>IF($E658="","",IFERROR(INDEX(科目表!$A$4:$A$81,MATCH($E658,科目表!$B$4:$B$81,0)),""))</f>
        <v/>
      </c>
      <c r="G658" s="26" t="str">
        <f>IF($E658="","",IFERROR(INDEX(科目表!$E$4:$E$81,MATCH($E658,科目表!$B$4:$B$81,0)),""))</f>
        <v/>
      </c>
      <c r="H658" s="27" t="str">
        <f>IF($E658="","",N(INDEX(进销存对接!$M$4:$U$305,219,2)))</f>
        <v/>
      </c>
      <c r="I658" s="27" t="str">
        <f>IF($E658="","",N(INDEX(进销存对接!$M$4:$U$305,219,3)))</f>
        <v/>
      </c>
      <c r="J658" s="26"/>
      <c r="K658" s="26" t="str">
        <f>IF($E658="","",INDEX(进销存对接!$D$4:$D$305,219))</f>
        <v/>
      </c>
      <c r="L658" s="32"/>
      <c r="M658" s="32"/>
      <c r="N658" s="26" t="str">
        <f t="shared" si="42"/>
        <v/>
      </c>
      <c r="O658" s="26" t="str">
        <f t="shared" si="43"/>
        <v/>
      </c>
      <c r="P658" s="10"/>
    </row>
    <row r="659" ht="18" customHeight="1" spans="1:16">
      <c r="A659" s="32" t="str">
        <f t="shared" si="40"/>
        <v/>
      </c>
      <c r="B659" s="100" t="str">
        <f>IF($E659="","",INDEX(进销存对接!$C$4:$C$305,219))</f>
        <v/>
      </c>
      <c r="C659" s="26" t="str">
        <f t="shared" si="41"/>
        <v/>
      </c>
      <c r="D659" s="32" t="str">
        <f>IF($E659="","",INDEX(进销存对接!$D$4:$D$305,219)&amp;" "&amp;TEXT($B659,"YYYY年M月")&amp;" 自动结转")</f>
        <v/>
      </c>
      <c r="E659" s="26" t="str">
        <f>IF(INDEX(进销存对接!$M$4:$U$305,219,4)=0,"",INDEX(进销存对接!$M$4:$U$305,219,4))</f>
        <v/>
      </c>
      <c r="F659" s="25" t="str">
        <f>IF($E659="","",IFERROR(INDEX(科目表!$A$4:$A$81,MATCH($E659,科目表!$B$4:$B$81,0)),""))</f>
        <v/>
      </c>
      <c r="G659" s="26" t="str">
        <f>IF($E659="","",IFERROR(INDEX(科目表!$E$4:$E$81,MATCH($E659,科目表!$B$4:$B$81,0)),""))</f>
        <v/>
      </c>
      <c r="H659" s="27" t="str">
        <f>IF($E659="","",N(INDEX(进销存对接!$M$4:$U$305,219,5)))</f>
        <v/>
      </c>
      <c r="I659" s="27" t="str">
        <f>IF($E659="","",N(INDEX(进销存对接!$M$4:$U$305,219,6)))</f>
        <v/>
      </c>
      <c r="J659" s="26"/>
      <c r="K659" s="26" t="str">
        <f>IF($E659="","",INDEX(进销存对接!$D$4:$D$305,219))</f>
        <v/>
      </c>
      <c r="L659" s="32"/>
      <c r="M659" s="32"/>
      <c r="N659" s="26" t="str">
        <f t="shared" si="42"/>
        <v/>
      </c>
      <c r="O659" s="26" t="str">
        <f t="shared" si="43"/>
        <v/>
      </c>
      <c r="P659" s="10"/>
    </row>
    <row r="660" ht="18" customHeight="1" spans="1:16">
      <c r="A660" s="32" t="str">
        <f t="shared" si="40"/>
        <v/>
      </c>
      <c r="B660" s="100" t="str">
        <f>IF($E660="","",INDEX(进销存对接!$C$4:$C$305,219))</f>
        <v/>
      </c>
      <c r="C660" s="26" t="str">
        <f t="shared" si="41"/>
        <v/>
      </c>
      <c r="D660" s="32" t="str">
        <f>IF($E660="","",INDEX(进销存对接!$D$4:$D$305,219)&amp;" "&amp;TEXT($B660,"YYYY年M月")&amp;" 自动结转")</f>
        <v/>
      </c>
      <c r="E660" s="26" t="str">
        <f>IF(INDEX(进销存对接!$M$4:$U$305,219,7)=0,"",INDEX(进销存对接!$M$4:$U$305,219,7))</f>
        <v/>
      </c>
      <c r="F660" s="25" t="str">
        <f>IF($E660="","",IFERROR(INDEX(科目表!$A$4:$A$81,MATCH($E660,科目表!$B$4:$B$81,0)),""))</f>
        <v/>
      </c>
      <c r="G660" s="26" t="str">
        <f>IF($E660="","",IFERROR(INDEX(科目表!$E$4:$E$81,MATCH($E660,科目表!$B$4:$B$81,0)),""))</f>
        <v/>
      </c>
      <c r="H660" s="27" t="str">
        <f>IF($E660="","",N(INDEX(进销存对接!$M$4:$U$305,219,8)))</f>
        <v/>
      </c>
      <c r="I660" s="27" t="str">
        <f>IF($E660="","",N(INDEX(进销存对接!$M$4:$U$305,219,9)))</f>
        <v/>
      </c>
      <c r="J660" s="26"/>
      <c r="K660" s="26" t="str">
        <f>IF($E660="","",INDEX(进销存对接!$D$4:$D$305,219))</f>
        <v/>
      </c>
      <c r="L660" s="32"/>
      <c r="M660" s="32"/>
      <c r="N660" s="26" t="str">
        <f t="shared" si="42"/>
        <v/>
      </c>
      <c r="O660" s="26" t="str">
        <f t="shared" si="43"/>
        <v/>
      </c>
      <c r="P660" s="10"/>
    </row>
    <row r="661" ht="18" customHeight="1" spans="1:16">
      <c r="A661" s="32" t="str">
        <f t="shared" si="40"/>
        <v/>
      </c>
      <c r="B661" s="100" t="str">
        <f>IF($E661="","",INDEX(进销存对接!$C$4:$C$305,220))</f>
        <v/>
      </c>
      <c r="C661" s="26" t="str">
        <f t="shared" si="41"/>
        <v/>
      </c>
      <c r="D661" s="32" t="str">
        <f>IF($E661="","",INDEX(进销存对接!$D$4:$D$305,220)&amp;" "&amp;TEXT($B661,"YYYY年M月")&amp;" 自动结转")</f>
        <v/>
      </c>
      <c r="E661" s="26" t="str">
        <f>IF(INDEX(进销存对接!$M$4:$U$305,220,1)=0,"",INDEX(进销存对接!$M$4:$U$305,220,1))</f>
        <v/>
      </c>
      <c r="F661" s="25" t="str">
        <f>IF($E661="","",IFERROR(INDEX(科目表!$A$4:$A$81,MATCH($E661,科目表!$B$4:$B$81,0)),""))</f>
        <v/>
      </c>
      <c r="G661" s="26" t="str">
        <f>IF($E661="","",IFERROR(INDEX(科目表!$E$4:$E$81,MATCH($E661,科目表!$B$4:$B$81,0)),""))</f>
        <v/>
      </c>
      <c r="H661" s="27" t="str">
        <f>IF($E661="","",N(INDEX(进销存对接!$M$4:$U$305,220,2)))</f>
        <v/>
      </c>
      <c r="I661" s="27" t="str">
        <f>IF($E661="","",N(INDEX(进销存对接!$M$4:$U$305,220,3)))</f>
        <v/>
      </c>
      <c r="J661" s="26"/>
      <c r="K661" s="26" t="str">
        <f>IF($E661="","",INDEX(进销存对接!$D$4:$D$305,220))</f>
        <v/>
      </c>
      <c r="L661" s="32"/>
      <c r="M661" s="32"/>
      <c r="N661" s="26" t="str">
        <f t="shared" si="42"/>
        <v/>
      </c>
      <c r="O661" s="26" t="str">
        <f t="shared" si="43"/>
        <v/>
      </c>
      <c r="P661" s="10"/>
    </row>
    <row r="662" ht="18" customHeight="1" spans="1:16">
      <c r="A662" s="32" t="str">
        <f t="shared" si="40"/>
        <v/>
      </c>
      <c r="B662" s="100" t="str">
        <f>IF($E662="","",INDEX(进销存对接!$C$4:$C$305,220))</f>
        <v/>
      </c>
      <c r="C662" s="26" t="str">
        <f t="shared" si="41"/>
        <v/>
      </c>
      <c r="D662" s="32" t="str">
        <f>IF($E662="","",INDEX(进销存对接!$D$4:$D$305,220)&amp;" "&amp;TEXT($B662,"YYYY年M月")&amp;" 自动结转")</f>
        <v/>
      </c>
      <c r="E662" s="26" t="str">
        <f>IF(INDEX(进销存对接!$M$4:$U$305,220,4)=0,"",INDEX(进销存对接!$M$4:$U$305,220,4))</f>
        <v/>
      </c>
      <c r="F662" s="25" t="str">
        <f>IF($E662="","",IFERROR(INDEX(科目表!$A$4:$A$81,MATCH($E662,科目表!$B$4:$B$81,0)),""))</f>
        <v/>
      </c>
      <c r="G662" s="26" t="str">
        <f>IF($E662="","",IFERROR(INDEX(科目表!$E$4:$E$81,MATCH($E662,科目表!$B$4:$B$81,0)),""))</f>
        <v/>
      </c>
      <c r="H662" s="27" t="str">
        <f>IF($E662="","",N(INDEX(进销存对接!$M$4:$U$305,220,5)))</f>
        <v/>
      </c>
      <c r="I662" s="27" t="str">
        <f>IF($E662="","",N(INDEX(进销存对接!$M$4:$U$305,220,6)))</f>
        <v/>
      </c>
      <c r="J662" s="26"/>
      <c r="K662" s="26" t="str">
        <f>IF($E662="","",INDEX(进销存对接!$D$4:$D$305,220))</f>
        <v/>
      </c>
      <c r="L662" s="32"/>
      <c r="M662" s="32"/>
      <c r="N662" s="26" t="str">
        <f t="shared" si="42"/>
        <v/>
      </c>
      <c r="O662" s="26" t="str">
        <f t="shared" si="43"/>
        <v/>
      </c>
      <c r="P662" s="10"/>
    </row>
    <row r="663" ht="18" customHeight="1" spans="1:16">
      <c r="A663" s="32" t="str">
        <f t="shared" si="40"/>
        <v/>
      </c>
      <c r="B663" s="100" t="str">
        <f>IF($E663="","",INDEX(进销存对接!$C$4:$C$305,220))</f>
        <v/>
      </c>
      <c r="C663" s="26" t="str">
        <f t="shared" si="41"/>
        <v/>
      </c>
      <c r="D663" s="32" t="str">
        <f>IF($E663="","",INDEX(进销存对接!$D$4:$D$305,220)&amp;" "&amp;TEXT($B663,"YYYY年M月")&amp;" 自动结转")</f>
        <v/>
      </c>
      <c r="E663" s="26" t="str">
        <f>IF(INDEX(进销存对接!$M$4:$U$305,220,7)=0,"",INDEX(进销存对接!$M$4:$U$305,220,7))</f>
        <v/>
      </c>
      <c r="F663" s="25" t="str">
        <f>IF($E663="","",IFERROR(INDEX(科目表!$A$4:$A$81,MATCH($E663,科目表!$B$4:$B$81,0)),""))</f>
        <v/>
      </c>
      <c r="G663" s="26" t="str">
        <f>IF($E663="","",IFERROR(INDEX(科目表!$E$4:$E$81,MATCH($E663,科目表!$B$4:$B$81,0)),""))</f>
        <v/>
      </c>
      <c r="H663" s="27" t="str">
        <f>IF($E663="","",N(INDEX(进销存对接!$M$4:$U$305,220,8)))</f>
        <v/>
      </c>
      <c r="I663" s="27" t="str">
        <f>IF($E663="","",N(INDEX(进销存对接!$M$4:$U$305,220,9)))</f>
        <v/>
      </c>
      <c r="J663" s="26"/>
      <c r="K663" s="26" t="str">
        <f>IF($E663="","",INDEX(进销存对接!$D$4:$D$305,220))</f>
        <v/>
      </c>
      <c r="L663" s="32"/>
      <c r="M663" s="32"/>
      <c r="N663" s="26" t="str">
        <f t="shared" si="42"/>
        <v/>
      </c>
      <c r="O663" s="26" t="str">
        <f t="shared" si="43"/>
        <v/>
      </c>
      <c r="P663" s="10"/>
    </row>
    <row r="664" ht="18" customHeight="1" spans="1:16">
      <c r="A664" s="32" t="str">
        <f t="shared" si="40"/>
        <v/>
      </c>
      <c r="B664" s="100" t="str">
        <f>IF($E664="","",INDEX(进销存对接!$C$4:$C$305,221))</f>
        <v/>
      </c>
      <c r="C664" s="26" t="str">
        <f t="shared" si="41"/>
        <v/>
      </c>
      <c r="D664" s="32" t="str">
        <f>IF($E664="","",INDEX(进销存对接!$D$4:$D$305,221)&amp;" "&amp;TEXT($B664,"YYYY年M月")&amp;" 自动结转")</f>
        <v/>
      </c>
      <c r="E664" s="26" t="str">
        <f>IF(INDEX(进销存对接!$M$4:$U$305,221,1)=0,"",INDEX(进销存对接!$M$4:$U$305,221,1))</f>
        <v/>
      </c>
      <c r="F664" s="25" t="str">
        <f>IF($E664="","",IFERROR(INDEX(科目表!$A$4:$A$81,MATCH($E664,科目表!$B$4:$B$81,0)),""))</f>
        <v/>
      </c>
      <c r="G664" s="26" t="str">
        <f>IF($E664="","",IFERROR(INDEX(科目表!$E$4:$E$81,MATCH($E664,科目表!$B$4:$B$81,0)),""))</f>
        <v/>
      </c>
      <c r="H664" s="27" t="str">
        <f>IF($E664="","",N(INDEX(进销存对接!$M$4:$U$305,221,2)))</f>
        <v/>
      </c>
      <c r="I664" s="27" t="str">
        <f>IF($E664="","",N(INDEX(进销存对接!$M$4:$U$305,221,3)))</f>
        <v/>
      </c>
      <c r="J664" s="26"/>
      <c r="K664" s="26" t="str">
        <f>IF($E664="","",INDEX(进销存对接!$D$4:$D$305,221))</f>
        <v/>
      </c>
      <c r="L664" s="32"/>
      <c r="M664" s="32"/>
      <c r="N664" s="26" t="str">
        <f t="shared" si="42"/>
        <v/>
      </c>
      <c r="O664" s="26" t="str">
        <f t="shared" si="43"/>
        <v/>
      </c>
      <c r="P664" s="10"/>
    </row>
    <row r="665" ht="18" customHeight="1" spans="1:16">
      <c r="A665" s="32" t="str">
        <f t="shared" si="40"/>
        <v/>
      </c>
      <c r="B665" s="100" t="str">
        <f>IF($E665="","",INDEX(进销存对接!$C$4:$C$305,221))</f>
        <v/>
      </c>
      <c r="C665" s="26" t="str">
        <f t="shared" si="41"/>
        <v/>
      </c>
      <c r="D665" s="32" t="str">
        <f>IF($E665="","",INDEX(进销存对接!$D$4:$D$305,221)&amp;" "&amp;TEXT($B665,"YYYY年M月")&amp;" 自动结转")</f>
        <v/>
      </c>
      <c r="E665" s="26" t="str">
        <f>IF(INDEX(进销存对接!$M$4:$U$305,221,4)=0,"",INDEX(进销存对接!$M$4:$U$305,221,4))</f>
        <v/>
      </c>
      <c r="F665" s="25" t="str">
        <f>IF($E665="","",IFERROR(INDEX(科目表!$A$4:$A$81,MATCH($E665,科目表!$B$4:$B$81,0)),""))</f>
        <v/>
      </c>
      <c r="G665" s="26" t="str">
        <f>IF($E665="","",IFERROR(INDEX(科目表!$E$4:$E$81,MATCH($E665,科目表!$B$4:$B$81,0)),""))</f>
        <v/>
      </c>
      <c r="H665" s="27" t="str">
        <f>IF($E665="","",N(INDEX(进销存对接!$M$4:$U$305,221,5)))</f>
        <v/>
      </c>
      <c r="I665" s="27" t="str">
        <f>IF($E665="","",N(INDEX(进销存对接!$M$4:$U$305,221,6)))</f>
        <v/>
      </c>
      <c r="J665" s="26"/>
      <c r="K665" s="26" t="str">
        <f>IF($E665="","",INDEX(进销存对接!$D$4:$D$305,221))</f>
        <v/>
      </c>
      <c r="L665" s="32"/>
      <c r="M665" s="32"/>
      <c r="N665" s="26" t="str">
        <f t="shared" si="42"/>
        <v/>
      </c>
      <c r="O665" s="26" t="str">
        <f t="shared" si="43"/>
        <v/>
      </c>
      <c r="P665" s="10"/>
    </row>
    <row r="666" ht="18" customHeight="1" spans="1:16">
      <c r="A666" s="32" t="str">
        <f t="shared" si="40"/>
        <v/>
      </c>
      <c r="B666" s="100" t="str">
        <f>IF($E666="","",INDEX(进销存对接!$C$4:$C$305,221))</f>
        <v/>
      </c>
      <c r="C666" s="26" t="str">
        <f t="shared" si="41"/>
        <v/>
      </c>
      <c r="D666" s="32" t="str">
        <f>IF($E666="","",INDEX(进销存对接!$D$4:$D$305,221)&amp;" "&amp;TEXT($B666,"YYYY年M月")&amp;" 自动结转")</f>
        <v/>
      </c>
      <c r="E666" s="26" t="str">
        <f>IF(INDEX(进销存对接!$M$4:$U$305,221,7)=0,"",INDEX(进销存对接!$M$4:$U$305,221,7))</f>
        <v/>
      </c>
      <c r="F666" s="25" t="str">
        <f>IF($E666="","",IFERROR(INDEX(科目表!$A$4:$A$81,MATCH($E666,科目表!$B$4:$B$81,0)),""))</f>
        <v/>
      </c>
      <c r="G666" s="26" t="str">
        <f>IF($E666="","",IFERROR(INDEX(科目表!$E$4:$E$81,MATCH($E666,科目表!$B$4:$B$81,0)),""))</f>
        <v/>
      </c>
      <c r="H666" s="27" t="str">
        <f>IF($E666="","",N(INDEX(进销存对接!$M$4:$U$305,221,8)))</f>
        <v/>
      </c>
      <c r="I666" s="27" t="str">
        <f>IF($E666="","",N(INDEX(进销存对接!$M$4:$U$305,221,9)))</f>
        <v/>
      </c>
      <c r="J666" s="26"/>
      <c r="K666" s="26" t="str">
        <f>IF($E666="","",INDEX(进销存对接!$D$4:$D$305,221))</f>
        <v/>
      </c>
      <c r="L666" s="32"/>
      <c r="M666" s="32"/>
      <c r="N666" s="26" t="str">
        <f t="shared" si="42"/>
        <v/>
      </c>
      <c r="O666" s="26" t="str">
        <f t="shared" si="43"/>
        <v/>
      </c>
      <c r="P666" s="10"/>
    </row>
    <row r="667" ht="18" customHeight="1" spans="1:16">
      <c r="A667" s="32" t="str">
        <f t="shared" si="40"/>
        <v/>
      </c>
      <c r="B667" s="100" t="str">
        <f>IF($E667="","",INDEX(进销存对接!$C$4:$C$305,222))</f>
        <v/>
      </c>
      <c r="C667" s="26" t="str">
        <f t="shared" si="41"/>
        <v/>
      </c>
      <c r="D667" s="32" t="str">
        <f>IF($E667="","",INDEX(进销存对接!$D$4:$D$305,222)&amp;" "&amp;TEXT($B667,"YYYY年M月")&amp;" 自动结转")</f>
        <v/>
      </c>
      <c r="E667" s="26" t="str">
        <f>IF(INDEX(进销存对接!$M$4:$U$305,222,1)=0,"",INDEX(进销存对接!$M$4:$U$305,222,1))</f>
        <v/>
      </c>
      <c r="F667" s="25" t="str">
        <f>IF($E667="","",IFERROR(INDEX(科目表!$A$4:$A$81,MATCH($E667,科目表!$B$4:$B$81,0)),""))</f>
        <v/>
      </c>
      <c r="G667" s="26" t="str">
        <f>IF($E667="","",IFERROR(INDEX(科目表!$E$4:$E$81,MATCH($E667,科目表!$B$4:$B$81,0)),""))</f>
        <v/>
      </c>
      <c r="H667" s="27" t="str">
        <f>IF($E667="","",N(INDEX(进销存对接!$M$4:$U$305,222,2)))</f>
        <v/>
      </c>
      <c r="I667" s="27" t="str">
        <f>IF($E667="","",N(INDEX(进销存对接!$M$4:$U$305,222,3)))</f>
        <v/>
      </c>
      <c r="J667" s="26"/>
      <c r="K667" s="26" t="str">
        <f>IF($E667="","",INDEX(进销存对接!$D$4:$D$305,222))</f>
        <v/>
      </c>
      <c r="L667" s="32"/>
      <c r="M667" s="32"/>
      <c r="N667" s="26" t="str">
        <f t="shared" si="42"/>
        <v/>
      </c>
      <c r="O667" s="26" t="str">
        <f t="shared" si="43"/>
        <v/>
      </c>
      <c r="P667" s="10"/>
    </row>
    <row r="668" ht="18" customHeight="1" spans="1:16">
      <c r="A668" s="32" t="str">
        <f t="shared" si="40"/>
        <v/>
      </c>
      <c r="B668" s="100" t="str">
        <f>IF($E668="","",INDEX(进销存对接!$C$4:$C$305,222))</f>
        <v/>
      </c>
      <c r="C668" s="26" t="str">
        <f t="shared" si="41"/>
        <v/>
      </c>
      <c r="D668" s="32" t="str">
        <f>IF($E668="","",INDEX(进销存对接!$D$4:$D$305,222)&amp;" "&amp;TEXT($B668,"YYYY年M月")&amp;" 自动结转")</f>
        <v/>
      </c>
      <c r="E668" s="26" t="str">
        <f>IF(INDEX(进销存对接!$M$4:$U$305,222,4)=0,"",INDEX(进销存对接!$M$4:$U$305,222,4))</f>
        <v/>
      </c>
      <c r="F668" s="25" t="str">
        <f>IF($E668="","",IFERROR(INDEX(科目表!$A$4:$A$81,MATCH($E668,科目表!$B$4:$B$81,0)),""))</f>
        <v/>
      </c>
      <c r="G668" s="26" t="str">
        <f>IF($E668="","",IFERROR(INDEX(科目表!$E$4:$E$81,MATCH($E668,科目表!$B$4:$B$81,0)),""))</f>
        <v/>
      </c>
      <c r="H668" s="27" t="str">
        <f>IF($E668="","",N(INDEX(进销存对接!$M$4:$U$305,222,5)))</f>
        <v/>
      </c>
      <c r="I668" s="27" t="str">
        <f>IF($E668="","",N(INDEX(进销存对接!$M$4:$U$305,222,6)))</f>
        <v/>
      </c>
      <c r="J668" s="26"/>
      <c r="K668" s="26" t="str">
        <f>IF($E668="","",INDEX(进销存对接!$D$4:$D$305,222))</f>
        <v/>
      </c>
      <c r="L668" s="32"/>
      <c r="M668" s="32"/>
      <c r="N668" s="26" t="str">
        <f t="shared" si="42"/>
        <v/>
      </c>
      <c r="O668" s="26" t="str">
        <f t="shared" si="43"/>
        <v/>
      </c>
      <c r="P668" s="10"/>
    </row>
    <row r="669" ht="18" customHeight="1" spans="1:16">
      <c r="A669" s="32" t="str">
        <f t="shared" si="40"/>
        <v/>
      </c>
      <c r="B669" s="100" t="str">
        <f>IF($E669="","",INDEX(进销存对接!$C$4:$C$305,222))</f>
        <v/>
      </c>
      <c r="C669" s="26" t="str">
        <f t="shared" si="41"/>
        <v/>
      </c>
      <c r="D669" s="32" t="str">
        <f>IF($E669="","",INDEX(进销存对接!$D$4:$D$305,222)&amp;" "&amp;TEXT($B669,"YYYY年M月")&amp;" 自动结转")</f>
        <v/>
      </c>
      <c r="E669" s="26" t="str">
        <f>IF(INDEX(进销存对接!$M$4:$U$305,222,7)=0,"",INDEX(进销存对接!$M$4:$U$305,222,7))</f>
        <v/>
      </c>
      <c r="F669" s="25" t="str">
        <f>IF($E669="","",IFERROR(INDEX(科目表!$A$4:$A$81,MATCH($E669,科目表!$B$4:$B$81,0)),""))</f>
        <v/>
      </c>
      <c r="G669" s="26" t="str">
        <f>IF($E669="","",IFERROR(INDEX(科目表!$E$4:$E$81,MATCH($E669,科目表!$B$4:$B$81,0)),""))</f>
        <v/>
      </c>
      <c r="H669" s="27" t="str">
        <f>IF($E669="","",N(INDEX(进销存对接!$M$4:$U$305,222,8)))</f>
        <v/>
      </c>
      <c r="I669" s="27" t="str">
        <f>IF($E669="","",N(INDEX(进销存对接!$M$4:$U$305,222,9)))</f>
        <v/>
      </c>
      <c r="J669" s="26"/>
      <c r="K669" s="26" t="str">
        <f>IF($E669="","",INDEX(进销存对接!$D$4:$D$305,222))</f>
        <v/>
      </c>
      <c r="L669" s="32"/>
      <c r="M669" s="32"/>
      <c r="N669" s="26" t="str">
        <f t="shared" si="42"/>
        <v/>
      </c>
      <c r="O669" s="26" t="str">
        <f t="shared" si="43"/>
        <v/>
      </c>
      <c r="P669" s="10"/>
    </row>
    <row r="670" ht="18" customHeight="1" spans="1:16">
      <c r="A670" s="32" t="str">
        <f t="shared" si="40"/>
        <v/>
      </c>
      <c r="B670" s="100" t="str">
        <f>IF($E670="","",INDEX(进销存对接!$C$4:$C$305,223))</f>
        <v/>
      </c>
      <c r="C670" s="26" t="str">
        <f t="shared" si="41"/>
        <v/>
      </c>
      <c r="D670" s="32" t="str">
        <f>IF($E670="","",INDEX(进销存对接!$D$4:$D$305,223)&amp;" "&amp;TEXT($B670,"YYYY年M月")&amp;" 自动结转")</f>
        <v/>
      </c>
      <c r="E670" s="26" t="str">
        <f>IF(INDEX(进销存对接!$M$4:$U$305,223,1)=0,"",INDEX(进销存对接!$M$4:$U$305,223,1))</f>
        <v/>
      </c>
      <c r="F670" s="25" t="str">
        <f>IF($E670="","",IFERROR(INDEX(科目表!$A$4:$A$81,MATCH($E670,科目表!$B$4:$B$81,0)),""))</f>
        <v/>
      </c>
      <c r="G670" s="26" t="str">
        <f>IF($E670="","",IFERROR(INDEX(科目表!$E$4:$E$81,MATCH($E670,科目表!$B$4:$B$81,0)),""))</f>
        <v/>
      </c>
      <c r="H670" s="27" t="str">
        <f>IF($E670="","",N(INDEX(进销存对接!$M$4:$U$305,223,2)))</f>
        <v/>
      </c>
      <c r="I670" s="27" t="str">
        <f>IF($E670="","",N(INDEX(进销存对接!$M$4:$U$305,223,3)))</f>
        <v/>
      </c>
      <c r="J670" s="26"/>
      <c r="K670" s="26" t="str">
        <f>IF($E670="","",INDEX(进销存对接!$D$4:$D$305,223))</f>
        <v/>
      </c>
      <c r="L670" s="32"/>
      <c r="M670" s="32"/>
      <c r="N670" s="26" t="str">
        <f t="shared" si="42"/>
        <v/>
      </c>
      <c r="O670" s="26" t="str">
        <f t="shared" si="43"/>
        <v/>
      </c>
      <c r="P670" s="10"/>
    </row>
    <row r="671" ht="18" customHeight="1" spans="1:16">
      <c r="A671" s="32" t="str">
        <f t="shared" si="40"/>
        <v/>
      </c>
      <c r="B671" s="100" t="str">
        <f>IF($E671="","",INDEX(进销存对接!$C$4:$C$305,223))</f>
        <v/>
      </c>
      <c r="C671" s="26" t="str">
        <f t="shared" si="41"/>
        <v/>
      </c>
      <c r="D671" s="32" t="str">
        <f>IF($E671="","",INDEX(进销存对接!$D$4:$D$305,223)&amp;" "&amp;TEXT($B671,"YYYY年M月")&amp;" 自动结转")</f>
        <v/>
      </c>
      <c r="E671" s="26" t="str">
        <f>IF(INDEX(进销存对接!$M$4:$U$305,223,4)=0,"",INDEX(进销存对接!$M$4:$U$305,223,4))</f>
        <v/>
      </c>
      <c r="F671" s="25" t="str">
        <f>IF($E671="","",IFERROR(INDEX(科目表!$A$4:$A$81,MATCH($E671,科目表!$B$4:$B$81,0)),""))</f>
        <v/>
      </c>
      <c r="G671" s="26" t="str">
        <f>IF($E671="","",IFERROR(INDEX(科目表!$E$4:$E$81,MATCH($E671,科目表!$B$4:$B$81,0)),""))</f>
        <v/>
      </c>
      <c r="H671" s="27" t="str">
        <f>IF($E671="","",N(INDEX(进销存对接!$M$4:$U$305,223,5)))</f>
        <v/>
      </c>
      <c r="I671" s="27" t="str">
        <f>IF($E671="","",N(INDEX(进销存对接!$M$4:$U$305,223,6)))</f>
        <v/>
      </c>
      <c r="J671" s="26"/>
      <c r="K671" s="26" t="str">
        <f>IF($E671="","",INDEX(进销存对接!$D$4:$D$305,223))</f>
        <v/>
      </c>
      <c r="L671" s="32"/>
      <c r="M671" s="32"/>
      <c r="N671" s="26" t="str">
        <f t="shared" si="42"/>
        <v/>
      </c>
      <c r="O671" s="26" t="str">
        <f t="shared" si="43"/>
        <v/>
      </c>
      <c r="P671" s="10"/>
    </row>
    <row r="672" ht="18" customHeight="1" spans="1:16">
      <c r="A672" s="32" t="str">
        <f t="shared" si="40"/>
        <v/>
      </c>
      <c r="B672" s="100" t="str">
        <f>IF($E672="","",INDEX(进销存对接!$C$4:$C$305,223))</f>
        <v/>
      </c>
      <c r="C672" s="26" t="str">
        <f t="shared" si="41"/>
        <v/>
      </c>
      <c r="D672" s="32" t="str">
        <f>IF($E672="","",INDEX(进销存对接!$D$4:$D$305,223)&amp;" "&amp;TEXT($B672,"YYYY年M月")&amp;" 自动结转")</f>
        <v/>
      </c>
      <c r="E672" s="26" t="str">
        <f>IF(INDEX(进销存对接!$M$4:$U$305,223,7)=0,"",INDEX(进销存对接!$M$4:$U$305,223,7))</f>
        <v/>
      </c>
      <c r="F672" s="25" t="str">
        <f>IF($E672="","",IFERROR(INDEX(科目表!$A$4:$A$81,MATCH($E672,科目表!$B$4:$B$81,0)),""))</f>
        <v/>
      </c>
      <c r="G672" s="26" t="str">
        <f>IF($E672="","",IFERROR(INDEX(科目表!$E$4:$E$81,MATCH($E672,科目表!$B$4:$B$81,0)),""))</f>
        <v/>
      </c>
      <c r="H672" s="27" t="str">
        <f>IF($E672="","",N(INDEX(进销存对接!$M$4:$U$305,223,8)))</f>
        <v/>
      </c>
      <c r="I672" s="27" t="str">
        <f>IF($E672="","",N(INDEX(进销存对接!$M$4:$U$305,223,9)))</f>
        <v/>
      </c>
      <c r="J672" s="26"/>
      <c r="K672" s="26" t="str">
        <f>IF($E672="","",INDEX(进销存对接!$D$4:$D$305,223))</f>
        <v/>
      </c>
      <c r="L672" s="32"/>
      <c r="M672" s="32"/>
      <c r="N672" s="26" t="str">
        <f t="shared" si="42"/>
        <v/>
      </c>
      <c r="O672" s="26" t="str">
        <f t="shared" si="43"/>
        <v/>
      </c>
      <c r="P672" s="10"/>
    </row>
    <row r="673" ht="18" customHeight="1" spans="1:16">
      <c r="A673" s="32" t="str">
        <f t="shared" si="40"/>
        <v/>
      </c>
      <c r="B673" s="100" t="str">
        <f>IF($E673="","",INDEX(进销存对接!$C$4:$C$305,224))</f>
        <v/>
      </c>
      <c r="C673" s="26" t="str">
        <f t="shared" si="41"/>
        <v/>
      </c>
      <c r="D673" s="32" t="str">
        <f>IF($E673="","",INDEX(进销存对接!$D$4:$D$305,224)&amp;" "&amp;TEXT($B673,"YYYY年M月")&amp;" 自动结转")</f>
        <v/>
      </c>
      <c r="E673" s="26" t="str">
        <f>IF(INDEX(进销存对接!$M$4:$U$305,224,1)=0,"",INDEX(进销存对接!$M$4:$U$305,224,1))</f>
        <v/>
      </c>
      <c r="F673" s="25" t="str">
        <f>IF($E673="","",IFERROR(INDEX(科目表!$A$4:$A$81,MATCH($E673,科目表!$B$4:$B$81,0)),""))</f>
        <v/>
      </c>
      <c r="G673" s="26" t="str">
        <f>IF($E673="","",IFERROR(INDEX(科目表!$E$4:$E$81,MATCH($E673,科目表!$B$4:$B$81,0)),""))</f>
        <v/>
      </c>
      <c r="H673" s="27" t="str">
        <f>IF($E673="","",N(INDEX(进销存对接!$M$4:$U$305,224,2)))</f>
        <v/>
      </c>
      <c r="I673" s="27" t="str">
        <f>IF($E673="","",N(INDEX(进销存对接!$M$4:$U$305,224,3)))</f>
        <v/>
      </c>
      <c r="J673" s="26"/>
      <c r="K673" s="26" t="str">
        <f>IF($E673="","",INDEX(进销存对接!$D$4:$D$305,224))</f>
        <v/>
      </c>
      <c r="L673" s="32"/>
      <c r="M673" s="32"/>
      <c r="N673" s="26" t="str">
        <f t="shared" si="42"/>
        <v/>
      </c>
      <c r="O673" s="26" t="str">
        <f t="shared" si="43"/>
        <v/>
      </c>
      <c r="P673" s="10"/>
    </row>
    <row r="674" ht="18" customHeight="1" spans="1:16">
      <c r="A674" s="32" t="str">
        <f t="shared" si="40"/>
        <v/>
      </c>
      <c r="B674" s="100" t="str">
        <f>IF($E674="","",INDEX(进销存对接!$C$4:$C$305,224))</f>
        <v/>
      </c>
      <c r="C674" s="26" t="str">
        <f t="shared" si="41"/>
        <v/>
      </c>
      <c r="D674" s="32" t="str">
        <f>IF($E674="","",INDEX(进销存对接!$D$4:$D$305,224)&amp;" "&amp;TEXT($B674,"YYYY年M月")&amp;" 自动结转")</f>
        <v/>
      </c>
      <c r="E674" s="26" t="str">
        <f>IF(INDEX(进销存对接!$M$4:$U$305,224,4)=0,"",INDEX(进销存对接!$M$4:$U$305,224,4))</f>
        <v/>
      </c>
      <c r="F674" s="25" t="str">
        <f>IF($E674="","",IFERROR(INDEX(科目表!$A$4:$A$81,MATCH($E674,科目表!$B$4:$B$81,0)),""))</f>
        <v/>
      </c>
      <c r="G674" s="26" t="str">
        <f>IF($E674="","",IFERROR(INDEX(科目表!$E$4:$E$81,MATCH($E674,科目表!$B$4:$B$81,0)),""))</f>
        <v/>
      </c>
      <c r="H674" s="27" t="str">
        <f>IF($E674="","",N(INDEX(进销存对接!$M$4:$U$305,224,5)))</f>
        <v/>
      </c>
      <c r="I674" s="27" t="str">
        <f>IF($E674="","",N(INDEX(进销存对接!$M$4:$U$305,224,6)))</f>
        <v/>
      </c>
      <c r="J674" s="26"/>
      <c r="K674" s="26" t="str">
        <f>IF($E674="","",INDEX(进销存对接!$D$4:$D$305,224))</f>
        <v/>
      </c>
      <c r="L674" s="32"/>
      <c r="M674" s="32"/>
      <c r="N674" s="26" t="str">
        <f t="shared" si="42"/>
        <v/>
      </c>
      <c r="O674" s="26" t="str">
        <f t="shared" si="43"/>
        <v/>
      </c>
      <c r="P674" s="10"/>
    </row>
    <row r="675" ht="18" customHeight="1" spans="1:16">
      <c r="A675" s="32" t="str">
        <f t="shared" si="40"/>
        <v/>
      </c>
      <c r="B675" s="100" t="str">
        <f>IF($E675="","",INDEX(进销存对接!$C$4:$C$305,224))</f>
        <v/>
      </c>
      <c r="C675" s="26" t="str">
        <f t="shared" si="41"/>
        <v/>
      </c>
      <c r="D675" s="32" t="str">
        <f>IF($E675="","",INDEX(进销存对接!$D$4:$D$305,224)&amp;" "&amp;TEXT($B675,"YYYY年M月")&amp;" 自动结转")</f>
        <v/>
      </c>
      <c r="E675" s="26" t="str">
        <f>IF(INDEX(进销存对接!$M$4:$U$305,224,7)=0,"",INDEX(进销存对接!$M$4:$U$305,224,7))</f>
        <v/>
      </c>
      <c r="F675" s="25" t="str">
        <f>IF($E675="","",IFERROR(INDEX(科目表!$A$4:$A$81,MATCH($E675,科目表!$B$4:$B$81,0)),""))</f>
        <v/>
      </c>
      <c r="G675" s="26" t="str">
        <f>IF($E675="","",IFERROR(INDEX(科目表!$E$4:$E$81,MATCH($E675,科目表!$B$4:$B$81,0)),""))</f>
        <v/>
      </c>
      <c r="H675" s="27" t="str">
        <f>IF($E675="","",N(INDEX(进销存对接!$M$4:$U$305,224,8)))</f>
        <v/>
      </c>
      <c r="I675" s="27" t="str">
        <f>IF($E675="","",N(INDEX(进销存对接!$M$4:$U$305,224,9)))</f>
        <v/>
      </c>
      <c r="J675" s="26"/>
      <c r="K675" s="26" t="str">
        <f>IF($E675="","",INDEX(进销存对接!$D$4:$D$305,224))</f>
        <v/>
      </c>
      <c r="L675" s="32"/>
      <c r="M675" s="32"/>
      <c r="N675" s="26" t="str">
        <f t="shared" si="42"/>
        <v/>
      </c>
      <c r="O675" s="26" t="str">
        <f t="shared" si="43"/>
        <v/>
      </c>
      <c r="P675" s="10"/>
    </row>
    <row r="676" ht="18" customHeight="1" spans="1:16">
      <c r="A676" s="32" t="str">
        <f t="shared" si="40"/>
        <v/>
      </c>
      <c r="B676" s="100" t="str">
        <f>IF($E676="","",INDEX(进销存对接!$C$4:$C$305,225))</f>
        <v/>
      </c>
      <c r="C676" s="26" t="str">
        <f t="shared" si="41"/>
        <v/>
      </c>
      <c r="D676" s="32" t="str">
        <f>IF($E676="","",INDEX(进销存对接!$D$4:$D$305,225)&amp;" "&amp;TEXT($B676,"YYYY年M月")&amp;" 自动结转")</f>
        <v/>
      </c>
      <c r="E676" s="26" t="str">
        <f>IF(INDEX(进销存对接!$M$4:$U$305,225,1)=0,"",INDEX(进销存对接!$M$4:$U$305,225,1))</f>
        <v/>
      </c>
      <c r="F676" s="25" t="str">
        <f>IF($E676="","",IFERROR(INDEX(科目表!$A$4:$A$81,MATCH($E676,科目表!$B$4:$B$81,0)),""))</f>
        <v/>
      </c>
      <c r="G676" s="26" t="str">
        <f>IF($E676="","",IFERROR(INDEX(科目表!$E$4:$E$81,MATCH($E676,科目表!$B$4:$B$81,0)),""))</f>
        <v/>
      </c>
      <c r="H676" s="27" t="str">
        <f>IF($E676="","",N(INDEX(进销存对接!$M$4:$U$305,225,2)))</f>
        <v/>
      </c>
      <c r="I676" s="27" t="str">
        <f>IF($E676="","",N(INDEX(进销存对接!$M$4:$U$305,225,3)))</f>
        <v/>
      </c>
      <c r="J676" s="26"/>
      <c r="K676" s="26" t="str">
        <f>IF($E676="","",INDEX(进销存对接!$D$4:$D$305,225))</f>
        <v/>
      </c>
      <c r="L676" s="32"/>
      <c r="M676" s="32"/>
      <c r="N676" s="26" t="str">
        <f t="shared" si="42"/>
        <v/>
      </c>
      <c r="O676" s="26" t="str">
        <f t="shared" si="43"/>
        <v/>
      </c>
      <c r="P676" s="10"/>
    </row>
    <row r="677" ht="18" customHeight="1" spans="1:16">
      <c r="A677" s="32" t="str">
        <f t="shared" si="40"/>
        <v/>
      </c>
      <c r="B677" s="100" t="str">
        <f>IF($E677="","",INDEX(进销存对接!$C$4:$C$305,225))</f>
        <v/>
      </c>
      <c r="C677" s="26" t="str">
        <f t="shared" si="41"/>
        <v/>
      </c>
      <c r="D677" s="32" t="str">
        <f>IF($E677="","",INDEX(进销存对接!$D$4:$D$305,225)&amp;" "&amp;TEXT($B677,"YYYY年M月")&amp;" 自动结转")</f>
        <v/>
      </c>
      <c r="E677" s="26" t="str">
        <f>IF(INDEX(进销存对接!$M$4:$U$305,225,4)=0,"",INDEX(进销存对接!$M$4:$U$305,225,4))</f>
        <v/>
      </c>
      <c r="F677" s="25" t="str">
        <f>IF($E677="","",IFERROR(INDEX(科目表!$A$4:$A$81,MATCH($E677,科目表!$B$4:$B$81,0)),""))</f>
        <v/>
      </c>
      <c r="G677" s="26" t="str">
        <f>IF($E677="","",IFERROR(INDEX(科目表!$E$4:$E$81,MATCH($E677,科目表!$B$4:$B$81,0)),""))</f>
        <v/>
      </c>
      <c r="H677" s="27" t="str">
        <f>IF($E677="","",N(INDEX(进销存对接!$M$4:$U$305,225,5)))</f>
        <v/>
      </c>
      <c r="I677" s="27" t="str">
        <f>IF($E677="","",N(INDEX(进销存对接!$M$4:$U$305,225,6)))</f>
        <v/>
      </c>
      <c r="J677" s="26"/>
      <c r="K677" s="26" t="str">
        <f>IF($E677="","",INDEX(进销存对接!$D$4:$D$305,225))</f>
        <v/>
      </c>
      <c r="L677" s="32"/>
      <c r="M677" s="32"/>
      <c r="N677" s="26" t="str">
        <f t="shared" si="42"/>
        <v/>
      </c>
      <c r="O677" s="26" t="str">
        <f t="shared" si="43"/>
        <v/>
      </c>
      <c r="P677" s="10"/>
    </row>
    <row r="678" ht="18" customHeight="1" spans="1:16">
      <c r="A678" s="32" t="str">
        <f t="shared" si="40"/>
        <v/>
      </c>
      <c r="B678" s="100" t="str">
        <f>IF($E678="","",INDEX(进销存对接!$C$4:$C$305,225))</f>
        <v/>
      </c>
      <c r="C678" s="26" t="str">
        <f t="shared" si="41"/>
        <v/>
      </c>
      <c r="D678" s="32" t="str">
        <f>IF($E678="","",INDEX(进销存对接!$D$4:$D$305,225)&amp;" "&amp;TEXT($B678,"YYYY年M月")&amp;" 自动结转")</f>
        <v/>
      </c>
      <c r="E678" s="26" t="str">
        <f>IF(INDEX(进销存对接!$M$4:$U$305,225,7)=0,"",INDEX(进销存对接!$M$4:$U$305,225,7))</f>
        <v/>
      </c>
      <c r="F678" s="25" t="str">
        <f>IF($E678="","",IFERROR(INDEX(科目表!$A$4:$A$81,MATCH($E678,科目表!$B$4:$B$81,0)),""))</f>
        <v/>
      </c>
      <c r="G678" s="26" t="str">
        <f>IF($E678="","",IFERROR(INDEX(科目表!$E$4:$E$81,MATCH($E678,科目表!$B$4:$B$81,0)),""))</f>
        <v/>
      </c>
      <c r="H678" s="27" t="str">
        <f>IF($E678="","",N(INDEX(进销存对接!$M$4:$U$305,225,8)))</f>
        <v/>
      </c>
      <c r="I678" s="27" t="str">
        <f>IF($E678="","",N(INDEX(进销存对接!$M$4:$U$305,225,9)))</f>
        <v/>
      </c>
      <c r="J678" s="26"/>
      <c r="K678" s="26" t="str">
        <f>IF($E678="","",INDEX(进销存对接!$D$4:$D$305,225))</f>
        <v/>
      </c>
      <c r="L678" s="32"/>
      <c r="M678" s="32"/>
      <c r="N678" s="26" t="str">
        <f t="shared" si="42"/>
        <v/>
      </c>
      <c r="O678" s="26" t="str">
        <f t="shared" si="43"/>
        <v/>
      </c>
      <c r="P678" s="10"/>
    </row>
    <row r="679" ht="18" customHeight="1" spans="1:16">
      <c r="A679" s="32" t="str">
        <f t="shared" si="40"/>
        <v/>
      </c>
      <c r="B679" s="100" t="str">
        <f>IF($E679="","",INDEX(进销存对接!$C$4:$C$305,226))</f>
        <v/>
      </c>
      <c r="C679" s="26" t="str">
        <f t="shared" si="41"/>
        <v/>
      </c>
      <c r="D679" s="32" t="str">
        <f>IF($E679="","",INDEX(进销存对接!$D$4:$D$305,226)&amp;" "&amp;TEXT($B679,"YYYY年M月")&amp;" 自动结转")</f>
        <v/>
      </c>
      <c r="E679" s="26" t="str">
        <f>IF(INDEX(进销存对接!$M$4:$U$305,226,1)=0,"",INDEX(进销存对接!$M$4:$U$305,226,1))</f>
        <v/>
      </c>
      <c r="F679" s="25" t="str">
        <f>IF($E679="","",IFERROR(INDEX(科目表!$A$4:$A$81,MATCH($E679,科目表!$B$4:$B$81,0)),""))</f>
        <v/>
      </c>
      <c r="G679" s="26" t="str">
        <f>IF($E679="","",IFERROR(INDEX(科目表!$E$4:$E$81,MATCH($E679,科目表!$B$4:$B$81,0)),""))</f>
        <v/>
      </c>
      <c r="H679" s="27" t="str">
        <f>IF($E679="","",N(INDEX(进销存对接!$M$4:$U$305,226,2)))</f>
        <v/>
      </c>
      <c r="I679" s="27" t="str">
        <f>IF($E679="","",N(INDEX(进销存对接!$M$4:$U$305,226,3)))</f>
        <v/>
      </c>
      <c r="J679" s="26"/>
      <c r="K679" s="26" t="str">
        <f>IF($E679="","",INDEX(进销存对接!$D$4:$D$305,226))</f>
        <v/>
      </c>
      <c r="L679" s="32"/>
      <c r="M679" s="32"/>
      <c r="N679" s="26" t="str">
        <f t="shared" si="42"/>
        <v/>
      </c>
      <c r="O679" s="26" t="str">
        <f t="shared" si="43"/>
        <v/>
      </c>
      <c r="P679" s="10"/>
    </row>
    <row r="680" ht="18" customHeight="1" spans="1:16">
      <c r="A680" s="32" t="str">
        <f t="shared" si="40"/>
        <v/>
      </c>
      <c r="B680" s="100" t="str">
        <f>IF($E680="","",INDEX(进销存对接!$C$4:$C$305,226))</f>
        <v/>
      </c>
      <c r="C680" s="26" t="str">
        <f t="shared" si="41"/>
        <v/>
      </c>
      <c r="D680" s="32" t="str">
        <f>IF($E680="","",INDEX(进销存对接!$D$4:$D$305,226)&amp;" "&amp;TEXT($B680,"YYYY年M月")&amp;" 自动结转")</f>
        <v/>
      </c>
      <c r="E680" s="26" t="str">
        <f>IF(INDEX(进销存对接!$M$4:$U$305,226,4)=0,"",INDEX(进销存对接!$M$4:$U$305,226,4))</f>
        <v/>
      </c>
      <c r="F680" s="25" t="str">
        <f>IF($E680="","",IFERROR(INDEX(科目表!$A$4:$A$81,MATCH($E680,科目表!$B$4:$B$81,0)),""))</f>
        <v/>
      </c>
      <c r="G680" s="26" t="str">
        <f>IF($E680="","",IFERROR(INDEX(科目表!$E$4:$E$81,MATCH($E680,科目表!$B$4:$B$81,0)),""))</f>
        <v/>
      </c>
      <c r="H680" s="27" t="str">
        <f>IF($E680="","",N(INDEX(进销存对接!$M$4:$U$305,226,5)))</f>
        <v/>
      </c>
      <c r="I680" s="27" t="str">
        <f>IF($E680="","",N(INDEX(进销存对接!$M$4:$U$305,226,6)))</f>
        <v/>
      </c>
      <c r="J680" s="26"/>
      <c r="K680" s="26" t="str">
        <f>IF($E680="","",INDEX(进销存对接!$D$4:$D$305,226))</f>
        <v/>
      </c>
      <c r="L680" s="32"/>
      <c r="M680" s="32"/>
      <c r="N680" s="26" t="str">
        <f t="shared" si="42"/>
        <v/>
      </c>
      <c r="O680" s="26" t="str">
        <f t="shared" si="43"/>
        <v/>
      </c>
      <c r="P680" s="10"/>
    </row>
    <row r="681" ht="18" customHeight="1" spans="1:16">
      <c r="A681" s="32" t="str">
        <f t="shared" si="40"/>
        <v/>
      </c>
      <c r="B681" s="100" t="str">
        <f>IF($E681="","",INDEX(进销存对接!$C$4:$C$305,226))</f>
        <v/>
      </c>
      <c r="C681" s="26" t="str">
        <f t="shared" si="41"/>
        <v/>
      </c>
      <c r="D681" s="32" t="str">
        <f>IF($E681="","",INDEX(进销存对接!$D$4:$D$305,226)&amp;" "&amp;TEXT($B681,"YYYY年M月")&amp;" 自动结转")</f>
        <v/>
      </c>
      <c r="E681" s="26" t="str">
        <f>IF(INDEX(进销存对接!$M$4:$U$305,226,7)=0,"",INDEX(进销存对接!$M$4:$U$305,226,7))</f>
        <v/>
      </c>
      <c r="F681" s="25" t="str">
        <f>IF($E681="","",IFERROR(INDEX(科目表!$A$4:$A$81,MATCH($E681,科目表!$B$4:$B$81,0)),""))</f>
        <v/>
      </c>
      <c r="G681" s="26" t="str">
        <f>IF($E681="","",IFERROR(INDEX(科目表!$E$4:$E$81,MATCH($E681,科目表!$B$4:$B$81,0)),""))</f>
        <v/>
      </c>
      <c r="H681" s="27" t="str">
        <f>IF($E681="","",N(INDEX(进销存对接!$M$4:$U$305,226,8)))</f>
        <v/>
      </c>
      <c r="I681" s="27" t="str">
        <f>IF($E681="","",N(INDEX(进销存对接!$M$4:$U$305,226,9)))</f>
        <v/>
      </c>
      <c r="J681" s="26"/>
      <c r="K681" s="26" t="str">
        <f>IF($E681="","",INDEX(进销存对接!$D$4:$D$305,226))</f>
        <v/>
      </c>
      <c r="L681" s="32"/>
      <c r="M681" s="32"/>
      <c r="N681" s="26" t="str">
        <f t="shared" si="42"/>
        <v/>
      </c>
      <c r="O681" s="26" t="str">
        <f t="shared" si="43"/>
        <v/>
      </c>
      <c r="P681" s="10"/>
    </row>
    <row r="682" ht="18" customHeight="1" spans="1:16">
      <c r="A682" s="32" t="str">
        <f t="shared" si="40"/>
        <v/>
      </c>
      <c r="B682" s="100" t="str">
        <f>IF($E682="","",INDEX(进销存对接!$C$4:$C$305,227))</f>
        <v/>
      </c>
      <c r="C682" s="26" t="str">
        <f t="shared" si="41"/>
        <v/>
      </c>
      <c r="D682" s="32" t="str">
        <f>IF($E682="","",INDEX(进销存对接!$D$4:$D$305,227)&amp;" "&amp;TEXT($B682,"YYYY年M月")&amp;" 自动结转")</f>
        <v/>
      </c>
      <c r="E682" s="26" t="str">
        <f>IF(INDEX(进销存对接!$M$4:$U$305,227,1)=0,"",INDEX(进销存对接!$M$4:$U$305,227,1))</f>
        <v/>
      </c>
      <c r="F682" s="25" t="str">
        <f>IF($E682="","",IFERROR(INDEX(科目表!$A$4:$A$81,MATCH($E682,科目表!$B$4:$B$81,0)),""))</f>
        <v/>
      </c>
      <c r="G682" s="26" t="str">
        <f>IF($E682="","",IFERROR(INDEX(科目表!$E$4:$E$81,MATCH($E682,科目表!$B$4:$B$81,0)),""))</f>
        <v/>
      </c>
      <c r="H682" s="27" t="str">
        <f>IF($E682="","",N(INDEX(进销存对接!$M$4:$U$305,227,2)))</f>
        <v/>
      </c>
      <c r="I682" s="27" t="str">
        <f>IF($E682="","",N(INDEX(进销存对接!$M$4:$U$305,227,3)))</f>
        <v/>
      </c>
      <c r="J682" s="26"/>
      <c r="K682" s="26" t="str">
        <f>IF($E682="","",INDEX(进销存对接!$D$4:$D$305,227))</f>
        <v/>
      </c>
      <c r="L682" s="32"/>
      <c r="M682" s="32"/>
      <c r="N682" s="26" t="str">
        <f t="shared" si="42"/>
        <v/>
      </c>
      <c r="O682" s="26" t="str">
        <f t="shared" si="43"/>
        <v/>
      </c>
      <c r="P682" s="10"/>
    </row>
    <row r="683" ht="18" customHeight="1" spans="1:16">
      <c r="A683" s="32" t="str">
        <f t="shared" si="40"/>
        <v/>
      </c>
      <c r="B683" s="100" t="str">
        <f>IF($E683="","",INDEX(进销存对接!$C$4:$C$305,227))</f>
        <v/>
      </c>
      <c r="C683" s="26" t="str">
        <f t="shared" si="41"/>
        <v/>
      </c>
      <c r="D683" s="32" t="str">
        <f>IF($E683="","",INDEX(进销存对接!$D$4:$D$305,227)&amp;" "&amp;TEXT($B683,"YYYY年M月")&amp;" 自动结转")</f>
        <v/>
      </c>
      <c r="E683" s="26" t="str">
        <f>IF(INDEX(进销存对接!$M$4:$U$305,227,4)=0,"",INDEX(进销存对接!$M$4:$U$305,227,4))</f>
        <v/>
      </c>
      <c r="F683" s="25" t="str">
        <f>IF($E683="","",IFERROR(INDEX(科目表!$A$4:$A$81,MATCH($E683,科目表!$B$4:$B$81,0)),""))</f>
        <v/>
      </c>
      <c r="G683" s="26" t="str">
        <f>IF($E683="","",IFERROR(INDEX(科目表!$E$4:$E$81,MATCH($E683,科目表!$B$4:$B$81,0)),""))</f>
        <v/>
      </c>
      <c r="H683" s="27" t="str">
        <f>IF($E683="","",N(INDEX(进销存对接!$M$4:$U$305,227,5)))</f>
        <v/>
      </c>
      <c r="I683" s="27" t="str">
        <f>IF($E683="","",N(INDEX(进销存对接!$M$4:$U$305,227,6)))</f>
        <v/>
      </c>
      <c r="J683" s="26"/>
      <c r="K683" s="26" t="str">
        <f>IF($E683="","",INDEX(进销存对接!$D$4:$D$305,227))</f>
        <v/>
      </c>
      <c r="L683" s="32"/>
      <c r="M683" s="32"/>
      <c r="N683" s="26" t="str">
        <f t="shared" si="42"/>
        <v/>
      </c>
      <c r="O683" s="26" t="str">
        <f t="shared" si="43"/>
        <v/>
      </c>
      <c r="P683" s="10"/>
    </row>
    <row r="684" ht="18" customHeight="1" spans="1:16">
      <c r="A684" s="32" t="str">
        <f t="shared" si="40"/>
        <v/>
      </c>
      <c r="B684" s="100" t="str">
        <f>IF($E684="","",INDEX(进销存对接!$C$4:$C$305,227))</f>
        <v/>
      </c>
      <c r="C684" s="26" t="str">
        <f t="shared" si="41"/>
        <v/>
      </c>
      <c r="D684" s="32" t="str">
        <f>IF($E684="","",INDEX(进销存对接!$D$4:$D$305,227)&amp;" "&amp;TEXT($B684,"YYYY年M月")&amp;" 自动结转")</f>
        <v/>
      </c>
      <c r="E684" s="26" t="str">
        <f>IF(INDEX(进销存对接!$M$4:$U$305,227,7)=0,"",INDEX(进销存对接!$M$4:$U$305,227,7))</f>
        <v/>
      </c>
      <c r="F684" s="25" t="str">
        <f>IF($E684="","",IFERROR(INDEX(科目表!$A$4:$A$81,MATCH($E684,科目表!$B$4:$B$81,0)),""))</f>
        <v/>
      </c>
      <c r="G684" s="26" t="str">
        <f>IF($E684="","",IFERROR(INDEX(科目表!$E$4:$E$81,MATCH($E684,科目表!$B$4:$B$81,0)),""))</f>
        <v/>
      </c>
      <c r="H684" s="27" t="str">
        <f>IF($E684="","",N(INDEX(进销存对接!$M$4:$U$305,227,8)))</f>
        <v/>
      </c>
      <c r="I684" s="27" t="str">
        <f>IF($E684="","",N(INDEX(进销存对接!$M$4:$U$305,227,9)))</f>
        <v/>
      </c>
      <c r="J684" s="26"/>
      <c r="K684" s="26" t="str">
        <f>IF($E684="","",INDEX(进销存对接!$D$4:$D$305,227))</f>
        <v/>
      </c>
      <c r="L684" s="32"/>
      <c r="M684" s="32"/>
      <c r="N684" s="26" t="str">
        <f t="shared" si="42"/>
        <v/>
      </c>
      <c r="O684" s="26" t="str">
        <f t="shared" si="43"/>
        <v/>
      </c>
      <c r="P684" s="10"/>
    </row>
    <row r="685" ht="18" customHeight="1" spans="1:16">
      <c r="A685" s="32" t="str">
        <f t="shared" si="40"/>
        <v/>
      </c>
      <c r="B685" s="100" t="str">
        <f>IF($E685="","",INDEX(进销存对接!$C$4:$C$305,228))</f>
        <v/>
      </c>
      <c r="C685" s="26" t="str">
        <f t="shared" si="41"/>
        <v/>
      </c>
      <c r="D685" s="32" t="str">
        <f>IF($E685="","",INDEX(进销存对接!$D$4:$D$305,228)&amp;" "&amp;TEXT($B685,"YYYY年M月")&amp;" 自动结转")</f>
        <v/>
      </c>
      <c r="E685" s="26" t="str">
        <f>IF(INDEX(进销存对接!$M$4:$U$305,228,1)=0,"",INDEX(进销存对接!$M$4:$U$305,228,1))</f>
        <v/>
      </c>
      <c r="F685" s="25" t="str">
        <f>IF($E685="","",IFERROR(INDEX(科目表!$A$4:$A$81,MATCH($E685,科目表!$B$4:$B$81,0)),""))</f>
        <v/>
      </c>
      <c r="G685" s="26" t="str">
        <f>IF($E685="","",IFERROR(INDEX(科目表!$E$4:$E$81,MATCH($E685,科目表!$B$4:$B$81,0)),""))</f>
        <v/>
      </c>
      <c r="H685" s="27" t="str">
        <f>IF($E685="","",N(INDEX(进销存对接!$M$4:$U$305,228,2)))</f>
        <v/>
      </c>
      <c r="I685" s="27" t="str">
        <f>IF($E685="","",N(INDEX(进销存对接!$M$4:$U$305,228,3)))</f>
        <v/>
      </c>
      <c r="J685" s="26"/>
      <c r="K685" s="26" t="str">
        <f>IF($E685="","",INDEX(进销存对接!$D$4:$D$305,228))</f>
        <v/>
      </c>
      <c r="L685" s="32"/>
      <c r="M685" s="32"/>
      <c r="N685" s="26" t="str">
        <f t="shared" si="42"/>
        <v/>
      </c>
      <c r="O685" s="26" t="str">
        <f t="shared" si="43"/>
        <v/>
      </c>
      <c r="P685" s="10"/>
    </row>
    <row r="686" ht="18" customHeight="1" spans="1:16">
      <c r="A686" s="32" t="str">
        <f t="shared" si="40"/>
        <v/>
      </c>
      <c r="B686" s="100" t="str">
        <f>IF($E686="","",INDEX(进销存对接!$C$4:$C$305,228))</f>
        <v/>
      </c>
      <c r="C686" s="26" t="str">
        <f t="shared" si="41"/>
        <v/>
      </c>
      <c r="D686" s="32" t="str">
        <f>IF($E686="","",INDEX(进销存对接!$D$4:$D$305,228)&amp;" "&amp;TEXT($B686,"YYYY年M月")&amp;" 自动结转")</f>
        <v/>
      </c>
      <c r="E686" s="26" t="str">
        <f>IF(INDEX(进销存对接!$M$4:$U$305,228,4)=0,"",INDEX(进销存对接!$M$4:$U$305,228,4))</f>
        <v/>
      </c>
      <c r="F686" s="25" t="str">
        <f>IF($E686="","",IFERROR(INDEX(科目表!$A$4:$A$81,MATCH($E686,科目表!$B$4:$B$81,0)),""))</f>
        <v/>
      </c>
      <c r="G686" s="26" t="str">
        <f>IF($E686="","",IFERROR(INDEX(科目表!$E$4:$E$81,MATCH($E686,科目表!$B$4:$B$81,0)),""))</f>
        <v/>
      </c>
      <c r="H686" s="27" t="str">
        <f>IF($E686="","",N(INDEX(进销存对接!$M$4:$U$305,228,5)))</f>
        <v/>
      </c>
      <c r="I686" s="27" t="str">
        <f>IF($E686="","",N(INDEX(进销存对接!$M$4:$U$305,228,6)))</f>
        <v/>
      </c>
      <c r="J686" s="26"/>
      <c r="K686" s="26" t="str">
        <f>IF($E686="","",INDEX(进销存对接!$D$4:$D$305,228))</f>
        <v/>
      </c>
      <c r="L686" s="32"/>
      <c r="M686" s="32"/>
      <c r="N686" s="26" t="str">
        <f t="shared" si="42"/>
        <v/>
      </c>
      <c r="O686" s="26" t="str">
        <f t="shared" si="43"/>
        <v/>
      </c>
      <c r="P686" s="10"/>
    </row>
    <row r="687" ht="18" customHeight="1" spans="1:16">
      <c r="A687" s="32" t="str">
        <f t="shared" si="40"/>
        <v/>
      </c>
      <c r="B687" s="100" t="str">
        <f>IF($E687="","",INDEX(进销存对接!$C$4:$C$305,228))</f>
        <v/>
      </c>
      <c r="C687" s="26" t="str">
        <f t="shared" si="41"/>
        <v/>
      </c>
      <c r="D687" s="32" t="str">
        <f>IF($E687="","",INDEX(进销存对接!$D$4:$D$305,228)&amp;" "&amp;TEXT($B687,"YYYY年M月")&amp;" 自动结转")</f>
        <v/>
      </c>
      <c r="E687" s="26" t="str">
        <f>IF(INDEX(进销存对接!$M$4:$U$305,228,7)=0,"",INDEX(进销存对接!$M$4:$U$305,228,7))</f>
        <v/>
      </c>
      <c r="F687" s="25" t="str">
        <f>IF($E687="","",IFERROR(INDEX(科目表!$A$4:$A$81,MATCH($E687,科目表!$B$4:$B$81,0)),""))</f>
        <v/>
      </c>
      <c r="G687" s="26" t="str">
        <f>IF($E687="","",IFERROR(INDEX(科目表!$E$4:$E$81,MATCH($E687,科目表!$B$4:$B$81,0)),""))</f>
        <v/>
      </c>
      <c r="H687" s="27" t="str">
        <f>IF($E687="","",N(INDEX(进销存对接!$M$4:$U$305,228,8)))</f>
        <v/>
      </c>
      <c r="I687" s="27" t="str">
        <f>IF($E687="","",N(INDEX(进销存对接!$M$4:$U$305,228,9)))</f>
        <v/>
      </c>
      <c r="J687" s="26"/>
      <c r="K687" s="26" t="str">
        <f>IF($E687="","",INDEX(进销存对接!$D$4:$D$305,228))</f>
        <v/>
      </c>
      <c r="L687" s="32"/>
      <c r="M687" s="32"/>
      <c r="N687" s="26" t="str">
        <f t="shared" si="42"/>
        <v/>
      </c>
      <c r="O687" s="26" t="str">
        <f t="shared" si="43"/>
        <v/>
      </c>
      <c r="P687" s="10"/>
    </row>
    <row r="688" ht="18" customHeight="1" spans="1:16">
      <c r="A688" s="32" t="str">
        <f t="shared" si="40"/>
        <v/>
      </c>
      <c r="B688" s="100" t="str">
        <f>IF($E688="","",INDEX(进销存对接!$C$4:$C$305,229))</f>
        <v/>
      </c>
      <c r="C688" s="26" t="str">
        <f t="shared" si="41"/>
        <v/>
      </c>
      <c r="D688" s="32" t="str">
        <f>IF($E688="","",INDEX(进销存对接!$D$4:$D$305,229)&amp;" "&amp;TEXT($B688,"YYYY年M月")&amp;" 自动结转")</f>
        <v/>
      </c>
      <c r="E688" s="26" t="str">
        <f>IF(INDEX(进销存对接!$M$4:$U$305,229,1)=0,"",INDEX(进销存对接!$M$4:$U$305,229,1))</f>
        <v/>
      </c>
      <c r="F688" s="25" t="str">
        <f>IF($E688="","",IFERROR(INDEX(科目表!$A$4:$A$81,MATCH($E688,科目表!$B$4:$B$81,0)),""))</f>
        <v/>
      </c>
      <c r="G688" s="26" t="str">
        <f>IF($E688="","",IFERROR(INDEX(科目表!$E$4:$E$81,MATCH($E688,科目表!$B$4:$B$81,0)),""))</f>
        <v/>
      </c>
      <c r="H688" s="27" t="str">
        <f>IF($E688="","",N(INDEX(进销存对接!$M$4:$U$305,229,2)))</f>
        <v/>
      </c>
      <c r="I688" s="27" t="str">
        <f>IF($E688="","",N(INDEX(进销存对接!$M$4:$U$305,229,3)))</f>
        <v/>
      </c>
      <c r="J688" s="26"/>
      <c r="K688" s="26" t="str">
        <f>IF($E688="","",INDEX(进销存对接!$D$4:$D$305,229))</f>
        <v/>
      </c>
      <c r="L688" s="32"/>
      <c r="M688" s="32"/>
      <c r="N688" s="26" t="str">
        <f t="shared" si="42"/>
        <v/>
      </c>
      <c r="O688" s="26" t="str">
        <f t="shared" si="43"/>
        <v/>
      </c>
      <c r="P688" s="10"/>
    </row>
    <row r="689" ht="18" customHeight="1" spans="1:16">
      <c r="A689" s="32" t="str">
        <f t="shared" si="40"/>
        <v/>
      </c>
      <c r="B689" s="100" t="str">
        <f>IF($E689="","",INDEX(进销存对接!$C$4:$C$305,229))</f>
        <v/>
      </c>
      <c r="C689" s="26" t="str">
        <f t="shared" si="41"/>
        <v/>
      </c>
      <c r="D689" s="32" t="str">
        <f>IF($E689="","",INDEX(进销存对接!$D$4:$D$305,229)&amp;" "&amp;TEXT($B689,"YYYY年M月")&amp;" 自动结转")</f>
        <v/>
      </c>
      <c r="E689" s="26" t="str">
        <f>IF(INDEX(进销存对接!$M$4:$U$305,229,4)=0,"",INDEX(进销存对接!$M$4:$U$305,229,4))</f>
        <v/>
      </c>
      <c r="F689" s="25" t="str">
        <f>IF($E689="","",IFERROR(INDEX(科目表!$A$4:$A$81,MATCH($E689,科目表!$B$4:$B$81,0)),""))</f>
        <v/>
      </c>
      <c r="G689" s="26" t="str">
        <f>IF($E689="","",IFERROR(INDEX(科目表!$E$4:$E$81,MATCH($E689,科目表!$B$4:$B$81,0)),""))</f>
        <v/>
      </c>
      <c r="H689" s="27" t="str">
        <f>IF($E689="","",N(INDEX(进销存对接!$M$4:$U$305,229,5)))</f>
        <v/>
      </c>
      <c r="I689" s="27" t="str">
        <f>IF($E689="","",N(INDEX(进销存对接!$M$4:$U$305,229,6)))</f>
        <v/>
      </c>
      <c r="J689" s="26"/>
      <c r="K689" s="26" t="str">
        <f>IF($E689="","",INDEX(进销存对接!$D$4:$D$305,229))</f>
        <v/>
      </c>
      <c r="L689" s="32"/>
      <c r="M689" s="32"/>
      <c r="N689" s="26" t="str">
        <f t="shared" si="42"/>
        <v/>
      </c>
      <c r="O689" s="26" t="str">
        <f t="shared" si="43"/>
        <v/>
      </c>
      <c r="P689" s="10"/>
    </row>
    <row r="690" ht="18" customHeight="1" spans="1:16">
      <c r="A690" s="32" t="str">
        <f t="shared" si="40"/>
        <v/>
      </c>
      <c r="B690" s="100" t="str">
        <f>IF($E690="","",INDEX(进销存对接!$C$4:$C$305,229))</f>
        <v/>
      </c>
      <c r="C690" s="26" t="str">
        <f t="shared" si="41"/>
        <v/>
      </c>
      <c r="D690" s="32" t="str">
        <f>IF($E690="","",INDEX(进销存对接!$D$4:$D$305,229)&amp;" "&amp;TEXT($B690,"YYYY年M月")&amp;" 自动结转")</f>
        <v/>
      </c>
      <c r="E690" s="26" t="str">
        <f>IF(INDEX(进销存对接!$M$4:$U$305,229,7)=0,"",INDEX(进销存对接!$M$4:$U$305,229,7))</f>
        <v/>
      </c>
      <c r="F690" s="25" t="str">
        <f>IF($E690="","",IFERROR(INDEX(科目表!$A$4:$A$81,MATCH($E690,科目表!$B$4:$B$81,0)),""))</f>
        <v/>
      </c>
      <c r="G690" s="26" t="str">
        <f>IF($E690="","",IFERROR(INDEX(科目表!$E$4:$E$81,MATCH($E690,科目表!$B$4:$B$81,0)),""))</f>
        <v/>
      </c>
      <c r="H690" s="27" t="str">
        <f>IF($E690="","",N(INDEX(进销存对接!$M$4:$U$305,229,8)))</f>
        <v/>
      </c>
      <c r="I690" s="27" t="str">
        <f>IF($E690="","",N(INDEX(进销存对接!$M$4:$U$305,229,9)))</f>
        <v/>
      </c>
      <c r="J690" s="26"/>
      <c r="K690" s="26" t="str">
        <f>IF($E690="","",INDEX(进销存对接!$D$4:$D$305,229))</f>
        <v/>
      </c>
      <c r="L690" s="32"/>
      <c r="M690" s="32"/>
      <c r="N690" s="26" t="str">
        <f t="shared" si="42"/>
        <v/>
      </c>
      <c r="O690" s="26" t="str">
        <f t="shared" si="43"/>
        <v/>
      </c>
      <c r="P690" s="10"/>
    </row>
    <row r="691" ht="18" customHeight="1" spans="1:16">
      <c r="A691" s="32" t="str">
        <f t="shared" si="40"/>
        <v/>
      </c>
      <c r="B691" s="100" t="str">
        <f>IF($E691="","",INDEX(进销存对接!$C$4:$C$305,230))</f>
        <v/>
      </c>
      <c r="C691" s="26" t="str">
        <f t="shared" si="41"/>
        <v/>
      </c>
      <c r="D691" s="32" t="str">
        <f>IF($E691="","",INDEX(进销存对接!$D$4:$D$305,230)&amp;" "&amp;TEXT($B691,"YYYY年M月")&amp;" 自动结转")</f>
        <v/>
      </c>
      <c r="E691" s="26" t="str">
        <f>IF(INDEX(进销存对接!$M$4:$U$305,230,1)=0,"",INDEX(进销存对接!$M$4:$U$305,230,1))</f>
        <v/>
      </c>
      <c r="F691" s="25" t="str">
        <f>IF($E691="","",IFERROR(INDEX(科目表!$A$4:$A$81,MATCH($E691,科目表!$B$4:$B$81,0)),""))</f>
        <v/>
      </c>
      <c r="G691" s="26" t="str">
        <f>IF($E691="","",IFERROR(INDEX(科目表!$E$4:$E$81,MATCH($E691,科目表!$B$4:$B$81,0)),""))</f>
        <v/>
      </c>
      <c r="H691" s="27" t="str">
        <f>IF($E691="","",N(INDEX(进销存对接!$M$4:$U$305,230,2)))</f>
        <v/>
      </c>
      <c r="I691" s="27" t="str">
        <f>IF($E691="","",N(INDEX(进销存对接!$M$4:$U$305,230,3)))</f>
        <v/>
      </c>
      <c r="J691" s="26"/>
      <c r="K691" s="26" t="str">
        <f>IF($E691="","",INDEX(进销存对接!$D$4:$D$305,230))</f>
        <v/>
      </c>
      <c r="L691" s="32"/>
      <c r="M691" s="32"/>
      <c r="N691" s="26" t="str">
        <f t="shared" si="42"/>
        <v/>
      </c>
      <c r="O691" s="26" t="str">
        <f t="shared" si="43"/>
        <v/>
      </c>
      <c r="P691" s="10"/>
    </row>
    <row r="692" ht="18" customHeight="1" spans="1:16">
      <c r="A692" s="32" t="str">
        <f t="shared" si="40"/>
        <v/>
      </c>
      <c r="B692" s="100" t="str">
        <f>IF($E692="","",INDEX(进销存对接!$C$4:$C$305,230))</f>
        <v/>
      </c>
      <c r="C692" s="26" t="str">
        <f t="shared" si="41"/>
        <v/>
      </c>
      <c r="D692" s="32" t="str">
        <f>IF($E692="","",INDEX(进销存对接!$D$4:$D$305,230)&amp;" "&amp;TEXT($B692,"YYYY年M月")&amp;" 自动结转")</f>
        <v/>
      </c>
      <c r="E692" s="26" t="str">
        <f>IF(INDEX(进销存对接!$M$4:$U$305,230,4)=0,"",INDEX(进销存对接!$M$4:$U$305,230,4))</f>
        <v/>
      </c>
      <c r="F692" s="25" t="str">
        <f>IF($E692="","",IFERROR(INDEX(科目表!$A$4:$A$81,MATCH($E692,科目表!$B$4:$B$81,0)),""))</f>
        <v/>
      </c>
      <c r="G692" s="26" t="str">
        <f>IF($E692="","",IFERROR(INDEX(科目表!$E$4:$E$81,MATCH($E692,科目表!$B$4:$B$81,0)),""))</f>
        <v/>
      </c>
      <c r="H692" s="27" t="str">
        <f>IF($E692="","",N(INDEX(进销存对接!$M$4:$U$305,230,5)))</f>
        <v/>
      </c>
      <c r="I692" s="27" t="str">
        <f>IF($E692="","",N(INDEX(进销存对接!$M$4:$U$305,230,6)))</f>
        <v/>
      </c>
      <c r="J692" s="26"/>
      <c r="K692" s="26" t="str">
        <f>IF($E692="","",INDEX(进销存对接!$D$4:$D$305,230))</f>
        <v/>
      </c>
      <c r="L692" s="32"/>
      <c r="M692" s="32"/>
      <c r="N692" s="26" t="str">
        <f t="shared" si="42"/>
        <v/>
      </c>
      <c r="O692" s="26" t="str">
        <f t="shared" si="43"/>
        <v/>
      </c>
      <c r="P692" s="10"/>
    </row>
    <row r="693" ht="18" customHeight="1" spans="1:16">
      <c r="A693" s="32" t="str">
        <f t="shared" si="40"/>
        <v/>
      </c>
      <c r="B693" s="100" t="str">
        <f>IF($E693="","",INDEX(进销存对接!$C$4:$C$305,230))</f>
        <v/>
      </c>
      <c r="C693" s="26" t="str">
        <f t="shared" si="41"/>
        <v/>
      </c>
      <c r="D693" s="32" t="str">
        <f>IF($E693="","",INDEX(进销存对接!$D$4:$D$305,230)&amp;" "&amp;TEXT($B693,"YYYY年M月")&amp;" 自动结转")</f>
        <v/>
      </c>
      <c r="E693" s="26" t="str">
        <f>IF(INDEX(进销存对接!$M$4:$U$305,230,7)=0,"",INDEX(进销存对接!$M$4:$U$305,230,7))</f>
        <v/>
      </c>
      <c r="F693" s="25" t="str">
        <f>IF($E693="","",IFERROR(INDEX(科目表!$A$4:$A$81,MATCH($E693,科目表!$B$4:$B$81,0)),""))</f>
        <v/>
      </c>
      <c r="G693" s="26" t="str">
        <f>IF($E693="","",IFERROR(INDEX(科目表!$E$4:$E$81,MATCH($E693,科目表!$B$4:$B$81,0)),""))</f>
        <v/>
      </c>
      <c r="H693" s="27" t="str">
        <f>IF($E693="","",N(INDEX(进销存对接!$M$4:$U$305,230,8)))</f>
        <v/>
      </c>
      <c r="I693" s="27" t="str">
        <f>IF($E693="","",N(INDEX(进销存对接!$M$4:$U$305,230,9)))</f>
        <v/>
      </c>
      <c r="J693" s="26"/>
      <c r="K693" s="26" t="str">
        <f>IF($E693="","",INDEX(进销存对接!$D$4:$D$305,230))</f>
        <v/>
      </c>
      <c r="L693" s="32"/>
      <c r="M693" s="32"/>
      <c r="N693" s="26" t="str">
        <f t="shared" si="42"/>
        <v/>
      </c>
      <c r="O693" s="26" t="str">
        <f t="shared" si="43"/>
        <v/>
      </c>
      <c r="P693" s="10"/>
    </row>
    <row r="694" ht="18" customHeight="1" spans="1:16">
      <c r="A694" s="32" t="str">
        <f t="shared" si="40"/>
        <v/>
      </c>
      <c r="B694" s="100" t="str">
        <f>IF($E694="","",INDEX(进销存对接!$C$4:$C$305,231))</f>
        <v/>
      </c>
      <c r="C694" s="26" t="str">
        <f t="shared" si="41"/>
        <v/>
      </c>
      <c r="D694" s="32" t="str">
        <f>IF($E694="","",INDEX(进销存对接!$D$4:$D$305,231)&amp;" "&amp;TEXT($B694,"YYYY年M月")&amp;" 自动结转")</f>
        <v/>
      </c>
      <c r="E694" s="26" t="str">
        <f>IF(INDEX(进销存对接!$M$4:$U$305,231,1)=0,"",INDEX(进销存对接!$M$4:$U$305,231,1))</f>
        <v/>
      </c>
      <c r="F694" s="25" t="str">
        <f>IF($E694="","",IFERROR(INDEX(科目表!$A$4:$A$81,MATCH($E694,科目表!$B$4:$B$81,0)),""))</f>
        <v/>
      </c>
      <c r="G694" s="26" t="str">
        <f>IF($E694="","",IFERROR(INDEX(科目表!$E$4:$E$81,MATCH($E694,科目表!$B$4:$B$81,0)),""))</f>
        <v/>
      </c>
      <c r="H694" s="27" t="str">
        <f>IF($E694="","",N(INDEX(进销存对接!$M$4:$U$305,231,2)))</f>
        <v/>
      </c>
      <c r="I694" s="27" t="str">
        <f>IF($E694="","",N(INDEX(进销存对接!$M$4:$U$305,231,3)))</f>
        <v/>
      </c>
      <c r="J694" s="26"/>
      <c r="K694" s="26" t="str">
        <f>IF($E694="","",INDEX(进销存对接!$D$4:$D$305,231))</f>
        <v/>
      </c>
      <c r="L694" s="32"/>
      <c r="M694" s="32"/>
      <c r="N694" s="26" t="str">
        <f t="shared" si="42"/>
        <v/>
      </c>
      <c r="O694" s="26" t="str">
        <f t="shared" si="43"/>
        <v/>
      </c>
      <c r="P694" s="10"/>
    </row>
    <row r="695" ht="18" customHeight="1" spans="1:16">
      <c r="A695" s="32" t="str">
        <f t="shared" si="40"/>
        <v/>
      </c>
      <c r="B695" s="100" t="str">
        <f>IF($E695="","",INDEX(进销存对接!$C$4:$C$305,231))</f>
        <v/>
      </c>
      <c r="C695" s="26" t="str">
        <f t="shared" si="41"/>
        <v/>
      </c>
      <c r="D695" s="32" t="str">
        <f>IF($E695="","",INDEX(进销存对接!$D$4:$D$305,231)&amp;" "&amp;TEXT($B695,"YYYY年M月")&amp;" 自动结转")</f>
        <v/>
      </c>
      <c r="E695" s="26" t="str">
        <f>IF(INDEX(进销存对接!$M$4:$U$305,231,4)=0,"",INDEX(进销存对接!$M$4:$U$305,231,4))</f>
        <v/>
      </c>
      <c r="F695" s="25" t="str">
        <f>IF($E695="","",IFERROR(INDEX(科目表!$A$4:$A$81,MATCH($E695,科目表!$B$4:$B$81,0)),""))</f>
        <v/>
      </c>
      <c r="G695" s="26" t="str">
        <f>IF($E695="","",IFERROR(INDEX(科目表!$E$4:$E$81,MATCH($E695,科目表!$B$4:$B$81,0)),""))</f>
        <v/>
      </c>
      <c r="H695" s="27" t="str">
        <f>IF($E695="","",N(INDEX(进销存对接!$M$4:$U$305,231,5)))</f>
        <v/>
      </c>
      <c r="I695" s="27" t="str">
        <f>IF($E695="","",N(INDEX(进销存对接!$M$4:$U$305,231,6)))</f>
        <v/>
      </c>
      <c r="J695" s="26"/>
      <c r="K695" s="26" t="str">
        <f>IF($E695="","",INDEX(进销存对接!$D$4:$D$305,231))</f>
        <v/>
      </c>
      <c r="L695" s="32"/>
      <c r="M695" s="32"/>
      <c r="N695" s="26" t="str">
        <f t="shared" si="42"/>
        <v/>
      </c>
      <c r="O695" s="26" t="str">
        <f t="shared" si="43"/>
        <v/>
      </c>
      <c r="P695" s="10"/>
    </row>
    <row r="696" ht="18" customHeight="1" spans="1:16">
      <c r="A696" s="32" t="str">
        <f t="shared" si="40"/>
        <v/>
      </c>
      <c r="B696" s="100" t="str">
        <f>IF($E696="","",INDEX(进销存对接!$C$4:$C$305,231))</f>
        <v/>
      </c>
      <c r="C696" s="26" t="str">
        <f t="shared" si="41"/>
        <v/>
      </c>
      <c r="D696" s="32" t="str">
        <f>IF($E696="","",INDEX(进销存对接!$D$4:$D$305,231)&amp;" "&amp;TEXT($B696,"YYYY年M月")&amp;" 自动结转")</f>
        <v/>
      </c>
      <c r="E696" s="26" t="str">
        <f>IF(INDEX(进销存对接!$M$4:$U$305,231,7)=0,"",INDEX(进销存对接!$M$4:$U$305,231,7))</f>
        <v/>
      </c>
      <c r="F696" s="25" t="str">
        <f>IF($E696="","",IFERROR(INDEX(科目表!$A$4:$A$81,MATCH($E696,科目表!$B$4:$B$81,0)),""))</f>
        <v/>
      </c>
      <c r="G696" s="26" t="str">
        <f>IF($E696="","",IFERROR(INDEX(科目表!$E$4:$E$81,MATCH($E696,科目表!$B$4:$B$81,0)),""))</f>
        <v/>
      </c>
      <c r="H696" s="27" t="str">
        <f>IF($E696="","",N(INDEX(进销存对接!$M$4:$U$305,231,8)))</f>
        <v/>
      </c>
      <c r="I696" s="27" t="str">
        <f>IF($E696="","",N(INDEX(进销存对接!$M$4:$U$305,231,9)))</f>
        <v/>
      </c>
      <c r="J696" s="26"/>
      <c r="K696" s="26" t="str">
        <f>IF($E696="","",INDEX(进销存对接!$D$4:$D$305,231))</f>
        <v/>
      </c>
      <c r="L696" s="32"/>
      <c r="M696" s="32"/>
      <c r="N696" s="26" t="str">
        <f t="shared" si="42"/>
        <v/>
      </c>
      <c r="O696" s="26" t="str">
        <f t="shared" si="43"/>
        <v/>
      </c>
      <c r="P696" s="10"/>
    </row>
    <row r="697" ht="18" customHeight="1" spans="1:16">
      <c r="A697" s="32" t="str">
        <f t="shared" si="40"/>
        <v/>
      </c>
      <c r="B697" s="100" t="str">
        <f>IF($E697="","",INDEX(进销存对接!$C$4:$C$305,232))</f>
        <v/>
      </c>
      <c r="C697" s="26" t="str">
        <f t="shared" si="41"/>
        <v/>
      </c>
      <c r="D697" s="32" t="str">
        <f>IF($E697="","",INDEX(进销存对接!$D$4:$D$305,232)&amp;" "&amp;TEXT($B697,"YYYY年M月")&amp;" 自动结转")</f>
        <v/>
      </c>
      <c r="E697" s="26" t="str">
        <f>IF(INDEX(进销存对接!$M$4:$U$305,232,1)=0,"",INDEX(进销存对接!$M$4:$U$305,232,1))</f>
        <v/>
      </c>
      <c r="F697" s="25" t="str">
        <f>IF($E697="","",IFERROR(INDEX(科目表!$A$4:$A$81,MATCH($E697,科目表!$B$4:$B$81,0)),""))</f>
        <v/>
      </c>
      <c r="G697" s="26" t="str">
        <f>IF($E697="","",IFERROR(INDEX(科目表!$E$4:$E$81,MATCH($E697,科目表!$B$4:$B$81,0)),""))</f>
        <v/>
      </c>
      <c r="H697" s="27" t="str">
        <f>IF($E697="","",N(INDEX(进销存对接!$M$4:$U$305,232,2)))</f>
        <v/>
      </c>
      <c r="I697" s="27" t="str">
        <f>IF($E697="","",N(INDEX(进销存对接!$M$4:$U$305,232,3)))</f>
        <v/>
      </c>
      <c r="J697" s="26"/>
      <c r="K697" s="26" t="str">
        <f>IF($E697="","",INDEX(进销存对接!$D$4:$D$305,232))</f>
        <v/>
      </c>
      <c r="L697" s="32"/>
      <c r="M697" s="32"/>
      <c r="N697" s="26" t="str">
        <f t="shared" si="42"/>
        <v/>
      </c>
      <c r="O697" s="26" t="str">
        <f t="shared" si="43"/>
        <v/>
      </c>
      <c r="P697" s="10"/>
    </row>
    <row r="698" ht="18" customHeight="1" spans="1:16">
      <c r="A698" s="32" t="str">
        <f t="shared" si="40"/>
        <v/>
      </c>
      <c r="B698" s="100" t="str">
        <f>IF($E698="","",INDEX(进销存对接!$C$4:$C$305,232))</f>
        <v/>
      </c>
      <c r="C698" s="26" t="str">
        <f t="shared" si="41"/>
        <v/>
      </c>
      <c r="D698" s="32" t="str">
        <f>IF($E698="","",INDEX(进销存对接!$D$4:$D$305,232)&amp;" "&amp;TEXT($B698,"YYYY年M月")&amp;" 自动结转")</f>
        <v/>
      </c>
      <c r="E698" s="26" t="str">
        <f>IF(INDEX(进销存对接!$M$4:$U$305,232,4)=0,"",INDEX(进销存对接!$M$4:$U$305,232,4))</f>
        <v/>
      </c>
      <c r="F698" s="25" t="str">
        <f>IF($E698="","",IFERROR(INDEX(科目表!$A$4:$A$81,MATCH($E698,科目表!$B$4:$B$81,0)),""))</f>
        <v/>
      </c>
      <c r="G698" s="26" t="str">
        <f>IF($E698="","",IFERROR(INDEX(科目表!$E$4:$E$81,MATCH($E698,科目表!$B$4:$B$81,0)),""))</f>
        <v/>
      </c>
      <c r="H698" s="27" t="str">
        <f>IF($E698="","",N(INDEX(进销存对接!$M$4:$U$305,232,5)))</f>
        <v/>
      </c>
      <c r="I698" s="27" t="str">
        <f>IF($E698="","",N(INDEX(进销存对接!$M$4:$U$305,232,6)))</f>
        <v/>
      </c>
      <c r="J698" s="26"/>
      <c r="K698" s="26" t="str">
        <f>IF($E698="","",INDEX(进销存对接!$D$4:$D$305,232))</f>
        <v/>
      </c>
      <c r="L698" s="32"/>
      <c r="M698" s="32"/>
      <c r="N698" s="26" t="str">
        <f t="shared" si="42"/>
        <v/>
      </c>
      <c r="O698" s="26" t="str">
        <f t="shared" si="43"/>
        <v/>
      </c>
      <c r="P698" s="10"/>
    </row>
    <row r="699" ht="18" customHeight="1" spans="1:16">
      <c r="A699" s="32" t="str">
        <f t="shared" si="40"/>
        <v/>
      </c>
      <c r="B699" s="100" t="str">
        <f>IF($E699="","",INDEX(进销存对接!$C$4:$C$305,232))</f>
        <v/>
      </c>
      <c r="C699" s="26" t="str">
        <f t="shared" si="41"/>
        <v/>
      </c>
      <c r="D699" s="32" t="str">
        <f>IF($E699="","",INDEX(进销存对接!$D$4:$D$305,232)&amp;" "&amp;TEXT($B699,"YYYY年M月")&amp;" 自动结转")</f>
        <v/>
      </c>
      <c r="E699" s="26" t="str">
        <f>IF(INDEX(进销存对接!$M$4:$U$305,232,7)=0,"",INDEX(进销存对接!$M$4:$U$305,232,7))</f>
        <v/>
      </c>
      <c r="F699" s="25" t="str">
        <f>IF($E699="","",IFERROR(INDEX(科目表!$A$4:$A$81,MATCH($E699,科目表!$B$4:$B$81,0)),""))</f>
        <v/>
      </c>
      <c r="G699" s="26" t="str">
        <f>IF($E699="","",IFERROR(INDEX(科目表!$E$4:$E$81,MATCH($E699,科目表!$B$4:$B$81,0)),""))</f>
        <v/>
      </c>
      <c r="H699" s="27" t="str">
        <f>IF($E699="","",N(INDEX(进销存对接!$M$4:$U$305,232,8)))</f>
        <v/>
      </c>
      <c r="I699" s="27" t="str">
        <f>IF($E699="","",N(INDEX(进销存对接!$M$4:$U$305,232,9)))</f>
        <v/>
      </c>
      <c r="J699" s="26"/>
      <c r="K699" s="26" t="str">
        <f>IF($E699="","",INDEX(进销存对接!$D$4:$D$305,232))</f>
        <v/>
      </c>
      <c r="L699" s="32"/>
      <c r="M699" s="32"/>
      <c r="N699" s="26" t="str">
        <f t="shared" si="42"/>
        <v/>
      </c>
      <c r="O699" s="26" t="str">
        <f t="shared" si="43"/>
        <v/>
      </c>
      <c r="P699" s="10"/>
    </row>
    <row r="700" ht="18" customHeight="1" spans="1:16">
      <c r="A700" s="32" t="str">
        <f t="shared" si="40"/>
        <v/>
      </c>
      <c r="B700" s="100" t="str">
        <f>IF($E700="","",INDEX(进销存对接!$C$4:$C$305,233))</f>
        <v/>
      </c>
      <c r="C700" s="26" t="str">
        <f t="shared" si="41"/>
        <v/>
      </c>
      <c r="D700" s="32" t="str">
        <f>IF($E700="","",INDEX(进销存对接!$D$4:$D$305,233)&amp;" "&amp;TEXT($B700,"YYYY年M月")&amp;" 自动结转")</f>
        <v/>
      </c>
      <c r="E700" s="26" t="str">
        <f>IF(INDEX(进销存对接!$M$4:$U$305,233,1)=0,"",INDEX(进销存对接!$M$4:$U$305,233,1))</f>
        <v/>
      </c>
      <c r="F700" s="25" t="str">
        <f>IF($E700="","",IFERROR(INDEX(科目表!$A$4:$A$81,MATCH($E700,科目表!$B$4:$B$81,0)),""))</f>
        <v/>
      </c>
      <c r="G700" s="26" t="str">
        <f>IF($E700="","",IFERROR(INDEX(科目表!$E$4:$E$81,MATCH($E700,科目表!$B$4:$B$81,0)),""))</f>
        <v/>
      </c>
      <c r="H700" s="27" t="str">
        <f>IF($E700="","",N(INDEX(进销存对接!$M$4:$U$305,233,2)))</f>
        <v/>
      </c>
      <c r="I700" s="27" t="str">
        <f>IF($E700="","",N(INDEX(进销存对接!$M$4:$U$305,233,3)))</f>
        <v/>
      </c>
      <c r="J700" s="26"/>
      <c r="K700" s="26" t="str">
        <f>IF($E700="","",INDEX(进销存对接!$D$4:$D$305,233))</f>
        <v/>
      </c>
      <c r="L700" s="32"/>
      <c r="M700" s="32"/>
      <c r="N700" s="26" t="str">
        <f t="shared" si="42"/>
        <v/>
      </c>
      <c r="O700" s="26" t="str">
        <f t="shared" si="43"/>
        <v/>
      </c>
      <c r="P700" s="10"/>
    </row>
    <row r="701" ht="18" customHeight="1" spans="1:16">
      <c r="A701" s="32" t="str">
        <f t="shared" si="40"/>
        <v/>
      </c>
      <c r="B701" s="100" t="str">
        <f>IF($E701="","",INDEX(进销存对接!$C$4:$C$305,233))</f>
        <v/>
      </c>
      <c r="C701" s="26" t="str">
        <f t="shared" si="41"/>
        <v/>
      </c>
      <c r="D701" s="32" t="str">
        <f>IF($E701="","",INDEX(进销存对接!$D$4:$D$305,233)&amp;" "&amp;TEXT($B701,"YYYY年M月")&amp;" 自动结转")</f>
        <v/>
      </c>
      <c r="E701" s="26" t="str">
        <f>IF(INDEX(进销存对接!$M$4:$U$305,233,4)=0,"",INDEX(进销存对接!$M$4:$U$305,233,4))</f>
        <v/>
      </c>
      <c r="F701" s="25" t="str">
        <f>IF($E701="","",IFERROR(INDEX(科目表!$A$4:$A$81,MATCH($E701,科目表!$B$4:$B$81,0)),""))</f>
        <v/>
      </c>
      <c r="G701" s="26" t="str">
        <f>IF($E701="","",IFERROR(INDEX(科目表!$E$4:$E$81,MATCH($E701,科目表!$B$4:$B$81,0)),""))</f>
        <v/>
      </c>
      <c r="H701" s="27" t="str">
        <f>IF($E701="","",N(INDEX(进销存对接!$M$4:$U$305,233,5)))</f>
        <v/>
      </c>
      <c r="I701" s="27" t="str">
        <f>IF($E701="","",N(INDEX(进销存对接!$M$4:$U$305,233,6)))</f>
        <v/>
      </c>
      <c r="J701" s="26"/>
      <c r="K701" s="26" t="str">
        <f>IF($E701="","",INDEX(进销存对接!$D$4:$D$305,233))</f>
        <v/>
      </c>
      <c r="L701" s="32"/>
      <c r="M701" s="32"/>
      <c r="N701" s="26" t="str">
        <f t="shared" si="42"/>
        <v/>
      </c>
      <c r="O701" s="26" t="str">
        <f t="shared" si="43"/>
        <v/>
      </c>
      <c r="P701" s="10"/>
    </row>
    <row r="702" ht="18" customHeight="1" spans="1:16">
      <c r="A702" s="32" t="str">
        <f t="shared" si="40"/>
        <v/>
      </c>
      <c r="B702" s="100" t="str">
        <f>IF($E702="","",INDEX(进销存对接!$C$4:$C$305,233))</f>
        <v/>
      </c>
      <c r="C702" s="26" t="str">
        <f t="shared" si="41"/>
        <v/>
      </c>
      <c r="D702" s="32" t="str">
        <f>IF($E702="","",INDEX(进销存对接!$D$4:$D$305,233)&amp;" "&amp;TEXT($B702,"YYYY年M月")&amp;" 自动结转")</f>
        <v/>
      </c>
      <c r="E702" s="26" t="str">
        <f>IF(INDEX(进销存对接!$M$4:$U$305,233,7)=0,"",INDEX(进销存对接!$M$4:$U$305,233,7))</f>
        <v/>
      </c>
      <c r="F702" s="25" t="str">
        <f>IF($E702="","",IFERROR(INDEX(科目表!$A$4:$A$81,MATCH($E702,科目表!$B$4:$B$81,0)),""))</f>
        <v/>
      </c>
      <c r="G702" s="26" t="str">
        <f>IF($E702="","",IFERROR(INDEX(科目表!$E$4:$E$81,MATCH($E702,科目表!$B$4:$B$81,0)),""))</f>
        <v/>
      </c>
      <c r="H702" s="27" t="str">
        <f>IF($E702="","",N(INDEX(进销存对接!$M$4:$U$305,233,8)))</f>
        <v/>
      </c>
      <c r="I702" s="27" t="str">
        <f>IF($E702="","",N(INDEX(进销存对接!$M$4:$U$305,233,9)))</f>
        <v/>
      </c>
      <c r="J702" s="26"/>
      <c r="K702" s="26" t="str">
        <f>IF($E702="","",INDEX(进销存对接!$D$4:$D$305,233))</f>
        <v/>
      </c>
      <c r="L702" s="32"/>
      <c r="M702" s="32"/>
      <c r="N702" s="26" t="str">
        <f t="shared" si="42"/>
        <v/>
      </c>
      <c r="O702" s="26" t="str">
        <f t="shared" si="43"/>
        <v/>
      </c>
      <c r="P702" s="10"/>
    </row>
    <row r="703" ht="18" customHeight="1" spans="1:16">
      <c r="A703" s="32" t="str">
        <f t="shared" si="40"/>
        <v/>
      </c>
      <c r="B703" s="100" t="str">
        <f>IF($E703="","",INDEX(进销存对接!$C$4:$C$305,234))</f>
        <v/>
      </c>
      <c r="C703" s="26" t="str">
        <f t="shared" si="41"/>
        <v/>
      </c>
      <c r="D703" s="32" t="str">
        <f>IF($E703="","",INDEX(进销存对接!$D$4:$D$305,234)&amp;" "&amp;TEXT($B703,"YYYY年M月")&amp;" 自动结转")</f>
        <v/>
      </c>
      <c r="E703" s="26" t="str">
        <f>IF(INDEX(进销存对接!$M$4:$U$305,234,1)=0,"",INDEX(进销存对接!$M$4:$U$305,234,1))</f>
        <v/>
      </c>
      <c r="F703" s="25" t="str">
        <f>IF($E703="","",IFERROR(INDEX(科目表!$A$4:$A$81,MATCH($E703,科目表!$B$4:$B$81,0)),""))</f>
        <v/>
      </c>
      <c r="G703" s="26" t="str">
        <f>IF($E703="","",IFERROR(INDEX(科目表!$E$4:$E$81,MATCH($E703,科目表!$B$4:$B$81,0)),""))</f>
        <v/>
      </c>
      <c r="H703" s="27" t="str">
        <f>IF($E703="","",N(INDEX(进销存对接!$M$4:$U$305,234,2)))</f>
        <v/>
      </c>
      <c r="I703" s="27" t="str">
        <f>IF($E703="","",N(INDEX(进销存对接!$M$4:$U$305,234,3)))</f>
        <v/>
      </c>
      <c r="J703" s="26"/>
      <c r="K703" s="26" t="str">
        <f>IF($E703="","",INDEX(进销存对接!$D$4:$D$305,234))</f>
        <v/>
      </c>
      <c r="L703" s="32"/>
      <c r="M703" s="32"/>
      <c r="N703" s="26" t="str">
        <f t="shared" si="42"/>
        <v/>
      </c>
      <c r="O703" s="26" t="str">
        <f t="shared" si="43"/>
        <v/>
      </c>
      <c r="P703" s="10"/>
    </row>
    <row r="704" ht="18" customHeight="1" spans="1:16">
      <c r="A704" s="32" t="str">
        <f t="shared" si="40"/>
        <v/>
      </c>
      <c r="B704" s="100" t="str">
        <f>IF($E704="","",INDEX(进销存对接!$C$4:$C$305,234))</f>
        <v/>
      </c>
      <c r="C704" s="26" t="str">
        <f t="shared" si="41"/>
        <v/>
      </c>
      <c r="D704" s="32" t="str">
        <f>IF($E704="","",INDEX(进销存对接!$D$4:$D$305,234)&amp;" "&amp;TEXT($B704,"YYYY年M月")&amp;" 自动结转")</f>
        <v/>
      </c>
      <c r="E704" s="26" t="str">
        <f>IF(INDEX(进销存对接!$M$4:$U$305,234,4)=0,"",INDEX(进销存对接!$M$4:$U$305,234,4))</f>
        <v/>
      </c>
      <c r="F704" s="25" t="str">
        <f>IF($E704="","",IFERROR(INDEX(科目表!$A$4:$A$81,MATCH($E704,科目表!$B$4:$B$81,0)),""))</f>
        <v/>
      </c>
      <c r="G704" s="26" t="str">
        <f>IF($E704="","",IFERROR(INDEX(科目表!$E$4:$E$81,MATCH($E704,科目表!$B$4:$B$81,0)),""))</f>
        <v/>
      </c>
      <c r="H704" s="27" t="str">
        <f>IF($E704="","",N(INDEX(进销存对接!$M$4:$U$305,234,5)))</f>
        <v/>
      </c>
      <c r="I704" s="27" t="str">
        <f>IF($E704="","",N(INDEX(进销存对接!$M$4:$U$305,234,6)))</f>
        <v/>
      </c>
      <c r="J704" s="26"/>
      <c r="K704" s="26" t="str">
        <f>IF($E704="","",INDEX(进销存对接!$D$4:$D$305,234))</f>
        <v/>
      </c>
      <c r="L704" s="32"/>
      <c r="M704" s="32"/>
      <c r="N704" s="26" t="str">
        <f t="shared" si="42"/>
        <v/>
      </c>
      <c r="O704" s="26" t="str">
        <f t="shared" si="43"/>
        <v/>
      </c>
      <c r="P704" s="10"/>
    </row>
    <row r="705" ht="18" customHeight="1" spans="1:16">
      <c r="A705" s="32" t="str">
        <f t="shared" si="40"/>
        <v/>
      </c>
      <c r="B705" s="100" t="str">
        <f>IF($E705="","",INDEX(进销存对接!$C$4:$C$305,234))</f>
        <v/>
      </c>
      <c r="C705" s="26" t="str">
        <f t="shared" si="41"/>
        <v/>
      </c>
      <c r="D705" s="32" t="str">
        <f>IF($E705="","",INDEX(进销存对接!$D$4:$D$305,234)&amp;" "&amp;TEXT($B705,"YYYY年M月")&amp;" 自动结转")</f>
        <v/>
      </c>
      <c r="E705" s="26" t="str">
        <f>IF(INDEX(进销存对接!$M$4:$U$305,234,7)=0,"",INDEX(进销存对接!$M$4:$U$305,234,7))</f>
        <v/>
      </c>
      <c r="F705" s="25" t="str">
        <f>IF($E705="","",IFERROR(INDEX(科目表!$A$4:$A$81,MATCH($E705,科目表!$B$4:$B$81,0)),""))</f>
        <v/>
      </c>
      <c r="G705" s="26" t="str">
        <f>IF($E705="","",IFERROR(INDEX(科目表!$E$4:$E$81,MATCH($E705,科目表!$B$4:$B$81,0)),""))</f>
        <v/>
      </c>
      <c r="H705" s="27" t="str">
        <f>IF($E705="","",N(INDEX(进销存对接!$M$4:$U$305,234,8)))</f>
        <v/>
      </c>
      <c r="I705" s="27" t="str">
        <f>IF($E705="","",N(INDEX(进销存对接!$M$4:$U$305,234,9)))</f>
        <v/>
      </c>
      <c r="J705" s="26"/>
      <c r="K705" s="26" t="str">
        <f>IF($E705="","",INDEX(进销存对接!$D$4:$D$305,234))</f>
        <v/>
      </c>
      <c r="L705" s="32"/>
      <c r="M705" s="32"/>
      <c r="N705" s="26" t="str">
        <f t="shared" si="42"/>
        <v/>
      </c>
      <c r="O705" s="26" t="str">
        <f t="shared" si="43"/>
        <v/>
      </c>
      <c r="P705" s="10"/>
    </row>
    <row r="706" ht="18" customHeight="1" spans="1:16">
      <c r="A706" s="32" t="str">
        <f t="shared" si="40"/>
        <v/>
      </c>
      <c r="B706" s="100" t="str">
        <f>IF($E706="","",INDEX(进销存对接!$C$4:$C$305,235))</f>
        <v/>
      </c>
      <c r="C706" s="26" t="str">
        <f t="shared" si="41"/>
        <v/>
      </c>
      <c r="D706" s="32" t="str">
        <f>IF($E706="","",INDEX(进销存对接!$D$4:$D$305,235)&amp;" "&amp;TEXT($B706,"YYYY年M月")&amp;" 自动结转")</f>
        <v/>
      </c>
      <c r="E706" s="26" t="str">
        <f>IF(INDEX(进销存对接!$M$4:$U$305,235,1)=0,"",INDEX(进销存对接!$M$4:$U$305,235,1))</f>
        <v/>
      </c>
      <c r="F706" s="25" t="str">
        <f>IF($E706="","",IFERROR(INDEX(科目表!$A$4:$A$81,MATCH($E706,科目表!$B$4:$B$81,0)),""))</f>
        <v/>
      </c>
      <c r="G706" s="26" t="str">
        <f>IF($E706="","",IFERROR(INDEX(科目表!$E$4:$E$81,MATCH($E706,科目表!$B$4:$B$81,0)),""))</f>
        <v/>
      </c>
      <c r="H706" s="27" t="str">
        <f>IF($E706="","",N(INDEX(进销存对接!$M$4:$U$305,235,2)))</f>
        <v/>
      </c>
      <c r="I706" s="27" t="str">
        <f>IF($E706="","",N(INDEX(进销存对接!$M$4:$U$305,235,3)))</f>
        <v/>
      </c>
      <c r="J706" s="26"/>
      <c r="K706" s="26" t="str">
        <f>IF($E706="","",INDEX(进销存对接!$D$4:$D$305,235))</f>
        <v/>
      </c>
      <c r="L706" s="32"/>
      <c r="M706" s="32"/>
      <c r="N706" s="26" t="str">
        <f t="shared" si="42"/>
        <v/>
      </c>
      <c r="O706" s="26" t="str">
        <f t="shared" si="43"/>
        <v/>
      </c>
      <c r="P706" s="10"/>
    </row>
    <row r="707" ht="18" customHeight="1" spans="1:16">
      <c r="A707" s="32" t="str">
        <f t="shared" si="40"/>
        <v/>
      </c>
      <c r="B707" s="100" t="str">
        <f>IF($E707="","",INDEX(进销存对接!$C$4:$C$305,235))</f>
        <v/>
      </c>
      <c r="C707" s="26" t="str">
        <f t="shared" si="41"/>
        <v/>
      </c>
      <c r="D707" s="32" t="str">
        <f>IF($E707="","",INDEX(进销存对接!$D$4:$D$305,235)&amp;" "&amp;TEXT($B707,"YYYY年M月")&amp;" 自动结转")</f>
        <v/>
      </c>
      <c r="E707" s="26" t="str">
        <f>IF(INDEX(进销存对接!$M$4:$U$305,235,4)=0,"",INDEX(进销存对接!$M$4:$U$305,235,4))</f>
        <v/>
      </c>
      <c r="F707" s="25" t="str">
        <f>IF($E707="","",IFERROR(INDEX(科目表!$A$4:$A$81,MATCH($E707,科目表!$B$4:$B$81,0)),""))</f>
        <v/>
      </c>
      <c r="G707" s="26" t="str">
        <f>IF($E707="","",IFERROR(INDEX(科目表!$E$4:$E$81,MATCH($E707,科目表!$B$4:$B$81,0)),""))</f>
        <v/>
      </c>
      <c r="H707" s="27" t="str">
        <f>IF($E707="","",N(INDEX(进销存对接!$M$4:$U$305,235,5)))</f>
        <v/>
      </c>
      <c r="I707" s="27" t="str">
        <f>IF($E707="","",N(INDEX(进销存对接!$M$4:$U$305,235,6)))</f>
        <v/>
      </c>
      <c r="J707" s="26"/>
      <c r="K707" s="26" t="str">
        <f>IF($E707="","",INDEX(进销存对接!$D$4:$D$305,235))</f>
        <v/>
      </c>
      <c r="L707" s="32"/>
      <c r="M707" s="32"/>
      <c r="N707" s="26" t="str">
        <f t="shared" si="42"/>
        <v/>
      </c>
      <c r="O707" s="26" t="str">
        <f t="shared" si="43"/>
        <v/>
      </c>
      <c r="P707" s="10"/>
    </row>
    <row r="708" ht="18" customHeight="1" spans="1:16">
      <c r="A708" s="32" t="str">
        <f t="shared" ref="A708:A771" si="44">IF($E708="","",ROW()-3)</f>
        <v/>
      </c>
      <c r="B708" s="100" t="str">
        <f>IF($E708="","",INDEX(进销存对接!$C$4:$C$305,235))</f>
        <v/>
      </c>
      <c r="C708" s="26" t="str">
        <f t="shared" ref="C708:C771" si="45">IF($E708="","","记-"&amp;TEXT($B708,"YYYYMM")&amp;"-进销存")</f>
        <v/>
      </c>
      <c r="D708" s="32" t="str">
        <f>IF($E708="","",INDEX(进销存对接!$D$4:$D$305,235)&amp;" "&amp;TEXT($B708,"YYYY年M月")&amp;" 自动结转")</f>
        <v/>
      </c>
      <c r="E708" s="26" t="str">
        <f>IF(INDEX(进销存对接!$M$4:$U$305,235,7)=0,"",INDEX(进销存对接!$M$4:$U$305,235,7))</f>
        <v/>
      </c>
      <c r="F708" s="25" t="str">
        <f>IF($E708="","",IFERROR(INDEX(科目表!$A$4:$A$81,MATCH($E708,科目表!$B$4:$B$81,0)),""))</f>
        <v/>
      </c>
      <c r="G708" s="26" t="str">
        <f>IF($E708="","",IFERROR(INDEX(科目表!$E$4:$E$81,MATCH($E708,科目表!$B$4:$B$81,0)),""))</f>
        <v/>
      </c>
      <c r="H708" s="27" t="str">
        <f>IF($E708="","",N(INDEX(进销存对接!$M$4:$U$305,235,8)))</f>
        <v/>
      </c>
      <c r="I708" s="27" t="str">
        <f>IF($E708="","",N(INDEX(进销存对接!$M$4:$U$305,235,9)))</f>
        <v/>
      </c>
      <c r="J708" s="26"/>
      <c r="K708" s="26" t="str">
        <f>IF($E708="","",INDEX(进销存对接!$D$4:$D$305,235))</f>
        <v/>
      </c>
      <c r="L708" s="32"/>
      <c r="M708" s="32"/>
      <c r="N708" s="26" t="str">
        <f t="shared" ref="N708:N771" si="46">IF($E708="","","系统")</f>
        <v/>
      </c>
      <c r="O708" s="26" t="str">
        <f t="shared" ref="O708:O771" si="47">IF($E708="","","自动A")</f>
        <v/>
      </c>
      <c r="P708" s="10"/>
    </row>
    <row r="709" ht="18" customHeight="1" spans="1:16">
      <c r="A709" s="32" t="str">
        <f t="shared" si="44"/>
        <v/>
      </c>
      <c r="B709" s="100" t="str">
        <f>IF($E709="","",INDEX(进销存对接!$C$4:$C$305,236))</f>
        <v/>
      </c>
      <c r="C709" s="26" t="str">
        <f t="shared" si="45"/>
        <v/>
      </c>
      <c r="D709" s="32" t="str">
        <f>IF($E709="","",INDEX(进销存对接!$D$4:$D$305,236)&amp;" "&amp;TEXT($B709,"YYYY年M月")&amp;" 自动结转")</f>
        <v/>
      </c>
      <c r="E709" s="26" t="str">
        <f>IF(INDEX(进销存对接!$M$4:$U$305,236,1)=0,"",INDEX(进销存对接!$M$4:$U$305,236,1))</f>
        <v/>
      </c>
      <c r="F709" s="25" t="str">
        <f>IF($E709="","",IFERROR(INDEX(科目表!$A$4:$A$81,MATCH($E709,科目表!$B$4:$B$81,0)),""))</f>
        <v/>
      </c>
      <c r="G709" s="26" t="str">
        <f>IF($E709="","",IFERROR(INDEX(科目表!$E$4:$E$81,MATCH($E709,科目表!$B$4:$B$81,0)),""))</f>
        <v/>
      </c>
      <c r="H709" s="27" t="str">
        <f>IF($E709="","",N(INDEX(进销存对接!$M$4:$U$305,236,2)))</f>
        <v/>
      </c>
      <c r="I709" s="27" t="str">
        <f>IF($E709="","",N(INDEX(进销存对接!$M$4:$U$305,236,3)))</f>
        <v/>
      </c>
      <c r="J709" s="26"/>
      <c r="K709" s="26" t="str">
        <f>IF($E709="","",INDEX(进销存对接!$D$4:$D$305,236))</f>
        <v/>
      </c>
      <c r="L709" s="32"/>
      <c r="M709" s="32"/>
      <c r="N709" s="26" t="str">
        <f t="shared" si="46"/>
        <v/>
      </c>
      <c r="O709" s="26" t="str">
        <f t="shared" si="47"/>
        <v/>
      </c>
      <c r="P709" s="10"/>
    </row>
    <row r="710" ht="18" customHeight="1" spans="1:16">
      <c r="A710" s="32" t="str">
        <f t="shared" si="44"/>
        <v/>
      </c>
      <c r="B710" s="100" t="str">
        <f>IF($E710="","",INDEX(进销存对接!$C$4:$C$305,236))</f>
        <v/>
      </c>
      <c r="C710" s="26" t="str">
        <f t="shared" si="45"/>
        <v/>
      </c>
      <c r="D710" s="32" t="str">
        <f>IF($E710="","",INDEX(进销存对接!$D$4:$D$305,236)&amp;" "&amp;TEXT($B710,"YYYY年M月")&amp;" 自动结转")</f>
        <v/>
      </c>
      <c r="E710" s="26" t="str">
        <f>IF(INDEX(进销存对接!$M$4:$U$305,236,4)=0,"",INDEX(进销存对接!$M$4:$U$305,236,4))</f>
        <v/>
      </c>
      <c r="F710" s="25" t="str">
        <f>IF($E710="","",IFERROR(INDEX(科目表!$A$4:$A$81,MATCH($E710,科目表!$B$4:$B$81,0)),""))</f>
        <v/>
      </c>
      <c r="G710" s="26" t="str">
        <f>IF($E710="","",IFERROR(INDEX(科目表!$E$4:$E$81,MATCH($E710,科目表!$B$4:$B$81,0)),""))</f>
        <v/>
      </c>
      <c r="H710" s="27" t="str">
        <f>IF($E710="","",N(INDEX(进销存对接!$M$4:$U$305,236,5)))</f>
        <v/>
      </c>
      <c r="I710" s="27" t="str">
        <f>IF($E710="","",N(INDEX(进销存对接!$M$4:$U$305,236,6)))</f>
        <v/>
      </c>
      <c r="J710" s="26"/>
      <c r="K710" s="26" t="str">
        <f>IF($E710="","",INDEX(进销存对接!$D$4:$D$305,236))</f>
        <v/>
      </c>
      <c r="L710" s="32"/>
      <c r="M710" s="32"/>
      <c r="N710" s="26" t="str">
        <f t="shared" si="46"/>
        <v/>
      </c>
      <c r="O710" s="26" t="str">
        <f t="shared" si="47"/>
        <v/>
      </c>
      <c r="P710" s="10"/>
    </row>
    <row r="711" ht="18" customHeight="1" spans="1:16">
      <c r="A711" s="32" t="str">
        <f t="shared" si="44"/>
        <v/>
      </c>
      <c r="B711" s="100" t="str">
        <f>IF($E711="","",INDEX(进销存对接!$C$4:$C$305,236))</f>
        <v/>
      </c>
      <c r="C711" s="26" t="str">
        <f t="shared" si="45"/>
        <v/>
      </c>
      <c r="D711" s="32" t="str">
        <f>IF($E711="","",INDEX(进销存对接!$D$4:$D$305,236)&amp;" "&amp;TEXT($B711,"YYYY年M月")&amp;" 自动结转")</f>
        <v/>
      </c>
      <c r="E711" s="26" t="str">
        <f>IF(INDEX(进销存对接!$M$4:$U$305,236,7)=0,"",INDEX(进销存对接!$M$4:$U$305,236,7))</f>
        <v/>
      </c>
      <c r="F711" s="25" t="str">
        <f>IF($E711="","",IFERROR(INDEX(科目表!$A$4:$A$81,MATCH($E711,科目表!$B$4:$B$81,0)),""))</f>
        <v/>
      </c>
      <c r="G711" s="26" t="str">
        <f>IF($E711="","",IFERROR(INDEX(科目表!$E$4:$E$81,MATCH($E711,科目表!$B$4:$B$81,0)),""))</f>
        <v/>
      </c>
      <c r="H711" s="27" t="str">
        <f>IF($E711="","",N(INDEX(进销存对接!$M$4:$U$305,236,8)))</f>
        <v/>
      </c>
      <c r="I711" s="27" t="str">
        <f>IF($E711="","",N(INDEX(进销存对接!$M$4:$U$305,236,9)))</f>
        <v/>
      </c>
      <c r="J711" s="26"/>
      <c r="K711" s="26" t="str">
        <f>IF($E711="","",INDEX(进销存对接!$D$4:$D$305,236))</f>
        <v/>
      </c>
      <c r="L711" s="32"/>
      <c r="M711" s="32"/>
      <c r="N711" s="26" t="str">
        <f t="shared" si="46"/>
        <v/>
      </c>
      <c r="O711" s="26" t="str">
        <f t="shared" si="47"/>
        <v/>
      </c>
      <c r="P711" s="10"/>
    </row>
    <row r="712" ht="18" customHeight="1" spans="1:16">
      <c r="A712" s="32" t="str">
        <f t="shared" si="44"/>
        <v/>
      </c>
      <c r="B712" s="100" t="str">
        <f>IF($E712="","",INDEX(进销存对接!$C$4:$C$305,237))</f>
        <v/>
      </c>
      <c r="C712" s="26" t="str">
        <f t="shared" si="45"/>
        <v/>
      </c>
      <c r="D712" s="32" t="str">
        <f>IF($E712="","",INDEX(进销存对接!$D$4:$D$305,237)&amp;" "&amp;TEXT($B712,"YYYY年M月")&amp;" 自动结转")</f>
        <v/>
      </c>
      <c r="E712" s="26" t="str">
        <f>IF(INDEX(进销存对接!$M$4:$U$305,237,1)=0,"",INDEX(进销存对接!$M$4:$U$305,237,1))</f>
        <v/>
      </c>
      <c r="F712" s="25" t="str">
        <f>IF($E712="","",IFERROR(INDEX(科目表!$A$4:$A$81,MATCH($E712,科目表!$B$4:$B$81,0)),""))</f>
        <v/>
      </c>
      <c r="G712" s="26" t="str">
        <f>IF($E712="","",IFERROR(INDEX(科目表!$E$4:$E$81,MATCH($E712,科目表!$B$4:$B$81,0)),""))</f>
        <v/>
      </c>
      <c r="H712" s="27" t="str">
        <f>IF($E712="","",N(INDEX(进销存对接!$M$4:$U$305,237,2)))</f>
        <v/>
      </c>
      <c r="I712" s="27" t="str">
        <f>IF($E712="","",N(INDEX(进销存对接!$M$4:$U$305,237,3)))</f>
        <v/>
      </c>
      <c r="J712" s="26"/>
      <c r="K712" s="26" t="str">
        <f>IF($E712="","",INDEX(进销存对接!$D$4:$D$305,237))</f>
        <v/>
      </c>
      <c r="L712" s="32"/>
      <c r="M712" s="32"/>
      <c r="N712" s="26" t="str">
        <f t="shared" si="46"/>
        <v/>
      </c>
      <c r="O712" s="26" t="str">
        <f t="shared" si="47"/>
        <v/>
      </c>
      <c r="P712" s="10"/>
    </row>
    <row r="713" ht="18" customHeight="1" spans="1:16">
      <c r="A713" s="32" t="str">
        <f t="shared" si="44"/>
        <v/>
      </c>
      <c r="B713" s="100" t="str">
        <f>IF($E713="","",INDEX(进销存对接!$C$4:$C$305,237))</f>
        <v/>
      </c>
      <c r="C713" s="26" t="str">
        <f t="shared" si="45"/>
        <v/>
      </c>
      <c r="D713" s="32" t="str">
        <f>IF($E713="","",INDEX(进销存对接!$D$4:$D$305,237)&amp;" "&amp;TEXT($B713,"YYYY年M月")&amp;" 自动结转")</f>
        <v/>
      </c>
      <c r="E713" s="26" t="str">
        <f>IF(INDEX(进销存对接!$M$4:$U$305,237,4)=0,"",INDEX(进销存对接!$M$4:$U$305,237,4))</f>
        <v/>
      </c>
      <c r="F713" s="25" t="str">
        <f>IF($E713="","",IFERROR(INDEX(科目表!$A$4:$A$81,MATCH($E713,科目表!$B$4:$B$81,0)),""))</f>
        <v/>
      </c>
      <c r="G713" s="26" t="str">
        <f>IF($E713="","",IFERROR(INDEX(科目表!$E$4:$E$81,MATCH($E713,科目表!$B$4:$B$81,0)),""))</f>
        <v/>
      </c>
      <c r="H713" s="27" t="str">
        <f>IF($E713="","",N(INDEX(进销存对接!$M$4:$U$305,237,5)))</f>
        <v/>
      </c>
      <c r="I713" s="27" t="str">
        <f>IF($E713="","",N(INDEX(进销存对接!$M$4:$U$305,237,6)))</f>
        <v/>
      </c>
      <c r="J713" s="26"/>
      <c r="K713" s="26" t="str">
        <f>IF($E713="","",INDEX(进销存对接!$D$4:$D$305,237))</f>
        <v/>
      </c>
      <c r="L713" s="32"/>
      <c r="M713" s="32"/>
      <c r="N713" s="26" t="str">
        <f t="shared" si="46"/>
        <v/>
      </c>
      <c r="O713" s="26" t="str">
        <f t="shared" si="47"/>
        <v/>
      </c>
      <c r="P713" s="10"/>
    </row>
    <row r="714" ht="18" customHeight="1" spans="1:16">
      <c r="A714" s="32" t="str">
        <f t="shared" si="44"/>
        <v/>
      </c>
      <c r="B714" s="100" t="str">
        <f>IF($E714="","",INDEX(进销存对接!$C$4:$C$305,237))</f>
        <v/>
      </c>
      <c r="C714" s="26" t="str">
        <f t="shared" si="45"/>
        <v/>
      </c>
      <c r="D714" s="32" t="str">
        <f>IF($E714="","",INDEX(进销存对接!$D$4:$D$305,237)&amp;" "&amp;TEXT($B714,"YYYY年M月")&amp;" 自动结转")</f>
        <v/>
      </c>
      <c r="E714" s="26" t="str">
        <f>IF(INDEX(进销存对接!$M$4:$U$305,237,7)=0,"",INDEX(进销存对接!$M$4:$U$305,237,7))</f>
        <v/>
      </c>
      <c r="F714" s="25" t="str">
        <f>IF($E714="","",IFERROR(INDEX(科目表!$A$4:$A$81,MATCH($E714,科目表!$B$4:$B$81,0)),""))</f>
        <v/>
      </c>
      <c r="G714" s="26" t="str">
        <f>IF($E714="","",IFERROR(INDEX(科目表!$E$4:$E$81,MATCH($E714,科目表!$B$4:$B$81,0)),""))</f>
        <v/>
      </c>
      <c r="H714" s="27" t="str">
        <f>IF($E714="","",N(INDEX(进销存对接!$M$4:$U$305,237,8)))</f>
        <v/>
      </c>
      <c r="I714" s="27" t="str">
        <f>IF($E714="","",N(INDEX(进销存对接!$M$4:$U$305,237,9)))</f>
        <v/>
      </c>
      <c r="J714" s="26"/>
      <c r="K714" s="26" t="str">
        <f>IF($E714="","",INDEX(进销存对接!$D$4:$D$305,237))</f>
        <v/>
      </c>
      <c r="L714" s="32"/>
      <c r="M714" s="32"/>
      <c r="N714" s="26" t="str">
        <f t="shared" si="46"/>
        <v/>
      </c>
      <c r="O714" s="26" t="str">
        <f t="shared" si="47"/>
        <v/>
      </c>
      <c r="P714" s="10"/>
    </row>
    <row r="715" ht="18" customHeight="1" spans="1:16">
      <c r="A715" s="32" t="str">
        <f t="shared" si="44"/>
        <v/>
      </c>
      <c r="B715" s="100" t="str">
        <f>IF($E715="","",INDEX(进销存对接!$C$4:$C$305,238))</f>
        <v/>
      </c>
      <c r="C715" s="26" t="str">
        <f t="shared" si="45"/>
        <v/>
      </c>
      <c r="D715" s="32" t="str">
        <f>IF($E715="","",INDEX(进销存对接!$D$4:$D$305,238)&amp;" "&amp;TEXT($B715,"YYYY年M月")&amp;" 自动结转")</f>
        <v/>
      </c>
      <c r="E715" s="26" t="str">
        <f>IF(INDEX(进销存对接!$M$4:$U$305,238,1)=0,"",INDEX(进销存对接!$M$4:$U$305,238,1))</f>
        <v/>
      </c>
      <c r="F715" s="25" t="str">
        <f>IF($E715="","",IFERROR(INDEX(科目表!$A$4:$A$81,MATCH($E715,科目表!$B$4:$B$81,0)),""))</f>
        <v/>
      </c>
      <c r="G715" s="26" t="str">
        <f>IF($E715="","",IFERROR(INDEX(科目表!$E$4:$E$81,MATCH($E715,科目表!$B$4:$B$81,0)),""))</f>
        <v/>
      </c>
      <c r="H715" s="27" t="str">
        <f>IF($E715="","",N(INDEX(进销存对接!$M$4:$U$305,238,2)))</f>
        <v/>
      </c>
      <c r="I715" s="27" t="str">
        <f>IF($E715="","",N(INDEX(进销存对接!$M$4:$U$305,238,3)))</f>
        <v/>
      </c>
      <c r="J715" s="26"/>
      <c r="K715" s="26" t="str">
        <f>IF($E715="","",INDEX(进销存对接!$D$4:$D$305,238))</f>
        <v/>
      </c>
      <c r="L715" s="32"/>
      <c r="M715" s="32"/>
      <c r="N715" s="26" t="str">
        <f t="shared" si="46"/>
        <v/>
      </c>
      <c r="O715" s="26" t="str">
        <f t="shared" si="47"/>
        <v/>
      </c>
      <c r="P715" s="10"/>
    </row>
    <row r="716" ht="18" customHeight="1" spans="1:16">
      <c r="A716" s="32" t="str">
        <f t="shared" si="44"/>
        <v/>
      </c>
      <c r="B716" s="100" t="str">
        <f>IF($E716="","",INDEX(进销存对接!$C$4:$C$305,238))</f>
        <v/>
      </c>
      <c r="C716" s="26" t="str">
        <f t="shared" si="45"/>
        <v/>
      </c>
      <c r="D716" s="32" t="str">
        <f>IF($E716="","",INDEX(进销存对接!$D$4:$D$305,238)&amp;" "&amp;TEXT($B716,"YYYY年M月")&amp;" 自动结转")</f>
        <v/>
      </c>
      <c r="E716" s="26" t="str">
        <f>IF(INDEX(进销存对接!$M$4:$U$305,238,4)=0,"",INDEX(进销存对接!$M$4:$U$305,238,4))</f>
        <v/>
      </c>
      <c r="F716" s="25" t="str">
        <f>IF($E716="","",IFERROR(INDEX(科目表!$A$4:$A$81,MATCH($E716,科目表!$B$4:$B$81,0)),""))</f>
        <v/>
      </c>
      <c r="G716" s="26" t="str">
        <f>IF($E716="","",IFERROR(INDEX(科目表!$E$4:$E$81,MATCH($E716,科目表!$B$4:$B$81,0)),""))</f>
        <v/>
      </c>
      <c r="H716" s="27" t="str">
        <f>IF($E716="","",N(INDEX(进销存对接!$M$4:$U$305,238,5)))</f>
        <v/>
      </c>
      <c r="I716" s="27" t="str">
        <f>IF($E716="","",N(INDEX(进销存对接!$M$4:$U$305,238,6)))</f>
        <v/>
      </c>
      <c r="J716" s="26"/>
      <c r="K716" s="26" t="str">
        <f>IF($E716="","",INDEX(进销存对接!$D$4:$D$305,238))</f>
        <v/>
      </c>
      <c r="L716" s="32"/>
      <c r="M716" s="32"/>
      <c r="N716" s="26" t="str">
        <f t="shared" si="46"/>
        <v/>
      </c>
      <c r="O716" s="26" t="str">
        <f t="shared" si="47"/>
        <v/>
      </c>
      <c r="P716" s="10"/>
    </row>
    <row r="717" ht="18" customHeight="1" spans="1:16">
      <c r="A717" s="32" t="str">
        <f t="shared" si="44"/>
        <v/>
      </c>
      <c r="B717" s="100" t="str">
        <f>IF($E717="","",INDEX(进销存对接!$C$4:$C$305,238))</f>
        <v/>
      </c>
      <c r="C717" s="26" t="str">
        <f t="shared" si="45"/>
        <v/>
      </c>
      <c r="D717" s="32" t="str">
        <f>IF($E717="","",INDEX(进销存对接!$D$4:$D$305,238)&amp;" "&amp;TEXT($B717,"YYYY年M月")&amp;" 自动结转")</f>
        <v/>
      </c>
      <c r="E717" s="26" t="str">
        <f>IF(INDEX(进销存对接!$M$4:$U$305,238,7)=0,"",INDEX(进销存对接!$M$4:$U$305,238,7))</f>
        <v/>
      </c>
      <c r="F717" s="25" t="str">
        <f>IF($E717="","",IFERROR(INDEX(科目表!$A$4:$A$81,MATCH($E717,科目表!$B$4:$B$81,0)),""))</f>
        <v/>
      </c>
      <c r="G717" s="26" t="str">
        <f>IF($E717="","",IFERROR(INDEX(科目表!$E$4:$E$81,MATCH($E717,科目表!$B$4:$B$81,0)),""))</f>
        <v/>
      </c>
      <c r="H717" s="27" t="str">
        <f>IF($E717="","",N(INDEX(进销存对接!$M$4:$U$305,238,8)))</f>
        <v/>
      </c>
      <c r="I717" s="27" t="str">
        <f>IF($E717="","",N(INDEX(进销存对接!$M$4:$U$305,238,9)))</f>
        <v/>
      </c>
      <c r="J717" s="26"/>
      <c r="K717" s="26" t="str">
        <f>IF($E717="","",INDEX(进销存对接!$D$4:$D$305,238))</f>
        <v/>
      </c>
      <c r="L717" s="32"/>
      <c r="M717" s="32"/>
      <c r="N717" s="26" t="str">
        <f t="shared" si="46"/>
        <v/>
      </c>
      <c r="O717" s="26" t="str">
        <f t="shared" si="47"/>
        <v/>
      </c>
      <c r="P717" s="10"/>
    </row>
    <row r="718" ht="18" customHeight="1" spans="1:16">
      <c r="A718" s="32" t="str">
        <f t="shared" si="44"/>
        <v/>
      </c>
      <c r="B718" s="100" t="str">
        <f>IF($E718="","",INDEX(进销存对接!$C$4:$C$305,239))</f>
        <v/>
      </c>
      <c r="C718" s="26" t="str">
        <f t="shared" si="45"/>
        <v/>
      </c>
      <c r="D718" s="32" t="str">
        <f>IF($E718="","",INDEX(进销存对接!$D$4:$D$305,239)&amp;" "&amp;TEXT($B718,"YYYY年M月")&amp;" 自动结转")</f>
        <v/>
      </c>
      <c r="E718" s="26" t="str">
        <f>IF(INDEX(进销存对接!$M$4:$U$305,239,1)=0,"",INDEX(进销存对接!$M$4:$U$305,239,1))</f>
        <v/>
      </c>
      <c r="F718" s="25" t="str">
        <f>IF($E718="","",IFERROR(INDEX(科目表!$A$4:$A$81,MATCH($E718,科目表!$B$4:$B$81,0)),""))</f>
        <v/>
      </c>
      <c r="G718" s="26" t="str">
        <f>IF($E718="","",IFERROR(INDEX(科目表!$E$4:$E$81,MATCH($E718,科目表!$B$4:$B$81,0)),""))</f>
        <v/>
      </c>
      <c r="H718" s="27" t="str">
        <f>IF($E718="","",N(INDEX(进销存对接!$M$4:$U$305,239,2)))</f>
        <v/>
      </c>
      <c r="I718" s="27" t="str">
        <f>IF($E718="","",N(INDEX(进销存对接!$M$4:$U$305,239,3)))</f>
        <v/>
      </c>
      <c r="J718" s="26"/>
      <c r="K718" s="26" t="str">
        <f>IF($E718="","",INDEX(进销存对接!$D$4:$D$305,239))</f>
        <v/>
      </c>
      <c r="L718" s="32"/>
      <c r="M718" s="32"/>
      <c r="N718" s="26" t="str">
        <f t="shared" si="46"/>
        <v/>
      </c>
      <c r="O718" s="26" t="str">
        <f t="shared" si="47"/>
        <v/>
      </c>
      <c r="P718" s="10"/>
    </row>
    <row r="719" ht="18" customHeight="1" spans="1:16">
      <c r="A719" s="32" t="str">
        <f t="shared" si="44"/>
        <v/>
      </c>
      <c r="B719" s="100" t="str">
        <f>IF($E719="","",INDEX(进销存对接!$C$4:$C$305,239))</f>
        <v/>
      </c>
      <c r="C719" s="26" t="str">
        <f t="shared" si="45"/>
        <v/>
      </c>
      <c r="D719" s="32" t="str">
        <f>IF($E719="","",INDEX(进销存对接!$D$4:$D$305,239)&amp;" "&amp;TEXT($B719,"YYYY年M月")&amp;" 自动结转")</f>
        <v/>
      </c>
      <c r="E719" s="26" t="str">
        <f>IF(INDEX(进销存对接!$M$4:$U$305,239,4)=0,"",INDEX(进销存对接!$M$4:$U$305,239,4))</f>
        <v/>
      </c>
      <c r="F719" s="25" t="str">
        <f>IF($E719="","",IFERROR(INDEX(科目表!$A$4:$A$81,MATCH($E719,科目表!$B$4:$B$81,0)),""))</f>
        <v/>
      </c>
      <c r="G719" s="26" t="str">
        <f>IF($E719="","",IFERROR(INDEX(科目表!$E$4:$E$81,MATCH($E719,科目表!$B$4:$B$81,0)),""))</f>
        <v/>
      </c>
      <c r="H719" s="27" t="str">
        <f>IF($E719="","",N(INDEX(进销存对接!$M$4:$U$305,239,5)))</f>
        <v/>
      </c>
      <c r="I719" s="27" t="str">
        <f>IF($E719="","",N(INDEX(进销存对接!$M$4:$U$305,239,6)))</f>
        <v/>
      </c>
      <c r="J719" s="26"/>
      <c r="K719" s="26" t="str">
        <f>IF($E719="","",INDEX(进销存对接!$D$4:$D$305,239))</f>
        <v/>
      </c>
      <c r="L719" s="32"/>
      <c r="M719" s="32"/>
      <c r="N719" s="26" t="str">
        <f t="shared" si="46"/>
        <v/>
      </c>
      <c r="O719" s="26" t="str">
        <f t="shared" si="47"/>
        <v/>
      </c>
      <c r="P719" s="10"/>
    </row>
    <row r="720" ht="18" customHeight="1" spans="1:16">
      <c r="A720" s="32" t="str">
        <f t="shared" si="44"/>
        <v/>
      </c>
      <c r="B720" s="100" t="str">
        <f>IF($E720="","",INDEX(进销存对接!$C$4:$C$305,239))</f>
        <v/>
      </c>
      <c r="C720" s="26" t="str">
        <f t="shared" si="45"/>
        <v/>
      </c>
      <c r="D720" s="32" t="str">
        <f>IF($E720="","",INDEX(进销存对接!$D$4:$D$305,239)&amp;" "&amp;TEXT($B720,"YYYY年M月")&amp;" 自动结转")</f>
        <v/>
      </c>
      <c r="E720" s="26" t="str">
        <f>IF(INDEX(进销存对接!$M$4:$U$305,239,7)=0,"",INDEX(进销存对接!$M$4:$U$305,239,7))</f>
        <v/>
      </c>
      <c r="F720" s="25" t="str">
        <f>IF($E720="","",IFERROR(INDEX(科目表!$A$4:$A$81,MATCH($E720,科目表!$B$4:$B$81,0)),""))</f>
        <v/>
      </c>
      <c r="G720" s="26" t="str">
        <f>IF($E720="","",IFERROR(INDEX(科目表!$E$4:$E$81,MATCH($E720,科目表!$B$4:$B$81,0)),""))</f>
        <v/>
      </c>
      <c r="H720" s="27" t="str">
        <f>IF($E720="","",N(INDEX(进销存对接!$M$4:$U$305,239,8)))</f>
        <v/>
      </c>
      <c r="I720" s="27" t="str">
        <f>IF($E720="","",N(INDEX(进销存对接!$M$4:$U$305,239,9)))</f>
        <v/>
      </c>
      <c r="J720" s="26"/>
      <c r="K720" s="26" t="str">
        <f>IF($E720="","",INDEX(进销存对接!$D$4:$D$305,239))</f>
        <v/>
      </c>
      <c r="L720" s="32"/>
      <c r="M720" s="32"/>
      <c r="N720" s="26" t="str">
        <f t="shared" si="46"/>
        <v/>
      </c>
      <c r="O720" s="26" t="str">
        <f t="shared" si="47"/>
        <v/>
      </c>
      <c r="P720" s="10"/>
    </row>
    <row r="721" ht="18" customHeight="1" spans="1:16">
      <c r="A721" s="32" t="str">
        <f t="shared" si="44"/>
        <v/>
      </c>
      <c r="B721" s="100" t="str">
        <f>IF($E721="","",INDEX(进销存对接!$C$4:$C$305,240))</f>
        <v/>
      </c>
      <c r="C721" s="26" t="str">
        <f t="shared" si="45"/>
        <v/>
      </c>
      <c r="D721" s="32" t="str">
        <f>IF($E721="","",INDEX(进销存对接!$D$4:$D$305,240)&amp;" "&amp;TEXT($B721,"YYYY年M月")&amp;" 自动结转")</f>
        <v/>
      </c>
      <c r="E721" s="26" t="str">
        <f>IF(INDEX(进销存对接!$M$4:$U$305,240,1)=0,"",INDEX(进销存对接!$M$4:$U$305,240,1))</f>
        <v/>
      </c>
      <c r="F721" s="25" t="str">
        <f>IF($E721="","",IFERROR(INDEX(科目表!$A$4:$A$81,MATCH($E721,科目表!$B$4:$B$81,0)),""))</f>
        <v/>
      </c>
      <c r="G721" s="26" t="str">
        <f>IF($E721="","",IFERROR(INDEX(科目表!$E$4:$E$81,MATCH($E721,科目表!$B$4:$B$81,0)),""))</f>
        <v/>
      </c>
      <c r="H721" s="27" t="str">
        <f>IF($E721="","",N(INDEX(进销存对接!$M$4:$U$305,240,2)))</f>
        <v/>
      </c>
      <c r="I721" s="27" t="str">
        <f>IF($E721="","",N(INDEX(进销存对接!$M$4:$U$305,240,3)))</f>
        <v/>
      </c>
      <c r="J721" s="26"/>
      <c r="K721" s="26" t="str">
        <f>IF($E721="","",INDEX(进销存对接!$D$4:$D$305,240))</f>
        <v/>
      </c>
      <c r="L721" s="32"/>
      <c r="M721" s="32"/>
      <c r="N721" s="26" t="str">
        <f t="shared" si="46"/>
        <v/>
      </c>
      <c r="O721" s="26" t="str">
        <f t="shared" si="47"/>
        <v/>
      </c>
      <c r="P721" s="10"/>
    </row>
    <row r="722" ht="18" customHeight="1" spans="1:16">
      <c r="A722" s="32" t="str">
        <f t="shared" si="44"/>
        <v/>
      </c>
      <c r="B722" s="100" t="str">
        <f>IF($E722="","",INDEX(进销存对接!$C$4:$C$305,240))</f>
        <v/>
      </c>
      <c r="C722" s="26" t="str">
        <f t="shared" si="45"/>
        <v/>
      </c>
      <c r="D722" s="32" t="str">
        <f>IF($E722="","",INDEX(进销存对接!$D$4:$D$305,240)&amp;" "&amp;TEXT($B722,"YYYY年M月")&amp;" 自动结转")</f>
        <v/>
      </c>
      <c r="E722" s="26" t="str">
        <f>IF(INDEX(进销存对接!$M$4:$U$305,240,4)=0,"",INDEX(进销存对接!$M$4:$U$305,240,4))</f>
        <v/>
      </c>
      <c r="F722" s="25" t="str">
        <f>IF($E722="","",IFERROR(INDEX(科目表!$A$4:$A$81,MATCH($E722,科目表!$B$4:$B$81,0)),""))</f>
        <v/>
      </c>
      <c r="G722" s="26" t="str">
        <f>IF($E722="","",IFERROR(INDEX(科目表!$E$4:$E$81,MATCH($E722,科目表!$B$4:$B$81,0)),""))</f>
        <v/>
      </c>
      <c r="H722" s="27" t="str">
        <f>IF($E722="","",N(INDEX(进销存对接!$M$4:$U$305,240,5)))</f>
        <v/>
      </c>
      <c r="I722" s="27" t="str">
        <f>IF($E722="","",N(INDEX(进销存对接!$M$4:$U$305,240,6)))</f>
        <v/>
      </c>
      <c r="J722" s="26"/>
      <c r="K722" s="26" t="str">
        <f>IF($E722="","",INDEX(进销存对接!$D$4:$D$305,240))</f>
        <v/>
      </c>
      <c r="L722" s="32"/>
      <c r="M722" s="32"/>
      <c r="N722" s="26" t="str">
        <f t="shared" si="46"/>
        <v/>
      </c>
      <c r="O722" s="26" t="str">
        <f t="shared" si="47"/>
        <v/>
      </c>
      <c r="P722" s="10"/>
    </row>
    <row r="723" ht="18" customHeight="1" spans="1:16">
      <c r="A723" s="32" t="str">
        <f t="shared" si="44"/>
        <v/>
      </c>
      <c r="B723" s="100" t="str">
        <f>IF($E723="","",INDEX(进销存对接!$C$4:$C$305,240))</f>
        <v/>
      </c>
      <c r="C723" s="26" t="str">
        <f t="shared" si="45"/>
        <v/>
      </c>
      <c r="D723" s="32" t="str">
        <f>IF($E723="","",INDEX(进销存对接!$D$4:$D$305,240)&amp;" "&amp;TEXT($B723,"YYYY年M月")&amp;" 自动结转")</f>
        <v/>
      </c>
      <c r="E723" s="26" t="str">
        <f>IF(INDEX(进销存对接!$M$4:$U$305,240,7)=0,"",INDEX(进销存对接!$M$4:$U$305,240,7))</f>
        <v/>
      </c>
      <c r="F723" s="25" t="str">
        <f>IF($E723="","",IFERROR(INDEX(科目表!$A$4:$A$81,MATCH($E723,科目表!$B$4:$B$81,0)),""))</f>
        <v/>
      </c>
      <c r="G723" s="26" t="str">
        <f>IF($E723="","",IFERROR(INDEX(科目表!$E$4:$E$81,MATCH($E723,科目表!$B$4:$B$81,0)),""))</f>
        <v/>
      </c>
      <c r="H723" s="27" t="str">
        <f>IF($E723="","",N(INDEX(进销存对接!$M$4:$U$305,240,8)))</f>
        <v/>
      </c>
      <c r="I723" s="27" t="str">
        <f>IF($E723="","",N(INDEX(进销存对接!$M$4:$U$305,240,9)))</f>
        <v/>
      </c>
      <c r="J723" s="26"/>
      <c r="K723" s="26" t="str">
        <f>IF($E723="","",INDEX(进销存对接!$D$4:$D$305,240))</f>
        <v/>
      </c>
      <c r="L723" s="32"/>
      <c r="M723" s="32"/>
      <c r="N723" s="26" t="str">
        <f t="shared" si="46"/>
        <v/>
      </c>
      <c r="O723" s="26" t="str">
        <f t="shared" si="47"/>
        <v/>
      </c>
      <c r="P723" s="10"/>
    </row>
    <row r="724" ht="18" customHeight="1" spans="1:16">
      <c r="A724" s="32" t="str">
        <f t="shared" si="44"/>
        <v/>
      </c>
      <c r="B724" s="100" t="str">
        <f>IF($E724="","",INDEX(进销存对接!$C$4:$C$305,241))</f>
        <v/>
      </c>
      <c r="C724" s="26" t="str">
        <f t="shared" si="45"/>
        <v/>
      </c>
      <c r="D724" s="32" t="str">
        <f>IF($E724="","",INDEX(进销存对接!$D$4:$D$305,241)&amp;" "&amp;TEXT($B724,"YYYY年M月")&amp;" 自动结转")</f>
        <v/>
      </c>
      <c r="E724" s="26" t="str">
        <f>IF(INDEX(进销存对接!$M$4:$U$305,241,1)=0,"",INDEX(进销存对接!$M$4:$U$305,241,1))</f>
        <v/>
      </c>
      <c r="F724" s="25" t="str">
        <f>IF($E724="","",IFERROR(INDEX(科目表!$A$4:$A$81,MATCH($E724,科目表!$B$4:$B$81,0)),""))</f>
        <v/>
      </c>
      <c r="G724" s="26" t="str">
        <f>IF($E724="","",IFERROR(INDEX(科目表!$E$4:$E$81,MATCH($E724,科目表!$B$4:$B$81,0)),""))</f>
        <v/>
      </c>
      <c r="H724" s="27" t="str">
        <f>IF($E724="","",N(INDEX(进销存对接!$M$4:$U$305,241,2)))</f>
        <v/>
      </c>
      <c r="I724" s="27" t="str">
        <f>IF($E724="","",N(INDEX(进销存对接!$M$4:$U$305,241,3)))</f>
        <v/>
      </c>
      <c r="J724" s="26"/>
      <c r="K724" s="26" t="str">
        <f>IF($E724="","",INDEX(进销存对接!$D$4:$D$305,241))</f>
        <v/>
      </c>
      <c r="L724" s="32"/>
      <c r="M724" s="32"/>
      <c r="N724" s="26" t="str">
        <f t="shared" si="46"/>
        <v/>
      </c>
      <c r="O724" s="26" t="str">
        <f t="shared" si="47"/>
        <v/>
      </c>
      <c r="P724" s="10"/>
    </row>
    <row r="725" ht="18" customHeight="1" spans="1:16">
      <c r="A725" s="32" t="str">
        <f t="shared" si="44"/>
        <v/>
      </c>
      <c r="B725" s="100" t="str">
        <f>IF($E725="","",INDEX(进销存对接!$C$4:$C$305,241))</f>
        <v/>
      </c>
      <c r="C725" s="26" t="str">
        <f t="shared" si="45"/>
        <v/>
      </c>
      <c r="D725" s="32" t="str">
        <f>IF($E725="","",INDEX(进销存对接!$D$4:$D$305,241)&amp;" "&amp;TEXT($B725,"YYYY年M月")&amp;" 自动结转")</f>
        <v/>
      </c>
      <c r="E725" s="26" t="str">
        <f>IF(INDEX(进销存对接!$M$4:$U$305,241,4)=0,"",INDEX(进销存对接!$M$4:$U$305,241,4))</f>
        <v/>
      </c>
      <c r="F725" s="25" t="str">
        <f>IF($E725="","",IFERROR(INDEX(科目表!$A$4:$A$81,MATCH($E725,科目表!$B$4:$B$81,0)),""))</f>
        <v/>
      </c>
      <c r="G725" s="26" t="str">
        <f>IF($E725="","",IFERROR(INDEX(科目表!$E$4:$E$81,MATCH($E725,科目表!$B$4:$B$81,0)),""))</f>
        <v/>
      </c>
      <c r="H725" s="27" t="str">
        <f>IF($E725="","",N(INDEX(进销存对接!$M$4:$U$305,241,5)))</f>
        <v/>
      </c>
      <c r="I725" s="27" t="str">
        <f>IF($E725="","",N(INDEX(进销存对接!$M$4:$U$305,241,6)))</f>
        <v/>
      </c>
      <c r="J725" s="26"/>
      <c r="K725" s="26" t="str">
        <f>IF($E725="","",INDEX(进销存对接!$D$4:$D$305,241))</f>
        <v/>
      </c>
      <c r="L725" s="32"/>
      <c r="M725" s="32"/>
      <c r="N725" s="26" t="str">
        <f t="shared" si="46"/>
        <v/>
      </c>
      <c r="O725" s="26" t="str">
        <f t="shared" si="47"/>
        <v/>
      </c>
      <c r="P725" s="10"/>
    </row>
    <row r="726" ht="18" customHeight="1" spans="1:16">
      <c r="A726" s="32" t="str">
        <f t="shared" si="44"/>
        <v/>
      </c>
      <c r="B726" s="100" t="str">
        <f>IF($E726="","",INDEX(进销存对接!$C$4:$C$305,241))</f>
        <v/>
      </c>
      <c r="C726" s="26" t="str">
        <f t="shared" si="45"/>
        <v/>
      </c>
      <c r="D726" s="32" t="str">
        <f>IF($E726="","",INDEX(进销存对接!$D$4:$D$305,241)&amp;" "&amp;TEXT($B726,"YYYY年M月")&amp;" 自动结转")</f>
        <v/>
      </c>
      <c r="E726" s="26" t="str">
        <f>IF(INDEX(进销存对接!$M$4:$U$305,241,7)=0,"",INDEX(进销存对接!$M$4:$U$305,241,7))</f>
        <v/>
      </c>
      <c r="F726" s="25" t="str">
        <f>IF($E726="","",IFERROR(INDEX(科目表!$A$4:$A$81,MATCH($E726,科目表!$B$4:$B$81,0)),""))</f>
        <v/>
      </c>
      <c r="G726" s="26" t="str">
        <f>IF($E726="","",IFERROR(INDEX(科目表!$E$4:$E$81,MATCH($E726,科目表!$B$4:$B$81,0)),""))</f>
        <v/>
      </c>
      <c r="H726" s="27" t="str">
        <f>IF($E726="","",N(INDEX(进销存对接!$M$4:$U$305,241,8)))</f>
        <v/>
      </c>
      <c r="I726" s="27" t="str">
        <f>IF($E726="","",N(INDEX(进销存对接!$M$4:$U$305,241,9)))</f>
        <v/>
      </c>
      <c r="J726" s="26"/>
      <c r="K726" s="26" t="str">
        <f>IF($E726="","",INDEX(进销存对接!$D$4:$D$305,241))</f>
        <v/>
      </c>
      <c r="L726" s="32"/>
      <c r="M726" s="32"/>
      <c r="N726" s="26" t="str">
        <f t="shared" si="46"/>
        <v/>
      </c>
      <c r="O726" s="26" t="str">
        <f t="shared" si="47"/>
        <v/>
      </c>
      <c r="P726" s="10"/>
    </row>
    <row r="727" ht="18" customHeight="1" spans="1:16">
      <c r="A727" s="32" t="str">
        <f t="shared" si="44"/>
        <v/>
      </c>
      <c r="B727" s="100" t="str">
        <f>IF($E727="","",INDEX(进销存对接!$C$4:$C$305,242))</f>
        <v/>
      </c>
      <c r="C727" s="26" t="str">
        <f t="shared" si="45"/>
        <v/>
      </c>
      <c r="D727" s="32" t="str">
        <f>IF($E727="","",INDEX(进销存对接!$D$4:$D$305,242)&amp;" "&amp;TEXT($B727,"YYYY年M月")&amp;" 自动结转")</f>
        <v/>
      </c>
      <c r="E727" s="26" t="str">
        <f>IF(INDEX(进销存对接!$M$4:$U$305,242,1)=0,"",INDEX(进销存对接!$M$4:$U$305,242,1))</f>
        <v/>
      </c>
      <c r="F727" s="25" t="str">
        <f>IF($E727="","",IFERROR(INDEX(科目表!$A$4:$A$81,MATCH($E727,科目表!$B$4:$B$81,0)),""))</f>
        <v/>
      </c>
      <c r="G727" s="26" t="str">
        <f>IF($E727="","",IFERROR(INDEX(科目表!$E$4:$E$81,MATCH($E727,科目表!$B$4:$B$81,0)),""))</f>
        <v/>
      </c>
      <c r="H727" s="27" t="str">
        <f>IF($E727="","",N(INDEX(进销存对接!$M$4:$U$305,242,2)))</f>
        <v/>
      </c>
      <c r="I727" s="27" t="str">
        <f>IF($E727="","",N(INDEX(进销存对接!$M$4:$U$305,242,3)))</f>
        <v/>
      </c>
      <c r="J727" s="26"/>
      <c r="K727" s="26" t="str">
        <f>IF($E727="","",INDEX(进销存对接!$D$4:$D$305,242))</f>
        <v/>
      </c>
      <c r="L727" s="32"/>
      <c r="M727" s="32"/>
      <c r="N727" s="26" t="str">
        <f t="shared" si="46"/>
        <v/>
      </c>
      <c r="O727" s="26" t="str">
        <f t="shared" si="47"/>
        <v/>
      </c>
      <c r="P727" s="10"/>
    </row>
    <row r="728" ht="18" customHeight="1" spans="1:16">
      <c r="A728" s="32" t="str">
        <f t="shared" si="44"/>
        <v/>
      </c>
      <c r="B728" s="100" t="str">
        <f>IF($E728="","",INDEX(进销存对接!$C$4:$C$305,242))</f>
        <v/>
      </c>
      <c r="C728" s="26" t="str">
        <f t="shared" si="45"/>
        <v/>
      </c>
      <c r="D728" s="32" t="str">
        <f>IF($E728="","",INDEX(进销存对接!$D$4:$D$305,242)&amp;" "&amp;TEXT($B728,"YYYY年M月")&amp;" 自动结转")</f>
        <v/>
      </c>
      <c r="E728" s="26" t="str">
        <f>IF(INDEX(进销存对接!$M$4:$U$305,242,4)=0,"",INDEX(进销存对接!$M$4:$U$305,242,4))</f>
        <v/>
      </c>
      <c r="F728" s="25" t="str">
        <f>IF($E728="","",IFERROR(INDEX(科目表!$A$4:$A$81,MATCH($E728,科目表!$B$4:$B$81,0)),""))</f>
        <v/>
      </c>
      <c r="G728" s="26" t="str">
        <f>IF($E728="","",IFERROR(INDEX(科目表!$E$4:$E$81,MATCH($E728,科目表!$B$4:$B$81,0)),""))</f>
        <v/>
      </c>
      <c r="H728" s="27" t="str">
        <f>IF($E728="","",N(INDEX(进销存对接!$M$4:$U$305,242,5)))</f>
        <v/>
      </c>
      <c r="I728" s="27" t="str">
        <f>IF($E728="","",N(INDEX(进销存对接!$M$4:$U$305,242,6)))</f>
        <v/>
      </c>
      <c r="J728" s="26"/>
      <c r="K728" s="26" t="str">
        <f>IF($E728="","",INDEX(进销存对接!$D$4:$D$305,242))</f>
        <v/>
      </c>
      <c r="L728" s="32"/>
      <c r="M728" s="32"/>
      <c r="N728" s="26" t="str">
        <f t="shared" si="46"/>
        <v/>
      </c>
      <c r="O728" s="26" t="str">
        <f t="shared" si="47"/>
        <v/>
      </c>
      <c r="P728" s="10"/>
    </row>
    <row r="729" ht="18" customHeight="1" spans="1:16">
      <c r="A729" s="32" t="str">
        <f t="shared" si="44"/>
        <v/>
      </c>
      <c r="B729" s="100" t="str">
        <f>IF($E729="","",INDEX(进销存对接!$C$4:$C$305,242))</f>
        <v/>
      </c>
      <c r="C729" s="26" t="str">
        <f t="shared" si="45"/>
        <v/>
      </c>
      <c r="D729" s="32" t="str">
        <f>IF($E729="","",INDEX(进销存对接!$D$4:$D$305,242)&amp;" "&amp;TEXT($B729,"YYYY年M月")&amp;" 自动结转")</f>
        <v/>
      </c>
      <c r="E729" s="26" t="str">
        <f>IF(INDEX(进销存对接!$M$4:$U$305,242,7)=0,"",INDEX(进销存对接!$M$4:$U$305,242,7))</f>
        <v/>
      </c>
      <c r="F729" s="25" t="str">
        <f>IF($E729="","",IFERROR(INDEX(科目表!$A$4:$A$81,MATCH($E729,科目表!$B$4:$B$81,0)),""))</f>
        <v/>
      </c>
      <c r="G729" s="26" t="str">
        <f>IF($E729="","",IFERROR(INDEX(科目表!$E$4:$E$81,MATCH($E729,科目表!$B$4:$B$81,0)),""))</f>
        <v/>
      </c>
      <c r="H729" s="27" t="str">
        <f>IF($E729="","",N(INDEX(进销存对接!$M$4:$U$305,242,8)))</f>
        <v/>
      </c>
      <c r="I729" s="27" t="str">
        <f>IF($E729="","",N(INDEX(进销存对接!$M$4:$U$305,242,9)))</f>
        <v/>
      </c>
      <c r="J729" s="26"/>
      <c r="K729" s="26" t="str">
        <f>IF($E729="","",INDEX(进销存对接!$D$4:$D$305,242))</f>
        <v/>
      </c>
      <c r="L729" s="32"/>
      <c r="M729" s="32"/>
      <c r="N729" s="26" t="str">
        <f t="shared" si="46"/>
        <v/>
      </c>
      <c r="O729" s="26" t="str">
        <f t="shared" si="47"/>
        <v/>
      </c>
      <c r="P729" s="10"/>
    </row>
    <row r="730" ht="18" customHeight="1" spans="1:16">
      <c r="A730" s="32" t="str">
        <f t="shared" si="44"/>
        <v/>
      </c>
      <c r="B730" s="100" t="str">
        <f>IF($E730="","",INDEX(进销存对接!$C$4:$C$305,243))</f>
        <v/>
      </c>
      <c r="C730" s="26" t="str">
        <f t="shared" si="45"/>
        <v/>
      </c>
      <c r="D730" s="32" t="str">
        <f>IF($E730="","",INDEX(进销存对接!$D$4:$D$305,243)&amp;" "&amp;TEXT($B730,"YYYY年M月")&amp;" 自动结转")</f>
        <v/>
      </c>
      <c r="E730" s="26" t="str">
        <f>IF(INDEX(进销存对接!$M$4:$U$305,243,1)=0,"",INDEX(进销存对接!$M$4:$U$305,243,1))</f>
        <v/>
      </c>
      <c r="F730" s="25" t="str">
        <f>IF($E730="","",IFERROR(INDEX(科目表!$A$4:$A$81,MATCH($E730,科目表!$B$4:$B$81,0)),""))</f>
        <v/>
      </c>
      <c r="G730" s="26" t="str">
        <f>IF($E730="","",IFERROR(INDEX(科目表!$E$4:$E$81,MATCH($E730,科目表!$B$4:$B$81,0)),""))</f>
        <v/>
      </c>
      <c r="H730" s="27" t="str">
        <f>IF($E730="","",N(INDEX(进销存对接!$M$4:$U$305,243,2)))</f>
        <v/>
      </c>
      <c r="I730" s="27" t="str">
        <f>IF($E730="","",N(INDEX(进销存对接!$M$4:$U$305,243,3)))</f>
        <v/>
      </c>
      <c r="J730" s="26"/>
      <c r="K730" s="26" t="str">
        <f>IF($E730="","",INDEX(进销存对接!$D$4:$D$305,243))</f>
        <v/>
      </c>
      <c r="L730" s="32"/>
      <c r="M730" s="32"/>
      <c r="N730" s="26" t="str">
        <f t="shared" si="46"/>
        <v/>
      </c>
      <c r="O730" s="26" t="str">
        <f t="shared" si="47"/>
        <v/>
      </c>
      <c r="P730" s="10"/>
    </row>
    <row r="731" ht="18" customHeight="1" spans="1:16">
      <c r="A731" s="32" t="str">
        <f t="shared" si="44"/>
        <v/>
      </c>
      <c r="B731" s="100" t="str">
        <f>IF($E731="","",INDEX(进销存对接!$C$4:$C$305,243))</f>
        <v/>
      </c>
      <c r="C731" s="26" t="str">
        <f t="shared" si="45"/>
        <v/>
      </c>
      <c r="D731" s="32" t="str">
        <f>IF($E731="","",INDEX(进销存对接!$D$4:$D$305,243)&amp;" "&amp;TEXT($B731,"YYYY年M月")&amp;" 自动结转")</f>
        <v/>
      </c>
      <c r="E731" s="26" t="str">
        <f>IF(INDEX(进销存对接!$M$4:$U$305,243,4)=0,"",INDEX(进销存对接!$M$4:$U$305,243,4))</f>
        <v/>
      </c>
      <c r="F731" s="25" t="str">
        <f>IF($E731="","",IFERROR(INDEX(科目表!$A$4:$A$81,MATCH($E731,科目表!$B$4:$B$81,0)),""))</f>
        <v/>
      </c>
      <c r="G731" s="26" t="str">
        <f>IF($E731="","",IFERROR(INDEX(科目表!$E$4:$E$81,MATCH($E731,科目表!$B$4:$B$81,0)),""))</f>
        <v/>
      </c>
      <c r="H731" s="27" t="str">
        <f>IF($E731="","",N(INDEX(进销存对接!$M$4:$U$305,243,5)))</f>
        <v/>
      </c>
      <c r="I731" s="27" t="str">
        <f>IF($E731="","",N(INDEX(进销存对接!$M$4:$U$305,243,6)))</f>
        <v/>
      </c>
      <c r="J731" s="26"/>
      <c r="K731" s="26" t="str">
        <f>IF($E731="","",INDEX(进销存对接!$D$4:$D$305,243))</f>
        <v/>
      </c>
      <c r="L731" s="32"/>
      <c r="M731" s="32"/>
      <c r="N731" s="26" t="str">
        <f t="shared" si="46"/>
        <v/>
      </c>
      <c r="O731" s="26" t="str">
        <f t="shared" si="47"/>
        <v/>
      </c>
      <c r="P731" s="10"/>
    </row>
    <row r="732" ht="18" customHeight="1" spans="1:16">
      <c r="A732" s="32" t="str">
        <f t="shared" si="44"/>
        <v/>
      </c>
      <c r="B732" s="100" t="str">
        <f>IF($E732="","",INDEX(进销存对接!$C$4:$C$305,243))</f>
        <v/>
      </c>
      <c r="C732" s="26" t="str">
        <f t="shared" si="45"/>
        <v/>
      </c>
      <c r="D732" s="32" t="str">
        <f>IF($E732="","",INDEX(进销存对接!$D$4:$D$305,243)&amp;" "&amp;TEXT($B732,"YYYY年M月")&amp;" 自动结转")</f>
        <v/>
      </c>
      <c r="E732" s="26" t="str">
        <f>IF(INDEX(进销存对接!$M$4:$U$305,243,7)=0,"",INDEX(进销存对接!$M$4:$U$305,243,7))</f>
        <v/>
      </c>
      <c r="F732" s="25" t="str">
        <f>IF($E732="","",IFERROR(INDEX(科目表!$A$4:$A$81,MATCH($E732,科目表!$B$4:$B$81,0)),""))</f>
        <v/>
      </c>
      <c r="G732" s="26" t="str">
        <f>IF($E732="","",IFERROR(INDEX(科目表!$E$4:$E$81,MATCH($E732,科目表!$B$4:$B$81,0)),""))</f>
        <v/>
      </c>
      <c r="H732" s="27" t="str">
        <f>IF($E732="","",N(INDEX(进销存对接!$M$4:$U$305,243,8)))</f>
        <v/>
      </c>
      <c r="I732" s="27" t="str">
        <f>IF($E732="","",N(INDEX(进销存对接!$M$4:$U$305,243,9)))</f>
        <v/>
      </c>
      <c r="J732" s="26"/>
      <c r="K732" s="26" t="str">
        <f>IF($E732="","",INDEX(进销存对接!$D$4:$D$305,243))</f>
        <v/>
      </c>
      <c r="L732" s="32"/>
      <c r="M732" s="32"/>
      <c r="N732" s="26" t="str">
        <f t="shared" si="46"/>
        <v/>
      </c>
      <c r="O732" s="26" t="str">
        <f t="shared" si="47"/>
        <v/>
      </c>
      <c r="P732" s="10"/>
    </row>
    <row r="733" ht="18" customHeight="1" spans="1:16">
      <c r="A733" s="32" t="str">
        <f t="shared" si="44"/>
        <v/>
      </c>
      <c r="B733" s="100" t="str">
        <f>IF($E733="","",INDEX(进销存对接!$C$4:$C$305,244))</f>
        <v/>
      </c>
      <c r="C733" s="26" t="str">
        <f t="shared" si="45"/>
        <v/>
      </c>
      <c r="D733" s="32" t="str">
        <f>IF($E733="","",INDEX(进销存对接!$D$4:$D$305,244)&amp;" "&amp;TEXT($B733,"YYYY年M月")&amp;" 自动结转")</f>
        <v/>
      </c>
      <c r="E733" s="26" t="str">
        <f>IF(INDEX(进销存对接!$M$4:$U$305,244,1)=0,"",INDEX(进销存对接!$M$4:$U$305,244,1))</f>
        <v/>
      </c>
      <c r="F733" s="25" t="str">
        <f>IF($E733="","",IFERROR(INDEX(科目表!$A$4:$A$81,MATCH($E733,科目表!$B$4:$B$81,0)),""))</f>
        <v/>
      </c>
      <c r="G733" s="26" t="str">
        <f>IF($E733="","",IFERROR(INDEX(科目表!$E$4:$E$81,MATCH($E733,科目表!$B$4:$B$81,0)),""))</f>
        <v/>
      </c>
      <c r="H733" s="27" t="str">
        <f>IF($E733="","",N(INDEX(进销存对接!$M$4:$U$305,244,2)))</f>
        <v/>
      </c>
      <c r="I733" s="27" t="str">
        <f>IF($E733="","",N(INDEX(进销存对接!$M$4:$U$305,244,3)))</f>
        <v/>
      </c>
      <c r="J733" s="26"/>
      <c r="K733" s="26" t="str">
        <f>IF($E733="","",INDEX(进销存对接!$D$4:$D$305,244))</f>
        <v/>
      </c>
      <c r="L733" s="32"/>
      <c r="M733" s="32"/>
      <c r="N733" s="26" t="str">
        <f t="shared" si="46"/>
        <v/>
      </c>
      <c r="O733" s="26" t="str">
        <f t="shared" si="47"/>
        <v/>
      </c>
      <c r="P733" s="10"/>
    </row>
    <row r="734" ht="18" customHeight="1" spans="1:16">
      <c r="A734" s="32" t="str">
        <f t="shared" si="44"/>
        <v/>
      </c>
      <c r="B734" s="100" t="str">
        <f>IF($E734="","",INDEX(进销存对接!$C$4:$C$305,244))</f>
        <v/>
      </c>
      <c r="C734" s="26" t="str">
        <f t="shared" si="45"/>
        <v/>
      </c>
      <c r="D734" s="32" t="str">
        <f>IF($E734="","",INDEX(进销存对接!$D$4:$D$305,244)&amp;" "&amp;TEXT($B734,"YYYY年M月")&amp;" 自动结转")</f>
        <v/>
      </c>
      <c r="E734" s="26" t="str">
        <f>IF(INDEX(进销存对接!$M$4:$U$305,244,4)=0,"",INDEX(进销存对接!$M$4:$U$305,244,4))</f>
        <v/>
      </c>
      <c r="F734" s="25" t="str">
        <f>IF($E734="","",IFERROR(INDEX(科目表!$A$4:$A$81,MATCH($E734,科目表!$B$4:$B$81,0)),""))</f>
        <v/>
      </c>
      <c r="G734" s="26" t="str">
        <f>IF($E734="","",IFERROR(INDEX(科目表!$E$4:$E$81,MATCH($E734,科目表!$B$4:$B$81,0)),""))</f>
        <v/>
      </c>
      <c r="H734" s="27" t="str">
        <f>IF($E734="","",N(INDEX(进销存对接!$M$4:$U$305,244,5)))</f>
        <v/>
      </c>
      <c r="I734" s="27" t="str">
        <f>IF($E734="","",N(INDEX(进销存对接!$M$4:$U$305,244,6)))</f>
        <v/>
      </c>
      <c r="J734" s="26"/>
      <c r="K734" s="26" t="str">
        <f>IF($E734="","",INDEX(进销存对接!$D$4:$D$305,244))</f>
        <v/>
      </c>
      <c r="L734" s="32"/>
      <c r="M734" s="32"/>
      <c r="N734" s="26" t="str">
        <f t="shared" si="46"/>
        <v/>
      </c>
      <c r="O734" s="26" t="str">
        <f t="shared" si="47"/>
        <v/>
      </c>
      <c r="P734" s="10"/>
    </row>
    <row r="735" ht="18" customHeight="1" spans="1:16">
      <c r="A735" s="32" t="str">
        <f t="shared" si="44"/>
        <v/>
      </c>
      <c r="B735" s="100" t="str">
        <f>IF($E735="","",INDEX(进销存对接!$C$4:$C$305,244))</f>
        <v/>
      </c>
      <c r="C735" s="26" t="str">
        <f t="shared" si="45"/>
        <v/>
      </c>
      <c r="D735" s="32" t="str">
        <f>IF($E735="","",INDEX(进销存对接!$D$4:$D$305,244)&amp;" "&amp;TEXT($B735,"YYYY年M月")&amp;" 自动结转")</f>
        <v/>
      </c>
      <c r="E735" s="26" t="str">
        <f>IF(INDEX(进销存对接!$M$4:$U$305,244,7)=0,"",INDEX(进销存对接!$M$4:$U$305,244,7))</f>
        <v/>
      </c>
      <c r="F735" s="25" t="str">
        <f>IF($E735="","",IFERROR(INDEX(科目表!$A$4:$A$81,MATCH($E735,科目表!$B$4:$B$81,0)),""))</f>
        <v/>
      </c>
      <c r="G735" s="26" t="str">
        <f>IF($E735="","",IFERROR(INDEX(科目表!$E$4:$E$81,MATCH($E735,科目表!$B$4:$B$81,0)),""))</f>
        <v/>
      </c>
      <c r="H735" s="27" t="str">
        <f>IF($E735="","",N(INDEX(进销存对接!$M$4:$U$305,244,8)))</f>
        <v/>
      </c>
      <c r="I735" s="27" t="str">
        <f>IF($E735="","",N(INDEX(进销存对接!$M$4:$U$305,244,9)))</f>
        <v/>
      </c>
      <c r="J735" s="26"/>
      <c r="K735" s="26" t="str">
        <f>IF($E735="","",INDEX(进销存对接!$D$4:$D$305,244))</f>
        <v/>
      </c>
      <c r="L735" s="32"/>
      <c r="M735" s="32"/>
      <c r="N735" s="26" t="str">
        <f t="shared" si="46"/>
        <v/>
      </c>
      <c r="O735" s="26" t="str">
        <f t="shared" si="47"/>
        <v/>
      </c>
      <c r="P735" s="10"/>
    </row>
    <row r="736" ht="18" customHeight="1" spans="1:16">
      <c r="A736" s="32" t="str">
        <f t="shared" si="44"/>
        <v/>
      </c>
      <c r="B736" s="100" t="str">
        <f>IF($E736="","",INDEX(进销存对接!$C$4:$C$305,245))</f>
        <v/>
      </c>
      <c r="C736" s="26" t="str">
        <f t="shared" si="45"/>
        <v/>
      </c>
      <c r="D736" s="32" t="str">
        <f>IF($E736="","",INDEX(进销存对接!$D$4:$D$305,245)&amp;" "&amp;TEXT($B736,"YYYY年M月")&amp;" 自动结转")</f>
        <v/>
      </c>
      <c r="E736" s="26" t="str">
        <f>IF(INDEX(进销存对接!$M$4:$U$305,245,1)=0,"",INDEX(进销存对接!$M$4:$U$305,245,1))</f>
        <v/>
      </c>
      <c r="F736" s="25" t="str">
        <f>IF($E736="","",IFERROR(INDEX(科目表!$A$4:$A$81,MATCH($E736,科目表!$B$4:$B$81,0)),""))</f>
        <v/>
      </c>
      <c r="G736" s="26" t="str">
        <f>IF($E736="","",IFERROR(INDEX(科目表!$E$4:$E$81,MATCH($E736,科目表!$B$4:$B$81,0)),""))</f>
        <v/>
      </c>
      <c r="H736" s="27" t="str">
        <f>IF($E736="","",N(INDEX(进销存对接!$M$4:$U$305,245,2)))</f>
        <v/>
      </c>
      <c r="I736" s="27" t="str">
        <f>IF($E736="","",N(INDEX(进销存对接!$M$4:$U$305,245,3)))</f>
        <v/>
      </c>
      <c r="J736" s="26"/>
      <c r="K736" s="26" t="str">
        <f>IF($E736="","",INDEX(进销存对接!$D$4:$D$305,245))</f>
        <v/>
      </c>
      <c r="L736" s="32"/>
      <c r="M736" s="32"/>
      <c r="N736" s="26" t="str">
        <f t="shared" si="46"/>
        <v/>
      </c>
      <c r="O736" s="26" t="str">
        <f t="shared" si="47"/>
        <v/>
      </c>
      <c r="P736" s="10"/>
    </row>
    <row r="737" ht="18" customHeight="1" spans="1:16">
      <c r="A737" s="32" t="str">
        <f t="shared" si="44"/>
        <v/>
      </c>
      <c r="B737" s="100" t="str">
        <f>IF($E737="","",INDEX(进销存对接!$C$4:$C$305,245))</f>
        <v/>
      </c>
      <c r="C737" s="26" t="str">
        <f t="shared" si="45"/>
        <v/>
      </c>
      <c r="D737" s="32" t="str">
        <f>IF($E737="","",INDEX(进销存对接!$D$4:$D$305,245)&amp;" "&amp;TEXT($B737,"YYYY年M月")&amp;" 自动结转")</f>
        <v/>
      </c>
      <c r="E737" s="26" t="str">
        <f>IF(INDEX(进销存对接!$M$4:$U$305,245,4)=0,"",INDEX(进销存对接!$M$4:$U$305,245,4))</f>
        <v/>
      </c>
      <c r="F737" s="25" t="str">
        <f>IF($E737="","",IFERROR(INDEX(科目表!$A$4:$A$81,MATCH($E737,科目表!$B$4:$B$81,0)),""))</f>
        <v/>
      </c>
      <c r="G737" s="26" t="str">
        <f>IF($E737="","",IFERROR(INDEX(科目表!$E$4:$E$81,MATCH($E737,科目表!$B$4:$B$81,0)),""))</f>
        <v/>
      </c>
      <c r="H737" s="27" t="str">
        <f>IF($E737="","",N(INDEX(进销存对接!$M$4:$U$305,245,5)))</f>
        <v/>
      </c>
      <c r="I737" s="27" t="str">
        <f>IF($E737="","",N(INDEX(进销存对接!$M$4:$U$305,245,6)))</f>
        <v/>
      </c>
      <c r="J737" s="26"/>
      <c r="K737" s="26" t="str">
        <f>IF($E737="","",INDEX(进销存对接!$D$4:$D$305,245))</f>
        <v/>
      </c>
      <c r="L737" s="32"/>
      <c r="M737" s="32"/>
      <c r="N737" s="26" t="str">
        <f t="shared" si="46"/>
        <v/>
      </c>
      <c r="O737" s="26" t="str">
        <f t="shared" si="47"/>
        <v/>
      </c>
      <c r="P737" s="10"/>
    </row>
    <row r="738" ht="18" customHeight="1" spans="1:16">
      <c r="A738" s="32" t="str">
        <f t="shared" si="44"/>
        <v/>
      </c>
      <c r="B738" s="100" t="str">
        <f>IF($E738="","",INDEX(进销存对接!$C$4:$C$305,245))</f>
        <v/>
      </c>
      <c r="C738" s="26" t="str">
        <f t="shared" si="45"/>
        <v/>
      </c>
      <c r="D738" s="32" t="str">
        <f>IF($E738="","",INDEX(进销存对接!$D$4:$D$305,245)&amp;" "&amp;TEXT($B738,"YYYY年M月")&amp;" 自动结转")</f>
        <v/>
      </c>
      <c r="E738" s="26" t="str">
        <f>IF(INDEX(进销存对接!$M$4:$U$305,245,7)=0,"",INDEX(进销存对接!$M$4:$U$305,245,7))</f>
        <v/>
      </c>
      <c r="F738" s="25" t="str">
        <f>IF($E738="","",IFERROR(INDEX(科目表!$A$4:$A$81,MATCH($E738,科目表!$B$4:$B$81,0)),""))</f>
        <v/>
      </c>
      <c r="G738" s="26" t="str">
        <f>IF($E738="","",IFERROR(INDEX(科目表!$E$4:$E$81,MATCH($E738,科目表!$B$4:$B$81,0)),""))</f>
        <v/>
      </c>
      <c r="H738" s="27" t="str">
        <f>IF($E738="","",N(INDEX(进销存对接!$M$4:$U$305,245,8)))</f>
        <v/>
      </c>
      <c r="I738" s="27" t="str">
        <f>IF($E738="","",N(INDEX(进销存对接!$M$4:$U$305,245,9)))</f>
        <v/>
      </c>
      <c r="J738" s="26"/>
      <c r="K738" s="26" t="str">
        <f>IF($E738="","",INDEX(进销存对接!$D$4:$D$305,245))</f>
        <v/>
      </c>
      <c r="L738" s="32"/>
      <c r="M738" s="32"/>
      <c r="N738" s="26" t="str">
        <f t="shared" si="46"/>
        <v/>
      </c>
      <c r="O738" s="26" t="str">
        <f t="shared" si="47"/>
        <v/>
      </c>
      <c r="P738" s="10"/>
    </row>
    <row r="739" ht="18" customHeight="1" spans="1:16">
      <c r="A739" s="32" t="str">
        <f t="shared" si="44"/>
        <v/>
      </c>
      <c r="B739" s="100" t="str">
        <f>IF($E739="","",INDEX(进销存对接!$C$4:$C$305,246))</f>
        <v/>
      </c>
      <c r="C739" s="26" t="str">
        <f t="shared" si="45"/>
        <v/>
      </c>
      <c r="D739" s="32" t="str">
        <f>IF($E739="","",INDEX(进销存对接!$D$4:$D$305,246)&amp;" "&amp;TEXT($B739,"YYYY年M月")&amp;" 自动结转")</f>
        <v/>
      </c>
      <c r="E739" s="26" t="str">
        <f>IF(INDEX(进销存对接!$M$4:$U$305,246,1)=0,"",INDEX(进销存对接!$M$4:$U$305,246,1))</f>
        <v/>
      </c>
      <c r="F739" s="25" t="str">
        <f>IF($E739="","",IFERROR(INDEX(科目表!$A$4:$A$81,MATCH($E739,科目表!$B$4:$B$81,0)),""))</f>
        <v/>
      </c>
      <c r="G739" s="26" t="str">
        <f>IF($E739="","",IFERROR(INDEX(科目表!$E$4:$E$81,MATCH($E739,科目表!$B$4:$B$81,0)),""))</f>
        <v/>
      </c>
      <c r="H739" s="27" t="str">
        <f>IF($E739="","",N(INDEX(进销存对接!$M$4:$U$305,246,2)))</f>
        <v/>
      </c>
      <c r="I739" s="27" t="str">
        <f>IF($E739="","",N(INDEX(进销存对接!$M$4:$U$305,246,3)))</f>
        <v/>
      </c>
      <c r="J739" s="26"/>
      <c r="K739" s="26" t="str">
        <f>IF($E739="","",INDEX(进销存对接!$D$4:$D$305,246))</f>
        <v/>
      </c>
      <c r="L739" s="32"/>
      <c r="M739" s="32"/>
      <c r="N739" s="26" t="str">
        <f t="shared" si="46"/>
        <v/>
      </c>
      <c r="O739" s="26" t="str">
        <f t="shared" si="47"/>
        <v/>
      </c>
      <c r="P739" s="10"/>
    </row>
    <row r="740" ht="18" customHeight="1" spans="1:16">
      <c r="A740" s="32" t="str">
        <f t="shared" si="44"/>
        <v/>
      </c>
      <c r="B740" s="100" t="str">
        <f>IF($E740="","",INDEX(进销存对接!$C$4:$C$305,246))</f>
        <v/>
      </c>
      <c r="C740" s="26" t="str">
        <f t="shared" si="45"/>
        <v/>
      </c>
      <c r="D740" s="32" t="str">
        <f>IF($E740="","",INDEX(进销存对接!$D$4:$D$305,246)&amp;" "&amp;TEXT($B740,"YYYY年M月")&amp;" 自动结转")</f>
        <v/>
      </c>
      <c r="E740" s="26" t="str">
        <f>IF(INDEX(进销存对接!$M$4:$U$305,246,4)=0,"",INDEX(进销存对接!$M$4:$U$305,246,4))</f>
        <v/>
      </c>
      <c r="F740" s="25" t="str">
        <f>IF($E740="","",IFERROR(INDEX(科目表!$A$4:$A$81,MATCH($E740,科目表!$B$4:$B$81,0)),""))</f>
        <v/>
      </c>
      <c r="G740" s="26" t="str">
        <f>IF($E740="","",IFERROR(INDEX(科目表!$E$4:$E$81,MATCH($E740,科目表!$B$4:$B$81,0)),""))</f>
        <v/>
      </c>
      <c r="H740" s="27" t="str">
        <f>IF($E740="","",N(INDEX(进销存对接!$M$4:$U$305,246,5)))</f>
        <v/>
      </c>
      <c r="I740" s="27" t="str">
        <f>IF($E740="","",N(INDEX(进销存对接!$M$4:$U$305,246,6)))</f>
        <v/>
      </c>
      <c r="J740" s="26"/>
      <c r="K740" s="26" t="str">
        <f>IF($E740="","",INDEX(进销存对接!$D$4:$D$305,246))</f>
        <v/>
      </c>
      <c r="L740" s="32"/>
      <c r="M740" s="32"/>
      <c r="N740" s="26" t="str">
        <f t="shared" si="46"/>
        <v/>
      </c>
      <c r="O740" s="26" t="str">
        <f t="shared" si="47"/>
        <v/>
      </c>
      <c r="P740" s="10"/>
    </row>
    <row r="741" ht="18" customHeight="1" spans="1:16">
      <c r="A741" s="32" t="str">
        <f t="shared" si="44"/>
        <v/>
      </c>
      <c r="B741" s="100" t="str">
        <f>IF($E741="","",INDEX(进销存对接!$C$4:$C$305,246))</f>
        <v/>
      </c>
      <c r="C741" s="26" t="str">
        <f t="shared" si="45"/>
        <v/>
      </c>
      <c r="D741" s="32" t="str">
        <f>IF($E741="","",INDEX(进销存对接!$D$4:$D$305,246)&amp;" "&amp;TEXT($B741,"YYYY年M月")&amp;" 自动结转")</f>
        <v/>
      </c>
      <c r="E741" s="26" t="str">
        <f>IF(INDEX(进销存对接!$M$4:$U$305,246,7)=0,"",INDEX(进销存对接!$M$4:$U$305,246,7))</f>
        <v/>
      </c>
      <c r="F741" s="25" t="str">
        <f>IF($E741="","",IFERROR(INDEX(科目表!$A$4:$A$81,MATCH($E741,科目表!$B$4:$B$81,0)),""))</f>
        <v/>
      </c>
      <c r="G741" s="26" t="str">
        <f>IF($E741="","",IFERROR(INDEX(科目表!$E$4:$E$81,MATCH($E741,科目表!$B$4:$B$81,0)),""))</f>
        <v/>
      </c>
      <c r="H741" s="27" t="str">
        <f>IF($E741="","",N(INDEX(进销存对接!$M$4:$U$305,246,8)))</f>
        <v/>
      </c>
      <c r="I741" s="27" t="str">
        <f>IF($E741="","",N(INDEX(进销存对接!$M$4:$U$305,246,9)))</f>
        <v/>
      </c>
      <c r="J741" s="26"/>
      <c r="K741" s="26" t="str">
        <f>IF($E741="","",INDEX(进销存对接!$D$4:$D$305,246))</f>
        <v/>
      </c>
      <c r="L741" s="32"/>
      <c r="M741" s="32"/>
      <c r="N741" s="26" t="str">
        <f t="shared" si="46"/>
        <v/>
      </c>
      <c r="O741" s="26" t="str">
        <f t="shared" si="47"/>
        <v/>
      </c>
      <c r="P741" s="10"/>
    </row>
    <row r="742" ht="18" customHeight="1" spans="1:16">
      <c r="A742" s="32" t="str">
        <f t="shared" si="44"/>
        <v/>
      </c>
      <c r="B742" s="100" t="str">
        <f>IF($E742="","",INDEX(进销存对接!$C$4:$C$305,247))</f>
        <v/>
      </c>
      <c r="C742" s="26" t="str">
        <f t="shared" si="45"/>
        <v/>
      </c>
      <c r="D742" s="32" t="str">
        <f>IF($E742="","",INDEX(进销存对接!$D$4:$D$305,247)&amp;" "&amp;TEXT($B742,"YYYY年M月")&amp;" 自动结转")</f>
        <v/>
      </c>
      <c r="E742" s="26" t="str">
        <f>IF(INDEX(进销存对接!$M$4:$U$305,247,1)=0,"",INDEX(进销存对接!$M$4:$U$305,247,1))</f>
        <v/>
      </c>
      <c r="F742" s="25" t="str">
        <f>IF($E742="","",IFERROR(INDEX(科目表!$A$4:$A$81,MATCH($E742,科目表!$B$4:$B$81,0)),""))</f>
        <v/>
      </c>
      <c r="G742" s="26" t="str">
        <f>IF($E742="","",IFERROR(INDEX(科目表!$E$4:$E$81,MATCH($E742,科目表!$B$4:$B$81,0)),""))</f>
        <v/>
      </c>
      <c r="H742" s="27" t="str">
        <f>IF($E742="","",N(INDEX(进销存对接!$M$4:$U$305,247,2)))</f>
        <v/>
      </c>
      <c r="I742" s="27" t="str">
        <f>IF($E742="","",N(INDEX(进销存对接!$M$4:$U$305,247,3)))</f>
        <v/>
      </c>
      <c r="J742" s="26"/>
      <c r="K742" s="26" t="str">
        <f>IF($E742="","",INDEX(进销存对接!$D$4:$D$305,247))</f>
        <v/>
      </c>
      <c r="L742" s="32"/>
      <c r="M742" s="32"/>
      <c r="N742" s="26" t="str">
        <f t="shared" si="46"/>
        <v/>
      </c>
      <c r="O742" s="26" t="str">
        <f t="shared" si="47"/>
        <v/>
      </c>
      <c r="P742" s="10"/>
    </row>
    <row r="743" ht="18" customHeight="1" spans="1:16">
      <c r="A743" s="32" t="str">
        <f t="shared" si="44"/>
        <v/>
      </c>
      <c r="B743" s="100" t="str">
        <f>IF($E743="","",INDEX(进销存对接!$C$4:$C$305,247))</f>
        <v/>
      </c>
      <c r="C743" s="26" t="str">
        <f t="shared" si="45"/>
        <v/>
      </c>
      <c r="D743" s="32" t="str">
        <f>IF($E743="","",INDEX(进销存对接!$D$4:$D$305,247)&amp;" "&amp;TEXT($B743,"YYYY年M月")&amp;" 自动结转")</f>
        <v/>
      </c>
      <c r="E743" s="26" t="str">
        <f>IF(INDEX(进销存对接!$M$4:$U$305,247,4)=0,"",INDEX(进销存对接!$M$4:$U$305,247,4))</f>
        <v/>
      </c>
      <c r="F743" s="25" t="str">
        <f>IF($E743="","",IFERROR(INDEX(科目表!$A$4:$A$81,MATCH($E743,科目表!$B$4:$B$81,0)),""))</f>
        <v/>
      </c>
      <c r="G743" s="26" t="str">
        <f>IF($E743="","",IFERROR(INDEX(科目表!$E$4:$E$81,MATCH($E743,科目表!$B$4:$B$81,0)),""))</f>
        <v/>
      </c>
      <c r="H743" s="27" t="str">
        <f>IF($E743="","",N(INDEX(进销存对接!$M$4:$U$305,247,5)))</f>
        <v/>
      </c>
      <c r="I743" s="27" t="str">
        <f>IF($E743="","",N(INDEX(进销存对接!$M$4:$U$305,247,6)))</f>
        <v/>
      </c>
      <c r="J743" s="26"/>
      <c r="K743" s="26" t="str">
        <f>IF($E743="","",INDEX(进销存对接!$D$4:$D$305,247))</f>
        <v/>
      </c>
      <c r="L743" s="32"/>
      <c r="M743" s="32"/>
      <c r="N743" s="26" t="str">
        <f t="shared" si="46"/>
        <v/>
      </c>
      <c r="O743" s="26" t="str">
        <f t="shared" si="47"/>
        <v/>
      </c>
      <c r="P743" s="10"/>
    </row>
    <row r="744" ht="18" customHeight="1" spans="1:16">
      <c r="A744" s="32" t="str">
        <f t="shared" si="44"/>
        <v/>
      </c>
      <c r="B744" s="100" t="str">
        <f>IF($E744="","",INDEX(进销存对接!$C$4:$C$305,247))</f>
        <v/>
      </c>
      <c r="C744" s="26" t="str">
        <f t="shared" si="45"/>
        <v/>
      </c>
      <c r="D744" s="32" t="str">
        <f>IF($E744="","",INDEX(进销存对接!$D$4:$D$305,247)&amp;" "&amp;TEXT($B744,"YYYY年M月")&amp;" 自动结转")</f>
        <v/>
      </c>
      <c r="E744" s="26" t="str">
        <f>IF(INDEX(进销存对接!$M$4:$U$305,247,7)=0,"",INDEX(进销存对接!$M$4:$U$305,247,7))</f>
        <v/>
      </c>
      <c r="F744" s="25" t="str">
        <f>IF($E744="","",IFERROR(INDEX(科目表!$A$4:$A$81,MATCH($E744,科目表!$B$4:$B$81,0)),""))</f>
        <v/>
      </c>
      <c r="G744" s="26" t="str">
        <f>IF($E744="","",IFERROR(INDEX(科目表!$E$4:$E$81,MATCH($E744,科目表!$B$4:$B$81,0)),""))</f>
        <v/>
      </c>
      <c r="H744" s="27" t="str">
        <f>IF($E744="","",N(INDEX(进销存对接!$M$4:$U$305,247,8)))</f>
        <v/>
      </c>
      <c r="I744" s="27" t="str">
        <f>IF($E744="","",N(INDEX(进销存对接!$M$4:$U$305,247,9)))</f>
        <v/>
      </c>
      <c r="J744" s="26"/>
      <c r="K744" s="26" t="str">
        <f>IF($E744="","",INDEX(进销存对接!$D$4:$D$305,247))</f>
        <v/>
      </c>
      <c r="L744" s="32"/>
      <c r="M744" s="32"/>
      <c r="N744" s="26" t="str">
        <f t="shared" si="46"/>
        <v/>
      </c>
      <c r="O744" s="26" t="str">
        <f t="shared" si="47"/>
        <v/>
      </c>
      <c r="P744" s="10"/>
    </row>
    <row r="745" ht="18" customHeight="1" spans="1:16">
      <c r="A745" s="32" t="str">
        <f t="shared" si="44"/>
        <v/>
      </c>
      <c r="B745" s="100" t="str">
        <f>IF($E745="","",INDEX(进销存对接!$C$4:$C$305,248))</f>
        <v/>
      </c>
      <c r="C745" s="26" t="str">
        <f t="shared" si="45"/>
        <v/>
      </c>
      <c r="D745" s="32" t="str">
        <f>IF($E745="","",INDEX(进销存对接!$D$4:$D$305,248)&amp;" "&amp;TEXT($B745,"YYYY年M月")&amp;" 自动结转")</f>
        <v/>
      </c>
      <c r="E745" s="26" t="str">
        <f>IF(INDEX(进销存对接!$M$4:$U$305,248,1)=0,"",INDEX(进销存对接!$M$4:$U$305,248,1))</f>
        <v/>
      </c>
      <c r="F745" s="25" t="str">
        <f>IF($E745="","",IFERROR(INDEX(科目表!$A$4:$A$81,MATCH($E745,科目表!$B$4:$B$81,0)),""))</f>
        <v/>
      </c>
      <c r="G745" s="26" t="str">
        <f>IF($E745="","",IFERROR(INDEX(科目表!$E$4:$E$81,MATCH($E745,科目表!$B$4:$B$81,0)),""))</f>
        <v/>
      </c>
      <c r="H745" s="27" t="str">
        <f>IF($E745="","",N(INDEX(进销存对接!$M$4:$U$305,248,2)))</f>
        <v/>
      </c>
      <c r="I745" s="27" t="str">
        <f>IF($E745="","",N(INDEX(进销存对接!$M$4:$U$305,248,3)))</f>
        <v/>
      </c>
      <c r="J745" s="26"/>
      <c r="K745" s="26" t="str">
        <f>IF($E745="","",INDEX(进销存对接!$D$4:$D$305,248))</f>
        <v/>
      </c>
      <c r="L745" s="32"/>
      <c r="M745" s="32"/>
      <c r="N745" s="26" t="str">
        <f t="shared" si="46"/>
        <v/>
      </c>
      <c r="O745" s="26" t="str">
        <f t="shared" si="47"/>
        <v/>
      </c>
      <c r="P745" s="10"/>
    </row>
    <row r="746" ht="18" customHeight="1" spans="1:16">
      <c r="A746" s="32" t="str">
        <f t="shared" si="44"/>
        <v/>
      </c>
      <c r="B746" s="100" t="str">
        <f>IF($E746="","",INDEX(进销存对接!$C$4:$C$305,248))</f>
        <v/>
      </c>
      <c r="C746" s="26" t="str">
        <f t="shared" si="45"/>
        <v/>
      </c>
      <c r="D746" s="32" t="str">
        <f>IF($E746="","",INDEX(进销存对接!$D$4:$D$305,248)&amp;" "&amp;TEXT($B746,"YYYY年M月")&amp;" 自动结转")</f>
        <v/>
      </c>
      <c r="E746" s="26" t="str">
        <f>IF(INDEX(进销存对接!$M$4:$U$305,248,4)=0,"",INDEX(进销存对接!$M$4:$U$305,248,4))</f>
        <v/>
      </c>
      <c r="F746" s="25" t="str">
        <f>IF($E746="","",IFERROR(INDEX(科目表!$A$4:$A$81,MATCH($E746,科目表!$B$4:$B$81,0)),""))</f>
        <v/>
      </c>
      <c r="G746" s="26" t="str">
        <f>IF($E746="","",IFERROR(INDEX(科目表!$E$4:$E$81,MATCH($E746,科目表!$B$4:$B$81,0)),""))</f>
        <v/>
      </c>
      <c r="H746" s="27" t="str">
        <f>IF($E746="","",N(INDEX(进销存对接!$M$4:$U$305,248,5)))</f>
        <v/>
      </c>
      <c r="I746" s="27" t="str">
        <f>IF($E746="","",N(INDEX(进销存对接!$M$4:$U$305,248,6)))</f>
        <v/>
      </c>
      <c r="J746" s="26"/>
      <c r="K746" s="26" t="str">
        <f>IF($E746="","",INDEX(进销存对接!$D$4:$D$305,248))</f>
        <v/>
      </c>
      <c r="L746" s="32"/>
      <c r="M746" s="32"/>
      <c r="N746" s="26" t="str">
        <f t="shared" si="46"/>
        <v/>
      </c>
      <c r="O746" s="26" t="str">
        <f t="shared" si="47"/>
        <v/>
      </c>
      <c r="P746" s="10"/>
    </row>
    <row r="747" ht="18" customHeight="1" spans="1:16">
      <c r="A747" s="32" t="str">
        <f t="shared" si="44"/>
        <v/>
      </c>
      <c r="B747" s="100" t="str">
        <f>IF($E747="","",INDEX(进销存对接!$C$4:$C$305,248))</f>
        <v/>
      </c>
      <c r="C747" s="26" t="str">
        <f t="shared" si="45"/>
        <v/>
      </c>
      <c r="D747" s="32" t="str">
        <f>IF($E747="","",INDEX(进销存对接!$D$4:$D$305,248)&amp;" "&amp;TEXT($B747,"YYYY年M月")&amp;" 自动结转")</f>
        <v/>
      </c>
      <c r="E747" s="26" t="str">
        <f>IF(INDEX(进销存对接!$M$4:$U$305,248,7)=0,"",INDEX(进销存对接!$M$4:$U$305,248,7))</f>
        <v/>
      </c>
      <c r="F747" s="25" t="str">
        <f>IF($E747="","",IFERROR(INDEX(科目表!$A$4:$A$81,MATCH($E747,科目表!$B$4:$B$81,0)),""))</f>
        <v/>
      </c>
      <c r="G747" s="26" t="str">
        <f>IF($E747="","",IFERROR(INDEX(科目表!$E$4:$E$81,MATCH($E747,科目表!$B$4:$B$81,0)),""))</f>
        <v/>
      </c>
      <c r="H747" s="27" t="str">
        <f>IF($E747="","",N(INDEX(进销存对接!$M$4:$U$305,248,8)))</f>
        <v/>
      </c>
      <c r="I747" s="27" t="str">
        <f>IF($E747="","",N(INDEX(进销存对接!$M$4:$U$305,248,9)))</f>
        <v/>
      </c>
      <c r="J747" s="26"/>
      <c r="K747" s="26" t="str">
        <f>IF($E747="","",INDEX(进销存对接!$D$4:$D$305,248))</f>
        <v/>
      </c>
      <c r="L747" s="32"/>
      <c r="M747" s="32"/>
      <c r="N747" s="26" t="str">
        <f t="shared" si="46"/>
        <v/>
      </c>
      <c r="O747" s="26" t="str">
        <f t="shared" si="47"/>
        <v/>
      </c>
      <c r="P747" s="10"/>
    </row>
    <row r="748" ht="18" customHeight="1" spans="1:16">
      <c r="A748" s="32" t="str">
        <f t="shared" si="44"/>
        <v/>
      </c>
      <c r="B748" s="100" t="str">
        <f>IF($E748="","",INDEX(进销存对接!$C$4:$C$305,249))</f>
        <v/>
      </c>
      <c r="C748" s="26" t="str">
        <f t="shared" si="45"/>
        <v/>
      </c>
      <c r="D748" s="32" t="str">
        <f>IF($E748="","",INDEX(进销存对接!$D$4:$D$305,249)&amp;" "&amp;TEXT($B748,"YYYY年M月")&amp;" 自动结转")</f>
        <v/>
      </c>
      <c r="E748" s="26" t="str">
        <f>IF(INDEX(进销存对接!$M$4:$U$305,249,1)=0,"",INDEX(进销存对接!$M$4:$U$305,249,1))</f>
        <v/>
      </c>
      <c r="F748" s="25" t="str">
        <f>IF($E748="","",IFERROR(INDEX(科目表!$A$4:$A$81,MATCH($E748,科目表!$B$4:$B$81,0)),""))</f>
        <v/>
      </c>
      <c r="G748" s="26" t="str">
        <f>IF($E748="","",IFERROR(INDEX(科目表!$E$4:$E$81,MATCH($E748,科目表!$B$4:$B$81,0)),""))</f>
        <v/>
      </c>
      <c r="H748" s="27" t="str">
        <f>IF($E748="","",N(INDEX(进销存对接!$M$4:$U$305,249,2)))</f>
        <v/>
      </c>
      <c r="I748" s="27" t="str">
        <f>IF($E748="","",N(INDEX(进销存对接!$M$4:$U$305,249,3)))</f>
        <v/>
      </c>
      <c r="J748" s="26"/>
      <c r="K748" s="26" t="str">
        <f>IF($E748="","",INDEX(进销存对接!$D$4:$D$305,249))</f>
        <v/>
      </c>
      <c r="L748" s="32"/>
      <c r="M748" s="32"/>
      <c r="N748" s="26" t="str">
        <f t="shared" si="46"/>
        <v/>
      </c>
      <c r="O748" s="26" t="str">
        <f t="shared" si="47"/>
        <v/>
      </c>
      <c r="P748" s="10"/>
    </row>
    <row r="749" ht="18" customHeight="1" spans="1:16">
      <c r="A749" s="32" t="str">
        <f t="shared" si="44"/>
        <v/>
      </c>
      <c r="B749" s="100" t="str">
        <f>IF($E749="","",INDEX(进销存对接!$C$4:$C$305,249))</f>
        <v/>
      </c>
      <c r="C749" s="26" t="str">
        <f t="shared" si="45"/>
        <v/>
      </c>
      <c r="D749" s="32" t="str">
        <f>IF($E749="","",INDEX(进销存对接!$D$4:$D$305,249)&amp;" "&amp;TEXT($B749,"YYYY年M月")&amp;" 自动结转")</f>
        <v/>
      </c>
      <c r="E749" s="26" t="str">
        <f>IF(INDEX(进销存对接!$M$4:$U$305,249,4)=0,"",INDEX(进销存对接!$M$4:$U$305,249,4))</f>
        <v/>
      </c>
      <c r="F749" s="25" t="str">
        <f>IF($E749="","",IFERROR(INDEX(科目表!$A$4:$A$81,MATCH($E749,科目表!$B$4:$B$81,0)),""))</f>
        <v/>
      </c>
      <c r="G749" s="26" t="str">
        <f>IF($E749="","",IFERROR(INDEX(科目表!$E$4:$E$81,MATCH($E749,科目表!$B$4:$B$81,0)),""))</f>
        <v/>
      </c>
      <c r="H749" s="27" t="str">
        <f>IF($E749="","",N(INDEX(进销存对接!$M$4:$U$305,249,5)))</f>
        <v/>
      </c>
      <c r="I749" s="27" t="str">
        <f>IF($E749="","",N(INDEX(进销存对接!$M$4:$U$305,249,6)))</f>
        <v/>
      </c>
      <c r="J749" s="26"/>
      <c r="K749" s="26" t="str">
        <f>IF($E749="","",INDEX(进销存对接!$D$4:$D$305,249))</f>
        <v/>
      </c>
      <c r="L749" s="32"/>
      <c r="M749" s="32"/>
      <c r="N749" s="26" t="str">
        <f t="shared" si="46"/>
        <v/>
      </c>
      <c r="O749" s="26" t="str">
        <f t="shared" si="47"/>
        <v/>
      </c>
      <c r="P749" s="10"/>
    </row>
    <row r="750" ht="18" customHeight="1" spans="1:16">
      <c r="A750" s="32" t="str">
        <f t="shared" si="44"/>
        <v/>
      </c>
      <c r="B750" s="100" t="str">
        <f>IF($E750="","",INDEX(进销存对接!$C$4:$C$305,249))</f>
        <v/>
      </c>
      <c r="C750" s="26" t="str">
        <f t="shared" si="45"/>
        <v/>
      </c>
      <c r="D750" s="32" t="str">
        <f>IF($E750="","",INDEX(进销存对接!$D$4:$D$305,249)&amp;" "&amp;TEXT($B750,"YYYY年M月")&amp;" 自动结转")</f>
        <v/>
      </c>
      <c r="E750" s="26" t="str">
        <f>IF(INDEX(进销存对接!$M$4:$U$305,249,7)=0,"",INDEX(进销存对接!$M$4:$U$305,249,7))</f>
        <v/>
      </c>
      <c r="F750" s="25" t="str">
        <f>IF($E750="","",IFERROR(INDEX(科目表!$A$4:$A$81,MATCH($E750,科目表!$B$4:$B$81,0)),""))</f>
        <v/>
      </c>
      <c r="G750" s="26" t="str">
        <f>IF($E750="","",IFERROR(INDEX(科目表!$E$4:$E$81,MATCH($E750,科目表!$B$4:$B$81,0)),""))</f>
        <v/>
      </c>
      <c r="H750" s="27" t="str">
        <f>IF($E750="","",N(INDEX(进销存对接!$M$4:$U$305,249,8)))</f>
        <v/>
      </c>
      <c r="I750" s="27" t="str">
        <f>IF($E750="","",N(INDEX(进销存对接!$M$4:$U$305,249,9)))</f>
        <v/>
      </c>
      <c r="J750" s="26"/>
      <c r="K750" s="26" t="str">
        <f>IF($E750="","",INDEX(进销存对接!$D$4:$D$305,249))</f>
        <v/>
      </c>
      <c r="L750" s="32"/>
      <c r="M750" s="32"/>
      <c r="N750" s="26" t="str">
        <f t="shared" si="46"/>
        <v/>
      </c>
      <c r="O750" s="26" t="str">
        <f t="shared" si="47"/>
        <v/>
      </c>
      <c r="P750" s="10"/>
    </row>
    <row r="751" ht="18" customHeight="1" spans="1:16">
      <c r="A751" s="32" t="str">
        <f t="shared" si="44"/>
        <v/>
      </c>
      <c r="B751" s="100" t="str">
        <f>IF($E751="","",INDEX(进销存对接!$C$4:$C$305,250))</f>
        <v/>
      </c>
      <c r="C751" s="26" t="str">
        <f t="shared" si="45"/>
        <v/>
      </c>
      <c r="D751" s="32" t="str">
        <f>IF($E751="","",INDEX(进销存对接!$D$4:$D$305,250)&amp;" "&amp;TEXT($B751,"YYYY年M月")&amp;" 自动结转")</f>
        <v/>
      </c>
      <c r="E751" s="26" t="str">
        <f>IF(INDEX(进销存对接!$M$4:$U$305,250,1)=0,"",INDEX(进销存对接!$M$4:$U$305,250,1))</f>
        <v/>
      </c>
      <c r="F751" s="25" t="str">
        <f>IF($E751="","",IFERROR(INDEX(科目表!$A$4:$A$81,MATCH($E751,科目表!$B$4:$B$81,0)),""))</f>
        <v/>
      </c>
      <c r="G751" s="26" t="str">
        <f>IF($E751="","",IFERROR(INDEX(科目表!$E$4:$E$81,MATCH($E751,科目表!$B$4:$B$81,0)),""))</f>
        <v/>
      </c>
      <c r="H751" s="27" t="str">
        <f>IF($E751="","",N(INDEX(进销存对接!$M$4:$U$305,250,2)))</f>
        <v/>
      </c>
      <c r="I751" s="27" t="str">
        <f>IF($E751="","",N(INDEX(进销存对接!$M$4:$U$305,250,3)))</f>
        <v/>
      </c>
      <c r="J751" s="26"/>
      <c r="K751" s="26" t="str">
        <f>IF($E751="","",INDEX(进销存对接!$D$4:$D$305,250))</f>
        <v/>
      </c>
      <c r="L751" s="32"/>
      <c r="M751" s="32"/>
      <c r="N751" s="26" t="str">
        <f t="shared" si="46"/>
        <v/>
      </c>
      <c r="O751" s="26" t="str">
        <f t="shared" si="47"/>
        <v/>
      </c>
      <c r="P751" s="10"/>
    </row>
    <row r="752" ht="18" customHeight="1" spans="1:16">
      <c r="A752" s="32" t="str">
        <f t="shared" si="44"/>
        <v/>
      </c>
      <c r="B752" s="100" t="str">
        <f>IF($E752="","",INDEX(进销存对接!$C$4:$C$305,250))</f>
        <v/>
      </c>
      <c r="C752" s="26" t="str">
        <f t="shared" si="45"/>
        <v/>
      </c>
      <c r="D752" s="32" t="str">
        <f>IF($E752="","",INDEX(进销存对接!$D$4:$D$305,250)&amp;" "&amp;TEXT($B752,"YYYY年M月")&amp;" 自动结转")</f>
        <v/>
      </c>
      <c r="E752" s="26" t="str">
        <f>IF(INDEX(进销存对接!$M$4:$U$305,250,4)=0,"",INDEX(进销存对接!$M$4:$U$305,250,4))</f>
        <v/>
      </c>
      <c r="F752" s="25" t="str">
        <f>IF($E752="","",IFERROR(INDEX(科目表!$A$4:$A$81,MATCH($E752,科目表!$B$4:$B$81,0)),""))</f>
        <v/>
      </c>
      <c r="G752" s="26" t="str">
        <f>IF($E752="","",IFERROR(INDEX(科目表!$E$4:$E$81,MATCH($E752,科目表!$B$4:$B$81,0)),""))</f>
        <v/>
      </c>
      <c r="H752" s="27" t="str">
        <f>IF($E752="","",N(INDEX(进销存对接!$M$4:$U$305,250,5)))</f>
        <v/>
      </c>
      <c r="I752" s="27" t="str">
        <f>IF($E752="","",N(INDEX(进销存对接!$M$4:$U$305,250,6)))</f>
        <v/>
      </c>
      <c r="J752" s="26"/>
      <c r="K752" s="26" t="str">
        <f>IF($E752="","",INDEX(进销存对接!$D$4:$D$305,250))</f>
        <v/>
      </c>
      <c r="L752" s="32"/>
      <c r="M752" s="32"/>
      <c r="N752" s="26" t="str">
        <f t="shared" si="46"/>
        <v/>
      </c>
      <c r="O752" s="26" t="str">
        <f t="shared" si="47"/>
        <v/>
      </c>
      <c r="P752" s="10"/>
    </row>
    <row r="753" ht="18" customHeight="1" spans="1:16">
      <c r="A753" s="32" t="str">
        <f t="shared" si="44"/>
        <v/>
      </c>
      <c r="B753" s="100" t="str">
        <f>IF($E753="","",INDEX(进销存对接!$C$4:$C$305,250))</f>
        <v/>
      </c>
      <c r="C753" s="26" t="str">
        <f t="shared" si="45"/>
        <v/>
      </c>
      <c r="D753" s="32" t="str">
        <f>IF($E753="","",INDEX(进销存对接!$D$4:$D$305,250)&amp;" "&amp;TEXT($B753,"YYYY年M月")&amp;" 自动结转")</f>
        <v/>
      </c>
      <c r="E753" s="26" t="str">
        <f>IF(INDEX(进销存对接!$M$4:$U$305,250,7)=0,"",INDEX(进销存对接!$M$4:$U$305,250,7))</f>
        <v/>
      </c>
      <c r="F753" s="25" t="str">
        <f>IF($E753="","",IFERROR(INDEX(科目表!$A$4:$A$81,MATCH($E753,科目表!$B$4:$B$81,0)),""))</f>
        <v/>
      </c>
      <c r="G753" s="26" t="str">
        <f>IF($E753="","",IFERROR(INDEX(科目表!$E$4:$E$81,MATCH($E753,科目表!$B$4:$B$81,0)),""))</f>
        <v/>
      </c>
      <c r="H753" s="27" t="str">
        <f>IF($E753="","",N(INDEX(进销存对接!$M$4:$U$305,250,8)))</f>
        <v/>
      </c>
      <c r="I753" s="27" t="str">
        <f>IF($E753="","",N(INDEX(进销存对接!$M$4:$U$305,250,9)))</f>
        <v/>
      </c>
      <c r="J753" s="26"/>
      <c r="K753" s="26" t="str">
        <f>IF($E753="","",INDEX(进销存对接!$D$4:$D$305,250))</f>
        <v/>
      </c>
      <c r="L753" s="32"/>
      <c r="M753" s="32"/>
      <c r="N753" s="26" t="str">
        <f t="shared" si="46"/>
        <v/>
      </c>
      <c r="O753" s="26" t="str">
        <f t="shared" si="47"/>
        <v/>
      </c>
      <c r="P753" s="10"/>
    </row>
    <row r="754" ht="18" customHeight="1" spans="1:16">
      <c r="A754" s="32" t="str">
        <f t="shared" si="44"/>
        <v/>
      </c>
      <c r="B754" s="100" t="str">
        <f>IF($E754="","",INDEX(进销存对接!$C$4:$C$305,251))</f>
        <v/>
      </c>
      <c r="C754" s="26" t="str">
        <f t="shared" si="45"/>
        <v/>
      </c>
      <c r="D754" s="32" t="str">
        <f>IF($E754="","",INDEX(进销存对接!$D$4:$D$305,251)&amp;" "&amp;TEXT($B754,"YYYY年M月")&amp;" 自动结转")</f>
        <v/>
      </c>
      <c r="E754" s="26" t="str">
        <f>IF(INDEX(进销存对接!$M$4:$U$305,251,1)=0,"",INDEX(进销存对接!$M$4:$U$305,251,1))</f>
        <v/>
      </c>
      <c r="F754" s="25" t="str">
        <f>IF($E754="","",IFERROR(INDEX(科目表!$A$4:$A$81,MATCH($E754,科目表!$B$4:$B$81,0)),""))</f>
        <v/>
      </c>
      <c r="G754" s="26" t="str">
        <f>IF($E754="","",IFERROR(INDEX(科目表!$E$4:$E$81,MATCH($E754,科目表!$B$4:$B$81,0)),""))</f>
        <v/>
      </c>
      <c r="H754" s="27" t="str">
        <f>IF($E754="","",N(INDEX(进销存对接!$M$4:$U$305,251,2)))</f>
        <v/>
      </c>
      <c r="I754" s="27" t="str">
        <f>IF($E754="","",N(INDEX(进销存对接!$M$4:$U$305,251,3)))</f>
        <v/>
      </c>
      <c r="J754" s="26"/>
      <c r="K754" s="26" t="str">
        <f>IF($E754="","",INDEX(进销存对接!$D$4:$D$305,251))</f>
        <v/>
      </c>
      <c r="L754" s="32"/>
      <c r="M754" s="32"/>
      <c r="N754" s="26" t="str">
        <f t="shared" si="46"/>
        <v/>
      </c>
      <c r="O754" s="26" t="str">
        <f t="shared" si="47"/>
        <v/>
      </c>
      <c r="P754" s="10"/>
    </row>
    <row r="755" ht="18" customHeight="1" spans="1:16">
      <c r="A755" s="32" t="str">
        <f t="shared" si="44"/>
        <v/>
      </c>
      <c r="B755" s="100" t="str">
        <f>IF($E755="","",INDEX(进销存对接!$C$4:$C$305,251))</f>
        <v/>
      </c>
      <c r="C755" s="26" t="str">
        <f t="shared" si="45"/>
        <v/>
      </c>
      <c r="D755" s="32" t="str">
        <f>IF($E755="","",INDEX(进销存对接!$D$4:$D$305,251)&amp;" "&amp;TEXT($B755,"YYYY年M月")&amp;" 自动结转")</f>
        <v/>
      </c>
      <c r="E755" s="26" t="str">
        <f>IF(INDEX(进销存对接!$M$4:$U$305,251,4)=0,"",INDEX(进销存对接!$M$4:$U$305,251,4))</f>
        <v/>
      </c>
      <c r="F755" s="25" t="str">
        <f>IF($E755="","",IFERROR(INDEX(科目表!$A$4:$A$81,MATCH($E755,科目表!$B$4:$B$81,0)),""))</f>
        <v/>
      </c>
      <c r="G755" s="26" t="str">
        <f>IF($E755="","",IFERROR(INDEX(科目表!$E$4:$E$81,MATCH($E755,科目表!$B$4:$B$81,0)),""))</f>
        <v/>
      </c>
      <c r="H755" s="27" t="str">
        <f>IF($E755="","",N(INDEX(进销存对接!$M$4:$U$305,251,5)))</f>
        <v/>
      </c>
      <c r="I755" s="27" t="str">
        <f>IF($E755="","",N(INDEX(进销存对接!$M$4:$U$305,251,6)))</f>
        <v/>
      </c>
      <c r="J755" s="26"/>
      <c r="K755" s="26" t="str">
        <f>IF($E755="","",INDEX(进销存对接!$D$4:$D$305,251))</f>
        <v/>
      </c>
      <c r="L755" s="32"/>
      <c r="M755" s="32"/>
      <c r="N755" s="26" t="str">
        <f t="shared" si="46"/>
        <v/>
      </c>
      <c r="O755" s="26" t="str">
        <f t="shared" si="47"/>
        <v/>
      </c>
      <c r="P755" s="10"/>
    </row>
    <row r="756" ht="18" customHeight="1" spans="1:16">
      <c r="A756" s="32" t="str">
        <f t="shared" si="44"/>
        <v/>
      </c>
      <c r="B756" s="100" t="str">
        <f>IF($E756="","",INDEX(进销存对接!$C$4:$C$305,251))</f>
        <v/>
      </c>
      <c r="C756" s="26" t="str">
        <f t="shared" si="45"/>
        <v/>
      </c>
      <c r="D756" s="32" t="str">
        <f>IF($E756="","",INDEX(进销存对接!$D$4:$D$305,251)&amp;" "&amp;TEXT($B756,"YYYY年M月")&amp;" 自动结转")</f>
        <v/>
      </c>
      <c r="E756" s="26" t="str">
        <f>IF(INDEX(进销存对接!$M$4:$U$305,251,7)=0,"",INDEX(进销存对接!$M$4:$U$305,251,7))</f>
        <v/>
      </c>
      <c r="F756" s="25" t="str">
        <f>IF($E756="","",IFERROR(INDEX(科目表!$A$4:$A$81,MATCH($E756,科目表!$B$4:$B$81,0)),""))</f>
        <v/>
      </c>
      <c r="G756" s="26" t="str">
        <f>IF($E756="","",IFERROR(INDEX(科目表!$E$4:$E$81,MATCH($E756,科目表!$B$4:$B$81,0)),""))</f>
        <v/>
      </c>
      <c r="H756" s="27" t="str">
        <f>IF($E756="","",N(INDEX(进销存对接!$M$4:$U$305,251,8)))</f>
        <v/>
      </c>
      <c r="I756" s="27" t="str">
        <f>IF($E756="","",N(INDEX(进销存对接!$M$4:$U$305,251,9)))</f>
        <v/>
      </c>
      <c r="J756" s="26"/>
      <c r="K756" s="26" t="str">
        <f>IF($E756="","",INDEX(进销存对接!$D$4:$D$305,251))</f>
        <v/>
      </c>
      <c r="L756" s="32"/>
      <c r="M756" s="32"/>
      <c r="N756" s="26" t="str">
        <f t="shared" si="46"/>
        <v/>
      </c>
      <c r="O756" s="26" t="str">
        <f t="shared" si="47"/>
        <v/>
      </c>
      <c r="P756" s="10"/>
    </row>
    <row r="757" ht="18" customHeight="1" spans="1:16">
      <c r="A757" s="32" t="str">
        <f t="shared" si="44"/>
        <v/>
      </c>
      <c r="B757" s="100" t="str">
        <f>IF($E757="","",INDEX(进销存对接!$C$4:$C$305,252))</f>
        <v/>
      </c>
      <c r="C757" s="26" t="str">
        <f t="shared" si="45"/>
        <v/>
      </c>
      <c r="D757" s="32" t="str">
        <f>IF($E757="","",INDEX(进销存对接!$D$4:$D$305,252)&amp;" "&amp;TEXT($B757,"YYYY年M月")&amp;" 自动结转")</f>
        <v/>
      </c>
      <c r="E757" s="26" t="str">
        <f>IF(INDEX(进销存对接!$M$4:$U$305,252,1)=0,"",INDEX(进销存对接!$M$4:$U$305,252,1))</f>
        <v/>
      </c>
      <c r="F757" s="25" t="str">
        <f>IF($E757="","",IFERROR(INDEX(科目表!$A$4:$A$81,MATCH($E757,科目表!$B$4:$B$81,0)),""))</f>
        <v/>
      </c>
      <c r="G757" s="26" t="str">
        <f>IF($E757="","",IFERROR(INDEX(科目表!$E$4:$E$81,MATCH($E757,科目表!$B$4:$B$81,0)),""))</f>
        <v/>
      </c>
      <c r="H757" s="27" t="str">
        <f>IF($E757="","",N(INDEX(进销存对接!$M$4:$U$305,252,2)))</f>
        <v/>
      </c>
      <c r="I757" s="27" t="str">
        <f>IF($E757="","",N(INDEX(进销存对接!$M$4:$U$305,252,3)))</f>
        <v/>
      </c>
      <c r="J757" s="26"/>
      <c r="K757" s="26" t="str">
        <f>IF($E757="","",INDEX(进销存对接!$D$4:$D$305,252))</f>
        <v/>
      </c>
      <c r="L757" s="32"/>
      <c r="M757" s="32"/>
      <c r="N757" s="26" t="str">
        <f t="shared" si="46"/>
        <v/>
      </c>
      <c r="O757" s="26" t="str">
        <f t="shared" si="47"/>
        <v/>
      </c>
      <c r="P757" s="10"/>
    </row>
    <row r="758" ht="18" customHeight="1" spans="1:16">
      <c r="A758" s="32" t="str">
        <f t="shared" si="44"/>
        <v/>
      </c>
      <c r="B758" s="100" t="str">
        <f>IF($E758="","",INDEX(进销存对接!$C$4:$C$305,252))</f>
        <v/>
      </c>
      <c r="C758" s="26" t="str">
        <f t="shared" si="45"/>
        <v/>
      </c>
      <c r="D758" s="32" t="str">
        <f>IF($E758="","",INDEX(进销存对接!$D$4:$D$305,252)&amp;" "&amp;TEXT($B758,"YYYY年M月")&amp;" 自动结转")</f>
        <v/>
      </c>
      <c r="E758" s="26" t="str">
        <f>IF(INDEX(进销存对接!$M$4:$U$305,252,4)=0,"",INDEX(进销存对接!$M$4:$U$305,252,4))</f>
        <v/>
      </c>
      <c r="F758" s="25" t="str">
        <f>IF($E758="","",IFERROR(INDEX(科目表!$A$4:$A$81,MATCH($E758,科目表!$B$4:$B$81,0)),""))</f>
        <v/>
      </c>
      <c r="G758" s="26" t="str">
        <f>IF($E758="","",IFERROR(INDEX(科目表!$E$4:$E$81,MATCH($E758,科目表!$B$4:$B$81,0)),""))</f>
        <v/>
      </c>
      <c r="H758" s="27" t="str">
        <f>IF($E758="","",N(INDEX(进销存对接!$M$4:$U$305,252,5)))</f>
        <v/>
      </c>
      <c r="I758" s="27" t="str">
        <f>IF($E758="","",N(INDEX(进销存对接!$M$4:$U$305,252,6)))</f>
        <v/>
      </c>
      <c r="J758" s="26"/>
      <c r="K758" s="26" t="str">
        <f>IF($E758="","",INDEX(进销存对接!$D$4:$D$305,252))</f>
        <v/>
      </c>
      <c r="L758" s="32"/>
      <c r="M758" s="32"/>
      <c r="N758" s="26" t="str">
        <f t="shared" si="46"/>
        <v/>
      </c>
      <c r="O758" s="26" t="str">
        <f t="shared" si="47"/>
        <v/>
      </c>
      <c r="P758" s="10"/>
    </row>
    <row r="759" ht="18" customHeight="1" spans="1:16">
      <c r="A759" s="32" t="str">
        <f t="shared" si="44"/>
        <v/>
      </c>
      <c r="B759" s="100" t="str">
        <f>IF($E759="","",INDEX(进销存对接!$C$4:$C$305,252))</f>
        <v/>
      </c>
      <c r="C759" s="26" t="str">
        <f t="shared" si="45"/>
        <v/>
      </c>
      <c r="D759" s="32" t="str">
        <f>IF($E759="","",INDEX(进销存对接!$D$4:$D$305,252)&amp;" "&amp;TEXT($B759,"YYYY年M月")&amp;" 自动结转")</f>
        <v/>
      </c>
      <c r="E759" s="26" t="str">
        <f>IF(INDEX(进销存对接!$M$4:$U$305,252,7)=0,"",INDEX(进销存对接!$M$4:$U$305,252,7))</f>
        <v/>
      </c>
      <c r="F759" s="25" t="str">
        <f>IF($E759="","",IFERROR(INDEX(科目表!$A$4:$A$81,MATCH($E759,科目表!$B$4:$B$81,0)),""))</f>
        <v/>
      </c>
      <c r="G759" s="26" t="str">
        <f>IF($E759="","",IFERROR(INDEX(科目表!$E$4:$E$81,MATCH($E759,科目表!$B$4:$B$81,0)),""))</f>
        <v/>
      </c>
      <c r="H759" s="27" t="str">
        <f>IF($E759="","",N(INDEX(进销存对接!$M$4:$U$305,252,8)))</f>
        <v/>
      </c>
      <c r="I759" s="27" t="str">
        <f>IF($E759="","",N(INDEX(进销存对接!$M$4:$U$305,252,9)))</f>
        <v/>
      </c>
      <c r="J759" s="26"/>
      <c r="K759" s="26" t="str">
        <f>IF($E759="","",INDEX(进销存对接!$D$4:$D$305,252))</f>
        <v/>
      </c>
      <c r="L759" s="32"/>
      <c r="M759" s="32"/>
      <c r="N759" s="26" t="str">
        <f t="shared" si="46"/>
        <v/>
      </c>
      <c r="O759" s="26" t="str">
        <f t="shared" si="47"/>
        <v/>
      </c>
      <c r="P759" s="10"/>
    </row>
    <row r="760" ht="18" customHeight="1" spans="1:16">
      <c r="A760" s="32" t="str">
        <f t="shared" si="44"/>
        <v/>
      </c>
      <c r="B760" s="100" t="str">
        <f>IF($E760="","",INDEX(进销存对接!$C$4:$C$305,253))</f>
        <v/>
      </c>
      <c r="C760" s="26" t="str">
        <f t="shared" si="45"/>
        <v/>
      </c>
      <c r="D760" s="32" t="str">
        <f>IF($E760="","",INDEX(进销存对接!$D$4:$D$305,253)&amp;" "&amp;TEXT($B760,"YYYY年M月")&amp;" 自动结转")</f>
        <v/>
      </c>
      <c r="E760" s="26" t="str">
        <f>IF(INDEX(进销存对接!$M$4:$U$305,253,1)=0,"",INDEX(进销存对接!$M$4:$U$305,253,1))</f>
        <v/>
      </c>
      <c r="F760" s="25" t="str">
        <f>IF($E760="","",IFERROR(INDEX(科目表!$A$4:$A$81,MATCH($E760,科目表!$B$4:$B$81,0)),""))</f>
        <v/>
      </c>
      <c r="G760" s="26" t="str">
        <f>IF($E760="","",IFERROR(INDEX(科目表!$E$4:$E$81,MATCH($E760,科目表!$B$4:$B$81,0)),""))</f>
        <v/>
      </c>
      <c r="H760" s="27" t="str">
        <f>IF($E760="","",N(INDEX(进销存对接!$M$4:$U$305,253,2)))</f>
        <v/>
      </c>
      <c r="I760" s="27" t="str">
        <f>IF($E760="","",N(INDEX(进销存对接!$M$4:$U$305,253,3)))</f>
        <v/>
      </c>
      <c r="J760" s="26"/>
      <c r="K760" s="26" t="str">
        <f>IF($E760="","",INDEX(进销存对接!$D$4:$D$305,253))</f>
        <v/>
      </c>
      <c r="L760" s="32"/>
      <c r="M760" s="32"/>
      <c r="N760" s="26" t="str">
        <f t="shared" si="46"/>
        <v/>
      </c>
      <c r="O760" s="26" t="str">
        <f t="shared" si="47"/>
        <v/>
      </c>
      <c r="P760" s="10"/>
    </row>
    <row r="761" ht="18" customHeight="1" spans="1:16">
      <c r="A761" s="32" t="str">
        <f t="shared" si="44"/>
        <v/>
      </c>
      <c r="B761" s="100" t="str">
        <f>IF($E761="","",INDEX(进销存对接!$C$4:$C$305,253))</f>
        <v/>
      </c>
      <c r="C761" s="26" t="str">
        <f t="shared" si="45"/>
        <v/>
      </c>
      <c r="D761" s="32" t="str">
        <f>IF($E761="","",INDEX(进销存对接!$D$4:$D$305,253)&amp;" "&amp;TEXT($B761,"YYYY年M月")&amp;" 自动结转")</f>
        <v/>
      </c>
      <c r="E761" s="26" t="str">
        <f>IF(INDEX(进销存对接!$M$4:$U$305,253,4)=0,"",INDEX(进销存对接!$M$4:$U$305,253,4))</f>
        <v/>
      </c>
      <c r="F761" s="25" t="str">
        <f>IF($E761="","",IFERROR(INDEX(科目表!$A$4:$A$81,MATCH($E761,科目表!$B$4:$B$81,0)),""))</f>
        <v/>
      </c>
      <c r="G761" s="26" t="str">
        <f>IF($E761="","",IFERROR(INDEX(科目表!$E$4:$E$81,MATCH($E761,科目表!$B$4:$B$81,0)),""))</f>
        <v/>
      </c>
      <c r="H761" s="27" t="str">
        <f>IF($E761="","",N(INDEX(进销存对接!$M$4:$U$305,253,5)))</f>
        <v/>
      </c>
      <c r="I761" s="27" t="str">
        <f>IF($E761="","",N(INDEX(进销存对接!$M$4:$U$305,253,6)))</f>
        <v/>
      </c>
      <c r="J761" s="26"/>
      <c r="K761" s="26" t="str">
        <f>IF($E761="","",INDEX(进销存对接!$D$4:$D$305,253))</f>
        <v/>
      </c>
      <c r="L761" s="32"/>
      <c r="M761" s="32"/>
      <c r="N761" s="26" t="str">
        <f t="shared" si="46"/>
        <v/>
      </c>
      <c r="O761" s="26" t="str">
        <f t="shared" si="47"/>
        <v/>
      </c>
      <c r="P761" s="10"/>
    </row>
    <row r="762" ht="18" customHeight="1" spans="1:16">
      <c r="A762" s="32" t="str">
        <f t="shared" si="44"/>
        <v/>
      </c>
      <c r="B762" s="100" t="str">
        <f>IF($E762="","",INDEX(进销存对接!$C$4:$C$305,253))</f>
        <v/>
      </c>
      <c r="C762" s="26" t="str">
        <f t="shared" si="45"/>
        <v/>
      </c>
      <c r="D762" s="32" t="str">
        <f>IF($E762="","",INDEX(进销存对接!$D$4:$D$305,253)&amp;" "&amp;TEXT($B762,"YYYY年M月")&amp;" 自动结转")</f>
        <v/>
      </c>
      <c r="E762" s="26" t="str">
        <f>IF(INDEX(进销存对接!$M$4:$U$305,253,7)=0,"",INDEX(进销存对接!$M$4:$U$305,253,7))</f>
        <v/>
      </c>
      <c r="F762" s="25" t="str">
        <f>IF($E762="","",IFERROR(INDEX(科目表!$A$4:$A$81,MATCH($E762,科目表!$B$4:$B$81,0)),""))</f>
        <v/>
      </c>
      <c r="G762" s="26" t="str">
        <f>IF($E762="","",IFERROR(INDEX(科目表!$E$4:$E$81,MATCH($E762,科目表!$B$4:$B$81,0)),""))</f>
        <v/>
      </c>
      <c r="H762" s="27" t="str">
        <f>IF($E762="","",N(INDEX(进销存对接!$M$4:$U$305,253,8)))</f>
        <v/>
      </c>
      <c r="I762" s="27" t="str">
        <f>IF($E762="","",N(INDEX(进销存对接!$M$4:$U$305,253,9)))</f>
        <v/>
      </c>
      <c r="J762" s="26"/>
      <c r="K762" s="26" t="str">
        <f>IF($E762="","",INDEX(进销存对接!$D$4:$D$305,253))</f>
        <v/>
      </c>
      <c r="L762" s="32"/>
      <c r="M762" s="32"/>
      <c r="N762" s="26" t="str">
        <f t="shared" si="46"/>
        <v/>
      </c>
      <c r="O762" s="26" t="str">
        <f t="shared" si="47"/>
        <v/>
      </c>
      <c r="P762" s="10"/>
    </row>
    <row r="763" ht="18" customHeight="1" spans="1:16">
      <c r="A763" s="32" t="str">
        <f t="shared" si="44"/>
        <v/>
      </c>
      <c r="B763" s="100" t="str">
        <f>IF($E763="","",INDEX(进销存对接!$C$4:$C$305,254))</f>
        <v/>
      </c>
      <c r="C763" s="26" t="str">
        <f t="shared" si="45"/>
        <v/>
      </c>
      <c r="D763" s="32" t="str">
        <f>IF($E763="","",INDEX(进销存对接!$D$4:$D$305,254)&amp;" "&amp;TEXT($B763,"YYYY年M月")&amp;" 自动结转")</f>
        <v/>
      </c>
      <c r="E763" s="26" t="str">
        <f>IF(INDEX(进销存对接!$M$4:$U$305,254,1)=0,"",INDEX(进销存对接!$M$4:$U$305,254,1))</f>
        <v/>
      </c>
      <c r="F763" s="25" t="str">
        <f>IF($E763="","",IFERROR(INDEX(科目表!$A$4:$A$81,MATCH($E763,科目表!$B$4:$B$81,0)),""))</f>
        <v/>
      </c>
      <c r="G763" s="26" t="str">
        <f>IF($E763="","",IFERROR(INDEX(科目表!$E$4:$E$81,MATCH($E763,科目表!$B$4:$B$81,0)),""))</f>
        <v/>
      </c>
      <c r="H763" s="27" t="str">
        <f>IF($E763="","",N(INDEX(进销存对接!$M$4:$U$305,254,2)))</f>
        <v/>
      </c>
      <c r="I763" s="27" t="str">
        <f>IF($E763="","",N(INDEX(进销存对接!$M$4:$U$305,254,3)))</f>
        <v/>
      </c>
      <c r="J763" s="26"/>
      <c r="K763" s="26" t="str">
        <f>IF($E763="","",INDEX(进销存对接!$D$4:$D$305,254))</f>
        <v/>
      </c>
      <c r="L763" s="32"/>
      <c r="M763" s="32"/>
      <c r="N763" s="26" t="str">
        <f t="shared" si="46"/>
        <v/>
      </c>
      <c r="O763" s="26" t="str">
        <f t="shared" si="47"/>
        <v/>
      </c>
      <c r="P763" s="10"/>
    </row>
    <row r="764" ht="18" customHeight="1" spans="1:16">
      <c r="A764" s="32" t="str">
        <f t="shared" si="44"/>
        <v/>
      </c>
      <c r="B764" s="100" t="str">
        <f>IF($E764="","",INDEX(进销存对接!$C$4:$C$305,254))</f>
        <v/>
      </c>
      <c r="C764" s="26" t="str">
        <f t="shared" si="45"/>
        <v/>
      </c>
      <c r="D764" s="32" t="str">
        <f>IF($E764="","",INDEX(进销存对接!$D$4:$D$305,254)&amp;" "&amp;TEXT($B764,"YYYY年M月")&amp;" 自动结转")</f>
        <v/>
      </c>
      <c r="E764" s="26" t="str">
        <f>IF(INDEX(进销存对接!$M$4:$U$305,254,4)=0,"",INDEX(进销存对接!$M$4:$U$305,254,4))</f>
        <v/>
      </c>
      <c r="F764" s="25" t="str">
        <f>IF($E764="","",IFERROR(INDEX(科目表!$A$4:$A$81,MATCH($E764,科目表!$B$4:$B$81,0)),""))</f>
        <v/>
      </c>
      <c r="G764" s="26" t="str">
        <f>IF($E764="","",IFERROR(INDEX(科目表!$E$4:$E$81,MATCH($E764,科目表!$B$4:$B$81,0)),""))</f>
        <v/>
      </c>
      <c r="H764" s="27" t="str">
        <f>IF($E764="","",N(INDEX(进销存对接!$M$4:$U$305,254,5)))</f>
        <v/>
      </c>
      <c r="I764" s="27" t="str">
        <f>IF($E764="","",N(INDEX(进销存对接!$M$4:$U$305,254,6)))</f>
        <v/>
      </c>
      <c r="J764" s="26"/>
      <c r="K764" s="26" t="str">
        <f>IF($E764="","",INDEX(进销存对接!$D$4:$D$305,254))</f>
        <v/>
      </c>
      <c r="L764" s="32"/>
      <c r="M764" s="32"/>
      <c r="N764" s="26" t="str">
        <f t="shared" si="46"/>
        <v/>
      </c>
      <c r="O764" s="26" t="str">
        <f t="shared" si="47"/>
        <v/>
      </c>
      <c r="P764" s="10"/>
    </row>
    <row r="765" ht="18" customHeight="1" spans="1:16">
      <c r="A765" s="32" t="str">
        <f t="shared" si="44"/>
        <v/>
      </c>
      <c r="B765" s="100" t="str">
        <f>IF($E765="","",INDEX(进销存对接!$C$4:$C$305,254))</f>
        <v/>
      </c>
      <c r="C765" s="26" t="str">
        <f t="shared" si="45"/>
        <v/>
      </c>
      <c r="D765" s="32" t="str">
        <f>IF($E765="","",INDEX(进销存对接!$D$4:$D$305,254)&amp;" "&amp;TEXT($B765,"YYYY年M月")&amp;" 自动结转")</f>
        <v/>
      </c>
      <c r="E765" s="26" t="str">
        <f>IF(INDEX(进销存对接!$M$4:$U$305,254,7)=0,"",INDEX(进销存对接!$M$4:$U$305,254,7))</f>
        <v/>
      </c>
      <c r="F765" s="25" t="str">
        <f>IF($E765="","",IFERROR(INDEX(科目表!$A$4:$A$81,MATCH($E765,科目表!$B$4:$B$81,0)),""))</f>
        <v/>
      </c>
      <c r="G765" s="26" t="str">
        <f>IF($E765="","",IFERROR(INDEX(科目表!$E$4:$E$81,MATCH($E765,科目表!$B$4:$B$81,0)),""))</f>
        <v/>
      </c>
      <c r="H765" s="27" t="str">
        <f>IF($E765="","",N(INDEX(进销存对接!$M$4:$U$305,254,8)))</f>
        <v/>
      </c>
      <c r="I765" s="27" t="str">
        <f>IF($E765="","",N(INDEX(进销存对接!$M$4:$U$305,254,9)))</f>
        <v/>
      </c>
      <c r="J765" s="26"/>
      <c r="K765" s="26" t="str">
        <f>IF($E765="","",INDEX(进销存对接!$D$4:$D$305,254))</f>
        <v/>
      </c>
      <c r="L765" s="32"/>
      <c r="M765" s="32"/>
      <c r="N765" s="26" t="str">
        <f t="shared" si="46"/>
        <v/>
      </c>
      <c r="O765" s="26" t="str">
        <f t="shared" si="47"/>
        <v/>
      </c>
      <c r="P765" s="10"/>
    </row>
    <row r="766" ht="18" customHeight="1" spans="1:16">
      <c r="A766" s="32" t="str">
        <f t="shared" si="44"/>
        <v/>
      </c>
      <c r="B766" s="100" t="str">
        <f>IF($E766="","",INDEX(进销存对接!$C$4:$C$305,255))</f>
        <v/>
      </c>
      <c r="C766" s="26" t="str">
        <f t="shared" si="45"/>
        <v/>
      </c>
      <c r="D766" s="32" t="str">
        <f>IF($E766="","",INDEX(进销存对接!$D$4:$D$305,255)&amp;" "&amp;TEXT($B766,"YYYY年M月")&amp;" 自动结转")</f>
        <v/>
      </c>
      <c r="E766" s="26" t="str">
        <f>IF(INDEX(进销存对接!$M$4:$U$305,255,1)=0,"",INDEX(进销存对接!$M$4:$U$305,255,1))</f>
        <v/>
      </c>
      <c r="F766" s="25" t="str">
        <f>IF($E766="","",IFERROR(INDEX(科目表!$A$4:$A$81,MATCH($E766,科目表!$B$4:$B$81,0)),""))</f>
        <v/>
      </c>
      <c r="G766" s="26" t="str">
        <f>IF($E766="","",IFERROR(INDEX(科目表!$E$4:$E$81,MATCH($E766,科目表!$B$4:$B$81,0)),""))</f>
        <v/>
      </c>
      <c r="H766" s="27" t="str">
        <f>IF($E766="","",N(INDEX(进销存对接!$M$4:$U$305,255,2)))</f>
        <v/>
      </c>
      <c r="I766" s="27" t="str">
        <f>IF($E766="","",N(INDEX(进销存对接!$M$4:$U$305,255,3)))</f>
        <v/>
      </c>
      <c r="J766" s="26"/>
      <c r="K766" s="26" t="str">
        <f>IF($E766="","",INDEX(进销存对接!$D$4:$D$305,255))</f>
        <v/>
      </c>
      <c r="L766" s="32"/>
      <c r="M766" s="32"/>
      <c r="N766" s="26" t="str">
        <f t="shared" si="46"/>
        <v/>
      </c>
      <c r="O766" s="26" t="str">
        <f t="shared" si="47"/>
        <v/>
      </c>
      <c r="P766" s="10"/>
    </row>
    <row r="767" ht="18" customHeight="1" spans="1:16">
      <c r="A767" s="32" t="str">
        <f t="shared" si="44"/>
        <v/>
      </c>
      <c r="B767" s="100" t="str">
        <f>IF($E767="","",INDEX(进销存对接!$C$4:$C$305,255))</f>
        <v/>
      </c>
      <c r="C767" s="26" t="str">
        <f t="shared" si="45"/>
        <v/>
      </c>
      <c r="D767" s="32" t="str">
        <f>IF($E767="","",INDEX(进销存对接!$D$4:$D$305,255)&amp;" "&amp;TEXT($B767,"YYYY年M月")&amp;" 自动结转")</f>
        <v/>
      </c>
      <c r="E767" s="26" t="str">
        <f>IF(INDEX(进销存对接!$M$4:$U$305,255,4)=0,"",INDEX(进销存对接!$M$4:$U$305,255,4))</f>
        <v/>
      </c>
      <c r="F767" s="25" t="str">
        <f>IF($E767="","",IFERROR(INDEX(科目表!$A$4:$A$81,MATCH($E767,科目表!$B$4:$B$81,0)),""))</f>
        <v/>
      </c>
      <c r="G767" s="26" t="str">
        <f>IF($E767="","",IFERROR(INDEX(科目表!$E$4:$E$81,MATCH($E767,科目表!$B$4:$B$81,0)),""))</f>
        <v/>
      </c>
      <c r="H767" s="27" t="str">
        <f>IF($E767="","",N(INDEX(进销存对接!$M$4:$U$305,255,5)))</f>
        <v/>
      </c>
      <c r="I767" s="27" t="str">
        <f>IF($E767="","",N(INDEX(进销存对接!$M$4:$U$305,255,6)))</f>
        <v/>
      </c>
      <c r="J767" s="26"/>
      <c r="K767" s="26" t="str">
        <f>IF($E767="","",INDEX(进销存对接!$D$4:$D$305,255))</f>
        <v/>
      </c>
      <c r="L767" s="32"/>
      <c r="M767" s="32"/>
      <c r="N767" s="26" t="str">
        <f t="shared" si="46"/>
        <v/>
      </c>
      <c r="O767" s="26" t="str">
        <f t="shared" si="47"/>
        <v/>
      </c>
      <c r="P767" s="10"/>
    </row>
    <row r="768" ht="18" customHeight="1" spans="1:16">
      <c r="A768" s="32" t="str">
        <f t="shared" si="44"/>
        <v/>
      </c>
      <c r="B768" s="100" t="str">
        <f>IF($E768="","",INDEX(进销存对接!$C$4:$C$305,255))</f>
        <v/>
      </c>
      <c r="C768" s="26" t="str">
        <f t="shared" si="45"/>
        <v/>
      </c>
      <c r="D768" s="32" t="str">
        <f>IF($E768="","",INDEX(进销存对接!$D$4:$D$305,255)&amp;" "&amp;TEXT($B768,"YYYY年M月")&amp;" 自动结转")</f>
        <v/>
      </c>
      <c r="E768" s="26" t="str">
        <f>IF(INDEX(进销存对接!$M$4:$U$305,255,7)=0,"",INDEX(进销存对接!$M$4:$U$305,255,7))</f>
        <v/>
      </c>
      <c r="F768" s="25" t="str">
        <f>IF($E768="","",IFERROR(INDEX(科目表!$A$4:$A$81,MATCH($E768,科目表!$B$4:$B$81,0)),""))</f>
        <v/>
      </c>
      <c r="G768" s="26" t="str">
        <f>IF($E768="","",IFERROR(INDEX(科目表!$E$4:$E$81,MATCH($E768,科目表!$B$4:$B$81,0)),""))</f>
        <v/>
      </c>
      <c r="H768" s="27" t="str">
        <f>IF($E768="","",N(INDEX(进销存对接!$M$4:$U$305,255,8)))</f>
        <v/>
      </c>
      <c r="I768" s="27" t="str">
        <f>IF($E768="","",N(INDEX(进销存对接!$M$4:$U$305,255,9)))</f>
        <v/>
      </c>
      <c r="J768" s="26"/>
      <c r="K768" s="26" t="str">
        <f>IF($E768="","",INDEX(进销存对接!$D$4:$D$305,255))</f>
        <v/>
      </c>
      <c r="L768" s="32"/>
      <c r="M768" s="32"/>
      <c r="N768" s="26" t="str">
        <f t="shared" si="46"/>
        <v/>
      </c>
      <c r="O768" s="26" t="str">
        <f t="shared" si="47"/>
        <v/>
      </c>
      <c r="P768" s="10"/>
    </row>
    <row r="769" ht="18" customHeight="1" spans="1:16">
      <c r="A769" s="32" t="str">
        <f t="shared" si="44"/>
        <v/>
      </c>
      <c r="B769" s="100" t="str">
        <f>IF($E769="","",INDEX(进销存对接!$C$4:$C$305,256))</f>
        <v/>
      </c>
      <c r="C769" s="26" t="str">
        <f t="shared" si="45"/>
        <v/>
      </c>
      <c r="D769" s="32" t="str">
        <f>IF($E769="","",INDEX(进销存对接!$D$4:$D$305,256)&amp;" "&amp;TEXT($B769,"YYYY年M月")&amp;" 自动结转")</f>
        <v/>
      </c>
      <c r="E769" s="26" t="str">
        <f>IF(INDEX(进销存对接!$M$4:$U$305,256,1)=0,"",INDEX(进销存对接!$M$4:$U$305,256,1))</f>
        <v/>
      </c>
      <c r="F769" s="25" t="str">
        <f>IF($E769="","",IFERROR(INDEX(科目表!$A$4:$A$81,MATCH($E769,科目表!$B$4:$B$81,0)),""))</f>
        <v/>
      </c>
      <c r="G769" s="26" t="str">
        <f>IF($E769="","",IFERROR(INDEX(科目表!$E$4:$E$81,MATCH($E769,科目表!$B$4:$B$81,0)),""))</f>
        <v/>
      </c>
      <c r="H769" s="27" t="str">
        <f>IF($E769="","",N(INDEX(进销存对接!$M$4:$U$305,256,2)))</f>
        <v/>
      </c>
      <c r="I769" s="27" t="str">
        <f>IF($E769="","",N(INDEX(进销存对接!$M$4:$U$305,256,3)))</f>
        <v/>
      </c>
      <c r="J769" s="26"/>
      <c r="K769" s="26" t="str">
        <f>IF($E769="","",INDEX(进销存对接!$D$4:$D$305,256))</f>
        <v/>
      </c>
      <c r="L769" s="32"/>
      <c r="M769" s="32"/>
      <c r="N769" s="26" t="str">
        <f t="shared" si="46"/>
        <v/>
      </c>
      <c r="O769" s="26" t="str">
        <f t="shared" si="47"/>
        <v/>
      </c>
      <c r="P769" s="10"/>
    </row>
    <row r="770" ht="18" customHeight="1" spans="1:16">
      <c r="A770" s="32" t="str">
        <f t="shared" si="44"/>
        <v/>
      </c>
      <c r="B770" s="100" t="str">
        <f>IF($E770="","",INDEX(进销存对接!$C$4:$C$305,256))</f>
        <v/>
      </c>
      <c r="C770" s="26" t="str">
        <f t="shared" si="45"/>
        <v/>
      </c>
      <c r="D770" s="32" t="str">
        <f>IF($E770="","",INDEX(进销存对接!$D$4:$D$305,256)&amp;" "&amp;TEXT($B770,"YYYY年M月")&amp;" 自动结转")</f>
        <v/>
      </c>
      <c r="E770" s="26" t="str">
        <f>IF(INDEX(进销存对接!$M$4:$U$305,256,4)=0,"",INDEX(进销存对接!$M$4:$U$305,256,4))</f>
        <v/>
      </c>
      <c r="F770" s="25" t="str">
        <f>IF($E770="","",IFERROR(INDEX(科目表!$A$4:$A$81,MATCH($E770,科目表!$B$4:$B$81,0)),""))</f>
        <v/>
      </c>
      <c r="G770" s="26" t="str">
        <f>IF($E770="","",IFERROR(INDEX(科目表!$E$4:$E$81,MATCH($E770,科目表!$B$4:$B$81,0)),""))</f>
        <v/>
      </c>
      <c r="H770" s="27" t="str">
        <f>IF($E770="","",N(INDEX(进销存对接!$M$4:$U$305,256,5)))</f>
        <v/>
      </c>
      <c r="I770" s="27" t="str">
        <f>IF($E770="","",N(INDEX(进销存对接!$M$4:$U$305,256,6)))</f>
        <v/>
      </c>
      <c r="J770" s="26"/>
      <c r="K770" s="26" t="str">
        <f>IF($E770="","",INDEX(进销存对接!$D$4:$D$305,256))</f>
        <v/>
      </c>
      <c r="L770" s="32"/>
      <c r="M770" s="32"/>
      <c r="N770" s="26" t="str">
        <f t="shared" si="46"/>
        <v/>
      </c>
      <c r="O770" s="26" t="str">
        <f t="shared" si="47"/>
        <v/>
      </c>
      <c r="P770" s="10"/>
    </row>
    <row r="771" ht="18" customHeight="1" spans="1:16">
      <c r="A771" s="32" t="str">
        <f t="shared" si="44"/>
        <v/>
      </c>
      <c r="B771" s="100" t="str">
        <f>IF($E771="","",INDEX(进销存对接!$C$4:$C$305,256))</f>
        <v/>
      </c>
      <c r="C771" s="26" t="str">
        <f t="shared" si="45"/>
        <v/>
      </c>
      <c r="D771" s="32" t="str">
        <f>IF($E771="","",INDEX(进销存对接!$D$4:$D$305,256)&amp;" "&amp;TEXT($B771,"YYYY年M月")&amp;" 自动结转")</f>
        <v/>
      </c>
      <c r="E771" s="26" t="str">
        <f>IF(INDEX(进销存对接!$M$4:$U$305,256,7)=0,"",INDEX(进销存对接!$M$4:$U$305,256,7))</f>
        <v/>
      </c>
      <c r="F771" s="25" t="str">
        <f>IF($E771="","",IFERROR(INDEX(科目表!$A$4:$A$81,MATCH($E771,科目表!$B$4:$B$81,0)),""))</f>
        <v/>
      </c>
      <c r="G771" s="26" t="str">
        <f>IF($E771="","",IFERROR(INDEX(科目表!$E$4:$E$81,MATCH($E771,科目表!$B$4:$B$81,0)),""))</f>
        <v/>
      </c>
      <c r="H771" s="27" t="str">
        <f>IF($E771="","",N(INDEX(进销存对接!$M$4:$U$305,256,8)))</f>
        <v/>
      </c>
      <c r="I771" s="27" t="str">
        <f>IF($E771="","",N(INDEX(进销存对接!$M$4:$U$305,256,9)))</f>
        <v/>
      </c>
      <c r="J771" s="26"/>
      <c r="K771" s="26" t="str">
        <f>IF($E771="","",INDEX(进销存对接!$D$4:$D$305,256))</f>
        <v/>
      </c>
      <c r="L771" s="32"/>
      <c r="M771" s="32"/>
      <c r="N771" s="26" t="str">
        <f t="shared" si="46"/>
        <v/>
      </c>
      <c r="O771" s="26" t="str">
        <f t="shared" si="47"/>
        <v/>
      </c>
      <c r="P771" s="10"/>
    </row>
    <row r="772" ht="18" customHeight="1" spans="1:16">
      <c r="A772" s="32" t="str">
        <f t="shared" ref="A772:A835" si="48">IF($E772="","",ROW()-3)</f>
        <v/>
      </c>
      <c r="B772" s="100" t="str">
        <f>IF($E772="","",INDEX(进销存对接!$C$4:$C$305,257))</f>
        <v/>
      </c>
      <c r="C772" s="26" t="str">
        <f t="shared" ref="C772:C835" si="49">IF($E772="","","记-"&amp;TEXT($B772,"YYYYMM")&amp;"-进销存")</f>
        <v/>
      </c>
      <c r="D772" s="32" t="str">
        <f>IF($E772="","",INDEX(进销存对接!$D$4:$D$305,257)&amp;" "&amp;TEXT($B772,"YYYY年M月")&amp;" 自动结转")</f>
        <v/>
      </c>
      <c r="E772" s="26" t="str">
        <f>IF(INDEX(进销存对接!$M$4:$U$305,257,1)=0,"",INDEX(进销存对接!$M$4:$U$305,257,1))</f>
        <v/>
      </c>
      <c r="F772" s="25" t="str">
        <f>IF($E772="","",IFERROR(INDEX(科目表!$A$4:$A$81,MATCH($E772,科目表!$B$4:$B$81,0)),""))</f>
        <v/>
      </c>
      <c r="G772" s="26" t="str">
        <f>IF($E772="","",IFERROR(INDEX(科目表!$E$4:$E$81,MATCH($E772,科目表!$B$4:$B$81,0)),""))</f>
        <v/>
      </c>
      <c r="H772" s="27" t="str">
        <f>IF($E772="","",N(INDEX(进销存对接!$M$4:$U$305,257,2)))</f>
        <v/>
      </c>
      <c r="I772" s="27" t="str">
        <f>IF($E772="","",N(INDEX(进销存对接!$M$4:$U$305,257,3)))</f>
        <v/>
      </c>
      <c r="J772" s="26"/>
      <c r="K772" s="26" t="str">
        <f>IF($E772="","",INDEX(进销存对接!$D$4:$D$305,257))</f>
        <v/>
      </c>
      <c r="L772" s="32"/>
      <c r="M772" s="32"/>
      <c r="N772" s="26" t="str">
        <f t="shared" ref="N772:N835" si="50">IF($E772="","","系统")</f>
        <v/>
      </c>
      <c r="O772" s="26" t="str">
        <f t="shared" ref="O772:O835" si="51">IF($E772="","","自动A")</f>
        <v/>
      </c>
      <c r="P772" s="10"/>
    </row>
    <row r="773" ht="18" customHeight="1" spans="1:16">
      <c r="A773" s="32" t="str">
        <f t="shared" si="48"/>
        <v/>
      </c>
      <c r="B773" s="100" t="str">
        <f>IF($E773="","",INDEX(进销存对接!$C$4:$C$305,257))</f>
        <v/>
      </c>
      <c r="C773" s="26" t="str">
        <f t="shared" si="49"/>
        <v/>
      </c>
      <c r="D773" s="32" t="str">
        <f>IF($E773="","",INDEX(进销存对接!$D$4:$D$305,257)&amp;" "&amp;TEXT($B773,"YYYY年M月")&amp;" 自动结转")</f>
        <v/>
      </c>
      <c r="E773" s="26" t="str">
        <f>IF(INDEX(进销存对接!$M$4:$U$305,257,4)=0,"",INDEX(进销存对接!$M$4:$U$305,257,4))</f>
        <v/>
      </c>
      <c r="F773" s="25" t="str">
        <f>IF($E773="","",IFERROR(INDEX(科目表!$A$4:$A$81,MATCH($E773,科目表!$B$4:$B$81,0)),""))</f>
        <v/>
      </c>
      <c r="G773" s="26" t="str">
        <f>IF($E773="","",IFERROR(INDEX(科目表!$E$4:$E$81,MATCH($E773,科目表!$B$4:$B$81,0)),""))</f>
        <v/>
      </c>
      <c r="H773" s="27" t="str">
        <f>IF($E773="","",N(INDEX(进销存对接!$M$4:$U$305,257,5)))</f>
        <v/>
      </c>
      <c r="I773" s="27" t="str">
        <f>IF($E773="","",N(INDEX(进销存对接!$M$4:$U$305,257,6)))</f>
        <v/>
      </c>
      <c r="J773" s="26"/>
      <c r="K773" s="26" t="str">
        <f>IF($E773="","",INDEX(进销存对接!$D$4:$D$305,257))</f>
        <v/>
      </c>
      <c r="L773" s="32"/>
      <c r="M773" s="32"/>
      <c r="N773" s="26" t="str">
        <f t="shared" si="50"/>
        <v/>
      </c>
      <c r="O773" s="26" t="str">
        <f t="shared" si="51"/>
        <v/>
      </c>
      <c r="P773" s="10"/>
    </row>
    <row r="774" ht="18" customHeight="1" spans="1:16">
      <c r="A774" s="32" t="str">
        <f t="shared" si="48"/>
        <v/>
      </c>
      <c r="B774" s="100" t="str">
        <f>IF($E774="","",INDEX(进销存对接!$C$4:$C$305,257))</f>
        <v/>
      </c>
      <c r="C774" s="26" t="str">
        <f t="shared" si="49"/>
        <v/>
      </c>
      <c r="D774" s="32" t="str">
        <f>IF($E774="","",INDEX(进销存对接!$D$4:$D$305,257)&amp;" "&amp;TEXT($B774,"YYYY年M月")&amp;" 自动结转")</f>
        <v/>
      </c>
      <c r="E774" s="26" t="str">
        <f>IF(INDEX(进销存对接!$M$4:$U$305,257,7)=0,"",INDEX(进销存对接!$M$4:$U$305,257,7))</f>
        <v/>
      </c>
      <c r="F774" s="25" t="str">
        <f>IF($E774="","",IFERROR(INDEX(科目表!$A$4:$A$81,MATCH($E774,科目表!$B$4:$B$81,0)),""))</f>
        <v/>
      </c>
      <c r="G774" s="26" t="str">
        <f>IF($E774="","",IFERROR(INDEX(科目表!$E$4:$E$81,MATCH($E774,科目表!$B$4:$B$81,0)),""))</f>
        <v/>
      </c>
      <c r="H774" s="27" t="str">
        <f>IF($E774="","",N(INDEX(进销存对接!$M$4:$U$305,257,8)))</f>
        <v/>
      </c>
      <c r="I774" s="27" t="str">
        <f>IF($E774="","",N(INDEX(进销存对接!$M$4:$U$305,257,9)))</f>
        <v/>
      </c>
      <c r="J774" s="26"/>
      <c r="K774" s="26" t="str">
        <f>IF($E774="","",INDEX(进销存对接!$D$4:$D$305,257))</f>
        <v/>
      </c>
      <c r="L774" s="32"/>
      <c r="M774" s="32"/>
      <c r="N774" s="26" t="str">
        <f t="shared" si="50"/>
        <v/>
      </c>
      <c r="O774" s="26" t="str">
        <f t="shared" si="51"/>
        <v/>
      </c>
      <c r="P774" s="10"/>
    </row>
    <row r="775" ht="18" customHeight="1" spans="1:16">
      <c r="A775" s="32" t="str">
        <f t="shared" si="48"/>
        <v/>
      </c>
      <c r="B775" s="100" t="str">
        <f>IF($E775="","",INDEX(进销存对接!$C$4:$C$305,258))</f>
        <v/>
      </c>
      <c r="C775" s="26" t="str">
        <f t="shared" si="49"/>
        <v/>
      </c>
      <c r="D775" s="32" t="str">
        <f>IF($E775="","",INDEX(进销存对接!$D$4:$D$305,258)&amp;" "&amp;TEXT($B775,"YYYY年M月")&amp;" 自动结转")</f>
        <v/>
      </c>
      <c r="E775" s="26" t="str">
        <f>IF(INDEX(进销存对接!$M$4:$U$305,258,1)=0,"",INDEX(进销存对接!$M$4:$U$305,258,1))</f>
        <v/>
      </c>
      <c r="F775" s="25" t="str">
        <f>IF($E775="","",IFERROR(INDEX(科目表!$A$4:$A$81,MATCH($E775,科目表!$B$4:$B$81,0)),""))</f>
        <v/>
      </c>
      <c r="G775" s="26" t="str">
        <f>IF($E775="","",IFERROR(INDEX(科目表!$E$4:$E$81,MATCH($E775,科目表!$B$4:$B$81,0)),""))</f>
        <v/>
      </c>
      <c r="H775" s="27" t="str">
        <f>IF($E775="","",N(INDEX(进销存对接!$M$4:$U$305,258,2)))</f>
        <v/>
      </c>
      <c r="I775" s="27" t="str">
        <f>IF($E775="","",N(INDEX(进销存对接!$M$4:$U$305,258,3)))</f>
        <v/>
      </c>
      <c r="J775" s="26"/>
      <c r="K775" s="26" t="str">
        <f>IF($E775="","",INDEX(进销存对接!$D$4:$D$305,258))</f>
        <v/>
      </c>
      <c r="L775" s="32"/>
      <c r="M775" s="32"/>
      <c r="N775" s="26" t="str">
        <f t="shared" si="50"/>
        <v/>
      </c>
      <c r="O775" s="26" t="str">
        <f t="shared" si="51"/>
        <v/>
      </c>
      <c r="P775" s="10"/>
    </row>
    <row r="776" ht="18" customHeight="1" spans="1:16">
      <c r="A776" s="32" t="str">
        <f t="shared" si="48"/>
        <v/>
      </c>
      <c r="B776" s="100" t="str">
        <f>IF($E776="","",INDEX(进销存对接!$C$4:$C$305,258))</f>
        <v/>
      </c>
      <c r="C776" s="26" t="str">
        <f t="shared" si="49"/>
        <v/>
      </c>
      <c r="D776" s="32" t="str">
        <f>IF($E776="","",INDEX(进销存对接!$D$4:$D$305,258)&amp;" "&amp;TEXT($B776,"YYYY年M月")&amp;" 自动结转")</f>
        <v/>
      </c>
      <c r="E776" s="26" t="str">
        <f>IF(INDEX(进销存对接!$M$4:$U$305,258,4)=0,"",INDEX(进销存对接!$M$4:$U$305,258,4))</f>
        <v/>
      </c>
      <c r="F776" s="25" t="str">
        <f>IF($E776="","",IFERROR(INDEX(科目表!$A$4:$A$81,MATCH($E776,科目表!$B$4:$B$81,0)),""))</f>
        <v/>
      </c>
      <c r="G776" s="26" t="str">
        <f>IF($E776="","",IFERROR(INDEX(科目表!$E$4:$E$81,MATCH($E776,科目表!$B$4:$B$81,0)),""))</f>
        <v/>
      </c>
      <c r="H776" s="27" t="str">
        <f>IF($E776="","",N(INDEX(进销存对接!$M$4:$U$305,258,5)))</f>
        <v/>
      </c>
      <c r="I776" s="27" t="str">
        <f>IF($E776="","",N(INDEX(进销存对接!$M$4:$U$305,258,6)))</f>
        <v/>
      </c>
      <c r="J776" s="26"/>
      <c r="K776" s="26" t="str">
        <f>IF($E776="","",INDEX(进销存对接!$D$4:$D$305,258))</f>
        <v/>
      </c>
      <c r="L776" s="32"/>
      <c r="M776" s="32"/>
      <c r="N776" s="26" t="str">
        <f t="shared" si="50"/>
        <v/>
      </c>
      <c r="O776" s="26" t="str">
        <f t="shared" si="51"/>
        <v/>
      </c>
      <c r="P776" s="10"/>
    </row>
    <row r="777" ht="18" customHeight="1" spans="1:16">
      <c r="A777" s="32" t="str">
        <f t="shared" si="48"/>
        <v/>
      </c>
      <c r="B777" s="100" t="str">
        <f>IF($E777="","",INDEX(进销存对接!$C$4:$C$305,258))</f>
        <v/>
      </c>
      <c r="C777" s="26" t="str">
        <f t="shared" si="49"/>
        <v/>
      </c>
      <c r="D777" s="32" t="str">
        <f>IF($E777="","",INDEX(进销存对接!$D$4:$D$305,258)&amp;" "&amp;TEXT($B777,"YYYY年M月")&amp;" 自动结转")</f>
        <v/>
      </c>
      <c r="E777" s="26" t="str">
        <f>IF(INDEX(进销存对接!$M$4:$U$305,258,7)=0,"",INDEX(进销存对接!$M$4:$U$305,258,7))</f>
        <v/>
      </c>
      <c r="F777" s="25" t="str">
        <f>IF($E777="","",IFERROR(INDEX(科目表!$A$4:$A$81,MATCH($E777,科目表!$B$4:$B$81,0)),""))</f>
        <v/>
      </c>
      <c r="G777" s="26" t="str">
        <f>IF($E777="","",IFERROR(INDEX(科目表!$E$4:$E$81,MATCH($E777,科目表!$B$4:$B$81,0)),""))</f>
        <v/>
      </c>
      <c r="H777" s="27" t="str">
        <f>IF($E777="","",N(INDEX(进销存对接!$M$4:$U$305,258,8)))</f>
        <v/>
      </c>
      <c r="I777" s="27" t="str">
        <f>IF($E777="","",N(INDEX(进销存对接!$M$4:$U$305,258,9)))</f>
        <v/>
      </c>
      <c r="J777" s="26"/>
      <c r="K777" s="26" t="str">
        <f>IF($E777="","",INDEX(进销存对接!$D$4:$D$305,258))</f>
        <v/>
      </c>
      <c r="L777" s="32"/>
      <c r="M777" s="32"/>
      <c r="N777" s="26" t="str">
        <f t="shared" si="50"/>
        <v/>
      </c>
      <c r="O777" s="26" t="str">
        <f t="shared" si="51"/>
        <v/>
      </c>
      <c r="P777" s="10"/>
    </row>
    <row r="778" ht="18" customHeight="1" spans="1:16">
      <c r="A778" s="32" t="str">
        <f t="shared" si="48"/>
        <v/>
      </c>
      <c r="B778" s="100" t="str">
        <f>IF($E778="","",INDEX(进销存对接!$C$4:$C$305,259))</f>
        <v/>
      </c>
      <c r="C778" s="26" t="str">
        <f t="shared" si="49"/>
        <v/>
      </c>
      <c r="D778" s="32" t="str">
        <f>IF($E778="","",INDEX(进销存对接!$D$4:$D$305,259)&amp;" "&amp;TEXT($B778,"YYYY年M月")&amp;" 自动结转")</f>
        <v/>
      </c>
      <c r="E778" s="26" t="str">
        <f>IF(INDEX(进销存对接!$M$4:$U$305,259,1)=0,"",INDEX(进销存对接!$M$4:$U$305,259,1))</f>
        <v/>
      </c>
      <c r="F778" s="25" t="str">
        <f>IF($E778="","",IFERROR(INDEX(科目表!$A$4:$A$81,MATCH($E778,科目表!$B$4:$B$81,0)),""))</f>
        <v/>
      </c>
      <c r="G778" s="26" t="str">
        <f>IF($E778="","",IFERROR(INDEX(科目表!$E$4:$E$81,MATCH($E778,科目表!$B$4:$B$81,0)),""))</f>
        <v/>
      </c>
      <c r="H778" s="27" t="str">
        <f>IF($E778="","",N(INDEX(进销存对接!$M$4:$U$305,259,2)))</f>
        <v/>
      </c>
      <c r="I778" s="27" t="str">
        <f>IF($E778="","",N(INDEX(进销存对接!$M$4:$U$305,259,3)))</f>
        <v/>
      </c>
      <c r="J778" s="26"/>
      <c r="K778" s="26" t="str">
        <f>IF($E778="","",INDEX(进销存对接!$D$4:$D$305,259))</f>
        <v/>
      </c>
      <c r="L778" s="32"/>
      <c r="M778" s="32"/>
      <c r="N778" s="26" t="str">
        <f t="shared" si="50"/>
        <v/>
      </c>
      <c r="O778" s="26" t="str">
        <f t="shared" si="51"/>
        <v/>
      </c>
      <c r="P778" s="10"/>
    </row>
    <row r="779" ht="18" customHeight="1" spans="1:16">
      <c r="A779" s="32" t="str">
        <f t="shared" si="48"/>
        <v/>
      </c>
      <c r="B779" s="100" t="str">
        <f>IF($E779="","",INDEX(进销存对接!$C$4:$C$305,259))</f>
        <v/>
      </c>
      <c r="C779" s="26" t="str">
        <f t="shared" si="49"/>
        <v/>
      </c>
      <c r="D779" s="32" t="str">
        <f>IF($E779="","",INDEX(进销存对接!$D$4:$D$305,259)&amp;" "&amp;TEXT($B779,"YYYY年M月")&amp;" 自动结转")</f>
        <v/>
      </c>
      <c r="E779" s="26" t="str">
        <f>IF(INDEX(进销存对接!$M$4:$U$305,259,4)=0,"",INDEX(进销存对接!$M$4:$U$305,259,4))</f>
        <v/>
      </c>
      <c r="F779" s="25" t="str">
        <f>IF($E779="","",IFERROR(INDEX(科目表!$A$4:$A$81,MATCH($E779,科目表!$B$4:$B$81,0)),""))</f>
        <v/>
      </c>
      <c r="G779" s="26" t="str">
        <f>IF($E779="","",IFERROR(INDEX(科目表!$E$4:$E$81,MATCH($E779,科目表!$B$4:$B$81,0)),""))</f>
        <v/>
      </c>
      <c r="H779" s="27" t="str">
        <f>IF($E779="","",N(INDEX(进销存对接!$M$4:$U$305,259,5)))</f>
        <v/>
      </c>
      <c r="I779" s="27" t="str">
        <f>IF($E779="","",N(INDEX(进销存对接!$M$4:$U$305,259,6)))</f>
        <v/>
      </c>
      <c r="J779" s="26"/>
      <c r="K779" s="26" t="str">
        <f>IF($E779="","",INDEX(进销存对接!$D$4:$D$305,259))</f>
        <v/>
      </c>
      <c r="L779" s="32"/>
      <c r="M779" s="32"/>
      <c r="N779" s="26" t="str">
        <f t="shared" si="50"/>
        <v/>
      </c>
      <c r="O779" s="26" t="str">
        <f t="shared" si="51"/>
        <v/>
      </c>
      <c r="P779" s="10"/>
    </row>
    <row r="780" ht="18" customHeight="1" spans="1:16">
      <c r="A780" s="32" t="str">
        <f t="shared" si="48"/>
        <v/>
      </c>
      <c r="B780" s="100" t="str">
        <f>IF($E780="","",INDEX(进销存对接!$C$4:$C$305,259))</f>
        <v/>
      </c>
      <c r="C780" s="26" t="str">
        <f t="shared" si="49"/>
        <v/>
      </c>
      <c r="D780" s="32" t="str">
        <f>IF($E780="","",INDEX(进销存对接!$D$4:$D$305,259)&amp;" "&amp;TEXT($B780,"YYYY年M月")&amp;" 自动结转")</f>
        <v/>
      </c>
      <c r="E780" s="26" t="str">
        <f>IF(INDEX(进销存对接!$M$4:$U$305,259,7)=0,"",INDEX(进销存对接!$M$4:$U$305,259,7))</f>
        <v/>
      </c>
      <c r="F780" s="25" t="str">
        <f>IF($E780="","",IFERROR(INDEX(科目表!$A$4:$A$81,MATCH($E780,科目表!$B$4:$B$81,0)),""))</f>
        <v/>
      </c>
      <c r="G780" s="26" t="str">
        <f>IF($E780="","",IFERROR(INDEX(科目表!$E$4:$E$81,MATCH($E780,科目表!$B$4:$B$81,0)),""))</f>
        <v/>
      </c>
      <c r="H780" s="27" t="str">
        <f>IF($E780="","",N(INDEX(进销存对接!$M$4:$U$305,259,8)))</f>
        <v/>
      </c>
      <c r="I780" s="27" t="str">
        <f>IF($E780="","",N(INDEX(进销存对接!$M$4:$U$305,259,9)))</f>
        <v/>
      </c>
      <c r="J780" s="26"/>
      <c r="K780" s="26" t="str">
        <f>IF($E780="","",INDEX(进销存对接!$D$4:$D$305,259))</f>
        <v/>
      </c>
      <c r="L780" s="32"/>
      <c r="M780" s="32"/>
      <c r="N780" s="26" t="str">
        <f t="shared" si="50"/>
        <v/>
      </c>
      <c r="O780" s="26" t="str">
        <f t="shared" si="51"/>
        <v/>
      </c>
      <c r="P780" s="10"/>
    </row>
    <row r="781" ht="18" customHeight="1" spans="1:16">
      <c r="A781" s="32" t="str">
        <f t="shared" si="48"/>
        <v/>
      </c>
      <c r="B781" s="100" t="str">
        <f>IF($E781="","",INDEX(进销存对接!$C$4:$C$305,260))</f>
        <v/>
      </c>
      <c r="C781" s="26" t="str">
        <f t="shared" si="49"/>
        <v/>
      </c>
      <c r="D781" s="32" t="str">
        <f>IF($E781="","",INDEX(进销存对接!$D$4:$D$305,260)&amp;" "&amp;TEXT($B781,"YYYY年M月")&amp;" 自动结转")</f>
        <v/>
      </c>
      <c r="E781" s="26" t="str">
        <f>IF(INDEX(进销存对接!$M$4:$U$305,260,1)=0,"",INDEX(进销存对接!$M$4:$U$305,260,1))</f>
        <v/>
      </c>
      <c r="F781" s="25" t="str">
        <f>IF($E781="","",IFERROR(INDEX(科目表!$A$4:$A$81,MATCH($E781,科目表!$B$4:$B$81,0)),""))</f>
        <v/>
      </c>
      <c r="G781" s="26" t="str">
        <f>IF($E781="","",IFERROR(INDEX(科目表!$E$4:$E$81,MATCH($E781,科目表!$B$4:$B$81,0)),""))</f>
        <v/>
      </c>
      <c r="H781" s="27" t="str">
        <f>IF($E781="","",N(INDEX(进销存对接!$M$4:$U$305,260,2)))</f>
        <v/>
      </c>
      <c r="I781" s="27" t="str">
        <f>IF($E781="","",N(INDEX(进销存对接!$M$4:$U$305,260,3)))</f>
        <v/>
      </c>
      <c r="J781" s="26"/>
      <c r="K781" s="26" t="str">
        <f>IF($E781="","",INDEX(进销存对接!$D$4:$D$305,260))</f>
        <v/>
      </c>
      <c r="L781" s="32"/>
      <c r="M781" s="32"/>
      <c r="N781" s="26" t="str">
        <f t="shared" si="50"/>
        <v/>
      </c>
      <c r="O781" s="26" t="str">
        <f t="shared" si="51"/>
        <v/>
      </c>
      <c r="P781" s="10"/>
    </row>
    <row r="782" ht="18" customHeight="1" spans="1:16">
      <c r="A782" s="32" t="str">
        <f t="shared" si="48"/>
        <v/>
      </c>
      <c r="B782" s="100" t="str">
        <f>IF($E782="","",INDEX(进销存对接!$C$4:$C$305,260))</f>
        <v/>
      </c>
      <c r="C782" s="26" t="str">
        <f t="shared" si="49"/>
        <v/>
      </c>
      <c r="D782" s="32" t="str">
        <f>IF($E782="","",INDEX(进销存对接!$D$4:$D$305,260)&amp;" "&amp;TEXT($B782,"YYYY年M月")&amp;" 自动结转")</f>
        <v/>
      </c>
      <c r="E782" s="26" t="str">
        <f>IF(INDEX(进销存对接!$M$4:$U$305,260,4)=0,"",INDEX(进销存对接!$M$4:$U$305,260,4))</f>
        <v/>
      </c>
      <c r="F782" s="25" t="str">
        <f>IF($E782="","",IFERROR(INDEX(科目表!$A$4:$A$81,MATCH($E782,科目表!$B$4:$B$81,0)),""))</f>
        <v/>
      </c>
      <c r="G782" s="26" t="str">
        <f>IF($E782="","",IFERROR(INDEX(科目表!$E$4:$E$81,MATCH($E782,科目表!$B$4:$B$81,0)),""))</f>
        <v/>
      </c>
      <c r="H782" s="27" t="str">
        <f>IF($E782="","",N(INDEX(进销存对接!$M$4:$U$305,260,5)))</f>
        <v/>
      </c>
      <c r="I782" s="27" t="str">
        <f>IF($E782="","",N(INDEX(进销存对接!$M$4:$U$305,260,6)))</f>
        <v/>
      </c>
      <c r="J782" s="26"/>
      <c r="K782" s="26" t="str">
        <f>IF($E782="","",INDEX(进销存对接!$D$4:$D$305,260))</f>
        <v/>
      </c>
      <c r="L782" s="32"/>
      <c r="M782" s="32"/>
      <c r="N782" s="26" t="str">
        <f t="shared" si="50"/>
        <v/>
      </c>
      <c r="O782" s="26" t="str">
        <f t="shared" si="51"/>
        <v/>
      </c>
      <c r="P782" s="10"/>
    </row>
    <row r="783" ht="18" customHeight="1" spans="1:16">
      <c r="A783" s="32" t="str">
        <f t="shared" si="48"/>
        <v/>
      </c>
      <c r="B783" s="100" t="str">
        <f>IF($E783="","",INDEX(进销存对接!$C$4:$C$305,260))</f>
        <v/>
      </c>
      <c r="C783" s="26" t="str">
        <f t="shared" si="49"/>
        <v/>
      </c>
      <c r="D783" s="32" t="str">
        <f>IF($E783="","",INDEX(进销存对接!$D$4:$D$305,260)&amp;" "&amp;TEXT($B783,"YYYY年M月")&amp;" 自动结转")</f>
        <v/>
      </c>
      <c r="E783" s="26" t="str">
        <f>IF(INDEX(进销存对接!$M$4:$U$305,260,7)=0,"",INDEX(进销存对接!$M$4:$U$305,260,7))</f>
        <v/>
      </c>
      <c r="F783" s="25" t="str">
        <f>IF($E783="","",IFERROR(INDEX(科目表!$A$4:$A$81,MATCH($E783,科目表!$B$4:$B$81,0)),""))</f>
        <v/>
      </c>
      <c r="G783" s="26" t="str">
        <f>IF($E783="","",IFERROR(INDEX(科目表!$E$4:$E$81,MATCH($E783,科目表!$B$4:$B$81,0)),""))</f>
        <v/>
      </c>
      <c r="H783" s="27" t="str">
        <f>IF($E783="","",N(INDEX(进销存对接!$M$4:$U$305,260,8)))</f>
        <v/>
      </c>
      <c r="I783" s="27" t="str">
        <f>IF($E783="","",N(INDEX(进销存对接!$M$4:$U$305,260,9)))</f>
        <v/>
      </c>
      <c r="J783" s="26"/>
      <c r="K783" s="26" t="str">
        <f>IF($E783="","",INDEX(进销存对接!$D$4:$D$305,260))</f>
        <v/>
      </c>
      <c r="L783" s="32"/>
      <c r="M783" s="32"/>
      <c r="N783" s="26" t="str">
        <f t="shared" si="50"/>
        <v/>
      </c>
      <c r="O783" s="26" t="str">
        <f t="shared" si="51"/>
        <v/>
      </c>
      <c r="P783" s="10"/>
    </row>
    <row r="784" ht="18" customHeight="1" spans="1:16">
      <c r="A784" s="32" t="str">
        <f t="shared" si="48"/>
        <v/>
      </c>
      <c r="B784" s="100" t="str">
        <f>IF($E784="","",INDEX(进销存对接!$C$4:$C$305,261))</f>
        <v/>
      </c>
      <c r="C784" s="26" t="str">
        <f t="shared" si="49"/>
        <v/>
      </c>
      <c r="D784" s="32" t="str">
        <f>IF($E784="","",INDEX(进销存对接!$D$4:$D$305,261)&amp;" "&amp;TEXT($B784,"YYYY年M月")&amp;" 自动结转")</f>
        <v/>
      </c>
      <c r="E784" s="26" t="str">
        <f>IF(INDEX(进销存对接!$M$4:$U$305,261,1)=0,"",INDEX(进销存对接!$M$4:$U$305,261,1))</f>
        <v/>
      </c>
      <c r="F784" s="25" t="str">
        <f>IF($E784="","",IFERROR(INDEX(科目表!$A$4:$A$81,MATCH($E784,科目表!$B$4:$B$81,0)),""))</f>
        <v/>
      </c>
      <c r="G784" s="26" t="str">
        <f>IF($E784="","",IFERROR(INDEX(科目表!$E$4:$E$81,MATCH($E784,科目表!$B$4:$B$81,0)),""))</f>
        <v/>
      </c>
      <c r="H784" s="27" t="str">
        <f>IF($E784="","",N(INDEX(进销存对接!$M$4:$U$305,261,2)))</f>
        <v/>
      </c>
      <c r="I784" s="27" t="str">
        <f>IF($E784="","",N(INDEX(进销存对接!$M$4:$U$305,261,3)))</f>
        <v/>
      </c>
      <c r="J784" s="26"/>
      <c r="K784" s="26" t="str">
        <f>IF($E784="","",INDEX(进销存对接!$D$4:$D$305,261))</f>
        <v/>
      </c>
      <c r="L784" s="32"/>
      <c r="M784" s="32"/>
      <c r="N784" s="26" t="str">
        <f t="shared" si="50"/>
        <v/>
      </c>
      <c r="O784" s="26" t="str">
        <f t="shared" si="51"/>
        <v/>
      </c>
      <c r="P784" s="10"/>
    </row>
    <row r="785" ht="18" customHeight="1" spans="1:16">
      <c r="A785" s="32" t="str">
        <f t="shared" si="48"/>
        <v/>
      </c>
      <c r="B785" s="100" t="str">
        <f>IF($E785="","",INDEX(进销存对接!$C$4:$C$305,261))</f>
        <v/>
      </c>
      <c r="C785" s="26" t="str">
        <f t="shared" si="49"/>
        <v/>
      </c>
      <c r="D785" s="32" t="str">
        <f>IF($E785="","",INDEX(进销存对接!$D$4:$D$305,261)&amp;" "&amp;TEXT($B785,"YYYY年M月")&amp;" 自动结转")</f>
        <v/>
      </c>
      <c r="E785" s="26" t="str">
        <f>IF(INDEX(进销存对接!$M$4:$U$305,261,4)=0,"",INDEX(进销存对接!$M$4:$U$305,261,4))</f>
        <v/>
      </c>
      <c r="F785" s="25" t="str">
        <f>IF($E785="","",IFERROR(INDEX(科目表!$A$4:$A$81,MATCH($E785,科目表!$B$4:$B$81,0)),""))</f>
        <v/>
      </c>
      <c r="G785" s="26" t="str">
        <f>IF($E785="","",IFERROR(INDEX(科目表!$E$4:$E$81,MATCH($E785,科目表!$B$4:$B$81,0)),""))</f>
        <v/>
      </c>
      <c r="H785" s="27" t="str">
        <f>IF($E785="","",N(INDEX(进销存对接!$M$4:$U$305,261,5)))</f>
        <v/>
      </c>
      <c r="I785" s="27" t="str">
        <f>IF($E785="","",N(INDEX(进销存对接!$M$4:$U$305,261,6)))</f>
        <v/>
      </c>
      <c r="J785" s="26"/>
      <c r="K785" s="26" t="str">
        <f>IF($E785="","",INDEX(进销存对接!$D$4:$D$305,261))</f>
        <v/>
      </c>
      <c r="L785" s="32"/>
      <c r="M785" s="32"/>
      <c r="N785" s="26" t="str">
        <f t="shared" si="50"/>
        <v/>
      </c>
      <c r="O785" s="26" t="str">
        <f t="shared" si="51"/>
        <v/>
      </c>
      <c r="P785" s="10"/>
    </row>
    <row r="786" ht="18" customHeight="1" spans="1:16">
      <c r="A786" s="32" t="str">
        <f t="shared" si="48"/>
        <v/>
      </c>
      <c r="B786" s="100" t="str">
        <f>IF($E786="","",INDEX(进销存对接!$C$4:$C$305,261))</f>
        <v/>
      </c>
      <c r="C786" s="26" t="str">
        <f t="shared" si="49"/>
        <v/>
      </c>
      <c r="D786" s="32" t="str">
        <f>IF($E786="","",INDEX(进销存对接!$D$4:$D$305,261)&amp;" "&amp;TEXT($B786,"YYYY年M月")&amp;" 自动结转")</f>
        <v/>
      </c>
      <c r="E786" s="26" t="str">
        <f>IF(INDEX(进销存对接!$M$4:$U$305,261,7)=0,"",INDEX(进销存对接!$M$4:$U$305,261,7))</f>
        <v/>
      </c>
      <c r="F786" s="25" t="str">
        <f>IF($E786="","",IFERROR(INDEX(科目表!$A$4:$A$81,MATCH($E786,科目表!$B$4:$B$81,0)),""))</f>
        <v/>
      </c>
      <c r="G786" s="26" t="str">
        <f>IF($E786="","",IFERROR(INDEX(科目表!$E$4:$E$81,MATCH($E786,科目表!$B$4:$B$81,0)),""))</f>
        <v/>
      </c>
      <c r="H786" s="27" t="str">
        <f>IF($E786="","",N(INDEX(进销存对接!$M$4:$U$305,261,8)))</f>
        <v/>
      </c>
      <c r="I786" s="27" t="str">
        <f>IF($E786="","",N(INDEX(进销存对接!$M$4:$U$305,261,9)))</f>
        <v/>
      </c>
      <c r="J786" s="26"/>
      <c r="K786" s="26" t="str">
        <f>IF($E786="","",INDEX(进销存对接!$D$4:$D$305,261))</f>
        <v/>
      </c>
      <c r="L786" s="32"/>
      <c r="M786" s="32"/>
      <c r="N786" s="26" t="str">
        <f t="shared" si="50"/>
        <v/>
      </c>
      <c r="O786" s="26" t="str">
        <f t="shared" si="51"/>
        <v/>
      </c>
      <c r="P786" s="10"/>
    </row>
    <row r="787" ht="18" customHeight="1" spans="1:16">
      <c r="A787" s="32" t="str">
        <f t="shared" si="48"/>
        <v/>
      </c>
      <c r="B787" s="100" t="str">
        <f>IF($E787="","",INDEX(进销存对接!$C$4:$C$305,262))</f>
        <v/>
      </c>
      <c r="C787" s="26" t="str">
        <f t="shared" si="49"/>
        <v/>
      </c>
      <c r="D787" s="32" t="str">
        <f>IF($E787="","",INDEX(进销存对接!$D$4:$D$305,262)&amp;" "&amp;TEXT($B787,"YYYY年M月")&amp;" 自动结转")</f>
        <v/>
      </c>
      <c r="E787" s="26" t="str">
        <f>IF(INDEX(进销存对接!$M$4:$U$305,262,1)=0,"",INDEX(进销存对接!$M$4:$U$305,262,1))</f>
        <v/>
      </c>
      <c r="F787" s="25" t="str">
        <f>IF($E787="","",IFERROR(INDEX(科目表!$A$4:$A$81,MATCH($E787,科目表!$B$4:$B$81,0)),""))</f>
        <v/>
      </c>
      <c r="G787" s="26" t="str">
        <f>IF($E787="","",IFERROR(INDEX(科目表!$E$4:$E$81,MATCH($E787,科目表!$B$4:$B$81,0)),""))</f>
        <v/>
      </c>
      <c r="H787" s="27" t="str">
        <f>IF($E787="","",N(INDEX(进销存对接!$M$4:$U$305,262,2)))</f>
        <v/>
      </c>
      <c r="I787" s="27" t="str">
        <f>IF($E787="","",N(INDEX(进销存对接!$M$4:$U$305,262,3)))</f>
        <v/>
      </c>
      <c r="J787" s="26"/>
      <c r="K787" s="26" t="str">
        <f>IF($E787="","",INDEX(进销存对接!$D$4:$D$305,262))</f>
        <v/>
      </c>
      <c r="L787" s="32"/>
      <c r="M787" s="32"/>
      <c r="N787" s="26" t="str">
        <f t="shared" si="50"/>
        <v/>
      </c>
      <c r="O787" s="26" t="str">
        <f t="shared" si="51"/>
        <v/>
      </c>
      <c r="P787" s="10"/>
    </row>
    <row r="788" ht="18" customHeight="1" spans="1:16">
      <c r="A788" s="32" t="str">
        <f t="shared" si="48"/>
        <v/>
      </c>
      <c r="B788" s="100" t="str">
        <f>IF($E788="","",INDEX(进销存对接!$C$4:$C$305,262))</f>
        <v/>
      </c>
      <c r="C788" s="26" t="str">
        <f t="shared" si="49"/>
        <v/>
      </c>
      <c r="D788" s="32" t="str">
        <f>IF($E788="","",INDEX(进销存对接!$D$4:$D$305,262)&amp;" "&amp;TEXT($B788,"YYYY年M月")&amp;" 自动结转")</f>
        <v/>
      </c>
      <c r="E788" s="26" t="str">
        <f>IF(INDEX(进销存对接!$M$4:$U$305,262,4)=0,"",INDEX(进销存对接!$M$4:$U$305,262,4))</f>
        <v/>
      </c>
      <c r="F788" s="25" t="str">
        <f>IF($E788="","",IFERROR(INDEX(科目表!$A$4:$A$81,MATCH($E788,科目表!$B$4:$B$81,0)),""))</f>
        <v/>
      </c>
      <c r="G788" s="26" t="str">
        <f>IF($E788="","",IFERROR(INDEX(科目表!$E$4:$E$81,MATCH($E788,科目表!$B$4:$B$81,0)),""))</f>
        <v/>
      </c>
      <c r="H788" s="27" t="str">
        <f>IF($E788="","",N(INDEX(进销存对接!$M$4:$U$305,262,5)))</f>
        <v/>
      </c>
      <c r="I788" s="27" t="str">
        <f>IF($E788="","",N(INDEX(进销存对接!$M$4:$U$305,262,6)))</f>
        <v/>
      </c>
      <c r="J788" s="26"/>
      <c r="K788" s="26" t="str">
        <f>IF($E788="","",INDEX(进销存对接!$D$4:$D$305,262))</f>
        <v/>
      </c>
      <c r="L788" s="32"/>
      <c r="M788" s="32"/>
      <c r="N788" s="26" t="str">
        <f t="shared" si="50"/>
        <v/>
      </c>
      <c r="O788" s="26" t="str">
        <f t="shared" si="51"/>
        <v/>
      </c>
      <c r="P788" s="10"/>
    </row>
    <row r="789" ht="18" customHeight="1" spans="1:16">
      <c r="A789" s="32" t="str">
        <f t="shared" si="48"/>
        <v/>
      </c>
      <c r="B789" s="100" t="str">
        <f>IF($E789="","",INDEX(进销存对接!$C$4:$C$305,262))</f>
        <v/>
      </c>
      <c r="C789" s="26" t="str">
        <f t="shared" si="49"/>
        <v/>
      </c>
      <c r="D789" s="32" t="str">
        <f>IF($E789="","",INDEX(进销存对接!$D$4:$D$305,262)&amp;" "&amp;TEXT($B789,"YYYY年M月")&amp;" 自动结转")</f>
        <v/>
      </c>
      <c r="E789" s="26" t="str">
        <f>IF(INDEX(进销存对接!$M$4:$U$305,262,7)=0,"",INDEX(进销存对接!$M$4:$U$305,262,7))</f>
        <v/>
      </c>
      <c r="F789" s="25" t="str">
        <f>IF($E789="","",IFERROR(INDEX(科目表!$A$4:$A$81,MATCH($E789,科目表!$B$4:$B$81,0)),""))</f>
        <v/>
      </c>
      <c r="G789" s="26" t="str">
        <f>IF($E789="","",IFERROR(INDEX(科目表!$E$4:$E$81,MATCH($E789,科目表!$B$4:$B$81,0)),""))</f>
        <v/>
      </c>
      <c r="H789" s="27" t="str">
        <f>IF($E789="","",N(INDEX(进销存对接!$M$4:$U$305,262,8)))</f>
        <v/>
      </c>
      <c r="I789" s="27" t="str">
        <f>IF($E789="","",N(INDEX(进销存对接!$M$4:$U$305,262,9)))</f>
        <v/>
      </c>
      <c r="J789" s="26"/>
      <c r="K789" s="26" t="str">
        <f>IF($E789="","",INDEX(进销存对接!$D$4:$D$305,262))</f>
        <v/>
      </c>
      <c r="L789" s="32"/>
      <c r="M789" s="32"/>
      <c r="N789" s="26" t="str">
        <f t="shared" si="50"/>
        <v/>
      </c>
      <c r="O789" s="26" t="str">
        <f t="shared" si="51"/>
        <v/>
      </c>
      <c r="P789" s="10"/>
    </row>
    <row r="790" ht="18" customHeight="1" spans="1:16">
      <c r="A790" s="32" t="str">
        <f t="shared" si="48"/>
        <v/>
      </c>
      <c r="B790" s="100" t="str">
        <f>IF($E790="","",INDEX(进销存对接!$C$4:$C$305,263))</f>
        <v/>
      </c>
      <c r="C790" s="26" t="str">
        <f t="shared" si="49"/>
        <v/>
      </c>
      <c r="D790" s="32" t="str">
        <f>IF($E790="","",INDEX(进销存对接!$D$4:$D$305,263)&amp;" "&amp;TEXT($B790,"YYYY年M月")&amp;" 自动结转")</f>
        <v/>
      </c>
      <c r="E790" s="26" t="str">
        <f>IF(INDEX(进销存对接!$M$4:$U$305,263,1)=0,"",INDEX(进销存对接!$M$4:$U$305,263,1))</f>
        <v/>
      </c>
      <c r="F790" s="25" t="str">
        <f>IF($E790="","",IFERROR(INDEX(科目表!$A$4:$A$81,MATCH($E790,科目表!$B$4:$B$81,0)),""))</f>
        <v/>
      </c>
      <c r="G790" s="26" t="str">
        <f>IF($E790="","",IFERROR(INDEX(科目表!$E$4:$E$81,MATCH($E790,科目表!$B$4:$B$81,0)),""))</f>
        <v/>
      </c>
      <c r="H790" s="27" t="str">
        <f>IF($E790="","",N(INDEX(进销存对接!$M$4:$U$305,263,2)))</f>
        <v/>
      </c>
      <c r="I790" s="27" t="str">
        <f>IF($E790="","",N(INDEX(进销存对接!$M$4:$U$305,263,3)))</f>
        <v/>
      </c>
      <c r="J790" s="26"/>
      <c r="K790" s="26" t="str">
        <f>IF($E790="","",INDEX(进销存对接!$D$4:$D$305,263))</f>
        <v/>
      </c>
      <c r="L790" s="32"/>
      <c r="M790" s="32"/>
      <c r="N790" s="26" t="str">
        <f t="shared" si="50"/>
        <v/>
      </c>
      <c r="O790" s="26" t="str">
        <f t="shared" si="51"/>
        <v/>
      </c>
      <c r="P790" s="10"/>
    </row>
    <row r="791" ht="18" customHeight="1" spans="1:16">
      <c r="A791" s="32" t="str">
        <f t="shared" si="48"/>
        <v/>
      </c>
      <c r="B791" s="100" t="str">
        <f>IF($E791="","",INDEX(进销存对接!$C$4:$C$305,263))</f>
        <v/>
      </c>
      <c r="C791" s="26" t="str">
        <f t="shared" si="49"/>
        <v/>
      </c>
      <c r="D791" s="32" t="str">
        <f>IF($E791="","",INDEX(进销存对接!$D$4:$D$305,263)&amp;" "&amp;TEXT($B791,"YYYY年M月")&amp;" 自动结转")</f>
        <v/>
      </c>
      <c r="E791" s="26" t="str">
        <f>IF(INDEX(进销存对接!$M$4:$U$305,263,4)=0,"",INDEX(进销存对接!$M$4:$U$305,263,4))</f>
        <v/>
      </c>
      <c r="F791" s="25" t="str">
        <f>IF($E791="","",IFERROR(INDEX(科目表!$A$4:$A$81,MATCH($E791,科目表!$B$4:$B$81,0)),""))</f>
        <v/>
      </c>
      <c r="G791" s="26" t="str">
        <f>IF($E791="","",IFERROR(INDEX(科目表!$E$4:$E$81,MATCH($E791,科目表!$B$4:$B$81,0)),""))</f>
        <v/>
      </c>
      <c r="H791" s="27" t="str">
        <f>IF($E791="","",N(INDEX(进销存对接!$M$4:$U$305,263,5)))</f>
        <v/>
      </c>
      <c r="I791" s="27" t="str">
        <f>IF($E791="","",N(INDEX(进销存对接!$M$4:$U$305,263,6)))</f>
        <v/>
      </c>
      <c r="J791" s="26"/>
      <c r="K791" s="26" t="str">
        <f>IF($E791="","",INDEX(进销存对接!$D$4:$D$305,263))</f>
        <v/>
      </c>
      <c r="L791" s="32"/>
      <c r="M791" s="32"/>
      <c r="N791" s="26" t="str">
        <f t="shared" si="50"/>
        <v/>
      </c>
      <c r="O791" s="26" t="str">
        <f t="shared" si="51"/>
        <v/>
      </c>
      <c r="P791" s="10"/>
    </row>
    <row r="792" ht="18" customHeight="1" spans="1:16">
      <c r="A792" s="32" t="str">
        <f t="shared" si="48"/>
        <v/>
      </c>
      <c r="B792" s="100" t="str">
        <f>IF($E792="","",INDEX(进销存对接!$C$4:$C$305,263))</f>
        <v/>
      </c>
      <c r="C792" s="26" t="str">
        <f t="shared" si="49"/>
        <v/>
      </c>
      <c r="D792" s="32" t="str">
        <f>IF($E792="","",INDEX(进销存对接!$D$4:$D$305,263)&amp;" "&amp;TEXT($B792,"YYYY年M月")&amp;" 自动结转")</f>
        <v/>
      </c>
      <c r="E792" s="26" t="str">
        <f>IF(INDEX(进销存对接!$M$4:$U$305,263,7)=0,"",INDEX(进销存对接!$M$4:$U$305,263,7))</f>
        <v/>
      </c>
      <c r="F792" s="25" t="str">
        <f>IF($E792="","",IFERROR(INDEX(科目表!$A$4:$A$81,MATCH($E792,科目表!$B$4:$B$81,0)),""))</f>
        <v/>
      </c>
      <c r="G792" s="26" t="str">
        <f>IF($E792="","",IFERROR(INDEX(科目表!$E$4:$E$81,MATCH($E792,科目表!$B$4:$B$81,0)),""))</f>
        <v/>
      </c>
      <c r="H792" s="27" t="str">
        <f>IF($E792="","",N(INDEX(进销存对接!$M$4:$U$305,263,8)))</f>
        <v/>
      </c>
      <c r="I792" s="27" t="str">
        <f>IF($E792="","",N(INDEX(进销存对接!$M$4:$U$305,263,9)))</f>
        <v/>
      </c>
      <c r="J792" s="26"/>
      <c r="K792" s="26" t="str">
        <f>IF($E792="","",INDEX(进销存对接!$D$4:$D$305,263))</f>
        <v/>
      </c>
      <c r="L792" s="32"/>
      <c r="M792" s="32"/>
      <c r="N792" s="26" t="str">
        <f t="shared" si="50"/>
        <v/>
      </c>
      <c r="O792" s="26" t="str">
        <f t="shared" si="51"/>
        <v/>
      </c>
      <c r="P792" s="10"/>
    </row>
    <row r="793" ht="18" customHeight="1" spans="1:16">
      <c r="A793" s="32" t="str">
        <f t="shared" si="48"/>
        <v/>
      </c>
      <c r="B793" s="100" t="str">
        <f>IF($E793="","",INDEX(进销存对接!$C$4:$C$305,264))</f>
        <v/>
      </c>
      <c r="C793" s="26" t="str">
        <f t="shared" si="49"/>
        <v/>
      </c>
      <c r="D793" s="32" t="str">
        <f>IF($E793="","",INDEX(进销存对接!$D$4:$D$305,264)&amp;" "&amp;TEXT($B793,"YYYY年M月")&amp;" 自动结转")</f>
        <v/>
      </c>
      <c r="E793" s="26" t="str">
        <f>IF(INDEX(进销存对接!$M$4:$U$305,264,1)=0,"",INDEX(进销存对接!$M$4:$U$305,264,1))</f>
        <v/>
      </c>
      <c r="F793" s="25" t="str">
        <f>IF($E793="","",IFERROR(INDEX(科目表!$A$4:$A$81,MATCH($E793,科目表!$B$4:$B$81,0)),""))</f>
        <v/>
      </c>
      <c r="G793" s="26" t="str">
        <f>IF($E793="","",IFERROR(INDEX(科目表!$E$4:$E$81,MATCH($E793,科目表!$B$4:$B$81,0)),""))</f>
        <v/>
      </c>
      <c r="H793" s="27" t="str">
        <f>IF($E793="","",N(INDEX(进销存对接!$M$4:$U$305,264,2)))</f>
        <v/>
      </c>
      <c r="I793" s="27" t="str">
        <f>IF($E793="","",N(INDEX(进销存对接!$M$4:$U$305,264,3)))</f>
        <v/>
      </c>
      <c r="J793" s="26"/>
      <c r="K793" s="26" t="str">
        <f>IF($E793="","",INDEX(进销存对接!$D$4:$D$305,264))</f>
        <v/>
      </c>
      <c r="L793" s="32"/>
      <c r="M793" s="32"/>
      <c r="N793" s="26" t="str">
        <f t="shared" si="50"/>
        <v/>
      </c>
      <c r="O793" s="26" t="str">
        <f t="shared" si="51"/>
        <v/>
      </c>
      <c r="P793" s="10"/>
    </row>
    <row r="794" ht="18" customHeight="1" spans="1:16">
      <c r="A794" s="32" t="str">
        <f t="shared" si="48"/>
        <v/>
      </c>
      <c r="B794" s="100" t="str">
        <f>IF($E794="","",INDEX(进销存对接!$C$4:$C$305,264))</f>
        <v/>
      </c>
      <c r="C794" s="26" t="str">
        <f t="shared" si="49"/>
        <v/>
      </c>
      <c r="D794" s="32" t="str">
        <f>IF($E794="","",INDEX(进销存对接!$D$4:$D$305,264)&amp;" "&amp;TEXT($B794,"YYYY年M月")&amp;" 自动结转")</f>
        <v/>
      </c>
      <c r="E794" s="26" t="str">
        <f>IF(INDEX(进销存对接!$M$4:$U$305,264,4)=0,"",INDEX(进销存对接!$M$4:$U$305,264,4))</f>
        <v/>
      </c>
      <c r="F794" s="25" t="str">
        <f>IF($E794="","",IFERROR(INDEX(科目表!$A$4:$A$81,MATCH($E794,科目表!$B$4:$B$81,0)),""))</f>
        <v/>
      </c>
      <c r="G794" s="26" t="str">
        <f>IF($E794="","",IFERROR(INDEX(科目表!$E$4:$E$81,MATCH($E794,科目表!$B$4:$B$81,0)),""))</f>
        <v/>
      </c>
      <c r="H794" s="27" t="str">
        <f>IF($E794="","",N(INDEX(进销存对接!$M$4:$U$305,264,5)))</f>
        <v/>
      </c>
      <c r="I794" s="27" t="str">
        <f>IF($E794="","",N(INDEX(进销存对接!$M$4:$U$305,264,6)))</f>
        <v/>
      </c>
      <c r="J794" s="26"/>
      <c r="K794" s="26" t="str">
        <f>IF($E794="","",INDEX(进销存对接!$D$4:$D$305,264))</f>
        <v/>
      </c>
      <c r="L794" s="32"/>
      <c r="M794" s="32"/>
      <c r="N794" s="26" t="str">
        <f t="shared" si="50"/>
        <v/>
      </c>
      <c r="O794" s="26" t="str">
        <f t="shared" si="51"/>
        <v/>
      </c>
      <c r="P794" s="10"/>
    </row>
    <row r="795" ht="18" customHeight="1" spans="1:16">
      <c r="A795" s="32" t="str">
        <f t="shared" si="48"/>
        <v/>
      </c>
      <c r="B795" s="100" t="str">
        <f>IF($E795="","",INDEX(进销存对接!$C$4:$C$305,264))</f>
        <v/>
      </c>
      <c r="C795" s="26" t="str">
        <f t="shared" si="49"/>
        <v/>
      </c>
      <c r="D795" s="32" t="str">
        <f>IF($E795="","",INDEX(进销存对接!$D$4:$D$305,264)&amp;" "&amp;TEXT($B795,"YYYY年M月")&amp;" 自动结转")</f>
        <v/>
      </c>
      <c r="E795" s="26" t="str">
        <f>IF(INDEX(进销存对接!$M$4:$U$305,264,7)=0,"",INDEX(进销存对接!$M$4:$U$305,264,7))</f>
        <v/>
      </c>
      <c r="F795" s="25" t="str">
        <f>IF($E795="","",IFERROR(INDEX(科目表!$A$4:$A$81,MATCH($E795,科目表!$B$4:$B$81,0)),""))</f>
        <v/>
      </c>
      <c r="G795" s="26" t="str">
        <f>IF($E795="","",IFERROR(INDEX(科目表!$E$4:$E$81,MATCH($E795,科目表!$B$4:$B$81,0)),""))</f>
        <v/>
      </c>
      <c r="H795" s="27" t="str">
        <f>IF($E795="","",N(INDEX(进销存对接!$M$4:$U$305,264,8)))</f>
        <v/>
      </c>
      <c r="I795" s="27" t="str">
        <f>IF($E795="","",N(INDEX(进销存对接!$M$4:$U$305,264,9)))</f>
        <v/>
      </c>
      <c r="J795" s="26"/>
      <c r="K795" s="26" t="str">
        <f>IF($E795="","",INDEX(进销存对接!$D$4:$D$305,264))</f>
        <v/>
      </c>
      <c r="L795" s="32"/>
      <c r="M795" s="32"/>
      <c r="N795" s="26" t="str">
        <f t="shared" si="50"/>
        <v/>
      </c>
      <c r="O795" s="26" t="str">
        <f t="shared" si="51"/>
        <v/>
      </c>
      <c r="P795" s="10"/>
    </row>
    <row r="796" ht="18" customHeight="1" spans="1:16">
      <c r="A796" s="32" t="str">
        <f t="shared" si="48"/>
        <v/>
      </c>
      <c r="B796" s="100" t="str">
        <f>IF($E796="","",INDEX(进销存对接!$C$4:$C$305,265))</f>
        <v/>
      </c>
      <c r="C796" s="26" t="str">
        <f t="shared" si="49"/>
        <v/>
      </c>
      <c r="D796" s="32" t="str">
        <f>IF($E796="","",INDEX(进销存对接!$D$4:$D$305,265)&amp;" "&amp;TEXT($B796,"YYYY年M月")&amp;" 自动结转")</f>
        <v/>
      </c>
      <c r="E796" s="26" t="str">
        <f>IF(INDEX(进销存对接!$M$4:$U$305,265,1)=0,"",INDEX(进销存对接!$M$4:$U$305,265,1))</f>
        <v/>
      </c>
      <c r="F796" s="25" t="str">
        <f>IF($E796="","",IFERROR(INDEX(科目表!$A$4:$A$81,MATCH($E796,科目表!$B$4:$B$81,0)),""))</f>
        <v/>
      </c>
      <c r="G796" s="26" t="str">
        <f>IF($E796="","",IFERROR(INDEX(科目表!$E$4:$E$81,MATCH($E796,科目表!$B$4:$B$81,0)),""))</f>
        <v/>
      </c>
      <c r="H796" s="27" t="str">
        <f>IF($E796="","",N(INDEX(进销存对接!$M$4:$U$305,265,2)))</f>
        <v/>
      </c>
      <c r="I796" s="27" t="str">
        <f>IF($E796="","",N(INDEX(进销存对接!$M$4:$U$305,265,3)))</f>
        <v/>
      </c>
      <c r="J796" s="26"/>
      <c r="K796" s="26" t="str">
        <f>IF($E796="","",INDEX(进销存对接!$D$4:$D$305,265))</f>
        <v/>
      </c>
      <c r="L796" s="32"/>
      <c r="M796" s="32"/>
      <c r="N796" s="26" t="str">
        <f t="shared" si="50"/>
        <v/>
      </c>
      <c r="O796" s="26" t="str">
        <f t="shared" si="51"/>
        <v/>
      </c>
      <c r="P796" s="10"/>
    </row>
    <row r="797" ht="18" customHeight="1" spans="1:16">
      <c r="A797" s="32" t="str">
        <f t="shared" si="48"/>
        <v/>
      </c>
      <c r="B797" s="100" t="str">
        <f>IF($E797="","",INDEX(进销存对接!$C$4:$C$305,265))</f>
        <v/>
      </c>
      <c r="C797" s="26" t="str">
        <f t="shared" si="49"/>
        <v/>
      </c>
      <c r="D797" s="32" t="str">
        <f>IF($E797="","",INDEX(进销存对接!$D$4:$D$305,265)&amp;" "&amp;TEXT($B797,"YYYY年M月")&amp;" 自动结转")</f>
        <v/>
      </c>
      <c r="E797" s="26" t="str">
        <f>IF(INDEX(进销存对接!$M$4:$U$305,265,4)=0,"",INDEX(进销存对接!$M$4:$U$305,265,4))</f>
        <v/>
      </c>
      <c r="F797" s="25" t="str">
        <f>IF($E797="","",IFERROR(INDEX(科目表!$A$4:$A$81,MATCH($E797,科目表!$B$4:$B$81,0)),""))</f>
        <v/>
      </c>
      <c r="G797" s="26" t="str">
        <f>IF($E797="","",IFERROR(INDEX(科目表!$E$4:$E$81,MATCH($E797,科目表!$B$4:$B$81,0)),""))</f>
        <v/>
      </c>
      <c r="H797" s="27" t="str">
        <f>IF($E797="","",N(INDEX(进销存对接!$M$4:$U$305,265,5)))</f>
        <v/>
      </c>
      <c r="I797" s="27" t="str">
        <f>IF($E797="","",N(INDEX(进销存对接!$M$4:$U$305,265,6)))</f>
        <v/>
      </c>
      <c r="J797" s="26"/>
      <c r="K797" s="26" t="str">
        <f>IF($E797="","",INDEX(进销存对接!$D$4:$D$305,265))</f>
        <v/>
      </c>
      <c r="L797" s="32"/>
      <c r="M797" s="32"/>
      <c r="N797" s="26" t="str">
        <f t="shared" si="50"/>
        <v/>
      </c>
      <c r="O797" s="26" t="str">
        <f t="shared" si="51"/>
        <v/>
      </c>
      <c r="P797" s="10"/>
    </row>
    <row r="798" ht="18" customHeight="1" spans="1:16">
      <c r="A798" s="32" t="str">
        <f t="shared" si="48"/>
        <v/>
      </c>
      <c r="B798" s="100" t="str">
        <f>IF($E798="","",INDEX(进销存对接!$C$4:$C$305,265))</f>
        <v/>
      </c>
      <c r="C798" s="26" t="str">
        <f t="shared" si="49"/>
        <v/>
      </c>
      <c r="D798" s="32" t="str">
        <f>IF($E798="","",INDEX(进销存对接!$D$4:$D$305,265)&amp;" "&amp;TEXT($B798,"YYYY年M月")&amp;" 自动结转")</f>
        <v/>
      </c>
      <c r="E798" s="26" t="str">
        <f>IF(INDEX(进销存对接!$M$4:$U$305,265,7)=0,"",INDEX(进销存对接!$M$4:$U$305,265,7))</f>
        <v/>
      </c>
      <c r="F798" s="25" t="str">
        <f>IF($E798="","",IFERROR(INDEX(科目表!$A$4:$A$81,MATCH($E798,科目表!$B$4:$B$81,0)),""))</f>
        <v/>
      </c>
      <c r="G798" s="26" t="str">
        <f>IF($E798="","",IFERROR(INDEX(科目表!$E$4:$E$81,MATCH($E798,科目表!$B$4:$B$81,0)),""))</f>
        <v/>
      </c>
      <c r="H798" s="27" t="str">
        <f>IF($E798="","",N(INDEX(进销存对接!$M$4:$U$305,265,8)))</f>
        <v/>
      </c>
      <c r="I798" s="27" t="str">
        <f>IF($E798="","",N(INDEX(进销存对接!$M$4:$U$305,265,9)))</f>
        <v/>
      </c>
      <c r="J798" s="26"/>
      <c r="K798" s="26" t="str">
        <f>IF($E798="","",INDEX(进销存对接!$D$4:$D$305,265))</f>
        <v/>
      </c>
      <c r="L798" s="32"/>
      <c r="M798" s="32"/>
      <c r="N798" s="26" t="str">
        <f t="shared" si="50"/>
        <v/>
      </c>
      <c r="O798" s="26" t="str">
        <f t="shared" si="51"/>
        <v/>
      </c>
      <c r="P798" s="10"/>
    </row>
    <row r="799" ht="18" customHeight="1" spans="1:16">
      <c r="A799" s="32" t="str">
        <f t="shared" si="48"/>
        <v/>
      </c>
      <c r="B799" s="100" t="str">
        <f>IF($E799="","",INDEX(进销存对接!$C$4:$C$305,266))</f>
        <v/>
      </c>
      <c r="C799" s="26" t="str">
        <f t="shared" si="49"/>
        <v/>
      </c>
      <c r="D799" s="32" t="str">
        <f>IF($E799="","",INDEX(进销存对接!$D$4:$D$305,266)&amp;" "&amp;TEXT($B799,"YYYY年M月")&amp;" 自动结转")</f>
        <v/>
      </c>
      <c r="E799" s="26" t="str">
        <f>IF(INDEX(进销存对接!$M$4:$U$305,266,1)=0,"",INDEX(进销存对接!$M$4:$U$305,266,1))</f>
        <v/>
      </c>
      <c r="F799" s="25" t="str">
        <f>IF($E799="","",IFERROR(INDEX(科目表!$A$4:$A$81,MATCH($E799,科目表!$B$4:$B$81,0)),""))</f>
        <v/>
      </c>
      <c r="G799" s="26" t="str">
        <f>IF($E799="","",IFERROR(INDEX(科目表!$E$4:$E$81,MATCH($E799,科目表!$B$4:$B$81,0)),""))</f>
        <v/>
      </c>
      <c r="H799" s="27" t="str">
        <f>IF($E799="","",N(INDEX(进销存对接!$M$4:$U$305,266,2)))</f>
        <v/>
      </c>
      <c r="I799" s="27" t="str">
        <f>IF($E799="","",N(INDEX(进销存对接!$M$4:$U$305,266,3)))</f>
        <v/>
      </c>
      <c r="J799" s="26"/>
      <c r="K799" s="26" t="str">
        <f>IF($E799="","",INDEX(进销存对接!$D$4:$D$305,266))</f>
        <v/>
      </c>
      <c r="L799" s="32"/>
      <c r="M799" s="32"/>
      <c r="N799" s="26" t="str">
        <f t="shared" si="50"/>
        <v/>
      </c>
      <c r="O799" s="26" t="str">
        <f t="shared" si="51"/>
        <v/>
      </c>
      <c r="P799" s="10"/>
    </row>
    <row r="800" ht="18" customHeight="1" spans="1:16">
      <c r="A800" s="32" t="str">
        <f t="shared" si="48"/>
        <v/>
      </c>
      <c r="B800" s="100" t="str">
        <f>IF($E800="","",INDEX(进销存对接!$C$4:$C$305,266))</f>
        <v/>
      </c>
      <c r="C800" s="26" t="str">
        <f t="shared" si="49"/>
        <v/>
      </c>
      <c r="D800" s="32" t="str">
        <f>IF($E800="","",INDEX(进销存对接!$D$4:$D$305,266)&amp;" "&amp;TEXT($B800,"YYYY年M月")&amp;" 自动结转")</f>
        <v/>
      </c>
      <c r="E800" s="26" t="str">
        <f>IF(INDEX(进销存对接!$M$4:$U$305,266,4)=0,"",INDEX(进销存对接!$M$4:$U$305,266,4))</f>
        <v/>
      </c>
      <c r="F800" s="25" t="str">
        <f>IF($E800="","",IFERROR(INDEX(科目表!$A$4:$A$81,MATCH($E800,科目表!$B$4:$B$81,0)),""))</f>
        <v/>
      </c>
      <c r="G800" s="26" t="str">
        <f>IF($E800="","",IFERROR(INDEX(科目表!$E$4:$E$81,MATCH($E800,科目表!$B$4:$B$81,0)),""))</f>
        <v/>
      </c>
      <c r="H800" s="27" t="str">
        <f>IF($E800="","",N(INDEX(进销存对接!$M$4:$U$305,266,5)))</f>
        <v/>
      </c>
      <c r="I800" s="27" t="str">
        <f>IF($E800="","",N(INDEX(进销存对接!$M$4:$U$305,266,6)))</f>
        <v/>
      </c>
      <c r="J800" s="26"/>
      <c r="K800" s="26" t="str">
        <f>IF($E800="","",INDEX(进销存对接!$D$4:$D$305,266))</f>
        <v/>
      </c>
      <c r="L800" s="32"/>
      <c r="M800" s="32"/>
      <c r="N800" s="26" t="str">
        <f t="shared" si="50"/>
        <v/>
      </c>
      <c r="O800" s="26" t="str">
        <f t="shared" si="51"/>
        <v/>
      </c>
      <c r="P800" s="10"/>
    </row>
    <row r="801" ht="18" customHeight="1" spans="1:16">
      <c r="A801" s="32" t="str">
        <f t="shared" si="48"/>
        <v/>
      </c>
      <c r="B801" s="100" t="str">
        <f>IF($E801="","",INDEX(进销存对接!$C$4:$C$305,266))</f>
        <v/>
      </c>
      <c r="C801" s="26" t="str">
        <f t="shared" si="49"/>
        <v/>
      </c>
      <c r="D801" s="32" t="str">
        <f>IF($E801="","",INDEX(进销存对接!$D$4:$D$305,266)&amp;" "&amp;TEXT($B801,"YYYY年M月")&amp;" 自动结转")</f>
        <v/>
      </c>
      <c r="E801" s="26" t="str">
        <f>IF(INDEX(进销存对接!$M$4:$U$305,266,7)=0,"",INDEX(进销存对接!$M$4:$U$305,266,7))</f>
        <v/>
      </c>
      <c r="F801" s="25" t="str">
        <f>IF($E801="","",IFERROR(INDEX(科目表!$A$4:$A$81,MATCH($E801,科目表!$B$4:$B$81,0)),""))</f>
        <v/>
      </c>
      <c r="G801" s="26" t="str">
        <f>IF($E801="","",IFERROR(INDEX(科目表!$E$4:$E$81,MATCH($E801,科目表!$B$4:$B$81,0)),""))</f>
        <v/>
      </c>
      <c r="H801" s="27" t="str">
        <f>IF($E801="","",N(INDEX(进销存对接!$M$4:$U$305,266,8)))</f>
        <v/>
      </c>
      <c r="I801" s="27" t="str">
        <f>IF($E801="","",N(INDEX(进销存对接!$M$4:$U$305,266,9)))</f>
        <v/>
      </c>
      <c r="J801" s="26"/>
      <c r="K801" s="26" t="str">
        <f>IF($E801="","",INDEX(进销存对接!$D$4:$D$305,266))</f>
        <v/>
      </c>
      <c r="L801" s="32"/>
      <c r="M801" s="32"/>
      <c r="N801" s="26" t="str">
        <f t="shared" si="50"/>
        <v/>
      </c>
      <c r="O801" s="26" t="str">
        <f t="shared" si="51"/>
        <v/>
      </c>
      <c r="P801" s="10"/>
    </row>
    <row r="802" ht="18" customHeight="1" spans="1:16">
      <c r="A802" s="32" t="str">
        <f t="shared" si="48"/>
        <v/>
      </c>
      <c r="B802" s="100" t="str">
        <f>IF($E802="","",INDEX(进销存对接!$C$4:$C$305,267))</f>
        <v/>
      </c>
      <c r="C802" s="26" t="str">
        <f t="shared" si="49"/>
        <v/>
      </c>
      <c r="D802" s="32" t="str">
        <f>IF($E802="","",INDEX(进销存对接!$D$4:$D$305,267)&amp;" "&amp;TEXT($B802,"YYYY年M月")&amp;" 自动结转")</f>
        <v/>
      </c>
      <c r="E802" s="26" t="str">
        <f>IF(INDEX(进销存对接!$M$4:$U$305,267,1)=0,"",INDEX(进销存对接!$M$4:$U$305,267,1))</f>
        <v/>
      </c>
      <c r="F802" s="25" t="str">
        <f>IF($E802="","",IFERROR(INDEX(科目表!$A$4:$A$81,MATCH($E802,科目表!$B$4:$B$81,0)),""))</f>
        <v/>
      </c>
      <c r="G802" s="26" t="str">
        <f>IF($E802="","",IFERROR(INDEX(科目表!$E$4:$E$81,MATCH($E802,科目表!$B$4:$B$81,0)),""))</f>
        <v/>
      </c>
      <c r="H802" s="27" t="str">
        <f>IF($E802="","",N(INDEX(进销存对接!$M$4:$U$305,267,2)))</f>
        <v/>
      </c>
      <c r="I802" s="27" t="str">
        <f>IF($E802="","",N(INDEX(进销存对接!$M$4:$U$305,267,3)))</f>
        <v/>
      </c>
      <c r="J802" s="26"/>
      <c r="K802" s="26" t="str">
        <f>IF($E802="","",INDEX(进销存对接!$D$4:$D$305,267))</f>
        <v/>
      </c>
      <c r="L802" s="32"/>
      <c r="M802" s="32"/>
      <c r="N802" s="26" t="str">
        <f t="shared" si="50"/>
        <v/>
      </c>
      <c r="O802" s="26" t="str">
        <f t="shared" si="51"/>
        <v/>
      </c>
      <c r="P802" s="10"/>
    </row>
    <row r="803" ht="18" customHeight="1" spans="1:16">
      <c r="A803" s="32" t="str">
        <f t="shared" si="48"/>
        <v/>
      </c>
      <c r="B803" s="100" t="str">
        <f>IF($E803="","",INDEX(进销存对接!$C$4:$C$305,267))</f>
        <v/>
      </c>
      <c r="C803" s="26" t="str">
        <f t="shared" si="49"/>
        <v/>
      </c>
      <c r="D803" s="32" t="str">
        <f>IF($E803="","",INDEX(进销存对接!$D$4:$D$305,267)&amp;" "&amp;TEXT($B803,"YYYY年M月")&amp;" 自动结转")</f>
        <v/>
      </c>
      <c r="E803" s="26" t="str">
        <f>IF(INDEX(进销存对接!$M$4:$U$305,267,4)=0,"",INDEX(进销存对接!$M$4:$U$305,267,4))</f>
        <v/>
      </c>
      <c r="F803" s="25" t="str">
        <f>IF($E803="","",IFERROR(INDEX(科目表!$A$4:$A$81,MATCH($E803,科目表!$B$4:$B$81,0)),""))</f>
        <v/>
      </c>
      <c r="G803" s="26" t="str">
        <f>IF($E803="","",IFERROR(INDEX(科目表!$E$4:$E$81,MATCH($E803,科目表!$B$4:$B$81,0)),""))</f>
        <v/>
      </c>
      <c r="H803" s="27" t="str">
        <f>IF($E803="","",N(INDEX(进销存对接!$M$4:$U$305,267,5)))</f>
        <v/>
      </c>
      <c r="I803" s="27" t="str">
        <f>IF($E803="","",N(INDEX(进销存对接!$M$4:$U$305,267,6)))</f>
        <v/>
      </c>
      <c r="J803" s="26"/>
      <c r="K803" s="26" t="str">
        <f>IF($E803="","",INDEX(进销存对接!$D$4:$D$305,267))</f>
        <v/>
      </c>
      <c r="L803" s="32"/>
      <c r="M803" s="32"/>
      <c r="N803" s="26" t="str">
        <f t="shared" si="50"/>
        <v/>
      </c>
      <c r="O803" s="26" t="str">
        <f t="shared" si="51"/>
        <v/>
      </c>
      <c r="P803" s="10"/>
    </row>
    <row r="804" ht="18" customHeight="1" spans="1:16">
      <c r="A804" s="32" t="str">
        <f t="shared" si="48"/>
        <v/>
      </c>
      <c r="B804" s="100" t="str">
        <f>IF($E804="","",INDEX(进销存对接!$C$4:$C$305,267))</f>
        <v/>
      </c>
      <c r="C804" s="26" t="str">
        <f t="shared" si="49"/>
        <v/>
      </c>
      <c r="D804" s="32" t="str">
        <f>IF($E804="","",INDEX(进销存对接!$D$4:$D$305,267)&amp;" "&amp;TEXT($B804,"YYYY年M月")&amp;" 自动结转")</f>
        <v/>
      </c>
      <c r="E804" s="26" t="str">
        <f>IF(INDEX(进销存对接!$M$4:$U$305,267,7)=0,"",INDEX(进销存对接!$M$4:$U$305,267,7))</f>
        <v/>
      </c>
      <c r="F804" s="25" t="str">
        <f>IF($E804="","",IFERROR(INDEX(科目表!$A$4:$A$81,MATCH($E804,科目表!$B$4:$B$81,0)),""))</f>
        <v/>
      </c>
      <c r="G804" s="26" t="str">
        <f>IF($E804="","",IFERROR(INDEX(科目表!$E$4:$E$81,MATCH($E804,科目表!$B$4:$B$81,0)),""))</f>
        <v/>
      </c>
      <c r="H804" s="27" t="str">
        <f>IF($E804="","",N(INDEX(进销存对接!$M$4:$U$305,267,8)))</f>
        <v/>
      </c>
      <c r="I804" s="27" t="str">
        <f>IF($E804="","",N(INDEX(进销存对接!$M$4:$U$305,267,9)))</f>
        <v/>
      </c>
      <c r="J804" s="26"/>
      <c r="K804" s="26" t="str">
        <f>IF($E804="","",INDEX(进销存对接!$D$4:$D$305,267))</f>
        <v/>
      </c>
      <c r="L804" s="32"/>
      <c r="M804" s="32"/>
      <c r="N804" s="26" t="str">
        <f t="shared" si="50"/>
        <v/>
      </c>
      <c r="O804" s="26" t="str">
        <f t="shared" si="51"/>
        <v/>
      </c>
      <c r="P804" s="10"/>
    </row>
    <row r="805" ht="18" customHeight="1" spans="1:16">
      <c r="A805" s="32" t="str">
        <f t="shared" si="48"/>
        <v/>
      </c>
      <c r="B805" s="100" t="str">
        <f>IF($E805="","",INDEX(进销存对接!$C$4:$C$305,268))</f>
        <v/>
      </c>
      <c r="C805" s="26" t="str">
        <f t="shared" si="49"/>
        <v/>
      </c>
      <c r="D805" s="32" t="str">
        <f>IF($E805="","",INDEX(进销存对接!$D$4:$D$305,268)&amp;" "&amp;TEXT($B805,"YYYY年M月")&amp;" 自动结转")</f>
        <v/>
      </c>
      <c r="E805" s="26" t="str">
        <f>IF(INDEX(进销存对接!$M$4:$U$305,268,1)=0,"",INDEX(进销存对接!$M$4:$U$305,268,1))</f>
        <v/>
      </c>
      <c r="F805" s="25" t="str">
        <f>IF($E805="","",IFERROR(INDEX(科目表!$A$4:$A$81,MATCH($E805,科目表!$B$4:$B$81,0)),""))</f>
        <v/>
      </c>
      <c r="G805" s="26" t="str">
        <f>IF($E805="","",IFERROR(INDEX(科目表!$E$4:$E$81,MATCH($E805,科目表!$B$4:$B$81,0)),""))</f>
        <v/>
      </c>
      <c r="H805" s="27" t="str">
        <f>IF($E805="","",N(INDEX(进销存对接!$M$4:$U$305,268,2)))</f>
        <v/>
      </c>
      <c r="I805" s="27" t="str">
        <f>IF($E805="","",N(INDEX(进销存对接!$M$4:$U$305,268,3)))</f>
        <v/>
      </c>
      <c r="J805" s="26"/>
      <c r="K805" s="26" t="str">
        <f>IF($E805="","",INDEX(进销存对接!$D$4:$D$305,268))</f>
        <v/>
      </c>
      <c r="L805" s="32"/>
      <c r="M805" s="32"/>
      <c r="N805" s="26" t="str">
        <f t="shared" si="50"/>
        <v/>
      </c>
      <c r="O805" s="26" t="str">
        <f t="shared" si="51"/>
        <v/>
      </c>
      <c r="P805" s="10"/>
    </row>
    <row r="806" ht="18" customHeight="1" spans="1:16">
      <c r="A806" s="32" t="str">
        <f t="shared" si="48"/>
        <v/>
      </c>
      <c r="B806" s="100" t="str">
        <f>IF($E806="","",INDEX(进销存对接!$C$4:$C$305,268))</f>
        <v/>
      </c>
      <c r="C806" s="26" t="str">
        <f t="shared" si="49"/>
        <v/>
      </c>
      <c r="D806" s="32" t="str">
        <f>IF($E806="","",INDEX(进销存对接!$D$4:$D$305,268)&amp;" "&amp;TEXT($B806,"YYYY年M月")&amp;" 自动结转")</f>
        <v/>
      </c>
      <c r="E806" s="26" t="str">
        <f>IF(INDEX(进销存对接!$M$4:$U$305,268,4)=0,"",INDEX(进销存对接!$M$4:$U$305,268,4))</f>
        <v/>
      </c>
      <c r="F806" s="25" t="str">
        <f>IF($E806="","",IFERROR(INDEX(科目表!$A$4:$A$81,MATCH($E806,科目表!$B$4:$B$81,0)),""))</f>
        <v/>
      </c>
      <c r="G806" s="26" t="str">
        <f>IF($E806="","",IFERROR(INDEX(科目表!$E$4:$E$81,MATCH($E806,科目表!$B$4:$B$81,0)),""))</f>
        <v/>
      </c>
      <c r="H806" s="27" t="str">
        <f>IF($E806="","",N(INDEX(进销存对接!$M$4:$U$305,268,5)))</f>
        <v/>
      </c>
      <c r="I806" s="27" t="str">
        <f>IF($E806="","",N(INDEX(进销存对接!$M$4:$U$305,268,6)))</f>
        <v/>
      </c>
      <c r="J806" s="26"/>
      <c r="K806" s="26" t="str">
        <f>IF($E806="","",INDEX(进销存对接!$D$4:$D$305,268))</f>
        <v/>
      </c>
      <c r="L806" s="32"/>
      <c r="M806" s="32"/>
      <c r="N806" s="26" t="str">
        <f t="shared" si="50"/>
        <v/>
      </c>
      <c r="O806" s="26" t="str">
        <f t="shared" si="51"/>
        <v/>
      </c>
      <c r="P806" s="10"/>
    </row>
    <row r="807" ht="18" customHeight="1" spans="1:16">
      <c r="A807" s="32" t="str">
        <f t="shared" si="48"/>
        <v/>
      </c>
      <c r="B807" s="100" t="str">
        <f>IF($E807="","",INDEX(进销存对接!$C$4:$C$305,268))</f>
        <v/>
      </c>
      <c r="C807" s="26" t="str">
        <f t="shared" si="49"/>
        <v/>
      </c>
      <c r="D807" s="32" t="str">
        <f>IF($E807="","",INDEX(进销存对接!$D$4:$D$305,268)&amp;" "&amp;TEXT($B807,"YYYY年M月")&amp;" 自动结转")</f>
        <v/>
      </c>
      <c r="E807" s="26" t="str">
        <f>IF(INDEX(进销存对接!$M$4:$U$305,268,7)=0,"",INDEX(进销存对接!$M$4:$U$305,268,7))</f>
        <v/>
      </c>
      <c r="F807" s="25" t="str">
        <f>IF($E807="","",IFERROR(INDEX(科目表!$A$4:$A$81,MATCH($E807,科目表!$B$4:$B$81,0)),""))</f>
        <v/>
      </c>
      <c r="G807" s="26" t="str">
        <f>IF($E807="","",IFERROR(INDEX(科目表!$E$4:$E$81,MATCH($E807,科目表!$B$4:$B$81,0)),""))</f>
        <v/>
      </c>
      <c r="H807" s="27" t="str">
        <f>IF($E807="","",N(INDEX(进销存对接!$M$4:$U$305,268,8)))</f>
        <v/>
      </c>
      <c r="I807" s="27" t="str">
        <f>IF($E807="","",N(INDEX(进销存对接!$M$4:$U$305,268,9)))</f>
        <v/>
      </c>
      <c r="J807" s="26"/>
      <c r="K807" s="26" t="str">
        <f>IF($E807="","",INDEX(进销存对接!$D$4:$D$305,268))</f>
        <v/>
      </c>
      <c r="L807" s="32"/>
      <c r="M807" s="32"/>
      <c r="N807" s="26" t="str">
        <f t="shared" si="50"/>
        <v/>
      </c>
      <c r="O807" s="26" t="str">
        <f t="shared" si="51"/>
        <v/>
      </c>
      <c r="P807" s="10"/>
    </row>
    <row r="808" ht="18" customHeight="1" spans="1:16">
      <c r="A808" s="32" t="str">
        <f t="shared" si="48"/>
        <v/>
      </c>
      <c r="B808" s="100" t="str">
        <f>IF($E808="","",INDEX(进销存对接!$C$4:$C$305,269))</f>
        <v/>
      </c>
      <c r="C808" s="26" t="str">
        <f t="shared" si="49"/>
        <v/>
      </c>
      <c r="D808" s="32" t="str">
        <f>IF($E808="","",INDEX(进销存对接!$D$4:$D$305,269)&amp;" "&amp;TEXT($B808,"YYYY年M月")&amp;" 自动结转")</f>
        <v/>
      </c>
      <c r="E808" s="26" t="str">
        <f>IF(INDEX(进销存对接!$M$4:$U$305,269,1)=0,"",INDEX(进销存对接!$M$4:$U$305,269,1))</f>
        <v/>
      </c>
      <c r="F808" s="25" t="str">
        <f>IF($E808="","",IFERROR(INDEX(科目表!$A$4:$A$81,MATCH($E808,科目表!$B$4:$B$81,0)),""))</f>
        <v/>
      </c>
      <c r="G808" s="26" t="str">
        <f>IF($E808="","",IFERROR(INDEX(科目表!$E$4:$E$81,MATCH($E808,科目表!$B$4:$B$81,0)),""))</f>
        <v/>
      </c>
      <c r="H808" s="27" t="str">
        <f>IF($E808="","",N(INDEX(进销存对接!$M$4:$U$305,269,2)))</f>
        <v/>
      </c>
      <c r="I808" s="27" t="str">
        <f>IF($E808="","",N(INDEX(进销存对接!$M$4:$U$305,269,3)))</f>
        <v/>
      </c>
      <c r="J808" s="26"/>
      <c r="K808" s="26" t="str">
        <f>IF($E808="","",INDEX(进销存对接!$D$4:$D$305,269))</f>
        <v/>
      </c>
      <c r="L808" s="32"/>
      <c r="M808" s="32"/>
      <c r="N808" s="26" t="str">
        <f t="shared" si="50"/>
        <v/>
      </c>
      <c r="O808" s="26" t="str">
        <f t="shared" si="51"/>
        <v/>
      </c>
      <c r="P808" s="10"/>
    </row>
    <row r="809" ht="18" customHeight="1" spans="1:16">
      <c r="A809" s="32" t="str">
        <f t="shared" si="48"/>
        <v/>
      </c>
      <c r="B809" s="100" t="str">
        <f>IF($E809="","",INDEX(进销存对接!$C$4:$C$305,269))</f>
        <v/>
      </c>
      <c r="C809" s="26" t="str">
        <f t="shared" si="49"/>
        <v/>
      </c>
      <c r="D809" s="32" t="str">
        <f>IF($E809="","",INDEX(进销存对接!$D$4:$D$305,269)&amp;" "&amp;TEXT($B809,"YYYY年M月")&amp;" 自动结转")</f>
        <v/>
      </c>
      <c r="E809" s="26" t="str">
        <f>IF(INDEX(进销存对接!$M$4:$U$305,269,4)=0,"",INDEX(进销存对接!$M$4:$U$305,269,4))</f>
        <v/>
      </c>
      <c r="F809" s="25" t="str">
        <f>IF($E809="","",IFERROR(INDEX(科目表!$A$4:$A$81,MATCH($E809,科目表!$B$4:$B$81,0)),""))</f>
        <v/>
      </c>
      <c r="G809" s="26" t="str">
        <f>IF($E809="","",IFERROR(INDEX(科目表!$E$4:$E$81,MATCH($E809,科目表!$B$4:$B$81,0)),""))</f>
        <v/>
      </c>
      <c r="H809" s="27" t="str">
        <f>IF($E809="","",N(INDEX(进销存对接!$M$4:$U$305,269,5)))</f>
        <v/>
      </c>
      <c r="I809" s="27" t="str">
        <f>IF($E809="","",N(INDEX(进销存对接!$M$4:$U$305,269,6)))</f>
        <v/>
      </c>
      <c r="J809" s="26"/>
      <c r="K809" s="26" t="str">
        <f>IF($E809="","",INDEX(进销存对接!$D$4:$D$305,269))</f>
        <v/>
      </c>
      <c r="L809" s="32"/>
      <c r="M809" s="32"/>
      <c r="N809" s="26" t="str">
        <f t="shared" si="50"/>
        <v/>
      </c>
      <c r="O809" s="26" t="str">
        <f t="shared" si="51"/>
        <v/>
      </c>
      <c r="P809" s="10"/>
    </row>
    <row r="810" ht="18" customHeight="1" spans="1:16">
      <c r="A810" s="32" t="str">
        <f t="shared" si="48"/>
        <v/>
      </c>
      <c r="B810" s="100" t="str">
        <f>IF($E810="","",INDEX(进销存对接!$C$4:$C$305,269))</f>
        <v/>
      </c>
      <c r="C810" s="26" t="str">
        <f t="shared" si="49"/>
        <v/>
      </c>
      <c r="D810" s="32" t="str">
        <f>IF($E810="","",INDEX(进销存对接!$D$4:$D$305,269)&amp;" "&amp;TEXT($B810,"YYYY年M月")&amp;" 自动结转")</f>
        <v/>
      </c>
      <c r="E810" s="26" t="str">
        <f>IF(INDEX(进销存对接!$M$4:$U$305,269,7)=0,"",INDEX(进销存对接!$M$4:$U$305,269,7))</f>
        <v/>
      </c>
      <c r="F810" s="25" t="str">
        <f>IF($E810="","",IFERROR(INDEX(科目表!$A$4:$A$81,MATCH($E810,科目表!$B$4:$B$81,0)),""))</f>
        <v/>
      </c>
      <c r="G810" s="26" t="str">
        <f>IF($E810="","",IFERROR(INDEX(科目表!$E$4:$E$81,MATCH($E810,科目表!$B$4:$B$81,0)),""))</f>
        <v/>
      </c>
      <c r="H810" s="27" t="str">
        <f>IF($E810="","",N(INDEX(进销存对接!$M$4:$U$305,269,8)))</f>
        <v/>
      </c>
      <c r="I810" s="27" t="str">
        <f>IF($E810="","",N(INDEX(进销存对接!$M$4:$U$305,269,9)))</f>
        <v/>
      </c>
      <c r="J810" s="26"/>
      <c r="K810" s="26" t="str">
        <f>IF($E810="","",INDEX(进销存对接!$D$4:$D$305,269))</f>
        <v/>
      </c>
      <c r="L810" s="32"/>
      <c r="M810" s="32"/>
      <c r="N810" s="26" t="str">
        <f t="shared" si="50"/>
        <v/>
      </c>
      <c r="O810" s="26" t="str">
        <f t="shared" si="51"/>
        <v/>
      </c>
      <c r="P810" s="10"/>
    </row>
    <row r="811" ht="18" customHeight="1" spans="1:16">
      <c r="A811" s="32" t="str">
        <f t="shared" si="48"/>
        <v/>
      </c>
      <c r="B811" s="100" t="str">
        <f>IF($E811="","",INDEX(进销存对接!$C$4:$C$305,270))</f>
        <v/>
      </c>
      <c r="C811" s="26" t="str">
        <f t="shared" si="49"/>
        <v/>
      </c>
      <c r="D811" s="32" t="str">
        <f>IF($E811="","",INDEX(进销存对接!$D$4:$D$305,270)&amp;" "&amp;TEXT($B811,"YYYY年M月")&amp;" 自动结转")</f>
        <v/>
      </c>
      <c r="E811" s="26" t="str">
        <f>IF(INDEX(进销存对接!$M$4:$U$305,270,1)=0,"",INDEX(进销存对接!$M$4:$U$305,270,1))</f>
        <v/>
      </c>
      <c r="F811" s="25" t="str">
        <f>IF($E811="","",IFERROR(INDEX(科目表!$A$4:$A$81,MATCH($E811,科目表!$B$4:$B$81,0)),""))</f>
        <v/>
      </c>
      <c r="G811" s="26" t="str">
        <f>IF($E811="","",IFERROR(INDEX(科目表!$E$4:$E$81,MATCH($E811,科目表!$B$4:$B$81,0)),""))</f>
        <v/>
      </c>
      <c r="H811" s="27" t="str">
        <f>IF($E811="","",N(INDEX(进销存对接!$M$4:$U$305,270,2)))</f>
        <v/>
      </c>
      <c r="I811" s="27" t="str">
        <f>IF($E811="","",N(INDEX(进销存对接!$M$4:$U$305,270,3)))</f>
        <v/>
      </c>
      <c r="J811" s="26"/>
      <c r="K811" s="26" t="str">
        <f>IF($E811="","",INDEX(进销存对接!$D$4:$D$305,270))</f>
        <v/>
      </c>
      <c r="L811" s="32"/>
      <c r="M811" s="32"/>
      <c r="N811" s="26" t="str">
        <f t="shared" si="50"/>
        <v/>
      </c>
      <c r="O811" s="26" t="str">
        <f t="shared" si="51"/>
        <v/>
      </c>
      <c r="P811" s="10"/>
    </row>
    <row r="812" ht="18" customHeight="1" spans="1:16">
      <c r="A812" s="32" t="str">
        <f t="shared" si="48"/>
        <v/>
      </c>
      <c r="B812" s="100" t="str">
        <f>IF($E812="","",INDEX(进销存对接!$C$4:$C$305,270))</f>
        <v/>
      </c>
      <c r="C812" s="26" t="str">
        <f t="shared" si="49"/>
        <v/>
      </c>
      <c r="D812" s="32" t="str">
        <f>IF($E812="","",INDEX(进销存对接!$D$4:$D$305,270)&amp;" "&amp;TEXT($B812,"YYYY年M月")&amp;" 自动结转")</f>
        <v/>
      </c>
      <c r="E812" s="26" t="str">
        <f>IF(INDEX(进销存对接!$M$4:$U$305,270,4)=0,"",INDEX(进销存对接!$M$4:$U$305,270,4))</f>
        <v/>
      </c>
      <c r="F812" s="25" t="str">
        <f>IF($E812="","",IFERROR(INDEX(科目表!$A$4:$A$81,MATCH($E812,科目表!$B$4:$B$81,0)),""))</f>
        <v/>
      </c>
      <c r="G812" s="26" t="str">
        <f>IF($E812="","",IFERROR(INDEX(科目表!$E$4:$E$81,MATCH($E812,科目表!$B$4:$B$81,0)),""))</f>
        <v/>
      </c>
      <c r="H812" s="27" t="str">
        <f>IF($E812="","",N(INDEX(进销存对接!$M$4:$U$305,270,5)))</f>
        <v/>
      </c>
      <c r="I812" s="27" t="str">
        <f>IF($E812="","",N(INDEX(进销存对接!$M$4:$U$305,270,6)))</f>
        <v/>
      </c>
      <c r="J812" s="26"/>
      <c r="K812" s="26" t="str">
        <f>IF($E812="","",INDEX(进销存对接!$D$4:$D$305,270))</f>
        <v/>
      </c>
      <c r="L812" s="32"/>
      <c r="M812" s="32"/>
      <c r="N812" s="26" t="str">
        <f t="shared" si="50"/>
        <v/>
      </c>
      <c r="O812" s="26" t="str">
        <f t="shared" si="51"/>
        <v/>
      </c>
      <c r="P812" s="10"/>
    </row>
    <row r="813" ht="18" customHeight="1" spans="1:16">
      <c r="A813" s="32" t="str">
        <f t="shared" si="48"/>
        <v/>
      </c>
      <c r="B813" s="100" t="str">
        <f>IF($E813="","",INDEX(进销存对接!$C$4:$C$305,270))</f>
        <v/>
      </c>
      <c r="C813" s="26" t="str">
        <f t="shared" si="49"/>
        <v/>
      </c>
      <c r="D813" s="32" t="str">
        <f>IF($E813="","",INDEX(进销存对接!$D$4:$D$305,270)&amp;" "&amp;TEXT($B813,"YYYY年M月")&amp;" 自动结转")</f>
        <v/>
      </c>
      <c r="E813" s="26" t="str">
        <f>IF(INDEX(进销存对接!$M$4:$U$305,270,7)=0,"",INDEX(进销存对接!$M$4:$U$305,270,7))</f>
        <v/>
      </c>
      <c r="F813" s="25" t="str">
        <f>IF($E813="","",IFERROR(INDEX(科目表!$A$4:$A$81,MATCH($E813,科目表!$B$4:$B$81,0)),""))</f>
        <v/>
      </c>
      <c r="G813" s="26" t="str">
        <f>IF($E813="","",IFERROR(INDEX(科目表!$E$4:$E$81,MATCH($E813,科目表!$B$4:$B$81,0)),""))</f>
        <v/>
      </c>
      <c r="H813" s="27" t="str">
        <f>IF($E813="","",N(INDEX(进销存对接!$M$4:$U$305,270,8)))</f>
        <v/>
      </c>
      <c r="I813" s="27" t="str">
        <f>IF($E813="","",N(INDEX(进销存对接!$M$4:$U$305,270,9)))</f>
        <v/>
      </c>
      <c r="J813" s="26"/>
      <c r="K813" s="26" t="str">
        <f>IF($E813="","",INDEX(进销存对接!$D$4:$D$305,270))</f>
        <v/>
      </c>
      <c r="L813" s="32"/>
      <c r="M813" s="32"/>
      <c r="N813" s="26" t="str">
        <f t="shared" si="50"/>
        <v/>
      </c>
      <c r="O813" s="26" t="str">
        <f t="shared" si="51"/>
        <v/>
      </c>
      <c r="P813" s="10"/>
    </row>
    <row r="814" ht="18" customHeight="1" spans="1:16">
      <c r="A814" s="32" t="str">
        <f t="shared" si="48"/>
        <v/>
      </c>
      <c r="B814" s="100" t="str">
        <f>IF($E814="","",INDEX(进销存对接!$C$4:$C$305,271))</f>
        <v/>
      </c>
      <c r="C814" s="26" t="str">
        <f t="shared" si="49"/>
        <v/>
      </c>
      <c r="D814" s="32" t="str">
        <f>IF($E814="","",INDEX(进销存对接!$D$4:$D$305,271)&amp;" "&amp;TEXT($B814,"YYYY年M月")&amp;" 自动结转")</f>
        <v/>
      </c>
      <c r="E814" s="26" t="str">
        <f>IF(INDEX(进销存对接!$M$4:$U$305,271,1)=0,"",INDEX(进销存对接!$M$4:$U$305,271,1))</f>
        <v/>
      </c>
      <c r="F814" s="25" t="str">
        <f>IF($E814="","",IFERROR(INDEX(科目表!$A$4:$A$81,MATCH($E814,科目表!$B$4:$B$81,0)),""))</f>
        <v/>
      </c>
      <c r="G814" s="26" t="str">
        <f>IF($E814="","",IFERROR(INDEX(科目表!$E$4:$E$81,MATCH($E814,科目表!$B$4:$B$81,0)),""))</f>
        <v/>
      </c>
      <c r="H814" s="27" t="str">
        <f>IF($E814="","",N(INDEX(进销存对接!$M$4:$U$305,271,2)))</f>
        <v/>
      </c>
      <c r="I814" s="27" t="str">
        <f>IF($E814="","",N(INDEX(进销存对接!$M$4:$U$305,271,3)))</f>
        <v/>
      </c>
      <c r="J814" s="26"/>
      <c r="K814" s="26" t="str">
        <f>IF($E814="","",INDEX(进销存对接!$D$4:$D$305,271))</f>
        <v/>
      </c>
      <c r="L814" s="32"/>
      <c r="M814" s="32"/>
      <c r="N814" s="26" t="str">
        <f t="shared" si="50"/>
        <v/>
      </c>
      <c r="O814" s="26" t="str">
        <f t="shared" si="51"/>
        <v/>
      </c>
      <c r="P814" s="10"/>
    </row>
    <row r="815" ht="18" customHeight="1" spans="1:16">
      <c r="A815" s="32" t="str">
        <f t="shared" si="48"/>
        <v/>
      </c>
      <c r="B815" s="100" t="str">
        <f>IF($E815="","",INDEX(进销存对接!$C$4:$C$305,271))</f>
        <v/>
      </c>
      <c r="C815" s="26" t="str">
        <f t="shared" si="49"/>
        <v/>
      </c>
      <c r="D815" s="32" t="str">
        <f>IF($E815="","",INDEX(进销存对接!$D$4:$D$305,271)&amp;" "&amp;TEXT($B815,"YYYY年M月")&amp;" 自动结转")</f>
        <v/>
      </c>
      <c r="E815" s="26" t="str">
        <f>IF(INDEX(进销存对接!$M$4:$U$305,271,4)=0,"",INDEX(进销存对接!$M$4:$U$305,271,4))</f>
        <v/>
      </c>
      <c r="F815" s="25" t="str">
        <f>IF($E815="","",IFERROR(INDEX(科目表!$A$4:$A$81,MATCH($E815,科目表!$B$4:$B$81,0)),""))</f>
        <v/>
      </c>
      <c r="G815" s="26" t="str">
        <f>IF($E815="","",IFERROR(INDEX(科目表!$E$4:$E$81,MATCH($E815,科目表!$B$4:$B$81,0)),""))</f>
        <v/>
      </c>
      <c r="H815" s="27" t="str">
        <f>IF($E815="","",N(INDEX(进销存对接!$M$4:$U$305,271,5)))</f>
        <v/>
      </c>
      <c r="I815" s="27" t="str">
        <f>IF($E815="","",N(INDEX(进销存对接!$M$4:$U$305,271,6)))</f>
        <v/>
      </c>
      <c r="J815" s="26"/>
      <c r="K815" s="26" t="str">
        <f>IF($E815="","",INDEX(进销存对接!$D$4:$D$305,271))</f>
        <v/>
      </c>
      <c r="L815" s="32"/>
      <c r="M815" s="32"/>
      <c r="N815" s="26" t="str">
        <f t="shared" si="50"/>
        <v/>
      </c>
      <c r="O815" s="26" t="str">
        <f t="shared" si="51"/>
        <v/>
      </c>
      <c r="P815" s="10"/>
    </row>
    <row r="816" ht="18" customHeight="1" spans="1:16">
      <c r="A816" s="32" t="str">
        <f t="shared" si="48"/>
        <v/>
      </c>
      <c r="B816" s="100" t="str">
        <f>IF($E816="","",INDEX(进销存对接!$C$4:$C$305,271))</f>
        <v/>
      </c>
      <c r="C816" s="26" t="str">
        <f t="shared" si="49"/>
        <v/>
      </c>
      <c r="D816" s="32" t="str">
        <f>IF($E816="","",INDEX(进销存对接!$D$4:$D$305,271)&amp;" "&amp;TEXT($B816,"YYYY年M月")&amp;" 自动结转")</f>
        <v/>
      </c>
      <c r="E816" s="26" t="str">
        <f>IF(INDEX(进销存对接!$M$4:$U$305,271,7)=0,"",INDEX(进销存对接!$M$4:$U$305,271,7))</f>
        <v/>
      </c>
      <c r="F816" s="25" t="str">
        <f>IF($E816="","",IFERROR(INDEX(科目表!$A$4:$A$81,MATCH($E816,科目表!$B$4:$B$81,0)),""))</f>
        <v/>
      </c>
      <c r="G816" s="26" t="str">
        <f>IF($E816="","",IFERROR(INDEX(科目表!$E$4:$E$81,MATCH($E816,科目表!$B$4:$B$81,0)),""))</f>
        <v/>
      </c>
      <c r="H816" s="27" t="str">
        <f>IF($E816="","",N(INDEX(进销存对接!$M$4:$U$305,271,8)))</f>
        <v/>
      </c>
      <c r="I816" s="27" t="str">
        <f>IF($E816="","",N(INDEX(进销存对接!$M$4:$U$305,271,9)))</f>
        <v/>
      </c>
      <c r="J816" s="26"/>
      <c r="K816" s="26" t="str">
        <f>IF($E816="","",INDEX(进销存对接!$D$4:$D$305,271))</f>
        <v/>
      </c>
      <c r="L816" s="32"/>
      <c r="M816" s="32"/>
      <c r="N816" s="26" t="str">
        <f t="shared" si="50"/>
        <v/>
      </c>
      <c r="O816" s="26" t="str">
        <f t="shared" si="51"/>
        <v/>
      </c>
      <c r="P816" s="10"/>
    </row>
    <row r="817" ht="18" customHeight="1" spans="1:16">
      <c r="A817" s="32" t="str">
        <f t="shared" si="48"/>
        <v/>
      </c>
      <c r="B817" s="100" t="str">
        <f>IF($E817="","",INDEX(进销存对接!$C$4:$C$305,272))</f>
        <v/>
      </c>
      <c r="C817" s="26" t="str">
        <f t="shared" si="49"/>
        <v/>
      </c>
      <c r="D817" s="32" t="str">
        <f>IF($E817="","",INDEX(进销存对接!$D$4:$D$305,272)&amp;" "&amp;TEXT($B817,"YYYY年M月")&amp;" 自动结转")</f>
        <v/>
      </c>
      <c r="E817" s="26" t="str">
        <f>IF(INDEX(进销存对接!$M$4:$U$305,272,1)=0,"",INDEX(进销存对接!$M$4:$U$305,272,1))</f>
        <v/>
      </c>
      <c r="F817" s="25" t="str">
        <f>IF($E817="","",IFERROR(INDEX(科目表!$A$4:$A$81,MATCH($E817,科目表!$B$4:$B$81,0)),""))</f>
        <v/>
      </c>
      <c r="G817" s="26" t="str">
        <f>IF($E817="","",IFERROR(INDEX(科目表!$E$4:$E$81,MATCH($E817,科目表!$B$4:$B$81,0)),""))</f>
        <v/>
      </c>
      <c r="H817" s="27" t="str">
        <f>IF($E817="","",N(INDEX(进销存对接!$M$4:$U$305,272,2)))</f>
        <v/>
      </c>
      <c r="I817" s="27" t="str">
        <f>IF($E817="","",N(INDEX(进销存对接!$M$4:$U$305,272,3)))</f>
        <v/>
      </c>
      <c r="J817" s="26"/>
      <c r="K817" s="26" t="str">
        <f>IF($E817="","",INDEX(进销存对接!$D$4:$D$305,272))</f>
        <v/>
      </c>
      <c r="L817" s="32"/>
      <c r="M817" s="32"/>
      <c r="N817" s="26" t="str">
        <f t="shared" si="50"/>
        <v/>
      </c>
      <c r="O817" s="26" t="str">
        <f t="shared" si="51"/>
        <v/>
      </c>
      <c r="P817" s="10"/>
    </row>
    <row r="818" ht="18" customHeight="1" spans="1:16">
      <c r="A818" s="32" t="str">
        <f t="shared" si="48"/>
        <v/>
      </c>
      <c r="B818" s="100" t="str">
        <f>IF($E818="","",INDEX(进销存对接!$C$4:$C$305,272))</f>
        <v/>
      </c>
      <c r="C818" s="26" t="str">
        <f t="shared" si="49"/>
        <v/>
      </c>
      <c r="D818" s="32" t="str">
        <f>IF($E818="","",INDEX(进销存对接!$D$4:$D$305,272)&amp;" "&amp;TEXT($B818,"YYYY年M月")&amp;" 自动结转")</f>
        <v/>
      </c>
      <c r="E818" s="26" t="str">
        <f>IF(INDEX(进销存对接!$M$4:$U$305,272,4)=0,"",INDEX(进销存对接!$M$4:$U$305,272,4))</f>
        <v/>
      </c>
      <c r="F818" s="25" t="str">
        <f>IF($E818="","",IFERROR(INDEX(科目表!$A$4:$A$81,MATCH($E818,科目表!$B$4:$B$81,0)),""))</f>
        <v/>
      </c>
      <c r="G818" s="26" t="str">
        <f>IF($E818="","",IFERROR(INDEX(科目表!$E$4:$E$81,MATCH($E818,科目表!$B$4:$B$81,0)),""))</f>
        <v/>
      </c>
      <c r="H818" s="27" t="str">
        <f>IF($E818="","",N(INDEX(进销存对接!$M$4:$U$305,272,5)))</f>
        <v/>
      </c>
      <c r="I818" s="27" t="str">
        <f>IF($E818="","",N(INDEX(进销存对接!$M$4:$U$305,272,6)))</f>
        <v/>
      </c>
      <c r="J818" s="26"/>
      <c r="K818" s="26" t="str">
        <f>IF($E818="","",INDEX(进销存对接!$D$4:$D$305,272))</f>
        <v/>
      </c>
      <c r="L818" s="32"/>
      <c r="M818" s="32"/>
      <c r="N818" s="26" t="str">
        <f t="shared" si="50"/>
        <v/>
      </c>
      <c r="O818" s="26" t="str">
        <f t="shared" si="51"/>
        <v/>
      </c>
      <c r="P818" s="10"/>
    </row>
    <row r="819" ht="18" customHeight="1" spans="1:16">
      <c r="A819" s="32" t="str">
        <f t="shared" si="48"/>
        <v/>
      </c>
      <c r="B819" s="100" t="str">
        <f>IF($E819="","",INDEX(进销存对接!$C$4:$C$305,272))</f>
        <v/>
      </c>
      <c r="C819" s="26" t="str">
        <f t="shared" si="49"/>
        <v/>
      </c>
      <c r="D819" s="32" t="str">
        <f>IF($E819="","",INDEX(进销存对接!$D$4:$D$305,272)&amp;" "&amp;TEXT($B819,"YYYY年M月")&amp;" 自动结转")</f>
        <v/>
      </c>
      <c r="E819" s="26" t="str">
        <f>IF(INDEX(进销存对接!$M$4:$U$305,272,7)=0,"",INDEX(进销存对接!$M$4:$U$305,272,7))</f>
        <v/>
      </c>
      <c r="F819" s="25" t="str">
        <f>IF($E819="","",IFERROR(INDEX(科目表!$A$4:$A$81,MATCH($E819,科目表!$B$4:$B$81,0)),""))</f>
        <v/>
      </c>
      <c r="G819" s="26" t="str">
        <f>IF($E819="","",IFERROR(INDEX(科目表!$E$4:$E$81,MATCH($E819,科目表!$B$4:$B$81,0)),""))</f>
        <v/>
      </c>
      <c r="H819" s="27" t="str">
        <f>IF($E819="","",N(INDEX(进销存对接!$M$4:$U$305,272,8)))</f>
        <v/>
      </c>
      <c r="I819" s="27" t="str">
        <f>IF($E819="","",N(INDEX(进销存对接!$M$4:$U$305,272,9)))</f>
        <v/>
      </c>
      <c r="J819" s="26"/>
      <c r="K819" s="26" t="str">
        <f>IF($E819="","",INDEX(进销存对接!$D$4:$D$305,272))</f>
        <v/>
      </c>
      <c r="L819" s="32"/>
      <c r="M819" s="32"/>
      <c r="N819" s="26" t="str">
        <f t="shared" si="50"/>
        <v/>
      </c>
      <c r="O819" s="26" t="str">
        <f t="shared" si="51"/>
        <v/>
      </c>
      <c r="P819" s="10"/>
    </row>
    <row r="820" ht="18" customHeight="1" spans="1:16">
      <c r="A820" s="32" t="str">
        <f t="shared" si="48"/>
        <v/>
      </c>
      <c r="B820" s="100" t="str">
        <f>IF($E820="","",INDEX(进销存对接!$C$4:$C$305,273))</f>
        <v/>
      </c>
      <c r="C820" s="26" t="str">
        <f t="shared" si="49"/>
        <v/>
      </c>
      <c r="D820" s="32" t="str">
        <f>IF($E820="","",INDEX(进销存对接!$D$4:$D$305,273)&amp;" "&amp;TEXT($B820,"YYYY年M月")&amp;" 自动结转")</f>
        <v/>
      </c>
      <c r="E820" s="26" t="str">
        <f>IF(INDEX(进销存对接!$M$4:$U$305,273,1)=0,"",INDEX(进销存对接!$M$4:$U$305,273,1))</f>
        <v/>
      </c>
      <c r="F820" s="25" t="str">
        <f>IF($E820="","",IFERROR(INDEX(科目表!$A$4:$A$81,MATCH($E820,科目表!$B$4:$B$81,0)),""))</f>
        <v/>
      </c>
      <c r="G820" s="26" t="str">
        <f>IF($E820="","",IFERROR(INDEX(科目表!$E$4:$E$81,MATCH($E820,科目表!$B$4:$B$81,0)),""))</f>
        <v/>
      </c>
      <c r="H820" s="27" t="str">
        <f>IF($E820="","",N(INDEX(进销存对接!$M$4:$U$305,273,2)))</f>
        <v/>
      </c>
      <c r="I820" s="27" t="str">
        <f>IF($E820="","",N(INDEX(进销存对接!$M$4:$U$305,273,3)))</f>
        <v/>
      </c>
      <c r="J820" s="26"/>
      <c r="K820" s="26" t="str">
        <f>IF($E820="","",INDEX(进销存对接!$D$4:$D$305,273))</f>
        <v/>
      </c>
      <c r="L820" s="32"/>
      <c r="M820" s="32"/>
      <c r="N820" s="26" t="str">
        <f t="shared" si="50"/>
        <v/>
      </c>
      <c r="O820" s="26" t="str">
        <f t="shared" si="51"/>
        <v/>
      </c>
      <c r="P820" s="10"/>
    </row>
    <row r="821" ht="18" customHeight="1" spans="1:16">
      <c r="A821" s="32" t="str">
        <f t="shared" si="48"/>
        <v/>
      </c>
      <c r="B821" s="100" t="str">
        <f>IF($E821="","",INDEX(进销存对接!$C$4:$C$305,273))</f>
        <v/>
      </c>
      <c r="C821" s="26" t="str">
        <f t="shared" si="49"/>
        <v/>
      </c>
      <c r="D821" s="32" t="str">
        <f>IF($E821="","",INDEX(进销存对接!$D$4:$D$305,273)&amp;" "&amp;TEXT($B821,"YYYY年M月")&amp;" 自动结转")</f>
        <v/>
      </c>
      <c r="E821" s="26" t="str">
        <f>IF(INDEX(进销存对接!$M$4:$U$305,273,4)=0,"",INDEX(进销存对接!$M$4:$U$305,273,4))</f>
        <v/>
      </c>
      <c r="F821" s="25" t="str">
        <f>IF($E821="","",IFERROR(INDEX(科目表!$A$4:$A$81,MATCH($E821,科目表!$B$4:$B$81,0)),""))</f>
        <v/>
      </c>
      <c r="G821" s="26" t="str">
        <f>IF($E821="","",IFERROR(INDEX(科目表!$E$4:$E$81,MATCH($E821,科目表!$B$4:$B$81,0)),""))</f>
        <v/>
      </c>
      <c r="H821" s="27" t="str">
        <f>IF($E821="","",N(INDEX(进销存对接!$M$4:$U$305,273,5)))</f>
        <v/>
      </c>
      <c r="I821" s="27" t="str">
        <f>IF($E821="","",N(INDEX(进销存对接!$M$4:$U$305,273,6)))</f>
        <v/>
      </c>
      <c r="J821" s="26"/>
      <c r="K821" s="26" t="str">
        <f>IF($E821="","",INDEX(进销存对接!$D$4:$D$305,273))</f>
        <v/>
      </c>
      <c r="L821" s="32"/>
      <c r="M821" s="32"/>
      <c r="N821" s="26" t="str">
        <f t="shared" si="50"/>
        <v/>
      </c>
      <c r="O821" s="26" t="str">
        <f t="shared" si="51"/>
        <v/>
      </c>
      <c r="P821" s="10"/>
    </row>
    <row r="822" ht="18" customHeight="1" spans="1:16">
      <c r="A822" s="32" t="str">
        <f t="shared" si="48"/>
        <v/>
      </c>
      <c r="B822" s="100" t="str">
        <f>IF($E822="","",INDEX(进销存对接!$C$4:$C$305,273))</f>
        <v/>
      </c>
      <c r="C822" s="26" t="str">
        <f t="shared" si="49"/>
        <v/>
      </c>
      <c r="D822" s="32" t="str">
        <f>IF($E822="","",INDEX(进销存对接!$D$4:$D$305,273)&amp;" "&amp;TEXT($B822,"YYYY年M月")&amp;" 自动结转")</f>
        <v/>
      </c>
      <c r="E822" s="26" t="str">
        <f>IF(INDEX(进销存对接!$M$4:$U$305,273,7)=0,"",INDEX(进销存对接!$M$4:$U$305,273,7))</f>
        <v/>
      </c>
      <c r="F822" s="25" t="str">
        <f>IF($E822="","",IFERROR(INDEX(科目表!$A$4:$A$81,MATCH($E822,科目表!$B$4:$B$81,0)),""))</f>
        <v/>
      </c>
      <c r="G822" s="26" t="str">
        <f>IF($E822="","",IFERROR(INDEX(科目表!$E$4:$E$81,MATCH($E822,科目表!$B$4:$B$81,0)),""))</f>
        <v/>
      </c>
      <c r="H822" s="27" t="str">
        <f>IF($E822="","",N(INDEX(进销存对接!$M$4:$U$305,273,8)))</f>
        <v/>
      </c>
      <c r="I822" s="27" t="str">
        <f>IF($E822="","",N(INDEX(进销存对接!$M$4:$U$305,273,9)))</f>
        <v/>
      </c>
      <c r="J822" s="26"/>
      <c r="K822" s="26" t="str">
        <f>IF($E822="","",INDEX(进销存对接!$D$4:$D$305,273))</f>
        <v/>
      </c>
      <c r="L822" s="32"/>
      <c r="M822" s="32"/>
      <c r="N822" s="26" t="str">
        <f t="shared" si="50"/>
        <v/>
      </c>
      <c r="O822" s="26" t="str">
        <f t="shared" si="51"/>
        <v/>
      </c>
      <c r="P822" s="10"/>
    </row>
    <row r="823" ht="18" customHeight="1" spans="1:16">
      <c r="A823" s="32" t="str">
        <f t="shared" si="48"/>
        <v/>
      </c>
      <c r="B823" s="100" t="str">
        <f>IF($E823="","",INDEX(进销存对接!$C$4:$C$305,274))</f>
        <v/>
      </c>
      <c r="C823" s="26" t="str">
        <f t="shared" si="49"/>
        <v/>
      </c>
      <c r="D823" s="32" t="str">
        <f>IF($E823="","",INDEX(进销存对接!$D$4:$D$305,274)&amp;" "&amp;TEXT($B823,"YYYY年M月")&amp;" 自动结转")</f>
        <v/>
      </c>
      <c r="E823" s="26" t="str">
        <f>IF(INDEX(进销存对接!$M$4:$U$305,274,1)=0,"",INDEX(进销存对接!$M$4:$U$305,274,1))</f>
        <v/>
      </c>
      <c r="F823" s="25" t="str">
        <f>IF($E823="","",IFERROR(INDEX(科目表!$A$4:$A$81,MATCH($E823,科目表!$B$4:$B$81,0)),""))</f>
        <v/>
      </c>
      <c r="G823" s="26" t="str">
        <f>IF($E823="","",IFERROR(INDEX(科目表!$E$4:$E$81,MATCH($E823,科目表!$B$4:$B$81,0)),""))</f>
        <v/>
      </c>
      <c r="H823" s="27" t="str">
        <f>IF($E823="","",N(INDEX(进销存对接!$M$4:$U$305,274,2)))</f>
        <v/>
      </c>
      <c r="I823" s="27" t="str">
        <f>IF($E823="","",N(INDEX(进销存对接!$M$4:$U$305,274,3)))</f>
        <v/>
      </c>
      <c r="J823" s="26"/>
      <c r="K823" s="26" t="str">
        <f>IF($E823="","",INDEX(进销存对接!$D$4:$D$305,274))</f>
        <v/>
      </c>
      <c r="L823" s="32"/>
      <c r="M823" s="32"/>
      <c r="N823" s="26" t="str">
        <f t="shared" si="50"/>
        <v/>
      </c>
      <c r="O823" s="26" t="str">
        <f t="shared" si="51"/>
        <v/>
      </c>
      <c r="P823" s="10"/>
    </row>
    <row r="824" ht="18" customHeight="1" spans="1:16">
      <c r="A824" s="32" t="str">
        <f t="shared" si="48"/>
        <v/>
      </c>
      <c r="B824" s="100" t="str">
        <f>IF($E824="","",INDEX(进销存对接!$C$4:$C$305,274))</f>
        <v/>
      </c>
      <c r="C824" s="26" t="str">
        <f t="shared" si="49"/>
        <v/>
      </c>
      <c r="D824" s="32" t="str">
        <f>IF($E824="","",INDEX(进销存对接!$D$4:$D$305,274)&amp;" "&amp;TEXT($B824,"YYYY年M月")&amp;" 自动结转")</f>
        <v/>
      </c>
      <c r="E824" s="26" t="str">
        <f>IF(INDEX(进销存对接!$M$4:$U$305,274,4)=0,"",INDEX(进销存对接!$M$4:$U$305,274,4))</f>
        <v/>
      </c>
      <c r="F824" s="25" t="str">
        <f>IF($E824="","",IFERROR(INDEX(科目表!$A$4:$A$81,MATCH($E824,科目表!$B$4:$B$81,0)),""))</f>
        <v/>
      </c>
      <c r="G824" s="26" t="str">
        <f>IF($E824="","",IFERROR(INDEX(科目表!$E$4:$E$81,MATCH($E824,科目表!$B$4:$B$81,0)),""))</f>
        <v/>
      </c>
      <c r="H824" s="27" t="str">
        <f>IF($E824="","",N(INDEX(进销存对接!$M$4:$U$305,274,5)))</f>
        <v/>
      </c>
      <c r="I824" s="27" t="str">
        <f>IF($E824="","",N(INDEX(进销存对接!$M$4:$U$305,274,6)))</f>
        <v/>
      </c>
      <c r="J824" s="26"/>
      <c r="K824" s="26" t="str">
        <f>IF($E824="","",INDEX(进销存对接!$D$4:$D$305,274))</f>
        <v/>
      </c>
      <c r="L824" s="32"/>
      <c r="M824" s="32"/>
      <c r="N824" s="26" t="str">
        <f t="shared" si="50"/>
        <v/>
      </c>
      <c r="O824" s="26" t="str">
        <f t="shared" si="51"/>
        <v/>
      </c>
      <c r="P824" s="10"/>
    </row>
    <row r="825" ht="18" customHeight="1" spans="1:16">
      <c r="A825" s="32" t="str">
        <f t="shared" si="48"/>
        <v/>
      </c>
      <c r="B825" s="100" t="str">
        <f>IF($E825="","",INDEX(进销存对接!$C$4:$C$305,274))</f>
        <v/>
      </c>
      <c r="C825" s="26" t="str">
        <f t="shared" si="49"/>
        <v/>
      </c>
      <c r="D825" s="32" t="str">
        <f>IF($E825="","",INDEX(进销存对接!$D$4:$D$305,274)&amp;" "&amp;TEXT($B825,"YYYY年M月")&amp;" 自动结转")</f>
        <v/>
      </c>
      <c r="E825" s="26" t="str">
        <f>IF(INDEX(进销存对接!$M$4:$U$305,274,7)=0,"",INDEX(进销存对接!$M$4:$U$305,274,7))</f>
        <v/>
      </c>
      <c r="F825" s="25" t="str">
        <f>IF($E825="","",IFERROR(INDEX(科目表!$A$4:$A$81,MATCH($E825,科目表!$B$4:$B$81,0)),""))</f>
        <v/>
      </c>
      <c r="G825" s="26" t="str">
        <f>IF($E825="","",IFERROR(INDEX(科目表!$E$4:$E$81,MATCH($E825,科目表!$B$4:$B$81,0)),""))</f>
        <v/>
      </c>
      <c r="H825" s="27" t="str">
        <f>IF($E825="","",N(INDEX(进销存对接!$M$4:$U$305,274,8)))</f>
        <v/>
      </c>
      <c r="I825" s="27" t="str">
        <f>IF($E825="","",N(INDEX(进销存对接!$M$4:$U$305,274,9)))</f>
        <v/>
      </c>
      <c r="J825" s="26"/>
      <c r="K825" s="26" t="str">
        <f>IF($E825="","",INDEX(进销存对接!$D$4:$D$305,274))</f>
        <v/>
      </c>
      <c r="L825" s="32"/>
      <c r="M825" s="32"/>
      <c r="N825" s="26" t="str">
        <f t="shared" si="50"/>
        <v/>
      </c>
      <c r="O825" s="26" t="str">
        <f t="shared" si="51"/>
        <v/>
      </c>
      <c r="P825" s="10"/>
    </row>
    <row r="826" ht="18" customHeight="1" spans="1:16">
      <c r="A826" s="32" t="str">
        <f t="shared" si="48"/>
        <v/>
      </c>
      <c r="B826" s="100" t="str">
        <f>IF($E826="","",INDEX(进销存对接!$C$4:$C$305,275))</f>
        <v/>
      </c>
      <c r="C826" s="26" t="str">
        <f t="shared" si="49"/>
        <v/>
      </c>
      <c r="D826" s="32" t="str">
        <f>IF($E826="","",INDEX(进销存对接!$D$4:$D$305,275)&amp;" "&amp;TEXT($B826,"YYYY年M月")&amp;" 自动结转")</f>
        <v/>
      </c>
      <c r="E826" s="26" t="str">
        <f>IF(INDEX(进销存对接!$M$4:$U$305,275,1)=0,"",INDEX(进销存对接!$M$4:$U$305,275,1))</f>
        <v/>
      </c>
      <c r="F826" s="25" t="str">
        <f>IF($E826="","",IFERROR(INDEX(科目表!$A$4:$A$81,MATCH($E826,科目表!$B$4:$B$81,0)),""))</f>
        <v/>
      </c>
      <c r="G826" s="26" t="str">
        <f>IF($E826="","",IFERROR(INDEX(科目表!$E$4:$E$81,MATCH($E826,科目表!$B$4:$B$81,0)),""))</f>
        <v/>
      </c>
      <c r="H826" s="27" t="str">
        <f>IF($E826="","",N(INDEX(进销存对接!$M$4:$U$305,275,2)))</f>
        <v/>
      </c>
      <c r="I826" s="27" t="str">
        <f>IF($E826="","",N(INDEX(进销存对接!$M$4:$U$305,275,3)))</f>
        <v/>
      </c>
      <c r="J826" s="26"/>
      <c r="K826" s="26" t="str">
        <f>IF($E826="","",INDEX(进销存对接!$D$4:$D$305,275))</f>
        <v/>
      </c>
      <c r="L826" s="32"/>
      <c r="M826" s="32"/>
      <c r="N826" s="26" t="str">
        <f t="shared" si="50"/>
        <v/>
      </c>
      <c r="O826" s="26" t="str">
        <f t="shared" si="51"/>
        <v/>
      </c>
      <c r="P826" s="10"/>
    </row>
    <row r="827" ht="18" customHeight="1" spans="1:16">
      <c r="A827" s="32" t="str">
        <f t="shared" si="48"/>
        <v/>
      </c>
      <c r="B827" s="100" t="str">
        <f>IF($E827="","",INDEX(进销存对接!$C$4:$C$305,275))</f>
        <v/>
      </c>
      <c r="C827" s="26" t="str">
        <f t="shared" si="49"/>
        <v/>
      </c>
      <c r="D827" s="32" t="str">
        <f>IF($E827="","",INDEX(进销存对接!$D$4:$D$305,275)&amp;" "&amp;TEXT($B827,"YYYY年M月")&amp;" 自动结转")</f>
        <v/>
      </c>
      <c r="E827" s="26" t="str">
        <f>IF(INDEX(进销存对接!$M$4:$U$305,275,4)=0,"",INDEX(进销存对接!$M$4:$U$305,275,4))</f>
        <v/>
      </c>
      <c r="F827" s="25" t="str">
        <f>IF($E827="","",IFERROR(INDEX(科目表!$A$4:$A$81,MATCH($E827,科目表!$B$4:$B$81,0)),""))</f>
        <v/>
      </c>
      <c r="G827" s="26" t="str">
        <f>IF($E827="","",IFERROR(INDEX(科目表!$E$4:$E$81,MATCH($E827,科目表!$B$4:$B$81,0)),""))</f>
        <v/>
      </c>
      <c r="H827" s="27" t="str">
        <f>IF($E827="","",N(INDEX(进销存对接!$M$4:$U$305,275,5)))</f>
        <v/>
      </c>
      <c r="I827" s="27" t="str">
        <f>IF($E827="","",N(INDEX(进销存对接!$M$4:$U$305,275,6)))</f>
        <v/>
      </c>
      <c r="J827" s="26"/>
      <c r="K827" s="26" t="str">
        <f>IF($E827="","",INDEX(进销存对接!$D$4:$D$305,275))</f>
        <v/>
      </c>
      <c r="L827" s="32"/>
      <c r="M827" s="32"/>
      <c r="N827" s="26" t="str">
        <f t="shared" si="50"/>
        <v/>
      </c>
      <c r="O827" s="26" t="str">
        <f t="shared" si="51"/>
        <v/>
      </c>
      <c r="P827" s="10"/>
    </row>
    <row r="828" ht="18" customHeight="1" spans="1:16">
      <c r="A828" s="32" t="str">
        <f t="shared" si="48"/>
        <v/>
      </c>
      <c r="B828" s="100" t="str">
        <f>IF($E828="","",INDEX(进销存对接!$C$4:$C$305,275))</f>
        <v/>
      </c>
      <c r="C828" s="26" t="str">
        <f t="shared" si="49"/>
        <v/>
      </c>
      <c r="D828" s="32" t="str">
        <f>IF($E828="","",INDEX(进销存对接!$D$4:$D$305,275)&amp;" "&amp;TEXT($B828,"YYYY年M月")&amp;" 自动结转")</f>
        <v/>
      </c>
      <c r="E828" s="26" t="str">
        <f>IF(INDEX(进销存对接!$M$4:$U$305,275,7)=0,"",INDEX(进销存对接!$M$4:$U$305,275,7))</f>
        <v/>
      </c>
      <c r="F828" s="25" t="str">
        <f>IF($E828="","",IFERROR(INDEX(科目表!$A$4:$A$81,MATCH($E828,科目表!$B$4:$B$81,0)),""))</f>
        <v/>
      </c>
      <c r="G828" s="26" t="str">
        <f>IF($E828="","",IFERROR(INDEX(科目表!$E$4:$E$81,MATCH($E828,科目表!$B$4:$B$81,0)),""))</f>
        <v/>
      </c>
      <c r="H828" s="27" t="str">
        <f>IF($E828="","",N(INDEX(进销存对接!$M$4:$U$305,275,8)))</f>
        <v/>
      </c>
      <c r="I828" s="27" t="str">
        <f>IF($E828="","",N(INDEX(进销存对接!$M$4:$U$305,275,9)))</f>
        <v/>
      </c>
      <c r="J828" s="26"/>
      <c r="K828" s="26" t="str">
        <f>IF($E828="","",INDEX(进销存对接!$D$4:$D$305,275))</f>
        <v/>
      </c>
      <c r="L828" s="32"/>
      <c r="M828" s="32"/>
      <c r="N828" s="26" t="str">
        <f t="shared" si="50"/>
        <v/>
      </c>
      <c r="O828" s="26" t="str">
        <f t="shared" si="51"/>
        <v/>
      </c>
      <c r="P828" s="10"/>
    </row>
    <row r="829" ht="18" customHeight="1" spans="1:16">
      <c r="A829" s="32" t="str">
        <f t="shared" si="48"/>
        <v/>
      </c>
      <c r="B829" s="100" t="str">
        <f>IF($E829="","",INDEX(进销存对接!$C$4:$C$305,276))</f>
        <v/>
      </c>
      <c r="C829" s="26" t="str">
        <f t="shared" si="49"/>
        <v/>
      </c>
      <c r="D829" s="32" t="str">
        <f>IF($E829="","",INDEX(进销存对接!$D$4:$D$305,276)&amp;" "&amp;TEXT($B829,"YYYY年M月")&amp;" 自动结转")</f>
        <v/>
      </c>
      <c r="E829" s="26" t="str">
        <f>IF(INDEX(进销存对接!$M$4:$U$305,276,1)=0,"",INDEX(进销存对接!$M$4:$U$305,276,1))</f>
        <v/>
      </c>
      <c r="F829" s="25" t="str">
        <f>IF($E829="","",IFERROR(INDEX(科目表!$A$4:$A$81,MATCH($E829,科目表!$B$4:$B$81,0)),""))</f>
        <v/>
      </c>
      <c r="G829" s="26" t="str">
        <f>IF($E829="","",IFERROR(INDEX(科目表!$E$4:$E$81,MATCH($E829,科目表!$B$4:$B$81,0)),""))</f>
        <v/>
      </c>
      <c r="H829" s="27" t="str">
        <f>IF($E829="","",N(INDEX(进销存对接!$M$4:$U$305,276,2)))</f>
        <v/>
      </c>
      <c r="I829" s="27" t="str">
        <f>IF($E829="","",N(INDEX(进销存对接!$M$4:$U$305,276,3)))</f>
        <v/>
      </c>
      <c r="J829" s="26"/>
      <c r="K829" s="26" t="str">
        <f>IF($E829="","",INDEX(进销存对接!$D$4:$D$305,276))</f>
        <v/>
      </c>
      <c r="L829" s="32"/>
      <c r="M829" s="32"/>
      <c r="N829" s="26" t="str">
        <f t="shared" si="50"/>
        <v/>
      </c>
      <c r="O829" s="26" t="str">
        <f t="shared" si="51"/>
        <v/>
      </c>
      <c r="P829" s="10"/>
    </row>
    <row r="830" ht="18" customHeight="1" spans="1:16">
      <c r="A830" s="32" t="str">
        <f t="shared" si="48"/>
        <v/>
      </c>
      <c r="B830" s="100" t="str">
        <f>IF($E830="","",INDEX(进销存对接!$C$4:$C$305,276))</f>
        <v/>
      </c>
      <c r="C830" s="26" t="str">
        <f t="shared" si="49"/>
        <v/>
      </c>
      <c r="D830" s="32" t="str">
        <f>IF($E830="","",INDEX(进销存对接!$D$4:$D$305,276)&amp;" "&amp;TEXT($B830,"YYYY年M月")&amp;" 自动结转")</f>
        <v/>
      </c>
      <c r="E830" s="26" t="str">
        <f>IF(INDEX(进销存对接!$M$4:$U$305,276,4)=0,"",INDEX(进销存对接!$M$4:$U$305,276,4))</f>
        <v/>
      </c>
      <c r="F830" s="25" t="str">
        <f>IF($E830="","",IFERROR(INDEX(科目表!$A$4:$A$81,MATCH($E830,科目表!$B$4:$B$81,0)),""))</f>
        <v/>
      </c>
      <c r="G830" s="26" t="str">
        <f>IF($E830="","",IFERROR(INDEX(科目表!$E$4:$E$81,MATCH($E830,科目表!$B$4:$B$81,0)),""))</f>
        <v/>
      </c>
      <c r="H830" s="27" t="str">
        <f>IF($E830="","",N(INDEX(进销存对接!$M$4:$U$305,276,5)))</f>
        <v/>
      </c>
      <c r="I830" s="27" t="str">
        <f>IF($E830="","",N(INDEX(进销存对接!$M$4:$U$305,276,6)))</f>
        <v/>
      </c>
      <c r="J830" s="26"/>
      <c r="K830" s="26" t="str">
        <f>IF($E830="","",INDEX(进销存对接!$D$4:$D$305,276))</f>
        <v/>
      </c>
      <c r="L830" s="32"/>
      <c r="M830" s="32"/>
      <c r="N830" s="26" t="str">
        <f t="shared" si="50"/>
        <v/>
      </c>
      <c r="O830" s="26" t="str">
        <f t="shared" si="51"/>
        <v/>
      </c>
      <c r="P830" s="10"/>
    </row>
    <row r="831" ht="18" customHeight="1" spans="1:16">
      <c r="A831" s="32" t="str">
        <f t="shared" si="48"/>
        <v/>
      </c>
      <c r="B831" s="100" t="str">
        <f>IF($E831="","",INDEX(进销存对接!$C$4:$C$305,276))</f>
        <v/>
      </c>
      <c r="C831" s="26" t="str">
        <f t="shared" si="49"/>
        <v/>
      </c>
      <c r="D831" s="32" t="str">
        <f>IF($E831="","",INDEX(进销存对接!$D$4:$D$305,276)&amp;" "&amp;TEXT($B831,"YYYY年M月")&amp;" 自动结转")</f>
        <v/>
      </c>
      <c r="E831" s="26" t="str">
        <f>IF(INDEX(进销存对接!$M$4:$U$305,276,7)=0,"",INDEX(进销存对接!$M$4:$U$305,276,7))</f>
        <v/>
      </c>
      <c r="F831" s="25" t="str">
        <f>IF($E831="","",IFERROR(INDEX(科目表!$A$4:$A$81,MATCH($E831,科目表!$B$4:$B$81,0)),""))</f>
        <v/>
      </c>
      <c r="G831" s="26" t="str">
        <f>IF($E831="","",IFERROR(INDEX(科目表!$E$4:$E$81,MATCH($E831,科目表!$B$4:$B$81,0)),""))</f>
        <v/>
      </c>
      <c r="H831" s="27" t="str">
        <f>IF($E831="","",N(INDEX(进销存对接!$M$4:$U$305,276,8)))</f>
        <v/>
      </c>
      <c r="I831" s="27" t="str">
        <f>IF($E831="","",N(INDEX(进销存对接!$M$4:$U$305,276,9)))</f>
        <v/>
      </c>
      <c r="J831" s="26"/>
      <c r="K831" s="26" t="str">
        <f>IF($E831="","",INDEX(进销存对接!$D$4:$D$305,276))</f>
        <v/>
      </c>
      <c r="L831" s="32"/>
      <c r="M831" s="32"/>
      <c r="N831" s="26" t="str">
        <f t="shared" si="50"/>
        <v/>
      </c>
      <c r="O831" s="26" t="str">
        <f t="shared" si="51"/>
        <v/>
      </c>
      <c r="P831" s="10"/>
    </row>
    <row r="832" ht="18" customHeight="1" spans="1:16">
      <c r="A832" s="32" t="str">
        <f t="shared" si="48"/>
        <v/>
      </c>
      <c r="B832" s="100" t="str">
        <f>IF($E832="","",INDEX(进销存对接!$C$4:$C$305,277))</f>
        <v/>
      </c>
      <c r="C832" s="26" t="str">
        <f t="shared" si="49"/>
        <v/>
      </c>
      <c r="D832" s="32" t="str">
        <f>IF($E832="","",INDEX(进销存对接!$D$4:$D$305,277)&amp;" "&amp;TEXT($B832,"YYYY年M月")&amp;" 自动结转")</f>
        <v/>
      </c>
      <c r="E832" s="26" t="str">
        <f>IF(INDEX(进销存对接!$M$4:$U$305,277,1)=0,"",INDEX(进销存对接!$M$4:$U$305,277,1))</f>
        <v/>
      </c>
      <c r="F832" s="25" t="str">
        <f>IF($E832="","",IFERROR(INDEX(科目表!$A$4:$A$81,MATCH($E832,科目表!$B$4:$B$81,0)),""))</f>
        <v/>
      </c>
      <c r="G832" s="26" t="str">
        <f>IF($E832="","",IFERROR(INDEX(科目表!$E$4:$E$81,MATCH($E832,科目表!$B$4:$B$81,0)),""))</f>
        <v/>
      </c>
      <c r="H832" s="27" t="str">
        <f>IF($E832="","",N(INDEX(进销存对接!$M$4:$U$305,277,2)))</f>
        <v/>
      </c>
      <c r="I832" s="27" t="str">
        <f>IF($E832="","",N(INDEX(进销存对接!$M$4:$U$305,277,3)))</f>
        <v/>
      </c>
      <c r="J832" s="26"/>
      <c r="K832" s="26" t="str">
        <f>IF($E832="","",INDEX(进销存对接!$D$4:$D$305,277))</f>
        <v/>
      </c>
      <c r="L832" s="32"/>
      <c r="M832" s="32"/>
      <c r="N832" s="26" t="str">
        <f t="shared" si="50"/>
        <v/>
      </c>
      <c r="O832" s="26" t="str">
        <f t="shared" si="51"/>
        <v/>
      </c>
      <c r="P832" s="10"/>
    </row>
    <row r="833" ht="18" customHeight="1" spans="1:16">
      <c r="A833" s="32" t="str">
        <f t="shared" si="48"/>
        <v/>
      </c>
      <c r="B833" s="100" t="str">
        <f>IF($E833="","",INDEX(进销存对接!$C$4:$C$305,277))</f>
        <v/>
      </c>
      <c r="C833" s="26" t="str">
        <f t="shared" si="49"/>
        <v/>
      </c>
      <c r="D833" s="32" t="str">
        <f>IF($E833="","",INDEX(进销存对接!$D$4:$D$305,277)&amp;" "&amp;TEXT($B833,"YYYY年M月")&amp;" 自动结转")</f>
        <v/>
      </c>
      <c r="E833" s="26" t="str">
        <f>IF(INDEX(进销存对接!$M$4:$U$305,277,4)=0,"",INDEX(进销存对接!$M$4:$U$305,277,4))</f>
        <v/>
      </c>
      <c r="F833" s="25" t="str">
        <f>IF($E833="","",IFERROR(INDEX(科目表!$A$4:$A$81,MATCH($E833,科目表!$B$4:$B$81,0)),""))</f>
        <v/>
      </c>
      <c r="G833" s="26" t="str">
        <f>IF($E833="","",IFERROR(INDEX(科目表!$E$4:$E$81,MATCH($E833,科目表!$B$4:$B$81,0)),""))</f>
        <v/>
      </c>
      <c r="H833" s="27" t="str">
        <f>IF($E833="","",N(INDEX(进销存对接!$M$4:$U$305,277,5)))</f>
        <v/>
      </c>
      <c r="I833" s="27" t="str">
        <f>IF($E833="","",N(INDEX(进销存对接!$M$4:$U$305,277,6)))</f>
        <v/>
      </c>
      <c r="J833" s="26"/>
      <c r="K833" s="26" t="str">
        <f>IF($E833="","",INDEX(进销存对接!$D$4:$D$305,277))</f>
        <v/>
      </c>
      <c r="L833" s="32"/>
      <c r="M833" s="32"/>
      <c r="N833" s="26" t="str">
        <f t="shared" si="50"/>
        <v/>
      </c>
      <c r="O833" s="26" t="str">
        <f t="shared" si="51"/>
        <v/>
      </c>
      <c r="P833" s="10"/>
    </row>
    <row r="834" ht="18" customHeight="1" spans="1:16">
      <c r="A834" s="32" t="str">
        <f t="shared" si="48"/>
        <v/>
      </c>
      <c r="B834" s="100" t="str">
        <f>IF($E834="","",INDEX(进销存对接!$C$4:$C$305,277))</f>
        <v/>
      </c>
      <c r="C834" s="26" t="str">
        <f t="shared" si="49"/>
        <v/>
      </c>
      <c r="D834" s="32" t="str">
        <f>IF($E834="","",INDEX(进销存对接!$D$4:$D$305,277)&amp;" "&amp;TEXT($B834,"YYYY年M月")&amp;" 自动结转")</f>
        <v/>
      </c>
      <c r="E834" s="26" t="str">
        <f>IF(INDEX(进销存对接!$M$4:$U$305,277,7)=0,"",INDEX(进销存对接!$M$4:$U$305,277,7))</f>
        <v/>
      </c>
      <c r="F834" s="25" t="str">
        <f>IF($E834="","",IFERROR(INDEX(科目表!$A$4:$A$81,MATCH($E834,科目表!$B$4:$B$81,0)),""))</f>
        <v/>
      </c>
      <c r="G834" s="26" t="str">
        <f>IF($E834="","",IFERROR(INDEX(科目表!$E$4:$E$81,MATCH($E834,科目表!$B$4:$B$81,0)),""))</f>
        <v/>
      </c>
      <c r="H834" s="27" t="str">
        <f>IF($E834="","",N(INDEX(进销存对接!$M$4:$U$305,277,8)))</f>
        <v/>
      </c>
      <c r="I834" s="27" t="str">
        <f>IF($E834="","",N(INDEX(进销存对接!$M$4:$U$305,277,9)))</f>
        <v/>
      </c>
      <c r="J834" s="26"/>
      <c r="K834" s="26" t="str">
        <f>IF($E834="","",INDEX(进销存对接!$D$4:$D$305,277))</f>
        <v/>
      </c>
      <c r="L834" s="32"/>
      <c r="M834" s="32"/>
      <c r="N834" s="26" t="str">
        <f t="shared" si="50"/>
        <v/>
      </c>
      <c r="O834" s="26" t="str">
        <f t="shared" si="51"/>
        <v/>
      </c>
      <c r="P834" s="10"/>
    </row>
    <row r="835" ht="18" customHeight="1" spans="1:16">
      <c r="A835" s="32" t="str">
        <f t="shared" si="48"/>
        <v/>
      </c>
      <c r="B835" s="100" t="str">
        <f>IF($E835="","",INDEX(进销存对接!$C$4:$C$305,278))</f>
        <v/>
      </c>
      <c r="C835" s="26" t="str">
        <f t="shared" si="49"/>
        <v/>
      </c>
      <c r="D835" s="32" t="str">
        <f>IF($E835="","",INDEX(进销存对接!$D$4:$D$305,278)&amp;" "&amp;TEXT($B835,"YYYY年M月")&amp;" 自动结转")</f>
        <v/>
      </c>
      <c r="E835" s="26" t="str">
        <f>IF(INDEX(进销存对接!$M$4:$U$305,278,1)=0,"",INDEX(进销存对接!$M$4:$U$305,278,1))</f>
        <v/>
      </c>
      <c r="F835" s="25" t="str">
        <f>IF($E835="","",IFERROR(INDEX(科目表!$A$4:$A$81,MATCH($E835,科目表!$B$4:$B$81,0)),""))</f>
        <v/>
      </c>
      <c r="G835" s="26" t="str">
        <f>IF($E835="","",IFERROR(INDEX(科目表!$E$4:$E$81,MATCH($E835,科目表!$B$4:$B$81,0)),""))</f>
        <v/>
      </c>
      <c r="H835" s="27" t="str">
        <f>IF($E835="","",N(INDEX(进销存对接!$M$4:$U$305,278,2)))</f>
        <v/>
      </c>
      <c r="I835" s="27" t="str">
        <f>IF($E835="","",N(INDEX(进销存对接!$M$4:$U$305,278,3)))</f>
        <v/>
      </c>
      <c r="J835" s="26"/>
      <c r="K835" s="26" t="str">
        <f>IF($E835="","",INDEX(进销存对接!$D$4:$D$305,278))</f>
        <v/>
      </c>
      <c r="L835" s="32"/>
      <c r="M835" s="32"/>
      <c r="N835" s="26" t="str">
        <f t="shared" si="50"/>
        <v/>
      </c>
      <c r="O835" s="26" t="str">
        <f t="shared" si="51"/>
        <v/>
      </c>
      <c r="P835" s="10"/>
    </row>
    <row r="836" ht="18" customHeight="1" spans="1:16">
      <c r="A836" s="32" t="str">
        <f t="shared" ref="A836:A899" si="52">IF($E836="","",ROW()-3)</f>
        <v/>
      </c>
      <c r="B836" s="100" t="str">
        <f>IF($E836="","",INDEX(进销存对接!$C$4:$C$305,278))</f>
        <v/>
      </c>
      <c r="C836" s="26" t="str">
        <f t="shared" ref="C836:C899" si="53">IF($E836="","","记-"&amp;TEXT($B836,"YYYYMM")&amp;"-进销存")</f>
        <v/>
      </c>
      <c r="D836" s="32" t="str">
        <f>IF($E836="","",INDEX(进销存对接!$D$4:$D$305,278)&amp;" "&amp;TEXT($B836,"YYYY年M月")&amp;" 自动结转")</f>
        <v/>
      </c>
      <c r="E836" s="26" t="str">
        <f>IF(INDEX(进销存对接!$M$4:$U$305,278,4)=0,"",INDEX(进销存对接!$M$4:$U$305,278,4))</f>
        <v/>
      </c>
      <c r="F836" s="25" t="str">
        <f>IF($E836="","",IFERROR(INDEX(科目表!$A$4:$A$81,MATCH($E836,科目表!$B$4:$B$81,0)),""))</f>
        <v/>
      </c>
      <c r="G836" s="26" t="str">
        <f>IF($E836="","",IFERROR(INDEX(科目表!$E$4:$E$81,MATCH($E836,科目表!$B$4:$B$81,0)),""))</f>
        <v/>
      </c>
      <c r="H836" s="27" t="str">
        <f>IF($E836="","",N(INDEX(进销存对接!$M$4:$U$305,278,5)))</f>
        <v/>
      </c>
      <c r="I836" s="27" t="str">
        <f>IF($E836="","",N(INDEX(进销存对接!$M$4:$U$305,278,6)))</f>
        <v/>
      </c>
      <c r="J836" s="26"/>
      <c r="K836" s="26" t="str">
        <f>IF($E836="","",INDEX(进销存对接!$D$4:$D$305,278))</f>
        <v/>
      </c>
      <c r="L836" s="32"/>
      <c r="M836" s="32"/>
      <c r="N836" s="26" t="str">
        <f t="shared" ref="N836:N899" si="54">IF($E836="","","系统")</f>
        <v/>
      </c>
      <c r="O836" s="26" t="str">
        <f t="shared" ref="O836:O899" si="55">IF($E836="","","自动A")</f>
        <v/>
      </c>
      <c r="P836" s="10"/>
    </row>
    <row r="837" ht="18" customHeight="1" spans="1:16">
      <c r="A837" s="32" t="str">
        <f t="shared" si="52"/>
        <v/>
      </c>
      <c r="B837" s="100" t="str">
        <f>IF($E837="","",INDEX(进销存对接!$C$4:$C$305,278))</f>
        <v/>
      </c>
      <c r="C837" s="26" t="str">
        <f t="shared" si="53"/>
        <v/>
      </c>
      <c r="D837" s="32" t="str">
        <f>IF($E837="","",INDEX(进销存对接!$D$4:$D$305,278)&amp;" "&amp;TEXT($B837,"YYYY年M月")&amp;" 自动结转")</f>
        <v/>
      </c>
      <c r="E837" s="26" t="str">
        <f>IF(INDEX(进销存对接!$M$4:$U$305,278,7)=0,"",INDEX(进销存对接!$M$4:$U$305,278,7))</f>
        <v/>
      </c>
      <c r="F837" s="25" t="str">
        <f>IF($E837="","",IFERROR(INDEX(科目表!$A$4:$A$81,MATCH($E837,科目表!$B$4:$B$81,0)),""))</f>
        <v/>
      </c>
      <c r="G837" s="26" t="str">
        <f>IF($E837="","",IFERROR(INDEX(科目表!$E$4:$E$81,MATCH($E837,科目表!$B$4:$B$81,0)),""))</f>
        <v/>
      </c>
      <c r="H837" s="27" t="str">
        <f>IF($E837="","",N(INDEX(进销存对接!$M$4:$U$305,278,8)))</f>
        <v/>
      </c>
      <c r="I837" s="27" t="str">
        <f>IF($E837="","",N(INDEX(进销存对接!$M$4:$U$305,278,9)))</f>
        <v/>
      </c>
      <c r="J837" s="26"/>
      <c r="K837" s="26" t="str">
        <f>IF($E837="","",INDEX(进销存对接!$D$4:$D$305,278))</f>
        <v/>
      </c>
      <c r="L837" s="32"/>
      <c r="M837" s="32"/>
      <c r="N837" s="26" t="str">
        <f t="shared" si="54"/>
        <v/>
      </c>
      <c r="O837" s="26" t="str">
        <f t="shared" si="55"/>
        <v/>
      </c>
      <c r="P837" s="10"/>
    </row>
    <row r="838" ht="18" customHeight="1" spans="1:16">
      <c r="A838" s="32" t="str">
        <f t="shared" si="52"/>
        <v/>
      </c>
      <c r="B838" s="100" t="str">
        <f>IF($E838="","",INDEX(进销存对接!$C$4:$C$305,279))</f>
        <v/>
      </c>
      <c r="C838" s="26" t="str">
        <f t="shared" si="53"/>
        <v/>
      </c>
      <c r="D838" s="32" t="str">
        <f>IF($E838="","",INDEX(进销存对接!$D$4:$D$305,279)&amp;" "&amp;TEXT($B838,"YYYY年M月")&amp;" 自动结转")</f>
        <v/>
      </c>
      <c r="E838" s="26" t="str">
        <f>IF(INDEX(进销存对接!$M$4:$U$305,279,1)=0,"",INDEX(进销存对接!$M$4:$U$305,279,1))</f>
        <v/>
      </c>
      <c r="F838" s="25" t="str">
        <f>IF($E838="","",IFERROR(INDEX(科目表!$A$4:$A$81,MATCH($E838,科目表!$B$4:$B$81,0)),""))</f>
        <v/>
      </c>
      <c r="G838" s="26" t="str">
        <f>IF($E838="","",IFERROR(INDEX(科目表!$E$4:$E$81,MATCH($E838,科目表!$B$4:$B$81,0)),""))</f>
        <v/>
      </c>
      <c r="H838" s="27" t="str">
        <f>IF($E838="","",N(INDEX(进销存对接!$M$4:$U$305,279,2)))</f>
        <v/>
      </c>
      <c r="I838" s="27" t="str">
        <f>IF($E838="","",N(INDEX(进销存对接!$M$4:$U$305,279,3)))</f>
        <v/>
      </c>
      <c r="J838" s="26"/>
      <c r="K838" s="26" t="str">
        <f>IF($E838="","",INDEX(进销存对接!$D$4:$D$305,279))</f>
        <v/>
      </c>
      <c r="L838" s="32"/>
      <c r="M838" s="32"/>
      <c r="N838" s="26" t="str">
        <f t="shared" si="54"/>
        <v/>
      </c>
      <c r="O838" s="26" t="str">
        <f t="shared" si="55"/>
        <v/>
      </c>
      <c r="P838" s="10"/>
    </row>
    <row r="839" ht="18" customHeight="1" spans="1:16">
      <c r="A839" s="32" t="str">
        <f t="shared" si="52"/>
        <v/>
      </c>
      <c r="B839" s="100" t="str">
        <f>IF($E839="","",INDEX(进销存对接!$C$4:$C$305,279))</f>
        <v/>
      </c>
      <c r="C839" s="26" t="str">
        <f t="shared" si="53"/>
        <v/>
      </c>
      <c r="D839" s="32" t="str">
        <f>IF($E839="","",INDEX(进销存对接!$D$4:$D$305,279)&amp;" "&amp;TEXT($B839,"YYYY年M月")&amp;" 自动结转")</f>
        <v/>
      </c>
      <c r="E839" s="26" t="str">
        <f>IF(INDEX(进销存对接!$M$4:$U$305,279,4)=0,"",INDEX(进销存对接!$M$4:$U$305,279,4))</f>
        <v/>
      </c>
      <c r="F839" s="25" t="str">
        <f>IF($E839="","",IFERROR(INDEX(科目表!$A$4:$A$81,MATCH($E839,科目表!$B$4:$B$81,0)),""))</f>
        <v/>
      </c>
      <c r="G839" s="26" t="str">
        <f>IF($E839="","",IFERROR(INDEX(科目表!$E$4:$E$81,MATCH($E839,科目表!$B$4:$B$81,0)),""))</f>
        <v/>
      </c>
      <c r="H839" s="27" t="str">
        <f>IF($E839="","",N(INDEX(进销存对接!$M$4:$U$305,279,5)))</f>
        <v/>
      </c>
      <c r="I839" s="27" t="str">
        <f>IF($E839="","",N(INDEX(进销存对接!$M$4:$U$305,279,6)))</f>
        <v/>
      </c>
      <c r="J839" s="26"/>
      <c r="K839" s="26" t="str">
        <f>IF($E839="","",INDEX(进销存对接!$D$4:$D$305,279))</f>
        <v/>
      </c>
      <c r="L839" s="32"/>
      <c r="M839" s="32"/>
      <c r="N839" s="26" t="str">
        <f t="shared" si="54"/>
        <v/>
      </c>
      <c r="O839" s="26" t="str">
        <f t="shared" si="55"/>
        <v/>
      </c>
      <c r="P839" s="10"/>
    </row>
    <row r="840" ht="18" customHeight="1" spans="1:16">
      <c r="A840" s="32" t="str">
        <f t="shared" si="52"/>
        <v/>
      </c>
      <c r="B840" s="100" t="str">
        <f>IF($E840="","",INDEX(进销存对接!$C$4:$C$305,279))</f>
        <v/>
      </c>
      <c r="C840" s="26" t="str">
        <f t="shared" si="53"/>
        <v/>
      </c>
      <c r="D840" s="32" t="str">
        <f>IF($E840="","",INDEX(进销存对接!$D$4:$D$305,279)&amp;" "&amp;TEXT($B840,"YYYY年M月")&amp;" 自动结转")</f>
        <v/>
      </c>
      <c r="E840" s="26" t="str">
        <f>IF(INDEX(进销存对接!$M$4:$U$305,279,7)=0,"",INDEX(进销存对接!$M$4:$U$305,279,7))</f>
        <v/>
      </c>
      <c r="F840" s="25" t="str">
        <f>IF($E840="","",IFERROR(INDEX(科目表!$A$4:$A$81,MATCH($E840,科目表!$B$4:$B$81,0)),""))</f>
        <v/>
      </c>
      <c r="G840" s="26" t="str">
        <f>IF($E840="","",IFERROR(INDEX(科目表!$E$4:$E$81,MATCH($E840,科目表!$B$4:$B$81,0)),""))</f>
        <v/>
      </c>
      <c r="H840" s="27" t="str">
        <f>IF($E840="","",N(INDEX(进销存对接!$M$4:$U$305,279,8)))</f>
        <v/>
      </c>
      <c r="I840" s="27" t="str">
        <f>IF($E840="","",N(INDEX(进销存对接!$M$4:$U$305,279,9)))</f>
        <v/>
      </c>
      <c r="J840" s="26"/>
      <c r="K840" s="26" t="str">
        <f>IF($E840="","",INDEX(进销存对接!$D$4:$D$305,279))</f>
        <v/>
      </c>
      <c r="L840" s="32"/>
      <c r="M840" s="32"/>
      <c r="N840" s="26" t="str">
        <f t="shared" si="54"/>
        <v/>
      </c>
      <c r="O840" s="26" t="str">
        <f t="shared" si="55"/>
        <v/>
      </c>
      <c r="P840" s="10"/>
    </row>
    <row r="841" ht="18" customHeight="1" spans="1:16">
      <c r="A841" s="32" t="str">
        <f t="shared" si="52"/>
        <v/>
      </c>
      <c r="B841" s="100" t="str">
        <f>IF($E841="","",INDEX(进销存对接!$C$4:$C$305,280))</f>
        <v/>
      </c>
      <c r="C841" s="26" t="str">
        <f t="shared" si="53"/>
        <v/>
      </c>
      <c r="D841" s="32" t="str">
        <f>IF($E841="","",INDEX(进销存对接!$D$4:$D$305,280)&amp;" "&amp;TEXT($B841,"YYYY年M月")&amp;" 自动结转")</f>
        <v/>
      </c>
      <c r="E841" s="26" t="str">
        <f>IF(INDEX(进销存对接!$M$4:$U$305,280,1)=0,"",INDEX(进销存对接!$M$4:$U$305,280,1))</f>
        <v/>
      </c>
      <c r="F841" s="25" t="str">
        <f>IF($E841="","",IFERROR(INDEX(科目表!$A$4:$A$81,MATCH($E841,科目表!$B$4:$B$81,0)),""))</f>
        <v/>
      </c>
      <c r="G841" s="26" t="str">
        <f>IF($E841="","",IFERROR(INDEX(科目表!$E$4:$E$81,MATCH($E841,科目表!$B$4:$B$81,0)),""))</f>
        <v/>
      </c>
      <c r="H841" s="27" t="str">
        <f>IF($E841="","",N(INDEX(进销存对接!$M$4:$U$305,280,2)))</f>
        <v/>
      </c>
      <c r="I841" s="27" t="str">
        <f>IF($E841="","",N(INDEX(进销存对接!$M$4:$U$305,280,3)))</f>
        <v/>
      </c>
      <c r="J841" s="26"/>
      <c r="K841" s="26" t="str">
        <f>IF($E841="","",INDEX(进销存对接!$D$4:$D$305,280))</f>
        <v/>
      </c>
      <c r="L841" s="32"/>
      <c r="M841" s="32"/>
      <c r="N841" s="26" t="str">
        <f t="shared" si="54"/>
        <v/>
      </c>
      <c r="O841" s="26" t="str">
        <f t="shared" si="55"/>
        <v/>
      </c>
      <c r="P841" s="10"/>
    </row>
    <row r="842" ht="18" customHeight="1" spans="1:16">
      <c r="A842" s="32" t="str">
        <f t="shared" si="52"/>
        <v/>
      </c>
      <c r="B842" s="100" t="str">
        <f>IF($E842="","",INDEX(进销存对接!$C$4:$C$305,280))</f>
        <v/>
      </c>
      <c r="C842" s="26" t="str">
        <f t="shared" si="53"/>
        <v/>
      </c>
      <c r="D842" s="32" t="str">
        <f>IF($E842="","",INDEX(进销存对接!$D$4:$D$305,280)&amp;" "&amp;TEXT($B842,"YYYY年M月")&amp;" 自动结转")</f>
        <v/>
      </c>
      <c r="E842" s="26" t="str">
        <f>IF(INDEX(进销存对接!$M$4:$U$305,280,4)=0,"",INDEX(进销存对接!$M$4:$U$305,280,4))</f>
        <v/>
      </c>
      <c r="F842" s="25" t="str">
        <f>IF($E842="","",IFERROR(INDEX(科目表!$A$4:$A$81,MATCH($E842,科目表!$B$4:$B$81,0)),""))</f>
        <v/>
      </c>
      <c r="G842" s="26" t="str">
        <f>IF($E842="","",IFERROR(INDEX(科目表!$E$4:$E$81,MATCH($E842,科目表!$B$4:$B$81,0)),""))</f>
        <v/>
      </c>
      <c r="H842" s="27" t="str">
        <f>IF($E842="","",N(INDEX(进销存对接!$M$4:$U$305,280,5)))</f>
        <v/>
      </c>
      <c r="I842" s="27" t="str">
        <f>IF($E842="","",N(INDEX(进销存对接!$M$4:$U$305,280,6)))</f>
        <v/>
      </c>
      <c r="J842" s="26"/>
      <c r="K842" s="26" t="str">
        <f>IF($E842="","",INDEX(进销存对接!$D$4:$D$305,280))</f>
        <v/>
      </c>
      <c r="L842" s="32"/>
      <c r="M842" s="32"/>
      <c r="N842" s="26" t="str">
        <f t="shared" si="54"/>
        <v/>
      </c>
      <c r="O842" s="26" t="str">
        <f t="shared" si="55"/>
        <v/>
      </c>
      <c r="P842" s="10"/>
    </row>
    <row r="843" ht="18" customHeight="1" spans="1:16">
      <c r="A843" s="32" t="str">
        <f t="shared" si="52"/>
        <v/>
      </c>
      <c r="B843" s="100" t="str">
        <f>IF($E843="","",INDEX(进销存对接!$C$4:$C$305,280))</f>
        <v/>
      </c>
      <c r="C843" s="26" t="str">
        <f t="shared" si="53"/>
        <v/>
      </c>
      <c r="D843" s="32" t="str">
        <f>IF($E843="","",INDEX(进销存对接!$D$4:$D$305,280)&amp;" "&amp;TEXT($B843,"YYYY年M月")&amp;" 自动结转")</f>
        <v/>
      </c>
      <c r="E843" s="26" t="str">
        <f>IF(INDEX(进销存对接!$M$4:$U$305,280,7)=0,"",INDEX(进销存对接!$M$4:$U$305,280,7))</f>
        <v/>
      </c>
      <c r="F843" s="25" t="str">
        <f>IF($E843="","",IFERROR(INDEX(科目表!$A$4:$A$81,MATCH($E843,科目表!$B$4:$B$81,0)),""))</f>
        <v/>
      </c>
      <c r="G843" s="26" t="str">
        <f>IF($E843="","",IFERROR(INDEX(科目表!$E$4:$E$81,MATCH($E843,科目表!$B$4:$B$81,0)),""))</f>
        <v/>
      </c>
      <c r="H843" s="27" t="str">
        <f>IF($E843="","",N(INDEX(进销存对接!$M$4:$U$305,280,8)))</f>
        <v/>
      </c>
      <c r="I843" s="27" t="str">
        <f>IF($E843="","",N(INDEX(进销存对接!$M$4:$U$305,280,9)))</f>
        <v/>
      </c>
      <c r="J843" s="26"/>
      <c r="K843" s="26" t="str">
        <f>IF($E843="","",INDEX(进销存对接!$D$4:$D$305,280))</f>
        <v/>
      </c>
      <c r="L843" s="32"/>
      <c r="M843" s="32"/>
      <c r="N843" s="26" t="str">
        <f t="shared" si="54"/>
        <v/>
      </c>
      <c r="O843" s="26" t="str">
        <f t="shared" si="55"/>
        <v/>
      </c>
      <c r="P843" s="10"/>
    </row>
    <row r="844" ht="18" customHeight="1" spans="1:16">
      <c r="A844" s="32" t="str">
        <f t="shared" si="52"/>
        <v/>
      </c>
      <c r="B844" s="100" t="str">
        <f>IF($E844="","",INDEX(进销存对接!$C$4:$C$305,281))</f>
        <v/>
      </c>
      <c r="C844" s="26" t="str">
        <f t="shared" si="53"/>
        <v/>
      </c>
      <c r="D844" s="32" t="str">
        <f>IF($E844="","",INDEX(进销存对接!$D$4:$D$305,281)&amp;" "&amp;TEXT($B844,"YYYY年M月")&amp;" 自动结转")</f>
        <v/>
      </c>
      <c r="E844" s="26" t="str">
        <f>IF(INDEX(进销存对接!$M$4:$U$305,281,1)=0,"",INDEX(进销存对接!$M$4:$U$305,281,1))</f>
        <v/>
      </c>
      <c r="F844" s="25" t="str">
        <f>IF($E844="","",IFERROR(INDEX(科目表!$A$4:$A$81,MATCH($E844,科目表!$B$4:$B$81,0)),""))</f>
        <v/>
      </c>
      <c r="G844" s="26" t="str">
        <f>IF($E844="","",IFERROR(INDEX(科目表!$E$4:$E$81,MATCH($E844,科目表!$B$4:$B$81,0)),""))</f>
        <v/>
      </c>
      <c r="H844" s="27" t="str">
        <f>IF($E844="","",N(INDEX(进销存对接!$M$4:$U$305,281,2)))</f>
        <v/>
      </c>
      <c r="I844" s="27" t="str">
        <f>IF($E844="","",N(INDEX(进销存对接!$M$4:$U$305,281,3)))</f>
        <v/>
      </c>
      <c r="J844" s="26"/>
      <c r="K844" s="26" t="str">
        <f>IF($E844="","",INDEX(进销存对接!$D$4:$D$305,281))</f>
        <v/>
      </c>
      <c r="L844" s="32"/>
      <c r="M844" s="32"/>
      <c r="N844" s="26" t="str">
        <f t="shared" si="54"/>
        <v/>
      </c>
      <c r="O844" s="26" t="str">
        <f t="shared" si="55"/>
        <v/>
      </c>
      <c r="P844" s="10"/>
    </row>
    <row r="845" ht="18" customHeight="1" spans="1:16">
      <c r="A845" s="32" t="str">
        <f t="shared" si="52"/>
        <v/>
      </c>
      <c r="B845" s="100" t="str">
        <f>IF($E845="","",INDEX(进销存对接!$C$4:$C$305,281))</f>
        <v/>
      </c>
      <c r="C845" s="26" t="str">
        <f t="shared" si="53"/>
        <v/>
      </c>
      <c r="D845" s="32" t="str">
        <f>IF($E845="","",INDEX(进销存对接!$D$4:$D$305,281)&amp;" "&amp;TEXT($B845,"YYYY年M月")&amp;" 自动结转")</f>
        <v/>
      </c>
      <c r="E845" s="26" t="str">
        <f>IF(INDEX(进销存对接!$M$4:$U$305,281,4)=0,"",INDEX(进销存对接!$M$4:$U$305,281,4))</f>
        <v/>
      </c>
      <c r="F845" s="25" t="str">
        <f>IF($E845="","",IFERROR(INDEX(科目表!$A$4:$A$81,MATCH($E845,科目表!$B$4:$B$81,0)),""))</f>
        <v/>
      </c>
      <c r="G845" s="26" t="str">
        <f>IF($E845="","",IFERROR(INDEX(科目表!$E$4:$E$81,MATCH($E845,科目表!$B$4:$B$81,0)),""))</f>
        <v/>
      </c>
      <c r="H845" s="27" t="str">
        <f>IF($E845="","",N(INDEX(进销存对接!$M$4:$U$305,281,5)))</f>
        <v/>
      </c>
      <c r="I845" s="27" t="str">
        <f>IF($E845="","",N(INDEX(进销存对接!$M$4:$U$305,281,6)))</f>
        <v/>
      </c>
      <c r="J845" s="26"/>
      <c r="K845" s="26" t="str">
        <f>IF($E845="","",INDEX(进销存对接!$D$4:$D$305,281))</f>
        <v/>
      </c>
      <c r="L845" s="32"/>
      <c r="M845" s="32"/>
      <c r="N845" s="26" t="str">
        <f t="shared" si="54"/>
        <v/>
      </c>
      <c r="O845" s="26" t="str">
        <f t="shared" si="55"/>
        <v/>
      </c>
      <c r="P845" s="10"/>
    </row>
    <row r="846" ht="18" customHeight="1" spans="1:16">
      <c r="A846" s="32" t="str">
        <f t="shared" si="52"/>
        <v/>
      </c>
      <c r="B846" s="100" t="str">
        <f>IF($E846="","",INDEX(进销存对接!$C$4:$C$305,281))</f>
        <v/>
      </c>
      <c r="C846" s="26" t="str">
        <f t="shared" si="53"/>
        <v/>
      </c>
      <c r="D846" s="32" t="str">
        <f>IF($E846="","",INDEX(进销存对接!$D$4:$D$305,281)&amp;" "&amp;TEXT($B846,"YYYY年M月")&amp;" 自动结转")</f>
        <v/>
      </c>
      <c r="E846" s="26" t="str">
        <f>IF(INDEX(进销存对接!$M$4:$U$305,281,7)=0,"",INDEX(进销存对接!$M$4:$U$305,281,7))</f>
        <v/>
      </c>
      <c r="F846" s="25" t="str">
        <f>IF($E846="","",IFERROR(INDEX(科目表!$A$4:$A$81,MATCH($E846,科目表!$B$4:$B$81,0)),""))</f>
        <v/>
      </c>
      <c r="G846" s="26" t="str">
        <f>IF($E846="","",IFERROR(INDEX(科目表!$E$4:$E$81,MATCH($E846,科目表!$B$4:$B$81,0)),""))</f>
        <v/>
      </c>
      <c r="H846" s="27" t="str">
        <f>IF($E846="","",N(INDEX(进销存对接!$M$4:$U$305,281,8)))</f>
        <v/>
      </c>
      <c r="I846" s="27" t="str">
        <f>IF($E846="","",N(INDEX(进销存对接!$M$4:$U$305,281,9)))</f>
        <v/>
      </c>
      <c r="J846" s="26"/>
      <c r="K846" s="26" t="str">
        <f>IF($E846="","",INDEX(进销存对接!$D$4:$D$305,281))</f>
        <v/>
      </c>
      <c r="L846" s="32"/>
      <c r="M846" s="32"/>
      <c r="N846" s="26" t="str">
        <f t="shared" si="54"/>
        <v/>
      </c>
      <c r="O846" s="26" t="str">
        <f t="shared" si="55"/>
        <v/>
      </c>
      <c r="P846" s="10"/>
    </row>
    <row r="847" ht="18" customHeight="1" spans="1:16">
      <c r="A847" s="32" t="str">
        <f t="shared" si="52"/>
        <v/>
      </c>
      <c r="B847" s="100" t="str">
        <f>IF($E847="","",INDEX(进销存对接!$C$4:$C$305,282))</f>
        <v/>
      </c>
      <c r="C847" s="26" t="str">
        <f t="shared" si="53"/>
        <v/>
      </c>
      <c r="D847" s="32" t="str">
        <f>IF($E847="","",INDEX(进销存对接!$D$4:$D$305,282)&amp;" "&amp;TEXT($B847,"YYYY年M月")&amp;" 自动结转")</f>
        <v/>
      </c>
      <c r="E847" s="26" t="str">
        <f>IF(INDEX(进销存对接!$M$4:$U$305,282,1)=0,"",INDEX(进销存对接!$M$4:$U$305,282,1))</f>
        <v/>
      </c>
      <c r="F847" s="25" t="str">
        <f>IF($E847="","",IFERROR(INDEX(科目表!$A$4:$A$81,MATCH($E847,科目表!$B$4:$B$81,0)),""))</f>
        <v/>
      </c>
      <c r="G847" s="26" t="str">
        <f>IF($E847="","",IFERROR(INDEX(科目表!$E$4:$E$81,MATCH($E847,科目表!$B$4:$B$81,0)),""))</f>
        <v/>
      </c>
      <c r="H847" s="27" t="str">
        <f>IF($E847="","",N(INDEX(进销存对接!$M$4:$U$305,282,2)))</f>
        <v/>
      </c>
      <c r="I847" s="27" t="str">
        <f>IF($E847="","",N(INDEX(进销存对接!$M$4:$U$305,282,3)))</f>
        <v/>
      </c>
      <c r="J847" s="26"/>
      <c r="K847" s="26" t="str">
        <f>IF($E847="","",INDEX(进销存对接!$D$4:$D$305,282))</f>
        <v/>
      </c>
      <c r="L847" s="32"/>
      <c r="M847" s="32"/>
      <c r="N847" s="26" t="str">
        <f t="shared" si="54"/>
        <v/>
      </c>
      <c r="O847" s="26" t="str">
        <f t="shared" si="55"/>
        <v/>
      </c>
      <c r="P847" s="10"/>
    </row>
    <row r="848" ht="18" customHeight="1" spans="1:16">
      <c r="A848" s="32" t="str">
        <f t="shared" si="52"/>
        <v/>
      </c>
      <c r="B848" s="100" t="str">
        <f>IF($E848="","",INDEX(进销存对接!$C$4:$C$305,282))</f>
        <v/>
      </c>
      <c r="C848" s="26" t="str">
        <f t="shared" si="53"/>
        <v/>
      </c>
      <c r="D848" s="32" t="str">
        <f>IF($E848="","",INDEX(进销存对接!$D$4:$D$305,282)&amp;" "&amp;TEXT($B848,"YYYY年M月")&amp;" 自动结转")</f>
        <v/>
      </c>
      <c r="E848" s="26" t="str">
        <f>IF(INDEX(进销存对接!$M$4:$U$305,282,4)=0,"",INDEX(进销存对接!$M$4:$U$305,282,4))</f>
        <v/>
      </c>
      <c r="F848" s="25" t="str">
        <f>IF($E848="","",IFERROR(INDEX(科目表!$A$4:$A$81,MATCH($E848,科目表!$B$4:$B$81,0)),""))</f>
        <v/>
      </c>
      <c r="G848" s="26" t="str">
        <f>IF($E848="","",IFERROR(INDEX(科目表!$E$4:$E$81,MATCH($E848,科目表!$B$4:$B$81,0)),""))</f>
        <v/>
      </c>
      <c r="H848" s="27" t="str">
        <f>IF($E848="","",N(INDEX(进销存对接!$M$4:$U$305,282,5)))</f>
        <v/>
      </c>
      <c r="I848" s="27" t="str">
        <f>IF($E848="","",N(INDEX(进销存对接!$M$4:$U$305,282,6)))</f>
        <v/>
      </c>
      <c r="J848" s="26"/>
      <c r="K848" s="26" t="str">
        <f>IF($E848="","",INDEX(进销存对接!$D$4:$D$305,282))</f>
        <v/>
      </c>
      <c r="L848" s="32"/>
      <c r="M848" s="32"/>
      <c r="N848" s="26" t="str">
        <f t="shared" si="54"/>
        <v/>
      </c>
      <c r="O848" s="26" t="str">
        <f t="shared" si="55"/>
        <v/>
      </c>
      <c r="P848" s="10"/>
    </row>
    <row r="849" ht="18" customHeight="1" spans="1:16">
      <c r="A849" s="32" t="str">
        <f t="shared" si="52"/>
        <v/>
      </c>
      <c r="B849" s="100" t="str">
        <f>IF($E849="","",INDEX(进销存对接!$C$4:$C$305,282))</f>
        <v/>
      </c>
      <c r="C849" s="26" t="str">
        <f t="shared" si="53"/>
        <v/>
      </c>
      <c r="D849" s="32" t="str">
        <f>IF($E849="","",INDEX(进销存对接!$D$4:$D$305,282)&amp;" "&amp;TEXT($B849,"YYYY年M月")&amp;" 自动结转")</f>
        <v/>
      </c>
      <c r="E849" s="26" t="str">
        <f>IF(INDEX(进销存对接!$M$4:$U$305,282,7)=0,"",INDEX(进销存对接!$M$4:$U$305,282,7))</f>
        <v/>
      </c>
      <c r="F849" s="25" t="str">
        <f>IF($E849="","",IFERROR(INDEX(科目表!$A$4:$A$81,MATCH($E849,科目表!$B$4:$B$81,0)),""))</f>
        <v/>
      </c>
      <c r="G849" s="26" t="str">
        <f>IF($E849="","",IFERROR(INDEX(科目表!$E$4:$E$81,MATCH($E849,科目表!$B$4:$B$81,0)),""))</f>
        <v/>
      </c>
      <c r="H849" s="27" t="str">
        <f>IF($E849="","",N(INDEX(进销存对接!$M$4:$U$305,282,8)))</f>
        <v/>
      </c>
      <c r="I849" s="27" t="str">
        <f>IF($E849="","",N(INDEX(进销存对接!$M$4:$U$305,282,9)))</f>
        <v/>
      </c>
      <c r="J849" s="26"/>
      <c r="K849" s="26" t="str">
        <f>IF($E849="","",INDEX(进销存对接!$D$4:$D$305,282))</f>
        <v/>
      </c>
      <c r="L849" s="32"/>
      <c r="M849" s="32"/>
      <c r="N849" s="26" t="str">
        <f t="shared" si="54"/>
        <v/>
      </c>
      <c r="O849" s="26" t="str">
        <f t="shared" si="55"/>
        <v/>
      </c>
      <c r="P849" s="10"/>
    </row>
    <row r="850" ht="18" customHeight="1" spans="1:16">
      <c r="A850" s="32" t="str">
        <f t="shared" si="52"/>
        <v/>
      </c>
      <c r="B850" s="100" t="str">
        <f>IF($E850="","",INDEX(进销存对接!$C$4:$C$305,283))</f>
        <v/>
      </c>
      <c r="C850" s="26" t="str">
        <f t="shared" si="53"/>
        <v/>
      </c>
      <c r="D850" s="32" t="str">
        <f>IF($E850="","",INDEX(进销存对接!$D$4:$D$305,283)&amp;" "&amp;TEXT($B850,"YYYY年M月")&amp;" 自动结转")</f>
        <v/>
      </c>
      <c r="E850" s="26" t="str">
        <f>IF(INDEX(进销存对接!$M$4:$U$305,283,1)=0,"",INDEX(进销存对接!$M$4:$U$305,283,1))</f>
        <v/>
      </c>
      <c r="F850" s="25" t="str">
        <f>IF($E850="","",IFERROR(INDEX(科目表!$A$4:$A$81,MATCH($E850,科目表!$B$4:$B$81,0)),""))</f>
        <v/>
      </c>
      <c r="G850" s="26" t="str">
        <f>IF($E850="","",IFERROR(INDEX(科目表!$E$4:$E$81,MATCH($E850,科目表!$B$4:$B$81,0)),""))</f>
        <v/>
      </c>
      <c r="H850" s="27" t="str">
        <f>IF($E850="","",N(INDEX(进销存对接!$M$4:$U$305,283,2)))</f>
        <v/>
      </c>
      <c r="I850" s="27" t="str">
        <f>IF($E850="","",N(INDEX(进销存对接!$M$4:$U$305,283,3)))</f>
        <v/>
      </c>
      <c r="J850" s="26"/>
      <c r="K850" s="26" t="str">
        <f>IF($E850="","",INDEX(进销存对接!$D$4:$D$305,283))</f>
        <v/>
      </c>
      <c r="L850" s="32"/>
      <c r="M850" s="32"/>
      <c r="N850" s="26" t="str">
        <f t="shared" si="54"/>
        <v/>
      </c>
      <c r="O850" s="26" t="str">
        <f t="shared" si="55"/>
        <v/>
      </c>
      <c r="P850" s="10"/>
    </row>
    <row r="851" ht="18" customHeight="1" spans="1:16">
      <c r="A851" s="32" t="str">
        <f t="shared" si="52"/>
        <v/>
      </c>
      <c r="B851" s="100" t="str">
        <f>IF($E851="","",INDEX(进销存对接!$C$4:$C$305,283))</f>
        <v/>
      </c>
      <c r="C851" s="26" t="str">
        <f t="shared" si="53"/>
        <v/>
      </c>
      <c r="D851" s="32" t="str">
        <f>IF($E851="","",INDEX(进销存对接!$D$4:$D$305,283)&amp;" "&amp;TEXT($B851,"YYYY年M月")&amp;" 自动结转")</f>
        <v/>
      </c>
      <c r="E851" s="26" t="str">
        <f>IF(INDEX(进销存对接!$M$4:$U$305,283,4)=0,"",INDEX(进销存对接!$M$4:$U$305,283,4))</f>
        <v/>
      </c>
      <c r="F851" s="25" t="str">
        <f>IF($E851="","",IFERROR(INDEX(科目表!$A$4:$A$81,MATCH($E851,科目表!$B$4:$B$81,0)),""))</f>
        <v/>
      </c>
      <c r="G851" s="26" t="str">
        <f>IF($E851="","",IFERROR(INDEX(科目表!$E$4:$E$81,MATCH($E851,科目表!$B$4:$B$81,0)),""))</f>
        <v/>
      </c>
      <c r="H851" s="27" t="str">
        <f>IF($E851="","",N(INDEX(进销存对接!$M$4:$U$305,283,5)))</f>
        <v/>
      </c>
      <c r="I851" s="27" t="str">
        <f>IF($E851="","",N(INDEX(进销存对接!$M$4:$U$305,283,6)))</f>
        <v/>
      </c>
      <c r="J851" s="26"/>
      <c r="K851" s="26" t="str">
        <f>IF($E851="","",INDEX(进销存对接!$D$4:$D$305,283))</f>
        <v/>
      </c>
      <c r="L851" s="32"/>
      <c r="M851" s="32"/>
      <c r="N851" s="26" t="str">
        <f t="shared" si="54"/>
        <v/>
      </c>
      <c r="O851" s="26" t="str">
        <f t="shared" si="55"/>
        <v/>
      </c>
      <c r="P851" s="10"/>
    </row>
    <row r="852" ht="18" customHeight="1" spans="1:16">
      <c r="A852" s="32" t="str">
        <f t="shared" si="52"/>
        <v/>
      </c>
      <c r="B852" s="100" t="str">
        <f>IF($E852="","",INDEX(进销存对接!$C$4:$C$305,283))</f>
        <v/>
      </c>
      <c r="C852" s="26" t="str">
        <f t="shared" si="53"/>
        <v/>
      </c>
      <c r="D852" s="32" t="str">
        <f>IF($E852="","",INDEX(进销存对接!$D$4:$D$305,283)&amp;" "&amp;TEXT($B852,"YYYY年M月")&amp;" 自动结转")</f>
        <v/>
      </c>
      <c r="E852" s="26" t="str">
        <f>IF(INDEX(进销存对接!$M$4:$U$305,283,7)=0,"",INDEX(进销存对接!$M$4:$U$305,283,7))</f>
        <v/>
      </c>
      <c r="F852" s="25" t="str">
        <f>IF($E852="","",IFERROR(INDEX(科目表!$A$4:$A$81,MATCH($E852,科目表!$B$4:$B$81,0)),""))</f>
        <v/>
      </c>
      <c r="G852" s="26" t="str">
        <f>IF($E852="","",IFERROR(INDEX(科目表!$E$4:$E$81,MATCH($E852,科目表!$B$4:$B$81,0)),""))</f>
        <v/>
      </c>
      <c r="H852" s="27" t="str">
        <f>IF($E852="","",N(INDEX(进销存对接!$M$4:$U$305,283,8)))</f>
        <v/>
      </c>
      <c r="I852" s="27" t="str">
        <f>IF($E852="","",N(INDEX(进销存对接!$M$4:$U$305,283,9)))</f>
        <v/>
      </c>
      <c r="J852" s="26"/>
      <c r="K852" s="26" t="str">
        <f>IF($E852="","",INDEX(进销存对接!$D$4:$D$305,283))</f>
        <v/>
      </c>
      <c r="L852" s="32"/>
      <c r="M852" s="32"/>
      <c r="N852" s="26" t="str">
        <f t="shared" si="54"/>
        <v/>
      </c>
      <c r="O852" s="26" t="str">
        <f t="shared" si="55"/>
        <v/>
      </c>
      <c r="P852" s="10"/>
    </row>
    <row r="853" ht="18" customHeight="1" spans="1:16">
      <c r="A853" s="32" t="str">
        <f t="shared" si="52"/>
        <v/>
      </c>
      <c r="B853" s="100" t="str">
        <f>IF($E853="","",INDEX(进销存对接!$C$4:$C$305,284))</f>
        <v/>
      </c>
      <c r="C853" s="26" t="str">
        <f t="shared" si="53"/>
        <v/>
      </c>
      <c r="D853" s="32" t="str">
        <f>IF($E853="","",INDEX(进销存对接!$D$4:$D$305,284)&amp;" "&amp;TEXT($B853,"YYYY年M月")&amp;" 自动结转")</f>
        <v/>
      </c>
      <c r="E853" s="26" t="str">
        <f>IF(INDEX(进销存对接!$M$4:$U$305,284,1)=0,"",INDEX(进销存对接!$M$4:$U$305,284,1))</f>
        <v/>
      </c>
      <c r="F853" s="25" t="str">
        <f>IF($E853="","",IFERROR(INDEX(科目表!$A$4:$A$81,MATCH($E853,科目表!$B$4:$B$81,0)),""))</f>
        <v/>
      </c>
      <c r="G853" s="26" t="str">
        <f>IF($E853="","",IFERROR(INDEX(科目表!$E$4:$E$81,MATCH($E853,科目表!$B$4:$B$81,0)),""))</f>
        <v/>
      </c>
      <c r="H853" s="27" t="str">
        <f>IF($E853="","",N(INDEX(进销存对接!$M$4:$U$305,284,2)))</f>
        <v/>
      </c>
      <c r="I853" s="27" t="str">
        <f>IF($E853="","",N(INDEX(进销存对接!$M$4:$U$305,284,3)))</f>
        <v/>
      </c>
      <c r="J853" s="26"/>
      <c r="K853" s="26" t="str">
        <f>IF($E853="","",INDEX(进销存对接!$D$4:$D$305,284))</f>
        <v/>
      </c>
      <c r="L853" s="32"/>
      <c r="M853" s="32"/>
      <c r="N853" s="26" t="str">
        <f t="shared" si="54"/>
        <v/>
      </c>
      <c r="O853" s="26" t="str">
        <f t="shared" si="55"/>
        <v/>
      </c>
      <c r="P853" s="10"/>
    </row>
    <row r="854" ht="18" customHeight="1" spans="1:16">
      <c r="A854" s="32" t="str">
        <f t="shared" si="52"/>
        <v/>
      </c>
      <c r="B854" s="100" t="str">
        <f>IF($E854="","",INDEX(进销存对接!$C$4:$C$305,284))</f>
        <v/>
      </c>
      <c r="C854" s="26" t="str">
        <f t="shared" si="53"/>
        <v/>
      </c>
      <c r="D854" s="32" t="str">
        <f>IF($E854="","",INDEX(进销存对接!$D$4:$D$305,284)&amp;" "&amp;TEXT($B854,"YYYY年M月")&amp;" 自动结转")</f>
        <v/>
      </c>
      <c r="E854" s="26" t="str">
        <f>IF(INDEX(进销存对接!$M$4:$U$305,284,4)=0,"",INDEX(进销存对接!$M$4:$U$305,284,4))</f>
        <v/>
      </c>
      <c r="F854" s="25" t="str">
        <f>IF($E854="","",IFERROR(INDEX(科目表!$A$4:$A$81,MATCH($E854,科目表!$B$4:$B$81,0)),""))</f>
        <v/>
      </c>
      <c r="G854" s="26" t="str">
        <f>IF($E854="","",IFERROR(INDEX(科目表!$E$4:$E$81,MATCH($E854,科目表!$B$4:$B$81,0)),""))</f>
        <v/>
      </c>
      <c r="H854" s="27" t="str">
        <f>IF($E854="","",N(INDEX(进销存对接!$M$4:$U$305,284,5)))</f>
        <v/>
      </c>
      <c r="I854" s="27" t="str">
        <f>IF($E854="","",N(INDEX(进销存对接!$M$4:$U$305,284,6)))</f>
        <v/>
      </c>
      <c r="J854" s="26"/>
      <c r="K854" s="26" t="str">
        <f>IF($E854="","",INDEX(进销存对接!$D$4:$D$305,284))</f>
        <v/>
      </c>
      <c r="L854" s="32"/>
      <c r="M854" s="32"/>
      <c r="N854" s="26" t="str">
        <f t="shared" si="54"/>
        <v/>
      </c>
      <c r="O854" s="26" t="str">
        <f t="shared" si="55"/>
        <v/>
      </c>
      <c r="P854" s="10"/>
    </row>
    <row r="855" ht="18" customHeight="1" spans="1:16">
      <c r="A855" s="32" t="str">
        <f t="shared" si="52"/>
        <v/>
      </c>
      <c r="B855" s="100" t="str">
        <f>IF($E855="","",INDEX(进销存对接!$C$4:$C$305,284))</f>
        <v/>
      </c>
      <c r="C855" s="26" t="str">
        <f t="shared" si="53"/>
        <v/>
      </c>
      <c r="D855" s="32" t="str">
        <f>IF($E855="","",INDEX(进销存对接!$D$4:$D$305,284)&amp;" "&amp;TEXT($B855,"YYYY年M月")&amp;" 自动结转")</f>
        <v/>
      </c>
      <c r="E855" s="26" t="str">
        <f>IF(INDEX(进销存对接!$M$4:$U$305,284,7)=0,"",INDEX(进销存对接!$M$4:$U$305,284,7))</f>
        <v/>
      </c>
      <c r="F855" s="25" t="str">
        <f>IF($E855="","",IFERROR(INDEX(科目表!$A$4:$A$81,MATCH($E855,科目表!$B$4:$B$81,0)),""))</f>
        <v/>
      </c>
      <c r="G855" s="26" t="str">
        <f>IF($E855="","",IFERROR(INDEX(科目表!$E$4:$E$81,MATCH($E855,科目表!$B$4:$B$81,0)),""))</f>
        <v/>
      </c>
      <c r="H855" s="27" t="str">
        <f>IF($E855="","",N(INDEX(进销存对接!$M$4:$U$305,284,8)))</f>
        <v/>
      </c>
      <c r="I855" s="27" t="str">
        <f>IF($E855="","",N(INDEX(进销存对接!$M$4:$U$305,284,9)))</f>
        <v/>
      </c>
      <c r="J855" s="26"/>
      <c r="K855" s="26" t="str">
        <f>IF($E855="","",INDEX(进销存对接!$D$4:$D$305,284))</f>
        <v/>
      </c>
      <c r="L855" s="32"/>
      <c r="M855" s="32"/>
      <c r="N855" s="26" t="str">
        <f t="shared" si="54"/>
        <v/>
      </c>
      <c r="O855" s="26" t="str">
        <f t="shared" si="55"/>
        <v/>
      </c>
      <c r="P855" s="10"/>
    </row>
    <row r="856" ht="18" customHeight="1" spans="1:16">
      <c r="A856" s="32" t="str">
        <f t="shared" si="52"/>
        <v/>
      </c>
      <c r="B856" s="100" t="str">
        <f>IF($E856="","",INDEX(进销存对接!$C$4:$C$305,285))</f>
        <v/>
      </c>
      <c r="C856" s="26" t="str">
        <f t="shared" si="53"/>
        <v/>
      </c>
      <c r="D856" s="32" t="str">
        <f>IF($E856="","",INDEX(进销存对接!$D$4:$D$305,285)&amp;" "&amp;TEXT($B856,"YYYY年M月")&amp;" 自动结转")</f>
        <v/>
      </c>
      <c r="E856" s="26" t="str">
        <f>IF(INDEX(进销存对接!$M$4:$U$305,285,1)=0,"",INDEX(进销存对接!$M$4:$U$305,285,1))</f>
        <v/>
      </c>
      <c r="F856" s="25" t="str">
        <f>IF($E856="","",IFERROR(INDEX(科目表!$A$4:$A$81,MATCH($E856,科目表!$B$4:$B$81,0)),""))</f>
        <v/>
      </c>
      <c r="G856" s="26" t="str">
        <f>IF($E856="","",IFERROR(INDEX(科目表!$E$4:$E$81,MATCH($E856,科目表!$B$4:$B$81,0)),""))</f>
        <v/>
      </c>
      <c r="H856" s="27" t="str">
        <f>IF($E856="","",N(INDEX(进销存对接!$M$4:$U$305,285,2)))</f>
        <v/>
      </c>
      <c r="I856" s="27" t="str">
        <f>IF($E856="","",N(INDEX(进销存对接!$M$4:$U$305,285,3)))</f>
        <v/>
      </c>
      <c r="J856" s="26"/>
      <c r="K856" s="26" t="str">
        <f>IF($E856="","",INDEX(进销存对接!$D$4:$D$305,285))</f>
        <v/>
      </c>
      <c r="L856" s="32"/>
      <c r="M856" s="32"/>
      <c r="N856" s="26" t="str">
        <f t="shared" si="54"/>
        <v/>
      </c>
      <c r="O856" s="26" t="str">
        <f t="shared" si="55"/>
        <v/>
      </c>
      <c r="P856" s="10"/>
    </row>
    <row r="857" ht="18" customHeight="1" spans="1:16">
      <c r="A857" s="32" t="str">
        <f t="shared" si="52"/>
        <v/>
      </c>
      <c r="B857" s="100" t="str">
        <f>IF($E857="","",INDEX(进销存对接!$C$4:$C$305,285))</f>
        <v/>
      </c>
      <c r="C857" s="26" t="str">
        <f t="shared" si="53"/>
        <v/>
      </c>
      <c r="D857" s="32" t="str">
        <f>IF($E857="","",INDEX(进销存对接!$D$4:$D$305,285)&amp;" "&amp;TEXT($B857,"YYYY年M月")&amp;" 自动结转")</f>
        <v/>
      </c>
      <c r="E857" s="26" t="str">
        <f>IF(INDEX(进销存对接!$M$4:$U$305,285,4)=0,"",INDEX(进销存对接!$M$4:$U$305,285,4))</f>
        <v/>
      </c>
      <c r="F857" s="25" t="str">
        <f>IF($E857="","",IFERROR(INDEX(科目表!$A$4:$A$81,MATCH($E857,科目表!$B$4:$B$81,0)),""))</f>
        <v/>
      </c>
      <c r="G857" s="26" t="str">
        <f>IF($E857="","",IFERROR(INDEX(科目表!$E$4:$E$81,MATCH($E857,科目表!$B$4:$B$81,0)),""))</f>
        <v/>
      </c>
      <c r="H857" s="27" t="str">
        <f>IF($E857="","",N(INDEX(进销存对接!$M$4:$U$305,285,5)))</f>
        <v/>
      </c>
      <c r="I857" s="27" t="str">
        <f>IF($E857="","",N(INDEX(进销存对接!$M$4:$U$305,285,6)))</f>
        <v/>
      </c>
      <c r="J857" s="26"/>
      <c r="K857" s="26" t="str">
        <f>IF($E857="","",INDEX(进销存对接!$D$4:$D$305,285))</f>
        <v/>
      </c>
      <c r="L857" s="32"/>
      <c r="M857" s="32"/>
      <c r="N857" s="26" t="str">
        <f t="shared" si="54"/>
        <v/>
      </c>
      <c r="O857" s="26" t="str">
        <f t="shared" si="55"/>
        <v/>
      </c>
      <c r="P857" s="10"/>
    </row>
    <row r="858" ht="18" customHeight="1" spans="1:16">
      <c r="A858" s="32" t="str">
        <f t="shared" si="52"/>
        <v/>
      </c>
      <c r="B858" s="100" t="str">
        <f>IF($E858="","",INDEX(进销存对接!$C$4:$C$305,285))</f>
        <v/>
      </c>
      <c r="C858" s="26" t="str">
        <f t="shared" si="53"/>
        <v/>
      </c>
      <c r="D858" s="32" t="str">
        <f>IF($E858="","",INDEX(进销存对接!$D$4:$D$305,285)&amp;" "&amp;TEXT($B858,"YYYY年M月")&amp;" 自动结转")</f>
        <v/>
      </c>
      <c r="E858" s="26" t="str">
        <f>IF(INDEX(进销存对接!$M$4:$U$305,285,7)=0,"",INDEX(进销存对接!$M$4:$U$305,285,7))</f>
        <v/>
      </c>
      <c r="F858" s="25" t="str">
        <f>IF($E858="","",IFERROR(INDEX(科目表!$A$4:$A$81,MATCH($E858,科目表!$B$4:$B$81,0)),""))</f>
        <v/>
      </c>
      <c r="G858" s="26" t="str">
        <f>IF($E858="","",IFERROR(INDEX(科目表!$E$4:$E$81,MATCH($E858,科目表!$B$4:$B$81,0)),""))</f>
        <v/>
      </c>
      <c r="H858" s="27" t="str">
        <f>IF($E858="","",N(INDEX(进销存对接!$M$4:$U$305,285,8)))</f>
        <v/>
      </c>
      <c r="I858" s="27" t="str">
        <f>IF($E858="","",N(INDEX(进销存对接!$M$4:$U$305,285,9)))</f>
        <v/>
      </c>
      <c r="J858" s="26"/>
      <c r="K858" s="26" t="str">
        <f>IF($E858="","",INDEX(进销存对接!$D$4:$D$305,285))</f>
        <v/>
      </c>
      <c r="L858" s="32"/>
      <c r="M858" s="32"/>
      <c r="N858" s="26" t="str">
        <f t="shared" si="54"/>
        <v/>
      </c>
      <c r="O858" s="26" t="str">
        <f t="shared" si="55"/>
        <v/>
      </c>
      <c r="P858" s="10"/>
    </row>
    <row r="859" ht="18" customHeight="1" spans="1:16">
      <c r="A859" s="32" t="str">
        <f t="shared" si="52"/>
        <v/>
      </c>
      <c r="B859" s="100" t="str">
        <f>IF($E859="","",INDEX(进销存对接!$C$4:$C$305,286))</f>
        <v/>
      </c>
      <c r="C859" s="26" t="str">
        <f t="shared" si="53"/>
        <v/>
      </c>
      <c r="D859" s="32" t="str">
        <f>IF($E859="","",INDEX(进销存对接!$D$4:$D$305,286)&amp;" "&amp;TEXT($B859,"YYYY年M月")&amp;" 自动结转")</f>
        <v/>
      </c>
      <c r="E859" s="26" t="str">
        <f>IF(INDEX(进销存对接!$M$4:$U$305,286,1)=0,"",INDEX(进销存对接!$M$4:$U$305,286,1))</f>
        <v/>
      </c>
      <c r="F859" s="25" t="str">
        <f>IF($E859="","",IFERROR(INDEX(科目表!$A$4:$A$81,MATCH($E859,科目表!$B$4:$B$81,0)),""))</f>
        <v/>
      </c>
      <c r="G859" s="26" t="str">
        <f>IF($E859="","",IFERROR(INDEX(科目表!$E$4:$E$81,MATCH($E859,科目表!$B$4:$B$81,0)),""))</f>
        <v/>
      </c>
      <c r="H859" s="27" t="str">
        <f>IF($E859="","",N(INDEX(进销存对接!$M$4:$U$305,286,2)))</f>
        <v/>
      </c>
      <c r="I859" s="27" t="str">
        <f>IF($E859="","",N(INDEX(进销存对接!$M$4:$U$305,286,3)))</f>
        <v/>
      </c>
      <c r="J859" s="26"/>
      <c r="K859" s="26" t="str">
        <f>IF($E859="","",INDEX(进销存对接!$D$4:$D$305,286))</f>
        <v/>
      </c>
      <c r="L859" s="32"/>
      <c r="M859" s="32"/>
      <c r="N859" s="26" t="str">
        <f t="shared" si="54"/>
        <v/>
      </c>
      <c r="O859" s="26" t="str">
        <f t="shared" si="55"/>
        <v/>
      </c>
      <c r="P859" s="10"/>
    </row>
    <row r="860" ht="18" customHeight="1" spans="1:16">
      <c r="A860" s="32" t="str">
        <f t="shared" si="52"/>
        <v/>
      </c>
      <c r="B860" s="100" t="str">
        <f>IF($E860="","",INDEX(进销存对接!$C$4:$C$305,286))</f>
        <v/>
      </c>
      <c r="C860" s="26" t="str">
        <f t="shared" si="53"/>
        <v/>
      </c>
      <c r="D860" s="32" t="str">
        <f>IF($E860="","",INDEX(进销存对接!$D$4:$D$305,286)&amp;" "&amp;TEXT($B860,"YYYY年M月")&amp;" 自动结转")</f>
        <v/>
      </c>
      <c r="E860" s="26" t="str">
        <f>IF(INDEX(进销存对接!$M$4:$U$305,286,4)=0,"",INDEX(进销存对接!$M$4:$U$305,286,4))</f>
        <v/>
      </c>
      <c r="F860" s="25" t="str">
        <f>IF($E860="","",IFERROR(INDEX(科目表!$A$4:$A$81,MATCH($E860,科目表!$B$4:$B$81,0)),""))</f>
        <v/>
      </c>
      <c r="G860" s="26" t="str">
        <f>IF($E860="","",IFERROR(INDEX(科目表!$E$4:$E$81,MATCH($E860,科目表!$B$4:$B$81,0)),""))</f>
        <v/>
      </c>
      <c r="H860" s="27" t="str">
        <f>IF($E860="","",N(INDEX(进销存对接!$M$4:$U$305,286,5)))</f>
        <v/>
      </c>
      <c r="I860" s="27" t="str">
        <f>IF($E860="","",N(INDEX(进销存对接!$M$4:$U$305,286,6)))</f>
        <v/>
      </c>
      <c r="J860" s="26"/>
      <c r="K860" s="26" t="str">
        <f>IF($E860="","",INDEX(进销存对接!$D$4:$D$305,286))</f>
        <v/>
      </c>
      <c r="L860" s="32"/>
      <c r="M860" s="32"/>
      <c r="N860" s="26" t="str">
        <f t="shared" si="54"/>
        <v/>
      </c>
      <c r="O860" s="26" t="str">
        <f t="shared" si="55"/>
        <v/>
      </c>
      <c r="P860" s="10"/>
    </row>
    <row r="861" ht="18" customHeight="1" spans="1:16">
      <c r="A861" s="32" t="str">
        <f t="shared" si="52"/>
        <v/>
      </c>
      <c r="B861" s="100" t="str">
        <f>IF($E861="","",INDEX(进销存对接!$C$4:$C$305,286))</f>
        <v/>
      </c>
      <c r="C861" s="26" t="str">
        <f t="shared" si="53"/>
        <v/>
      </c>
      <c r="D861" s="32" t="str">
        <f>IF($E861="","",INDEX(进销存对接!$D$4:$D$305,286)&amp;" "&amp;TEXT($B861,"YYYY年M月")&amp;" 自动结转")</f>
        <v/>
      </c>
      <c r="E861" s="26" t="str">
        <f>IF(INDEX(进销存对接!$M$4:$U$305,286,7)=0,"",INDEX(进销存对接!$M$4:$U$305,286,7))</f>
        <v/>
      </c>
      <c r="F861" s="25" t="str">
        <f>IF($E861="","",IFERROR(INDEX(科目表!$A$4:$A$81,MATCH($E861,科目表!$B$4:$B$81,0)),""))</f>
        <v/>
      </c>
      <c r="G861" s="26" t="str">
        <f>IF($E861="","",IFERROR(INDEX(科目表!$E$4:$E$81,MATCH($E861,科目表!$B$4:$B$81,0)),""))</f>
        <v/>
      </c>
      <c r="H861" s="27" t="str">
        <f>IF($E861="","",N(INDEX(进销存对接!$M$4:$U$305,286,8)))</f>
        <v/>
      </c>
      <c r="I861" s="27" t="str">
        <f>IF($E861="","",N(INDEX(进销存对接!$M$4:$U$305,286,9)))</f>
        <v/>
      </c>
      <c r="J861" s="26"/>
      <c r="K861" s="26" t="str">
        <f>IF($E861="","",INDEX(进销存对接!$D$4:$D$305,286))</f>
        <v/>
      </c>
      <c r="L861" s="32"/>
      <c r="M861" s="32"/>
      <c r="N861" s="26" t="str">
        <f t="shared" si="54"/>
        <v/>
      </c>
      <c r="O861" s="26" t="str">
        <f t="shared" si="55"/>
        <v/>
      </c>
      <c r="P861" s="10"/>
    </row>
    <row r="862" ht="18" customHeight="1" spans="1:16">
      <c r="A862" s="32" t="str">
        <f t="shared" si="52"/>
        <v/>
      </c>
      <c r="B862" s="100" t="str">
        <f>IF($E862="","",INDEX(进销存对接!$C$4:$C$305,287))</f>
        <v/>
      </c>
      <c r="C862" s="26" t="str">
        <f t="shared" si="53"/>
        <v/>
      </c>
      <c r="D862" s="32" t="str">
        <f>IF($E862="","",INDEX(进销存对接!$D$4:$D$305,287)&amp;" "&amp;TEXT($B862,"YYYY年M月")&amp;" 自动结转")</f>
        <v/>
      </c>
      <c r="E862" s="26" t="str">
        <f>IF(INDEX(进销存对接!$M$4:$U$305,287,1)=0,"",INDEX(进销存对接!$M$4:$U$305,287,1))</f>
        <v/>
      </c>
      <c r="F862" s="25" t="str">
        <f>IF($E862="","",IFERROR(INDEX(科目表!$A$4:$A$81,MATCH($E862,科目表!$B$4:$B$81,0)),""))</f>
        <v/>
      </c>
      <c r="G862" s="26" t="str">
        <f>IF($E862="","",IFERROR(INDEX(科目表!$E$4:$E$81,MATCH($E862,科目表!$B$4:$B$81,0)),""))</f>
        <v/>
      </c>
      <c r="H862" s="27" t="str">
        <f>IF($E862="","",N(INDEX(进销存对接!$M$4:$U$305,287,2)))</f>
        <v/>
      </c>
      <c r="I862" s="27" t="str">
        <f>IF($E862="","",N(INDEX(进销存对接!$M$4:$U$305,287,3)))</f>
        <v/>
      </c>
      <c r="J862" s="26"/>
      <c r="K862" s="26" t="str">
        <f>IF($E862="","",INDEX(进销存对接!$D$4:$D$305,287))</f>
        <v/>
      </c>
      <c r="L862" s="32"/>
      <c r="M862" s="32"/>
      <c r="N862" s="26" t="str">
        <f t="shared" si="54"/>
        <v/>
      </c>
      <c r="O862" s="26" t="str">
        <f t="shared" si="55"/>
        <v/>
      </c>
      <c r="P862" s="10"/>
    </row>
    <row r="863" ht="18" customHeight="1" spans="1:16">
      <c r="A863" s="32" t="str">
        <f t="shared" si="52"/>
        <v/>
      </c>
      <c r="B863" s="100" t="str">
        <f>IF($E863="","",INDEX(进销存对接!$C$4:$C$305,287))</f>
        <v/>
      </c>
      <c r="C863" s="26" t="str">
        <f t="shared" si="53"/>
        <v/>
      </c>
      <c r="D863" s="32" t="str">
        <f>IF($E863="","",INDEX(进销存对接!$D$4:$D$305,287)&amp;" "&amp;TEXT($B863,"YYYY年M月")&amp;" 自动结转")</f>
        <v/>
      </c>
      <c r="E863" s="26" t="str">
        <f>IF(INDEX(进销存对接!$M$4:$U$305,287,4)=0,"",INDEX(进销存对接!$M$4:$U$305,287,4))</f>
        <v/>
      </c>
      <c r="F863" s="25" t="str">
        <f>IF($E863="","",IFERROR(INDEX(科目表!$A$4:$A$81,MATCH($E863,科目表!$B$4:$B$81,0)),""))</f>
        <v/>
      </c>
      <c r="G863" s="26" t="str">
        <f>IF($E863="","",IFERROR(INDEX(科目表!$E$4:$E$81,MATCH($E863,科目表!$B$4:$B$81,0)),""))</f>
        <v/>
      </c>
      <c r="H863" s="27" t="str">
        <f>IF($E863="","",N(INDEX(进销存对接!$M$4:$U$305,287,5)))</f>
        <v/>
      </c>
      <c r="I863" s="27" t="str">
        <f>IF($E863="","",N(INDEX(进销存对接!$M$4:$U$305,287,6)))</f>
        <v/>
      </c>
      <c r="J863" s="26"/>
      <c r="K863" s="26" t="str">
        <f>IF($E863="","",INDEX(进销存对接!$D$4:$D$305,287))</f>
        <v/>
      </c>
      <c r="L863" s="32"/>
      <c r="M863" s="32"/>
      <c r="N863" s="26" t="str">
        <f t="shared" si="54"/>
        <v/>
      </c>
      <c r="O863" s="26" t="str">
        <f t="shared" si="55"/>
        <v/>
      </c>
      <c r="P863" s="10"/>
    </row>
    <row r="864" ht="18" customHeight="1" spans="1:16">
      <c r="A864" s="32" t="str">
        <f t="shared" si="52"/>
        <v/>
      </c>
      <c r="B864" s="100" t="str">
        <f>IF($E864="","",INDEX(进销存对接!$C$4:$C$305,287))</f>
        <v/>
      </c>
      <c r="C864" s="26" t="str">
        <f t="shared" si="53"/>
        <v/>
      </c>
      <c r="D864" s="32" t="str">
        <f>IF($E864="","",INDEX(进销存对接!$D$4:$D$305,287)&amp;" "&amp;TEXT($B864,"YYYY年M月")&amp;" 自动结转")</f>
        <v/>
      </c>
      <c r="E864" s="26" t="str">
        <f>IF(INDEX(进销存对接!$M$4:$U$305,287,7)=0,"",INDEX(进销存对接!$M$4:$U$305,287,7))</f>
        <v/>
      </c>
      <c r="F864" s="25" t="str">
        <f>IF($E864="","",IFERROR(INDEX(科目表!$A$4:$A$81,MATCH($E864,科目表!$B$4:$B$81,0)),""))</f>
        <v/>
      </c>
      <c r="G864" s="26" t="str">
        <f>IF($E864="","",IFERROR(INDEX(科目表!$E$4:$E$81,MATCH($E864,科目表!$B$4:$B$81,0)),""))</f>
        <v/>
      </c>
      <c r="H864" s="27" t="str">
        <f>IF($E864="","",N(INDEX(进销存对接!$M$4:$U$305,287,8)))</f>
        <v/>
      </c>
      <c r="I864" s="27" t="str">
        <f>IF($E864="","",N(INDEX(进销存对接!$M$4:$U$305,287,9)))</f>
        <v/>
      </c>
      <c r="J864" s="26"/>
      <c r="K864" s="26" t="str">
        <f>IF($E864="","",INDEX(进销存对接!$D$4:$D$305,287))</f>
        <v/>
      </c>
      <c r="L864" s="32"/>
      <c r="M864" s="32"/>
      <c r="N864" s="26" t="str">
        <f t="shared" si="54"/>
        <v/>
      </c>
      <c r="O864" s="26" t="str">
        <f t="shared" si="55"/>
        <v/>
      </c>
      <c r="P864" s="10"/>
    </row>
    <row r="865" ht="18" customHeight="1" spans="1:16">
      <c r="A865" s="32" t="str">
        <f t="shared" si="52"/>
        <v/>
      </c>
      <c r="B865" s="100" t="str">
        <f>IF($E865="","",INDEX(进销存对接!$C$4:$C$305,288))</f>
        <v/>
      </c>
      <c r="C865" s="26" t="str">
        <f t="shared" si="53"/>
        <v/>
      </c>
      <c r="D865" s="32" t="str">
        <f>IF($E865="","",INDEX(进销存对接!$D$4:$D$305,288)&amp;" "&amp;TEXT($B865,"YYYY年M月")&amp;" 自动结转")</f>
        <v/>
      </c>
      <c r="E865" s="26" t="str">
        <f>IF(INDEX(进销存对接!$M$4:$U$305,288,1)=0,"",INDEX(进销存对接!$M$4:$U$305,288,1))</f>
        <v/>
      </c>
      <c r="F865" s="25" t="str">
        <f>IF($E865="","",IFERROR(INDEX(科目表!$A$4:$A$81,MATCH($E865,科目表!$B$4:$B$81,0)),""))</f>
        <v/>
      </c>
      <c r="G865" s="26" t="str">
        <f>IF($E865="","",IFERROR(INDEX(科目表!$E$4:$E$81,MATCH($E865,科目表!$B$4:$B$81,0)),""))</f>
        <v/>
      </c>
      <c r="H865" s="27" t="str">
        <f>IF($E865="","",N(INDEX(进销存对接!$M$4:$U$305,288,2)))</f>
        <v/>
      </c>
      <c r="I865" s="27" t="str">
        <f>IF($E865="","",N(INDEX(进销存对接!$M$4:$U$305,288,3)))</f>
        <v/>
      </c>
      <c r="J865" s="26"/>
      <c r="K865" s="26" t="str">
        <f>IF($E865="","",INDEX(进销存对接!$D$4:$D$305,288))</f>
        <v/>
      </c>
      <c r="L865" s="32"/>
      <c r="M865" s="32"/>
      <c r="N865" s="26" t="str">
        <f t="shared" si="54"/>
        <v/>
      </c>
      <c r="O865" s="26" t="str">
        <f t="shared" si="55"/>
        <v/>
      </c>
      <c r="P865" s="10"/>
    </row>
    <row r="866" ht="18" customHeight="1" spans="1:16">
      <c r="A866" s="32" t="str">
        <f t="shared" si="52"/>
        <v/>
      </c>
      <c r="B866" s="100" t="str">
        <f>IF($E866="","",INDEX(进销存对接!$C$4:$C$305,288))</f>
        <v/>
      </c>
      <c r="C866" s="26" t="str">
        <f t="shared" si="53"/>
        <v/>
      </c>
      <c r="D866" s="32" t="str">
        <f>IF($E866="","",INDEX(进销存对接!$D$4:$D$305,288)&amp;" "&amp;TEXT($B866,"YYYY年M月")&amp;" 自动结转")</f>
        <v/>
      </c>
      <c r="E866" s="26" t="str">
        <f>IF(INDEX(进销存对接!$M$4:$U$305,288,4)=0,"",INDEX(进销存对接!$M$4:$U$305,288,4))</f>
        <v/>
      </c>
      <c r="F866" s="25" t="str">
        <f>IF($E866="","",IFERROR(INDEX(科目表!$A$4:$A$81,MATCH($E866,科目表!$B$4:$B$81,0)),""))</f>
        <v/>
      </c>
      <c r="G866" s="26" t="str">
        <f>IF($E866="","",IFERROR(INDEX(科目表!$E$4:$E$81,MATCH($E866,科目表!$B$4:$B$81,0)),""))</f>
        <v/>
      </c>
      <c r="H866" s="27" t="str">
        <f>IF($E866="","",N(INDEX(进销存对接!$M$4:$U$305,288,5)))</f>
        <v/>
      </c>
      <c r="I866" s="27" t="str">
        <f>IF($E866="","",N(INDEX(进销存对接!$M$4:$U$305,288,6)))</f>
        <v/>
      </c>
      <c r="J866" s="26"/>
      <c r="K866" s="26" t="str">
        <f>IF($E866="","",INDEX(进销存对接!$D$4:$D$305,288))</f>
        <v/>
      </c>
      <c r="L866" s="32"/>
      <c r="M866" s="32"/>
      <c r="N866" s="26" t="str">
        <f t="shared" si="54"/>
        <v/>
      </c>
      <c r="O866" s="26" t="str">
        <f t="shared" si="55"/>
        <v/>
      </c>
      <c r="P866" s="10"/>
    </row>
    <row r="867" ht="18" customHeight="1" spans="1:16">
      <c r="A867" s="32" t="str">
        <f t="shared" si="52"/>
        <v/>
      </c>
      <c r="B867" s="100" t="str">
        <f>IF($E867="","",INDEX(进销存对接!$C$4:$C$305,288))</f>
        <v/>
      </c>
      <c r="C867" s="26" t="str">
        <f t="shared" si="53"/>
        <v/>
      </c>
      <c r="D867" s="32" t="str">
        <f>IF($E867="","",INDEX(进销存对接!$D$4:$D$305,288)&amp;" "&amp;TEXT($B867,"YYYY年M月")&amp;" 自动结转")</f>
        <v/>
      </c>
      <c r="E867" s="26" t="str">
        <f>IF(INDEX(进销存对接!$M$4:$U$305,288,7)=0,"",INDEX(进销存对接!$M$4:$U$305,288,7))</f>
        <v/>
      </c>
      <c r="F867" s="25" t="str">
        <f>IF($E867="","",IFERROR(INDEX(科目表!$A$4:$A$81,MATCH($E867,科目表!$B$4:$B$81,0)),""))</f>
        <v/>
      </c>
      <c r="G867" s="26" t="str">
        <f>IF($E867="","",IFERROR(INDEX(科目表!$E$4:$E$81,MATCH($E867,科目表!$B$4:$B$81,0)),""))</f>
        <v/>
      </c>
      <c r="H867" s="27" t="str">
        <f>IF($E867="","",N(INDEX(进销存对接!$M$4:$U$305,288,8)))</f>
        <v/>
      </c>
      <c r="I867" s="27" t="str">
        <f>IF($E867="","",N(INDEX(进销存对接!$M$4:$U$305,288,9)))</f>
        <v/>
      </c>
      <c r="J867" s="26"/>
      <c r="K867" s="26" t="str">
        <f>IF($E867="","",INDEX(进销存对接!$D$4:$D$305,288))</f>
        <v/>
      </c>
      <c r="L867" s="32"/>
      <c r="M867" s="32"/>
      <c r="N867" s="26" t="str">
        <f t="shared" si="54"/>
        <v/>
      </c>
      <c r="O867" s="26" t="str">
        <f t="shared" si="55"/>
        <v/>
      </c>
      <c r="P867" s="10"/>
    </row>
    <row r="868" ht="18" customHeight="1" spans="1:16">
      <c r="A868" s="32" t="str">
        <f t="shared" si="52"/>
        <v/>
      </c>
      <c r="B868" s="100" t="str">
        <f>IF($E868="","",INDEX(进销存对接!$C$4:$C$305,289))</f>
        <v/>
      </c>
      <c r="C868" s="26" t="str">
        <f t="shared" si="53"/>
        <v/>
      </c>
      <c r="D868" s="32" t="str">
        <f>IF($E868="","",INDEX(进销存对接!$D$4:$D$305,289)&amp;" "&amp;TEXT($B868,"YYYY年M月")&amp;" 自动结转")</f>
        <v/>
      </c>
      <c r="E868" s="26" t="str">
        <f>IF(INDEX(进销存对接!$M$4:$U$305,289,1)=0,"",INDEX(进销存对接!$M$4:$U$305,289,1))</f>
        <v/>
      </c>
      <c r="F868" s="25" t="str">
        <f>IF($E868="","",IFERROR(INDEX(科目表!$A$4:$A$81,MATCH($E868,科目表!$B$4:$B$81,0)),""))</f>
        <v/>
      </c>
      <c r="G868" s="26" t="str">
        <f>IF($E868="","",IFERROR(INDEX(科目表!$E$4:$E$81,MATCH($E868,科目表!$B$4:$B$81,0)),""))</f>
        <v/>
      </c>
      <c r="H868" s="27" t="str">
        <f>IF($E868="","",N(INDEX(进销存对接!$M$4:$U$305,289,2)))</f>
        <v/>
      </c>
      <c r="I868" s="27" t="str">
        <f>IF($E868="","",N(INDEX(进销存对接!$M$4:$U$305,289,3)))</f>
        <v/>
      </c>
      <c r="J868" s="26"/>
      <c r="K868" s="26" t="str">
        <f>IF($E868="","",INDEX(进销存对接!$D$4:$D$305,289))</f>
        <v/>
      </c>
      <c r="L868" s="32"/>
      <c r="M868" s="32"/>
      <c r="N868" s="26" t="str">
        <f t="shared" si="54"/>
        <v/>
      </c>
      <c r="O868" s="26" t="str">
        <f t="shared" si="55"/>
        <v/>
      </c>
      <c r="P868" s="10"/>
    </row>
    <row r="869" ht="18" customHeight="1" spans="1:16">
      <c r="A869" s="32" t="str">
        <f t="shared" si="52"/>
        <v/>
      </c>
      <c r="B869" s="100" t="str">
        <f>IF($E869="","",INDEX(进销存对接!$C$4:$C$305,289))</f>
        <v/>
      </c>
      <c r="C869" s="26" t="str">
        <f t="shared" si="53"/>
        <v/>
      </c>
      <c r="D869" s="32" t="str">
        <f>IF($E869="","",INDEX(进销存对接!$D$4:$D$305,289)&amp;" "&amp;TEXT($B869,"YYYY年M月")&amp;" 自动结转")</f>
        <v/>
      </c>
      <c r="E869" s="26" t="str">
        <f>IF(INDEX(进销存对接!$M$4:$U$305,289,4)=0,"",INDEX(进销存对接!$M$4:$U$305,289,4))</f>
        <v/>
      </c>
      <c r="F869" s="25" t="str">
        <f>IF($E869="","",IFERROR(INDEX(科目表!$A$4:$A$81,MATCH($E869,科目表!$B$4:$B$81,0)),""))</f>
        <v/>
      </c>
      <c r="G869" s="26" t="str">
        <f>IF($E869="","",IFERROR(INDEX(科目表!$E$4:$E$81,MATCH($E869,科目表!$B$4:$B$81,0)),""))</f>
        <v/>
      </c>
      <c r="H869" s="27" t="str">
        <f>IF($E869="","",N(INDEX(进销存对接!$M$4:$U$305,289,5)))</f>
        <v/>
      </c>
      <c r="I869" s="27" t="str">
        <f>IF($E869="","",N(INDEX(进销存对接!$M$4:$U$305,289,6)))</f>
        <v/>
      </c>
      <c r="J869" s="26"/>
      <c r="K869" s="26" t="str">
        <f>IF($E869="","",INDEX(进销存对接!$D$4:$D$305,289))</f>
        <v/>
      </c>
      <c r="L869" s="32"/>
      <c r="M869" s="32"/>
      <c r="N869" s="26" t="str">
        <f t="shared" si="54"/>
        <v/>
      </c>
      <c r="O869" s="26" t="str">
        <f t="shared" si="55"/>
        <v/>
      </c>
      <c r="P869" s="10"/>
    </row>
    <row r="870" ht="18" customHeight="1" spans="1:16">
      <c r="A870" s="32" t="str">
        <f t="shared" si="52"/>
        <v/>
      </c>
      <c r="B870" s="100" t="str">
        <f>IF($E870="","",INDEX(进销存对接!$C$4:$C$305,289))</f>
        <v/>
      </c>
      <c r="C870" s="26" t="str">
        <f t="shared" si="53"/>
        <v/>
      </c>
      <c r="D870" s="32" t="str">
        <f>IF($E870="","",INDEX(进销存对接!$D$4:$D$305,289)&amp;" "&amp;TEXT($B870,"YYYY年M月")&amp;" 自动结转")</f>
        <v/>
      </c>
      <c r="E870" s="26" t="str">
        <f>IF(INDEX(进销存对接!$M$4:$U$305,289,7)=0,"",INDEX(进销存对接!$M$4:$U$305,289,7))</f>
        <v/>
      </c>
      <c r="F870" s="25" t="str">
        <f>IF($E870="","",IFERROR(INDEX(科目表!$A$4:$A$81,MATCH($E870,科目表!$B$4:$B$81,0)),""))</f>
        <v/>
      </c>
      <c r="G870" s="26" t="str">
        <f>IF($E870="","",IFERROR(INDEX(科目表!$E$4:$E$81,MATCH($E870,科目表!$B$4:$B$81,0)),""))</f>
        <v/>
      </c>
      <c r="H870" s="27" t="str">
        <f>IF($E870="","",N(INDEX(进销存对接!$M$4:$U$305,289,8)))</f>
        <v/>
      </c>
      <c r="I870" s="27" t="str">
        <f>IF($E870="","",N(INDEX(进销存对接!$M$4:$U$305,289,9)))</f>
        <v/>
      </c>
      <c r="J870" s="26"/>
      <c r="K870" s="26" t="str">
        <f>IF($E870="","",INDEX(进销存对接!$D$4:$D$305,289))</f>
        <v/>
      </c>
      <c r="L870" s="32"/>
      <c r="M870" s="32"/>
      <c r="N870" s="26" t="str">
        <f t="shared" si="54"/>
        <v/>
      </c>
      <c r="O870" s="26" t="str">
        <f t="shared" si="55"/>
        <v/>
      </c>
      <c r="P870" s="10"/>
    </row>
    <row r="871" ht="18" customHeight="1" spans="1:16">
      <c r="A871" s="32" t="str">
        <f t="shared" si="52"/>
        <v/>
      </c>
      <c r="B871" s="100" t="str">
        <f>IF($E871="","",INDEX(进销存对接!$C$4:$C$305,290))</f>
        <v/>
      </c>
      <c r="C871" s="26" t="str">
        <f t="shared" si="53"/>
        <v/>
      </c>
      <c r="D871" s="32" t="str">
        <f>IF($E871="","",INDEX(进销存对接!$D$4:$D$305,290)&amp;" "&amp;TEXT($B871,"YYYY年M月")&amp;" 自动结转")</f>
        <v/>
      </c>
      <c r="E871" s="26" t="str">
        <f>IF(INDEX(进销存对接!$M$4:$U$305,290,1)=0,"",INDEX(进销存对接!$M$4:$U$305,290,1))</f>
        <v/>
      </c>
      <c r="F871" s="25" t="str">
        <f>IF($E871="","",IFERROR(INDEX(科目表!$A$4:$A$81,MATCH($E871,科目表!$B$4:$B$81,0)),""))</f>
        <v/>
      </c>
      <c r="G871" s="26" t="str">
        <f>IF($E871="","",IFERROR(INDEX(科目表!$E$4:$E$81,MATCH($E871,科目表!$B$4:$B$81,0)),""))</f>
        <v/>
      </c>
      <c r="H871" s="27" t="str">
        <f>IF($E871="","",N(INDEX(进销存对接!$M$4:$U$305,290,2)))</f>
        <v/>
      </c>
      <c r="I871" s="27" t="str">
        <f>IF($E871="","",N(INDEX(进销存对接!$M$4:$U$305,290,3)))</f>
        <v/>
      </c>
      <c r="J871" s="26"/>
      <c r="K871" s="26" t="str">
        <f>IF($E871="","",INDEX(进销存对接!$D$4:$D$305,290))</f>
        <v/>
      </c>
      <c r="L871" s="32"/>
      <c r="M871" s="32"/>
      <c r="N871" s="26" t="str">
        <f t="shared" si="54"/>
        <v/>
      </c>
      <c r="O871" s="26" t="str">
        <f t="shared" si="55"/>
        <v/>
      </c>
      <c r="P871" s="10"/>
    </row>
    <row r="872" ht="18" customHeight="1" spans="1:16">
      <c r="A872" s="32" t="str">
        <f t="shared" si="52"/>
        <v/>
      </c>
      <c r="B872" s="100" t="str">
        <f>IF($E872="","",INDEX(进销存对接!$C$4:$C$305,290))</f>
        <v/>
      </c>
      <c r="C872" s="26" t="str">
        <f t="shared" si="53"/>
        <v/>
      </c>
      <c r="D872" s="32" t="str">
        <f>IF($E872="","",INDEX(进销存对接!$D$4:$D$305,290)&amp;" "&amp;TEXT($B872,"YYYY年M月")&amp;" 自动结转")</f>
        <v/>
      </c>
      <c r="E872" s="26" t="str">
        <f>IF(INDEX(进销存对接!$M$4:$U$305,290,4)=0,"",INDEX(进销存对接!$M$4:$U$305,290,4))</f>
        <v/>
      </c>
      <c r="F872" s="25" t="str">
        <f>IF($E872="","",IFERROR(INDEX(科目表!$A$4:$A$81,MATCH($E872,科目表!$B$4:$B$81,0)),""))</f>
        <v/>
      </c>
      <c r="G872" s="26" t="str">
        <f>IF($E872="","",IFERROR(INDEX(科目表!$E$4:$E$81,MATCH($E872,科目表!$B$4:$B$81,0)),""))</f>
        <v/>
      </c>
      <c r="H872" s="27" t="str">
        <f>IF($E872="","",N(INDEX(进销存对接!$M$4:$U$305,290,5)))</f>
        <v/>
      </c>
      <c r="I872" s="27" t="str">
        <f>IF($E872="","",N(INDEX(进销存对接!$M$4:$U$305,290,6)))</f>
        <v/>
      </c>
      <c r="J872" s="26"/>
      <c r="K872" s="26" t="str">
        <f>IF($E872="","",INDEX(进销存对接!$D$4:$D$305,290))</f>
        <v/>
      </c>
      <c r="L872" s="32"/>
      <c r="M872" s="32"/>
      <c r="N872" s="26" t="str">
        <f t="shared" si="54"/>
        <v/>
      </c>
      <c r="O872" s="26" t="str">
        <f t="shared" si="55"/>
        <v/>
      </c>
      <c r="P872" s="10"/>
    </row>
    <row r="873" ht="18" customHeight="1" spans="1:16">
      <c r="A873" s="32" t="str">
        <f t="shared" si="52"/>
        <v/>
      </c>
      <c r="B873" s="100" t="str">
        <f>IF($E873="","",INDEX(进销存对接!$C$4:$C$305,290))</f>
        <v/>
      </c>
      <c r="C873" s="26" t="str">
        <f t="shared" si="53"/>
        <v/>
      </c>
      <c r="D873" s="32" t="str">
        <f>IF($E873="","",INDEX(进销存对接!$D$4:$D$305,290)&amp;" "&amp;TEXT($B873,"YYYY年M月")&amp;" 自动结转")</f>
        <v/>
      </c>
      <c r="E873" s="26" t="str">
        <f>IF(INDEX(进销存对接!$M$4:$U$305,290,7)=0,"",INDEX(进销存对接!$M$4:$U$305,290,7))</f>
        <v/>
      </c>
      <c r="F873" s="25" t="str">
        <f>IF($E873="","",IFERROR(INDEX(科目表!$A$4:$A$81,MATCH($E873,科目表!$B$4:$B$81,0)),""))</f>
        <v/>
      </c>
      <c r="G873" s="26" t="str">
        <f>IF($E873="","",IFERROR(INDEX(科目表!$E$4:$E$81,MATCH($E873,科目表!$B$4:$B$81,0)),""))</f>
        <v/>
      </c>
      <c r="H873" s="27" t="str">
        <f>IF($E873="","",N(INDEX(进销存对接!$M$4:$U$305,290,8)))</f>
        <v/>
      </c>
      <c r="I873" s="27" t="str">
        <f>IF($E873="","",N(INDEX(进销存对接!$M$4:$U$305,290,9)))</f>
        <v/>
      </c>
      <c r="J873" s="26"/>
      <c r="K873" s="26" t="str">
        <f>IF($E873="","",INDEX(进销存对接!$D$4:$D$305,290))</f>
        <v/>
      </c>
      <c r="L873" s="32"/>
      <c r="M873" s="32"/>
      <c r="N873" s="26" t="str">
        <f t="shared" si="54"/>
        <v/>
      </c>
      <c r="O873" s="26" t="str">
        <f t="shared" si="55"/>
        <v/>
      </c>
      <c r="P873" s="10"/>
    </row>
    <row r="874" ht="18" customHeight="1" spans="1:16">
      <c r="A874" s="32" t="str">
        <f t="shared" si="52"/>
        <v/>
      </c>
      <c r="B874" s="100" t="str">
        <f>IF($E874="","",INDEX(进销存对接!$C$4:$C$305,291))</f>
        <v/>
      </c>
      <c r="C874" s="26" t="str">
        <f t="shared" si="53"/>
        <v/>
      </c>
      <c r="D874" s="32" t="str">
        <f>IF($E874="","",INDEX(进销存对接!$D$4:$D$305,291)&amp;" "&amp;TEXT($B874,"YYYY年M月")&amp;" 自动结转")</f>
        <v/>
      </c>
      <c r="E874" s="26" t="str">
        <f>IF(INDEX(进销存对接!$M$4:$U$305,291,1)=0,"",INDEX(进销存对接!$M$4:$U$305,291,1))</f>
        <v/>
      </c>
      <c r="F874" s="25" t="str">
        <f>IF($E874="","",IFERROR(INDEX(科目表!$A$4:$A$81,MATCH($E874,科目表!$B$4:$B$81,0)),""))</f>
        <v/>
      </c>
      <c r="G874" s="26" t="str">
        <f>IF($E874="","",IFERROR(INDEX(科目表!$E$4:$E$81,MATCH($E874,科目表!$B$4:$B$81,0)),""))</f>
        <v/>
      </c>
      <c r="H874" s="27" t="str">
        <f>IF($E874="","",N(INDEX(进销存对接!$M$4:$U$305,291,2)))</f>
        <v/>
      </c>
      <c r="I874" s="27" t="str">
        <f>IF($E874="","",N(INDEX(进销存对接!$M$4:$U$305,291,3)))</f>
        <v/>
      </c>
      <c r="J874" s="26"/>
      <c r="K874" s="26" t="str">
        <f>IF($E874="","",INDEX(进销存对接!$D$4:$D$305,291))</f>
        <v/>
      </c>
      <c r="L874" s="32"/>
      <c r="M874" s="32"/>
      <c r="N874" s="26" t="str">
        <f t="shared" si="54"/>
        <v/>
      </c>
      <c r="O874" s="26" t="str">
        <f t="shared" si="55"/>
        <v/>
      </c>
      <c r="P874" s="10"/>
    </row>
    <row r="875" ht="18" customHeight="1" spans="1:16">
      <c r="A875" s="32" t="str">
        <f t="shared" si="52"/>
        <v/>
      </c>
      <c r="B875" s="100" t="str">
        <f>IF($E875="","",INDEX(进销存对接!$C$4:$C$305,291))</f>
        <v/>
      </c>
      <c r="C875" s="26" t="str">
        <f t="shared" si="53"/>
        <v/>
      </c>
      <c r="D875" s="32" t="str">
        <f>IF($E875="","",INDEX(进销存对接!$D$4:$D$305,291)&amp;" "&amp;TEXT($B875,"YYYY年M月")&amp;" 自动结转")</f>
        <v/>
      </c>
      <c r="E875" s="26" t="str">
        <f>IF(INDEX(进销存对接!$M$4:$U$305,291,4)=0,"",INDEX(进销存对接!$M$4:$U$305,291,4))</f>
        <v/>
      </c>
      <c r="F875" s="25" t="str">
        <f>IF($E875="","",IFERROR(INDEX(科目表!$A$4:$A$81,MATCH($E875,科目表!$B$4:$B$81,0)),""))</f>
        <v/>
      </c>
      <c r="G875" s="26" t="str">
        <f>IF($E875="","",IFERROR(INDEX(科目表!$E$4:$E$81,MATCH($E875,科目表!$B$4:$B$81,0)),""))</f>
        <v/>
      </c>
      <c r="H875" s="27" t="str">
        <f>IF($E875="","",N(INDEX(进销存对接!$M$4:$U$305,291,5)))</f>
        <v/>
      </c>
      <c r="I875" s="27" t="str">
        <f>IF($E875="","",N(INDEX(进销存对接!$M$4:$U$305,291,6)))</f>
        <v/>
      </c>
      <c r="J875" s="26"/>
      <c r="K875" s="26" t="str">
        <f>IF($E875="","",INDEX(进销存对接!$D$4:$D$305,291))</f>
        <v/>
      </c>
      <c r="L875" s="32"/>
      <c r="M875" s="32"/>
      <c r="N875" s="26" t="str">
        <f t="shared" si="54"/>
        <v/>
      </c>
      <c r="O875" s="26" t="str">
        <f t="shared" si="55"/>
        <v/>
      </c>
      <c r="P875" s="10"/>
    </row>
    <row r="876" ht="18" customHeight="1" spans="1:16">
      <c r="A876" s="32" t="str">
        <f t="shared" si="52"/>
        <v/>
      </c>
      <c r="B876" s="100" t="str">
        <f>IF($E876="","",INDEX(进销存对接!$C$4:$C$305,291))</f>
        <v/>
      </c>
      <c r="C876" s="26" t="str">
        <f t="shared" si="53"/>
        <v/>
      </c>
      <c r="D876" s="32" t="str">
        <f>IF($E876="","",INDEX(进销存对接!$D$4:$D$305,291)&amp;" "&amp;TEXT($B876,"YYYY年M月")&amp;" 自动结转")</f>
        <v/>
      </c>
      <c r="E876" s="26" t="str">
        <f>IF(INDEX(进销存对接!$M$4:$U$305,291,7)=0,"",INDEX(进销存对接!$M$4:$U$305,291,7))</f>
        <v/>
      </c>
      <c r="F876" s="25" t="str">
        <f>IF($E876="","",IFERROR(INDEX(科目表!$A$4:$A$81,MATCH($E876,科目表!$B$4:$B$81,0)),""))</f>
        <v/>
      </c>
      <c r="G876" s="26" t="str">
        <f>IF($E876="","",IFERROR(INDEX(科目表!$E$4:$E$81,MATCH($E876,科目表!$B$4:$B$81,0)),""))</f>
        <v/>
      </c>
      <c r="H876" s="27" t="str">
        <f>IF($E876="","",N(INDEX(进销存对接!$M$4:$U$305,291,8)))</f>
        <v/>
      </c>
      <c r="I876" s="27" t="str">
        <f>IF($E876="","",N(INDEX(进销存对接!$M$4:$U$305,291,9)))</f>
        <v/>
      </c>
      <c r="J876" s="26"/>
      <c r="K876" s="26" t="str">
        <f>IF($E876="","",INDEX(进销存对接!$D$4:$D$305,291))</f>
        <v/>
      </c>
      <c r="L876" s="32"/>
      <c r="M876" s="32"/>
      <c r="N876" s="26" t="str">
        <f t="shared" si="54"/>
        <v/>
      </c>
      <c r="O876" s="26" t="str">
        <f t="shared" si="55"/>
        <v/>
      </c>
      <c r="P876" s="10"/>
    </row>
    <row r="877" ht="18" customHeight="1" spans="1:16">
      <c r="A877" s="32" t="str">
        <f t="shared" si="52"/>
        <v/>
      </c>
      <c r="B877" s="100" t="str">
        <f>IF($E877="","",INDEX(进销存对接!$C$4:$C$305,292))</f>
        <v/>
      </c>
      <c r="C877" s="26" t="str">
        <f t="shared" si="53"/>
        <v/>
      </c>
      <c r="D877" s="32" t="str">
        <f>IF($E877="","",INDEX(进销存对接!$D$4:$D$305,292)&amp;" "&amp;TEXT($B877,"YYYY年M月")&amp;" 自动结转")</f>
        <v/>
      </c>
      <c r="E877" s="26" t="str">
        <f>IF(INDEX(进销存对接!$M$4:$U$305,292,1)=0,"",INDEX(进销存对接!$M$4:$U$305,292,1))</f>
        <v/>
      </c>
      <c r="F877" s="25" t="str">
        <f>IF($E877="","",IFERROR(INDEX(科目表!$A$4:$A$81,MATCH($E877,科目表!$B$4:$B$81,0)),""))</f>
        <v/>
      </c>
      <c r="G877" s="26" t="str">
        <f>IF($E877="","",IFERROR(INDEX(科目表!$E$4:$E$81,MATCH($E877,科目表!$B$4:$B$81,0)),""))</f>
        <v/>
      </c>
      <c r="H877" s="27" t="str">
        <f>IF($E877="","",N(INDEX(进销存对接!$M$4:$U$305,292,2)))</f>
        <v/>
      </c>
      <c r="I877" s="27" t="str">
        <f>IF($E877="","",N(INDEX(进销存对接!$M$4:$U$305,292,3)))</f>
        <v/>
      </c>
      <c r="J877" s="26"/>
      <c r="K877" s="26" t="str">
        <f>IF($E877="","",INDEX(进销存对接!$D$4:$D$305,292))</f>
        <v/>
      </c>
      <c r="L877" s="32"/>
      <c r="M877" s="32"/>
      <c r="N877" s="26" t="str">
        <f t="shared" si="54"/>
        <v/>
      </c>
      <c r="O877" s="26" t="str">
        <f t="shared" si="55"/>
        <v/>
      </c>
      <c r="P877" s="10"/>
    </row>
    <row r="878" ht="18" customHeight="1" spans="1:16">
      <c r="A878" s="32" t="str">
        <f t="shared" si="52"/>
        <v/>
      </c>
      <c r="B878" s="100" t="str">
        <f>IF($E878="","",INDEX(进销存对接!$C$4:$C$305,292))</f>
        <v/>
      </c>
      <c r="C878" s="26" t="str">
        <f t="shared" si="53"/>
        <v/>
      </c>
      <c r="D878" s="32" t="str">
        <f>IF($E878="","",INDEX(进销存对接!$D$4:$D$305,292)&amp;" "&amp;TEXT($B878,"YYYY年M月")&amp;" 自动结转")</f>
        <v/>
      </c>
      <c r="E878" s="26" t="str">
        <f>IF(INDEX(进销存对接!$M$4:$U$305,292,4)=0,"",INDEX(进销存对接!$M$4:$U$305,292,4))</f>
        <v/>
      </c>
      <c r="F878" s="25" t="str">
        <f>IF($E878="","",IFERROR(INDEX(科目表!$A$4:$A$81,MATCH($E878,科目表!$B$4:$B$81,0)),""))</f>
        <v/>
      </c>
      <c r="G878" s="26" t="str">
        <f>IF($E878="","",IFERROR(INDEX(科目表!$E$4:$E$81,MATCH($E878,科目表!$B$4:$B$81,0)),""))</f>
        <v/>
      </c>
      <c r="H878" s="27" t="str">
        <f>IF($E878="","",N(INDEX(进销存对接!$M$4:$U$305,292,5)))</f>
        <v/>
      </c>
      <c r="I878" s="27" t="str">
        <f>IF($E878="","",N(INDEX(进销存对接!$M$4:$U$305,292,6)))</f>
        <v/>
      </c>
      <c r="J878" s="26"/>
      <c r="K878" s="26" t="str">
        <f>IF($E878="","",INDEX(进销存对接!$D$4:$D$305,292))</f>
        <v/>
      </c>
      <c r="L878" s="32"/>
      <c r="M878" s="32"/>
      <c r="N878" s="26" t="str">
        <f t="shared" si="54"/>
        <v/>
      </c>
      <c r="O878" s="26" t="str">
        <f t="shared" si="55"/>
        <v/>
      </c>
      <c r="P878" s="10"/>
    </row>
    <row r="879" ht="18" customHeight="1" spans="1:16">
      <c r="A879" s="32" t="str">
        <f t="shared" si="52"/>
        <v/>
      </c>
      <c r="B879" s="100" t="str">
        <f>IF($E879="","",INDEX(进销存对接!$C$4:$C$305,292))</f>
        <v/>
      </c>
      <c r="C879" s="26" t="str">
        <f t="shared" si="53"/>
        <v/>
      </c>
      <c r="D879" s="32" t="str">
        <f>IF($E879="","",INDEX(进销存对接!$D$4:$D$305,292)&amp;" "&amp;TEXT($B879,"YYYY年M月")&amp;" 自动结转")</f>
        <v/>
      </c>
      <c r="E879" s="26" t="str">
        <f>IF(INDEX(进销存对接!$M$4:$U$305,292,7)=0,"",INDEX(进销存对接!$M$4:$U$305,292,7))</f>
        <v/>
      </c>
      <c r="F879" s="25" t="str">
        <f>IF($E879="","",IFERROR(INDEX(科目表!$A$4:$A$81,MATCH($E879,科目表!$B$4:$B$81,0)),""))</f>
        <v/>
      </c>
      <c r="G879" s="26" t="str">
        <f>IF($E879="","",IFERROR(INDEX(科目表!$E$4:$E$81,MATCH($E879,科目表!$B$4:$B$81,0)),""))</f>
        <v/>
      </c>
      <c r="H879" s="27" t="str">
        <f>IF($E879="","",N(INDEX(进销存对接!$M$4:$U$305,292,8)))</f>
        <v/>
      </c>
      <c r="I879" s="27" t="str">
        <f>IF($E879="","",N(INDEX(进销存对接!$M$4:$U$305,292,9)))</f>
        <v/>
      </c>
      <c r="J879" s="26"/>
      <c r="K879" s="26" t="str">
        <f>IF($E879="","",INDEX(进销存对接!$D$4:$D$305,292))</f>
        <v/>
      </c>
      <c r="L879" s="32"/>
      <c r="M879" s="32"/>
      <c r="N879" s="26" t="str">
        <f t="shared" si="54"/>
        <v/>
      </c>
      <c r="O879" s="26" t="str">
        <f t="shared" si="55"/>
        <v/>
      </c>
      <c r="P879" s="10"/>
    </row>
    <row r="880" ht="18" customHeight="1" spans="1:16">
      <c r="A880" s="32" t="str">
        <f t="shared" si="52"/>
        <v/>
      </c>
      <c r="B880" s="100" t="str">
        <f>IF($E880="","",INDEX(进销存对接!$C$4:$C$305,293))</f>
        <v/>
      </c>
      <c r="C880" s="26" t="str">
        <f t="shared" si="53"/>
        <v/>
      </c>
      <c r="D880" s="32" t="str">
        <f>IF($E880="","",INDEX(进销存对接!$D$4:$D$305,293)&amp;" "&amp;TEXT($B880,"YYYY年M月")&amp;" 自动结转")</f>
        <v/>
      </c>
      <c r="E880" s="26" t="str">
        <f>IF(INDEX(进销存对接!$M$4:$U$305,293,1)=0,"",INDEX(进销存对接!$M$4:$U$305,293,1))</f>
        <v/>
      </c>
      <c r="F880" s="25" t="str">
        <f>IF($E880="","",IFERROR(INDEX(科目表!$A$4:$A$81,MATCH($E880,科目表!$B$4:$B$81,0)),""))</f>
        <v/>
      </c>
      <c r="G880" s="26" t="str">
        <f>IF($E880="","",IFERROR(INDEX(科目表!$E$4:$E$81,MATCH($E880,科目表!$B$4:$B$81,0)),""))</f>
        <v/>
      </c>
      <c r="H880" s="27" t="str">
        <f>IF($E880="","",N(INDEX(进销存对接!$M$4:$U$305,293,2)))</f>
        <v/>
      </c>
      <c r="I880" s="27" t="str">
        <f>IF($E880="","",N(INDEX(进销存对接!$M$4:$U$305,293,3)))</f>
        <v/>
      </c>
      <c r="J880" s="26"/>
      <c r="K880" s="26" t="str">
        <f>IF($E880="","",INDEX(进销存对接!$D$4:$D$305,293))</f>
        <v/>
      </c>
      <c r="L880" s="32"/>
      <c r="M880" s="32"/>
      <c r="N880" s="26" t="str">
        <f t="shared" si="54"/>
        <v/>
      </c>
      <c r="O880" s="26" t="str">
        <f t="shared" si="55"/>
        <v/>
      </c>
      <c r="P880" s="10"/>
    </row>
    <row r="881" ht="18" customHeight="1" spans="1:16">
      <c r="A881" s="32" t="str">
        <f t="shared" si="52"/>
        <v/>
      </c>
      <c r="B881" s="100" t="str">
        <f>IF($E881="","",INDEX(进销存对接!$C$4:$C$305,293))</f>
        <v/>
      </c>
      <c r="C881" s="26" t="str">
        <f t="shared" si="53"/>
        <v/>
      </c>
      <c r="D881" s="32" t="str">
        <f>IF($E881="","",INDEX(进销存对接!$D$4:$D$305,293)&amp;" "&amp;TEXT($B881,"YYYY年M月")&amp;" 自动结转")</f>
        <v/>
      </c>
      <c r="E881" s="26" t="str">
        <f>IF(INDEX(进销存对接!$M$4:$U$305,293,4)=0,"",INDEX(进销存对接!$M$4:$U$305,293,4))</f>
        <v/>
      </c>
      <c r="F881" s="25" t="str">
        <f>IF($E881="","",IFERROR(INDEX(科目表!$A$4:$A$81,MATCH($E881,科目表!$B$4:$B$81,0)),""))</f>
        <v/>
      </c>
      <c r="G881" s="26" t="str">
        <f>IF($E881="","",IFERROR(INDEX(科目表!$E$4:$E$81,MATCH($E881,科目表!$B$4:$B$81,0)),""))</f>
        <v/>
      </c>
      <c r="H881" s="27" t="str">
        <f>IF($E881="","",N(INDEX(进销存对接!$M$4:$U$305,293,5)))</f>
        <v/>
      </c>
      <c r="I881" s="27" t="str">
        <f>IF($E881="","",N(INDEX(进销存对接!$M$4:$U$305,293,6)))</f>
        <v/>
      </c>
      <c r="J881" s="26"/>
      <c r="K881" s="26" t="str">
        <f>IF($E881="","",INDEX(进销存对接!$D$4:$D$305,293))</f>
        <v/>
      </c>
      <c r="L881" s="32"/>
      <c r="M881" s="32"/>
      <c r="N881" s="26" t="str">
        <f t="shared" si="54"/>
        <v/>
      </c>
      <c r="O881" s="26" t="str">
        <f t="shared" si="55"/>
        <v/>
      </c>
      <c r="P881" s="10"/>
    </row>
    <row r="882" ht="18" customHeight="1" spans="1:16">
      <c r="A882" s="32" t="str">
        <f t="shared" si="52"/>
        <v/>
      </c>
      <c r="B882" s="100" t="str">
        <f>IF($E882="","",INDEX(进销存对接!$C$4:$C$305,293))</f>
        <v/>
      </c>
      <c r="C882" s="26" t="str">
        <f t="shared" si="53"/>
        <v/>
      </c>
      <c r="D882" s="32" t="str">
        <f>IF($E882="","",INDEX(进销存对接!$D$4:$D$305,293)&amp;" "&amp;TEXT($B882,"YYYY年M月")&amp;" 自动结转")</f>
        <v/>
      </c>
      <c r="E882" s="26" t="str">
        <f>IF(INDEX(进销存对接!$M$4:$U$305,293,7)=0,"",INDEX(进销存对接!$M$4:$U$305,293,7))</f>
        <v/>
      </c>
      <c r="F882" s="25" t="str">
        <f>IF($E882="","",IFERROR(INDEX(科目表!$A$4:$A$81,MATCH($E882,科目表!$B$4:$B$81,0)),""))</f>
        <v/>
      </c>
      <c r="G882" s="26" t="str">
        <f>IF($E882="","",IFERROR(INDEX(科目表!$E$4:$E$81,MATCH($E882,科目表!$B$4:$B$81,0)),""))</f>
        <v/>
      </c>
      <c r="H882" s="27" t="str">
        <f>IF($E882="","",N(INDEX(进销存对接!$M$4:$U$305,293,8)))</f>
        <v/>
      </c>
      <c r="I882" s="27" t="str">
        <f>IF($E882="","",N(INDEX(进销存对接!$M$4:$U$305,293,9)))</f>
        <v/>
      </c>
      <c r="J882" s="26"/>
      <c r="K882" s="26" t="str">
        <f>IF($E882="","",INDEX(进销存对接!$D$4:$D$305,293))</f>
        <v/>
      </c>
      <c r="L882" s="32"/>
      <c r="M882" s="32"/>
      <c r="N882" s="26" t="str">
        <f t="shared" si="54"/>
        <v/>
      </c>
      <c r="O882" s="26" t="str">
        <f t="shared" si="55"/>
        <v/>
      </c>
      <c r="P882" s="10"/>
    </row>
    <row r="883" ht="18" customHeight="1" spans="1:16">
      <c r="A883" s="32" t="str">
        <f t="shared" si="52"/>
        <v/>
      </c>
      <c r="B883" s="100" t="str">
        <f>IF($E883="","",INDEX(进销存对接!$C$4:$C$305,294))</f>
        <v/>
      </c>
      <c r="C883" s="26" t="str">
        <f t="shared" si="53"/>
        <v/>
      </c>
      <c r="D883" s="32" t="str">
        <f>IF($E883="","",INDEX(进销存对接!$D$4:$D$305,294)&amp;" "&amp;TEXT($B883,"YYYY年M月")&amp;" 自动结转")</f>
        <v/>
      </c>
      <c r="E883" s="26" t="str">
        <f>IF(INDEX(进销存对接!$M$4:$U$305,294,1)=0,"",INDEX(进销存对接!$M$4:$U$305,294,1))</f>
        <v/>
      </c>
      <c r="F883" s="25" t="str">
        <f>IF($E883="","",IFERROR(INDEX(科目表!$A$4:$A$81,MATCH($E883,科目表!$B$4:$B$81,0)),""))</f>
        <v/>
      </c>
      <c r="G883" s="26" t="str">
        <f>IF($E883="","",IFERROR(INDEX(科目表!$E$4:$E$81,MATCH($E883,科目表!$B$4:$B$81,0)),""))</f>
        <v/>
      </c>
      <c r="H883" s="27" t="str">
        <f>IF($E883="","",N(INDEX(进销存对接!$M$4:$U$305,294,2)))</f>
        <v/>
      </c>
      <c r="I883" s="27" t="str">
        <f>IF($E883="","",N(INDEX(进销存对接!$M$4:$U$305,294,3)))</f>
        <v/>
      </c>
      <c r="J883" s="26"/>
      <c r="K883" s="26" t="str">
        <f>IF($E883="","",INDEX(进销存对接!$D$4:$D$305,294))</f>
        <v/>
      </c>
      <c r="L883" s="32"/>
      <c r="M883" s="32"/>
      <c r="N883" s="26" t="str">
        <f t="shared" si="54"/>
        <v/>
      </c>
      <c r="O883" s="26" t="str">
        <f t="shared" si="55"/>
        <v/>
      </c>
      <c r="P883" s="10"/>
    </row>
    <row r="884" ht="18" customHeight="1" spans="1:16">
      <c r="A884" s="32" t="str">
        <f t="shared" si="52"/>
        <v/>
      </c>
      <c r="B884" s="100" t="str">
        <f>IF($E884="","",INDEX(进销存对接!$C$4:$C$305,294))</f>
        <v/>
      </c>
      <c r="C884" s="26" t="str">
        <f t="shared" si="53"/>
        <v/>
      </c>
      <c r="D884" s="32" t="str">
        <f>IF($E884="","",INDEX(进销存对接!$D$4:$D$305,294)&amp;" "&amp;TEXT($B884,"YYYY年M月")&amp;" 自动结转")</f>
        <v/>
      </c>
      <c r="E884" s="26" t="str">
        <f>IF(INDEX(进销存对接!$M$4:$U$305,294,4)=0,"",INDEX(进销存对接!$M$4:$U$305,294,4))</f>
        <v/>
      </c>
      <c r="F884" s="25" t="str">
        <f>IF($E884="","",IFERROR(INDEX(科目表!$A$4:$A$81,MATCH($E884,科目表!$B$4:$B$81,0)),""))</f>
        <v/>
      </c>
      <c r="G884" s="26" t="str">
        <f>IF($E884="","",IFERROR(INDEX(科目表!$E$4:$E$81,MATCH($E884,科目表!$B$4:$B$81,0)),""))</f>
        <v/>
      </c>
      <c r="H884" s="27" t="str">
        <f>IF($E884="","",N(INDEX(进销存对接!$M$4:$U$305,294,5)))</f>
        <v/>
      </c>
      <c r="I884" s="27" t="str">
        <f>IF($E884="","",N(INDEX(进销存对接!$M$4:$U$305,294,6)))</f>
        <v/>
      </c>
      <c r="J884" s="26"/>
      <c r="K884" s="26" t="str">
        <f>IF($E884="","",INDEX(进销存对接!$D$4:$D$305,294))</f>
        <v/>
      </c>
      <c r="L884" s="32"/>
      <c r="M884" s="32"/>
      <c r="N884" s="26" t="str">
        <f t="shared" si="54"/>
        <v/>
      </c>
      <c r="O884" s="26" t="str">
        <f t="shared" si="55"/>
        <v/>
      </c>
      <c r="P884" s="10"/>
    </row>
    <row r="885" ht="18" customHeight="1" spans="1:16">
      <c r="A885" s="32" t="str">
        <f t="shared" si="52"/>
        <v/>
      </c>
      <c r="B885" s="100" t="str">
        <f>IF($E885="","",INDEX(进销存对接!$C$4:$C$305,294))</f>
        <v/>
      </c>
      <c r="C885" s="26" t="str">
        <f t="shared" si="53"/>
        <v/>
      </c>
      <c r="D885" s="32" t="str">
        <f>IF($E885="","",INDEX(进销存对接!$D$4:$D$305,294)&amp;" "&amp;TEXT($B885,"YYYY年M月")&amp;" 自动结转")</f>
        <v/>
      </c>
      <c r="E885" s="26" t="str">
        <f>IF(INDEX(进销存对接!$M$4:$U$305,294,7)=0,"",INDEX(进销存对接!$M$4:$U$305,294,7))</f>
        <v/>
      </c>
      <c r="F885" s="25" t="str">
        <f>IF($E885="","",IFERROR(INDEX(科目表!$A$4:$A$81,MATCH($E885,科目表!$B$4:$B$81,0)),""))</f>
        <v/>
      </c>
      <c r="G885" s="26" t="str">
        <f>IF($E885="","",IFERROR(INDEX(科目表!$E$4:$E$81,MATCH($E885,科目表!$B$4:$B$81,0)),""))</f>
        <v/>
      </c>
      <c r="H885" s="27" t="str">
        <f>IF($E885="","",N(INDEX(进销存对接!$M$4:$U$305,294,8)))</f>
        <v/>
      </c>
      <c r="I885" s="27" t="str">
        <f>IF($E885="","",N(INDEX(进销存对接!$M$4:$U$305,294,9)))</f>
        <v/>
      </c>
      <c r="J885" s="26"/>
      <c r="K885" s="26" t="str">
        <f>IF($E885="","",INDEX(进销存对接!$D$4:$D$305,294))</f>
        <v/>
      </c>
      <c r="L885" s="32"/>
      <c r="M885" s="32"/>
      <c r="N885" s="26" t="str">
        <f t="shared" si="54"/>
        <v/>
      </c>
      <c r="O885" s="26" t="str">
        <f t="shared" si="55"/>
        <v/>
      </c>
      <c r="P885" s="10"/>
    </row>
    <row r="886" ht="18" customHeight="1" spans="1:16">
      <c r="A886" s="32" t="str">
        <f t="shared" si="52"/>
        <v/>
      </c>
      <c r="B886" s="100" t="str">
        <f>IF($E886="","",INDEX(进销存对接!$C$4:$C$305,295))</f>
        <v/>
      </c>
      <c r="C886" s="26" t="str">
        <f t="shared" si="53"/>
        <v/>
      </c>
      <c r="D886" s="32" t="str">
        <f>IF($E886="","",INDEX(进销存对接!$D$4:$D$305,295)&amp;" "&amp;TEXT($B886,"YYYY年M月")&amp;" 自动结转")</f>
        <v/>
      </c>
      <c r="E886" s="26" t="str">
        <f>IF(INDEX(进销存对接!$M$4:$U$305,295,1)=0,"",INDEX(进销存对接!$M$4:$U$305,295,1))</f>
        <v/>
      </c>
      <c r="F886" s="25" t="str">
        <f>IF($E886="","",IFERROR(INDEX(科目表!$A$4:$A$81,MATCH($E886,科目表!$B$4:$B$81,0)),""))</f>
        <v/>
      </c>
      <c r="G886" s="26" t="str">
        <f>IF($E886="","",IFERROR(INDEX(科目表!$E$4:$E$81,MATCH($E886,科目表!$B$4:$B$81,0)),""))</f>
        <v/>
      </c>
      <c r="H886" s="27" t="str">
        <f>IF($E886="","",N(INDEX(进销存对接!$M$4:$U$305,295,2)))</f>
        <v/>
      </c>
      <c r="I886" s="27" t="str">
        <f>IF($E886="","",N(INDEX(进销存对接!$M$4:$U$305,295,3)))</f>
        <v/>
      </c>
      <c r="J886" s="26"/>
      <c r="K886" s="26" t="str">
        <f>IF($E886="","",INDEX(进销存对接!$D$4:$D$305,295))</f>
        <v/>
      </c>
      <c r="L886" s="32"/>
      <c r="M886" s="32"/>
      <c r="N886" s="26" t="str">
        <f t="shared" si="54"/>
        <v/>
      </c>
      <c r="O886" s="26" t="str">
        <f t="shared" si="55"/>
        <v/>
      </c>
      <c r="P886" s="10"/>
    </row>
    <row r="887" ht="18" customHeight="1" spans="1:16">
      <c r="A887" s="32" t="str">
        <f t="shared" si="52"/>
        <v/>
      </c>
      <c r="B887" s="100" t="str">
        <f>IF($E887="","",INDEX(进销存对接!$C$4:$C$305,295))</f>
        <v/>
      </c>
      <c r="C887" s="26" t="str">
        <f t="shared" si="53"/>
        <v/>
      </c>
      <c r="D887" s="32" t="str">
        <f>IF($E887="","",INDEX(进销存对接!$D$4:$D$305,295)&amp;" "&amp;TEXT($B887,"YYYY年M月")&amp;" 自动结转")</f>
        <v/>
      </c>
      <c r="E887" s="26" t="str">
        <f>IF(INDEX(进销存对接!$M$4:$U$305,295,4)=0,"",INDEX(进销存对接!$M$4:$U$305,295,4))</f>
        <v/>
      </c>
      <c r="F887" s="25" t="str">
        <f>IF($E887="","",IFERROR(INDEX(科目表!$A$4:$A$81,MATCH($E887,科目表!$B$4:$B$81,0)),""))</f>
        <v/>
      </c>
      <c r="G887" s="26" t="str">
        <f>IF($E887="","",IFERROR(INDEX(科目表!$E$4:$E$81,MATCH($E887,科目表!$B$4:$B$81,0)),""))</f>
        <v/>
      </c>
      <c r="H887" s="27" t="str">
        <f>IF($E887="","",N(INDEX(进销存对接!$M$4:$U$305,295,5)))</f>
        <v/>
      </c>
      <c r="I887" s="27" t="str">
        <f>IF($E887="","",N(INDEX(进销存对接!$M$4:$U$305,295,6)))</f>
        <v/>
      </c>
      <c r="J887" s="26"/>
      <c r="K887" s="26" t="str">
        <f>IF($E887="","",INDEX(进销存对接!$D$4:$D$305,295))</f>
        <v/>
      </c>
      <c r="L887" s="32"/>
      <c r="M887" s="32"/>
      <c r="N887" s="26" t="str">
        <f t="shared" si="54"/>
        <v/>
      </c>
      <c r="O887" s="26" t="str">
        <f t="shared" si="55"/>
        <v/>
      </c>
      <c r="P887" s="10"/>
    </row>
    <row r="888" ht="18" customHeight="1" spans="1:16">
      <c r="A888" s="32" t="str">
        <f t="shared" si="52"/>
        <v/>
      </c>
      <c r="B888" s="100" t="str">
        <f>IF($E888="","",INDEX(进销存对接!$C$4:$C$305,295))</f>
        <v/>
      </c>
      <c r="C888" s="26" t="str">
        <f t="shared" si="53"/>
        <v/>
      </c>
      <c r="D888" s="32" t="str">
        <f>IF($E888="","",INDEX(进销存对接!$D$4:$D$305,295)&amp;" "&amp;TEXT($B888,"YYYY年M月")&amp;" 自动结转")</f>
        <v/>
      </c>
      <c r="E888" s="26" t="str">
        <f>IF(INDEX(进销存对接!$M$4:$U$305,295,7)=0,"",INDEX(进销存对接!$M$4:$U$305,295,7))</f>
        <v/>
      </c>
      <c r="F888" s="25" t="str">
        <f>IF($E888="","",IFERROR(INDEX(科目表!$A$4:$A$81,MATCH($E888,科目表!$B$4:$B$81,0)),""))</f>
        <v/>
      </c>
      <c r="G888" s="26" t="str">
        <f>IF($E888="","",IFERROR(INDEX(科目表!$E$4:$E$81,MATCH($E888,科目表!$B$4:$B$81,0)),""))</f>
        <v/>
      </c>
      <c r="H888" s="27" t="str">
        <f>IF($E888="","",N(INDEX(进销存对接!$M$4:$U$305,295,8)))</f>
        <v/>
      </c>
      <c r="I888" s="27" t="str">
        <f>IF($E888="","",N(INDEX(进销存对接!$M$4:$U$305,295,9)))</f>
        <v/>
      </c>
      <c r="J888" s="26"/>
      <c r="K888" s="26" t="str">
        <f>IF($E888="","",INDEX(进销存对接!$D$4:$D$305,295))</f>
        <v/>
      </c>
      <c r="L888" s="32"/>
      <c r="M888" s="32"/>
      <c r="N888" s="26" t="str">
        <f t="shared" si="54"/>
        <v/>
      </c>
      <c r="O888" s="26" t="str">
        <f t="shared" si="55"/>
        <v/>
      </c>
      <c r="P888" s="10"/>
    </row>
    <row r="889" ht="18" customHeight="1" spans="1:16">
      <c r="A889" s="32" t="str">
        <f t="shared" si="52"/>
        <v/>
      </c>
      <c r="B889" s="100" t="str">
        <f>IF($E889="","",INDEX(进销存对接!$C$4:$C$305,296))</f>
        <v/>
      </c>
      <c r="C889" s="26" t="str">
        <f t="shared" si="53"/>
        <v/>
      </c>
      <c r="D889" s="32" t="str">
        <f>IF($E889="","",INDEX(进销存对接!$D$4:$D$305,296)&amp;" "&amp;TEXT($B889,"YYYY年M月")&amp;" 自动结转")</f>
        <v/>
      </c>
      <c r="E889" s="26" t="str">
        <f>IF(INDEX(进销存对接!$M$4:$U$305,296,1)=0,"",INDEX(进销存对接!$M$4:$U$305,296,1))</f>
        <v/>
      </c>
      <c r="F889" s="25" t="str">
        <f>IF($E889="","",IFERROR(INDEX(科目表!$A$4:$A$81,MATCH($E889,科目表!$B$4:$B$81,0)),""))</f>
        <v/>
      </c>
      <c r="G889" s="26" t="str">
        <f>IF($E889="","",IFERROR(INDEX(科目表!$E$4:$E$81,MATCH($E889,科目表!$B$4:$B$81,0)),""))</f>
        <v/>
      </c>
      <c r="H889" s="27" t="str">
        <f>IF($E889="","",N(INDEX(进销存对接!$M$4:$U$305,296,2)))</f>
        <v/>
      </c>
      <c r="I889" s="27" t="str">
        <f>IF($E889="","",N(INDEX(进销存对接!$M$4:$U$305,296,3)))</f>
        <v/>
      </c>
      <c r="J889" s="26"/>
      <c r="K889" s="26" t="str">
        <f>IF($E889="","",INDEX(进销存对接!$D$4:$D$305,296))</f>
        <v/>
      </c>
      <c r="L889" s="32"/>
      <c r="M889" s="32"/>
      <c r="N889" s="26" t="str">
        <f t="shared" si="54"/>
        <v/>
      </c>
      <c r="O889" s="26" t="str">
        <f t="shared" si="55"/>
        <v/>
      </c>
      <c r="P889" s="10"/>
    </row>
    <row r="890" ht="18" customHeight="1" spans="1:16">
      <c r="A890" s="32" t="str">
        <f t="shared" si="52"/>
        <v/>
      </c>
      <c r="B890" s="100" t="str">
        <f>IF($E890="","",INDEX(进销存对接!$C$4:$C$305,296))</f>
        <v/>
      </c>
      <c r="C890" s="26" t="str">
        <f t="shared" si="53"/>
        <v/>
      </c>
      <c r="D890" s="32" t="str">
        <f>IF($E890="","",INDEX(进销存对接!$D$4:$D$305,296)&amp;" "&amp;TEXT($B890,"YYYY年M月")&amp;" 自动结转")</f>
        <v/>
      </c>
      <c r="E890" s="26" t="str">
        <f>IF(INDEX(进销存对接!$M$4:$U$305,296,4)=0,"",INDEX(进销存对接!$M$4:$U$305,296,4))</f>
        <v/>
      </c>
      <c r="F890" s="25" t="str">
        <f>IF($E890="","",IFERROR(INDEX(科目表!$A$4:$A$81,MATCH($E890,科目表!$B$4:$B$81,0)),""))</f>
        <v/>
      </c>
      <c r="G890" s="26" t="str">
        <f>IF($E890="","",IFERROR(INDEX(科目表!$E$4:$E$81,MATCH($E890,科目表!$B$4:$B$81,0)),""))</f>
        <v/>
      </c>
      <c r="H890" s="27" t="str">
        <f>IF($E890="","",N(INDEX(进销存对接!$M$4:$U$305,296,5)))</f>
        <v/>
      </c>
      <c r="I890" s="27" t="str">
        <f>IF($E890="","",N(INDEX(进销存对接!$M$4:$U$305,296,6)))</f>
        <v/>
      </c>
      <c r="J890" s="26"/>
      <c r="K890" s="26" t="str">
        <f>IF($E890="","",INDEX(进销存对接!$D$4:$D$305,296))</f>
        <v/>
      </c>
      <c r="L890" s="32"/>
      <c r="M890" s="32"/>
      <c r="N890" s="26" t="str">
        <f t="shared" si="54"/>
        <v/>
      </c>
      <c r="O890" s="26" t="str">
        <f t="shared" si="55"/>
        <v/>
      </c>
      <c r="P890" s="10"/>
    </row>
    <row r="891" ht="18" customHeight="1" spans="1:16">
      <c r="A891" s="32" t="str">
        <f t="shared" si="52"/>
        <v/>
      </c>
      <c r="B891" s="100" t="str">
        <f>IF($E891="","",INDEX(进销存对接!$C$4:$C$305,296))</f>
        <v/>
      </c>
      <c r="C891" s="26" t="str">
        <f t="shared" si="53"/>
        <v/>
      </c>
      <c r="D891" s="32" t="str">
        <f>IF($E891="","",INDEX(进销存对接!$D$4:$D$305,296)&amp;" "&amp;TEXT($B891,"YYYY年M月")&amp;" 自动结转")</f>
        <v/>
      </c>
      <c r="E891" s="26" t="str">
        <f>IF(INDEX(进销存对接!$M$4:$U$305,296,7)=0,"",INDEX(进销存对接!$M$4:$U$305,296,7))</f>
        <v/>
      </c>
      <c r="F891" s="25" t="str">
        <f>IF($E891="","",IFERROR(INDEX(科目表!$A$4:$A$81,MATCH($E891,科目表!$B$4:$B$81,0)),""))</f>
        <v/>
      </c>
      <c r="G891" s="26" t="str">
        <f>IF($E891="","",IFERROR(INDEX(科目表!$E$4:$E$81,MATCH($E891,科目表!$B$4:$B$81,0)),""))</f>
        <v/>
      </c>
      <c r="H891" s="27" t="str">
        <f>IF($E891="","",N(INDEX(进销存对接!$M$4:$U$305,296,8)))</f>
        <v/>
      </c>
      <c r="I891" s="27" t="str">
        <f>IF($E891="","",N(INDEX(进销存对接!$M$4:$U$305,296,9)))</f>
        <v/>
      </c>
      <c r="J891" s="26"/>
      <c r="K891" s="26" t="str">
        <f>IF($E891="","",INDEX(进销存对接!$D$4:$D$305,296))</f>
        <v/>
      </c>
      <c r="L891" s="32"/>
      <c r="M891" s="32"/>
      <c r="N891" s="26" t="str">
        <f t="shared" si="54"/>
        <v/>
      </c>
      <c r="O891" s="26" t="str">
        <f t="shared" si="55"/>
        <v/>
      </c>
      <c r="P891" s="10"/>
    </row>
    <row r="892" ht="18" customHeight="1" spans="1:16">
      <c r="A892" s="32" t="str">
        <f t="shared" si="52"/>
        <v/>
      </c>
      <c r="B892" s="100" t="str">
        <f>IF($E892="","",INDEX(进销存对接!$C$4:$C$305,297))</f>
        <v/>
      </c>
      <c r="C892" s="26" t="str">
        <f t="shared" si="53"/>
        <v/>
      </c>
      <c r="D892" s="32" t="str">
        <f>IF($E892="","",INDEX(进销存对接!$D$4:$D$305,297)&amp;" "&amp;TEXT($B892,"YYYY年M月")&amp;" 自动结转")</f>
        <v/>
      </c>
      <c r="E892" s="26" t="str">
        <f>IF(INDEX(进销存对接!$M$4:$U$305,297,1)=0,"",INDEX(进销存对接!$M$4:$U$305,297,1))</f>
        <v/>
      </c>
      <c r="F892" s="25" t="str">
        <f>IF($E892="","",IFERROR(INDEX(科目表!$A$4:$A$81,MATCH($E892,科目表!$B$4:$B$81,0)),""))</f>
        <v/>
      </c>
      <c r="G892" s="26" t="str">
        <f>IF($E892="","",IFERROR(INDEX(科目表!$E$4:$E$81,MATCH($E892,科目表!$B$4:$B$81,0)),""))</f>
        <v/>
      </c>
      <c r="H892" s="27" t="str">
        <f>IF($E892="","",N(INDEX(进销存对接!$M$4:$U$305,297,2)))</f>
        <v/>
      </c>
      <c r="I892" s="27" t="str">
        <f>IF($E892="","",N(INDEX(进销存对接!$M$4:$U$305,297,3)))</f>
        <v/>
      </c>
      <c r="J892" s="26"/>
      <c r="K892" s="26" t="str">
        <f>IF($E892="","",INDEX(进销存对接!$D$4:$D$305,297))</f>
        <v/>
      </c>
      <c r="L892" s="32"/>
      <c r="M892" s="32"/>
      <c r="N892" s="26" t="str">
        <f t="shared" si="54"/>
        <v/>
      </c>
      <c r="O892" s="26" t="str">
        <f t="shared" si="55"/>
        <v/>
      </c>
      <c r="P892" s="10"/>
    </row>
    <row r="893" ht="18" customHeight="1" spans="1:16">
      <c r="A893" s="32" t="str">
        <f t="shared" si="52"/>
        <v/>
      </c>
      <c r="B893" s="100" t="str">
        <f>IF($E893="","",INDEX(进销存对接!$C$4:$C$305,297))</f>
        <v/>
      </c>
      <c r="C893" s="26" t="str">
        <f t="shared" si="53"/>
        <v/>
      </c>
      <c r="D893" s="32" t="str">
        <f>IF($E893="","",INDEX(进销存对接!$D$4:$D$305,297)&amp;" "&amp;TEXT($B893,"YYYY年M月")&amp;" 自动结转")</f>
        <v/>
      </c>
      <c r="E893" s="26" t="str">
        <f>IF(INDEX(进销存对接!$M$4:$U$305,297,4)=0,"",INDEX(进销存对接!$M$4:$U$305,297,4))</f>
        <v/>
      </c>
      <c r="F893" s="25" t="str">
        <f>IF($E893="","",IFERROR(INDEX(科目表!$A$4:$A$81,MATCH($E893,科目表!$B$4:$B$81,0)),""))</f>
        <v/>
      </c>
      <c r="G893" s="26" t="str">
        <f>IF($E893="","",IFERROR(INDEX(科目表!$E$4:$E$81,MATCH($E893,科目表!$B$4:$B$81,0)),""))</f>
        <v/>
      </c>
      <c r="H893" s="27" t="str">
        <f>IF($E893="","",N(INDEX(进销存对接!$M$4:$U$305,297,5)))</f>
        <v/>
      </c>
      <c r="I893" s="27" t="str">
        <f>IF($E893="","",N(INDEX(进销存对接!$M$4:$U$305,297,6)))</f>
        <v/>
      </c>
      <c r="J893" s="26"/>
      <c r="K893" s="26" t="str">
        <f>IF($E893="","",INDEX(进销存对接!$D$4:$D$305,297))</f>
        <v/>
      </c>
      <c r="L893" s="32"/>
      <c r="M893" s="32"/>
      <c r="N893" s="26" t="str">
        <f t="shared" si="54"/>
        <v/>
      </c>
      <c r="O893" s="26" t="str">
        <f t="shared" si="55"/>
        <v/>
      </c>
      <c r="P893" s="10"/>
    </row>
    <row r="894" ht="18" customHeight="1" spans="1:16">
      <c r="A894" s="32" t="str">
        <f t="shared" si="52"/>
        <v/>
      </c>
      <c r="B894" s="100" t="str">
        <f>IF($E894="","",INDEX(进销存对接!$C$4:$C$305,297))</f>
        <v/>
      </c>
      <c r="C894" s="26" t="str">
        <f t="shared" si="53"/>
        <v/>
      </c>
      <c r="D894" s="32" t="str">
        <f>IF($E894="","",INDEX(进销存对接!$D$4:$D$305,297)&amp;" "&amp;TEXT($B894,"YYYY年M月")&amp;" 自动结转")</f>
        <v/>
      </c>
      <c r="E894" s="26" t="str">
        <f>IF(INDEX(进销存对接!$M$4:$U$305,297,7)=0,"",INDEX(进销存对接!$M$4:$U$305,297,7))</f>
        <v/>
      </c>
      <c r="F894" s="25" t="str">
        <f>IF($E894="","",IFERROR(INDEX(科目表!$A$4:$A$81,MATCH($E894,科目表!$B$4:$B$81,0)),""))</f>
        <v/>
      </c>
      <c r="G894" s="26" t="str">
        <f>IF($E894="","",IFERROR(INDEX(科目表!$E$4:$E$81,MATCH($E894,科目表!$B$4:$B$81,0)),""))</f>
        <v/>
      </c>
      <c r="H894" s="27" t="str">
        <f>IF($E894="","",N(INDEX(进销存对接!$M$4:$U$305,297,8)))</f>
        <v/>
      </c>
      <c r="I894" s="27" t="str">
        <f>IF($E894="","",N(INDEX(进销存对接!$M$4:$U$305,297,9)))</f>
        <v/>
      </c>
      <c r="J894" s="26"/>
      <c r="K894" s="26" t="str">
        <f>IF($E894="","",INDEX(进销存对接!$D$4:$D$305,297))</f>
        <v/>
      </c>
      <c r="L894" s="32"/>
      <c r="M894" s="32"/>
      <c r="N894" s="26" t="str">
        <f t="shared" si="54"/>
        <v/>
      </c>
      <c r="O894" s="26" t="str">
        <f t="shared" si="55"/>
        <v/>
      </c>
      <c r="P894" s="10"/>
    </row>
    <row r="895" ht="18" customHeight="1" spans="1:16">
      <c r="A895" s="32" t="str">
        <f t="shared" si="52"/>
        <v/>
      </c>
      <c r="B895" s="100" t="str">
        <f>IF($E895="","",INDEX(进销存对接!$C$4:$C$305,298))</f>
        <v/>
      </c>
      <c r="C895" s="26" t="str">
        <f t="shared" si="53"/>
        <v/>
      </c>
      <c r="D895" s="32" t="str">
        <f>IF($E895="","",INDEX(进销存对接!$D$4:$D$305,298)&amp;" "&amp;TEXT($B895,"YYYY年M月")&amp;" 自动结转")</f>
        <v/>
      </c>
      <c r="E895" s="26" t="str">
        <f>IF(INDEX(进销存对接!$M$4:$U$305,298,1)=0,"",INDEX(进销存对接!$M$4:$U$305,298,1))</f>
        <v/>
      </c>
      <c r="F895" s="25" t="str">
        <f>IF($E895="","",IFERROR(INDEX(科目表!$A$4:$A$81,MATCH($E895,科目表!$B$4:$B$81,0)),""))</f>
        <v/>
      </c>
      <c r="G895" s="26" t="str">
        <f>IF($E895="","",IFERROR(INDEX(科目表!$E$4:$E$81,MATCH($E895,科目表!$B$4:$B$81,0)),""))</f>
        <v/>
      </c>
      <c r="H895" s="27" t="str">
        <f>IF($E895="","",N(INDEX(进销存对接!$M$4:$U$305,298,2)))</f>
        <v/>
      </c>
      <c r="I895" s="27" t="str">
        <f>IF($E895="","",N(INDEX(进销存对接!$M$4:$U$305,298,3)))</f>
        <v/>
      </c>
      <c r="J895" s="26"/>
      <c r="K895" s="26" t="str">
        <f>IF($E895="","",INDEX(进销存对接!$D$4:$D$305,298))</f>
        <v/>
      </c>
      <c r="L895" s="32"/>
      <c r="M895" s="32"/>
      <c r="N895" s="26" t="str">
        <f t="shared" si="54"/>
        <v/>
      </c>
      <c r="O895" s="26" t="str">
        <f t="shared" si="55"/>
        <v/>
      </c>
      <c r="P895" s="10"/>
    </row>
    <row r="896" ht="18" customHeight="1" spans="1:16">
      <c r="A896" s="32" t="str">
        <f t="shared" si="52"/>
        <v/>
      </c>
      <c r="B896" s="100" t="str">
        <f>IF($E896="","",INDEX(进销存对接!$C$4:$C$305,298))</f>
        <v/>
      </c>
      <c r="C896" s="26" t="str">
        <f t="shared" si="53"/>
        <v/>
      </c>
      <c r="D896" s="32" t="str">
        <f>IF($E896="","",INDEX(进销存对接!$D$4:$D$305,298)&amp;" "&amp;TEXT($B896,"YYYY年M月")&amp;" 自动结转")</f>
        <v/>
      </c>
      <c r="E896" s="26" t="str">
        <f>IF(INDEX(进销存对接!$M$4:$U$305,298,4)=0,"",INDEX(进销存对接!$M$4:$U$305,298,4))</f>
        <v/>
      </c>
      <c r="F896" s="25" t="str">
        <f>IF($E896="","",IFERROR(INDEX(科目表!$A$4:$A$81,MATCH($E896,科目表!$B$4:$B$81,0)),""))</f>
        <v/>
      </c>
      <c r="G896" s="26" t="str">
        <f>IF($E896="","",IFERROR(INDEX(科目表!$E$4:$E$81,MATCH($E896,科目表!$B$4:$B$81,0)),""))</f>
        <v/>
      </c>
      <c r="H896" s="27" t="str">
        <f>IF($E896="","",N(INDEX(进销存对接!$M$4:$U$305,298,5)))</f>
        <v/>
      </c>
      <c r="I896" s="27" t="str">
        <f>IF($E896="","",N(INDEX(进销存对接!$M$4:$U$305,298,6)))</f>
        <v/>
      </c>
      <c r="J896" s="26"/>
      <c r="K896" s="26" t="str">
        <f>IF($E896="","",INDEX(进销存对接!$D$4:$D$305,298))</f>
        <v/>
      </c>
      <c r="L896" s="32"/>
      <c r="M896" s="32"/>
      <c r="N896" s="26" t="str">
        <f t="shared" si="54"/>
        <v/>
      </c>
      <c r="O896" s="26" t="str">
        <f t="shared" si="55"/>
        <v/>
      </c>
      <c r="P896" s="10"/>
    </row>
    <row r="897" ht="18" customHeight="1" spans="1:16">
      <c r="A897" s="32" t="str">
        <f t="shared" si="52"/>
        <v/>
      </c>
      <c r="B897" s="100" t="str">
        <f>IF($E897="","",INDEX(进销存对接!$C$4:$C$305,298))</f>
        <v/>
      </c>
      <c r="C897" s="26" t="str">
        <f t="shared" si="53"/>
        <v/>
      </c>
      <c r="D897" s="32" t="str">
        <f>IF($E897="","",INDEX(进销存对接!$D$4:$D$305,298)&amp;" "&amp;TEXT($B897,"YYYY年M月")&amp;" 自动结转")</f>
        <v/>
      </c>
      <c r="E897" s="26" t="str">
        <f>IF(INDEX(进销存对接!$M$4:$U$305,298,7)=0,"",INDEX(进销存对接!$M$4:$U$305,298,7))</f>
        <v/>
      </c>
      <c r="F897" s="25" t="str">
        <f>IF($E897="","",IFERROR(INDEX(科目表!$A$4:$A$81,MATCH($E897,科目表!$B$4:$B$81,0)),""))</f>
        <v/>
      </c>
      <c r="G897" s="26" t="str">
        <f>IF($E897="","",IFERROR(INDEX(科目表!$E$4:$E$81,MATCH($E897,科目表!$B$4:$B$81,0)),""))</f>
        <v/>
      </c>
      <c r="H897" s="27" t="str">
        <f>IF($E897="","",N(INDEX(进销存对接!$M$4:$U$305,298,8)))</f>
        <v/>
      </c>
      <c r="I897" s="27" t="str">
        <f>IF($E897="","",N(INDEX(进销存对接!$M$4:$U$305,298,9)))</f>
        <v/>
      </c>
      <c r="J897" s="26"/>
      <c r="K897" s="26" t="str">
        <f>IF($E897="","",INDEX(进销存对接!$D$4:$D$305,298))</f>
        <v/>
      </c>
      <c r="L897" s="32"/>
      <c r="M897" s="32"/>
      <c r="N897" s="26" t="str">
        <f t="shared" si="54"/>
        <v/>
      </c>
      <c r="O897" s="26" t="str">
        <f t="shared" si="55"/>
        <v/>
      </c>
      <c r="P897" s="10"/>
    </row>
    <row r="898" ht="18" customHeight="1" spans="1:16">
      <c r="A898" s="32" t="str">
        <f t="shared" si="52"/>
        <v/>
      </c>
      <c r="B898" s="100" t="str">
        <f>IF($E898="","",INDEX(进销存对接!$C$4:$C$305,299))</f>
        <v/>
      </c>
      <c r="C898" s="26" t="str">
        <f t="shared" si="53"/>
        <v/>
      </c>
      <c r="D898" s="32" t="str">
        <f>IF($E898="","",INDEX(进销存对接!$D$4:$D$305,299)&amp;" "&amp;TEXT($B898,"YYYY年M月")&amp;" 自动结转")</f>
        <v/>
      </c>
      <c r="E898" s="26" t="str">
        <f>IF(INDEX(进销存对接!$M$4:$U$305,299,1)=0,"",INDEX(进销存对接!$M$4:$U$305,299,1))</f>
        <v/>
      </c>
      <c r="F898" s="25" t="str">
        <f>IF($E898="","",IFERROR(INDEX(科目表!$A$4:$A$81,MATCH($E898,科目表!$B$4:$B$81,0)),""))</f>
        <v/>
      </c>
      <c r="G898" s="26" t="str">
        <f>IF($E898="","",IFERROR(INDEX(科目表!$E$4:$E$81,MATCH($E898,科目表!$B$4:$B$81,0)),""))</f>
        <v/>
      </c>
      <c r="H898" s="27" t="str">
        <f>IF($E898="","",N(INDEX(进销存对接!$M$4:$U$305,299,2)))</f>
        <v/>
      </c>
      <c r="I898" s="27" t="str">
        <f>IF($E898="","",N(INDEX(进销存对接!$M$4:$U$305,299,3)))</f>
        <v/>
      </c>
      <c r="J898" s="26"/>
      <c r="K898" s="26" t="str">
        <f>IF($E898="","",INDEX(进销存对接!$D$4:$D$305,299))</f>
        <v/>
      </c>
      <c r="L898" s="32"/>
      <c r="M898" s="32"/>
      <c r="N898" s="26" t="str">
        <f t="shared" si="54"/>
        <v/>
      </c>
      <c r="O898" s="26" t="str">
        <f t="shared" si="55"/>
        <v/>
      </c>
      <c r="P898" s="10"/>
    </row>
    <row r="899" ht="18" customHeight="1" spans="1:16">
      <c r="A899" s="32" t="str">
        <f t="shared" si="52"/>
        <v/>
      </c>
      <c r="B899" s="100" t="str">
        <f>IF($E899="","",INDEX(进销存对接!$C$4:$C$305,299))</f>
        <v/>
      </c>
      <c r="C899" s="26" t="str">
        <f t="shared" si="53"/>
        <v/>
      </c>
      <c r="D899" s="32" t="str">
        <f>IF($E899="","",INDEX(进销存对接!$D$4:$D$305,299)&amp;" "&amp;TEXT($B899,"YYYY年M月")&amp;" 自动结转")</f>
        <v/>
      </c>
      <c r="E899" s="26" t="str">
        <f>IF(INDEX(进销存对接!$M$4:$U$305,299,4)=0,"",INDEX(进销存对接!$M$4:$U$305,299,4))</f>
        <v/>
      </c>
      <c r="F899" s="25" t="str">
        <f>IF($E899="","",IFERROR(INDEX(科目表!$A$4:$A$81,MATCH($E899,科目表!$B$4:$B$81,0)),""))</f>
        <v/>
      </c>
      <c r="G899" s="26" t="str">
        <f>IF($E899="","",IFERROR(INDEX(科目表!$E$4:$E$81,MATCH($E899,科目表!$B$4:$B$81,0)),""))</f>
        <v/>
      </c>
      <c r="H899" s="27" t="str">
        <f>IF($E899="","",N(INDEX(进销存对接!$M$4:$U$305,299,5)))</f>
        <v/>
      </c>
      <c r="I899" s="27" t="str">
        <f>IF($E899="","",N(INDEX(进销存对接!$M$4:$U$305,299,6)))</f>
        <v/>
      </c>
      <c r="J899" s="26"/>
      <c r="K899" s="26" t="str">
        <f>IF($E899="","",INDEX(进销存对接!$D$4:$D$305,299))</f>
        <v/>
      </c>
      <c r="L899" s="32"/>
      <c r="M899" s="32"/>
      <c r="N899" s="26" t="str">
        <f t="shared" si="54"/>
        <v/>
      </c>
      <c r="O899" s="26" t="str">
        <f t="shared" si="55"/>
        <v/>
      </c>
      <c r="P899" s="10"/>
    </row>
    <row r="900" ht="18" customHeight="1" spans="1:16">
      <c r="A900" s="32" t="str">
        <f t="shared" ref="A900:A963" si="56">IF($E900="","",ROW()-3)</f>
        <v/>
      </c>
      <c r="B900" s="100" t="str">
        <f>IF($E900="","",INDEX(进销存对接!$C$4:$C$305,299))</f>
        <v/>
      </c>
      <c r="C900" s="26" t="str">
        <f t="shared" ref="C900:C909" si="57">IF($E900="","","记-"&amp;TEXT($B900,"YYYYMM")&amp;"-进销存")</f>
        <v/>
      </c>
      <c r="D900" s="32" t="str">
        <f>IF($E900="","",INDEX(进销存对接!$D$4:$D$305,299)&amp;" "&amp;TEXT($B900,"YYYY年M月")&amp;" 自动结转")</f>
        <v/>
      </c>
      <c r="E900" s="26" t="str">
        <f>IF(INDEX(进销存对接!$M$4:$U$305,299,7)=0,"",INDEX(进销存对接!$M$4:$U$305,299,7))</f>
        <v/>
      </c>
      <c r="F900" s="25" t="str">
        <f>IF($E900="","",IFERROR(INDEX(科目表!$A$4:$A$81,MATCH($E900,科目表!$B$4:$B$81,0)),""))</f>
        <v/>
      </c>
      <c r="G900" s="26" t="str">
        <f>IF($E900="","",IFERROR(INDEX(科目表!$E$4:$E$81,MATCH($E900,科目表!$B$4:$B$81,0)),""))</f>
        <v/>
      </c>
      <c r="H900" s="27" t="str">
        <f>IF($E900="","",N(INDEX(进销存对接!$M$4:$U$305,299,8)))</f>
        <v/>
      </c>
      <c r="I900" s="27" t="str">
        <f>IF($E900="","",N(INDEX(进销存对接!$M$4:$U$305,299,9)))</f>
        <v/>
      </c>
      <c r="J900" s="26"/>
      <c r="K900" s="26" t="str">
        <f>IF($E900="","",INDEX(进销存对接!$D$4:$D$305,299))</f>
        <v/>
      </c>
      <c r="L900" s="32"/>
      <c r="M900" s="32"/>
      <c r="N900" s="26" t="str">
        <f t="shared" ref="N900:N909" si="58">IF($E900="","","系统")</f>
        <v/>
      </c>
      <c r="O900" s="26" t="str">
        <f t="shared" ref="O900:O909" si="59">IF($E900="","","自动A")</f>
        <v/>
      </c>
      <c r="P900" s="10"/>
    </row>
    <row r="901" ht="18" customHeight="1" spans="1:16">
      <c r="A901" s="32" t="str">
        <f t="shared" si="56"/>
        <v/>
      </c>
      <c r="B901" s="100" t="str">
        <f>IF($E901="","",INDEX(进销存对接!$C$4:$C$305,300))</f>
        <v/>
      </c>
      <c r="C901" s="26" t="str">
        <f t="shared" si="57"/>
        <v/>
      </c>
      <c r="D901" s="32" t="str">
        <f>IF($E901="","",INDEX(进销存对接!$D$4:$D$305,300)&amp;" "&amp;TEXT($B901,"YYYY年M月")&amp;" 自动结转")</f>
        <v/>
      </c>
      <c r="E901" s="26" t="str">
        <f>IF(INDEX(进销存对接!$M$4:$U$305,300,1)=0,"",INDEX(进销存对接!$M$4:$U$305,300,1))</f>
        <v/>
      </c>
      <c r="F901" s="25" t="str">
        <f>IF($E901="","",IFERROR(INDEX(科目表!$A$4:$A$81,MATCH($E901,科目表!$B$4:$B$81,0)),""))</f>
        <v/>
      </c>
      <c r="G901" s="26" t="str">
        <f>IF($E901="","",IFERROR(INDEX(科目表!$E$4:$E$81,MATCH($E901,科目表!$B$4:$B$81,0)),""))</f>
        <v/>
      </c>
      <c r="H901" s="27" t="str">
        <f>IF($E901="","",N(INDEX(进销存对接!$M$4:$U$305,300,2)))</f>
        <v/>
      </c>
      <c r="I901" s="27" t="str">
        <f>IF($E901="","",N(INDEX(进销存对接!$M$4:$U$305,300,3)))</f>
        <v/>
      </c>
      <c r="J901" s="26"/>
      <c r="K901" s="26" t="str">
        <f>IF($E901="","",INDEX(进销存对接!$D$4:$D$305,300))</f>
        <v/>
      </c>
      <c r="L901" s="32"/>
      <c r="M901" s="32"/>
      <c r="N901" s="26" t="str">
        <f t="shared" si="58"/>
        <v/>
      </c>
      <c r="O901" s="26" t="str">
        <f t="shared" si="59"/>
        <v/>
      </c>
      <c r="P901" s="10"/>
    </row>
    <row r="902" ht="18" customHeight="1" spans="1:16">
      <c r="A902" s="32" t="str">
        <f t="shared" si="56"/>
        <v/>
      </c>
      <c r="B902" s="100" t="str">
        <f>IF($E902="","",INDEX(进销存对接!$C$4:$C$305,300))</f>
        <v/>
      </c>
      <c r="C902" s="26" t="str">
        <f t="shared" si="57"/>
        <v/>
      </c>
      <c r="D902" s="32" t="str">
        <f>IF($E902="","",INDEX(进销存对接!$D$4:$D$305,300)&amp;" "&amp;TEXT($B902,"YYYY年M月")&amp;" 自动结转")</f>
        <v/>
      </c>
      <c r="E902" s="26" t="str">
        <f>IF(INDEX(进销存对接!$M$4:$U$305,300,4)=0,"",INDEX(进销存对接!$M$4:$U$305,300,4))</f>
        <v/>
      </c>
      <c r="F902" s="25" t="str">
        <f>IF($E902="","",IFERROR(INDEX(科目表!$A$4:$A$81,MATCH($E902,科目表!$B$4:$B$81,0)),""))</f>
        <v/>
      </c>
      <c r="G902" s="26" t="str">
        <f>IF($E902="","",IFERROR(INDEX(科目表!$E$4:$E$81,MATCH($E902,科目表!$B$4:$B$81,0)),""))</f>
        <v/>
      </c>
      <c r="H902" s="27" t="str">
        <f>IF($E902="","",N(INDEX(进销存对接!$M$4:$U$305,300,5)))</f>
        <v/>
      </c>
      <c r="I902" s="27" t="str">
        <f>IF($E902="","",N(INDEX(进销存对接!$M$4:$U$305,300,6)))</f>
        <v/>
      </c>
      <c r="J902" s="26"/>
      <c r="K902" s="26" t="str">
        <f>IF($E902="","",INDEX(进销存对接!$D$4:$D$305,300))</f>
        <v/>
      </c>
      <c r="L902" s="32"/>
      <c r="M902" s="32"/>
      <c r="N902" s="26" t="str">
        <f t="shared" si="58"/>
        <v/>
      </c>
      <c r="O902" s="26" t="str">
        <f t="shared" si="59"/>
        <v/>
      </c>
      <c r="P902" s="10"/>
    </row>
    <row r="903" ht="18" customHeight="1" spans="1:16">
      <c r="A903" s="32" t="str">
        <f t="shared" si="56"/>
        <v/>
      </c>
      <c r="B903" s="100" t="str">
        <f>IF($E903="","",INDEX(进销存对接!$C$4:$C$305,300))</f>
        <v/>
      </c>
      <c r="C903" s="26" t="str">
        <f t="shared" si="57"/>
        <v/>
      </c>
      <c r="D903" s="32" t="str">
        <f>IF($E903="","",INDEX(进销存对接!$D$4:$D$305,300)&amp;" "&amp;TEXT($B903,"YYYY年M月")&amp;" 自动结转")</f>
        <v/>
      </c>
      <c r="E903" s="26" t="str">
        <f>IF(INDEX(进销存对接!$M$4:$U$305,300,7)=0,"",INDEX(进销存对接!$M$4:$U$305,300,7))</f>
        <v/>
      </c>
      <c r="F903" s="25" t="str">
        <f>IF($E903="","",IFERROR(INDEX(科目表!$A$4:$A$81,MATCH($E903,科目表!$B$4:$B$81,0)),""))</f>
        <v/>
      </c>
      <c r="G903" s="26" t="str">
        <f>IF($E903="","",IFERROR(INDEX(科目表!$E$4:$E$81,MATCH($E903,科目表!$B$4:$B$81,0)),""))</f>
        <v/>
      </c>
      <c r="H903" s="27" t="str">
        <f>IF($E903="","",N(INDEX(进销存对接!$M$4:$U$305,300,8)))</f>
        <v/>
      </c>
      <c r="I903" s="27" t="str">
        <f>IF($E903="","",N(INDEX(进销存对接!$M$4:$U$305,300,9)))</f>
        <v/>
      </c>
      <c r="J903" s="26"/>
      <c r="K903" s="26" t="str">
        <f>IF($E903="","",INDEX(进销存对接!$D$4:$D$305,300))</f>
        <v/>
      </c>
      <c r="L903" s="32"/>
      <c r="M903" s="32"/>
      <c r="N903" s="26" t="str">
        <f t="shared" si="58"/>
        <v/>
      </c>
      <c r="O903" s="26" t="str">
        <f t="shared" si="59"/>
        <v/>
      </c>
      <c r="P903" s="10"/>
    </row>
    <row r="904" ht="18" customHeight="1" spans="1:16">
      <c r="A904" s="32" t="str">
        <f t="shared" si="56"/>
        <v/>
      </c>
      <c r="B904" s="100" t="str">
        <f>IF($E904="","",INDEX(进销存对接!$C$4:$C$305,301))</f>
        <v/>
      </c>
      <c r="C904" s="26" t="str">
        <f t="shared" si="57"/>
        <v/>
      </c>
      <c r="D904" s="32" t="str">
        <f>IF($E904="","",INDEX(进销存对接!$D$4:$D$305,301)&amp;" "&amp;TEXT($B904,"YYYY年M月")&amp;" 自动结转")</f>
        <v/>
      </c>
      <c r="E904" s="26" t="str">
        <f>IF(INDEX(进销存对接!$M$4:$U$305,301,1)=0,"",INDEX(进销存对接!$M$4:$U$305,301,1))</f>
        <v/>
      </c>
      <c r="F904" s="25" t="str">
        <f>IF($E904="","",IFERROR(INDEX(科目表!$A$4:$A$81,MATCH($E904,科目表!$B$4:$B$81,0)),""))</f>
        <v/>
      </c>
      <c r="G904" s="26" t="str">
        <f>IF($E904="","",IFERROR(INDEX(科目表!$E$4:$E$81,MATCH($E904,科目表!$B$4:$B$81,0)),""))</f>
        <v/>
      </c>
      <c r="H904" s="27" t="str">
        <f>IF($E904="","",N(INDEX(进销存对接!$M$4:$U$305,301,2)))</f>
        <v/>
      </c>
      <c r="I904" s="27" t="str">
        <f>IF($E904="","",N(INDEX(进销存对接!$M$4:$U$305,301,3)))</f>
        <v/>
      </c>
      <c r="J904" s="26"/>
      <c r="K904" s="26" t="str">
        <f>IF($E904="","",INDEX(进销存对接!$D$4:$D$305,301))</f>
        <v/>
      </c>
      <c r="L904" s="32"/>
      <c r="M904" s="32"/>
      <c r="N904" s="26" t="str">
        <f t="shared" si="58"/>
        <v/>
      </c>
      <c r="O904" s="26" t="str">
        <f t="shared" si="59"/>
        <v/>
      </c>
      <c r="P904" s="10"/>
    </row>
    <row r="905" ht="18" customHeight="1" spans="1:16">
      <c r="A905" s="32" t="str">
        <f t="shared" si="56"/>
        <v/>
      </c>
      <c r="B905" s="100" t="str">
        <f>IF($E905="","",INDEX(进销存对接!$C$4:$C$305,301))</f>
        <v/>
      </c>
      <c r="C905" s="26" t="str">
        <f t="shared" si="57"/>
        <v/>
      </c>
      <c r="D905" s="32" t="str">
        <f>IF($E905="","",INDEX(进销存对接!$D$4:$D$305,301)&amp;" "&amp;TEXT($B905,"YYYY年M月")&amp;" 自动结转")</f>
        <v/>
      </c>
      <c r="E905" s="26" t="str">
        <f>IF(INDEX(进销存对接!$M$4:$U$305,301,4)=0,"",INDEX(进销存对接!$M$4:$U$305,301,4))</f>
        <v/>
      </c>
      <c r="F905" s="25" t="str">
        <f>IF($E905="","",IFERROR(INDEX(科目表!$A$4:$A$81,MATCH($E905,科目表!$B$4:$B$81,0)),""))</f>
        <v/>
      </c>
      <c r="G905" s="26" t="str">
        <f>IF($E905="","",IFERROR(INDEX(科目表!$E$4:$E$81,MATCH($E905,科目表!$B$4:$B$81,0)),""))</f>
        <v/>
      </c>
      <c r="H905" s="27" t="str">
        <f>IF($E905="","",N(INDEX(进销存对接!$M$4:$U$305,301,5)))</f>
        <v/>
      </c>
      <c r="I905" s="27" t="str">
        <f>IF($E905="","",N(INDEX(进销存对接!$M$4:$U$305,301,6)))</f>
        <v/>
      </c>
      <c r="J905" s="26"/>
      <c r="K905" s="26" t="str">
        <f>IF($E905="","",INDEX(进销存对接!$D$4:$D$305,301))</f>
        <v/>
      </c>
      <c r="L905" s="32"/>
      <c r="M905" s="32"/>
      <c r="N905" s="26" t="str">
        <f t="shared" si="58"/>
        <v/>
      </c>
      <c r="O905" s="26" t="str">
        <f t="shared" si="59"/>
        <v/>
      </c>
      <c r="P905" s="10"/>
    </row>
    <row r="906" ht="18" customHeight="1" spans="1:16">
      <c r="A906" s="32" t="str">
        <f t="shared" si="56"/>
        <v/>
      </c>
      <c r="B906" s="100" t="str">
        <f>IF($E906="","",INDEX(进销存对接!$C$4:$C$305,301))</f>
        <v/>
      </c>
      <c r="C906" s="26" t="str">
        <f t="shared" si="57"/>
        <v/>
      </c>
      <c r="D906" s="32" t="str">
        <f>IF($E906="","",INDEX(进销存对接!$D$4:$D$305,301)&amp;" "&amp;TEXT($B906,"YYYY年M月")&amp;" 自动结转")</f>
        <v/>
      </c>
      <c r="E906" s="26" t="str">
        <f>IF(INDEX(进销存对接!$M$4:$U$305,301,7)=0,"",INDEX(进销存对接!$M$4:$U$305,301,7))</f>
        <v/>
      </c>
      <c r="F906" s="25" t="str">
        <f>IF($E906="","",IFERROR(INDEX(科目表!$A$4:$A$81,MATCH($E906,科目表!$B$4:$B$81,0)),""))</f>
        <v/>
      </c>
      <c r="G906" s="26" t="str">
        <f>IF($E906="","",IFERROR(INDEX(科目表!$E$4:$E$81,MATCH($E906,科目表!$B$4:$B$81,0)),""))</f>
        <v/>
      </c>
      <c r="H906" s="27" t="str">
        <f>IF($E906="","",N(INDEX(进销存对接!$M$4:$U$305,301,8)))</f>
        <v/>
      </c>
      <c r="I906" s="27" t="str">
        <f>IF($E906="","",N(INDEX(进销存对接!$M$4:$U$305,301,9)))</f>
        <v/>
      </c>
      <c r="J906" s="26"/>
      <c r="K906" s="26" t="str">
        <f>IF($E906="","",INDEX(进销存对接!$D$4:$D$305,301))</f>
        <v/>
      </c>
      <c r="L906" s="32"/>
      <c r="M906" s="32"/>
      <c r="N906" s="26" t="str">
        <f t="shared" si="58"/>
        <v/>
      </c>
      <c r="O906" s="26" t="str">
        <f t="shared" si="59"/>
        <v/>
      </c>
      <c r="P906" s="10"/>
    </row>
    <row r="907" ht="18" customHeight="1" spans="1:16">
      <c r="A907" s="32" t="str">
        <f t="shared" si="56"/>
        <v/>
      </c>
      <c r="B907" s="100" t="str">
        <f>IF($E907="","",INDEX(进销存对接!$C$4:$C$305,302))</f>
        <v/>
      </c>
      <c r="C907" s="26" t="str">
        <f t="shared" si="57"/>
        <v/>
      </c>
      <c r="D907" s="32" t="str">
        <f>IF($E907="","",INDEX(进销存对接!$D$4:$D$305,302)&amp;" "&amp;TEXT($B907,"YYYY年M月")&amp;" 自动结转")</f>
        <v/>
      </c>
      <c r="E907" s="26" t="str">
        <f>IF(INDEX(进销存对接!$M$4:$U$305,302,1)=0,"",INDEX(进销存对接!$M$4:$U$305,302,1))</f>
        <v/>
      </c>
      <c r="F907" s="25" t="str">
        <f>IF($E907="","",IFERROR(INDEX(科目表!$A$4:$A$81,MATCH($E907,科目表!$B$4:$B$81,0)),""))</f>
        <v/>
      </c>
      <c r="G907" s="26" t="str">
        <f>IF($E907="","",IFERROR(INDEX(科目表!$E$4:$E$81,MATCH($E907,科目表!$B$4:$B$81,0)),""))</f>
        <v/>
      </c>
      <c r="H907" s="27" t="str">
        <f>IF($E907="","",N(INDEX(进销存对接!$M$4:$U$305,302,2)))</f>
        <v/>
      </c>
      <c r="I907" s="27" t="str">
        <f>IF($E907="","",N(INDEX(进销存对接!$M$4:$U$305,302,3)))</f>
        <v/>
      </c>
      <c r="J907" s="26"/>
      <c r="K907" s="26" t="str">
        <f>IF($E907="","",INDEX(进销存对接!$D$4:$D$305,302))</f>
        <v/>
      </c>
      <c r="L907" s="32"/>
      <c r="M907" s="32"/>
      <c r="N907" s="26" t="str">
        <f t="shared" si="58"/>
        <v/>
      </c>
      <c r="O907" s="26" t="str">
        <f t="shared" si="59"/>
        <v/>
      </c>
      <c r="P907" s="10"/>
    </row>
    <row r="908" ht="18" customHeight="1" spans="1:16">
      <c r="A908" s="32" t="str">
        <f t="shared" si="56"/>
        <v/>
      </c>
      <c r="B908" s="100" t="str">
        <f>IF($E908="","",INDEX(进销存对接!$C$4:$C$305,302))</f>
        <v/>
      </c>
      <c r="C908" s="26" t="str">
        <f t="shared" si="57"/>
        <v/>
      </c>
      <c r="D908" s="32" t="str">
        <f>IF($E908="","",INDEX(进销存对接!$D$4:$D$305,302)&amp;" "&amp;TEXT($B908,"YYYY年M月")&amp;" 自动结转")</f>
        <v/>
      </c>
      <c r="E908" s="26" t="str">
        <f>IF(INDEX(进销存对接!$M$4:$U$305,302,4)=0,"",INDEX(进销存对接!$M$4:$U$305,302,4))</f>
        <v/>
      </c>
      <c r="F908" s="25" t="str">
        <f>IF($E908="","",IFERROR(INDEX(科目表!$A$4:$A$81,MATCH($E908,科目表!$B$4:$B$81,0)),""))</f>
        <v/>
      </c>
      <c r="G908" s="26" t="str">
        <f>IF($E908="","",IFERROR(INDEX(科目表!$E$4:$E$81,MATCH($E908,科目表!$B$4:$B$81,0)),""))</f>
        <v/>
      </c>
      <c r="H908" s="27" t="str">
        <f>IF($E908="","",N(INDEX(进销存对接!$M$4:$U$305,302,5)))</f>
        <v/>
      </c>
      <c r="I908" s="27" t="str">
        <f>IF($E908="","",N(INDEX(进销存对接!$M$4:$U$305,302,6)))</f>
        <v/>
      </c>
      <c r="J908" s="26"/>
      <c r="K908" s="26" t="str">
        <f>IF($E908="","",INDEX(进销存对接!$D$4:$D$305,302))</f>
        <v/>
      </c>
      <c r="L908" s="32"/>
      <c r="M908" s="32"/>
      <c r="N908" s="26" t="str">
        <f t="shared" si="58"/>
        <v/>
      </c>
      <c r="O908" s="26" t="str">
        <f t="shared" si="59"/>
        <v/>
      </c>
      <c r="P908" s="10"/>
    </row>
    <row r="909" ht="18" customHeight="1" spans="1:16">
      <c r="A909" s="32" t="str">
        <f t="shared" si="56"/>
        <v/>
      </c>
      <c r="B909" s="100" t="str">
        <f>IF($E909="","",INDEX(进销存对接!$C$4:$C$305,302))</f>
        <v/>
      </c>
      <c r="C909" s="26" t="str">
        <f t="shared" si="57"/>
        <v/>
      </c>
      <c r="D909" s="32" t="str">
        <f>IF($E909="","",INDEX(进销存对接!$D$4:$D$305,302)&amp;" "&amp;TEXT($B909,"YYYY年M月")&amp;" 自动结转")</f>
        <v/>
      </c>
      <c r="E909" s="26" t="str">
        <f>IF(INDEX(进销存对接!$M$4:$U$305,302,7)=0,"",INDEX(进销存对接!$M$4:$U$305,302,7))</f>
        <v/>
      </c>
      <c r="F909" s="25" t="str">
        <f>IF($E909="","",IFERROR(INDEX(科目表!$A$4:$A$81,MATCH($E909,科目表!$B$4:$B$81,0)),""))</f>
        <v/>
      </c>
      <c r="G909" s="26" t="str">
        <f>IF($E909="","",IFERROR(INDEX(科目表!$E$4:$E$81,MATCH($E909,科目表!$B$4:$B$81,0)),""))</f>
        <v/>
      </c>
      <c r="H909" s="27" t="str">
        <f>IF($E909="","",N(INDEX(进销存对接!$M$4:$U$305,302,8)))</f>
        <v/>
      </c>
      <c r="I909" s="27" t="str">
        <f>IF($E909="","",N(INDEX(进销存对接!$M$4:$U$305,302,9)))</f>
        <v/>
      </c>
      <c r="J909" s="26"/>
      <c r="K909" s="26" t="str">
        <f>IF($E909="","",INDEX(进销存对接!$D$4:$D$305,302))</f>
        <v/>
      </c>
      <c r="L909" s="32"/>
      <c r="M909" s="32"/>
      <c r="N909" s="26" t="str">
        <f t="shared" si="58"/>
        <v/>
      </c>
      <c r="O909" s="26" t="str">
        <f t="shared" si="59"/>
        <v/>
      </c>
      <c r="P909" s="10"/>
    </row>
    <row r="910" ht="18" customHeight="1" spans="1:16">
      <c r="A910" s="32" t="str">
        <f t="shared" si="56"/>
        <v/>
      </c>
      <c r="B910" s="100" t="str">
        <f>IF($E910="","",INDEX(资金日记账!$B$4:$B$603,1))</f>
        <v/>
      </c>
      <c r="C910" s="26" t="str">
        <f>IF($E910="","",IF(INDEX(资金日记账!$W$4:$W$603,1)="","记-"&amp;TEXT($B910,"YYYYMM")&amp;"-资金",INDEX(资金日记账!$W$4:$W$603,1)))</f>
        <v/>
      </c>
      <c r="D910" s="32" t="str">
        <f>IF($E910="","",INDEX(资金日记账!$D$4:$D$603,1))</f>
        <v/>
      </c>
      <c r="E910" s="26" t="str">
        <f>IF(INDEX(资金日记账!$N$4:$S$603,1,1)=0,"",INDEX(资金日记账!$N$4:$S$603,1,1))</f>
        <v/>
      </c>
      <c r="F910" s="25" t="str">
        <f>IF($E910="","",IFERROR(INDEX(科目表!$A$4:$A$81,MATCH($E910,科目表!$B$4:$B$81,0)),""))</f>
        <v/>
      </c>
      <c r="G910" s="26" t="str">
        <f>IF($E910="","",IFERROR(INDEX(科目表!$E$4:$E$81,MATCH($E910,科目表!$B$4:$B$81,0)),""))</f>
        <v/>
      </c>
      <c r="H910" s="27" t="str">
        <f>IF($E910="","",N(INDEX(资金日记账!$N$4:$S$603,1,2)))</f>
        <v/>
      </c>
      <c r="I910" s="27" t="str">
        <f>IF($E910="","",N(INDEX(资金日记账!$N$4:$S$603,1,3)))</f>
        <v/>
      </c>
      <c r="J910" s="26" t="str">
        <f>IF($E910="","",INDEX(资金日记账!$E$4:$E$603,1))</f>
        <v/>
      </c>
      <c r="K910" s="26" t="str">
        <f>IF($E910="","",INDEX(资金日记账!$F$4:$F$603,1))</f>
        <v/>
      </c>
      <c r="L910" s="32" t="str">
        <f>IF($E910="","",INDEX(资金日记账!$X$4:$X$603,1))</f>
        <v/>
      </c>
      <c r="M910" s="32"/>
      <c r="N910" s="26" t="str">
        <f>IF($E910="","",INDEX(资金日记账!$Y$4:$Y$603,1))</f>
        <v/>
      </c>
      <c r="O910" s="26" t="str">
        <f t="shared" ref="O910:O973" si="60">IF($E910="","","自动B")</f>
        <v/>
      </c>
      <c r="P910" s="10"/>
    </row>
    <row r="911" ht="18" customHeight="1" spans="1:16">
      <c r="A911" s="32" t="str">
        <f t="shared" si="56"/>
        <v/>
      </c>
      <c r="B911" s="100" t="str">
        <f>IF($E911="","",INDEX(资金日记账!$B$4:$B$603,1))</f>
        <v/>
      </c>
      <c r="C911" s="26" t="str">
        <f>IF($E911="","",IF(INDEX(资金日记账!$W$4:$W$603,1)="","记-"&amp;TEXT($B911,"YYYYMM")&amp;"-资金",INDEX(资金日记账!$W$4:$W$603,1)))</f>
        <v/>
      </c>
      <c r="D911" s="32" t="str">
        <f>IF($E911="","",INDEX(资金日记账!$D$4:$D$603,1))</f>
        <v/>
      </c>
      <c r="E911" s="26" t="str">
        <f>IF(INDEX(资金日记账!$N$4:$S$603,1,4)=0,"",INDEX(资金日记账!$N$4:$S$603,1,4))</f>
        <v/>
      </c>
      <c r="F911" s="25" t="str">
        <f>IF($E911="","",IFERROR(INDEX(科目表!$A$4:$A$81,MATCH($E911,科目表!$B$4:$B$81,0)),""))</f>
        <v/>
      </c>
      <c r="G911" s="26" t="str">
        <f>IF($E911="","",IFERROR(INDEX(科目表!$E$4:$E$81,MATCH($E911,科目表!$B$4:$B$81,0)),""))</f>
        <v/>
      </c>
      <c r="H911" s="27" t="str">
        <f>IF($E911="","",N(INDEX(资金日记账!$N$4:$S$603,1,5)))</f>
        <v/>
      </c>
      <c r="I911" s="27" t="str">
        <f>IF($E911="","",N(INDEX(资金日记账!$N$4:$S$603,1,6)))</f>
        <v/>
      </c>
      <c r="J911" s="26" t="str">
        <f>IF($E911="","",INDEX(资金日记账!$E$4:$E$603,1))</f>
        <v/>
      </c>
      <c r="K911" s="26" t="str">
        <f>IF($E911="","",INDEX(资金日记账!$F$4:$F$603,1))</f>
        <v/>
      </c>
      <c r="L911" s="32" t="str">
        <f>IF($E911="","",INDEX(资金日记账!$X$4:$X$603,1))</f>
        <v/>
      </c>
      <c r="M911" s="32"/>
      <c r="N911" s="26" t="str">
        <f>IF($E911="","",INDEX(资金日记账!$Y$4:$Y$603,1))</f>
        <v/>
      </c>
      <c r="O911" s="26" t="str">
        <f t="shared" si="60"/>
        <v/>
      </c>
      <c r="P911" s="10"/>
    </row>
    <row r="912" ht="18" customHeight="1" spans="1:16">
      <c r="A912" s="32" t="str">
        <f t="shared" si="56"/>
        <v/>
      </c>
      <c r="B912" s="100" t="str">
        <f>IF($E912="","",INDEX(资金日记账!$B$4:$B$603,2))</f>
        <v/>
      </c>
      <c r="C912" s="26" t="str">
        <f>IF($E912="","",IF(INDEX(资金日记账!$W$4:$W$603,2)="","记-"&amp;TEXT($B912,"YYYYMM")&amp;"-资金",INDEX(资金日记账!$W$4:$W$603,2)))</f>
        <v/>
      </c>
      <c r="D912" s="32" t="str">
        <f>IF($E912="","",INDEX(资金日记账!$D$4:$D$603,2))</f>
        <v/>
      </c>
      <c r="E912" s="26" t="str">
        <f>IF(INDEX(资金日记账!$N$4:$S$603,2,1)=0,"",INDEX(资金日记账!$N$4:$S$603,2,1))</f>
        <v/>
      </c>
      <c r="F912" s="25" t="str">
        <f>IF($E912="","",IFERROR(INDEX(科目表!$A$4:$A$81,MATCH($E912,科目表!$B$4:$B$81,0)),""))</f>
        <v/>
      </c>
      <c r="G912" s="26" t="str">
        <f>IF($E912="","",IFERROR(INDEX(科目表!$E$4:$E$81,MATCH($E912,科目表!$B$4:$B$81,0)),""))</f>
        <v/>
      </c>
      <c r="H912" s="27" t="str">
        <f>IF($E912="","",N(INDEX(资金日记账!$N$4:$S$603,2,2)))</f>
        <v/>
      </c>
      <c r="I912" s="27" t="str">
        <f>IF($E912="","",N(INDEX(资金日记账!$N$4:$S$603,2,3)))</f>
        <v/>
      </c>
      <c r="J912" s="26" t="str">
        <f>IF($E912="","",INDEX(资金日记账!$E$4:$E$603,2))</f>
        <v/>
      </c>
      <c r="K912" s="26" t="str">
        <f>IF($E912="","",INDEX(资金日记账!$F$4:$F$603,2))</f>
        <v/>
      </c>
      <c r="L912" s="32" t="str">
        <f>IF($E912="","",INDEX(资金日记账!$X$4:$X$603,2))</f>
        <v/>
      </c>
      <c r="M912" s="32"/>
      <c r="N912" s="26" t="str">
        <f>IF($E912="","",INDEX(资金日记账!$Y$4:$Y$603,2))</f>
        <v/>
      </c>
      <c r="O912" s="26" t="str">
        <f t="shared" si="60"/>
        <v/>
      </c>
      <c r="P912" s="10"/>
    </row>
    <row r="913" ht="18" customHeight="1" spans="1:16">
      <c r="A913" s="32" t="str">
        <f t="shared" si="56"/>
        <v/>
      </c>
      <c r="B913" s="100" t="str">
        <f>IF($E913="","",INDEX(资金日记账!$B$4:$B$603,2))</f>
        <v/>
      </c>
      <c r="C913" s="26" t="str">
        <f>IF($E913="","",IF(INDEX(资金日记账!$W$4:$W$603,2)="","记-"&amp;TEXT($B913,"YYYYMM")&amp;"-资金",INDEX(资金日记账!$W$4:$W$603,2)))</f>
        <v/>
      </c>
      <c r="D913" s="32" t="str">
        <f>IF($E913="","",INDEX(资金日记账!$D$4:$D$603,2))</f>
        <v/>
      </c>
      <c r="E913" s="26" t="str">
        <f>IF(INDEX(资金日记账!$N$4:$S$603,2,4)=0,"",INDEX(资金日记账!$N$4:$S$603,2,4))</f>
        <v/>
      </c>
      <c r="F913" s="25" t="str">
        <f>IF($E913="","",IFERROR(INDEX(科目表!$A$4:$A$81,MATCH($E913,科目表!$B$4:$B$81,0)),""))</f>
        <v/>
      </c>
      <c r="G913" s="26" t="str">
        <f>IF($E913="","",IFERROR(INDEX(科目表!$E$4:$E$81,MATCH($E913,科目表!$B$4:$B$81,0)),""))</f>
        <v/>
      </c>
      <c r="H913" s="27" t="str">
        <f>IF($E913="","",N(INDEX(资金日记账!$N$4:$S$603,2,5)))</f>
        <v/>
      </c>
      <c r="I913" s="27" t="str">
        <f>IF($E913="","",N(INDEX(资金日记账!$N$4:$S$603,2,6)))</f>
        <v/>
      </c>
      <c r="J913" s="26" t="str">
        <f>IF($E913="","",INDEX(资金日记账!$E$4:$E$603,2))</f>
        <v/>
      </c>
      <c r="K913" s="26" t="str">
        <f>IF($E913="","",INDEX(资金日记账!$F$4:$F$603,2))</f>
        <v/>
      </c>
      <c r="L913" s="32" t="str">
        <f>IF($E913="","",INDEX(资金日记账!$X$4:$X$603,2))</f>
        <v/>
      </c>
      <c r="M913" s="32"/>
      <c r="N913" s="26" t="str">
        <f>IF($E913="","",INDEX(资金日记账!$Y$4:$Y$603,2))</f>
        <v/>
      </c>
      <c r="O913" s="26" t="str">
        <f t="shared" si="60"/>
        <v/>
      </c>
      <c r="P913" s="10"/>
    </row>
    <row r="914" ht="18" customHeight="1" spans="1:16">
      <c r="A914" s="32" t="str">
        <f t="shared" si="56"/>
        <v/>
      </c>
      <c r="B914" s="100" t="str">
        <f>IF($E914="","",INDEX(资金日记账!$B$4:$B$603,3))</f>
        <v/>
      </c>
      <c r="C914" s="26" t="str">
        <f>IF($E914="","",IF(INDEX(资金日记账!$W$4:$W$603,3)="","记-"&amp;TEXT($B914,"YYYYMM")&amp;"-资金",INDEX(资金日记账!$W$4:$W$603,3)))</f>
        <v/>
      </c>
      <c r="D914" s="32" t="str">
        <f>IF($E914="","",INDEX(资金日记账!$D$4:$D$603,3))</f>
        <v/>
      </c>
      <c r="E914" s="26" t="str">
        <f>IF(INDEX(资金日记账!$N$4:$S$603,3,1)=0,"",INDEX(资金日记账!$N$4:$S$603,3,1))</f>
        <v/>
      </c>
      <c r="F914" s="25" t="str">
        <f>IF($E914="","",IFERROR(INDEX(科目表!$A$4:$A$81,MATCH($E914,科目表!$B$4:$B$81,0)),""))</f>
        <v/>
      </c>
      <c r="G914" s="26" t="str">
        <f>IF($E914="","",IFERROR(INDEX(科目表!$E$4:$E$81,MATCH($E914,科目表!$B$4:$B$81,0)),""))</f>
        <v/>
      </c>
      <c r="H914" s="27" t="str">
        <f>IF($E914="","",N(INDEX(资金日记账!$N$4:$S$603,3,2)))</f>
        <v/>
      </c>
      <c r="I914" s="27" t="str">
        <f>IF($E914="","",N(INDEX(资金日记账!$N$4:$S$603,3,3)))</f>
        <v/>
      </c>
      <c r="J914" s="26" t="str">
        <f>IF($E914="","",INDEX(资金日记账!$E$4:$E$603,3))</f>
        <v/>
      </c>
      <c r="K914" s="26" t="str">
        <f>IF($E914="","",INDEX(资金日记账!$F$4:$F$603,3))</f>
        <v/>
      </c>
      <c r="L914" s="32" t="str">
        <f>IF($E914="","",INDEX(资金日记账!$X$4:$X$603,3))</f>
        <v/>
      </c>
      <c r="M914" s="32"/>
      <c r="N914" s="26" t="str">
        <f>IF($E914="","",INDEX(资金日记账!$Y$4:$Y$603,3))</f>
        <v/>
      </c>
      <c r="O914" s="26" t="str">
        <f t="shared" si="60"/>
        <v/>
      </c>
      <c r="P914" s="10"/>
    </row>
    <row r="915" ht="18" customHeight="1" spans="1:16">
      <c r="A915" s="32" t="str">
        <f t="shared" si="56"/>
        <v/>
      </c>
      <c r="B915" s="100" t="str">
        <f>IF($E915="","",INDEX(资金日记账!$B$4:$B$603,3))</f>
        <v/>
      </c>
      <c r="C915" s="26" t="str">
        <f>IF($E915="","",IF(INDEX(资金日记账!$W$4:$W$603,3)="","记-"&amp;TEXT($B915,"YYYYMM")&amp;"-资金",INDEX(资金日记账!$W$4:$W$603,3)))</f>
        <v/>
      </c>
      <c r="D915" s="32" t="str">
        <f>IF($E915="","",INDEX(资金日记账!$D$4:$D$603,3))</f>
        <v/>
      </c>
      <c r="E915" s="26" t="str">
        <f>IF(INDEX(资金日记账!$N$4:$S$603,3,4)=0,"",INDEX(资金日记账!$N$4:$S$603,3,4))</f>
        <v/>
      </c>
      <c r="F915" s="25" t="str">
        <f>IF($E915="","",IFERROR(INDEX(科目表!$A$4:$A$81,MATCH($E915,科目表!$B$4:$B$81,0)),""))</f>
        <v/>
      </c>
      <c r="G915" s="26" t="str">
        <f>IF($E915="","",IFERROR(INDEX(科目表!$E$4:$E$81,MATCH($E915,科目表!$B$4:$B$81,0)),""))</f>
        <v/>
      </c>
      <c r="H915" s="27" t="str">
        <f>IF($E915="","",N(INDEX(资金日记账!$N$4:$S$603,3,5)))</f>
        <v/>
      </c>
      <c r="I915" s="27" t="str">
        <f>IF($E915="","",N(INDEX(资金日记账!$N$4:$S$603,3,6)))</f>
        <v/>
      </c>
      <c r="J915" s="26" t="str">
        <f>IF($E915="","",INDEX(资金日记账!$E$4:$E$603,3))</f>
        <v/>
      </c>
      <c r="K915" s="26" t="str">
        <f>IF($E915="","",INDEX(资金日记账!$F$4:$F$603,3))</f>
        <v/>
      </c>
      <c r="L915" s="32" t="str">
        <f>IF($E915="","",INDEX(资金日记账!$X$4:$X$603,3))</f>
        <v/>
      </c>
      <c r="M915" s="32"/>
      <c r="N915" s="26" t="str">
        <f>IF($E915="","",INDEX(资金日记账!$Y$4:$Y$603,3))</f>
        <v/>
      </c>
      <c r="O915" s="26" t="str">
        <f t="shared" si="60"/>
        <v/>
      </c>
      <c r="P915" s="10"/>
    </row>
    <row r="916" ht="18" customHeight="1" spans="1:16">
      <c r="A916" s="32" t="str">
        <f t="shared" si="56"/>
        <v/>
      </c>
      <c r="B916" s="100" t="str">
        <f>IF($E916="","",INDEX(资金日记账!$B$4:$B$603,4))</f>
        <v/>
      </c>
      <c r="C916" s="26" t="str">
        <f>IF($E916="","",IF(INDEX(资金日记账!$W$4:$W$603,4)="","记-"&amp;TEXT($B916,"YYYYMM")&amp;"-资金",INDEX(资金日记账!$W$4:$W$603,4)))</f>
        <v/>
      </c>
      <c r="D916" s="32" t="str">
        <f>IF($E916="","",INDEX(资金日记账!$D$4:$D$603,4))</f>
        <v/>
      </c>
      <c r="E916" s="26" t="str">
        <f>IF(INDEX(资金日记账!$N$4:$S$603,4,1)=0,"",INDEX(资金日记账!$N$4:$S$603,4,1))</f>
        <v/>
      </c>
      <c r="F916" s="25" t="str">
        <f>IF($E916="","",IFERROR(INDEX(科目表!$A$4:$A$81,MATCH($E916,科目表!$B$4:$B$81,0)),""))</f>
        <v/>
      </c>
      <c r="G916" s="26" t="str">
        <f>IF($E916="","",IFERROR(INDEX(科目表!$E$4:$E$81,MATCH($E916,科目表!$B$4:$B$81,0)),""))</f>
        <v/>
      </c>
      <c r="H916" s="27" t="str">
        <f>IF($E916="","",N(INDEX(资金日记账!$N$4:$S$603,4,2)))</f>
        <v/>
      </c>
      <c r="I916" s="27" t="str">
        <f>IF($E916="","",N(INDEX(资金日记账!$N$4:$S$603,4,3)))</f>
        <v/>
      </c>
      <c r="J916" s="26" t="str">
        <f>IF($E916="","",INDEX(资金日记账!$E$4:$E$603,4))</f>
        <v/>
      </c>
      <c r="K916" s="26" t="str">
        <f>IF($E916="","",INDEX(资金日记账!$F$4:$F$603,4))</f>
        <v/>
      </c>
      <c r="L916" s="32" t="str">
        <f>IF($E916="","",INDEX(资金日记账!$X$4:$X$603,4))</f>
        <v/>
      </c>
      <c r="M916" s="32"/>
      <c r="N916" s="26" t="str">
        <f>IF($E916="","",INDEX(资金日记账!$Y$4:$Y$603,4))</f>
        <v/>
      </c>
      <c r="O916" s="26" t="str">
        <f t="shared" si="60"/>
        <v/>
      </c>
      <c r="P916" s="10"/>
    </row>
    <row r="917" ht="18" customHeight="1" spans="1:16">
      <c r="A917" s="32" t="str">
        <f t="shared" si="56"/>
        <v/>
      </c>
      <c r="B917" s="100" t="str">
        <f>IF($E917="","",INDEX(资金日记账!$B$4:$B$603,4))</f>
        <v/>
      </c>
      <c r="C917" s="26" t="str">
        <f>IF($E917="","",IF(INDEX(资金日记账!$W$4:$W$603,4)="","记-"&amp;TEXT($B917,"YYYYMM")&amp;"-资金",INDEX(资金日记账!$W$4:$W$603,4)))</f>
        <v/>
      </c>
      <c r="D917" s="32" t="str">
        <f>IF($E917="","",INDEX(资金日记账!$D$4:$D$603,4))</f>
        <v/>
      </c>
      <c r="E917" s="26" t="str">
        <f>IF(INDEX(资金日记账!$N$4:$S$603,4,4)=0,"",INDEX(资金日记账!$N$4:$S$603,4,4))</f>
        <v/>
      </c>
      <c r="F917" s="25" t="str">
        <f>IF($E917="","",IFERROR(INDEX(科目表!$A$4:$A$81,MATCH($E917,科目表!$B$4:$B$81,0)),""))</f>
        <v/>
      </c>
      <c r="G917" s="26" t="str">
        <f>IF($E917="","",IFERROR(INDEX(科目表!$E$4:$E$81,MATCH($E917,科目表!$B$4:$B$81,0)),""))</f>
        <v/>
      </c>
      <c r="H917" s="27" t="str">
        <f>IF($E917="","",N(INDEX(资金日记账!$N$4:$S$603,4,5)))</f>
        <v/>
      </c>
      <c r="I917" s="27" t="str">
        <f>IF($E917="","",N(INDEX(资金日记账!$N$4:$S$603,4,6)))</f>
        <v/>
      </c>
      <c r="J917" s="26" t="str">
        <f>IF($E917="","",INDEX(资金日记账!$E$4:$E$603,4))</f>
        <v/>
      </c>
      <c r="K917" s="26" t="str">
        <f>IF($E917="","",INDEX(资金日记账!$F$4:$F$603,4))</f>
        <v/>
      </c>
      <c r="L917" s="32" t="str">
        <f>IF($E917="","",INDEX(资金日记账!$X$4:$X$603,4))</f>
        <v/>
      </c>
      <c r="M917" s="32"/>
      <c r="N917" s="26" t="str">
        <f>IF($E917="","",INDEX(资金日记账!$Y$4:$Y$603,4))</f>
        <v/>
      </c>
      <c r="O917" s="26" t="str">
        <f t="shared" si="60"/>
        <v/>
      </c>
      <c r="P917" s="10"/>
    </row>
    <row r="918" ht="18" customHeight="1" spans="1:16">
      <c r="A918" s="32" t="str">
        <f t="shared" si="56"/>
        <v/>
      </c>
      <c r="B918" s="100" t="str">
        <f>IF($E918="","",INDEX(资金日记账!$B$4:$B$603,5))</f>
        <v/>
      </c>
      <c r="C918" s="26" t="str">
        <f>IF($E918="","",IF(INDEX(资金日记账!$W$4:$W$603,5)="","记-"&amp;TEXT($B918,"YYYYMM")&amp;"-资金",INDEX(资金日记账!$W$4:$W$603,5)))</f>
        <v/>
      </c>
      <c r="D918" s="32" t="str">
        <f>IF($E918="","",INDEX(资金日记账!$D$4:$D$603,5))</f>
        <v/>
      </c>
      <c r="E918" s="26" t="str">
        <f>IF(INDEX(资金日记账!$N$4:$S$603,5,1)=0,"",INDEX(资金日记账!$N$4:$S$603,5,1))</f>
        <v/>
      </c>
      <c r="F918" s="25" t="str">
        <f>IF($E918="","",IFERROR(INDEX(科目表!$A$4:$A$81,MATCH($E918,科目表!$B$4:$B$81,0)),""))</f>
        <v/>
      </c>
      <c r="G918" s="26" t="str">
        <f>IF($E918="","",IFERROR(INDEX(科目表!$E$4:$E$81,MATCH($E918,科目表!$B$4:$B$81,0)),""))</f>
        <v/>
      </c>
      <c r="H918" s="27" t="str">
        <f>IF($E918="","",N(INDEX(资金日记账!$N$4:$S$603,5,2)))</f>
        <v/>
      </c>
      <c r="I918" s="27" t="str">
        <f>IF($E918="","",N(INDEX(资金日记账!$N$4:$S$603,5,3)))</f>
        <v/>
      </c>
      <c r="J918" s="26" t="str">
        <f>IF($E918="","",INDEX(资金日记账!$E$4:$E$603,5))</f>
        <v/>
      </c>
      <c r="K918" s="26" t="str">
        <f>IF($E918="","",INDEX(资金日记账!$F$4:$F$603,5))</f>
        <v/>
      </c>
      <c r="L918" s="32" t="str">
        <f>IF($E918="","",INDEX(资金日记账!$X$4:$X$603,5))</f>
        <v/>
      </c>
      <c r="M918" s="32"/>
      <c r="N918" s="26" t="str">
        <f>IF($E918="","",INDEX(资金日记账!$Y$4:$Y$603,5))</f>
        <v/>
      </c>
      <c r="O918" s="26" t="str">
        <f t="shared" si="60"/>
        <v/>
      </c>
      <c r="P918" s="10"/>
    </row>
    <row r="919" ht="18" customHeight="1" spans="1:16">
      <c r="A919" s="32" t="str">
        <f t="shared" si="56"/>
        <v/>
      </c>
      <c r="B919" s="100" t="str">
        <f>IF($E919="","",INDEX(资金日记账!$B$4:$B$603,5))</f>
        <v/>
      </c>
      <c r="C919" s="26" t="str">
        <f>IF($E919="","",IF(INDEX(资金日记账!$W$4:$W$603,5)="","记-"&amp;TEXT($B919,"YYYYMM")&amp;"-资金",INDEX(资金日记账!$W$4:$W$603,5)))</f>
        <v/>
      </c>
      <c r="D919" s="32" t="str">
        <f>IF($E919="","",INDEX(资金日记账!$D$4:$D$603,5))</f>
        <v/>
      </c>
      <c r="E919" s="26" t="str">
        <f>IF(INDEX(资金日记账!$N$4:$S$603,5,4)=0,"",INDEX(资金日记账!$N$4:$S$603,5,4))</f>
        <v/>
      </c>
      <c r="F919" s="25" t="str">
        <f>IF($E919="","",IFERROR(INDEX(科目表!$A$4:$A$81,MATCH($E919,科目表!$B$4:$B$81,0)),""))</f>
        <v/>
      </c>
      <c r="G919" s="26" t="str">
        <f>IF($E919="","",IFERROR(INDEX(科目表!$E$4:$E$81,MATCH($E919,科目表!$B$4:$B$81,0)),""))</f>
        <v/>
      </c>
      <c r="H919" s="27" t="str">
        <f>IF($E919="","",N(INDEX(资金日记账!$N$4:$S$603,5,5)))</f>
        <v/>
      </c>
      <c r="I919" s="27" t="str">
        <f>IF($E919="","",N(INDEX(资金日记账!$N$4:$S$603,5,6)))</f>
        <v/>
      </c>
      <c r="J919" s="26" t="str">
        <f>IF($E919="","",INDEX(资金日记账!$E$4:$E$603,5))</f>
        <v/>
      </c>
      <c r="K919" s="26" t="str">
        <f>IF($E919="","",INDEX(资金日记账!$F$4:$F$603,5))</f>
        <v/>
      </c>
      <c r="L919" s="32" t="str">
        <f>IF($E919="","",INDEX(资金日记账!$X$4:$X$603,5))</f>
        <v/>
      </c>
      <c r="M919" s="32"/>
      <c r="N919" s="26" t="str">
        <f>IF($E919="","",INDEX(资金日记账!$Y$4:$Y$603,5))</f>
        <v/>
      </c>
      <c r="O919" s="26" t="str">
        <f t="shared" si="60"/>
        <v/>
      </c>
      <c r="P919" s="10"/>
    </row>
    <row r="920" ht="18" customHeight="1" spans="1:16">
      <c r="A920" s="32" t="str">
        <f t="shared" si="56"/>
        <v/>
      </c>
      <c r="B920" s="100" t="str">
        <f>IF($E920="","",INDEX(资金日记账!$B$4:$B$603,6))</f>
        <v/>
      </c>
      <c r="C920" s="26" t="str">
        <f>IF($E920="","",IF(INDEX(资金日记账!$W$4:$W$603,6)="","记-"&amp;TEXT($B920,"YYYYMM")&amp;"-资金",INDEX(资金日记账!$W$4:$W$603,6)))</f>
        <v/>
      </c>
      <c r="D920" s="32" t="str">
        <f>IF($E920="","",INDEX(资金日记账!$D$4:$D$603,6))</f>
        <v/>
      </c>
      <c r="E920" s="26" t="str">
        <f>IF(INDEX(资金日记账!$N$4:$S$603,6,1)=0,"",INDEX(资金日记账!$N$4:$S$603,6,1))</f>
        <v/>
      </c>
      <c r="F920" s="25" t="str">
        <f>IF($E920="","",IFERROR(INDEX(科目表!$A$4:$A$81,MATCH($E920,科目表!$B$4:$B$81,0)),""))</f>
        <v/>
      </c>
      <c r="G920" s="26" t="str">
        <f>IF($E920="","",IFERROR(INDEX(科目表!$E$4:$E$81,MATCH($E920,科目表!$B$4:$B$81,0)),""))</f>
        <v/>
      </c>
      <c r="H920" s="27" t="str">
        <f>IF($E920="","",N(INDEX(资金日记账!$N$4:$S$603,6,2)))</f>
        <v/>
      </c>
      <c r="I920" s="27" t="str">
        <f>IF($E920="","",N(INDEX(资金日记账!$N$4:$S$603,6,3)))</f>
        <v/>
      </c>
      <c r="J920" s="26" t="str">
        <f>IF($E920="","",INDEX(资金日记账!$E$4:$E$603,6))</f>
        <v/>
      </c>
      <c r="K920" s="26" t="str">
        <f>IF($E920="","",INDEX(资金日记账!$F$4:$F$603,6))</f>
        <v/>
      </c>
      <c r="L920" s="32" t="str">
        <f>IF($E920="","",INDEX(资金日记账!$X$4:$X$603,6))</f>
        <v/>
      </c>
      <c r="M920" s="32"/>
      <c r="N920" s="26" t="str">
        <f>IF($E920="","",INDEX(资金日记账!$Y$4:$Y$603,6))</f>
        <v/>
      </c>
      <c r="O920" s="26" t="str">
        <f t="shared" si="60"/>
        <v/>
      </c>
      <c r="P920" s="10"/>
    </row>
    <row r="921" ht="18" customHeight="1" spans="1:16">
      <c r="A921" s="32" t="str">
        <f t="shared" si="56"/>
        <v/>
      </c>
      <c r="B921" s="100" t="str">
        <f>IF($E921="","",INDEX(资金日记账!$B$4:$B$603,6))</f>
        <v/>
      </c>
      <c r="C921" s="26" t="str">
        <f>IF($E921="","",IF(INDEX(资金日记账!$W$4:$W$603,6)="","记-"&amp;TEXT($B921,"YYYYMM")&amp;"-资金",INDEX(资金日记账!$W$4:$W$603,6)))</f>
        <v/>
      </c>
      <c r="D921" s="32" t="str">
        <f>IF($E921="","",INDEX(资金日记账!$D$4:$D$603,6))</f>
        <v/>
      </c>
      <c r="E921" s="26" t="str">
        <f>IF(INDEX(资金日记账!$N$4:$S$603,6,4)=0,"",INDEX(资金日记账!$N$4:$S$603,6,4))</f>
        <v/>
      </c>
      <c r="F921" s="25" t="str">
        <f>IF($E921="","",IFERROR(INDEX(科目表!$A$4:$A$81,MATCH($E921,科目表!$B$4:$B$81,0)),""))</f>
        <v/>
      </c>
      <c r="G921" s="26" t="str">
        <f>IF($E921="","",IFERROR(INDEX(科目表!$E$4:$E$81,MATCH($E921,科目表!$B$4:$B$81,0)),""))</f>
        <v/>
      </c>
      <c r="H921" s="27" t="str">
        <f>IF($E921="","",N(INDEX(资金日记账!$N$4:$S$603,6,5)))</f>
        <v/>
      </c>
      <c r="I921" s="27" t="str">
        <f>IF($E921="","",N(INDEX(资金日记账!$N$4:$S$603,6,6)))</f>
        <v/>
      </c>
      <c r="J921" s="26" t="str">
        <f>IF($E921="","",INDEX(资金日记账!$E$4:$E$603,6))</f>
        <v/>
      </c>
      <c r="K921" s="26" t="str">
        <f>IF($E921="","",INDEX(资金日记账!$F$4:$F$603,6))</f>
        <v/>
      </c>
      <c r="L921" s="32" t="str">
        <f>IF($E921="","",INDEX(资金日记账!$X$4:$X$603,6))</f>
        <v/>
      </c>
      <c r="M921" s="32"/>
      <c r="N921" s="26" t="str">
        <f>IF($E921="","",INDEX(资金日记账!$Y$4:$Y$603,6))</f>
        <v/>
      </c>
      <c r="O921" s="26" t="str">
        <f t="shared" si="60"/>
        <v/>
      </c>
      <c r="P921" s="10"/>
    </row>
    <row r="922" ht="18" customHeight="1" spans="1:16">
      <c r="A922" s="32" t="str">
        <f t="shared" si="56"/>
        <v/>
      </c>
      <c r="B922" s="100" t="str">
        <f>IF($E922="","",INDEX(资金日记账!$B$4:$B$603,7))</f>
        <v/>
      </c>
      <c r="C922" s="26" t="str">
        <f>IF($E922="","",IF(INDEX(资金日记账!$W$4:$W$603,7)="","记-"&amp;TEXT($B922,"YYYYMM")&amp;"-资金",INDEX(资金日记账!$W$4:$W$603,7)))</f>
        <v/>
      </c>
      <c r="D922" s="32" t="str">
        <f>IF($E922="","",INDEX(资金日记账!$D$4:$D$603,7))</f>
        <v/>
      </c>
      <c r="E922" s="26" t="str">
        <f>IF(INDEX(资金日记账!$N$4:$S$603,7,1)=0,"",INDEX(资金日记账!$N$4:$S$603,7,1))</f>
        <v/>
      </c>
      <c r="F922" s="25" t="str">
        <f>IF($E922="","",IFERROR(INDEX(科目表!$A$4:$A$81,MATCH($E922,科目表!$B$4:$B$81,0)),""))</f>
        <v/>
      </c>
      <c r="G922" s="26" t="str">
        <f>IF($E922="","",IFERROR(INDEX(科目表!$E$4:$E$81,MATCH($E922,科目表!$B$4:$B$81,0)),""))</f>
        <v/>
      </c>
      <c r="H922" s="27" t="str">
        <f>IF($E922="","",N(INDEX(资金日记账!$N$4:$S$603,7,2)))</f>
        <v/>
      </c>
      <c r="I922" s="27" t="str">
        <f>IF($E922="","",N(INDEX(资金日记账!$N$4:$S$603,7,3)))</f>
        <v/>
      </c>
      <c r="J922" s="26" t="str">
        <f>IF($E922="","",INDEX(资金日记账!$E$4:$E$603,7))</f>
        <v/>
      </c>
      <c r="K922" s="26" t="str">
        <f>IF($E922="","",INDEX(资金日记账!$F$4:$F$603,7))</f>
        <v/>
      </c>
      <c r="L922" s="32" t="str">
        <f>IF($E922="","",INDEX(资金日记账!$X$4:$X$603,7))</f>
        <v/>
      </c>
      <c r="M922" s="32"/>
      <c r="N922" s="26" t="str">
        <f>IF($E922="","",INDEX(资金日记账!$Y$4:$Y$603,7))</f>
        <v/>
      </c>
      <c r="O922" s="26" t="str">
        <f t="shared" si="60"/>
        <v/>
      </c>
      <c r="P922" s="10"/>
    </row>
    <row r="923" ht="18" customHeight="1" spans="1:16">
      <c r="A923" s="32" t="str">
        <f t="shared" si="56"/>
        <v/>
      </c>
      <c r="B923" s="100" t="str">
        <f>IF($E923="","",INDEX(资金日记账!$B$4:$B$603,7))</f>
        <v/>
      </c>
      <c r="C923" s="26" t="str">
        <f>IF($E923="","",IF(INDEX(资金日记账!$W$4:$W$603,7)="","记-"&amp;TEXT($B923,"YYYYMM")&amp;"-资金",INDEX(资金日记账!$W$4:$W$603,7)))</f>
        <v/>
      </c>
      <c r="D923" s="32" t="str">
        <f>IF($E923="","",INDEX(资金日记账!$D$4:$D$603,7))</f>
        <v/>
      </c>
      <c r="E923" s="26" t="str">
        <f>IF(INDEX(资金日记账!$N$4:$S$603,7,4)=0,"",INDEX(资金日记账!$N$4:$S$603,7,4))</f>
        <v/>
      </c>
      <c r="F923" s="25" t="str">
        <f>IF($E923="","",IFERROR(INDEX(科目表!$A$4:$A$81,MATCH($E923,科目表!$B$4:$B$81,0)),""))</f>
        <v/>
      </c>
      <c r="G923" s="26" t="str">
        <f>IF($E923="","",IFERROR(INDEX(科目表!$E$4:$E$81,MATCH($E923,科目表!$B$4:$B$81,0)),""))</f>
        <v/>
      </c>
      <c r="H923" s="27" t="str">
        <f>IF($E923="","",N(INDEX(资金日记账!$N$4:$S$603,7,5)))</f>
        <v/>
      </c>
      <c r="I923" s="27" t="str">
        <f>IF($E923="","",N(INDEX(资金日记账!$N$4:$S$603,7,6)))</f>
        <v/>
      </c>
      <c r="J923" s="26" t="str">
        <f>IF($E923="","",INDEX(资金日记账!$E$4:$E$603,7))</f>
        <v/>
      </c>
      <c r="K923" s="26" t="str">
        <f>IF($E923="","",INDEX(资金日记账!$F$4:$F$603,7))</f>
        <v/>
      </c>
      <c r="L923" s="32" t="str">
        <f>IF($E923="","",INDEX(资金日记账!$X$4:$X$603,7))</f>
        <v/>
      </c>
      <c r="M923" s="32"/>
      <c r="N923" s="26" t="str">
        <f>IF($E923="","",INDEX(资金日记账!$Y$4:$Y$603,7))</f>
        <v/>
      </c>
      <c r="O923" s="26" t="str">
        <f t="shared" si="60"/>
        <v/>
      </c>
      <c r="P923" s="10"/>
    </row>
    <row r="924" ht="18" customHeight="1" spans="1:16">
      <c r="A924" s="32" t="str">
        <f t="shared" si="56"/>
        <v/>
      </c>
      <c r="B924" s="100" t="str">
        <f>IF($E924="","",INDEX(资金日记账!$B$4:$B$603,8))</f>
        <v/>
      </c>
      <c r="C924" s="26" t="str">
        <f>IF($E924="","",IF(INDEX(资金日记账!$W$4:$W$603,8)="","记-"&amp;TEXT($B924,"YYYYMM")&amp;"-资金",INDEX(资金日记账!$W$4:$W$603,8)))</f>
        <v/>
      </c>
      <c r="D924" s="32" t="str">
        <f>IF($E924="","",INDEX(资金日记账!$D$4:$D$603,8))</f>
        <v/>
      </c>
      <c r="E924" s="26" t="str">
        <f>IF(INDEX(资金日记账!$N$4:$S$603,8,1)=0,"",INDEX(资金日记账!$N$4:$S$603,8,1))</f>
        <v/>
      </c>
      <c r="F924" s="25" t="str">
        <f>IF($E924="","",IFERROR(INDEX(科目表!$A$4:$A$81,MATCH($E924,科目表!$B$4:$B$81,0)),""))</f>
        <v/>
      </c>
      <c r="G924" s="26" t="str">
        <f>IF($E924="","",IFERROR(INDEX(科目表!$E$4:$E$81,MATCH($E924,科目表!$B$4:$B$81,0)),""))</f>
        <v/>
      </c>
      <c r="H924" s="27" t="str">
        <f>IF($E924="","",N(INDEX(资金日记账!$N$4:$S$603,8,2)))</f>
        <v/>
      </c>
      <c r="I924" s="27" t="str">
        <f>IF($E924="","",N(INDEX(资金日记账!$N$4:$S$603,8,3)))</f>
        <v/>
      </c>
      <c r="J924" s="26" t="str">
        <f>IF($E924="","",INDEX(资金日记账!$E$4:$E$603,8))</f>
        <v/>
      </c>
      <c r="K924" s="26" t="str">
        <f>IF($E924="","",INDEX(资金日记账!$F$4:$F$603,8))</f>
        <v/>
      </c>
      <c r="L924" s="32" t="str">
        <f>IF($E924="","",INDEX(资金日记账!$X$4:$X$603,8))</f>
        <v/>
      </c>
      <c r="M924" s="32"/>
      <c r="N924" s="26" t="str">
        <f>IF($E924="","",INDEX(资金日记账!$Y$4:$Y$603,8))</f>
        <v/>
      </c>
      <c r="O924" s="26" t="str">
        <f t="shared" si="60"/>
        <v/>
      </c>
      <c r="P924" s="10"/>
    </row>
    <row r="925" ht="18" customHeight="1" spans="1:16">
      <c r="A925" s="32" t="str">
        <f t="shared" si="56"/>
        <v/>
      </c>
      <c r="B925" s="100" t="str">
        <f>IF($E925="","",INDEX(资金日记账!$B$4:$B$603,8))</f>
        <v/>
      </c>
      <c r="C925" s="26" t="str">
        <f>IF($E925="","",IF(INDEX(资金日记账!$W$4:$W$603,8)="","记-"&amp;TEXT($B925,"YYYYMM")&amp;"-资金",INDEX(资金日记账!$W$4:$W$603,8)))</f>
        <v/>
      </c>
      <c r="D925" s="32" t="str">
        <f>IF($E925="","",INDEX(资金日记账!$D$4:$D$603,8))</f>
        <v/>
      </c>
      <c r="E925" s="26" t="str">
        <f>IF(INDEX(资金日记账!$N$4:$S$603,8,4)=0,"",INDEX(资金日记账!$N$4:$S$603,8,4))</f>
        <v/>
      </c>
      <c r="F925" s="25" t="str">
        <f>IF($E925="","",IFERROR(INDEX(科目表!$A$4:$A$81,MATCH($E925,科目表!$B$4:$B$81,0)),""))</f>
        <v/>
      </c>
      <c r="G925" s="26" t="str">
        <f>IF($E925="","",IFERROR(INDEX(科目表!$E$4:$E$81,MATCH($E925,科目表!$B$4:$B$81,0)),""))</f>
        <v/>
      </c>
      <c r="H925" s="27" t="str">
        <f>IF($E925="","",N(INDEX(资金日记账!$N$4:$S$603,8,5)))</f>
        <v/>
      </c>
      <c r="I925" s="27" t="str">
        <f>IF($E925="","",N(INDEX(资金日记账!$N$4:$S$603,8,6)))</f>
        <v/>
      </c>
      <c r="J925" s="26" t="str">
        <f>IF($E925="","",INDEX(资金日记账!$E$4:$E$603,8))</f>
        <v/>
      </c>
      <c r="K925" s="26" t="str">
        <f>IF($E925="","",INDEX(资金日记账!$F$4:$F$603,8))</f>
        <v/>
      </c>
      <c r="L925" s="32" t="str">
        <f>IF($E925="","",INDEX(资金日记账!$X$4:$X$603,8))</f>
        <v/>
      </c>
      <c r="M925" s="32"/>
      <c r="N925" s="26" t="str">
        <f>IF($E925="","",INDEX(资金日记账!$Y$4:$Y$603,8))</f>
        <v/>
      </c>
      <c r="O925" s="26" t="str">
        <f t="shared" si="60"/>
        <v/>
      </c>
      <c r="P925" s="10"/>
    </row>
    <row r="926" ht="18" customHeight="1" spans="1:16">
      <c r="A926" s="32" t="str">
        <f t="shared" si="56"/>
        <v/>
      </c>
      <c r="B926" s="100" t="str">
        <f>IF($E926="","",INDEX(资金日记账!$B$4:$B$603,9))</f>
        <v/>
      </c>
      <c r="C926" s="26" t="str">
        <f>IF($E926="","",IF(INDEX(资金日记账!$W$4:$W$603,9)="","记-"&amp;TEXT($B926,"YYYYMM")&amp;"-资金",INDEX(资金日记账!$W$4:$W$603,9)))</f>
        <v/>
      </c>
      <c r="D926" s="32" t="str">
        <f>IF($E926="","",INDEX(资金日记账!$D$4:$D$603,9))</f>
        <v/>
      </c>
      <c r="E926" s="26" t="str">
        <f>IF(INDEX(资金日记账!$N$4:$S$603,9,1)=0,"",INDEX(资金日记账!$N$4:$S$603,9,1))</f>
        <v/>
      </c>
      <c r="F926" s="25" t="str">
        <f>IF($E926="","",IFERROR(INDEX(科目表!$A$4:$A$81,MATCH($E926,科目表!$B$4:$B$81,0)),""))</f>
        <v/>
      </c>
      <c r="G926" s="26" t="str">
        <f>IF($E926="","",IFERROR(INDEX(科目表!$E$4:$E$81,MATCH($E926,科目表!$B$4:$B$81,0)),""))</f>
        <v/>
      </c>
      <c r="H926" s="27" t="str">
        <f>IF($E926="","",N(INDEX(资金日记账!$N$4:$S$603,9,2)))</f>
        <v/>
      </c>
      <c r="I926" s="27" t="str">
        <f>IF($E926="","",N(INDEX(资金日记账!$N$4:$S$603,9,3)))</f>
        <v/>
      </c>
      <c r="J926" s="26" t="str">
        <f>IF($E926="","",INDEX(资金日记账!$E$4:$E$603,9))</f>
        <v/>
      </c>
      <c r="K926" s="26" t="str">
        <f>IF($E926="","",INDEX(资金日记账!$F$4:$F$603,9))</f>
        <v/>
      </c>
      <c r="L926" s="32" t="str">
        <f>IF($E926="","",INDEX(资金日记账!$X$4:$X$603,9))</f>
        <v/>
      </c>
      <c r="M926" s="32"/>
      <c r="N926" s="26" t="str">
        <f>IF($E926="","",INDEX(资金日记账!$Y$4:$Y$603,9))</f>
        <v/>
      </c>
      <c r="O926" s="26" t="str">
        <f t="shared" si="60"/>
        <v/>
      </c>
      <c r="P926" s="10"/>
    </row>
    <row r="927" ht="18" customHeight="1" spans="1:16">
      <c r="A927" s="32" t="str">
        <f t="shared" si="56"/>
        <v/>
      </c>
      <c r="B927" s="100" t="str">
        <f>IF($E927="","",INDEX(资金日记账!$B$4:$B$603,9))</f>
        <v/>
      </c>
      <c r="C927" s="26" t="str">
        <f>IF($E927="","",IF(INDEX(资金日记账!$W$4:$W$603,9)="","记-"&amp;TEXT($B927,"YYYYMM")&amp;"-资金",INDEX(资金日记账!$W$4:$W$603,9)))</f>
        <v/>
      </c>
      <c r="D927" s="32" t="str">
        <f>IF($E927="","",INDEX(资金日记账!$D$4:$D$603,9))</f>
        <v/>
      </c>
      <c r="E927" s="26" t="str">
        <f>IF(INDEX(资金日记账!$N$4:$S$603,9,4)=0,"",INDEX(资金日记账!$N$4:$S$603,9,4))</f>
        <v/>
      </c>
      <c r="F927" s="25" t="str">
        <f>IF($E927="","",IFERROR(INDEX(科目表!$A$4:$A$81,MATCH($E927,科目表!$B$4:$B$81,0)),""))</f>
        <v/>
      </c>
      <c r="G927" s="26" t="str">
        <f>IF($E927="","",IFERROR(INDEX(科目表!$E$4:$E$81,MATCH($E927,科目表!$B$4:$B$81,0)),""))</f>
        <v/>
      </c>
      <c r="H927" s="27" t="str">
        <f>IF($E927="","",N(INDEX(资金日记账!$N$4:$S$603,9,5)))</f>
        <v/>
      </c>
      <c r="I927" s="27" t="str">
        <f>IF($E927="","",N(INDEX(资金日记账!$N$4:$S$603,9,6)))</f>
        <v/>
      </c>
      <c r="J927" s="26" t="str">
        <f>IF($E927="","",INDEX(资金日记账!$E$4:$E$603,9))</f>
        <v/>
      </c>
      <c r="K927" s="26" t="str">
        <f>IF($E927="","",INDEX(资金日记账!$F$4:$F$603,9))</f>
        <v/>
      </c>
      <c r="L927" s="32" t="str">
        <f>IF($E927="","",INDEX(资金日记账!$X$4:$X$603,9))</f>
        <v/>
      </c>
      <c r="M927" s="32"/>
      <c r="N927" s="26" t="str">
        <f>IF($E927="","",INDEX(资金日记账!$Y$4:$Y$603,9))</f>
        <v/>
      </c>
      <c r="O927" s="26" t="str">
        <f t="shared" si="60"/>
        <v/>
      </c>
      <c r="P927" s="10"/>
    </row>
    <row r="928" ht="18" customHeight="1" spans="1:16">
      <c r="A928" s="32" t="str">
        <f t="shared" si="56"/>
        <v/>
      </c>
      <c r="B928" s="100" t="str">
        <f>IF($E928="","",INDEX(资金日记账!$B$4:$B$603,10))</f>
        <v/>
      </c>
      <c r="C928" s="26" t="str">
        <f>IF($E928="","",IF(INDEX(资金日记账!$W$4:$W$603,10)="","记-"&amp;TEXT($B928,"YYYYMM")&amp;"-资金",INDEX(资金日记账!$W$4:$W$603,10)))</f>
        <v/>
      </c>
      <c r="D928" s="32" t="str">
        <f>IF($E928="","",INDEX(资金日记账!$D$4:$D$603,10))</f>
        <v/>
      </c>
      <c r="E928" s="26" t="str">
        <f>IF(INDEX(资金日记账!$N$4:$S$603,10,1)=0,"",INDEX(资金日记账!$N$4:$S$603,10,1))</f>
        <v/>
      </c>
      <c r="F928" s="25" t="str">
        <f>IF($E928="","",IFERROR(INDEX(科目表!$A$4:$A$81,MATCH($E928,科目表!$B$4:$B$81,0)),""))</f>
        <v/>
      </c>
      <c r="G928" s="26" t="str">
        <f>IF($E928="","",IFERROR(INDEX(科目表!$E$4:$E$81,MATCH($E928,科目表!$B$4:$B$81,0)),""))</f>
        <v/>
      </c>
      <c r="H928" s="27" t="str">
        <f>IF($E928="","",N(INDEX(资金日记账!$N$4:$S$603,10,2)))</f>
        <v/>
      </c>
      <c r="I928" s="27" t="str">
        <f>IF($E928="","",N(INDEX(资金日记账!$N$4:$S$603,10,3)))</f>
        <v/>
      </c>
      <c r="J928" s="26" t="str">
        <f>IF($E928="","",INDEX(资金日记账!$E$4:$E$603,10))</f>
        <v/>
      </c>
      <c r="K928" s="26" t="str">
        <f>IF($E928="","",INDEX(资金日记账!$F$4:$F$603,10))</f>
        <v/>
      </c>
      <c r="L928" s="32" t="str">
        <f>IF($E928="","",INDEX(资金日记账!$X$4:$X$603,10))</f>
        <v/>
      </c>
      <c r="M928" s="32"/>
      <c r="N928" s="26" t="str">
        <f>IF($E928="","",INDEX(资金日记账!$Y$4:$Y$603,10))</f>
        <v/>
      </c>
      <c r="O928" s="26" t="str">
        <f t="shared" si="60"/>
        <v/>
      </c>
      <c r="P928" s="10"/>
    </row>
    <row r="929" ht="18" customHeight="1" spans="1:16">
      <c r="A929" s="32" t="str">
        <f t="shared" si="56"/>
        <v/>
      </c>
      <c r="B929" s="100" t="str">
        <f>IF($E929="","",INDEX(资金日记账!$B$4:$B$603,10))</f>
        <v/>
      </c>
      <c r="C929" s="26" t="str">
        <f>IF($E929="","",IF(INDEX(资金日记账!$W$4:$W$603,10)="","记-"&amp;TEXT($B929,"YYYYMM")&amp;"-资金",INDEX(资金日记账!$W$4:$W$603,10)))</f>
        <v/>
      </c>
      <c r="D929" s="32" t="str">
        <f>IF($E929="","",INDEX(资金日记账!$D$4:$D$603,10))</f>
        <v/>
      </c>
      <c r="E929" s="26" t="str">
        <f>IF(INDEX(资金日记账!$N$4:$S$603,10,4)=0,"",INDEX(资金日记账!$N$4:$S$603,10,4))</f>
        <v/>
      </c>
      <c r="F929" s="25" t="str">
        <f>IF($E929="","",IFERROR(INDEX(科目表!$A$4:$A$81,MATCH($E929,科目表!$B$4:$B$81,0)),""))</f>
        <v/>
      </c>
      <c r="G929" s="26" t="str">
        <f>IF($E929="","",IFERROR(INDEX(科目表!$E$4:$E$81,MATCH($E929,科目表!$B$4:$B$81,0)),""))</f>
        <v/>
      </c>
      <c r="H929" s="27" t="str">
        <f>IF($E929="","",N(INDEX(资金日记账!$N$4:$S$603,10,5)))</f>
        <v/>
      </c>
      <c r="I929" s="27" t="str">
        <f>IF($E929="","",N(INDEX(资金日记账!$N$4:$S$603,10,6)))</f>
        <v/>
      </c>
      <c r="J929" s="26" t="str">
        <f>IF($E929="","",INDEX(资金日记账!$E$4:$E$603,10))</f>
        <v/>
      </c>
      <c r="K929" s="26" t="str">
        <f>IF($E929="","",INDEX(资金日记账!$F$4:$F$603,10))</f>
        <v/>
      </c>
      <c r="L929" s="32" t="str">
        <f>IF($E929="","",INDEX(资金日记账!$X$4:$X$603,10))</f>
        <v/>
      </c>
      <c r="M929" s="32"/>
      <c r="N929" s="26" t="str">
        <f>IF($E929="","",INDEX(资金日记账!$Y$4:$Y$603,10))</f>
        <v/>
      </c>
      <c r="O929" s="26" t="str">
        <f t="shared" si="60"/>
        <v/>
      </c>
      <c r="P929" s="10"/>
    </row>
    <row r="930" ht="18" customHeight="1" spans="1:16">
      <c r="A930" s="32" t="str">
        <f t="shared" si="56"/>
        <v/>
      </c>
      <c r="B930" s="100" t="str">
        <f>IF($E930="","",INDEX(资金日记账!$B$4:$B$603,11))</f>
        <v/>
      </c>
      <c r="C930" s="26" t="str">
        <f>IF($E930="","",IF(INDEX(资金日记账!$W$4:$W$603,11)="","记-"&amp;TEXT($B930,"YYYYMM")&amp;"-资金",INDEX(资金日记账!$W$4:$W$603,11)))</f>
        <v/>
      </c>
      <c r="D930" s="32" t="str">
        <f>IF($E930="","",INDEX(资金日记账!$D$4:$D$603,11))</f>
        <v/>
      </c>
      <c r="E930" s="26" t="str">
        <f>IF(INDEX(资金日记账!$N$4:$S$603,11,1)=0,"",INDEX(资金日记账!$N$4:$S$603,11,1))</f>
        <v/>
      </c>
      <c r="F930" s="25" t="str">
        <f>IF($E930="","",IFERROR(INDEX(科目表!$A$4:$A$81,MATCH($E930,科目表!$B$4:$B$81,0)),""))</f>
        <v/>
      </c>
      <c r="G930" s="26" t="str">
        <f>IF($E930="","",IFERROR(INDEX(科目表!$E$4:$E$81,MATCH($E930,科目表!$B$4:$B$81,0)),""))</f>
        <v/>
      </c>
      <c r="H930" s="27" t="str">
        <f>IF($E930="","",N(INDEX(资金日记账!$N$4:$S$603,11,2)))</f>
        <v/>
      </c>
      <c r="I930" s="27" t="str">
        <f>IF($E930="","",N(INDEX(资金日记账!$N$4:$S$603,11,3)))</f>
        <v/>
      </c>
      <c r="J930" s="26" t="str">
        <f>IF($E930="","",INDEX(资金日记账!$E$4:$E$603,11))</f>
        <v/>
      </c>
      <c r="K930" s="26" t="str">
        <f>IF($E930="","",INDEX(资金日记账!$F$4:$F$603,11))</f>
        <v/>
      </c>
      <c r="L930" s="32" t="str">
        <f>IF($E930="","",INDEX(资金日记账!$X$4:$X$603,11))</f>
        <v/>
      </c>
      <c r="M930" s="32"/>
      <c r="N930" s="26" t="str">
        <f>IF($E930="","",INDEX(资金日记账!$Y$4:$Y$603,11))</f>
        <v/>
      </c>
      <c r="O930" s="26" t="str">
        <f t="shared" si="60"/>
        <v/>
      </c>
      <c r="P930" s="10"/>
    </row>
    <row r="931" ht="18" customHeight="1" spans="1:16">
      <c r="A931" s="32" t="str">
        <f t="shared" si="56"/>
        <v/>
      </c>
      <c r="B931" s="100" t="str">
        <f>IF($E931="","",INDEX(资金日记账!$B$4:$B$603,11))</f>
        <v/>
      </c>
      <c r="C931" s="26" t="str">
        <f>IF($E931="","",IF(INDEX(资金日记账!$W$4:$W$603,11)="","记-"&amp;TEXT($B931,"YYYYMM")&amp;"-资金",INDEX(资金日记账!$W$4:$W$603,11)))</f>
        <v/>
      </c>
      <c r="D931" s="32" t="str">
        <f>IF($E931="","",INDEX(资金日记账!$D$4:$D$603,11))</f>
        <v/>
      </c>
      <c r="E931" s="26" t="str">
        <f>IF(INDEX(资金日记账!$N$4:$S$603,11,4)=0,"",INDEX(资金日记账!$N$4:$S$603,11,4))</f>
        <v/>
      </c>
      <c r="F931" s="25" t="str">
        <f>IF($E931="","",IFERROR(INDEX(科目表!$A$4:$A$81,MATCH($E931,科目表!$B$4:$B$81,0)),""))</f>
        <v/>
      </c>
      <c r="G931" s="26" t="str">
        <f>IF($E931="","",IFERROR(INDEX(科目表!$E$4:$E$81,MATCH($E931,科目表!$B$4:$B$81,0)),""))</f>
        <v/>
      </c>
      <c r="H931" s="27" t="str">
        <f>IF($E931="","",N(INDEX(资金日记账!$N$4:$S$603,11,5)))</f>
        <v/>
      </c>
      <c r="I931" s="27" t="str">
        <f>IF($E931="","",N(INDEX(资金日记账!$N$4:$S$603,11,6)))</f>
        <v/>
      </c>
      <c r="J931" s="26" t="str">
        <f>IF($E931="","",INDEX(资金日记账!$E$4:$E$603,11))</f>
        <v/>
      </c>
      <c r="K931" s="26" t="str">
        <f>IF($E931="","",INDEX(资金日记账!$F$4:$F$603,11))</f>
        <v/>
      </c>
      <c r="L931" s="32" t="str">
        <f>IF($E931="","",INDEX(资金日记账!$X$4:$X$603,11))</f>
        <v/>
      </c>
      <c r="M931" s="32"/>
      <c r="N931" s="26" t="str">
        <f>IF($E931="","",INDEX(资金日记账!$Y$4:$Y$603,11))</f>
        <v/>
      </c>
      <c r="O931" s="26" t="str">
        <f t="shared" si="60"/>
        <v/>
      </c>
      <c r="P931" s="10"/>
    </row>
    <row r="932" ht="18" customHeight="1" spans="1:16">
      <c r="A932" s="32" t="str">
        <f t="shared" si="56"/>
        <v/>
      </c>
      <c r="B932" s="100" t="str">
        <f>IF($E932="","",INDEX(资金日记账!$B$4:$B$603,12))</f>
        <v/>
      </c>
      <c r="C932" s="26" t="str">
        <f>IF($E932="","",IF(INDEX(资金日记账!$W$4:$W$603,12)="","记-"&amp;TEXT($B932,"YYYYMM")&amp;"-资金",INDEX(资金日记账!$W$4:$W$603,12)))</f>
        <v/>
      </c>
      <c r="D932" s="32" t="str">
        <f>IF($E932="","",INDEX(资金日记账!$D$4:$D$603,12))</f>
        <v/>
      </c>
      <c r="E932" s="26" t="str">
        <f>IF(INDEX(资金日记账!$N$4:$S$603,12,1)=0,"",INDEX(资金日记账!$N$4:$S$603,12,1))</f>
        <v/>
      </c>
      <c r="F932" s="25" t="str">
        <f>IF($E932="","",IFERROR(INDEX(科目表!$A$4:$A$81,MATCH($E932,科目表!$B$4:$B$81,0)),""))</f>
        <v/>
      </c>
      <c r="G932" s="26" t="str">
        <f>IF($E932="","",IFERROR(INDEX(科目表!$E$4:$E$81,MATCH($E932,科目表!$B$4:$B$81,0)),""))</f>
        <v/>
      </c>
      <c r="H932" s="27" t="str">
        <f>IF($E932="","",N(INDEX(资金日记账!$N$4:$S$603,12,2)))</f>
        <v/>
      </c>
      <c r="I932" s="27" t="str">
        <f>IF($E932="","",N(INDEX(资金日记账!$N$4:$S$603,12,3)))</f>
        <v/>
      </c>
      <c r="J932" s="26" t="str">
        <f>IF($E932="","",INDEX(资金日记账!$E$4:$E$603,12))</f>
        <v/>
      </c>
      <c r="K932" s="26" t="str">
        <f>IF($E932="","",INDEX(资金日记账!$F$4:$F$603,12))</f>
        <v/>
      </c>
      <c r="L932" s="32" t="str">
        <f>IF($E932="","",INDEX(资金日记账!$X$4:$X$603,12))</f>
        <v/>
      </c>
      <c r="M932" s="32"/>
      <c r="N932" s="26" t="str">
        <f>IF($E932="","",INDEX(资金日记账!$Y$4:$Y$603,12))</f>
        <v/>
      </c>
      <c r="O932" s="26" t="str">
        <f t="shared" si="60"/>
        <v/>
      </c>
      <c r="P932" s="10"/>
    </row>
    <row r="933" ht="18" customHeight="1" spans="1:16">
      <c r="A933" s="32" t="str">
        <f t="shared" si="56"/>
        <v/>
      </c>
      <c r="B933" s="100" t="str">
        <f>IF($E933="","",INDEX(资金日记账!$B$4:$B$603,12))</f>
        <v/>
      </c>
      <c r="C933" s="26" t="str">
        <f>IF($E933="","",IF(INDEX(资金日记账!$W$4:$W$603,12)="","记-"&amp;TEXT($B933,"YYYYMM")&amp;"-资金",INDEX(资金日记账!$W$4:$W$603,12)))</f>
        <v/>
      </c>
      <c r="D933" s="32" t="str">
        <f>IF($E933="","",INDEX(资金日记账!$D$4:$D$603,12))</f>
        <v/>
      </c>
      <c r="E933" s="26" t="str">
        <f>IF(INDEX(资金日记账!$N$4:$S$603,12,4)=0,"",INDEX(资金日记账!$N$4:$S$603,12,4))</f>
        <v/>
      </c>
      <c r="F933" s="25" t="str">
        <f>IF($E933="","",IFERROR(INDEX(科目表!$A$4:$A$81,MATCH($E933,科目表!$B$4:$B$81,0)),""))</f>
        <v/>
      </c>
      <c r="G933" s="26" t="str">
        <f>IF($E933="","",IFERROR(INDEX(科目表!$E$4:$E$81,MATCH($E933,科目表!$B$4:$B$81,0)),""))</f>
        <v/>
      </c>
      <c r="H933" s="27" t="str">
        <f>IF($E933="","",N(INDEX(资金日记账!$N$4:$S$603,12,5)))</f>
        <v/>
      </c>
      <c r="I933" s="27" t="str">
        <f>IF($E933="","",N(INDEX(资金日记账!$N$4:$S$603,12,6)))</f>
        <v/>
      </c>
      <c r="J933" s="26" t="str">
        <f>IF($E933="","",INDEX(资金日记账!$E$4:$E$603,12))</f>
        <v/>
      </c>
      <c r="K933" s="26" t="str">
        <f>IF($E933="","",INDEX(资金日记账!$F$4:$F$603,12))</f>
        <v/>
      </c>
      <c r="L933" s="32" t="str">
        <f>IF($E933="","",INDEX(资金日记账!$X$4:$X$603,12))</f>
        <v/>
      </c>
      <c r="M933" s="32"/>
      <c r="N933" s="26" t="str">
        <f>IF($E933="","",INDEX(资金日记账!$Y$4:$Y$603,12))</f>
        <v/>
      </c>
      <c r="O933" s="26" t="str">
        <f t="shared" si="60"/>
        <v/>
      </c>
      <c r="P933" s="10"/>
    </row>
    <row r="934" ht="18" customHeight="1" spans="1:16">
      <c r="A934" s="32" t="str">
        <f t="shared" si="56"/>
        <v/>
      </c>
      <c r="B934" s="100" t="str">
        <f>IF($E934="","",INDEX(资金日记账!$B$4:$B$603,13))</f>
        <v/>
      </c>
      <c r="C934" s="26" t="str">
        <f>IF($E934="","",IF(INDEX(资金日记账!$W$4:$W$603,13)="","记-"&amp;TEXT($B934,"YYYYMM")&amp;"-资金",INDEX(资金日记账!$W$4:$W$603,13)))</f>
        <v/>
      </c>
      <c r="D934" s="32" t="str">
        <f>IF($E934="","",INDEX(资金日记账!$D$4:$D$603,13))</f>
        <v/>
      </c>
      <c r="E934" s="26" t="str">
        <f>IF(INDEX(资金日记账!$N$4:$S$603,13,1)=0,"",INDEX(资金日记账!$N$4:$S$603,13,1))</f>
        <v/>
      </c>
      <c r="F934" s="25" t="str">
        <f>IF($E934="","",IFERROR(INDEX(科目表!$A$4:$A$81,MATCH($E934,科目表!$B$4:$B$81,0)),""))</f>
        <v/>
      </c>
      <c r="G934" s="26" t="str">
        <f>IF($E934="","",IFERROR(INDEX(科目表!$E$4:$E$81,MATCH($E934,科目表!$B$4:$B$81,0)),""))</f>
        <v/>
      </c>
      <c r="H934" s="27" t="str">
        <f>IF($E934="","",N(INDEX(资金日记账!$N$4:$S$603,13,2)))</f>
        <v/>
      </c>
      <c r="I934" s="27" t="str">
        <f>IF($E934="","",N(INDEX(资金日记账!$N$4:$S$603,13,3)))</f>
        <v/>
      </c>
      <c r="J934" s="26" t="str">
        <f>IF($E934="","",INDEX(资金日记账!$E$4:$E$603,13))</f>
        <v/>
      </c>
      <c r="K934" s="26" t="str">
        <f>IF($E934="","",INDEX(资金日记账!$F$4:$F$603,13))</f>
        <v/>
      </c>
      <c r="L934" s="32" t="str">
        <f>IF($E934="","",INDEX(资金日记账!$X$4:$X$603,13))</f>
        <v/>
      </c>
      <c r="M934" s="32"/>
      <c r="N934" s="26" t="str">
        <f>IF($E934="","",INDEX(资金日记账!$Y$4:$Y$603,13))</f>
        <v/>
      </c>
      <c r="O934" s="26" t="str">
        <f t="shared" si="60"/>
        <v/>
      </c>
      <c r="P934" s="10"/>
    </row>
    <row r="935" ht="18" customHeight="1" spans="1:16">
      <c r="A935" s="32" t="str">
        <f t="shared" si="56"/>
        <v/>
      </c>
      <c r="B935" s="100" t="str">
        <f>IF($E935="","",INDEX(资金日记账!$B$4:$B$603,13))</f>
        <v/>
      </c>
      <c r="C935" s="26" t="str">
        <f>IF($E935="","",IF(INDEX(资金日记账!$W$4:$W$603,13)="","记-"&amp;TEXT($B935,"YYYYMM")&amp;"-资金",INDEX(资金日记账!$W$4:$W$603,13)))</f>
        <v/>
      </c>
      <c r="D935" s="32" t="str">
        <f>IF($E935="","",INDEX(资金日记账!$D$4:$D$603,13))</f>
        <v/>
      </c>
      <c r="E935" s="26" t="str">
        <f>IF(INDEX(资金日记账!$N$4:$S$603,13,4)=0,"",INDEX(资金日记账!$N$4:$S$603,13,4))</f>
        <v/>
      </c>
      <c r="F935" s="25" t="str">
        <f>IF($E935="","",IFERROR(INDEX(科目表!$A$4:$A$81,MATCH($E935,科目表!$B$4:$B$81,0)),""))</f>
        <v/>
      </c>
      <c r="G935" s="26" t="str">
        <f>IF($E935="","",IFERROR(INDEX(科目表!$E$4:$E$81,MATCH($E935,科目表!$B$4:$B$81,0)),""))</f>
        <v/>
      </c>
      <c r="H935" s="27" t="str">
        <f>IF($E935="","",N(INDEX(资金日记账!$N$4:$S$603,13,5)))</f>
        <v/>
      </c>
      <c r="I935" s="27" t="str">
        <f>IF($E935="","",N(INDEX(资金日记账!$N$4:$S$603,13,6)))</f>
        <v/>
      </c>
      <c r="J935" s="26" t="str">
        <f>IF($E935="","",INDEX(资金日记账!$E$4:$E$603,13))</f>
        <v/>
      </c>
      <c r="K935" s="26" t="str">
        <f>IF($E935="","",INDEX(资金日记账!$F$4:$F$603,13))</f>
        <v/>
      </c>
      <c r="L935" s="32" t="str">
        <f>IF($E935="","",INDEX(资金日记账!$X$4:$X$603,13))</f>
        <v/>
      </c>
      <c r="M935" s="32"/>
      <c r="N935" s="26" t="str">
        <f>IF($E935="","",INDEX(资金日记账!$Y$4:$Y$603,13))</f>
        <v/>
      </c>
      <c r="O935" s="26" t="str">
        <f t="shared" si="60"/>
        <v/>
      </c>
      <c r="P935" s="10"/>
    </row>
    <row r="936" ht="18" customHeight="1" spans="1:16">
      <c r="A936" s="32" t="str">
        <f t="shared" si="56"/>
        <v/>
      </c>
      <c r="B936" s="100" t="str">
        <f>IF($E936="","",INDEX(资金日记账!$B$4:$B$603,14))</f>
        <v/>
      </c>
      <c r="C936" s="26" t="str">
        <f>IF($E936="","",IF(INDEX(资金日记账!$W$4:$W$603,14)="","记-"&amp;TEXT($B936,"YYYYMM")&amp;"-资金",INDEX(资金日记账!$W$4:$W$603,14)))</f>
        <v/>
      </c>
      <c r="D936" s="32" t="str">
        <f>IF($E936="","",INDEX(资金日记账!$D$4:$D$603,14))</f>
        <v/>
      </c>
      <c r="E936" s="26" t="str">
        <f>IF(INDEX(资金日记账!$N$4:$S$603,14,1)=0,"",INDEX(资金日记账!$N$4:$S$603,14,1))</f>
        <v/>
      </c>
      <c r="F936" s="25" t="str">
        <f>IF($E936="","",IFERROR(INDEX(科目表!$A$4:$A$81,MATCH($E936,科目表!$B$4:$B$81,0)),""))</f>
        <v/>
      </c>
      <c r="G936" s="26" t="str">
        <f>IF($E936="","",IFERROR(INDEX(科目表!$E$4:$E$81,MATCH($E936,科目表!$B$4:$B$81,0)),""))</f>
        <v/>
      </c>
      <c r="H936" s="27" t="str">
        <f>IF($E936="","",N(INDEX(资金日记账!$N$4:$S$603,14,2)))</f>
        <v/>
      </c>
      <c r="I936" s="27" t="str">
        <f>IF($E936="","",N(INDEX(资金日记账!$N$4:$S$603,14,3)))</f>
        <v/>
      </c>
      <c r="J936" s="26" t="str">
        <f>IF($E936="","",INDEX(资金日记账!$E$4:$E$603,14))</f>
        <v/>
      </c>
      <c r="K936" s="26" t="str">
        <f>IF($E936="","",INDEX(资金日记账!$F$4:$F$603,14))</f>
        <v/>
      </c>
      <c r="L936" s="32" t="str">
        <f>IF($E936="","",INDEX(资金日记账!$X$4:$X$603,14))</f>
        <v/>
      </c>
      <c r="M936" s="32"/>
      <c r="N936" s="26" t="str">
        <f>IF($E936="","",INDEX(资金日记账!$Y$4:$Y$603,14))</f>
        <v/>
      </c>
      <c r="O936" s="26" t="str">
        <f t="shared" si="60"/>
        <v/>
      </c>
      <c r="P936" s="10"/>
    </row>
    <row r="937" ht="18" customHeight="1" spans="1:16">
      <c r="A937" s="32" t="str">
        <f t="shared" si="56"/>
        <v/>
      </c>
      <c r="B937" s="100" t="str">
        <f>IF($E937="","",INDEX(资金日记账!$B$4:$B$603,14))</f>
        <v/>
      </c>
      <c r="C937" s="26" t="str">
        <f>IF($E937="","",IF(INDEX(资金日记账!$W$4:$W$603,14)="","记-"&amp;TEXT($B937,"YYYYMM")&amp;"-资金",INDEX(资金日记账!$W$4:$W$603,14)))</f>
        <v/>
      </c>
      <c r="D937" s="32" t="str">
        <f>IF($E937="","",INDEX(资金日记账!$D$4:$D$603,14))</f>
        <v/>
      </c>
      <c r="E937" s="26" t="str">
        <f>IF(INDEX(资金日记账!$N$4:$S$603,14,4)=0,"",INDEX(资金日记账!$N$4:$S$603,14,4))</f>
        <v/>
      </c>
      <c r="F937" s="25" t="str">
        <f>IF($E937="","",IFERROR(INDEX(科目表!$A$4:$A$81,MATCH($E937,科目表!$B$4:$B$81,0)),""))</f>
        <v/>
      </c>
      <c r="G937" s="26" t="str">
        <f>IF($E937="","",IFERROR(INDEX(科目表!$E$4:$E$81,MATCH($E937,科目表!$B$4:$B$81,0)),""))</f>
        <v/>
      </c>
      <c r="H937" s="27" t="str">
        <f>IF($E937="","",N(INDEX(资金日记账!$N$4:$S$603,14,5)))</f>
        <v/>
      </c>
      <c r="I937" s="27" t="str">
        <f>IF($E937="","",N(INDEX(资金日记账!$N$4:$S$603,14,6)))</f>
        <v/>
      </c>
      <c r="J937" s="26" t="str">
        <f>IF($E937="","",INDEX(资金日记账!$E$4:$E$603,14))</f>
        <v/>
      </c>
      <c r="K937" s="26" t="str">
        <f>IF($E937="","",INDEX(资金日记账!$F$4:$F$603,14))</f>
        <v/>
      </c>
      <c r="L937" s="32" t="str">
        <f>IF($E937="","",INDEX(资金日记账!$X$4:$X$603,14))</f>
        <v/>
      </c>
      <c r="M937" s="32"/>
      <c r="N937" s="26" t="str">
        <f>IF($E937="","",INDEX(资金日记账!$Y$4:$Y$603,14))</f>
        <v/>
      </c>
      <c r="O937" s="26" t="str">
        <f t="shared" si="60"/>
        <v/>
      </c>
      <c r="P937" s="10"/>
    </row>
    <row r="938" ht="18" customHeight="1" spans="1:16">
      <c r="A938" s="32" t="str">
        <f t="shared" si="56"/>
        <v/>
      </c>
      <c r="B938" s="100" t="str">
        <f>IF($E938="","",INDEX(资金日记账!$B$4:$B$603,15))</f>
        <v/>
      </c>
      <c r="C938" s="26" t="str">
        <f>IF($E938="","",IF(INDEX(资金日记账!$W$4:$W$603,15)="","记-"&amp;TEXT($B938,"YYYYMM")&amp;"-资金",INDEX(资金日记账!$W$4:$W$603,15)))</f>
        <v/>
      </c>
      <c r="D938" s="32" t="str">
        <f>IF($E938="","",INDEX(资金日记账!$D$4:$D$603,15))</f>
        <v/>
      </c>
      <c r="E938" s="26" t="str">
        <f>IF(INDEX(资金日记账!$N$4:$S$603,15,1)=0,"",INDEX(资金日记账!$N$4:$S$603,15,1))</f>
        <v/>
      </c>
      <c r="F938" s="25" t="str">
        <f>IF($E938="","",IFERROR(INDEX(科目表!$A$4:$A$81,MATCH($E938,科目表!$B$4:$B$81,0)),""))</f>
        <v/>
      </c>
      <c r="G938" s="26" t="str">
        <f>IF($E938="","",IFERROR(INDEX(科目表!$E$4:$E$81,MATCH($E938,科目表!$B$4:$B$81,0)),""))</f>
        <v/>
      </c>
      <c r="H938" s="27" t="str">
        <f>IF($E938="","",N(INDEX(资金日记账!$N$4:$S$603,15,2)))</f>
        <v/>
      </c>
      <c r="I938" s="27" t="str">
        <f>IF($E938="","",N(INDEX(资金日记账!$N$4:$S$603,15,3)))</f>
        <v/>
      </c>
      <c r="J938" s="26" t="str">
        <f>IF($E938="","",INDEX(资金日记账!$E$4:$E$603,15))</f>
        <v/>
      </c>
      <c r="K938" s="26" t="str">
        <f>IF($E938="","",INDEX(资金日记账!$F$4:$F$603,15))</f>
        <v/>
      </c>
      <c r="L938" s="32" t="str">
        <f>IF($E938="","",INDEX(资金日记账!$X$4:$X$603,15))</f>
        <v/>
      </c>
      <c r="M938" s="32"/>
      <c r="N938" s="26" t="str">
        <f>IF($E938="","",INDEX(资金日记账!$Y$4:$Y$603,15))</f>
        <v/>
      </c>
      <c r="O938" s="26" t="str">
        <f t="shared" si="60"/>
        <v/>
      </c>
      <c r="P938" s="10"/>
    </row>
    <row r="939" ht="18" customHeight="1" spans="1:16">
      <c r="A939" s="32" t="str">
        <f t="shared" si="56"/>
        <v/>
      </c>
      <c r="B939" s="100" t="str">
        <f>IF($E939="","",INDEX(资金日记账!$B$4:$B$603,15))</f>
        <v/>
      </c>
      <c r="C939" s="26" t="str">
        <f>IF($E939="","",IF(INDEX(资金日记账!$W$4:$W$603,15)="","记-"&amp;TEXT($B939,"YYYYMM")&amp;"-资金",INDEX(资金日记账!$W$4:$W$603,15)))</f>
        <v/>
      </c>
      <c r="D939" s="32" t="str">
        <f>IF($E939="","",INDEX(资金日记账!$D$4:$D$603,15))</f>
        <v/>
      </c>
      <c r="E939" s="26" t="str">
        <f>IF(INDEX(资金日记账!$N$4:$S$603,15,4)=0,"",INDEX(资金日记账!$N$4:$S$603,15,4))</f>
        <v/>
      </c>
      <c r="F939" s="25" t="str">
        <f>IF($E939="","",IFERROR(INDEX(科目表!$A$4:$A$81,MATCH($E939,科目表!$B$4:$B$81,0)),""))</f>
        <v/>
      </c>
      <c r="G939" s="26" t="str">
        <f>IF($E939="","",IFERROR(INDEX(科目表!$E$4:$E$81,MATCH($E939,科目表!$B$4:$B$81,0)),""))</f>
        <v/>
      </c>
      <c r="H939" s="27" t="str">
        <f>IF($E939="","",N(INDEX(资金日记账!$N$4:$S$603,15,5)))</f>
        <v/>
      </c>
      <c r="I939" s="27" t="str">
        <f>IF($E939="","",N(INDEX(资金日记账!$N$4:$S$603,15,6)))</f>
        <v/>
      </c>
      <c r="J939" s="26" t="str">
        <f>IF($E939="","",INDEX(资金日记账!$E$4:$E$603,15))</f>
        <v/>
      </c>
      <c r="K939" s="26" t="str">
        <f>IF($E939="","",INDEX(资金日记账!$F$4:$F$603,15))</f>
        <v/>
      </c>
      <c r="L939" s="32" t="str">
        <f>IF($E939="","",INDEX(资金日记账!$X$4:$X$603,15))</f>
        <v/>
      </c>
      <c r="M939" s="32"/>
      <c r="N939" s="26" t="str">
        <f>IF($E939="","",INDEX(资金日记账!$Y$4:$Y$603,15))</f>
        <v/>
      </c>
      <c r="O939" s="26" t="str">
        <f t="shared" si="60"/>
        <v/>
      </c>
      <c r="P939" s="10"/>
    </row>
    <row r="940" ht="18" customHeight="1" spans="1:16">
      <c r="A940" s="32" t="str">
        <f t="shared" si="56"/>
        <v/>
      </c>
      <c r="B940" s="100" t="str">
        <f>IF($E940="","",INDEX(资金日记账!$B$4:$B$603,16))</f>
        <v/>
      </c>
      <c r="C940" s="26" t="str">
        <f>IF($E940="","",IF(INDEX(资金日记账!$W$4:$W$603,16)="","记-"&amp;TEXT($B940,"YYYYMM")&amp;"-资金",INDEX(资金日记账!$W$4:$W$603,16)))</f>
        <v/>
      </c>
      <c r="D940" s="32" t="str">
        <f>IF($E940="","",INDEX(资金日记账!$D$4:$D$603,16))</f>
        <v/>
      </c>
      <c r="E940" s="26" t="str">
        <f>IF(INDEX(资金日记账!$N$4:$S$603,16,1)=0,"",INDEX(资金日记账!$N$4:$S$603,16,1))</f>
        <v/>
      </c>
      <c r="F940" s="25" t="str">
        <f>IF($E940="","",IFERROR(INDEX(科目表!$A$4:$A$81,MATCH($E940,科目表!$B$4:$B$81,0)),""))</f>
        <v/>
      </c>
      <c r="G940" s="26" t="str">
        <f>IF($E940="","",IFERROR(INDEX(科目表!$E$4:$E$81,MATCH($E940,科目表!$B$4:$B$81,0)),""))</f>
        <v/>
      </c>
      <c r="H940" s="27" t="str">
        <f>IF($E940="","",N(INDEX(资金日记账!$N$4:$S$603,16,2)))</f>
        <v/>
      </c>
      <c r="I940" s="27" t="str">
        <f>IF($E940="","",N(INDEX(资金日记账!$N$4:$S$603,16,3)))</f>
        <v/>
      </c>
      <c r="J940" s="26" t="str">
        <f>IF($E940="","",INDEX(资金日记账!$E$4:$E$603,16))</f>
        <v/>
      </c>
      <c r="K940" s="26" t="str">
        <f>IF($E940="","",INDEX(资金日记账!$F$4:$F$603,16))</f>
        <v/>
      </c>
      <c r="L940" s="32" t="str">
        <f>IF($E940="","",INDEX(资金日记账!$X$4:$X$603,16))</f>
        <v/>
      </c>
      <c r="M940" s="32"/>
      <c r="N940" s="26" t="str">
        <f>IF($E940="","",INDEX(资金日记账!$Y$4:$Y$603,16))</f>
        <v/>
      </c>
      <c r="O940" s="26" t="str">
        <f t="shared" si="60"/>
        <v/>
      </c>
      <c r="P940" s="10"/>
    </row>
    <row r="941" ht="18" customHeight="1" spans="1:16">
      <c r="A941" s="32" t="str">
        <f t="shared" si="56"/>
        <v/>
      </c>
      <c r="B941" s="100" t="str">
        <f>IF($E941="","",INDEX(资金日记账!$B$4:$B$603,16))</f>
        <v/>
      </c>
      <c r="C941" s="26" t="str">
        <f>IF($E941="","",IF(INDEX(资金日记账!$W$4:$W$603,16)="","记-"&amp;TEXT($B941,"YYYYMM")&amp;"-资金",INDEX(资金日记账!$W$4:$W$603,16)))</f>
        <v/>
      </c>
      <c r="D941" s="32" t="str">
        <f>IF($E941="","",INDEX(资金日记账!$D$4:$D$603,16))</f>
        <v/>
      </c>
      <c r="E941" s="26" t="str">
        <f>IF(INDEX(资金日记账!$N$4:$S$603,16,4)=0,"",INDEX(资金日记账!$N$4:$S$603,16,4))</f>
        <v/>
      </c>
      <c r="F941" s="25" t="str">
        <f>IF($E941="","",IFERROR(INDEX(科目表!$A$4:$A$81,MATCH($E941,科目表!$B$4:$B$81,0)),""))</f>
        <v/>
      </c>
      <c r="G941" s="26" t="str">
        <f>IF($E941="","",IFERROR(INDEX(科目表!$E$4:$E$81,MATCH($E941,科目表!$B$4:$B$81,0)),""))</f>
        <v/>
      </c>
      <c r="H941" s="27" t="str">
        <f>IF($E941="","",N(INDEX(资金日记账!$N$4:$S$603,16,5)))</f>
        <v/>
      </c>
      <c r="I941" s="27" t="str">
        <f>IF($E941="","",N(INDEX(资金日记账!$N$4:$S$603,16,6)))</f>
        <v/>
      </c>
      <c r="J941" s="26" t="str">
        <f>IF($E941="","",INDEX(资金日记账!$E$4:$E$603,16))</f>
        <v/>
      </c>
      <c r="K941" s="26" t="str">
        <f>IF($E941="","",INDEX(资金日记账!$F$4:$F$603,16))</f>
        <v/>
      </c>
      <c r="L941" s="32" t="str">
        <f>IF($E941="","",INDEX(资金日记账!$X$4:$X$603,16))</f>
        <v/>
      </c>
      <c r="M941" s="32"/>
      <c r="N941" s="26" t="str">
        <f>IF($E941="","",INDEX(资金日记账!$Y$4:$Y$603,16))</f>
        <v/>
      </c>
      <c r="O941" s="26" t="str">
        <f t="shared" si="60"/>
        <v/>
      </c>
      <c r="P941" s="10"/>
    </row>
    <row r="942" ht="18" customHeight="1" spans="1:16">
      <c r="A942" s="32" t="str">
        <f t="shared" si="56"/>
        <v/>
      </c>
      <c r="B942" s="100" t="str">
        <f>IF($E942="","",INDEX(资金日记账!$B$4:$B$603,17))</f>
        <v/>
      </c>
      <c r="C942" s="26" t="str">
        <f>IF($E942="","",IF(INDEX(资金日记账!$W$4:$W$603,17)="","记-"&amp;TEXT($B942,"YYYYMM")&amp;"-资金",INDEX(资金日记账!$W$4:$W$603,17)))</f>
        <v/>
      </c>
      <c r="D942" s="32" t="str">
        <f>IF($E942="","",INDEX(资金日记账!$D$4:$D$603,17))</f>
        <v/>
      </c>
      <c r="E942" s="26" t="str">
        <f>IF(INDEX(资金日记账!$N$4:$S$603,17,1)=0,"",INDEX(资金日记账!$N$4:$S$603,17,1))</f>
        <v/>
      </c>
      <c r="F942" s="25" t="str">
        <f>IF($E942="","",IFERROR(INDEX(科目表!$A$4:$A$81,MATCH($E942,科目表!$B$4:$B$81,0)),""))</f>
        <v/>
      </c>
      <c r="G942" s="26" t="str">
        <f>IF($E942="","",IFERROR(INDEX(科目表!$E$4:$E$81,MATCH($E942,科目表!$B$4:$B$81,0)),""))</f>
        <v/>
      </c>
      <c r="H942" s="27" t="str">
        <f>IF($E942="","",N(INDEX(资金日记账!$N$4:$S$603,17,2)))</f>
        <v/>
      </c>
      <c r="I942" s="27" t="str">
        <f>IF($E942="","",N(INDEX(资金日记账!$N$4:$S$603,17,3)))</f>
        <v/>
      </c>
      <c r="J942" s="26" t="str">
        <f>IF($E942="","",INDEX(资金日记账!$E$4:$E$603,17))</f>
        <v/>
      </c>
      <c r="K942" s="26" t="str">
        <f>IF($E942="","",INDEX(资金日记账!$F$4:$F$603,17))</f>
        <v/>
      </c>
      <c r="L942" s="32" t="str">
        <f>IF($E942="","",INDEX(资金日记账!$X$4:$X$603,17))</f>
        <v/>
      </c>
      <c r="M942" s="32"/>
      <c r="N942" s="26" t="str">
        <f>IF($E942="","",INDEX(资金日记账!$Y$4:$Y$603,17))</f>
        <v/>
      </c>
      <c r="O942" s="26" t="str">
        <f t="shared" si="60"/>
        <v/>
      </c>
      <c r="P942" s="10"/>
    </row>
    <row r="943" ht="18" customHeight="1" spans="1:16">
      <c r="A943" s="32" t="str">
        <f t="shared" si="56"/>
        <v/>
      </c>
      <c r="B943" s="100" t="str">
        <f>IF($E943="","",INDEX(资金日记账!$B$4:$B$603,17))</f>
        <v/>
      </c>
      <c r="C943" s="26" t="str">
        <f>IF($E943="","",IF(INDEX(资金日记账!$W$4:$W$603,17)="","记-"&amp;TEXT($B943,"YYYYMM")&amp;"-资金",INDEX(资金日记账!$W$4:$W$603,17)))</f>
        <v/>
      </c>
      <c r="D943" s="32" t="str">
        <f>IF($E943="","",INDEX(资金日记账!$D$4:$D$603,17))</f>
        <v/>
      </c>
      <c r="E943" s="26" t="str">
        <f>IF(INDEX(资金日记账!$N$4:$S$603,17,4)=0,"",INDEX(资金日记账!$N$4:$S$603,17,4))</f>
        <v/>
      </c>
      <c r="F943" s="25" t="str">
        <f>IF($E943="","",IFERROR(INDEX(科目表!$A$4:$A$81,MATCH($E943,科目表!$B$4:$B$81,0)),""))</f>
        <v/>
      </c>
      <c r="G943" s="26" t="str">
        <f>IF($E943="","",IFERROR(INDEX(科目表!$E$4:$E$81,MATCH($E943,科目表!$B$4:$B$81,0)),""))</f>
        <v/>
      </c>
      <c r="H943" s="27" t="str">
        <f>IF($E943="","",N(INDEX(资金日记账!$N$4:$S$603,17,5)))</f>
        <v/>
      </c>
      <c r="I943" s="27" t="str">
        <f>IF($E943="","",N(INDEX(资金日记账!$N$4:$S$603,17,6)))</f>
        <v/>
      </c>
      <c r="J943" s="26" t="str">
        <f>IF($E943="","",INDEX(资金日记账!$E$4:$E$603,17))</f>
        <v/>
      </c>
      <c r="K943" s="26" t="str">
        <f>IF($E943="","",INDEX(资金日记账!$F$4:$F$603,17))</f>
        <v/>
      </c>
      <c r="L943" s="32" t="str">
        <f>IF($E943="","",INDEX(资金日记账!$X$4:$X$603,17))</f>
        <v/>
      </c>
      <c r="M943" s="32"/>
      <c r="N943" s="26" t="str">
        <f>IF($E943="","",INDEX(资金日记账!$Y$4:$Y$603,17))</f>
        <v/>
      </c>
      <c r="O943" s="26" t="str">
        <f t="shared" si="60"/>
        <v/>
      </c>
      <c r="P943" s="10"/>
    </row>
    <row r="944" ht="18" customHeight="1" spans="1:16">
      <c r="A944" s="32" t="str">
        <f t="shared" si="56"/>
        <v/>
      </c>
      <c r="B944" s="100" t="str">
        <f>IF($E944="","",INDEX(资金日记账!$B$4:$B$603,18))</f>
        <v/>
      </c>
      <c r="C944" s="26" t="str">
        <f>IF($E944="","",IF(INDEX(资金日记账!$W$4:$W$603,18)="","记-"&amp;TEXT($B944,"YYYYMM")&amp;"-资金",INDEX(资金日记账!$W$4:$W$603,18)))</f>
        <v/>
      </c>
      <c r="D944" s="32" t="str">
        <f>IF($E944="","",INDEX(资金日记账!$D$4:$D$603,18))</f>
        <v/>
      </c>
      <c r="E944" s="26" t="str">
        <f>IF(INDEX(资金日记账!$N$4:$S$603,18,1)=0,"",INDEX(资金日记账!$N$4:$S$603,18,1))</f>
        <v/>
      </c>
      <c r="F944" s="25" t="str">
        <f>IF($E944="","",IFERROR(INDEX(科目表!$A$4:$A$81,MATCH($E944,科目表!$B$4:$B$81,0)),""))</f>
        <v/>
      </c>
      <c r="G944" s="26" t="str">
        <f>IF($E944="","",IFERROR(INDEX(科目表!$E$4:$E$81,MATCH($E944,科目表!$B$4:$B$81,0)),""))</f>
        <v/>
      </c>
      <c r="H944" s="27" t="str">
        <f>IF($E944="","",N(INDEX(资金日记账!$N$4:$S$603,18,2)))</f>
        <v/>
      </c>
      <c r="I944" s="27" t="str">
        <f>IF($E944="","",N(INDEX(资金日记账!$N$4:$S$603,18,3)))</f>
        <v/>
      </c>
      <c r="J944" s="26" t="str">
        <f>IF($E944="","",INDEX(资金日记账!$E$4:$E$603,18))</f>
        <v/>
      </c>
      <c r="K944" s="26" t="str">
        <f>IF($E944="","",INDEX(资金日记账!$F$4:$F$603,18))</f>
        <v/>
      </c>
      <c r="L944" s="32" t="str">
        <f>IF($E944="","",INDEX(资金日记账!$X$4:$X$603,18))</f>
        <v/>
      </c>
      <c r="M944" s="32"/>
      <c r="N944" s="26" t="str">
        <f>IF($E944="","",INDEX(资金日记账!$Y$4:$Y$603,18))</f>
        <v/>
      </c>
      <c r="O944" s="26" t="str">
        <f t="shared" si="60"/>
        <v/>
      </c>
      <c r="P944" s="10"/>
    </row>
    <row r="945" ht="18" customHeight="1" spans="1:16">
      <c r="A945" s="32" t="str">
        <f t="shared" si="56"/>
        <v/>
      </c>
      <c r="B945" s="100" t="str">
        <f>IF($E945="","",INDEX(资金日记账!$B$4:$B$603,18))</f>
        <v/>
      </c>
      <c r="C945" s="26" t="str">
        <f>IF($E945="","",IF(INDEX(资金日记账!$W$4:$W$603,18)="","记-"&amp;TEXT($B945,"YYYYMM")&amp;"-资金",INDEX(资金日记账!$W$4:$W$603,18)))</f>
        <v/>
      </c>
      <c r="D945" s="32" t="str">
        <f>IF($E945="","",INDEX(资金日记账!$D$4:$D$603,18))</f>
        <v/>
      </c>
      <c r="E945" s="26" t="str">
        <f>IF(INDEX(资金日记账!$N$4:$S$603,18,4)=0,"",INDEX(资金日记账!$N$4:$S$603,18,4))</f>
        <v/>
      </c>
      <c r="F945" s="25" t="str">
        <f>IF($E945="","",IFERROR(INDEX(科目表!$A$4:$A$81,MATCH($E945,科目表!$B$4:$B$81,0)),""))</f>
        <v/>
      </c>
      <c r="G945" s="26" t="str">
        <f>IF($E945="","",IFERROR(INDEX(科目表!$E$4:$E$81,MATCH($E945,科目表!$B$4:$B$81,0)),""))</f>
        <v/>
      </c>
      <c r="H945" s="27" t="str">
        <f>IF($E945="","",N(INDEX(资金日记账!$N$4:$S$603,18,5)))</f>
        <v/>
      </c>
      <c r="I945" s="27" t="str">
        <f>IF($E945="","",N(INDEX(资金日记账!$N$4:$S$603,18,6)))</f>
        <v/>
      </c>
      <c r="J945" s="26" t="str">
        <f>IF($E945="","",INDEX(资金日记账!$E$4:$E$603,18))</f>
        <v/>
      </c>
      <c r="K945" s="26" t="str">
        <f>IF($E945="","",INDEX(资金日记账!$F$4:$F$603,18))</f>
        <v/>
      </c>
      <c r="L945" s="32" t="str">
        <f>IF($E945="","",INDEX(资金日记账!$X$4:$X$603,18))</f>
        <v/>
      </c>
      <c r="M945" s="32"/>
      <c r="N945" s="26" t="str">
        <f>IF($E945="","",INDEX(资金日记账!$Y$4:$Y$603,18))</f>
        <v/>
      </c>
      <c r="O945" s="26" t="str">
        <f t="shared" si="60"/>
        <v/>
      </c>
      <c r="P945" s="10"/>
    </row>
    <row r="946" ht="18" customHeight="1" spans="1:16">
      <c r="A946" s="32" t="str">
        <f t="shared" si="56"/>
        <v/>
      </c>
      <c r="B946" s="100" t="str">
        <f>IF($E946="","",INDEX(资金日记账!$B$4:$B$603,19))</f>
        <v/>
      </c>
      <c r="C946" s="26" t="str">
        <f>IF($E946="","",IF(INDEX(资金日记账!$W$4:$W$603,19)="","记-"&amp;TEXT($B946,"YYYYMM")&amp;"-资金",INDEX(资金日记账!$W$4:$W$603,19)))</f>
        <v/>
      </c>
      <c r="D946" s="32" t="str">
        <f>IF($E946="","",INDEX(资金日记账!$D$4:$D$603,19))</f>
        <v/>
      </c>
      <c r="E946" s="26" t="str">
        <f>IF(INDEX(资金日记账!$N$4:$S$603,19,1)=0,"",INDEX(资金日记账!$N$4:$S$603,19,1))</f>
        <v/>
      </c>
      <c r="F946" s="25" t="str">
        <f>IF($E946="","",IFERROR(INDEX(科目表!$A$4:$A$81,MATCH($E946,科目表!$B$4:$B$81,0)),""))</f>
        <v/>
      </c>
      <c r="G946" s="26" t="str">
        <f>IF($E946="","",IFERROR(INDEX(科目表!$E$4:$E$81,MATCH($E946,科目表!$B$4:$B$81,0)),""))</f>
        <v/>
      </c>
      <c r="H946" s="27" t="str">
        <f>IF($E946="","",N(INDEX(资金日记账!$N$4:$S$603,19,2)))</f>
        <v/>
      </c>
      <c r="I946" s="27" t="str">
        <f>IF($E946="","",N(INDEX(资金日记账!$N$4:$S$603,19,3)))</f>
        <v/>
      </c>
      <c r="J946" s="26" t="str">
        <f>IF($E946="","",INDEX(资金日记账!$E$4:$E$603,19))</f>
        <v/>
      </c>
      <c r="K946" s="26" t="str">
        <f>IF($E946="","",INDEX(资金日记账!$F$4:$F$603,19))</f>
        <v/>
      </c>
      <c r="L946" s="32" t="str">
        <f>IF($E946="","",INDEX(资金日记账!$X$4:$X$603,19))</f>
        <v/>
      </c>
      <c r="M946" s="32"/>
      <c r="N946" s="26" t="str">
        <f>IF($E946="","",INDEX(资金日记账!$Y$4:$Y$603,19))</f>
        <v/>
      </c>
      <c r="O946" s="26" t="str">
        <f t="shared" si="60"/>
        <v/>
      </c>
      <c r="P946" s="10"/>
    </row>
    <row r="947" ht="18" customHeight="1" spans="1:16">
      <c r="A947" s="32" t="str">
        <f t="shared" si="56"/>
        <v/>
      </c>
      <c r="B947" s="100" t="str">
        <f>IF($E947="","",INDEX(资金日记账!$B$4:$B$603,19))</f>
        <v/>
      </c>
      <c r="C947" s="26" t="str">
        <f>IF($E947="","",IF(INDEX(资金日记账!$W$4:$W$603,19)="","记-"&amp;TEXT($B947,"YYYYMM")&amp;"-资金",INDEX(资金日记账!$W$4:$W$603,19)))</f>
        <v/>
      </c>
      <c r="D947" s="32" t="str">
        <f>IF($E947="","",INDEX(资金日记账!$D$4:$D$603,19))</f>
        <v/>
      </c>
      <c r="E947" s="26" t="str">
        <f>IF(INDEX(资金日记账!$N$4:$S$603,19,4)=0,"",INDEX(资金日记账!$N$4:$S$603,19,4))</f>
        <v/>
      </c>
      <c r="F947" s="25" t="str">
        <f>IF($E947="","",IFERROR(INDEX(科目表!$A$4:$A$81,MATCH($E947,科目表!$B$4:$B$81,0)),""))</f>
        <v/>
      </c>
      <c r="G947" s="26" t="str">
        <f>IF($E947="","",IFERROR(INDEX(科目表!$E$4:$E$81,MATCH($E947,科目表!$B$4:$B$81,0)),""))</f>
        <v/>
      </c>
      <c r="H947" s="27" t="str">
        <f>IF($E947="","",N(INDEX(资金日记账!$N$4:$S$603,19,5)))</f>
        <v/>
      </c>
      <c r="I947" s="27" t="str">
        <f>IF($E947="","",N(INDEX(资金日记账!$N$4:$S$603,19,6)))</f>
        <v/>
      </c>
      <c r="J947" s="26" t="str">
        <f>IF($E947="","",INDEX(资金日记账!$E$4:$E$603,19))</f>
        <v/>
      </c>
      <c r="K947" s="26" t="str">
        <f>IF($E947="","",INDEX(资金日记账!$F$4:$F$603,19))</f>
        <v/>
      </c>
      <c r="L947" s="32" t="str">
        <f>IF($E947="","",INDEX(资金日记账!$X$4:$X$603,19))</f>
        <v/>
      </c>
      <c r="M947" s="32"/>
      <c r="N947" s="26" t="str">
        <f>IF($E947="","",INDEX(资金日记账!$Y$4:$Y$603,19))</f>
        <v/>
      </c>
      <c r="O947" s="26" t="str">
        <f t="shared" si="60"/>
        <v/>
      </c>
      <c r="P947" s="10"/>
    </row>
    <row r="948" ht="18" customHeight="1" spans="1:16">
      <c r="A948" s="32" t="str">
        <f t="shared" si="56"/>
        <v/>
      </c>
      <c r="B948" s="100" t="str">
        <f>IF($E948="","",INDEX(资金日记账!$B$4:$B$603,20))</f>
        <v/>
      </c>
      <c r="C948" s="26" t="str">
        <f>IF($E948="","",IF(INDEX(资金日记账!$W$4:$W$603,20)="","记-"&amp;TEXT($B948,"YYYYMM")&amp;"-资金",INDEX(资金日记账!$W$4:$W$603,20)))</f>
        <v/>
      </c>
      <c r="D948" s="32" t="str">
        <f>IF($E948="","",INDEX(资金日记账!$D$4:$D$603,20))</f>
        <v/>
      </c>
      <c r="E948" s="26" t="str">
        <f>IF(INDEX(资金日记账!$N$4:$S$603,20,1)=0,"",INDEX(资金日记账!$N$4:$S$603,20,1))</f>
        <v/>
      </c>
      <c r="F948" s="25" t="str">
        <f>IF($E948="","",IFERROR(INDEX(科目表!$A$4:$A$81,MATCH($E948,科目表!$B$4:$B$81,0)),""))</f>
        <v/>
      </c>
      <c r="G948" s="26" t="str">
        <f>IF($E948="","",IFERROR(INDEX(科目表!$E$4:$E$81,MATCH($E948,科目表!$B$4:$B$81,0)),""))</f>
        <v/>
      </c>
      <c r="H948" s="27" t="str">
        <f>IF($E948="","",N(INDEX(资金日记账!$N$4:$S$603,20,2)))</f>
        <v/>
      </c>
      <c r="I948" s="27" t="str">
        <f>IF($E948="","",N(INDEX(资金日记账!$N$4:$S$603,20,3)))</f>
        <v/>
      </c>
      <c r="J948" s="26" t="str">
        <f>IF($E948="","",INDEX(资金日记账!$E$4:$E$603,20))</f>
        <v/>
      </c>
      <c r="K948" s="26" t="str">
        <f>IF($E948="","",INDEX(资金日记账!$F$4:$F$603,20))</f>
        <v/>
      </c>
      <c r="L948" s="32" t="str">
        <f>IF($E948="","",INDEX(资金日记账!$X$4:$X$603,20))</f>
        <v/>
      </c>
      <c r="M948" s="32"/>
      <c r="N948" s="26" t="str">
        <f>IF($E948="","",INDEX(资金日记账!$Y$4:$Y$603,20))</f>
        <v/>
      </c>
      <c r="O948" s="26" t="str">
        <f t="shared" si="60"/>
        <v/>
      </c>
      <c r="P948" s="10"/>
    </row>
    <row r="949" ht="18" customHeight="1" spans="1:16">
      <c r="A949" s="32" t="str">
        <f t="shared" si="56"/>
        <v/>
      </c>
      <c r="B949" s="100" t="str">
        <f>IF($E949="","",INDEX(资金日记账!$B$4:$B$603,20))</f>
        <v/>
      </c>
      <c r="C949" s="26" t="str">
        <f>IF($E949="","",IF(INDEX(资金日记账!$W$4:$W$603,20)="","记-"&amp;TEXT($B949,"YYYYMM")&amp;"-资金",INDEX(资金日记账!$W$4:$W$603,20)))</f>
        <v/>
      </c>
      <c r="D949" s="32" t="str">
        <f>IF($E949="","",INDEX(资金日记账!$D$4:$D$603,20))</f>
        <v/>
      </c>
      <c r="E949" s="26" t="str">
        <f>IF(INDEX(资金日记账!$N$4:$S$603,20,4)=0,"",INDEX(资金日记账!$N$4:$S$603,20,4))</f>
        <v/>
      </c>
      <c r="F949" s="25" t="str">
        <f>IF($E949="","",IFERROR(INDEX(科目表!$A$4:$A$81,MATCH($E949,科目表!$B$4:$B$81,0)),""))</f>
        <v/>
      </c>
      <c r="G949" s="26" t="str">
        <f>IF($E949="","",IFERROR(INDEX(科目表!$E$4:$E$81,MATCH($E949,科目表!$B$4:$B$81,0)),""))</f>
        <v/>
      </c>
      <c r="H949" s="27" t="str">
        <f>IF($E949="","",N(INDEX(资金日记账!$N$4:$S$603,20,5)))</f>
        <v/>
      </c>
      <c r="I949" s="27" t="str">
        <f>IF($E949="","",N(INDEX(资金日记账!$N$4:$S$603,20,6)))</f>
        <v/>
      </c>
      <c r="J949" s="26" t="str">
        <f>IF($E949="","",INDEX(资金日记账!$E$4:$E$603,20))</f>
        <v/>
      </c>
      <c r="K949" s="26" t="str">
        <f>IF($E949="","",INDEX(资金日记账!$F$4:$F$603,20))</f>
        <v/>
      </c>
      <c r="L949" s="32" t="str">
        <f>IF($E949="","",INDEX(资金日记账!$X$4:$X$603,20))</f>
        <v/>
      </c>
      <c r="M949" s="32"/>
      <c r="N949" s="26" t="str">
        <f>IF($E949="","",INDEX(资金日记账!$Y$4:$Y$603,20))</f>
        <v/>
      </c>
      <c r="O949" s="26" t="str">
        <f t="shared" si="60"/>
        <v/>
      </c>
      <c r="P949" s="10"/>
    </row>
    <row r="950" ht="18" customHeight="1" spans="1:16">
      <c r="A950" s="32" t="str">
        <f t="shared" si="56"/>
        <v/>
      </c>
      <c r="B950" s="100" t="str">
        <f>IF($E950="","",INDEX(资金日记账!$B$4:$B$603,21))</f>
        <v/>
      </c>
      <c r="C950" s="26" t="str">
        <f>IF($E950="","",IF(INDEX(资金日记账!$W$4:$W$603,21)="","记-"&amp;TEXT($B950,"YYYYMM")&amp;"-资金",INDEX(资金日记账!$W$4:$W$603,21)))</f>
        <v/>
      </c>
      <c r="D950" s="32" t="str">
        <f>IF($E950="","",INDEX(资金日记账!$D$4:$D$603,21))</f>
        <v/>
      </c>
      <c r="E950" s="26" t="str">
        <f>IF(INDEX(资金日记账!$N$4:$S$603,21,1)=0,"",INDEX(资金日记账!$N$4:$S$603,21,1))</f>
        <v/>
      </c>
      <c r="F950" s="25" t="str">
        <f>IF($E950="","",IFERROR(INDEX(科目表!$A$4:$A$81,MATCH($E950,科目表!$B$4:$B$81,0)),""))</f>
        <v/>
      </c>
      <c r="G950" s="26" t="str">
        <f>IF($E950="","",IFERROR(INDEX(科目表!$E$4:$E$81,MATCH($E950,科目表!$B$4:$B$81,0)),""))</f>
        <v/>
      </c>
      <c r="H950" s="27" t="str">
        <f>IF($E950="","",N(INDEX(资金日记账!$N$4:$S$603,21,2)))</f>
        <v/>
      </c>
      <c r="I950" s="27" t="str">
        <f>IF($E950="","",N(INDEX(资金日记账!$N$4:$S$603,21,3)))</f>
        <v/>
      </c>
      <c r="J950" s="26" t="str">
        <f>IF($E950="","",INDEX(资金日记账!$E$4:$E$603,21))</f>
        <v/>
      </c>
      <c r="K950" s="26" t="str">
        <f>IF($E950="","",INDEX(资金日记账!$F$4:$F$603,21))</f>
        <v/>
      </c>
      <c r="L950" s="32" t="str">
        <f>IF($E950="","",INDEX(资金日记账!$X$4:$X$603,21))</f>
        <v/>
      </c>
      <c r="M950" s="32"/>
      <c r="N950" s="26" t="str">
        <f>IF($E950="","",INDEX(资金日记账!$Y$4:$Y$603,21))</f>
        <v/>
      </c>
      <c r="O950" s="26" t="str">
        <f t="shared" si="60"/>
        <v/>
      </c>
      <c r="P950" s="10"/>
    </row>
    <row r="951" ht="18" customHeight="1" spans="1:16">
      <c r="A951" s="32" t="str">
        <f t="shared" si="56"/>
        <v/>
      </c>
      <c r="B951" s="100" t="str">
        <f>IF($E951="","",INDEX(资金日记账!$B$4:$B$603,21))</f>
        <v/>
      </c>
      <c r="C951" s="26" t="str">
        <f>IF($E951="","",IF(INDEX(资金日记账!$W$4:$W$603,21)="","记-"&amp;TEXT($B951,"YYYYMM")&amp;"-资金",INDEX(资金日记账!$W$4:$W$603,21)))</f>
        <v/>
      </c>
      <c r="D951" s="32" t="str">
        <f>IF($E951="","",INDEX(资金日记账!$D$4:$D$603,21))</f>
        <v/>
      </c>
      <c r="E951" s="26" t="str">
        <f>IF(INDEX(资金日记账!$N$4:$S$603,21,4)=0,"",INDEX(资金日记账!$N$4:$S$603,21,4))</f>
        <v/>
      </c>
      <c r="F951" s="25" t="str">
        <f>IF($E951="","",IFERROR(INDEX(科目表!$A$4:$A$81,MATCH($E951,科目表!$B$4:$B$81,0)),""))</f>
        <v/>
      </c>
      <c r="G951" s="26" t="str">
        <f>IF($E951="","",IFERROR(INDEX(科目表!$E$4:$E$81,MATCH($E951,科目表!$B$4:$B$81,0)),""))</f>
        <v/>
      </c>
      <c r="H951" s="27" t="str">
        <f>IF($E951="","",N(INDEX(资金日记账!$N$4:$S$603,21,5)))</f>
        <v/>
      </c>
      <c r="I951" s="27" t="str">
        <f>IF($E951="","",N(INDEX(资金日记账!$N$4:$S$603,21,6)))</f>
        <v/>
      </c>
      <c r="J951" s="26" t="str">
        <f>IF($E951="","",INDEX(资金日记账!$E$4:$E$603,21))</f>
        <v/>
      </c>
      <c r="K951" s="26" t="str">
        <f>IF($E951="","",INDEX(资金日记账!$F$4:$F$603,21))</f>
        <v/>
      </c>
      <c r="L951" s="32" t="str">
        <f>IF($E951="","",INDEX(资金日记账!$X$4:$X$603,21))</f>
        <v/>
      </c>
      <c r="M951" s="32"/>
      <c r="N951" s="26" t="str">
        <f>IF($E951="","",INDEX(资金日记账!$Y$4:$Y$603,21))</f>
        <v/>
      </c>
      <c r="O951" s="26" t="str">
        <f t="shared" si="60"/>
        <v/>
      </c>
      <c r="P951" s="10"/>
    </row>
    <row r="952" ht="18" customHeight="1" spans="1:16">
      <c r="A952" s="32" t="str">
        <f t="shared" si="56"/>
        <v/>
      </c>
      <c r="B952" s="100" t="str">
        <f>IF($E952="","",INDEX(资金日记账!$B$4:$B$603,22))</f>
        <v/>
      </c>
      <c r="C952" s="26" t="str">
        <f>IF($E952="","",IF(INDEX(资金日记账!$W$4:$W$603,22)="","记-"&amp;TEXT($B952,"YYYYMM")&amp;"-资金",INDEX(资金日记账!$W$4:$W$603,22)))</f>
        <v/>
      </c>
      <c r="D952" s="32" t="str">
        <f>IF($E952="","",INDEX(资金日记账!$D$4:$D$603,22))</f>
        <v/>
      </c>
      <c r="E952" s="26" t="str">
        <f>IF(INDEX(资金日记账!$N$4:$S$603,22,1)=0,"",INDEX(资金日记账!$N$4:$S$603,22,1))</f>
        <v/>
      </c>
      <c r="F952" s="25" t="str">
        <f>IF($E952="","",IFERROR(INDEX(科目表!$A$4:$A$81,MATCH($E952,科目表!$B$4:$B$81,0)),""))</f>
        <v/>
      </c>
      <c r="G952" s="26" t="str">
        <f>IF($E952="","",IFERROR(INDEX(科目表!$E$4:$E$81,MATCH($E952,科目表!$B$4:$B$81,0)),""))</f>
        <v/>
      </c>
      <c r="H952" s="27" t="str">
        <f>IF($E952="","",N(INDEX(资金日记账!$N$4:$S$603,22,2)))</f>
        <v/>
      </c>
      <c r="I952" s="27" t="str">
        <f>IF($E952="","",N(INDEX(资金日记账!$N$4:$S$603,22,3)))</f>
        <v/>
      </c>
      <c r="J952" s="26" t="str">
        <f>IF($E952="","",INDEX(资金日记账!$E$4:$E$603,22))</f>
        <v/>
      </c>
      <c r="K952" s="26" t="str">
        <f>IF($E952="","",INDEX(资金日记账!$F$4:$F$603,22))</f>
        <v/>
      </c>
      <c r="L952" s="32" t="str">
        <f>IF($E952="","",INDEX(资金日记账!$X$4:$X$603,22))</f>
        <v/>
      </c>
      <c r="M952" s="32"/>
      <c r="N952" s="26" t="str">
        <f>IF($E952="","",INDEX(资金日记账!$Y$4:$Y$603,22))</f>
        <v/>
      </c>
      <c r="O952" s="26" t="str">
        <f t="shared" si="60"/>
        <v/>
      </c>
      <c r="P952" s="10"/>
    </row>
    <row r="953" ht="18" customHeight="1" spans="1:16">
      <c r="A953" s="32" t="str">
        <f t="shared" si="56"/>
        <v/>
      </c>
      <c r="B953" s="100" t="str">
        <f>IF($E953="","",INDEX(资金日记账!$B$4:$B$603,22))</f>
        <v/>
      </c>
      <c r="C953" s="26" t="str">
        <f>IF($E953="","",IF(INDEX(资金日记账!$W$4:$W$603,22)="","记-"&amp;TEXT($B953,"YYYYMM")&amp;"-资金",INDEX(资金日记账!$W$4:$W$603,22)))</f>
        <v/>
      </c>
      <c r="D953" s="32" t="str">
        <f>IF($E953="","",INDEX(资金日记账!$D$4:$D$603,22))</f>
        <v/>
      </c>
      <c r="E953" s="26" t="str">
        <f>IF(INDEX(资金日记账!$N$4:$S$603,22,4)=0,"",INDEX(资金日记账!$N$4:$S$603,22,4))</f>
        <v/>
      </c>
      <c r="F953" s="25" t="str">
        <f>IF($E953="","",IFERROR(INDEX(科目表!$A$4:$A$81,MATCH($E953,科目表!$B$4:$B$81,0)),""))</f>
        <v/>
      </c>
      <c r="G953" s="26" t="str">
        <f>IF($E953="","",IFERROR(INDEX(科目表!$E$4:$E$81,MATCH($E953,科目表!$B$4:$B$81,0)),""))</f>
        <v/>
      </c>
      <c r="H953" s="27" t="str">
        <f>IF($E953="","",N(INDEX(资金日记账!$N$4:$S$603,22,5)))</f>
        <v/>
      </c>
      <c r="I953" s="27" t="str">
        <f>IF($E953="","",N(INDEX(资金日记账!$N$4:$S$603,22,6)))</f>
        <v/>
      </c>
      <c r="J953" s="26" t="str">
        <f>IF($E953="","",INDEX(资金日记账!$E$4:$E$603,22))</f>
        <v/>
      </c>
      <c r="K953" s="26" t="str">
        <f>IF($E953="","",INDEX(资金日记账!$F$4:$F$603,22))</f>
        <v/>
      </c>
      <c r="L953" s="32" t="str">
        <f>IF($E953="","",INDEX(资金日记账!$X$4:$X$603,22))</f>
        <v/>
      </c>
      <c r="M953" s="32"/>
      <c r="N953" s="26" t="str">
        <f>IF($E953="","",INDEX(资金日记账!$Y$4:$Y$603,22))</f>
        <v/>
      </c>
      <c r="O953" s="26" t="str">
        <f t="shared" si="60"/>
        <v/>
      </c>
      <c r="P953" s="10"/>
    </row>
    <row r="954" ht="18" customHeight="1" spans="1:16">
      <c r="A954" s="32" t="str">
        <f t="shared" si="56"/>
        <v/>
      </c>
      <c r="B954" s="100" t="str">
        <f>IF($E954="","",INDEX(资金日记账!$B$4:$B$603,23))</f>
        <v/>
      </c>
      <c r="C954" s="26" t="str">
        <f>IF($E954="","",IF(INDEX(资金日记账!$W$4:$W$603,23)="","记-"&amp;TEXT($B954,"YYYYMM")&amp;"-资金",INDEX(资金日记账!$W$4:$W$603,23)))</f>
        <v/>
      </c>
      <c r="D954" s="32" t="str">
        <f>IF($E954="","",INDEX(资金日记账!$D$4:$D$603,23))</f>
        <v/>
      </c>
      <c r="E954" s="26" t="str">
        <f>IF(INDEX(资金日记账!$N$4:$S$603,23,1)=0,"",INDEX(资金日记账!$N$4:$S$603,23,1))</f>
        <v/>
      </c>
      <c r="F954" s="25" t="str">
        <f>IF($E954="","",IFERROR(INDEX(科目表!$A$4:$A$81,MATCH($E954,科目表!$B$4:$B$81,0)),""))</f>
        <v/>
      </c>
      <c r="G954" s="26" t="str">
        <f>IF($E954="","",IFERROR(INDEX(科目表!$E$4:$E$81,MATCH($E954,科目表!$B$4:$B$81,0)),""))</f>
        <v/>
      </c>
      <c r="H954" s="27" t="str">
        <f>IF($E954="","",N(INDEX(资金日记账!$N$4:$S$603,23,2)))</f>
        <v/>
      </c>
      <c r="I954" s="27" t="str">
        <f>IF($E954="","",N(INDEX(资金日记账!$N$4:$S$603,23,3)))</f>
        <v/>
      </c>
      <c r="J954" s="26" t="str">
        <f>IF($E954="","",INDEX(资金日记账!$E$4:$E$603,23))</f>
        <v/>
      </c>
      <c r="K954" s="26" t="str">
        <f>IF($E954="","",INDEX(资金日记账!$F$4:$F$603,23))</f>
        <v/>
      </c>
      <c r="L954" s="32" t="str">
        <f>IF($E954="","",INDEX(资金日记账!$X$4:$X$603,23))</f>
        <v/>
      </c>
      <c r="M954" s="32"/>
      <c r="N954" s="26" t="str">
        <f>IF($E954="","",INDEX(资金日记账!$Y$4:$Y$603,23))</f>
        <v/>
      </c>
      <c r="O954" s="26" t="str">
        <f t="shared" si="60"/>
        <v/>
      </c>
      <c r="P954" s="10"/>
    </row>
    <row r="955" ht="18" customHeight="1" spans="1:16">
      <c r="A955" s="32" t="str">
        <f t="shared" si="56"/>
        <v/>
      </c>
      <c r="B955" s="100" t="str">
        <f>IF($E955="","",INDEX(资金日记账!$B$4:$B$603,23))</f>
        <v/>
      </c>
      <c r="C955" s="26" t="str">
        <f>IF($E955="","",IF(INDEX(资金日记账!$W$4:$W$603,23)="","记-"&amp;TEXT($B955,"YYYYMM")&amp;"-资金",INDEX(资金日记账!$W$4:$W$603,23)))</f>
        <v/>
      </c>
      <c r="D955" s="32" t="str">
        <f>IF($E955="","",INDEX(资金日记账!$D$4:$D$603,23))</f>
        <v/>
      </c>
      <c r="E955" s="26" t="str">
        <f>IF(INDEX(资金日记账!$N$4:$S$603,23,4)=0,"",INDEX(资金日记账!$N$4:$S$603,23,4))</f>
        <v/>
      </c>
      <c r="F955" s="25" t="str">
        <f>IF($E955="","",IFERROR(INDEX(科目表!$A$4:$A$81,MATCH($E955,科目表!$B$4:$B$81,0)),""))</f>
        <v/>
      </c>
      <c r="G955" s="26" t="str">
        <f>IF($E955="","",IFERROR(INDEX(科目表!$E$4:$E$81,MATCH($E955,科目表!$B$4:$B$81,0)),""))</f>
        <v/>
      </c>
      <c r="H955" s="27" t="str">
        <f>IF($E955="","",N(INDEX(资金日记账!$N$4:$S$603,23,5)))</f>
        <v/>
      </c>
      <c r="I955" s="27" t="str">
        <f>IF($E955="","",N(INDEX(资金日记账!$N$4:$S$603,23,6)))</f>
        <v/>
      </c>
      <c r="J955" s="26" t="str">
        <f>IF($E955="","",INDEX(资金日记账!$E$4:$E$603,23))</f>
        <v/>
      </c>
      <c r="K955" s="26" t="str">
        <f>IF($E955="","",INDEX(资金日记账!$F$4:$F$603,23))</f>
        <v/>
      </c>
      <c r="L955" s="32" t="str">
        <f>IF($E955="","",INDEX(资金日记账!$X$4:$X$603,23))</f>
        <v/>
      </c>
      <c r="M955" s="32"/>
      <c r="N955" s="26" t="str">
        <f>IF($E955="","",INDEX(资金日记账!$Y$4:$Y$603,23))</f>
        <v/>
      </c>
      <c r="O955" s="26" t="str">
        <f t="shared" si="60"/>
        <v/>
      </c>
      <c r="P955" s="10"/>
    </row>
    <row r="956" ht="18" customHeight="1" spans="1:16">
      <c r="A956" s="32" t="str">
        <f t="shared" si="56"/>
        <v/>
      </c>
      <c r="B956" s="100" t="str">
        <f>IF($E956="","",INDEX(资金日记账!$B$4:$B$603,24))</f>
        <v/>
      </c>
      <c r="C956" s="26" t="str">
        <f>IF($E956="","",IF(INDEX(资金日记账!$W$4:$W$603,24)="","记-"&amp;TEXT($B956,"YYYYMM")&amp;"-资金",INDEX(资金日记账!$W$4:$W$603,24)))</f>
        <v/>
      </c>
      <c r="D956" s="32" t="str">
        <f>IF($E956="","",INDEX(资金日记账!$D$4:$D$603,24))</f>
        <v/>
      </c>
      <c r="E956" s="26" t="str">
        <f>IF(INDEX(资金日记账!$N$4:$S$603,24,1)=0,"",INDEX(资金日记账!$N$4:$S$603,24,1))</f>
        <v/>
      </c>
      <c r="F956" s="25" t="str">
        <f>IF($E956="","",IFERROR(INDEX(科目表!$A$4:$A$81,MATCH($E956,科目表!$B$4:$B$81,0)),""))</f>
        <v/>
      </c>
      <c r="G956" s="26" t="str">
        <f>IF($E956="","",IFERROR(INDEX(科目表!$E$4:$E$81,MATCH($E956,科目表!$B$4:$B$81,0)),""))</f>
        <v/>
      </c>
      <c r="H956" s="27" t="str">
        <f>IF($E956="","",N(INDEX(资金日记账!$N$4:$S$603,24,2)))</f>
        <v/>
      </c>
      <c r="I956" s="27" t="str">
        <f>IF($E956="","",N(INDEX(资金日记账!$N$4:$S$603,24,3)))</f>
        <v/>
      </c>
      <c r="J956" s="26" t="str">
        <f>IF($E956="","",INDEX(资金日记账!$E$4:$E$603,24))</f>
        <v/>
      </c>
      <c r="K956" s="26" t="str">
        <f>IF($E956="","",INDEX(资金日记账!$F$4:$F$603,24))</f>
        <v/>
      </c>
      <c r="L956" s="32" t="str">
        <f>IF($E956="","",INDEX(资金日记账!$X$4:$X$603,24))</f>
        <v/>
      </c>
      <c r="M956" s="32"/>
      <c r="N956" s="26" t="str">
        <f>IF($E956="","",INDEX(资金日记账!$Y$4:$Y$603,24))</f>
        <v/>
      </c>
      <c r="O956" s="26" t="str">
        <f t="shared" si="60"/>
        <v/>
      </c>
      <c r="P956" s="10"/>
    </row>
    <row r="957" ht="18" customHeight="1" spans="1:16">
      <c r="A957" s="32" t="str">
        <f t="shared" si="56"/>
        <v/>
      </c>
      <c r="B957" s="100" t="str">
        <f>IF($E957="","",INDEX(资金日记账!$B$4:$B$603,24))</f>
        <v/>
      </c>
      <c r="C957" s="26" t="str">
        <f>IF($E957="","",IF(INDEX(资金日记账!$W$4:$W$603,24)="","记-"&amp;TEXT($B957,"YYYYMM")&amp;"-资金",INDEX(资金日记账!$W$4:$W$603,24)))</f>
        <v/>
      </c>
      <c r="D957" s="32" t="str">
        <f>IF($E957="","",INDEX(资金日记账!$D$4:$D$603,24))</f>
        <v/>
      </c>
      <c r="E957" s="26" t="str">
        <f>IF(INDEX(资金日记账!$N$4:$S$603,24,4)=0,"",INDEX(资金日记账!$N$4:$S$603,24,4))</f>
        <v/>
      </c>
      <c r="F957" s="25" t="str">
        <f>IF($E957="","",IFERROR(INDEX(科目表!$A$4:$A$81,MATCH($E957,科目表!$B$4:$B$81,0)),""))</f>
        <v/>
      </c>
      <c r="G957" s="26" t="str">
        <f>IF($E957="","",IFERROR(INDEX(科目表!$E$4:$E$81,MATCH($E957,科目表!$B$4:$B$81,0)),""))</f>
        <v/>
      </c>
      <c r="H957" s="27" t="str">
        <f>IF($E957="","",N(INDEX(资金日记账!$N$4:$S$603,24,5)))</f>
        <v/>
      </c>
      <c r="I957" s="27" t="str">
        <f>IF($E957="","",N(INDEX(资金日记账!$N$4:$S$603,24,6)))</f>
        <v/>
      </c>
      <c r="J957" s="26" t="str">
        <f>IF($E957="","",INDEX(资金日记账!$E$4:$E$603,24))</f>
        <v/>
      </c>
      <c r="K957" s="26" t="str">
        <f>IF($E957="","",INDEX(资金日记账!$F$4:$F$603,24))</f>
        <v/>
      </c>
      <c r="L957" s="32" t="str">
        <f>IF($E957="","",INDEX(资金日记账!$X$4:$X$603,24))</f>
        <v/>
      </c>
      <c r="M957" s="32"/>
      <c r="N957" s="26" t="str">
        <f>IF($E957="","",INDEX(资金日记账!$Y$4:$Y$603,24))</f>
        <v/>
      </c>
      <c r="O957" s="26" t="str">
        <f t="shared" si="60"/>
        <v/>
      </c>
      <c r="P957" s="10"/>
    </row>
    <row r="958" ht="18" customHeight="1" spans="1:16">
      <c r="A958" s="32" t="str">
        <f t="shared" si="56"/>
        <v/>
      </c>
      <c r="B958" s="100" t="str">
        <f>IF($E958="","",INDEX(资金日记账!$B$4:$B$603,25))</f>
        <v/>
      </c>
      <c r="C958" s="26" t="str">
        <f>IF($E958="","",IF(INDEX(资金日记账!$W$4:$W$603,25)="","记-"&amp;TEXT($B958,"YYYYMM")&amp;"-资金",INDEX(资金日记账!$W$4:$W$603,25)))</f>
        <v/>
      </c>
      <c r="D958" s="32" t="str">
        <f>IF($E958="","",INDEX(资金日记账!$D$4:$D$603,25))</f>
        <v/>
      </c>
      <c r="E958" s="26" t="str">
        <f>IF(INDEX(资金日记账!$N$4:$S$603,25,1)=0,"",INDEX(资金日记账!$N$4:$S$603,25,1))</f>
        <v/>
      </c>
      <c r="F958" s="25" t="str">
        <f>IF($E958="","",IFERROR(INDEX(科目表!$A$4:$A$81,MATCH($E958,科目表!$B$4:$B$81,0)),""))</f>
        <v/>
      </c>
      <c r="G958" s="26" t="str">
        <f>IF($E958="","",IFERROR(INDEX(科目表!$E$4:$E$81,MATCH($E958,科目表!$B$4:$B$81,0)),""))</f>
        <v/>
      </c>
      <c r="H958" s="27" t="str">
        <f>IF($E958="","",N(INDEX(资金日记账!$N$4:$S$603,25,2)))</f>
        <v/>
      </c>
      <c r="I958" s="27" t="str">
        <f>IF($E958="","",N(INDEX(资金日记账!$N$4:$S$603,25,3)))</f>
        <v/>
      </c>
      <c r="J958" s="26" t="str">
        <f>IF($E958="","",INDEX(资金日记账!$E$4:$E$603,25))</f>
        <v/>
      </c>
      <c r="K958" s="26" t="str">
        <f>IF($E958="","",INDEX(资金日记账!$F$4:$F$603,25))</f>
        <v/>
      </c>
      <c r="L958" s="32" t="str">
        <f>IF($E958="","",INDEX(资金日记账!$X$4:$X$603,25))</f>
        <v/>
      </c>
      <c r="M958" s="32"/>
      <c r="N958" s="26" t="str">
        <f>IF($E958="","",INDEX(资金日记账!$Y$4:$Y$603,25))</f>
        <v/>
      </c>
      <c r="O958" s="26" t="str">
        <f t="shared" si="60"/>
        <v/>
      </c>
      <c r="P958" s="10"/>
    </row>
    <row r="959" ht="18" customHeight="1" spans="1:16">
      <c r="A959" s="32" t="str">
        <f t="shared" si="56"/>
        <v/>
      </c>
      <c r="B959" s="100" t="str">
        <f>IF($E959="","",INDEX(资金日记账!$B$4:$B$603,25))</f>
        <v/>
      </c>
      <c r="C959" s="26" t="str">
        <f>IF($E959="","",IF(INDEX(资金日记账!$W$4:$W$603,25)="","记-"&amp;TEXT($B959,"YYYYMM")&amp;"-资金",INDEX(资金日记账!$W$4:$W$603,25)))</f>
        <v/>
      </c>
      <c r="D959" s="32" t="str">
        <f>IF($E959="","",INDEX(资金日记账!$D$4:$D$603,25))</f>
        <v/>
      </c>
      <c r="E959" s="26" t="str">
        <f>IF(INDEX(资金日记账!$N$4:$S$603,25,4)=0,"",INDEX(资金日记账!$N$4:$S$603,25,4))</f>
        <v/>
      </c>
      <c r="F959" s="25" t="str">
        <f>IF($E959="","",IFERROR(INDEX(科目表!$A$4:$A$81,MATCH($E959,科目表!$B$4:$B$81,0)),""))</f>
        <v/>
      </c>
      <c r="G959" s="26" t="str">
        <f>IF($E959="","",IFERROR(INDEX(科目表!$E$4:$E$81,MATCH($E959,科目表!$B$4:$B$81,0)),""))</f>
        <v/>
      </c>
      <c r="H959" s="27" t="str">
        <f>IF($E959="","",N(INDEX(资金日记账!$N$4:$S$603,25,5)))</f>
        <v/>
      </c>
      <c r="I959" s="27" t="str">
        <f>IF($E959="","",N(INDEX(资金日记账!$N$4:$S$603,25,6)))</f>
        <v/>
      </c>
      <c r="J959" s="26" t="str">
        <f>IF($E959="","",INDEX(资金日记账!$E$4:$E$603,25))</f>
        <v/>
      </c>
      <c r="K959" s="26" t="str">
        <f>IF($E959="","",INDEX(资金日记账!$F$4:$F$603,25))</f>
        <v/>
      </c>
      <c r="L959" s="32" t="str">
        <f>IF($E959="","",INDEX(资金日记账!$X$4:$X$603,25))</f>
        <v/>
      </c>
      <c r="M959" s="32"/>
      <c r="N959" s="26" t="str">
        <f>IF($E959="","",INDEX(资金日记账!$Y$4:$Y$603,25))</f>
        <v/>
      </c>
      <c r="O959" s="26" t="str">
        <f t="shared" si="60"/>
        <v/>
      </c>
      <c r="P959" s="10"/>
    </row>
    <row r="960" ht="18" customHeight="1" spans="1:16">
      <c r="A960" s="32" t="str">
        <f t="shared" si="56"/>
        <v/>
      </c>
      <c r="B960" s="100" t="str">
        <f>IF($E960="","",INDEX(资金日记账!$B$4:$B$603,26))</f>
        <v/>
      </c>
      <c r="C960" s="26" t="str">
        <f>IF($E960="","",IF(INDEX(资金日记账!$W$4:$W$603,26)="","记-"&amp;TEXT($B960,"YYYYMM")&amp;"-资金",INDEX(资金日记账!$W$4:$W$603,26)))</f>
        <v/>
      </c>
      <c r="D960" s="32" t="str">
        <f>IF($E960="","",INDEX(资金日记账!$D$4:$D$603,26))</f>
        <v/>
      </c>
      <c r="E960" s="26" t="str">
        <f>IF(INDEX(资金日记账!$N$4:$S$603,26,1)=0,"",INDEX(资金日记账!$N$4:$S$603,26,1))</f>
        <v/>
      </c>
      <c r="F960" s="25" t="str">
        <f>IF($E960="","",IFERROR(INDEX(科目表!$A$4:$A$81,MATCH($E960,科目表!$B$4:$B$81,0)),""))</f>
        <v/>
      </c>
      <c r="G960" s="26" t="str">
        <f>IF($E960="","",IFERROR(INDEX(科目表!$E$4:$E$81,MATCH($E960,科目表!$B$4:$B$81,0)),""))</f>
        <v/>
      </c>
      <c r="H960" s="27" t="str">
        <f>IF($E960="","",N(INDEX(资金日记账!$N$4:$S$603,26,2)))</f>
        <v/>
      </c>
      <c r="I960" s="27" t="str">
        <f>IF($E960="","",N(INDEX(资金日记账!$N$4:$S$603,26,3)))</f>
        <v/>
      </c>
      <c r="J960" s="26" t="str">
        <f>IF($E960="","",INDEX(资金日记账!$E$4:$E$603,26))</f>
        <v/>
      </c>
      <c r="K960" s="26" t="str">
        <f>IF($E960="","",INDEX(资金日记账!$F$4:$F$603,26))</f>
        <v/>
      </c>
      <c r="L960" s="32" t="str">
        <f>IF($E960="","",INDEX(资金日记账!$X$4:$X$603,26))</f>
        <v/>
      </c>
      <c r="M960" s="32"/>
      <c r="N960" s="26" t="str">
        <f>IF($E960="","",INDEX(资金日记账!$Y$4:$Y$603,26))</f>
        <v/>
      </c>
      <c r="O960" s="26" t="str">
        <f t="shared" si="60"/>
        <v/>
      </c>
      <c r="P960" s="10"/>
    </row>
    <row r="961" ht="18" customHeight="1" spans="1:16">
      <c r="A961" s="32" t="str">
        <f t="shared" si="56"/>
        <v/>
      </c>
      <c r="B961" s="100" t="str">
        <f>IF($E961="","",INDEX(资金日记账!$B$4:$B$603,26))</f>
        <v/>
      </c>
      <c r="C961" s="26" t="str">
        <f>IF($E961="","",IF(INDEX(资金日记账!$W$4:$W$603,26)="","记-"&amp;TEXT($B961,"YYYYMM")&amp;"-资金",INDEX(资金日记账!$W$4:$W$603,26)))</f>
        <v/>
      </c>
      <c r="D961" s="32" t="str">
        <f>IF($E961="","",INDEX(资金日记账!$D$4:$D$603,26))</f>
        <v/>
      </c>
      <c r="E961" s="26" t="str">
        <f>IF(INDEX(资金日记账!$N$4:$S$603,26,4)=0,"",INDEX(资金日记账!$N$4:$S$603,26,4))</f>
        <v/>
      </c>
      <c r="F961" s="25" t="str">
        <f>IF($E961="","",IFERROR(INDEX(科目表!$A$4:$A$81,MATCH($E961,科目表!$B$4:$B$81,0)),""))</f>
        <v/>
      </c>
      <c r="G961" s="26" t="str">
        <f>IF($E961="","",IFERROR(INDEX(科目表!$E$4:$E$81,MATCH($E961,科目表!$B$4:$B$81,0)),""))</f>
        <v/>
      </c>
      <c r="H961" s="27" t="str">
        <f>IF($E961="","",N(INDEX(资金日记账!$N$4:$S$603,26,5)))</f>
        <v/>
      </c>
      <c r="I961" s="27" t="str">
        <f>IF($E961="","",N(INDEX(资金日记账!$N$4:$S$603,26,6)))</f>
        <v/>
      </c>
      <c r="J961" s="26" t="str">
        <f>IF($E961="","",INDEX(资金日记账!$E$4:$E$603,26))</f>
        <v/>
      </c>
      <c r="K961" s="26" t="str">
        <f>IF($E961="","",INDEX(资金日记账!$F$4:$F$603,26))</f>
        <v/>
      </c>
      <c r="L961" s="32" t="str">
        <f>IF($E961="","",INDEX(资金日记账!$X$4:$X$603,26))</f>
        <v/>
      </c>
      <c r="M961" s="32"/>
      <c r="N961" s="26" t="str">
        <f>IF($E961="","",INDEX(资金日记账!$Y$4:$Y$603,26))</f>
        <v/>
      </c>
      <c r="O961" s="26" t="str">
        <f t="shared" si="60"/>
        <v/>
      </c>
      <c r="P961" s="10"/>
    </row>
    <row r="962" ht="18" customHeight="1" spans="1:16">
      <c r="A962" s="32" t="str">
        <f t="shared" si="56"/>
        <v/>
      </c>
      <c r="B962" s="100" t="str">
        <f>IF($E962="","",INDEX(资金日记账!$B$4:$B$603,27))</f>
        <v/>
      </c>
      <c r="C962" s="26" t="str">
        <f>IF($E962="","",IF(INDEX(资金日记账!$W$4:$W$603,27)="","记-"&amp;TEXT($B962,"YYYYMM")&amp;"-资金",INDEX(资金日记账!$W$4:$W$603,27)))</f>
        <v/>
      </c>
      <c r="D962" s="32" t="str">
        <f>IF($E962="","",INDEX(资金日记账!$D$4:$D$603,27))</f>
        <v/>
      </c>
      <c r="E962" s="26" t="str">
        <f>IF(INDEX(资金日记账!$N$4:$S$603,27,1)=0,"",INDEX(资金日记账!$N$4:$S$603,27,1))</f>
        <v/>
      </c>
      <c r="F962" s="25" t="str">
        <f>IF($E962="","",IFERROR(INDEX(科目表!$A$4:$A$81,MATCH($E962,科目表!$B$4:$B$81,0)),""))</f>
        <v/>
      </c>
      <c r="G962" s="26" t="str">
        <f>IF($E962="","",IFERROR(INDEX(科目表!$E$4:$E$81,MATCH($E962,科目表!$B$4:$B$81,0)),""))</f>
        <v/>
      </c>
      <c r="H962" s="27" t="str">
        <f>IF($E962="","",N(INDEX(资金日记账!$N$4:$S$603,27,2)))</f>
        <v/>
      </c>
      <c r="I962" s="27" t="str">
        <f>IF($E962="","",N(INDEX(资金日记账!$N$4:$S$603,27,3)))</f>
        <v/>
      </c>
      <c r="J962" s="26" t="str">
        <f>IF($E962="","",INDEX(资金日记账!$E$4:$E$603,27))</f>
        <v/>
      </c>
      <c r="K962" s="26" t="str">
        <f>IF($E962="","",INDEX(资金日记账!$F$4:$F$603,27))</f>
        <v/>
      </c>
      <c r="L962" s="32" t="str">
        <f>IF($E962="","",INDEX(资金日记账!$X$4:$X$603,27))</f>
        <v/>
      </c>
      <c r="M962" s="32"/>
      <c r="N962" s="26" t="str">
        <f>IF($E962="","",INDEX(资金日记账!$Y$4:$Y$603,27))</f>
        <v/>
      </c>
      <c r="O962" s="26" t="str">
        <f t="shared" si="60"/>
        <v/>
      </c>
      <c r="P962" s="10"/>
    </row>
    <row r="963" ht="18" customHeight="1" spans="1:16">
      <c r="A963" s="32" t="str">
        <f t="shared" si="56"/>
        <v/>
      </c>
      <c r="B963" s="100" t="str">
        <f>IF($E963="","",INDEX(资金日记账!$B$4:$B$603,27))</f>
        <v/>
      </c>
      <c r="C963" s="26" t="str">
        <f>IF($E963="","",IF(INDEX(资金日记账!$W$4:$W$603,27)="","记-"&amp;TEXT($B963,"YYYYMM")&amp;"-资金",INDEX(资金日记账!$W$4:$W$603,27)))</f>
        <v/>
      </c>
      <c r="D963" s="32" t="str">
        <f>IF($E963="","",INDEX(资金日记账!$D$4:$D$603,27))</f>
        <v/>
      </c>
      <c r="E963" s="26" t="str">
        <f>IF(INDEX(资金日记账!$N$4:$S$603,27,4)=0,"",INDEX(资金日记账!$N$4:$S$603,27,4))</f>
        <v/>
      </c>
      <c r="F963" s="25" t="str">
        <f>IF($E963="","",IFERROR(INDEX(科目表!$A$4:$A$81,MATCH($E963,科目表!$B$4:$B$81,0)),""))</f>
        <v/>
      </c>
      <c r="G963" s="26" t="str">
        <f>IF($E963="","",IFERROR(INDEX(科目表!$E$4:$E$81,MATCH($E963,科目表!$B$4:$B$81,0)),""))</f>
        <v/>
      </c>
      <c r="H963" s="27" t="str">
        <f>IF($E963="","",N(INDEX(资金日记账!$N$4:$S$603,27,5)))</f>
        <v/>
      </c>
      <c r="I963" s="27" t="str">
        <f>IF($E963="","",N(INDEX(资金日记账!$N$4:$S$603,27,6)))</f>
        <v/>
      </c>
      <c r="J963" s="26" t="str">
        <f>IF($E963="","",INDEX(资金日记账!$E$4:$E$603,27))</f>
        <v/>
      </c>
      <c r="K963" s="26" t="str">
        <f>IF($E963="","",INDEX(资金日记账!$F$4:$F$603,27))</f>
        <v/>
      </c>
      <c r="L963" s="32" t="str">
        <f>IF($E963="","",INDEX(资金日记账!$X$4:$X$603,27))</f>
        <v/>
      </c>
      <c r="M963" s="32"/>
      <c r="N963" s="26" t="str">
        <f>IF($E963="","",INDEX(资金日记账!$Y$4:$Y$603,27))</f>
        <v/>
      </c>
      <c r="O963" s="26" t="str">
        <f t="shared" si="60"/>
        <v/>
      </c>
      <c r="P963" s="10"/>
    </row>
    <row r="964" ht="18" customHeight="1" spans="1:16">
      <c r="A964" s="32" t="str">
        <f t="shared" ref="A964:A1027" si="61">IF($E964="","",ROW()-3)</f>
        <v/>
      </c>
      <c r="B964" s="100" t="str">
        <f>IF($E964="","",INDEX(资金日记账!$B$4:$B$603,28))</f>
        <v/>
      </c>
      <c r="C964" s="26" t="str">
        <f>IF($E964="","",IF(INDEX(资金日记账!$W$4:$W$603,28)="","记-"&amp;TEXT($B964,"YYYYMM")&amp;"-资金",INDEX(资金日记账!$W$4:$W$603,28)))</f>
        <v/>
      </c>
      <c r="D964" s="32" t="str">
        <f>IF($E964="","",INDEX(资金日记账!$D$4:$D$603,28))</f>
        <v/>
      </c>
      <c r="E964" s="26" t="str">
        <f>IF(INDEX(资金日记账!$N$4:$S$603,28,1)=0,"",INDEX(资金日记账!$N$4:$S$603,28,1))</f>
        <v/>
      </c>
      <c r="F964" s="25" t="str">
        <f>IF($E964="","",IFERROR(INDEX(科目表!$A$4:$A$81,MATCH($E964,科目表!$B$4:$B$81,0)),""))</f>
        <v/>
      </c>
      <c r="G964" s="26" t="str">
        <f>IF($E964="","",IFERROR(INDEX(科目表!$E$4:$E$81,MATCH($E964,科目表!$B$4:$B$81,0)),""))</f>
        <v/>
      </c>
      <c r="H964" s="27" t="str">
        <f>IF($E964="","",N(INDEX(资金日记账!$N$4:$S$603,28,2)))</f>
        <v/>
      </c>
      <c r="I964" s="27" t="str">
        <f>IF($E964="","",N(INDEX(资金日记账!$N$4:$S$603,28,3)))</f>
        <v/>
      </c>
      <c r="J964" s="26" t="str">
        <f>IF($E964="","",INDEX(资金日记账!$E$4:$E$603,28))</f>
        <v/>
      </c>
      <c r="K964" s="26" t="str">
        <f>IF($E964="","",INDEX(资金日记账!$F$4:$F$603,28))</f>
        <v/>
      </c>
      <c r="L964" s="32" t="str">
        <f>IF($E964="","",INDEX(资金日记账!$X$4:$X$603,28))</f>
        <v/>
      </c>
      <c r="M964" s="32"/>
      <c r="N964" s="26" t="str">
        <f>IF($E964="","",INDEX(资金日记账!$Y$4:$Y$603,28))</f>
        <v/>
      </c>
      <c r="O964" s="26" t="str">
        <f t="shared" si="60"/>
        <v/>
      </c>
      <c r="P964" s="10"/>
    </row>
    <row r="965" ht="18" customHeight="1" spans="1:16">
      <c r="A965" s="32" t="str">
        <f t="shared" si="61"/>
        <v/>
      </c>
      <c r="B965" s="100" t="str">
        <f>IF($E965="","",INDEX(资金日记账!$B$4:$B$603,28))</f>
        <v/>
      </c>
      <c r="C965" s="26" t="str">
        <f>IF($E965="","",IF(INDEX(资金日记账!$W$4:$W$603,28)="","记-"&amp;TEXT($B965,"YYYYMM")&amp;"-资金",INDEX(资金日记账!$W$4:$W$603,28)))</f>
        <v/>
      </c>
      <c r="D965" s="32" t="str">
        <f>IF($E965="","",INDEX(资金日记账!$D$4:$D$603,28))</f>
        <v/>
      </c>
      <c r="E965" s="26" t="str">
        <f>IF(INDEX(资金日记账!$N$4:$S$603,28,4)=0,"",INDEX(资金日记账!$N$4:$S$603,28,4))</f>
        <v/>
      </c>
      <c r="F965" s="25" t="str">
        <f>IF($E965="","",IFERROR(INDEX(科目表!$A$4:$A$81,MATCH($E965,科目表!$B$4:$B$81,0)),""))</f>
        <v/>
      </c>
      <c r="G965" s="26" t="str">
        <f>IF($E965="","",IFERROR(INDEX(科目表!$E$4:$E$81,MATCH($E965,科目表!$B$4:$B$81,0)),""))</f>
        <v/>
      </c>
      <c r="H965" s="27" t="str">
        <f>IF($E965="","",N(INDEX(资金日记账!$N$4:$S$603,28,5)))</f>
        <v/>
      </c>
      <c r="I965" s="27" t="str">
        <f>IF($E965="","",N(INDEX(资金日记账!$N$4:$S$603,28,6)))</f>
        <v/>
      </c>
      <c r="J965" s="26" t="str">
        <f>IF($E965="","",INDEX(资金日记账!$E$4:$E$603,28))</f>
        <v/>
      </c>
      <c r="K965" s="26" t="str">
        <f>IF($E965="","",INDEX(资金日记账!$F$4:$F$603,28))</f>
        <v/>
      </c>
      <c r="L965" s="32" t="str">
        <f>IF($E965="","",INDEX(资金日记账!$X$4:$X$603,28))</f>
        <v/>
      </c>
      <c r="M965" s="32"/>
      <c r="N965" s="26" t="str">
        <f>IF($E965="","",INDEX(资金日记账!$Y$4:$Y$603,28))</f>
        <v/>
      </c>
      <c r="O965" s="26" t="str">
        <f t="shared" si="60"/>
        <v/>
      </c>
      <c r="P965" s="10"/>
    </row>
    <row r="966" ht="18" customHeight="1" spans="1:16">
      <c r="A966" s="32" t="str">
        <f t="shared" si="61"/>
        <v/>
      </c>
      <c r="B966" s="100" t="str">
        <f>IF($E966="","",INDEX(资金日记账!$B$4:$B$603,29))</f>
        <v/>
      </c>
      <c r="C966" s="26" t="str">
        <f>IF($E966="","",IF(INDEX(资金日记账!$W$4:$W$603,29)="","记-"&amp;TEXT($B966,"YYYYMM")&amp;"-资金",INDEX(资金日记账!$W$4:$W$603,29)))</f>
        <v/>
      </c>
      <c r="D966" s="32" t="str">
        <f>IF($E966="","",INDEX(资金日记账!$D$4:$D$603,29))</f>
        <v/>
      </c>
      <c r="E966" s="26" t="str">
        <f>IF(INDEX(资金日记账!$N$4:$S$603,29,1)=0,"",INDEX(资金日记账!$N$4:$S$603,29,1))</f>
        <v/>
      </c>
      <c r="F966" s="25" t="str">
        <f>IF($E966="","",IFERROR(INDEX(科目表!$A$4:$A$81,MATCH($E966,科目表!$B$4:$B$81,0)),""))</f>
        <v/>
      </c>
      <c r="G966" s="26" t="str">
        <f>IF($E966="","",IFERROR(INDEX(科目表!$E$4:$E$81,MATCH($E966,科目表!$B$4:$B$81,0)),""))</f>
        <v/>
      </c>
      <c r="H966" s="27" t="str">
        <f>IF($E966="","",N(INDEX(资金日记账!$N$4:$S$603,29,2)))</f>
        <v/>
      </c>
      <c r="I966" s="27" t="str">
        <f>IF($E966="","",N(INDEX(资金日记账!$N$4:$S$603,29,3)))</f>
        <v/>
      </c>
      <c r="J966" s="26" t="str">
        <f>IF($E966="","",INDEX(资金日记账!$E$4:$E$603,29))</f>
        <v/>
      </c>
      <c r="K966" s="26" t="str">
        <f>IF($E966="","",INDEX(资金日记账!$F$4:$F$603,29))</f>
        <v/>
      </c>
      <c r="L966" s="32" t="str">
        <f>IF($E966="","",INDEX(资金日记账!$X$4:$X$603,29))</f>
        <v/>
      </c>
      <c r="M966" s="32"/>
      <c r="N966" s="26" t="str">
        <f>IF($E966="","",INDEX(资金日记账!$Y$4:$Y$603,29))</f>
        <v/>
      </c>
      <c r="O966" s="26" t="str">
        <f t="shared" si="60"/>
        <v/>
      </c>
      <c r="P966" s="10"/>
    </row>
    <row r="967" ht="18" customHeight="1" spans="1:16">
      <c r="A967" s="32" t="str">
        <f t="shared" si="61"/>
        <v/>
      </c>
      <c r="B967" s="100" t="str">
        <f>IF($E967="","",INDEX(资金日记账!$B$4:$B$603,29))</f>
        <v/>
      </c>
      <c r="C967" s="26" t="str">
        <f>IF($E967="","",IF(INDEX(资金日记账!$W$4:$W$603,29)="","记-"&amp;TEXT($B967,"YYYYMM")&amp;"-资金",INDEX(资金日记账!$W$4:$W$603,29)))</f>
        <v/>
      </c>
      <c r="D967" s="32" t="str">
        <f>IF($E967="","",INDEX(资金日记账!$D$4:$D$603,29))</f>
        <v/>
      </c>
      <c r="E967" s="26" t="str">
        <f>IF(INDEX(资金日记账!$N$4:$S$603,29,4)=0,"",INDEX(资金日记账!$N$4:$S$603,29,4))</f>
        <v/>
      </c>
      <c r="F967" s="25" t="str">
        <f>IF($E967="","",IFERROR(INDEX(科目表!$A$4:$A$81,MATCH($E967,科目表!$B$4:$B$81,0)),""))</f>
        <v/>
      </c>
      <c r="G967" s="26" t="str">
        <f>IF($E967="","",IFERROR(INDEX(科目表!$E$4:$E$81,MATCH($E967,科目表!$B$4:$B$81,0)),""))</f>
        <v/>
      </c>
      <c r="H967" s="27" t="str">
        <f>IF($E967="","",N(INDEX(资金日记账!$N$4:$S$603,29,5)))</f>
        <v/>
      </c>
      <c r="I967" s="27" t="str">
        <f>IF($E967="","",N(INDEX(资金日记账!$N$4:$S$603,29,6)))</f>
        <v/>
      </c>
      <c r="J967" s="26" t="str">
        <f>IF($E967="","",INDEX(资金日记账!$E$4:$E$603,29))</f>
        <v/>
      </c>
      <c r="K967" s="26" t="str">
        <f>IF($E967="","",INDEX(资金日记账!$F$4:$F$603,29))</f>
        <v/>
      </c>
      <c r="L967" s="32" t="str">
        <f>IF($E967="","",INDEX(资金日记账!$X$4:$X$603,29))</f>
        <v/>
      </c>
      <c r="M967" s="32"/>
      <c r="N967" s="26" t="str">
        <f>IF($E967="","",INDEX(资金日记账!$Y$4:$Y$603,29))</f>
        <v/>
      </c>
      <c r="O967" s="26" t="str">
        <f t="shared" si="60"/>
        <v/>
      </c>
      <c r="P967" s="10"/>
    </row>
    <row r="968" ht="18" customHeight="1" spans="1:16">
      <c r="A968" s="32" t="str">
        <f t="shared" si="61"/>
        <v/>
      </c>
      <c r="B968" s="100" t="str">
        <f>IF($E968="","",INDEX(资金日记账!$B$4:$B$603,30))</f>
        <v/>
      </c>
      <c r="C968" s="26" t="str">
        <f>IF($E968="","",IF(INDEX(资金日记账!$W$4:$W$603,30)="","记-"&amp;TEXT($B968,"YYYYMM")&amp;"-资金",INDEX(资金日记账!$W$4:$W$603,30)))</f>
        <v/>
      </c>
      <c r="D968" s="32" t="str">
        <f>IF($E968="","",INDEX(资金日记账!$D$4:$D$603,30))</f>
        <v/>
      </c>
      <c r="E968" s="26" t="str">
        <f>IF(INDEX(资金日记账!$N$4:$S$603,30,1)=0,"",INDEX(资金日记账!$N$4:$S$603,30,1))</f>
        <v/>
      </c>
      <c r="F968" s="25" t="str">
        <f>IF($E968="","",IFERROR(INDEX(科目表!$A$4:$A$81,MATCH($E968,科目表!$B$4:$B$81,0)),""))</f>
        <v/>
      </c>
      <c r="G968" s="26" t="str">
        <f>IF($E968="","",IFERROR(INDEX(科目表!$E$4:$E$81,MATCH($E968,科目表!$B$4:$B$81,0)),""))</f>
        <v/>
      </c>
      <c r="H968" s="27" t="str">
        <f>IF($E968="","",N(INDEX(资金日记账!$N$4:$S$603,30,2)))</f>
        <v/>
      </c>
      <c r="I968" s="27" t="str">
        <f>IF($E968="","",N(INDEX(资金日记账!$N$4:$S$603,30,3)))</f>
        <v/>
      </c>
      <c r="J968" s="26" t="str">
        <f>IF($E968="","",INDEX(资金日记账!$E$4:$E$603,30))</f>
        <v/>
      </c>
      <c r="K968" s="26" t="str">
        <f>IF($E968="","",INDEX(资金日记账!$F$4:$F$603,30))</f>
        <v/>
      </c>
      <c r="L968" s="32" t="str">
        <f>IF($E968="","",INDEX(资金日记账!$X$4:$X$603,30))</f>
        <v/>
      </c>
      <c r="M968" s="32"/>
      <c r="N968" s="26" t="str">
        <f>IF($E968="","",INDEX(资金日记账!$Y$4:$Y$603,30))</f>
        <v/>
      </c>
      <c r="O968" s="26" t="str">
        <f t="shared" si="60"/>
        <v/>
      </c>
      <c r="P968" s="10"/>
    </row>
    <row r="969" ht="18" customHeight="1" spans="1:16">
      <c r="A969" s="32" t="str">
        <f t="shared" si="61"/>
        <v/>
      </c>
      <c r="B969" s="100" t="str">
        <f>IF($E969="","",INDEX(资金日记账!$B$4:$B$603,30))</f>
        <v/>
      </c>
      <c r="C969" s="26" t="str">
        <f>IF($E969="","",IF(INDEX(资金日记账!$W$4:$W$603,30)="","记-"&amp;TEXT($B969,"YYYYMM")&amp;"-资金",INDEX(资金日记账!$W$4:$W$603,30)))</f>
        <v/>
      </c>
      <c r="D969" s="32" t="str">
        <f>IF($E969="","",INDEX(资金日记账!$D$4:$D$603,30))</f>
        <v/>
      </c>
      <c r="E969" s="26" t="str">
        <f>IF(INDEX(资金日记账!$N$4:$S$603,30,4)=0,"",INDEX(资金日记账!$N$4:$S$603,30,4))</f>
        <v/>
      </c>
      <c r="F969" s="25" t="str">
        <f>IF($E969="","",IFERROR(INDEX(科目表!$A$4:$A$81,MATCH($E969,科目表!$B$4:$B$81,0)),""))</f>
        <v/>
      </c>
      <c r="G969" s="26" t="str">
        <f>IF($E969="","",IFERROR(INDEX(科目表!$E$4:$E$81,MATCH($E969,科目表!$B$4:$B$81,0)),""))</f>
        <v/>
      </c>
      <c r="H969" s="27" t="str">
        <f>IF($E969="","",N(INDEX(资金日记账!$N$4:$S$603,30,5)))</f>
        <v/>
      </c>
      <c r="I969" s="27" t="str">
        <f>IF($E969="","",N(INDEX(资金日记账!$N$4:$S$603,30,6)))</f>
        <v/>
      </c>
      <c r="J969" s="26" t="str">
        <f>IF($E969="","",INDEX(资金日记账!$E$4:$E$603,30))</f>
        <v/>
      </c>
      <c r="K969" s="26" t="str">
        <f>IF($E969="","",INDEX(资金日记账!$F$4:$F$603,30))</f>
        <v/>
      </c>
      <c r="L969" s="32" t="str">
        <f>IF($E969="","",INDEX(资金日记账!$X$4:$X$603,30))</f>
        <v/>
      </c>
      <c r="M969" s="32"/>
      <c r="N969" s="26" t="str">
        <f>IF($E969="","",INDEX(资金日记账!$Y$4:$Y$603,30))</f>
        <v/>
      </c>
      <c r="O969" s="26" t="str">
        <f t="shared" si="60"/>
        <v/>
      </c>
      <c r="P969" s="10"/>
    </row>
    <row r="970" ht="18" customHeight="1" spans="1:16">
      <c r="A970" s="32" t="str">
        <f t="shared" si="61"/>
        <v/>
      </c>
      <c r="B970" s="100" t="str">
        <f>IF($E970="","",INDEX(资金日记账!$B$4:$B$603,31))</f>
        <v/>
      </c>
      <c r="C970" s="26" t="str">
        <f>IF($E970="","",IF(INDEX(资金日记账!$W$4:$W$603,31)="","记-"&amp;TEXT($B970,"YYYYMM")&amp;"-资金",INDEX(资金日记账!$W$4:$W$603,31)))</f>
        <v/>
      </c>
      <c r="D970" s="32" t="str">
        <f>IF($E970="","",INDEX(资金日记账!$D$4:$D$603,31))</f>
        <v/>
      </c>
      <c r="E970" s="26" t="str">
        <f>IF(INDEX(资金日记账!$N$4:$S$603,31,1)=0,"",INDEX(资金日记账!$N$4:$S$603,31,1))</f>
        <v/>
      </c>
      <c r="F970" s="25" t="str">
        <f>IF($E970="","",IFERROR(INDEX(科目表!$A$4:$A$81,MATCH($E970,科目表!$B$4:$B$81,0)),""))</f>
        <v/>
      </c>
      <c r="G970" s="26" t="str">
        <f>IF($E970="","",IFERROR(INDEX(科目表!$E$4:$E$81,MATCH($E970,科目表!$B$4:$B$81,0)),""))</f>
        <v/>
      </c>
      <c r="H970" s="27" t="str">
        <f>IF($E970="","",N(INDEX(资金日记账!$N$4:$S$603,31,2)))</f>
        <v/>
      </c>
      <c r="I970" s="27" t="str">
        <f>IF($E970="","",N(INDEX(资金日记账!$N$4:$S$603,31,3)))</f>
        <v/>
      </c>
      <c r="J970" s="26" t="str">
        <f>IF($E970="","",INDEX(资金日记账!$E$4:$E$603,31))</f>
        <v/>
      </c>
      <c r="K970" s="26" t="str">
        <f>IF($E970="","",INDEX(资金日记账!$F$4:$F$603,31))</f>
        <v/>
      </c>
      <c r="L970" s="32" t="str">
        <f>IF($E970="","",INDEX(资金日记账!$X$4:$X$603,31))</f>
        <v/>
      </c>
      <c r="M970" s="32"/>
      <c r="N970" s="26" t="str">
        <f>IF($E970="","",INDEX(资金日记账!$Y$4:$Y$603,31))</f>
        <v/>
      </c>
      <c r="O970" s="26" t="str">
        <f t="shared" si="60"/>
        <v/>
      </c>
      <c r="P970" s="10"/>
    </row>
    <row r="971" ht="18" customHeight="1" spans="1:16">
      <c r="A971" s="32" t="str">
        <f t="shared" si="61"/>
        <v/>
      </c>
      <c r="B971" s="100" t="str">
        <f>IF($E971="","",INDEX(资金日记账!$B$4:$B$603,31))</f>
        <v/>
      </c>
      <c r="C971" s="26" t="str">
        <f>IF($E971="","",IF(INDEX(资金日记账!$W$4:$W$603,31)="","记-"&amp;TEXT($B971,"YYYYMM")&amp;"-资金",INDEX(资金日记账!$W$4:$W$603,31)))</f>
        <v/>
      </c>
      <c r="D971" s="32" t="str">
        <f>IF($E971="","",INDEX(资金日记账!$D$4:$D$603,31))</f>
        <v/>
      </c>
      <c r="E971" s="26" t="str">
        <f>IF(INDEX(资金日记账!$N$4:$S$603,31,4)=0,"",INDEX(资金日记账!$N$4:$S$603,31,4))</f>
        <v/>
      </c>
      <c r="F971" s="25" t="str">
        <f>IF($E971="","",IFERROR(INDEX(科目表!$A$4:$A$81,MATCH($E971,科目表!$B$4:$B$81,0)),""))</f>
        <v/>
      </c>
      <c r="G971" s="26" t="str">
        <f>IF($E971="","",IFERROR(INDEX(科目表!$E$4:$E$81,MATCH($E971,科目表!$B$4:$B$81,0)),""))</f>
        <v/>
      </c>
      <c r="H971" s="27" t="str">
        <f>IF($E971="","",N(INDEX(资金日记账!$N$4:$S$603,31,5)))</f>
        <v/>
      </c>
      <c r="I971" s="27" t="str">
        <f>IF($E971="","",N(INDEX(资金日记账!$N$4:$S$603,31,6)))</f>
        <v/>
      </c>
      <c r="J971" s="26" t="str">
        <f>IF($E971="","",INDEX(资金日记账!$E$4:$E$603,31))</f>
        <v/>
      </c>
      <c r="K971" s="26" t="str">
        <f>IF($E971="","",INDEX(资金日记账!$F$4:$F$603,31))</f>
        <v/>
      </c>
      <c r="L971" s="32" t="str">
        <f>IF($E971="","",INDEX(资金日记账!$X$4:$X$603,31))</f>
        <v/>
      </c>
      <c r="M971" s="32"/>
      <c r="N971" s="26" t="str">
        <f>IF($E971="","",INDEX(资金日记账!$Y$4:$Y$603,31))</f>
        <v/>
      </c>
      <c r="O971" s="26" t="str">
        <f t="shared" si="60"/>
        <v/>
      </c>
      <c r="P971" s="10"/>
    </row>
    <row r="972" ht="18" customHeight="1" spans="1:16">
      <c r="A972" s="32" t="str">
        <f t="shared" si="61"/>
        <v/>
      </c>
      <c r="B972" s="100" t="str">
        <f>IF($E972="","",INDEX(资金日记账!$B$4:$B$603,32))</f>
        <v/>
      </c>
      <c r="C972" s="26" t="str">
        <f>IF($E972="","",IF(INDEX(资金日记账!$W$4:$W$603,32)="","记-"&amp;TEXT($B972,"YYYYMM")&amp;"-资金",INDEX(资金日记账!$W$4:$W$603,32)))</f>
        <v/>
      </c>
      <c r="D972" s="32" t="str">
        <f>IF($E972="","",INDEX(资金日记账!$D$4:$D$603,32))</f>
        <v/>
      </c>
      <c r="E972" s="26" t="str">
        <f>IF(INDEX(资金日记账!$N$4:$S$603,32,1)=0,"",INDEX(资金日记账!$N$4:$S$603,32,1))</f>
        <v/>
      </c>
      <c r="F972" s="25" t="str">
        <f>IF($E972="","",IFERROR(INDEX(科目表!$A$4:$A$81,MATCH($E972,科目表!$B$4:$B$81,0)),""))</f>
        <v/>
      </c>
      <c r="G972" s="26" t="str">
        <f>IF($E972="","",IFERROR(INDEX(科目表!$E$4:$E$81,MATCH($E972,科目表!$B$4:$B$81,0)),""))</f>
        <v/>
      </c>
      <c r="H972" s="27" t="str">
        <f>IF($E972="","",N(INDEX(资金日记账!$N$4:$S$603,32,2)))</f>
        <v/>
      </c>
      <c r="I972" s="27" t="str">
        <f>IF($E972="","",N(INDEX(资金日记账!$N$4:$S$603,32,3)))</f>
        <v/>
      </c>
      <c r="J972" s="26" t="str">
        <f>IF($E972="","",INDEX(资金日记账!$E$4:$E$603,32))</f>
        <v/>
      </c>
      <c r="K972" s="26" t="str">
        <f>IF($E972="","",INDEX(资金日记账!$F$4:$F$603,32))</f>
        <v/>
      </c>
      <c r="L972" s="32" t="str">
        <f>IF($E972="","",INDEX(资金日记账!$X$4:$X$603,32))</f>
        <v/>
      </c>
      <c r="M972" s="32"/>
      <c r="N972" s="26" t="str">
        <f>IF($E972="","",INDEX(资金日记账!$Y$4:$Y$603,32))</f>
        <v/>
      </c>
      <c r="O972" s="26" t="str">
        <f t="shared" si="60"/>
        <v/>
      </c>
      <c r="P972" s="10"/>
    </row>
    <row r="973" ht="18" customHeight="1" spans="1:16">
      <c r="A973" s="32" t="str">
        <f t="shared" si="61"/>
        <v/>
      </c>
      <c r="B973" s="100" t="str">
        <f>IF($E973="","",INDEX(资金日记账!$B$4:$B$603,32))</f>
        <v/>
      </c>
      <c r="C973" s="26" t="str">
        <f>IF($E973="","",IF(INDEX(资金日记账!$W$4:$W$603,32)="","记-"&amp;TEXT($B973,"YYYYMM")&amp;"-资金",INDEX(资金日记账!$W$4:$W$603,32)))</f>
        <v/>
      </c>
      <c r="D973" s="32" t="str">
        <f>IF($E973="","",INDEX(资金日记账!$D$4:$D$603,32))</f>
        <v/>
      </c>
      <c r="E973" s="26" t="str">
        <f>IF(INDEX(资金日记账!$N$4:$S$603,32,4)=0,"",INDEX(资金日记账!$N$4:$S$603,32,4))</f>
        <v/>
      </c>
      <c r="F973" s="25" t="str">
        <f>IF($E973="","",IFERROR(INDEX(科目表!$A$4:$A$81,MATCH($E973,科目表!$B$4:$B$81,0)),""))</f>
        <v/>
      </c>
      <c r="G973" s="26" t="str">
        <f>IF($E973="","",IFERROR(INDEX(科目表!$E$4:$E$81,MATCH($E973,科目表!$B$4:$B$81,0)),""))</f>
        <v/>
      </c>
      <c r="H973" s="27" t="str">
        <f>IF($E973="","",N(INDEX(资金日记账!$N$4:$S$603,32,5)))</f>
        <v/>
      </c>
      <c r="I973" s="27" t="str">
        <f>IF($E973="","",N(INDEX(资金日记账!$N$4:$S$603,32,6)))</f>
        <v/>
      </c>
      <c r="J973" s="26" t="str">
        <f>IF($E973="","",INDEX(资金日记账!$E$4:$E$603,32))</f>
        <v/>
      </c>
      <c r="K973" s="26" t="str">
        <f>IF($E973="","",INDEX(资金日记账!$F$4:$F$603,32))</f>
        <v/>
      </c>
      <c r="L973" s="32" t="str">
        <f>IF($E973="","",INDEX(资金日记账!$X$4:$X$603,32))</f>
        <v/>
      </c>
      <c r="M973" s="32"/>
      <c r="N973" s="26" t="str">
        <f>IF($E973="","",INDEX(资金日记账!$Y$4:$Y$603,32))</f>
        <v/>
      </c>
      <c r="O973" s="26" t="str">
        <f t="shared" si="60"/>
        <v/>
      </c>
      <c r="P973" s="10"/>
    </row>
    <row r="974" ht="18" customHeight="1" spans="1:16">
      <c r="A974" s="32" t="str">
        <f t="shared" si="61"/>
        <v/>
      </c>
      <c r="B974" s="100" t="str">
        <f>IF($E974="","",INDEX(资金日记账!$B$4:$B$603,33))</f>
        <v/>
      </c>
      <c r="C974" s="26" t="str">
        <f>IF($E974="","",IF(INDEX(资金日记账!$W$4:$W$603,33)="","记-"&amp;TEXT($B974,"YYYYMM")&amp;"-资金",INDEX(资金日记账!$W$4:$W$603,33)))</f>
        <v/>
      </c>
      <c r="D974" s="32" t="str">
        <f>IF($E974="","",INDEX(资金日记账!$D$4:$D$603,33))</f>
        <v/>
      </c>
      <c r="E974" s="26" t="str">
        <f>IF(INDEX(资金日记账!$N$4:$S$603,33,1)=0,"",INDEX(资金日记账!$N$4:$S$603,33,1))</f>
        <v/>
      </c>
      <c r="F974" s="25" t="str">
        <f>IF($E974="","",IFERROR(INDEX(科目表!$A$4:$A$81,MATCH($E974,科目表!$B$4:$B$81,0)),""))</f>
        <v/>
      </c>
      <c r="G974" s="26" t="str">
        <f>IF($E974="","",IFERROR(INDEX(科目表!$E$4:$E$81,MATCH($E974,科目表!$B$4:$B$81,0)),""))</f>
        <v/>
      </c>
      <c r="H974" s="27" t="str">
        <f>IF($E974="","",N(INDEX(资金日记账!$N$4:$S$603,33,2)))</f>
        <v/>
      </c>
      <c r="I974" s="27" t="str">
        <f>IF($E974="","",N(INDEX(资金日记账!$N$4:$S$603,33,3)))</f>
        <v/>
      </c>
      <c r="J974" s="26" t="str">
        <f>IF($E974="","",INDEX(资金日记账!$E$4:$E$603,33))</f>
        <v/>
      </c>
      <c r="K974" s="26" t="str">
        <f>IF($E974="","",INDEX(资金日记账!$F$4:$F$603,33))</f>
        <v/>
      </c>
      <c r="L974" s="32" t="str">
        <f>IF($E974="","",INDEX(资金日记账!$X$4:$X$603,33))</f>
        <v/>
      </c>
      <c r="M974" s="32"/>
      <c r="N974" s="26" t="str">
        <f>IF($E974="","",INDEX(资金日记账!$Y$4:$Y$603,33))</f>
        <v/>
      </c>
      <c r="O974" s="26" t="str">
        <f t="shared" ref="O974:O1037" si="62">IF($E974="","","自动B")</f>
        <v/>
      </c>
      <c r="P974" s="10"/>
    </row>
    <row r="975" ht="18" customHeight="1" spans="1:16">
      <c r="A975" s="32" t="str">
        <f t="shared" si="61"/>
        <v/>
      </c>
      <c r="B975" s="100" t="str">
        <f>IF($E975="","",INDEX(资金日记账!$B$4:$B$603,33))</f>
        <v/>
      </c>
      <c r="C975" s="26" t="str">
        <f>IF($E975="","",IF(INDEX(资金日记账!$W$4:$W$603,33)="","记-"&amp;TEXT($B975,"YYYYMM")&amp;"-资金",INDEX(资金日记账!$W$4:$W$603,33)))</f>
        <v/>
      </c>
      <c r="D975" s="32" t="str">
        <f>IF($E975="","",INDEX(资金日记账!$D$4:$D$603,33))</f>
        <v/>
      </c>
      <c r="E975" s="26" t="str">
        <f>IF(INDEX(资金日记账!$N$4:$S$603,33,4)=0,"",INDEX(资金日记账!$N$4:$S$603,33,4))</f>
        <v/>
      </c>
      <c r="F975" s="25" t="str">
        <f>IF($E975="","",IFERROR(INDEX(科目表!$A$4:$A$81,MATCH($E975,科目表!$B$4:$B$81,0)),""))</f>
        <v/>
      </c>
      <c r="G975" s="26" t="str">
        <f>IF($E975="","",IFERROR(INDEX(科目表!$E$4:$E$81,MATCH($E975,科目表!$B$4:$B$81,0)),""))</f>
        <v/>
      </c>
      <c r="H975" s="27" t="str">
        <f>IF($E975="","",N(INDEX(资金日记账!$N$4:$S$603,33,5)))</f>
        <v/>
      </c>
      <c r="I975" s="27" t="str">
        <f>IF($E975="","",N(INDEX(资金日记账!$N$4:$S$603,33,6)))</f>
        <v/>
      </c>
      <c r="J975" s="26" t="str">
        <f>IF($E975="","",INDEX(资金日记账!$E$4:$E$603,33))</f>
        <v/>
      </c>
      <c r="K975" s="26" t="str">
        <f>IF($E975="","",INDEX(资金日记账!$F$4:$F$603,33))</f>
        <v/>
      </c>
      <c r="L975" s="32" t="str">
        <f>IF($E975="","",INDEX(资金日记账!$X$4:$X$603,33))</f>
        <v/>
      </c>
      <c r="M975" s="32"/>
      <c r="N975" s="26" t="str">
        <f>IF($E975="","",INDEX(资金日记账!$Y$4:$Y$603,33))</f>
        <v/>
      </c>
      <c r="O975" s="26" t="str">
        <f t="shared" si="62"/>
        <v/>
      </c>
      <c r="P975" s="10"/>
    </row>
    <row r="976" ht="18" customHeight="1" spans="1:16">
      <c r="A976" s="32" t="str">
        <f t="shared" si="61"/>
        <v/>
      </c>
      <c r="B976" s="100" t="str">
        <f>IF($E976="","",INDEX(资金日记账!$B$4:$B$603,34))</f>
        <v/>
      </c>
      <c r="C976" s="26" t="str">
        <f>IF($E976="","",IF(INDEX(资金日记账!$W$4:$W$603,34)="","记-"&amp;TEXT($B976,"YYYYMM")&amp;"-资金",INDEX(资金日记账!$W$4:$W$603,34)))</f>
        <v/>
      </c>
      <c r="D976" s="32" t="str">
        <f>IF($E976="","",INDEX(资金日记账!$D$4:$D$603,34))</f>
        <v/>
      </c>
      <c r="E976" s="26" t="str">
        <f>IF(INDEX(资金日记账!$N$4:$S$603,34,1)=0,"",INDEX(资金日记账!$N$4:$S$603,34,1))</f>
        <v/>
      </c>
      <c r="F976" s="25" t="str">
        <f>IF($E976="","",IFERROR(INDEX(科目表!$A$4:$A$81,MATCH($E976,科目表!$B$4:$B$81,0)),""))</f>
        <v/>
      </c>
      <c r="G976" s="26" t="str">
        <f>IF($E976="","",IFERROR(INDEX(科目表!$E$4:$E$81,MATCH($E976,科目表!$B$4:$B$81,0)),""))</f>
        <v/>
      </c>
      <c r="H976" s="27" t="str">
        <f>IF($E976="","",N(INDEX(资金日记账!$N$4:$S$603,34,2)))</f>
        <v/>
      </c>
      <c r="I976" s="27" t="str">
        <f>IF($E976="","",N(INDEX(资金日记账!$N$4:$S$603,34,3)))</f>
        <v/>
      </c>
      <c r="J976" s="26" t="str">
        <f>IF($E976="","",INDEX(资金日记账!$E$4:$E$603,34))</f>
        <v/>
      </c>
      <c r="K976" s="26" t="str">
        <f>IF($E976="","",INDEX(资金日记账!$F$4:$F$603,34))</f>
        <v/>
      </c>
      <c r="L976" s="32" t="str">
        <f>IF($E976="","",INDEX(资金日记账!$X$4:$X$603,34))</f>
        <v/>
      </c>
      <c r="M976" s="32"/>
      <c r="N976" s="26" t="str">
        <f>IF($E976="","",INDEX(资金日记账!$Y$4:$Y$603,34))</f>
        <v/>
      </c>
      <c r="O976" s="26" t="str">
        <f t="shared" si="62"/>
        <v/>
      </c>
      <c r="P976" s="10"/>
    </row>
    <row r="977" ht="18" customHeight="1" spans="1:16">
      <c r="A977" s="32" t="str">
        <f t="shared" si="61"/>
        <v/>
      </c>
      <c r="B977" s="100" t="str">
        <f>IF($E977="","",INDEX(资金日记账!$B$4:$B$603,34))</f>
        <v/>
      </c>
      <c r="C977" s="26" t="str">
        <f>IF($E977="","",IF(INDEX(资金日记账!$W$4:$W$603,34)="","记-"&amp;TEXT($B977,"YYYYMM")&amp;"-资金",INDEX(资金日记账!$W$4:$W$603,34)))</f>
        <v/>
      </c>
      <c r="D977" s="32" t="str">
        <f>IF($E977="","",INDEX(资金日记账!$D$4:$D$603,34))</f>
        <v/>
      </c>
      <c r="E977" s="26" t="str">
        <f>IF(INDEX(资金日记账!$N$4:$S$603,34,4)=0,"",INDEX(资金日记账!$N$4:$S$603,34,4))</f>
        <v/>
      </c>
      <c r="F977" s="25" t="str">
        <f>IF($E977="","",IFERROR(INDEX(科目表!$A$4:$A$81,MATCH($E977,科目表!$B$4:$B$81,0)),""))</f>
        <v/>
      </c>
      <c r="G977" s="26" t="str">
        <f>IF($E977="","",IFERROR(INDEX(科目表!$E$4:$E$81,MATCH($E977,科目表!$B$4:$B$81,0)),""))</f>
        <v/>
      </c>
      <c r="H977" s="27" t="str">
        <f>IF($E977="","",N(INDEX(资金日记账!$N$4:$S$603,34,5)))</f>
        <v/>
      </c>
      <c r="I977" s="27" t="str">
        <f>IF($E977="","",N(INDEX(资金日记账!$N$4:$S$603,34,6)))</f>
        <v/>
      </c>
      <c r="J977" s="26" t="str">
        <f>IF($E977="","",INDEX(资金日记账!$E$4:$E$603,34))</f>
        <v/>
      </c>
      <c r="K977" s="26" t="str">
        <f>IF($E977="","",INDEX(资金日记账!$F$4:$F$603,34))</f>
        <v/>
      </c>
      <c r="L977" s="32" t="str">
        <f>IF($E977="","",INDEX(资金日记账!$X$4:$X$603,34))</f>
        <v/>
      </c>
      <c r="M977" s="32"/>
      <c r="N977" s="26" t="str">
        <f>IF($E977="","",INDEX(资金日记账!$Y$4:$Y$603,34))</f>
        <v/>
      </c>
      <c r="O977" s="26" t="str">
        <f t="shared" si="62"/>
        <v/>
      </c>
      <c r="P977" s="10"/>
    </row>
    <row r="978" ht="18" customHeight="1" spans="1:16">
      <c r="A978" s="32" t="str">
        <f t="shared" si="61"/>
        <v/>
      </c>
      <c r="B978" s="100" t="str">
        <f>IF($E978="","",INDEX(资金日记账!$B$4:$B$603,35))</f>
        <v/>
      </c>
      <c r="C978" s="26" t="str">
        <f>IF($E978="","",IF(INDEX(资金日记账!$W$4:$W$603,35)="","记-"&amp;TEXT($B978,"YYYYMM")&amp;"-资金",INDEX(资金日记账!$W$4:$W$603,35)))</f>
        <v/>
      </c>
      <c r="D978" s="32" t="str">
        <f>IF($E978="","",INDEX(资金日记账!$D$4:$D$603,35))</f>
        <v/>
      </c>
      <c r="E978" s="26" t="str">
        <f>IF(INDEX(资金日记账!$N$4:$S$603,35,1)=0,"",INDEX(资金日记账!$N$4:$S$603,35,1))</f>
        <v/>
      </c>
      <c r="F978" s="25" t="str">
        <f>IF($E978="","",IFERROR(INDEX(科目表!$A$4:$A$81,MATCH($E978,科目表!$B$4:$B$81,0)),""))</f>
        <v/>
      </c>
      <c r="G978" s="26" t="str">
        <f>IF($E978="","",IFERROR(INDEX(科目表!$E$4:$E$81,MATCH($E978,科目表!$B$4:$B$81,0)),""))</f>
        <v/>
      </c>
      <c r="H978" s="27" t="str">
        <f>IF($E978="","",N(INDEX(资金日记账!$N$4:$S$603,35,2)))</f>
        <v/>
      </c>
      <c r="I978" s="27" t="str">
        <f>IF($E978="","",N(INDEX(资金日记账!$N$4:$S$603,35,3)))</f>
        <v/>
      </c>
      <c r="J978" s="26" t="str">
        <f>IF($E978="","",INDEX(资金日记账!$E$4:$E$603,35))</f>
        <v/>
      </c>
      <c r="K978" s="26" t="str">
        <f>IF($E978="","",INDEX(资金日记账!$F$4:$F$603,35))</f>
        <v/>
      </c>
      <c r="L978" s="32" t="str">
        <f>IF($E978="","",INDEX(资金日记账!$X$4:$X$603,35))</f>
        <v/>
      </c>
      <c r="M978" s="32"/>
      <c r="N978" s="26" t="str">
        <f>IF($E978="","",INDEX(资金日记账!$Y$4:$Y$603,35))</f>
        <v/>
      </c>
      <c r="O978" s="26" t="str">
        <f t="shared" si="62"/>
        <v/>
      </c>
      <c r="P978" s="10"/>
    </row>
    <row r="979" ht="18" customHeight="1" spans="1:16">
      <c r="A979" s="32" t="str">
        <f t="shared" si="61"/>
        <v/>
      </c>
      <c r="B979" s="100" t="str">
        <f>IF($E979="","",INDEX(资金日记账!$B$4:$B$603,35))</f>
        <v/>
      </c>
      <c r="C979" s="26" t="str">
        <f>IF($E979="","",IF(INDEX(资金日记账!$W$4:$W$603,35)="","记-"&amp;TEXT($B979,"YYYYMM")&amp;"-资金",INDEX(资金日记账!$W$4:$W$603,35)))</f>
        <v/>
      </c>
      <c r="D979" s="32" t="str">
        <f>IF($E979="","",INDEX(资金日记账!$D$4:$D$603,35))</f>
        <v/>
      </c>
      <c r="E979" s="26" t="str">
        <f>IF(INDEX(资金日记账!$N$4:$S$603,35,4)=0,"",INDEX(资金日记账!$N$4:$S$603,35,4))</f>
        <v/>
      </c>
      <c r="F979" s="25" t="str">
        <f>IF($E979="","",IFERROR(INDEX(科目表!$A$4:$A$81,MATCH($E979,科目表!$B$4:$B$81,0)),""))</f>
        <v/>
      </c>
      <c r="G979" s="26" t="str">
        <f>IF($E979="","",IFERROR(INDEX(科目表!$E$4:$E$81,MATCH($E979,科目表!$B$4:$B$81,0)),""))</f>
        <v/>
      </c>
      <c r="H979" s="27" t="str">
        <f>IF($E979="","",N(INDEX(资金日记账!$N$4:$S$603,35,5)))</f>
        <v/>
      </c>
      <c r="I979" s="27" t="str">
        <f>IF($E979="","",N(INDEX(资金日记账!$N$4:$S$603,35,6)))</f>
        <v/>
      </c>
      <c r="J979" s="26" t="str">
        <f>IF($E979="","",INDEX(资金日记账!$E$4:$E$603,35))</f>
        <v/>
      </c>
      <c r="K979" s="26" t="str">
        <f>IF($E979="","",INDEX(资金日记账!$F$4:$F$603,35))</f>
        <v/>
      </c>
      <c r="L979" s="32" t="str">
        <f>IF($E979="","",INDEX(资金日记账!$X$4:$X$603,35))</f>
        <v/>
      </c>
      <c r="M979" s="32"/>
      <c r="N979" s="26" t="str">
        <f>IF($E979="","",INDEX(资金日记账!$Y$4:$Y$603,35))</f>
        <v/>
      </c>
      <c r="O979" s="26" t="str">
        <f t="shared" si="62"/>
        <v/>
      </c>
      <c r="P979" s="10"/>
    </row>
    <row r="980" ht="18" customHeight="1" spans="1:16">
      <c r="A980" s="32" t="str">
        <f t="shared" si="61"/>
        <v/>
      </c>
      <c r="B980" s="100" t="str">
        <f>IF($E980="","",INDEX(资金日记账!$B$4:$B$603,36))</f>
        <v/>
      </c>
      <c r="C980" s="26" t="str">
        <f>IF($E980="","",IF(INDEX(资金日记账!$W$4:$W$603,36)="","记-"&amp;TEXT($B980,"YYYYMM")&amp;"-资金",INDEX(资金日记账!$W$4:$W$603,36)))</f>
        <v/>
      </c>
      <c r="D980" s="32" t="str">
        <f>IF($E980="","",INDEX(资金日记账!$D$4:$D$603,36))</f>
        <v/>
      </c>
      <c r="E980" s="26" t="str">
        <f>IF(INDEX(资金日记账!$N$4:$S$603,36,1)=0,"",INDEX(资金日记账!$N$4:$S$603,36,1))</f>
        <v/>
      </c>
      <c r="F980" s="25" t="str">
        <f>IF($E980="","",IFERROR(INDEX(科目表!$A$4:$A$81,MATCH($E980,科目表!$B$4:$B$81,0)),""))</f>
        <v/>
      </c>
      <c r="G980" s="26" t="str">
        <f>IF($E980="","",IFERROR(INDEX(科目表!$E$4:$E$81,MATCH($E980,科目表!$B$4:$B$81,0)),""))</f>
        <v/>
      </c>
      <c r="H980" s="27" t="str">
        <f>IF($E980="","",N(INDEX(资金日记账!$N$4:$S$603,36,2)))</f>
        <v/>
      </c>
      <c r="I980" s="27" t="str">
        <f>IF($E980="","",N(INDEX(资金日记账!$N$4:$S$603,36,3)))</f>
        <v/>
      </c>
      <c r="J980" s="26" t="str">
        <f>IF($E980="","",INDEX(资金日记账!$E$4:$E$603,36))</f>
        <v/>
      </c>
      <c r="K980" s="26" t="str">
        <f>IF($E980="","",INDEX(资金日记账!$F$4:$F$603,36))</f>
        <v/>
      </c>
      <c r="L980" s="32" t="str">
        <f>IF($E980="","",INDEX(资金日记账!$X$4:$X$603,36))</f>
        <v/>
      </c>
      <c r="M980" s="32"/>
      <c r="N980" s="26" t="str">
        <f>IF($E980="","",INDEX(资金日记账!$Y$4:$Y$603,36))</f>
        <v/>
      </c>
      <c r="O980" s="26" t="str">
        <f t="shared" si="62"/>
        <v/>
      </c>
      <c r="P980" s="10"/>
    </row>
    <row r="981" ht="18" customHeight="1" spans="1:16">
      <c r="A981" s="32" t="str">
        <f t="shared" si="61"/>
        <v/>
      </c>
      <c r="B981" s="100" t="str">
        <f>IF($E981="","",INDEX(资金日记账!$B$4:$B$603,36))</f>
        <v/>
      </c>
      <c r="C981" s="26" t="str">
        <f>IF($E981="","",IF(INDEX(资金日记账!$W$4:$W$603,36)="","记-"&amp;TEXT($B981,"YYYYMM")&amp;"-资金",INDEX(资金日记账!$W$4:$W$603,36)))</f>
        <v/>
      </c>
      <c r="D981" s="32" t="str">
        <f>IF($E981="","",INDEX(资金日记账!$D$4:$D$603,36))</f>
        <v/>
      </c>
      <c r="E981" s="26" t="str">
        <f>IF(INDEX(资金日记账!$N$4:$S$603,36,4)=0,"",INDEX(资金日记账!$N$4:$S$603,36,4))</f>
        <v/>
      </c>
      <c r="F981" s="25" t="str">
        <f>IF($E981="","",IFERROR(INDEX(科目表!$A$4:$A$81,MATCH($E981,科目表!$B$4:$B$81,0)),""))</f>
        <v/>
      </c>
      <c r="G981" s="26" t="str">
        <f>IF($E981="","",IFERROR(INDEX(科目表!$E$4:$E$81,MATCH($E981,科目表!$B$4:$B$81,0)),""))</f>
        <v/>
      </c>
      <c r="H981" s="27" t="str">
        <f>IF($E981="","",N(INDEX(资金日记账!$N$4:$S$603,36,5)))</f>
        <v/>
      </c>
      <c r="I981" s="27" t="str">
        <f>IF($E981="","",N(INDEX(资金日记账!$N$4:$S$603,36,6)))</f>
        <v/>
      </c>
      <c r="J981" s="26" t="str">
        <f>IF($E981="","",INDEX(资金日记账!$E$4:$E$603,36))</f>
        <v/>
      </c>
      <c r="K981" s="26" t="str">
        <f>IF($E981="","",INDEX(资金日记账!$F$4:$F$603,36))</f>
        <v/>
      </c>
      <c r="L981" s="32" t="str">
        <f>IF($E981="","",INDEX(资金日记账!$X$4:$X$603,36))</f>
        <v/>
      </c>
      <c r="M981" s="32"/>
      <c r="N981" s="26" t="str">
        <f>IF($E981="","",INDEX(资金日记账!$Y$4:$Y$603,36))</f>
        <v/>
      </c>
      <c r="O981" s="26" t="str">
        <f t="shared" si="62"/>
        <v/>
      </c>
      <c r="P981" s="10"/>
    </row>
    <row r="982" ht="18" customHeight="1" spans="1:16">
      <c r="A982" s="32" t="str">
        <f t="shared" si="61"/>
        <v/>
      </c>
      <c r="B982" s="100" t="str">
        <f>IF($E982="","",INDEX(资金日记账!$B$4:$B$603,37))</f>
        <v/>
      </c>
      <c r="C982" s="26" t="str">
        <f>IF($E982="","",IF(INDEX(资金日记账!$W$4:$W$603,37)="","记-"&amp;TEXT($B982,"YYYYMM")&amp;"-资金",INDEX(资金日记账!$W$4:$W$603,37)))</f>
        <v/>
      </c>
      <c r="D982" s="32" t="str">
        <f>IF($E982="","",INDEX(资金日记账!$D$4:$D$603,37))</f>
        <v/>
      </c>
      <c r="E982" s="26" t="str">
        <f>IF(INDEX(资金日记账!$N$4:$S$603,37,1)=0,"",INDEX(资金日记账!$N$4:$S$603,37,1))</f>
        <v/>
      </c>
      <c r="F982" s="25" t="str">
        <f>IF($E982="","",IFERROR(INDEX(科目表!$A$4:$A$81,MATCH($E982,科目表!$B$4:$B$81,0)),""))</f>
        <v/>
      </c>
      <c r="G982" s="26" t="str">
        <f>IF($E982="","",IFERROR(INDEX(科目表!$E$4:$E$81,MATCH($E982,科目表!$B$4:$B$81,0)),""))</f>
        <v/>
      </c>
      <c r="H982" s="27" t="str">
        <f>IF($E982="","",N(INDEX(资金日记账!$N$4:$S$603,37,2)))</f>
        <v/>
      </c>
      <c r="I982" s="27" t="str">
        <f>IF($E982="","",N(INDEX(资金日记账!$N$4:$S$603,37,3)))</f>
        <v/>
      </c>
      <c r="J982" s="26" t="str">
        <f>IF($E982="","",INDEX(资金日记账!$E$4:$E$603,37))</f>
        <v/>
      </c>
      <c r="K982" s="26" t="str">
        <f>IF($E982="","",INDEX(资金日记账!$F$4:$F$603,37))</f>
        <v/>
      </c>
      <c r="L982" s="32" t="str">
        <f>IF($E982="","",INDEX(资金日记账!$X$4:$X$603,37))</f>
        <v/>
      </c>
      <c r="M982" s="32"/>
      <c r="N982" s="26" t="str">
        <f>IF($E982="","",INDEX(资金日记账!$Y$4:$Y$603,37))</f>
        <v/>
      </c>
      <c r="O982" s="26" t="str">
        <f t="shared" si="62"/>
        <v/>
      </c>
      <c r="P982" s="10"/>
    </row>
    <row r="983" ht="18" customHeight="1" spans="1:16">
      <c r="A983" s="32" t="str">
        <f t="shared" si="61"/>
        <v/>
      </c>
      <c r="B983" s="100" t="str">
        <f>IF($E983="","",INDEX(资金日记账!$B$4:$B$603,37))</f>
        <v/>
      </c>
      <c r="C983" s="26" t="str">
        <f>IF($E983="","",IF(INDEX(资金日记账!$W$4:$W$603,37)="","记-"&amp;TEXT($B983,"YYYYMM")&amp;"-资金",INDEX(资金日记账!$W$4:$W$603,37)))</f>
        <v/>
      </c>
      <c r="D983" s="32" t="str">
        <f>IF($E983="","",INDEX(资金日记账!$D$4:$D$603,37))</f>
        <v/>
      </c>
      <c r="E983" s="26" t="str">
        <f>IF(INDEX(资金日记账!$N$4:$S$603,37,4)=0,"",INDEX(资金日记账!$N$4:$S$603,37,4))</f>
        <v/>
      </c>
      <c r="F983" s="25" t="str">
        <f>IF($E983="","",IFERROR(INDEX(科目表!$A$4:$A$81,MATCH($E983,科目表!$B$4:$B$81,0)),""))</f>
        <v/>
      </c>
      <c r="G983" s="26" t="str">
        <f>IF($E983="","",IFERROR(INDEX(科目表!$E$4:$E$81,MATCH($E983,科目表!$B$4:$B$81,0)),""))</f>
        <v/>
      </c>
      <c r="H983" s="27" t="str">
        <f>IF($E983="","",N(INDEX(资金日记账!$N$4:$S$603,37,5)))</f>
        <v/>
      </c>
      <c r="I983" s="27" t="str">
        <f>IF($E983="","",N(INDEX(资金日记账!$N$4:$S$603,37,6)))</f>
        <v/>
      </c>
      <c r="J983" s="26" t="str">
        <f>IF($E983="","",INDEX(资金日记账!$E$4:$E$603,37))</f>
        <v/>
      </c>
      <c r="K983" s="26" t="str">
        <f>IF($E983="","",INDEX(资金日记账!$F$4:$F$603,37))</f>
        <v/>
      </c>
      <c r="L983" s="32" t="str">
        <f>IF($E983="","",INDEX(资金日记账!$X$4:$X$603,37))</f>
        <v/>
      </c>
      <c r="M983" s="32"/>
      <c r="N983" s="26" t="str">
        <f>IF($E983="","",INDEX(资金日记账!$Y$4:$Y$603,37))</f>
        <v/>
      </c>
      <c r="O983" s="26" t="str">
        <f t="shared" si="62"/>
        <v/>
      </c>
      <c r="P983" s="10"/>
    </row>
    <row r="984" ht="18" customHeight="1" spans="1:16">
      <c r="A984" s="32" t="str">
        <f t="shared" si="61"/>
        <v/>
      </c>
      <c r="B984" s="100" t="str">
        <f>IF($E984="","",INDEX(资金日记账!$B$4:$B$603,38))</f>
        <v/>
      </c>
      <c r="C984" s="26" t="str">
        <f>IF($E984="","",IF(INDEX(资金日记账!$W$4:$W$603,38)="","记-"&amp;TEXT($B984,"YYYYMM")&amp;"-资金",INDEX(资金日记账!$W$4:$W$603,38)))</f>
        <v/>
      </c>
      <c r="D984" s="32" t="str">
        <f>IF($E984="","",INDEX(资金日记账!$D$4:$D$603,38))</f>
        <v/>
      </c>
      <c r="E984" s="26" t="str">
        <f>IF(INDEX(资金日记账!$N$4:$S$603,38,1)=0,"",INDEX(资金日记账!$N$4:$S$603,38,1))</f>
        <v/>
      </c>
      <c r="F984" s="25" t="str">
        <f>IF($E984="","",IFERROR(INDEX(科目表!$A$4:$A$81,MATCH($E984,科目表!$B$4:$B$81,0)),""))</f>
        <v/>
      </c>
      <c r="G984" s="26" t="str">
        <f>IF($E984="","",IFERROR(INDEX(科目表!$E$4:$E$81,MATCH($E984,科目表!$B$4:$B$81,0)),""))</f>
        <v/>
      </c>
      <c r="H984" s="27" t="str">
        <f>IF($E984="","",N(INDEX(资金日记账!$N$4:$S$603,38,2)))</f>
        <v/>
      </c>
      <c r="I984" s="27" t="str">
        <f>IF($E984="","",N(INDEX(资金日记账!$N$4:$S$603,38,3)))</f>
        <v/>
      </c>
      <c r="J984" s="26" t="str">
        <f>IF($E984="","",INDEX(资金日记账!$E$4:$E$603,38))</f>
        <v/>
      </c>
      <c r="K984" s="26" t="str">
        <f>IF($E984="","",INDEX(资金日记账!$F$4:$F$603,38))</f>
        <v/>
      </c>
      <c r="L984" s="32" t="str">
        <f>IF($E984="","",INDEX(资金日记账!$X$4:$X$603,38))</f>
        <v/>
      </c>
      <c r="M984" s="32"/>
      <c r="N984" s="26" t="str">
        <f>IF($E984="","",INDEX(资金日记账!$Y$4:$Y$603,38))</f>
        <v/>
      </c>
      <c r="O984" s="26" t="str">
        <f t="shared" si="62"/>
        <v/>
      </c>
      <c r="P984" s="10"/>
    </row>
    <row r="985" ht="18" customHeight="1" spans="1:16">
      <c r="A985" s="32" t="str">
        <f t="shared" si="61"/>
        <v/>
      </c>
      <c r="B985" s="100" t="str">
        <f>IF($E985="","",INDEX(资金日记账!$B$4:$B$603,38))</f>
        <v/>
      </c>
      <c r="C985" s="26" t="str">
        <f>IF($E985="","",IF(INDEX(资金日记账!$W$4:$W$603,38)="","记-"&amp;TEXT($B985,"YYYYMM")&amp;"-资金",INDEX(资金日记账!$W$4:$W$603,38)))</f>
        <v/>
      </c>
      <c r="D985" s="32" t="str">
        <f>IF($E985="","",INDEX(资金日记账!$D$4:$D$603,38))</f>
        <v/>
      </c>
      <c r="E985" s="26" t="str">
        <f>IF(INDEX(资金日记账!$N$4:$S$603,38,4)=0,"",INDEX(资金日记账!$N$4:$S$603,38,4))</f>
        <v/>
      </c>
      <c r="F985" s="25" t="str">
        <f>IF($E985="","",IFERROR(INDEX(科目表!$A$4:$A$81,MATCH($E985,科目表!$B$4:$B$81,0)),""))</f>
        <v/>
      </c>
      <c r="G985" s="26" t="str">
        <f>IF($E985="","",IFERROR(INDEX(科目表!$E$4:$E$81,MATCH($E985,科目表!$B$4:$B$81,0)),""))</f>
        <v/>
      </c>
      <c r="H985" s="27" t="str">
        <f>IF($E985="","",N(INDEX(资金日记账!$N$4:$S$603,38,5)))</f>
        <v/>
      </c>
      <c r="I985" s="27" t="str">
        <f>IF($E985="","",N(INDEX(资金日记账!$N$4:$S$603,38,6)))</f>
        <v/>
      </c>
      <c r="J985" s="26" t="str">
        <f>IF($E985="","",INDEX(资金日记账!$E$4:$E$603,38))</f>
        <v/>
      </c>
      <c r="K985" s="26" t="str">
        <f>IF($E985="","",INDEX(资金日记账!$F$4:$F$603,38))</f>
        <v/>
      </c>
      <c r="L985" s="32" t="str">
        <f>IF($E985="","",INDEX(资金日记账!$X$4:$X$603,38))</f>
        <v/>
      </c>
      <c r="M985" s="32"/>
      <c r="N985" s="26" t="str">
        <f>IF($E985="","",INDEX(资金日记账!$Y$4:$Y$603,38))</f>
        <v/>
      </c>
      <c r="O985" s="26" t="str">
        <f t="shared" si="62"/>
        <v/>
      </c>
      <c r="P985" s="10"/>
    </row>
    <row r="986" ht="18" customHeight="1" spans="1:16">
      <c r="A986" s="32" t="str">
        <f t="shared" si="61"/>
        <v/>
      </c>
      <c r="B986" s="100" t="str">
        <f>IF($E986="","",INDEX(资金日记账!$B$4:$B$603,39))</f>
        <v/>
      </c>
      <c r="C986" s="26" t="str">
        <f>IF($E986="","",IF(INDEX(资金日记账!$W$4:$W$603,39)="","记-"&amp;TEXT($B986,"YYYYMM")&amp;"-资金",INDEX(资金日记账!$W$4:$W$603,39)))</f>
        <v/>
      </c>
      <c r="D986" s="32" t="str">
        <f>IF($E986="","",INDEX(资金日记账!$D$4:$D$603,39))</f>
        <v/>
      </c>
      <c r="E986" s="26" t="str">
        <f>IF(INDEX(资金日记账!$N$4:$S$603,39,1)=0,"",INDEX(资金日记账!$N$4:$S$603,39,1))</f>
        <v/>
      </c>
      <c r="F986" s="25" t="str">
        <f>IF($E986="","",IFERROR(INDEX(科目表!$A$4:$A$81,MATCH($E986,科目表!$B$4:$B$81,0)),""))</f>
        <v/>
      </c>
      <c r="G986" s="26" t="str">
        <f>IF($E986="","",IFERROR(INDEX(科目表!$E$4:$E$81,MATCH($E986,科目表!$B$4:$B$81,0)),""))</f>
        <v/>
      </c>
      <c r="H986" s="27" t="str">
        <f>IF($E986="","",N(INDEX(资金日记账!$N$4:$S$603,39,2)))</f>
        <v/>
      </c>
      <c r="I986" s="27" t="str">
        <f>IF($E986="","",N(INDEX(资金日记账!$N$4:$S$603,39,3)))</f>
        <v/>
      </c>
      <c r="J986" s="26" t="str">
        <f>IF($E986="","",INDEX(资金日记账!$E$4:$E$603,39))</f>
        <v/>
      </c>
      <c r="K986" s="26" t="str">
        <f>IF($E986="","",INDEX(资金日记账!$F$4:$F$603,39))</f>
        <v/>
      </c>
      <c r="L986" s="32" t="str">
        <f>IF($E986="","",INDEX(资金日记账!$X$4:$X$603,39))</f>
        <v/>
      </c>
      <c r="M986" s="32"/>
      <c r="N986" s="26" t="str">
        <f>IF($E986="","",INDEX(资金日记账!$Y$4:$Y$603,39))</f>
        <v/>
      </c>
      <c r="O986" s="26" t="str">
        <f t="shared" si="62"/>
        <v/>
      </c>
      <c r="P986" s="10"/>
    </row>
    <row r="987" ht="18" customHeight="1" spans="1:16">
      <c r="A987" s="32" t="str">
        <f t="shared" si="61"/>
        <v/>
      </c>
      <c r="B987" s="100" t="str">
        <f>IF($E987="","",INDEX(资金日记账!$B$4:$B$603,39))</f>
        <v/>
      </c>
      <c r="C987" s="26" t="str">
        <f>IF($E987="","",IF(INDEX(资金日记账!$W$4:$W$603,39)="","记-"&amp;TEXT($B987,"YYYYMM")&amp;"-资金",INDEX(资金日记账!$W$4:$W$603,39)))</f>
        <v/>
      </c>
      <c r="D987" s="32" t="str">
        <f>IF($E987="","",INDEX(资金日记账!$D$4:$D$603,39))</f>
        <v/>
      </c>
      <c r="E987" s="26" t="str">
        <f>IF(INDEX(资金日记账!$N$4:$S$603,39,4)=0,"",INDEX(资金日记账!$N$4:$S$603,39,4))</f>
        <v/>
      </c>
      <c r="F987" s="25" t="str">
        <f>IF($E987="","",IFERROR(INDEX(科目表!$A$4:$A$81,MATCH($E987,科目表!$B$4:$B$81,0)),""))</f>
        <v/>
      </c>
      <c r="G987" s="26" t="str">
        <f>IF($E987="","",IFERROR(INDEX(科目表!$E$4:$E$81,MATCH($E987,科目表!$B$4:$B$81,0)),""))</f>
        <v/>
      </c>
      <c r="H987" s="27" t="str">
        <f>IF($E987="","",N(INDEX(资金日记账!$N$4:$S$603,39,5)))</f>
        <v/>
      </c>
      <c r="I987" s="27" t="str">
        <f>IF($E987="","",N(INDEX(资金日记账!$N$4:$S$603,39,6)))</f>
        <v/>
      </c>
      <c r="J987" s="26" t="str">
        <f>IF($E987="","",INDEX(资金日记账!$E$4:$E$603,39))</f>
        <v/>
      </c>
      <c r="K987" s="26" t="str">
        <f>IF($E987="","",INDEX(资金日记账!$F$4:$F$603,39))</f>
        <v/>
      </c>
      <c r="L987" s="32" t="str">
        <f>IF($E987="","",INDEX(资金日记账!$X$4:$X$603,39))</f>
        <v/>
      </c>
      <c r="M987" s="32"/>
      <c r="N987" s="26" t="str">
        <f>IF($E987="","",INDEX(资金日记账!$Y$4:$Y$603,39))</f>
        <v/>
      </c>
      <c r="O987" s="26" t="str">
        <f t="shared" si="62"/>
        <v/>
      </c>
      <c r="P987" s="10"/>
    </row>
    <row r="988" ht="18" customHeight="1" spans="1:16">
      <c r="A988" s="32" t="str">
        <f t="shared" si="61"/>
        <v/>
      </c>
      <c r="B988" s="100" t="str">
        <f>IF($E988="","",INDEX(资金日记账!$B$4:$B$603,40))</f>
        <v/>
      </c>
      <c r="C988" s="26" t="str">
        <f>IF($E988="","",IF(INDEX(资金日记账!$W$4:$W$603,40)="","记-"&amp;TEXT($B988,"YYYYMM")&amp;"-资金",INDEX(资金日记账!$W$4:$W$603,40)))</f>
        <v/>
      </c>
      <c r="D988" s="32" t="str">
        <f>IF($E988="","",INDEX(资金日记账!$D$4:$D$603,40))</f>
        <v/>
      </c>
      <c r="E988" s="26" t="str">
        <f>IF(INDEX(资金日记账!$N$4:$S$603,40,1)=0,"",INDEX(资金日记账!$N$4:$S$603,40,1))</f>
        <v/>
      </c>
      <c r="F988" s="25" t="str">
        <f>IF($E988="","",IFERROR(INDEX(科目表!$A$4:$A$81,MATCH($E988,科目表!$B$4:$B$81,0)),""))</f>
        <v/>
      </c>
      <c r="G988" s="26" t="str">
        <f>IF($E988="","",IFERROR(INDEX(科目表!$E$4:$E$81,MATCH($E988,科目表!$B$4:$B$81,0)),""))</f>
        <v/>
      </c>
      <c r="H988" s="27" t="str">
        <f>IF($E988="","",N(INDEX(资金日记账!$N$4:$S$603,40,2)))</f>
        <v/>
      </c>
      <c r="I988" s="27" t="str">
        <f>IF($E988="","",N(INDEX(资金日记账!$N$4:$S$603,40,3)))</f>
        <v/>
      </c>
      <c r="J988" s="26" t="str">
        <f>IF($E988="","",INDEX(资金日记账!$E$4:$E$603,40))</f>
        <v/>
      </c>
      <c r="K988" s="26" t="str">
        <f>IF($E988="","",INDEX(资金日记账!$F$4:$F$603,40))</f>
        <v/>
      </c>
      <c r="L988" s="32" t="str">
        <f>IF($E988="","",INDEX(资金日记账!$X$4:$X$603,40))</f>
        <v/>
      </c>
      <c r="M988" s="32"/>
      <c r="N988" s="26" t="str">
        <f>IF($E988="","",INDEX(资金日记账!$Y$4:$Y$603,40))</f>
        <v/>
      </c>
      <c r="O988" s="26" t="str">
        <f t="shared" si="62"/>
        <v/>
      </c>
      <c r="P988" s="10"/>
    </row>
    <row r="989" ht="18" customHeight="1" spans="1:16">
      <c r="A989" s="32" t="str">
        <f t="shared" si="61"/>
        <v/>
      </c>
      <c r="B989" s="100" t="str">
        <f>IF($E989="","",INDEX(资金日记账!$B$4:$B$603,40))</f>
        <v/>
      </c>
      <c r="C989" s="26" t="str">
        <f>IF($E989="","",IF(INDEX(资金日记账!$W$4:$W$603,40)="","记-"&amp;TEXT($B989,"YYYYMM")&amp;"-资金",INDEX(资金日记账!$W$4:$W$603,40)))</f>
        <v/>
      </c>
      <c r="D989" s="32" t="str">
        <f>IF($E989="","",INDEX(资金日记账!$D$4:$D$603,40))</f>
        <v/>
      </c>
      <c r="E989" s="26" t="str">
        <f>IF(INDEX(资金日记账!$N$4:$S$603,40,4)=0,"",INDEX(资金日记账!$N$4:$S$603,40,4))</f>
        <v/>
      </c>
      <c r="F989" s="25" t="str">
        <f>IF($E989="","",IFERROR(INDEX(科目表!$A$4:$A$81,MATCH($E989,科目表!$B$4:$B$81,0)),""))</f>
        <v/>
      </c>
      <c r="G989" s="26" t="str">
        <f>IF($E989="","",IFERROR(INDEX(科目表!$E$4:$E$81,MATCH($E989,科目表!$B$4:$B$81,0)),""))</f>
        <v/>
      </c>
      <c r="H989" s="27" t="str">
        <f>IF($E989="","",N(INDEX(资金日记账!$N$4:$S$603,40,5)))</f>
        <v/>
      </c>
      <c r="I989" s="27" t="str">
        <f>IF($E989="","",N(INDEX(资金日记账!$N$4:$S$603,40,6)))</f>
        <v/>
      </c>
      <c r="J989" s="26" t="str">
        <f>IF($E989="","",INDEX(资金日记账!$E$4:$E$603,40))</f>
        <v/>
      </c>
      <c r="K989" s="26" t="str">
        <f>IF($E989="","",INDEX(资金日记账!$F$4:$F$603,40))</f>
        <v/>
      </c>
      <c r="L989" s="32" t="str">
        <f>IF($E989="","",INDEX(资金日记账!$X$4:$X$603,40))</f>
        <v/>
      </c>
      <c r="M989" s="32"/>
      <c r="N989" s="26" t="str">
        <f>IF($E989="","",INDEX(资金日记账!$Y$4:$Y$603,40))</f>
        <v/>
      </c>
      <c r="O989" s="26" t="str">
        <f t="shared" si="62"/>
        <v/>
      </c>
      <c r="P989" s="10"/>
    </row>
    <row r="990" ht="18" customHeight="1" spans="1:16">
      <c r="A990" s="32" t="str">
        <f t="shared" si="61"/>
        <v/>
      </c>
      <c r="B990" s="100" t="str">
        <f>IF($E990="","",INDEX(资金日记账!$B$4:$B$603,41))</f>
        <v/>
      </c>
      <c r="C990" s="26" t="str">
        <f>IF($E990="","",IF(INDEX(资金日记账!$W$4:$W$603,41)="","记-"&amp;TEXT($B990,"YYYYMM")&amp;"-资金",INDEX(资金日记账!$W$4:$W$603,41)))</f>
        <v/>
      </c>
      <c r="D990" s="32" t="str">
        <f>IF($E990="","",INDEX(资金日记账!$D$4:$D$603,41))</f>
        <v/>
      </c>
      <c r="E990" s="26" t="str">
        <f>IF(INDEX(资金日记账!$N$4:$S$603,41,1)=0,"",INDEX(资金日记账!$N$4:$S$603,41,1))</f>
        <v/>
      </c>
      <c r="F990" s="25" t="str">
        <f>IF($E990="","",IFERROR(INDEX(科目表!$A$4:$A$81,MATCH($E990,科目表!$B$4:$B$81,0)),""))</f>
        <v/>
      </c>
      <c r="G990" s="26" t="str">
        <f>IF($E990="","",IFERROR(INDEX(科目表!$E$4:$E$81,MATCH($E990,科目表!$B$4:$B$81,0)),""))</f>
        <v/>
      </c>
      <c r="H990" s="27" t="str">
        <f>IF($E990="","",N(INDEX(资金日记账!$N$4:$S$603,41,2)))</f>
        <v/>
      </c>
      <c r="I990" s="27" t="str">
        <f>IF($E990="","",N(INDEX(资金日记账!$N$4:$S$603,41,3)))</f>
        <v/>
      </c>
      <c r="J990" s="26" t="str">
        <f>IF($E990="","",INDEX(资金日记账!$E$4:$E$603,41))</f>
        <v/>
      </c>
      <c r="K990" s="26" t="str">
        <f>IF($E990="","",INDEX(资金日记账!$F$4:$F$603,41))</f>
        <v/>
      </c>
      <c r="L990" s="32" t="str">
        <f>IF($E990="","",INDEX(资金日记账!$X$4:$X$603,41))</f>
        <v/>
      </c>
      <c r="M990" s="32"/>
      <c r="N990" s="26" t="str">
        <f>IF($E990="","",INDEX(资金日记账!$Y$4:$Y$603,41))</f>
        <v/>
      </c>
      <c r="O990" s="26" t="str">
        <f t="shared" si="62"/>
        <v/>
      </c>
      <c r="P990" s="10"/>
    </row>
    <row r="991" ht="18" customHeight="1" spans="1:16">
      <c r="A991" s="32" t="str">
        <f t="shared" si="61"/>
        <v/>
      </c>
      <c r="B991" s="100" t="str">
        <f>IF($E991="","",INDEX(资金日记账!$B$4:$B$603,41))</f>
        <v/>
      </c>
      <c r="C991" s="26" t="str">
        <f>IF($E991="","",IF(INDEX(资金日记账!$W$4:$W$603,41)="","记-"&amp;TEXT($B991,"YYYYMM")&amp;"-资金",INDEX(资金日记账!$W$4:$W$603,41)))</f>
        <v/>
      </c>
      <c r="D991" s="32" t="str">
        <f>IF($E991="","",INDEX(资金日记账!$D$4:$D$603,41))</f>
        <v/>
      </c>
      <c r="E991" s="26" t="str">
        <f>IF(INDEX(资金日记账!$N$4:$S$603,41,4)=0,"",INDEX(资金日记账!$N$4:$S$603,41,4))</f>
        <v/>
      </c>
      <c r="F991" s="25" t="str">
        <f>IF($E991="","",IFERROR(INDEX(科目表!$A$4:$A$81,MATCH($E991,科目表!$B$4:$B$81,0)),""))</f>
        <v/>
      </c>
      <c r="G991" s="26" t="str">
        <f>IF($E991="","",IFERROR(INDEX(科目表!$E$4:$E$81,MATCH($E991,科目表!$B$4:$B$81,0)),""))</f>
        <v/>
      </c>
      <c r="H991" s="27" t="str">
        <f>IF($E991="","",N(INDEX(资金日记账!$N$4:$S$603,41,5)))</f>
        <v/>
      </c>
      <c r="I991" s="27" t="str">
        <f>IF($E991="","",N(INDEX(资金日记账!$N$4:$S$603,41,6)))</f>
        <v/>
      </c>
      <c r="J991" s="26" t="str">
        <f>IF($E991="","",INDEX(资金日记账!$E$4:$E$603,41))</f>
        <v/>
      </c>
      <c r="K991" s="26" t="str">
        <f>IF($E991="","",INDEX(资金日记账!$F$4:$F$603,41))</f>
        <v/>
      </c>
      <c r="L991" s="32" t="str">
        <f>IF($E991="","",INDEX(资金日记账!$X$4:$X$603,41))</f>
        <v/>
      </c>
      <c r="M991" s="32"/>
      <c r="N991" s="26" t="str">
        <f>IF($E991="","",INDEX(资金日记账!$Y$4:$Y$603,41))</f>
        <v/>
      </c>
      <c r="O991" s="26" t="str">
        <f t="shared" si="62"/>
        <v/>
      </c>
      <c r="P991" s="10"/>
    </row>
    <row r="992" ht="18" customHeight="1" spans="1:16">
      <c r="A992" s="32" t="str">
        <f t="shared" si="61"/>
        <v/>
      </c>
      <c r="B992" s="100" t="str">
        <f>IF($E992="","",INDEX(资金日记账!$B$4:$B$603,42))</f>
        <v/>
      </c>
      <c r="C992" s="26" t="str">
        <f>IF($E992="","",IF(INDEX(资金日记账!$W$4:$W$603,42)="","记-"&amp;TEXT($B992,"YYYYMM")&amp;"-资金",INDEX(资金日记账!$W$4:$W$603,42)))</f>
        <v/>
      </c>
      <c r="D992" s="32" t="str">
        <f>IF($E992="","",INDEX(资金日记账!$D$4:$D$603,42))</f>
        <v/>
      </c>
      <c r="E992" s="26" t="str">
        <f>IF(INDEX(资金日记账!$N$4:$S$603,42,1)=0,"",INDEX(资金日记账!$N$4:$S$603,42,1))</f>
        <v/>
      </c>
      <c r="F992" s="25" t="str">
        <f>IF($E992="","",IFERROR(INDEX(科目表!$A$4:$A$81,MATCH($E992,科目表!$B$4:$B$81,0)),""))</f>
        <v/>
      </c>
      <c r="G992" s="26" t="str">
        <f>IF($E992="","",IFERROR(INDEX(科目表!$E$4:$E$81,MATCH($E992,科目表!$B$4:$B$81,0)),""))</f>
        <v/>
      </c>
      <c r="H992" s="27" t="str">
        <f>IF($E992="","",N(INDEX(资金日记账!$N$4:$S$603,42,2)))</f>
        <v/>
      </c>
      <c r="I992" s="27" t="str">
        <f>IF($E992="","",N(INDEX(资金日记账!$N$4:$S$603,42,3)))</f>
        <v/>
      </c>
      <c r="J992" s="26" t="str">
        <f>IF($E992="","",INDEX(资金日记账!$E$4:$E$603,42))</f>
        <v/>
      </c>
      <c r="K992" s="26" t="str">
        <f>IF($E992="","",INDEX(资金日记账!$F$4:$F$603,42))</f>
        <v/>
      </c>
      <c r="L992" s="32" t="str">
        <f>IF($E992="","",INDEX(资金日记账!$X$4:$X$603,42))</f>
        <v/>
      </c>
      <c r="M992" s="32"/>
      <c r="N992" s="26" t="str">
        <f>IF($E992="","",INDEX(资金日记账!$Y$4:$Y$603,42))</f>
        <v/>
      </c>
      <c r="O992" s="26" t="str">
        <f t="shared" si="62"/>
        <v/>
      </c>
      <c r="P992" s="10"/>
    </row>
    <row r="993" ht="18" customHeight="1" spans="1:16">
      <c r="A993" s="32" t="str">
        <f t="shared" si="61"/>
        <v/>
      </c>
      <c r="B993" s="100" t="str">
        <f>IF($E993="","",INDEX(资金日记账!$B$4:$B$603,42))</f>
        <v/>
      </c>
      <c r="C993" s="26" t="str">
        <f>IF($E993="","",IF(INDEX(资金日记账!$W$4:$W$603,42)="","记-"&amp;TEXT($B993,"YYYYMM")&amp;"-资金",INDEX(资金日记账!$W$4:$W$603,42)))</f>
        <v/>
      </c>
      <c r="D993" s="32" t="str">
        <f>IF($E993="","",INDEX(资金日记账!$D$4:$D$603,42))</f>
        <v/>
      </c>
      <c r="E993" s="26" t="str">
        <f>IF(INDEX(资金日记账!$N$4:$S$603,42,4)=0,"",INDEX(资金日记账!$N$4:$S$603,42,4))</f>
        <v/>
      </c>
      <c r="F993" s="25" t="str">
        <f>IF($E993="","",IFERROR(INDEX(科目表!$A$4:$A$81,MATCH($E993,科目表!$B$4:$B$81,0)),""))</f>
        <v/>
      </c>
      <c r="G993" s="26" t="str">
        <f>IF($E993="","",IFERROR(INDEX(科目表!$E$4:$E$81,MATCH($E993,科目表!$B$4:$B$81,0)),""))</f>
        <v/>
      </c>
      <c r="H993" s="27" t="str">
        <f>IF($E993="","",N(INDEX(资金日记账!$N$4:$S$603,42,5)))</f>
        <v/>
      </c>
      <c r="I993" s="27" t="str">
        <f>IF($E993="","",N(INDEX(资金日记账!$N$4:$S$603,42,6)))</f>
        <v/>
      </c>
      <c r="J993" s="26" t="str">
        <f>IF($E993="","",INDEX(资金日记账!$E$4:$E$603,42))</f>
        <v/>
      </c>
      <c r="K993" s="26" t="str">
        <f>IF($E993="","",INDEX(资金日记账!$F$4:$F$603,42))</f>
        <v/>
      </c>
      <c r="L993" s="32" t="str">
        <f>IF($E993="","",INDEX(资金日记账!$X$4:$X$603,42))</f>
        <v/>
      </c>
      <c r="M993" s="32"/>
      <c r="N993" s="26" t="str">
        <f>IF($E993="","",INDEX(资金日记账!$Y$4:$Y$603,42))</f>
        <v/>
      </c>
      <c r="O993" s="26" t="str">
        <f t="shared" si="62"/>
        <v/>
      </c>
      <c r="P993" s="10"/>
    </row>
    <row r="994" ht="18" customHeight="1" spans="1:16">
      <c r="A994" s="32" t="str">
        <f t="shared" si="61"/>
        <v/>
      </c>
      <c r="B994" s="100" t="str">
        <f>IF($E994="","",INDEX(资金日记账!$B$4:$B$603,43))</f>
        <v/>
      </c>
      <c r="C994" s="26" t="str">
        <f>IF($E994="","",IF(INDEX(资金日记账!$W$4:$W$603,43)="","记-"&amp;TEXT($B994,"YYYYMM")&amp;"-资金",INDEX(资金日记账!$W$4:$W$603,43)))</f>
        <v/>
      </c>
      <c r="D994" s="32" t="str">
        <f>IF($E994="","",INDEX(资金日记账!$D$4:$D$603,43))</f>
        <v/>
      </c>
      <c r="E994" s="26" t="str">
        <f>IF(INDEX(资金日记账!$N$4:$S$603,43,1)=0,"",INDEX(资金日记账!$N$4:$S$603,43,1))</f>
        <v/>
      </c>
      <c r="F994" s="25" t="str">
        <f>IF($E994="","",IFERROR(INDEX(科目表!$A$4:$A$81,MATCH($E994,科目表!$B$4:$B$81,0)),""))</f>
        <v/>
      </c>
      <c r="G994" s="26" t="str">
        <f>IF($E994="","",IFERROR(INDEX(科目表!$E$4:$E$81,MATCH($E994,科目表!$B$4:$B$81,0)),""))</f>
        <v/>
      </c>
      <c r="H994" s="27" t="str">
        <f>IF($E994="","",N(INDEX(资金日记账!$N$4:$S$603,43,2)))</f>
        <v/>
      </c>
      <c r="I994" s="27" t="str">
        <f>IF($E994="","",N(INDEX(资金日记账!$N$4:$S$603,43,3)))</f>
        <v/>
      </c>
      <c r="J994" s="26" t="str">
        <f>IF($E994="","",INDEX(资金日记账!$E$4:$E$603,43))</f>
        <v/>
      </c>
      <c r="K994" s="26" t="str">
        <f>IF($E994="","",INDEX(资金日记账!$F$4:$F$603,43))</f>
        <v/>
      </c>
      <c r="L994" s="32" t="str">
        <f>IF($E994="","",INDEX(资金日记账!$X$4:$X$603,43))</f>
        <v/>
      </c>
      <c r="M994" s="32"/>
      <c r="N994" s="26" t="str">
        <f>IF($E994="","",INDEX(资金日记账!$Y$4:$Y$603,43))</f>
        <v/>
      </c>
      <c r="O994" s="26" t="str">
        <f t="shared" si="62"/>
        <v/>
      </c>
      <c r="P994" s="10"/>
    </row>
    <row r="995" ht="18" customHeight="1" spans="1:16">
      <c r="A995" s="32" t="str">
        <f t="shared" si="61"/>
        <v/>
      </c>
      <c r="B995" s="100" t="str">
        <f>IF($E995="","",INDEX(资金日记账!$B$4:$B$603,43))</f>
        <v/>
      </c>
      <c r="C995" s="26" t="str">
        <f>IF($E995="","",IF(INDEX(资金日记账!$W$4:$W$603,43)="","记-"&amp;TEXT($B995,"YYYYMM")&amp;"-资金",INDEX(资金日记账!$W$4:$W$603,43)))</f>
        <v/>
      </c>
      <c r="D995" s="32" t="str">
        <f>IF($E995="","",INDEX(资金日记账!$D$4:$D$603,43))</f>
        <v/>
      </c>
      <c r="E995" s="26" t="str">
        <f>IF(INDEX(资金日记账!$N$4:$S$603,43,4)=0,"",INDEX(资金日记账!$N$4:$S$603,43,4))</f>
        <v/>
      </c>
      <c r="F995" s="25" t="str">
        <f>IF($E995="","",IFERROR(INDEX(科目表!$A$4:$A$81,MATCH($E995,科目表!$B$4:$B$81,0)),""))</f>
        <v/>
      </c>
      <c r="G995" s="26" t="str">
        <f>IF($E995="","",IFERROR(INDEX(科目表!$E$4:$E$81,MATCH($E995,科目表!$B$4:$B$81,0)),""))</f>
        <v/>
      </c>
      <c r="H995" s="27" t="str">
        <f>IF($E995="","",N(INDEX(资金日记账!$N$4:$S$603,43,5)))</f>
        <v/>
      </c>
      <c r="I995" s="27" t="str">
        <f>IF($E995="","",N(INDEX(资金日记账!$N$4:$S$603,43,6)))</f>
        <v/>
      </c>
      <c r="J995" s="26" t="str">
        <f>IF($E995="","",INDEX(资金日记账!$E$4:$E$603,43))</f>
        <v/>
      </c>
      <c r="K995" s="26" t="str">
        <f>IF($E995="","",INDEX(资金日记账!$F$4:$F$603,43))</f>
        <v/>
      </c>
      <c r="L995" s="32" t="str">
        <f>IF($E995="","",INDEX(资金日记账!$X$4:$X$603,43))</f>
        <v/>
      </c>
      <c r="M995" s="32"/>
      <c r="N995" s="26" t="str">
        <f>IF($E995="","",INDEX(资金日记账!$Y$4:$Y$603,43))</f>
        <v/>
      </c>
      <c r="O995" s="26" t="str">
        <f t="shared" si="62"/>
        <v/>
      </c>
      <c r="P995" s="10"/>
    </row>
    <row r="996" ht="18" customHeight="1" spans="1:16">
      <c r="A996" s="32" t="str">
        <f t="shared" si="61"/>
        <v/>
      </c>
      <c r="B996" s="100" t="str">
        <f>IF($E996="","",INDEX(资金日记账!$B$4:$B$603,44))</f>
        <v/>
      </c>
      <c r="C996" s="26" t="str">
        <f>IF($E996="","",IF(INDEX(资金日记账!$W$4:$W$603,44)="","记-"&amp;TEXT($B996,"YYYYMM")&amp;"-资金",INDEX(资金日记账!$W$4:$W$603,44)))</f>
        <v/>
      </c>
      <c r="D996" s="32" t="str">
        <f>IF($E996="","",INDEX(资金日记账!$D$4:$D$603,44))</f>
        <v/>
      </c>
      <c r="E996" s="26" t="str">
        <f>IF(INDEX(资金日记账!$N$4:$S$603,44,1)=0,"",INDEX(资金日记账!$N$4:$S$603,44,1))</f>
        <v/>
      </c>
      <c r="F996" s="25" t="str">
        <f>IF($E996="","",IFERROR(INDEX(科目表!$A$4:$A$81,MATCH($E996,科目表!$B$4:$B$81,0)),""))</f>
        <v/>
      </c>
      <c r="G996" s="26" t="str">
        <f>IF($E996="","",IFERROR(INDEX(科目表!$E$4:$E$81,MATCH($E996,科目表!$B$4:$B$81,0)),""))</f>
        <v/>
      </c>
      <c r="H996" s="27" t="str">
        <f>IF($E996="","",N(INDEX(资金日记账!$N$4:$S$603,44,2)))</f>
        <v/>
      </c>
      <c r="I996" s="27" t="str">
        <f>IF($E996="","",N(INDEX(资金日记账!$N$4:$S$603,44,3)))</f>
        <v/>
      </c>
      <c r="J996" s="26" t="str">
        <f>IF($E996="","",INDEX(资金日记账!$E$4:$E$603,44))</f>
        <v/>
      </c>
      <c r="K996" s="26" t="str">
        <f>IF($E996="","",INDEX(资金日记账!$F$4:$F$603,44))</f>
        <v/>
      </c>
      <c r="L996" s="32" t="str">
        <f>IF($E996="","",INDEX(资金日记账!$X$4:$X$603,44))</f>
        <v/>
      </c>
      <c r="M996" s="32"/>
      <c r="N996" s="26" t="str">
        <f>IF($E996="","",INDEX(资金日记账!$Y$4:$Y$603,44))</f>
        <v/>
      </c>
      <c r="O996" s="26" t="str">
        <f t="shared" si="62"/>
        <v/>
      </c>
      <c r="P996" s="10"/>
    </row>
    <row r="997" ht="18" customHeight="1" spans="1:16">
      <c r="A997" s="32" t="str">
        <f t="shared" si="61"/>
        <v/>
      </c>
      <c r="B997" s="100" t="str">
        <f>IF($E997="","",INDEX(资金日记账!$B$4:$B$603,44))</f>
        <v/>
      </c>
      <c r="C997" s="26" t="str">
        <f>IF($E997="","",IF(INDEX(资金日记账!$W$4:$W$603,44)="","记-"&amp;TEXT($B997,"YYYYMM")&amp;"-资金",INDEX(资金日记账!$W$4:$W$603,44)))</f>
        <v/>
      </c>
      <c r="D997" s="32" t="str">
        <f>IF($E997="","",INDEX(资金日记账!$D$4:$D$603,44))</f>
        <v/>
      </c>
      <c r="E997" s="26" t="str">
        <f>IF(INDEX(资金日记账!$N$4:$S$603,44,4)=0,"",INDEX(资金日记账!$N$4:$S$603,44,4))</f>
        <v/>
      </c>
      <c r="F997" s="25" t="str">
        <f>IF($E997="","",IFERROR(INDEX(科目表!$A$4:$A$81,MATCH($E997,科目表!$B$4:$B$81,0)),""))</f>
        <v/>
      </c>
      <c r="G997" s="26" t="str">
        <f>IF($E997="","",IFERROR(INDEX(科目表!$E$4:$E$81,MATCH($E997,科目表!$B$4:$B$81,0)),""))</f>
        <v/>
      </c>
      <c r="H997" s="27" t="str">
        <f>IF($E997="","",N(INDEX(资金日记账!$N$4:$S$603,44,5)))</f>
        <v/>
      </c>
      <c r="I997" s="27" t="str">
        <f>IF($E997="","",N(INDEX(资金日记账!$N$4:$S$603,44,6)))</f>
        <v/>
      </c>
      <c r="J997" s="26" t="str">
        <f>IF($E997="","",INDEX(资金日记账!$E$4:$E$603,44))</f>
        <v/>
      </c>
      <c r="K997" s="26" t="str">
        <f>IF($E997="","",INDEX(资金日记账!$F$4:$F$603,44))</f>
        <v/>
      </c>
      <c r="L997" s="32" t="str">
        <f>IF($E997="","",INDEX(资金日记账!$X$4:$X$603,44))</f>
        <v/>
      </c>
      <c r="M997" s="32"/>
      <c r="N997" s="26" t="str">
        <f>IF($E997="","",INDEX(资金日记账!$Y$4:$Y$603,44))</f>
        <v/>
      </c>
      <c r="O997" s="26" t="str">
        <f t="shared" si="62"/>
        <v/>
      </c>
      <c r="P997" s="10"/>
    </row>
    <row r="998" ht="18" customHeight="1" spans="1:16">
      <c r="A998" s="32" t="str">
        <f t="shared" si="61"/>
        <v/>
      </c>
      <c r="B998" s="100" t="str">
        <f>IF($E998="","",INDEX(资金日记账!$B$4:$B$603,45))</f>
        <v/>
      </c>
      <c r="C998" s="26" t="str">
        <f>IF($E998="","",IF(INDEX(资金日记账!$W$4:$W$603,45)="","记-"&amp;TEXT($B998,"YYYYMM")&amp;"-资金",INDEX(资金日记账!$W$4:$W$603,45)))</f>
        <v/>
      </c>
      <c r="D998" s="32" t="str">
        <f>IF($E998="","",INDEX(资金日记账!$D$4:$D$603,45))</f>
        <v/>
      </c>
      <c r="E998" s="26" t="str">
        <f>IF(INDEX(资金日记账!$N$4:$S$603,45,1)=0,"",INDEX(资金日记账!$N$4:$S$603,45,1))</f>
        <v/>
      </c>
      <c r="F998" s="25" t="str">
        <f>IF($E998="","",IFERROR(INDEX(科目表!$A$4:$A$81,MATCH($E998,科目表!$B$4:$B$81,0)),""))</f>
        <v/>
      </c>
      <c r="G998" s="26" t="str">
        <f>IF($E998="","",IFERROR(INDEX(科目表!$E$4:$E$81,MATCH($E998,科目表!$B$4:$B$81,0)),""))</f>
        <v/>
      </c>
      <c r="H998" s="27" t="str">
        <f>IF($E998="","",N(INDEX(资金日记账!$N$4:$S$603,45,2)))</f>
        <v/>
      </c>
      <c r="I998" s="27" t="str">
        <f>IF($E998="","",N(INDEX(资金日记账!$N$4:$S$603,45,3)))</f>
        <v/>
      </c>
      <c r="J998" s="26" t="str">
        <f>IF($E998="","",INDEX(资金日记账!$E$4:$E$603,45))</f>
        <v/>
      </c>
      <c r="K998" s="26" t="str">
        <f>IF($E998="","",INDEX(资金日记账!$F$4:$F$603,45))</f>
        <v/>
      </c>
      <c r="L998" s="32" t="str">
        <f>IF($E998="","",INDEX(资金日记账!$X$4:$X$603,45))</f>
        <v/>
      </c>
      <c r="M998" s="32"/>
      <c r="N998" s="26" t="str">
        <f>IF($E998="","",INDEX(资金日记账!$Y$4:$Y$603,45))</f>
        <v/>
      </c>
      <c r="O998" s="26" t="str">
        <f t="shared" si="62"/>
        <v/>
      </c>
      <c r="P998" s="10"/>
    </row>
    <row r="999" ht="18" customHeight="1" spans="1:16">
      <c r="A999" s="32" t="str">
        <f t="shared" si="61"/>
        <v/>
      </c>
      <c r="B999" s="100" t="str">
        <f>IF($E999="","",INDEX(资金日记账!$B$4:$B$603,45))</f>
        <v/>
      </c>
      <c r="C999" s="26" t="str">
        <f>IF($E999="","",IF(INDEX(资金日记账!$W$4:$W$603,45)="","记-"&amp;TEXT($B999,"YYYYMM")&amp;"-资金",INDEX(资金日记账!$W$4:$W$603,45)))</f>
        <v/>
      </c>
      <c r="D999" s="32" t="str">
        <f>IF($E999="","",INDEX(资金日记账!$D$4:$D$603,45))</f>
        <v/>
      </c>
      <c r="E999" s="26" t="str">
        <f>IF(INDEX(资金日记账!$N$4:$S$603,45,4)=0,"",INDEX(资金日记账!$N$4:$S$603,45,4))</f>
        <v/>
      </c>
      <c r="F999" s="25" t="str">
        <f>IF($E999="","",IFERROR(INDEX(科目表!$A$4:$A$81,MATCH($E999,科目表!$B$4:$B$81,0)),""))</f>
        <v/>
      </c>
      <c r="G999" s="26" t="str">
        <f>IF($E999="","",IFERROR(INDEX(科目表!$E$4:$E$81,MATCH($E999,科目表!$B$4:$B$81,0)),""))</f>
        <v/>
      </c>
      <c r="H999" s="27" t="str">
        <f>IF($E999="","",N(INDEX(资金日记账!$N$4:$S$603,45,5)))</f>
        <v/>
      </c>
      <c r="I999" s="27" t="str">
        <f>IF($E999="","",N(INDEX(资金日记账!$N$4:$S$603,45,6)))</f>
        <v/>
      </c>
      <c r="J999" s="26" t="str">
        <f>IF($E999="","",INDEX(资金日记账!$E$4:$E$603,45))</f>
        <v/>
      </c>
      <c r="K999" s="26" t="str">
        <f>IF($E999="","",INDEX(资金日记账!$F$4:$F$603,45))</f>
        <v/>
      </c>
      <c r="L999" s="32" t="str">
        <f>IF($E999="","",INDEX(资金日记账!$X$4:$X$603,45))</f>
        <v/>
      </c>
      <c r="M999" s="32"/>
      <c r="N999" s="26" t="str">
        <f>IF($E999="","",INDEX(资金日记账!$Y$4:$Y$603,45))</f>
        <v/>
      </c>
      <c r="O999" s="26" t="str">
        <f t="shared" si="62"/>
        <v/>
      </c>
      <c r="P999" s="10"/>
    </row>
    <row r="1000" ht="18" customHeight="1" spans="1:16">
      <c r="A1000" s="32" t="str">
        <f t="shared" si="61"/>
        <v/>
      </c>
      <c r="B1000" s="100" t="str">
        <f>IF($E1000="","",INDEX(资金日记账!$B$4:$B$603,46))</f>
        <v/>
      </c>
      <c r="C1000" s="26" t="str">
        <f>IF($E1000="","",IF(INDEX(资金日记账!$W$4:$W$603,46)="","记-"&amp;TEXT($B1000,"YYYYMM")&amp;"-资金",INDEX(资金日记账!$W$4:$W$603,46)))</f>
        <v/>
      </c>
      <c r="D1000" s="32" t="str">
        <f>IF($E1000="","",INDEX(资金日记账!$D$4:$D$603,46))</f>
        <v/>
      </c>
      <c r="E1000" s="26" t="str">
        <f>IF(INDEX(资金日记账!$N$4:$S$603,46,1)=0,"",INDEX(资金日记账!$N$4:$S$603,46,1))</f>
        <v/>
      </c>
      <c r="F1000" s="25" t="str">
        <f>IF($E1000="","",IFERROR(INDEX(科目表!$A$4:$A$81,MATCH($E1000,科目表!$B$4:$B$81,0)),""))</f>
        <v/>
      </c>
      <c r="G1000" s="26" t="str">
        <f>IF($E1000="","",IFERROR(INDEX(科目表!$E$4:$E$81,MATCH($E1000,科目表!$B$4:$B$81,0)),""))</f>
        <v/>
      </c>
      <c r="H1000" s="27" t="str">
        <f>IF($E1000="","",N(INDEX(资金日记账!$N$4:$S$603,46,2)))</f>
        <v/>
      </c>
      <c r="I1000" s="27" t="str">
        <f>IF($E1000="","",N(INDEX(资金日记账!$N$4:$S$603,46,3)))</f>
        <v/>
      </c>
      <c r="J1000" s="26" t="str">
        <f>IF($E1000="","",INDEX(资金日记账!$E$4:$E$603,46))</f>
        <v/>
      </c>
      <c r="K1000" s="26" t="str">
        <f>IF($E1000="","",INDEX(资金日记账!$F$4:$F$603,46))</f>
        <v/>
      </c>
      <c r="L1000" s="32" t="str">
        <f>IF($E1000="","",INDEX(资金日记账!$X$4:$X$603,46))</f>
        <v/>
      </c>
      <c r="M1000" s="32"/>
      <c r="N1000" s="26" t="str">
        <f>IF($E1000="","",INDEX(资金日记账!$Y$4:$Y$603,46))</f>
        <v/>
      </c>
      <c r="O1000" s="26" t="str">
        <f t="shared" si="62"/>
        <v/>
      </c>
      <c r="P1000" s="10"/>
    </row>
    <row r="1001" ht="18" customHeight="1" spans="1:16">
      <c r="A1001" s="32" t="str">
        <f t="shared" si="61"/>
        <v/>
      </c>
      <c r="B1001" s="100" t="str">
        <f>IF($E1001="","",INDEX(资金日记账!$B$4:$B$603,46))</f>
        <v/>
      </c>
      <c r="C1001" s="26" t="str">
        <f>IF($E1001="","",IF(INDEX(资金日记账!$W$4:$W$603,46)="","记-"&amp;TEXT($B1001,"YYYYMM")&amp;"-资金",INDEX(资金日记账!$W$4:$W$603,46)))</f>
        <v/>
      </c>
      <c r="D1001" s="32" t="str">
        <f>IF($E1001="","",INDEX(资金日记账!$D$4:$D$603,46))</f>
        <v/>
      </c>
      <c r="E1001" s="26" t="str">
        <f>IF(INDEX(资金日记账!$N$4:$S$603,46,4)=0,"",INDEX(资金日记账!$N$4:$S$603,46,4))</f>
        <v/>
      </c>
      <c r="F1001" s="25" t="str">
        <f>IF($E1001="","",IFERROR(INDEX(科目表!$A$4:$A$81,MATCH($E1001,科目表!$B$4:$B$81,0)),""))</f>
        <v/>
      </c>
      <c r="G1001" s="26" t="str">
        <f>IF($E1001="","",IFERROR(INDEX(科目表!$E$4:$E$81,MATCH($E1001,科目表!$B$4:$B$81,0)),""))</f>
        <v/>
      </c>
      <c r="H1001" s="27" t="str">
        <f>IF($E1001="","",N(INDEX(资金日记账!$N$4:$S$603,46,5)))</f>
        <v/>
      </c>
      <c r="I1001" s="27" t="str">
        <f>IF($E1001="","",N(INDEX(资金日记账!$N$4:$S$603,46,6)))</f>
        <v/>
      </c>
      <c r="J1001" s="26" t="str">
        <f>IF($E1001="","",INDEX(资金日记账!$E$4:$E$603,46))</f>
        <v/>
      </c>
      <c r="K1001" s="26" t="str">
        <f>IF($E1001="","",INDEX(资金日记账!$F$4:$F$603,46))</f>
        <v/>
      </c>
      <c r="L1001" s="32" t="str">
        <f>IF($E1001="","",INDEX(资金日记账!$X$4:$X$603,46))</f>
        <v/>
      </c>
      <c r="M1001" s="32"/>
      <c r="N1001" s="26" t="str">
        <f>IF($E1001="","",INDEX(资金日记账!$Y$4:$Y$603,46))</f>
        <v/>
      </c>
      <c r="O1001" s="26" t="str">
        <f t="shared" si="62"/>
        <v/>
      </c>
      <c r="P1001" s="10"/>
    </row>
    <row r="1002" ht="18" customHeight="1" spans="1:16">
      <c r="A1002" s="32" t="str">
        <f t="shared" si="61"/>
        <v/>
      </c>
      <c r="B1002" s="100" t="str">
        <f>IF($E1002="","",INDEX(资金日记账!$B$4:$B$603,47))</f>
        <v/>
      </c>
      <c r="C1002" s="26" t="str">
        <f>IF($E1002="","",IF(INDEX(资金日记账!$W$4:$W$603,47)="","记-"&amp;TEXT($B1002,"YYYYMM")&amp;"-资金",INDEX(资金日记账!$W$4:$W$603,47)))</f>
        <v/>
      </c>
      <c r="D1002" s="32" t="str">
        <f>IF($E1002="","",INDEX(资金日记账!$D$4:$D$603,47))</f>
        <v/>
      </c>
      <c r="E1002" s="26" t="str">
        <f>IF(INDEX(资金日记账!$N$4:$S$603,47,1)=0,"",INDEX(资金日记账!$N$4:$S$603,47,1))</f>
        <v/>
      </c>
      <c r="F1002" s="25" t="str">
        <f>IF($E1002="","",IFERROR(INDEX(科目表!$A$4:$A$81,MATCH($E1002,科目表!$B$4:$B$81,0)),""))</f>
        <v/>
      </c>
      <c r="G1002" s="26" t="str">
        <f>IF($E1002="","",IFERROR(INDEX(科目表!$E$4:$E$81,MATCH($E1002,科目表!$B$4:$B$81,0)),""))</f>
        <v/>
      </c>
      <c r="H1002" s="27" t="str">
        <f>IF($E1002="","",N(INDEX(资金日记账!$N$4:$S$603,47,2)))</f>
        <v/>
      </c>
      <c r="I1002" s="27" t="str">
        <f>IF($E1002="","",N(INDEX(资金日记账!$N$4:$S$603,47,3)))</f>
        <v/>
      </c>
      <c r="J1002" s="26" t="str">
        <f>IF($E1002="","",INDEX(资金日记账!$E$4:$E$603,47))</f>
        <v/>
      </c>
      <c r="K1002" s="26" t="str">
        <f>IF($E1002="","",INDEX(资金日记账!$F$4:$F$603,47))</f>
        <v/>
      </c>
      <c r="L1002" s="32" t="str">
        <f>IF($E1002="","",INDEX(资金日记账!$X$4:$X$603,47))</f>
        <v/>
      </c>
      <c r="M1002" s="32"/>
      <c r="N1002" s="26" t="str">
        <f>IF($E1002="","",INDEX(资金日记账!$Y$4:$Y$603,47))</f>
        <v/>
      </c>
      <c r="O1002" s="26" t="str">
        <f t="shared" si="62"/>
        <v/>
      </c>
      <c r="P1002" s="10"/>
    </row>
    <row r="1003" ht="18" customHeight="1" spans="1:16">
      <c r="A1003" s="32" t="str">
        <f t="shared" si="61"/>
        <v/>
      </c>
      <c r="B1003" s="100" t="str">
        <f>IF($E1003="","",INDEX(资金日记账!$B$4:$B$603,47))</f>
        <v/>
      </c>
      <c r="C1003" s="26" t="str">
        <f>IF($E1003="","",IF(INDEX(资金日记账!$W$4:$W$603,47)="","记-"&amp;TEXT($B1003,"YYYYMM")&amp;"-资金",INDEX(资金日记账!$W$4:$W$603,47)))</f>
        <v/>
      </c>
      <c r="D1003" s="32" t="str">
        <f>IF($E1003="","",INDEX(资金日记账!$D$4:$D$603,47))</f>
        <v/>
      </c>
      <c r="E1003" s="26" t="str">
        <f>IF(INDEX(资金日记账!$N$4:$S$603,47,4)=0,"",INDEX(资金日记账!$N$4:$S$603,47,4))</f>
        <v/>
      </c>
      <c r="F1003" s="25" t="str">
        <f>IF($E1003="","",IFERROR(INDEX(科目表!$A$4:$A$81,MATCH($E1003,科目表!$B$4:$B$81,0)),""))</f>
        <v/>
      </c>
      <c r="G1003" s="26" t="str">
        <f>IF($E1003="","",IFERROR(INDEX(科目表!$E$4:$E$81,MATCH($E1003,科目表!$B$4:$B$81,0)),""))</f>
        <v/>
      </c>
      <c r="H1003" s="27" t="str">
        <f>IF($E1003="","",N(INDEX(资金日记账!$N$4:$S$603,47,5)))</f>
        <v/>
      </c>
      <c r="I1003" s="27" t="str">
        <f>IF($E1003="","",N(INDEX(资金日记账!$N$4:$S$603,47,6)))</f>
        <v/>
      </c>
      <c r="J1003" s="26" t="str">
        <f>IF($E1003="","",INDEX(资金日记账!$E$4:$E$603,47))</f>
        <v/>
      </c>
      <c r="K1003" s="26" t="str">
        <f>IF($E1003="","",INDEX(资金日记账!$F$4:$F$603,47))</f>
        <v/>
      </c>
      <c r="L1003" s="32" t="str">
        <f>IF($E1003="","",INDEX(资金日记账!$X$4:$X$603,47))</f>
        <v/>
      </c>
      <c r="M1003" s="32"/>
      <c r="N1003" s="26" t="str">
        <f>IF($E1003="","",INDEX(资金日记账!$Y$4:$Y$603,47))</f>
        <v/>
      </c>
      <c r="O1003" s="26" t="str">
        <f t="shared" si="62"/>
        <v/>
      </c>
      <c r="P1003" s="10"/>
    </row>
    <row r="1004" ht="18" customHeight="1" spans="1:16">
      <c r="A1004" s="32" t="str">
        <f t="shared" si="61"/>
        <v/>
      </c>
      <c r="B1004" s="100" t="str">
        <f>IF($E1004="","",INDEX(资金日记账!$B$4:$B$603,48))</f>
        <v/>
      </c>
      <c r="C1004" s="26" t="str">
        <f>IF($E1004="","",IF(INDEX(资金日记账!$W$4:$W$603,48)="","记-"&amp;TEXT($B1004,"YYYYMM")&amp;"-资金",INDEX(资金日记账!$W$4:$W$603,48)))</f>
        <v/>
      </c>
      <c r="D1004" s="32" t="str">
        <f>IF($E1004="","",INDEX(资金日记账!$D$4:$D$603,48))</f>
        <v/>
      </c>
      <c r="E1004" s="26" t="str">
        <f>IF(INDEX(资金日记账!$N$4:$S$603,48,1)=0,"",INDEX(资金日记账!$N$4:$S$603,48,1))</f>
        <v/>
      </c>
      <c r="F1004" s="25" t="str">
        <f>IF($E1004="","",IFERROR(INDEX(科目表!$A$4:$A$81,MATCH($E1004,科目表!$B$4:$B$81,0)),""))</f>
        <v/>
      </c>
      <c r="G1004" s="26" t="str">
        <f>IF($E1004="","",IFERROR(INDEX(科目表!$E$4:$E$81,MATCH($E1004,科目表!$B$4:$B$81,0)),""))</f>
        <v/>
      </c>
      <c r="H1004" s="27" t="str">
        <f>IF($E1004="","",N(INDEX(资金日记账!$N$4:$S$603,48,2)))</f>
        <v/>
      </c>
      <c r="I1004" s="27" t="str">
        <f>IF($E1004="","",N(INDEX(资金日记账!$N$4:$S$603,48,3)))</f>
        <v/>
      </c>
      <c r="J1004" s="26" t="str">
        <f>IF($E1004="","",INDEX(资金日记账!$E$4:$E$603,48))</f>
        <v/>
      </c>
      <c r="K1004" s="26" t="str">
        <f>IF($E1004="","",INDEX(资金日记账!$F$4:$F$603,48))</f>
        <v/>
      </c>
      <c r="L1004" s="32" t="str">
        <f>IF($E1004="","",INDEX(资金日记账!$X$4:$X$603,48))</f>
        <v/>
      </c>
      <c r="M1004" s="32"/>
      <c r="N1004" s="26" t="str">
        <f>IF($E1004="","",INDEX(资金日记账!$Y$4:$Y$603,48))</f>
        <v/>
      </c>
      <c r="O1004" s="26" t="str">
        <f t="shared" si="62"/>
        <v/>
      </c>
      <c r="P1004" s="10"/>
    </row>
    <row r="1005" ht="18" customHeight="1" spans="1:16">
      <c r="A1005" s="32" t="str">
        <f t="shared" si="61"/>
        <v/>
      </c>
      <c r="B1005" s="100" t="str">
        <f>IF($E1005="","",INDEX(资金日记账!$B$4:$B$603,48))</f>
        <v/>
      </c>
      <c r="C1005" s="26" t="str">
        <f>IF($E1005="","",IF(INDEX(资金日记账!$W$4:$W$603,48)="","记-"&amp;TEXT($B1005,"YYYYMM")&amp;"-资金",INDEX(资金日记账!$W$4:$W$603,48)))</f>
        <v/>
      </c>
      <c r="D1005" s="32" t="str">
        <f>IF($E1005="","",INDEX(资金日记账!$D$4:$D$603,48))</f>
        <v/>
      </c>
      <c r="E1005" s="26" t="str">
        <f>IF(INDEX(资金日记账!$N$4:$S$603,48,4)=0,"",INDEX(资金日记账!$N$4:$S$603,48,4))</f>
        <v/>
      </c>
      <c r="F1005" s="25" t="str">
        <f>IF($E1005="","",IFERROR(INDEX(科目表!$A$4:$A$81,MATCH($E1005,科目表!$B$4:$B$81,0)),""))</f>
        <v/>
      </c>
      <c r="G1005" s="26" t="str">
        <f>IF($E1005="","",IFERROR(INDEX(科目表!$E$4:$E$81,MATCH($E1005,科目表!$B$4:$B$81,0)),""))</f>
        <v/>
      </c>
      <c r="H1005" s="27" t="str">
        <f>IF($E1005="","",N(INDEX(资金日记账!$N$4:$S$603,48,5)))</f>
        <v/>
      </c>
      <c r="I1005" s="27" t="str">
        <f>IF($E1005="","",N(INDEX(资金日记账!$N$4:$S$603,48,6)))</f>
        <v/>
      </c>
      <c r="J1005" s="26" t="str">
        <f>IF($E1005="","",INDEX(资金日记账!$E$4:$E$603,48))</f>
        <v/>
      </c>
      <c r="K1005" s="26" t="str">
        <f>IF($E1005="","",INDEX(资金日记账!$F$4:$F$603,48))</f>
        <v/>
      </c>
      <c r="L1005" s="32" t="str">
        <f>IF($E1005="","",INDEX(资金日记账!$X$4:$X$603,48))</f>
        <v/>
      </c>
      <c r="M1005" s="32"/>
      <c r="N1005" s="26" t="str">
        <f>IF($E1005="","",INDEX(资金日记账!$Y$4:$Y$603,48))</f>
        <v/>
      </c>
      <c r="O1005" s="26" t="str">
        <f t="shared" si="62"/>
        <v/>
      </c>
      <c r="P1005" s="10"/>
    </row>
    <row r="1006" ht="18" customHeight="1" spans="1:16">
      <c r="A1006" s="32" t="str">
        <f t="shared" si="61"/>
        <v/>
      </c>
      <c r="B1006" s="100" t="str">
        <f>IF($E1006="","",INDEX(资金日记账!$B$4:$B$603,49))</f>
        <v/>
      </c>
      <c r="C1006" s="26" t="str">
        <f>IF($E1006="","",IF(INDEX(资金日记账!$W$4:$W$603,49)="","记-"&amp;TEXT($B1006,"YYYYMM")&amp;"-资金",INDEX(资金日记账!$W$4:$W$603,49)))</f>
        <v/>
      </c>
      <c r="D1006" s="32" t="str">
        <f>IF($E1006="","",INDEX(资金日记账!$D$4:$D$603,49))</f>
        <v/>
      </c>
      <c r="E1006" s="26" t="str">
        <f>IF(INDEX(资金日记账!$N$4:$S$603,49,1)=0,"",INDEX(资金日记账!$N$4:$S$603,49,1))</f>
        <v/>
      </c>
      <c r="F1006" s="25" t="str">
        <f>IF($E1006="","",IFERROR(INDEX(科目表!$A$4:$A$81,MATCH($E1006,科目表!$B$4:$B$81,0)),""))</f>
        <v/>
      </c>
      <c r="G1006" s="26" t="str">
        <f>IF($E1006="","",IFERROR(INDEX(科目表!$E$4:$E$81,MATCH($E1006,科目表!$B$4:$B$81,0)),""))</f>
        <v/>
      </c>
      <c r="H1006" s="27" t="str">
        <f>IF($E1006="","",N(INDEX(资金日记账!$N$4:$S$603,49,2)))</f>
        <v/>
      </c>
      <c r="I1006" s="27" t="str">
        <f>IF($E1006="","",N(INDEX(资金日记账!$N$4:$S$603,49,3)))</f>
        <v/>
      </c>
      <c r="J1006" s="26" t="str">
        <f>IF($E1006="","",INDEX(资金日记账!$E$4:$E$603,49))</f>
        <v/>
      </c>
      <c r="K1006" s="26" t="str">
        <f>IF($E1006="","",INDEX(资金日记账!$F$4:$F$603,49))</f>
        <v/>
      </c>
      <c r="L1006" s="32" t="str">
        <f>IF($E1006="","",INDEX(资金日记账!$X$4:$X$603,49))</f>
        <v/>
      </c>
      <c r="M1006" s="32"/>
      <c r="N1006" s="26" t="str">
        <f>IF($E1006="","",INDEX(资金日记账!$Y$4:$Y$603,49))</f>
        <v/>
      </c>
      <c r="O1006" s="26" t="str">
        <f t="shared" si="62"/>
        <v/>
      </c>
      <c r="P1006" s="10"/>
    </row>
    <row r="1007" ht="18" customHeight="1" spans="1:16">
      <c r="A1007" s="32" t="str">
        <f t="shared" si="61"/>
        <v/>
      </c>
      <c r="B1007" s="100" t="str">
        <f>IF($E1007="","",INDEX(资金日记账!$B$4:$B$603,49))</f>
        <v/>
      </c>
      <c r="C1007" s="26" t="str">
        <f>IF($E1007="","",IF(INDEX(资金日记账!$W$4:$W$603,49)="","记-"&amp;TEXT($B1007,"YYYYMM")&amp;"-资金",INDEX(资金日记账!$W$4:$W$603,49)))</f>
        <v/>
      </c>
      <c r="D1007" s="32" t="str">
        <f>IF($E1007="","",INDEX(资金日记账!$D$4:$D$603,49))</f>
        <v/>
      </c>
      <c r="E1007" s="26" t="str">
        <f>IF(INDEX(资金日记账!$N$4:$S$603,49,4)=0,"",INDEX(资金日记账!$N$4:$S$603,49,4))</f>
        <v/>
      </c>
      <c r="F1007" s="25" t="str">
        <f>IF($E1007="","",IFERROR(INDEX(科目表!$A$4:$A$81,MATCH($E1007,科目表!$B$4:$B$81,0)),""))</f>
        <v/>
      </c>
      <c r="G1007" s="26" t="str">
        <f>IF($E1007="","",IFERROR(INDEX(科目表!$E$4:$E$81,MATCH($E1007,科目表!$B$4:$B$81,0)),""))</f>
        <v/>
      </c>
      <c r="H1007" s="27" t="str">
        <f>IF($E1007="","",N(INDEX(资金日记账!$N$4:$S$603,49,5)))</f>
        <v/>
      </c>
      <c r="I1007" s="27" t="str">
        <f>IF($E1007="","",N(INDEX(资金日记账!$N$4:$S$603,49,6)))</f>
        <v/>
      </c>
      <c r="J1007" s="26" t="str">
        <f>IF($E1007="","",INDEX(资金日记账!$E$4:$E$603,49))</f>
        <v/>
      </c>
      <c r="K1007" s="26" t="str">
        <f>IF($E1007="","",INDEX(资金日记账!$F$4:$F$603,49))</f>
        <v/>
      </c>
      <c r="L1007" s="32" t="str">
        <f>IF($E1007="","",INDEX(资金日记账!$X$4:$X$603,49))</f>
        <v/>
      </c>
      <c r="M1007" s="32"/>
      <c r="N1007" s="26" t="str">
        <f>IF($E1007="","",INDEX(资金日记账!$Y$4:$Y$603,49))</f>
        <v/>
      </c>
      <c r="O1007" s="26" t="str">
        <f t="shared" si="62"/>
        <v/>
      </c>
      <c r="P1007" s="10"/>
    </row>
    <row r="1008" ht="18" customHeight="1" spans="1:16">
      <c r="A1008" s="32" t="str">
        <f t="shared" si="61"/>
        <v/>
      </c>
      <c r="B1008" s="100" t="str">
        <f>IF($E1008="","",INDEX(资金日记账!$B$4:$B$603,50))</f>
        <v/>
      </c>
      <c r="C1008" s="26" t="str">
        <f>IF($E1008="","",IF(INDEX(资金日记账!$W$4:$W$603,50)="","记-"&amp;TEXT($B1008,"YYYYMM")&amp;"-资金",INDEX(资金日记账!$W$4:$W$603,50)))</f>
        <v/>
      </c>
      <c r="D1008" s="32" t="str">
        <f>IF($E1008="","",INDEX(资金日记账!$D$4:$D$603,50))</f>
        <v/>
      </c>
      <c r="E1008" s="26" t="str">
        <f>IF(INDEX(资金日记账!$N$4:$S$603,50,1)=0,"",INDEX(资金日记账!$N$4:$S$603,50,1))</f>
        <v/>
      </c>
      <c r="F1008" s="25" t="str">
        <f>IF($E1008="","",IFERROR(INDEX(科目表!$A$4:$A$81,MATCH($E1008,科目表!$B$4:$B$81,0)),""))</f>
        <v/>
      </c>
      <c r="G1008" s="26" t="str">
        <f>IF($E1008="","",IFERROR(INDEX(科目表!$E$4:$E$81,MATCH($E1008,科目表!$B$4:$B$81,0)),""))</f>
        <v/>
      </c>
      <c r="H1008" s="27" t="str">
        <f>IF($E1008="","",N(INDEX(资金日记账!$N$4:$S$603,50,2)))</f>
        <v/>
      </c>
      <c r="I1008" s="27" t="str">
        <f>IF($E1008="","",N(INDEX(资金日记账!$N$4:$S$603,50,3)))</f>
        <v/>
      </c>
      <c r="J1008" s="26" t="str">
        <f>IF($E1008="","",INDEX(资金日记账!$E$4:$E$603,50))</f>
        <v/>
      </c>
      <c r="K1008" s="26" t="str">
        <f>IF($E1008="","",INDEX(资金日记账!$F$4:$F$603,50))</f>
        <v/>
      </c>
      <c r="L1008" s="32" t="str">
        <f>IF($E1008="","",INDEX(资金日记账!$X$4:$X$603,50))</f>
        <v/>
      </c>
      <c r="M1008" s="32"/>
      <c r="N1008" s="26" t="str">
        <f>IF($E1008="","",INDEX(资金日记账!$Y$4:$Y$603,50))</f>
        <v/>
      </c>
      <c r="O1008" s="26" t="str">
        <f t="shared" si="62"/>
        <v/>
      </c>
      <c r="P1008" s="10"/>
    </row>
    <row r="1009" ht="18" customHeight="1" spans="1:16">
      <c r="A1009" s="32" t="str">
        <f t="shared" si="61"/>
        <v/>
      </c>
      <c r="B1009" s="100" t="str">
        <f>IF($E1009="","",INDEX(资金日记账!$B$4:$B$603,50))</f>
        <v/>
      </c>
      <c r="C1009" s="26" t="str">
        <f>IF($E1009="","",IF(INDEX(资金日记账!$W$4:$W$603,50)="","记-"&amp;TEXT($B1009,"YYYYMM")&amp;"-资金",INDEX(资金日记账!$W$4:$W$603,50)))</f>
        <v/>
      </c>
      <c r="D1009" s="32" t="str">
        <f>IF($E1009="","",INDEX(资金日记账!$D$4:$D$603,50))</f>
        <v/>
      </c>
      <c r="E1009" s="26" t="str">
        <f>IF(INDEX(资金日记账!$N$4:$S$603,50,4)=0,"",INDEX(资金日记账!$N$4:$S$603,50,4))</f>
        <v/>
      </c>
      <c r="F1009" s="25" t="str">
        <f>IF($E1009="","",IFERROR(INDEX(科目表!$A$4:$A$81,MATCH($E1009,科目表!$B$4:$B$81,0)),""))</f>
        <v/>
      </c>
      <c r="G1009" s="26" t="str">
        <f>IF($E1009="","",IFERROR(INDEX(科目表!$E$4:$E$81,MATCH($E1009,科目表!$B$4:$B$81,0)),""))</f>
        <v/>
      </c>
      <c r="H1009" s="27" t="str">
        <f>IF($E1009="","",N(INDEX(资金日记账!$N$4:$S$603,50,5)))</f>
        <v/>
      </c>
      <c r="I1009" s="27" t="str">
        <f>IF($E1009="","",N(INDEX(资金日记账!$N$4:$S$603,50,6)))</f>
        <v/>
      </c>
      <c r="J1009" s="26" t="str">
        <f>IF($E1009="","",INDEX(资金日记账!$E$4:$E$603,50))</f>
        <v/>
      </c>
      <c r="K1009" s="26" t="str">
        <f>IF($E1009="","",INDEX(资金日记账!$F$4:$F$603,50))</f>
        <v/>
      </c>
      <c r="L1009" s="32" t="str">
        <f>IF($E1009="","",INDEX(资金日记账!$X$4:$X$603,50))</f>
        <v/>
      </c>
      <c r="M1009" s="32"/>
      <c r="N1009" s="26" t="str">
        <f>IF($E1009="","",INDEX(资金日记账!$Y$4:$Y$603,50))</f>
        <v/>
      </c>
      <c r="O1009" s="26" t="str">
        <f t="shared" si="62"/>
        <v/>
      </c>
      <c r="P1009" s="10"/>
    </row>
    <row r="1010" ht="18" customHeight="1" spans="1:16">
      <c r="A1010" s="32" t="str">
        <f t="shared" si="61"/>
        <v/>
      </c>
      <c r="B1010" s="100" t="str">
        <f>IF($E1010="","",INDEX(资金日记账!$B$4:$B$603,51))</f>
        <v/>
      </c>
      <c r="C1010" s="26" t="str">
        <f>IF($E1010="","",IF(INDEX(资金日记账!$W$4:$W$603,51)="","记-"&amp;TEXT($B1010,"YYYYMM")&amp;"-资金",INDEX(资金日记账!$W$4:$W$603,51)))</f>
        <v/>
      </c>
      <c r="D1010" s="32" t="str">
        <f>IF($E1010="","",INDEX(资金日记账!$D$4:$D$603,51))</f>
        <v/>
      </c>
      <c r="E1010" s="26" t="str">
        <f>IF(INDEX(资金日记账!$N$4:$S$603,51,1)=0,"",INDEX(资金日记账!$N$4:$S$603,51,1))</f>
        <v/>
      </c>
      <c r="F1010" s="25" t="str">
        <f>IF($E1010="","",IFERROR(INDEX(科目表!$A$4:$A$81,MATCH($E1010,科目表!$B$4:$B$81,0)),""))</f>
        <v/>
      </c>
      <c r="G1010" s="26" t="str">
        <f>IF($E1010="","",IFERROR(INDEX(科目表!$E$4:$E$81,MATCH($E1010,科目表!$B$4:$B$81,0)),""))</f>
        <v/>
      </c>
      <c r="H1010" s="27" t="str">
        <f>IF($E1010="","",N(INDEX(资金日记账!$N$4:$S$603,51,2)))</f>
        <v/>
      </c>
      <c r="I1010" s="27" t="str">
        <f>IF($E1010="","",N(INDEX(资金日记账!$N$4:$S$603,51,3)))</f>
        <v/>
      </c>
      <c r="J1010" s="26" t="str">
        <f>IF($E1010="","",INDEX(资金日记账!$E$4:$E$603,51))</f>
        <v/>
      </c>
      <c r="K1010" s="26" t="str">
        <f>IF($E1010="","",INDEX(资金日记账!$F$4:$F$603,51))</f>
        <v/>
      </c>
      <c r="L1010" s="32" t="str">
        <f>IF($E1010="","",INDEX(资金日记账!$X$4:$X$603,51))</f>
        <v/>
      </c>
      <c r="M1010" s="32"/>
      <c r="N1010" s="26" t="str">
        <f>IF($E1010="","",INDEX(资金日记账!$Y$4:$Y$603,51))</f>
        <v/>
      </c>
      <c r="O1010" s="26" t="str">
        <f t="shared" si="62"/>
        <v/>
      </c>
      <c r="P1010" s="10"/>
    </row>
    <row r="1011" ht="18" customHeight="1" spans="1:16">
      <c r="A1011" s="32" t="str">
        <f t="shared" si="61"/>
        <v/>
      </c>
      <c r="B1011" s="100" t="str">
        <f>IF($E1011="","",INDEX(资金日记账!$B$4:$B$603,51))</f>
        <v/>
      </c>
      <c r="C1011" s="26" t="str">
        <f>IF($E1011="","",IF(INDEX(资金日记账!$W$4:$W$603,51)="","记-"&amp;TEXT($B1011,"YYYYMM")&amp;"-资金",INDEX(资金日记账!$W$4:$W$603,51)))</f>
        <v/>
      </c>
      <c r="D1011" s="32" t="str">
        <f>IF($E1011="","",INDEX(资金日记账!$D$4:$D$603,51))</f>
        <v/>
      </c>
      <c r="E1011" s="26" t="str">
        <f>IF(INDEX(资金日记账!$N$4:$S$603,51,4)=0,"",INDEX(资金日记账!$N$4:$S$603,51,4))</f>
        <v/>
      </c>
      <c r="F1011" s="25" t="str">
        <f>IF($E1011="","",IFERROR(INDEX(科目表!$A$4:$A$81,MATCH($E1011,科目表!$B$4:$B$81,0)),""))</f>
        <v/>
      </c>
      <c r="G1011" s="26" t="str">
        <f>IF($E1011="","",IFERROR(INDEX(科目表!$E$4:$E$81,MATCH($E1011,科目表!$B$4:$B$81,0)),""))</f>
        <v/>
      </c>
      <c r="H1011" s="27" t="str">
        <f>IF($E1011="","",N(INDEX(资金日记账!$N$4:$S$603,51,5)))</f>
        <v/>
      </c>
      <c r="I1011" s="27" t="str">
        <f>IF($E1011="","",N(INDEX(资金日记账!$N$4:$S$603,51,6)))</f>
        <v/>
      </c>
      <c r="J1011" s="26" t="str">
        <f>IF($E1011="","",INDEX(资金日记账!$E$4:$E$603,51))</f>
        <v/>
      </c>
      <c r="K1011" s="26" t="str">
        <f>IF($E1011="","",INDEX(资金日记账!$F$4:$F$603,51))</f>
        <v/>
      </c>
      <c r="L1011" s="32" t="str">
        <f>IF($E1011="","",INDEX(资金日记账!$X$4:$X$603,51))</f>
        <v/>
      </c>
      <c r="M1011" s="32"/>
      <c r="N1011" s="26" t="str">
        <f>IF($E1011="","",INDEX(资金日记账!$Y$4:$Y$603,51))</f>
        <v/>
      </c>
      <c r="O1011" s="26" t="str">
        <f t="shared" si="62"/>
        <v/>
      </c>
      <c r="P1011" s="10"/>
    </row>
    <row r="1012" ht="18" customHeight="1" spans="1:16">
      <c r="A1012" s="32" t="str">
        <f t="shared" si="61"/>
        <v/>
      </c>
      <c r="B1012" s="100" t="str">
        <f>IF($E1012="","",INDEX(资金日记账!$B$4:$B$603,52))</f>
        <v/>
      </c>
      <c r="C1012" s="26" t="str">
        <f>IF($E1012="","",IF(INDEX(资金日记账!$W$4:$W$603,52)="","记-"&amp;TEXT($B1012,"YYYYMM")&amp;"-资金",INDEX(资金日记账!$W$4:$W$603,52)))</f>
        <v/>
      </c>
      <c r="D1012" s="32" t="str">
        <f>IF($E1012="","",INDEX(资金日记账!$D$4:$D$603,52))</f>
        <v/>
      </c>
      <c r="E1012" s="26" t="str">
        <f>IF(INDEX(资金日记账!$N$4:$S$603,52,1)=0,"",INDEX(资金日记账!$N$4:$S$603,52,1))</f>
        <v/>
      </c>
      <c r="F1012" s="25" t="str">
        <f>IF($E1012="","",IFERROR(INDEX(科目表!$A$4:$A$81,MATCH($E1012,科目表!$B$4:$B$81,0)),""))</f>
        <v/>
      </c>
      <c r="G1012" s="26" t="str">
        <f>IF($E1012="","",IFERROR(INDEX(科目表!$E$4:$E$81,MATCH($E1012,科目表!$B$4:$B$81,0)),""))</f>
        <v/>
      </c>
      <c r="H1012" s="27" t="str">
        <f>IF($E1012="","",N(INDEX(资金日记账!$N$4:$S$603,52,2)))</f>
        <v/>
      </c>
      <c r="I1012" s="27" t="str">
        <f>IF($E1012="","",N(INDEX(资金日记账!$N$4:$S$603,52,3)))</f>
        <v/>
      </c>
      <c r="J1012" s="26" t="str">
        <f>IF($E1012="","",INDEX(资金日记账!$E$4:$E$603,52))</f>
        <v/>
      </c>
      <c r="K1012" s="26" t="str">
        <f>IF($E1012="","",INDEX(资金日记账!$F$4:$F$603,52))</f>
        <v/>
      </c>
      <c r="L1012" s="32" t="str">
        <f>IF($E1012="","",INDEX(资金日记账!$X$4:$X$603,52))</f>
        <v/>
      </c>
      <c r="M1012" s="32"/>
      <c r="N1012" s="26" t="str">
        <f>IF($E1012="","",INDEX(资金日记账!$Y$4:$Y$603,52))</f>
        <v/>
      </c>
      <c r="O1012" s="26" t="str">
        <f t="shared" si="62"/>
        <v/>
      </c>
      <c r="P1012" s="10"/>
    </row>
    <row r="1013" ht="18" customHeight="1" spans="1:16">
      <c r="A1013" s="32" t="str">
        <f t="shared" si="61"/>
        <v/>
      </c>
      <c r="B1013" s="100" t="str">
        <f>IF($E1013="","",INDEX(资金日记账!$B$4:$B$603,52))</f>
        <v/>
      </c>
      <c r="C1013" s="26" t="str">
        <f>IF($E1013="","",IF(INDEX(资金日记账!$W$4:$W$603,52)="","记-"&amp;TEXT($B1013,"YYYYMM")&amp;"-资金",INDEX(资金日记账!$W$4:$W$603,52)))</f>
        <v/>
      </c>
      <c r="D1013" s="32" t="str">
        <f>IF($E1013="","",INDEX(资金日记账!$D$4:$D$603,52))</f>
        <v/>
      </c>
      <c r="E1013" s="26" t="str">
        <f>IF(INDEX(资金日记账!$N$4:$S$603,52,4)=0,"",INDEX(资金日记账!$N$4:$S$603,52,4))</f>
        <v/>
      </c>
      <c r="F1013" s="25" t="str">
        <f>IF($E1013="","",IFERROR(INDEX(科目表!$A$4:$A$81,MATCH($E1013,科目表!$B$4:$B$81,0)),""))</f>
        <v/>
      </c>
      <c r="G1013" s="26" t="str">
        <f>IF($E1013="","",IFERROR(INDEX(科目表!$E$4:$E$81,MATCH($E1013,科目表!$B$4:$B$81,0)),""))</f>
        <v/>
      </c>
      <c r="H1013" s="27" t="str">
        <f>IF($E1013="","",N(INDEX(资金日记账!$N$4:$S$603,52,5)))</f>
        <v/>
      </c>
      <c r="I1013" s="27" t="str">
        <f>IF($E1013="","",N(INDEX(资金日记账!$N$4:$S$603,52,6)))</f>
        <v/>
      </c>
      <c r="J1013" s="26" t="str">
        <f>IF($E1013="","",INDEX(资金日记账!$E$4:$E$603,52))</f>
        <v/>
      </c>
      <c r="K1013" s="26" t="str">
        <f>IF($E1013="","",INDEX(资金日记账!$F$4:$F$603,52))</f>
        <v/>
      </c>
      <c r="L1013" s="32" t="str">
        <f>IF($E1013="","",INDEX(资金日记账!$X$4:$X$603,52))</f>
        <v/>
      </c>
      <c r="M1013" s="32"/>
      <c r="N1013" s="26" t="str">
        <f>IF($E1013="","",INDEX(资金日记账!$Y$4:$Y$603,52))</f>
        <v/>
      </c>
      <c r="O1013" s="26" t="str">
        <f t="shared" si="62"/>
        <v/>
      </c>
      <c r="P1013" s="10"/>
    </row>
    <row r="1014" ht="18" customHeight="1" spans="1:16">
      <c r="A1014" s="32" t="str">
        <f t="shared" si="61"/>
        <v/>
      </c>
      <c r="B1014" s="100" t="str">
        <f>IF($E1014="","",INDEX(资金日记账!$B$4:$B$603,53))</f>
        <v/>
      </c>
      <c r="C1014" s="26" t="str">
        <f>IF($E1014="","",IF(INDEX(资金日记账!$W$4:$W$603,53)="","记-"&amp;TEXT($B1014,"YYYYMM")&amp;"-资金",INDEX(资金日记账!$W$4:$W$603,53)))</f>
        <v/>
      </c>
      <c r="D1014" s="32" t="str">
        <f>IF($E1014="","",INDEX(资金日记账!$D$4:$D$603,53))</f>
        <v/>
      </c>
      <c r="E1014" s="26" t="str">
        <f>IF(INDEX(资金日记账!$N$4:$S$603,53,1)=0,"",INDEX(资金日记账!$N$4:$S$603,53,1))</f>
        <v/>
      </c>
      <c r="F1014" s="25" t="str">
        <f>IF($E1014="","",IFERROR(INDEX(科目表!$A$4:$A$81,MATCH($E1014,科目表!$B$4:$B$81,0)),""))</f>
        <v/>
      </c>
      <c r="G1014" s="26" t="str">
        <f>IF($E1014="","",IFERROR(INDEX(科目表!$E$4:$E$81,MATCH($E1014,科目表!$B$4:$B$81,0)),""))</f>
        <v/>
      </c>
      <c r="H1014" s="27" t="str">
        <f>IF($E1014="","",N(INDEX(资金日记账!$N$4:$S$603,53,2)))</f>
        <v/>
      </c>
      <c r="I1014" s="27" t="str">
        <f>IF($E1014="","",N(INDEX(资金日记账!$N$4:$S$603,53,3)))</f>
        <v/>
      </c>
      <c r="J1014" s="26" t="str">
        <f>IF($E1014="","",INDEX(资金日记账!$E$4:$E$603,53))</f>
        <v/>
      </c>
      <c r="K1014" s="26" t="str">
        <f>IF($E1014="","",INDEX(资金日记账!$F$4:$F$603,53))</f>
        <v/>
      </c>
      <c r="L1014" s="32" t="str">
        <f>IF($E1014="","",INDEX(资金日记账!$X$4:$X$603,53))</f>
        <v/>
      </c>
      <c r="M1014" s="32"/>
      <c r="N1014" s="26" t="str">
        <f>IF($E1014="","",INDEX(资金日记账!$Y$4:$Y$603,53))</f>
        <v/>
      </c>
      <c r="O1014" s="26" t="str">
        <f t="shared" si="62"/>
        <v/>
      </c>
      <c r="P1014" s="10"/>
    </row>
    <row r="1015" ht="18" customHeight="1" spans="1:16">
      <c r="A1015" s="32" t="str">
        <f t="shared" si="61"/>
        <v/>
      </c>
      <c r="B1015" s="100" t="str">
        <f>IF($E1015="","",INDEX(资金日记账!$B$4:$B$603,53))</f>
        <v/>
      </c>
      <c r="C1015" s="26" t="str">
        <f>IF($E1015="","",IF(INDEX(资金日记账!$W$4:$W$603,53)="","记-"&amp;TEXT($B1015,"YYYYMM")&amp;"-资金",INDEX(资金日记账!$W$4:$W$603,53)))</f>
        <v/>
      </c>
      <c r="D1015" s="32" t="str">
        <f>IF($E1015="","",INDEX(资金日记账!$D$4:$D$603,53))</f>
        <v/>
      </c>
      <c r="E1015" s="26" t="str">
        <f>IF(INDEX(资金日记账!$N$4:$S$603,53,4)=0,"",INDEX(资金日记账!$N$4:$S$603,53,4))</f>
        <v/>
      </c>
      <c r="F1015" s="25" t="str">
        <f>IF($E1015="","",IFERROR(INDEX(科目表!$A$4:$A$81,MATCH($E1015,科目表!$B$4:$B$81,0)),""))</f>
        <v/>
      </c>
      <c r="G1015" s="26" t="str">
        <f>IF($E1015="","",IFERROR(INDEX(科目表!$E$4:$E$81,MATCH($E1015,科目表!$B$4:$B$81,0)),""))</f>
        <v/>
      </c>
      <c r="H1015" s="27" t="str">
        <f>IF($E1015="","",N(INDEX(资金日记账!$N$4:$S$603,53,5)))</f>
        <v/>
      </c>
      <c r="I1015" s="27" t="str">
        <f>IF($E1015="","",N(INDEX(资金日记账!$N$4:$S$603,53,6)))</f>
        <v/>
      </c>
      <c r="J1015" s="26" t="str">
        <f>IF($E1015="","",INDEX(资金日记账!$E$4:$E$603,53))</f>
        <v/>
      </c>
      <c r="K1015" s="26" t="str">
        <f>IF($E1015="","",INDEX(资金日记账!$F$4:$F$603,53))</f>
        <v/>
      </c>
      <c r="L1015" s="32" t="str">
        <f>IF($E1015="","",INDEX(资金日记账!$X$4:$X$603,53))</f>
        <v/>
      </c>
      <c r="M1015" s="32"/>
      <c r="N1015" s="26" t="str">
        <f>IF($E1015="","",INDEX(资金日记账!$Y$4:$Y$603,53))</f>
        <v/>
      </c>
      <c r="O1015" s="26" t="str">
        <f t="shared" si="62"/>
        <v/>
      </c>
      <c r="P1015" s="10"/>
    </row>
    <row r="1016" ht="18" customHeight="1" spans="1:16">
      <c r="A1016" s="32" t="str">
        <f t="shared" si="61"/>
        <v/>
      </c>
      <c r="B1016" s="100" t="str">
        <f>IF($E1016="","",INDEX(资金日记账!$B$4:$B$603,54))</f>
        <v/>
      </c>
      <c r="C1016" s="26" t="str">
        <f>IF($E1016="","",IF(INDEX(资金日记账!$W$4:$W$603,54)="","记-"&amp;TEXT($B1016,"YYYYMM")&amp;"-资金",INDEX(资金日记账!$W$4:$W$603,54)))</f>
        <v/>
      </c>
      <c r="D1016" s="32" t="str">
        <f>IF($E1016="","",INDEX(资金日记账!$D$4:$D$603,54))</f>
        <v/>
      </c>
      <c r="E1016" s="26" t="str">
        <f>IF(INDEX(资金日记账!$N$4:$S$603,54,1)=0,"",INDEX(资金日记账!$N$4:$S$603,54,1))</f>
        <v/>
      </c>
      <c r="F1016" s="25" t="str">
        <f>IF($E1016="","",IFERROR(INDEX(科目表!$A$4:$A$81,MATCH($E1016,科目表!$B$4:$B$81,0)),""))</f>
        <v/>
      </c>
      <c r="G1016" s="26" t="str">
        <f>IF($E1016="","",IFERROR(INDEX(科目表!$E$4:$E$81,MATCH($E1016,科目表!$B$4:$B$81,0)),""))</f>
        <v/>
      </c>
      <c r="H1016" s="27" t="str">
        <f>IF($E1016="","",N(INDEX(资金日记账!$N$4:$S$603,54,2)))</f>
        <v/>
      </c>
      <c r="I1016" s="27" t="str">
        <f>IF($E1016="","",N(INDEX(资金日记账!$N$4:$S$603,54,3)))</f>
        <v/>
      </c>
      <c r="J1016" s="26" t="str">
        <f>IF($E1016="","",INDEX(资金日记账!$E$4:$E$603,54))</f>
        <v/>
      </c>
      <c r="K1016" s="26" t="str">
        <f>IF($E1016="","",INDEX(资金日记账!$F$4:$F$603,54))</f>
        <v/>
      </c>
      <c r="L1016" s="32" t="str">
        <f>IF($E1016="","",INDEX(资金日记账!$X$4:$X$603,54))</f>
        <v/>
      </c>
      <c r="M1016" s="32"/>
      <c r="N1016" s="26" t="str">
        <f>IF($E1016="","",INDEX(资金日记账!$Y$4:$Y$603,54))</f>
        <v/>
      </c>
      <c r="O1016" s="26" t="str">
        <f t="shared" si="62"/>
        <v/>
      </c>
      <c r="P1016" s="10"/>
    </row>
    <row r="1017" ht="18" customHeight="1" spans="1:16">
      <c r="A1017" s="32" t="str">
        <f t="shared" si="61"/>
        <v/>
      </c>
      <c r="B1017" s="100" t="str">
        <f>IF($E1017="","",INDEX(资金日记账!$B$4:$B$603,54))</f>
        <v/>
      </c>
      <c r="C1017" s="26" t="str">
        <f>IF($E1017="","",IF(INDEX(资金日记账!$W$4:$W$603,54)="","记-"&amp;TEXT($B1017,"YYYYMM")&amp;"-资金",INDEX(资金日记账!$W$4:$W$603,54)))</f>
        <v/>
      </c>
      <c r="D1017" s="32" t="str">
        <f>IF($E1017="","",INDEX(资金日记账!$D$4:$D$603,54))</f>
        <v/>
      </c>
      <c r="E1017" s="26" t="str">
        <f>IF(INDEX(资金日记账!$N$4:$S$603,54,4)=0,"",INDEX(资金日记账!$N$4:$S$603,54,4))</f>
        <v/>
      </c>
      <c r="F1017" s="25" t="str">
        <f>IF($E1017="","",IFERROR(INDEX(科目表!$A$4:$A$81,MATCH($E1017,科目表!$B$4:$B$81,0)),""))</f>
        <v/>
      </c>
      <c r="G1017" s="26" t="str">
        <f>IF($E1017="","",IFERROR(INDEX(科目表!$E$4:$E$81,MATCH($E1017,科目表!$B$4:$B$81,0)),""))</f>
        <v/>
      </c>
      <c r="H1017" s="27" t="str">
        <f>IF($E1017="","",N(INDEX(资金日记账!$N$4:$S$603,54,5)))</f>
        <v/>
      </c>
      <c r="I1017" s="27" t="str">
        <f>IF($E1017="","",N(INDEX(资金日记账!$N$4:$S$603,54,6)))</f>
        <v/>
      </c>
      <c r="J1017" s="26" t="str">
        <f>IF($E1017="","",INDEX(资金日记账!$E$4:$E$603,54))</f>
        <v/>
      </c>
      <c r="K1017" s="26" t="str">
        <f>IF($E1017="","",INDEX(资金日记账!$F$4:$F$603,54))</f>
        <v/>
      </c>
      <c r="L1017" s="32" t="str">
        <f>IF($E1017="","",INDEX(资金日记账!$X$4:$X$603,54))</f>
        <v/>
      </c>
      <c r="M1017" s="32"/>
      <c r="N1017" s="26" t="str">
        <f>IF($E1017="","",INDEX(资金日记账!$Y$4:$Y$603,54))</f>
        <v/>
      </c>
      <c r="O1017" s="26" t="str">
        <f t="shared" si="62"/>
        <v/>
      </c>
      <c r="P1017" s="10"/>
    </row>
    <row r="1018" ht="18" customHeight="1" spans="1:16">
      <c r="A1018" s="32" t="str">
        <f t="shared" si="61"/>
        <v/>
      </c>
      <c r="B1018" s="100" t="str">
        <f>IF($E1018="","",INDEX(资金日记账!$B$4:$B$603,55))</f>
        <v/>
      </c>
      <c r="C1018" s="26" t="str">
        <f>IF($E1018="","",IF(INDEX(资金日记账!$W$4:$W$603,55)="","记-"&amp;TEXT($B1018,"YYYYMM")&amp;"-资金",INDEX(资金日记账!$W$4:$W$603,55)))</f>
        <v/>
      </c>
      <c r="D1018" s="32" t="str">
        <f>IF($E1018="","",INDEX(资金日记账!$D$4:$D$603,55))</f>
        <v/>
      </c>
      <c r="E1018" s="26" t="str">
        <f>IF(INDEX(资金日记账!$N$4:$S$603,55,1)=0,"",INDEX(资金日记账!$N$4:$S$603,55,1))</f>
        <v/>
      </c>
      <c r="F1018" s="25" t="str">
        <f>IF($E1018="","",IFERROR(INDEX(科目表!$A$4:$A$81,MATCH($E1018,科目表!$B$4:$B$81,0)),""))</f>
        <v/>
      </c>
      <c r="G1018" s="26" t="str">
        <f>IF($E1018="","",IFERROR(INDEX(科目表!$E$4:$E$81,MATCH($E1018,科目表!$B$4:$B$81,0)),""))</f>
        <v/>
      </c>
      <c r="H1018" s="27" t="str">
        <f>IF($E1018="","",N(INDEX(资金日记账!$N$4:$S$603,55,2)))</f>
        <v/>
      </c>
      <c r="I1018" s="27" t="str">
        <f>IF($E1018="","",N(INDEX(资金日记账!$N$4:$S$603,55,3)))</f>
        <v/>
      </c>
      <c r="J1018" s="26" t="str">
        <f>IF($E1018="","",INDEX(资金日记账!$E$4:$E$603,55))</f>
        <v/>
      </c>
      <c r="K1018" s="26" t="str">
        <f>IF($E1018="","",INDEX(资金日记账!$F$4:$F$603,55))</f>
        <v/>
      </c>
      <c r="L1018" s="32" t="str">
        <f>IF($E1018="","",INDEX(资金日记账!$X$4:$X$603,55))</f>
        <v/>
      </c>
      <c r="M1018" s="32"/>
      <c r="N1018" s="26" t="str">
        <f>IF($E1018="","",INDEX(资金日记账!$Y$4:$Y$603,55))</f>
        <v/>
      </c>
      <c r="O1018" s="26" t="str">
        <f t="shared" si="62"/>
        <v/>
      </c>
      <c r="P1018" s="10"/>
    </row>
    <row r="1019" ht="18" customHeight="1" spans="1:16">
      <c r="A1019" s="32" t="str">
        <f t="shared" si="61"/>
        <v/>
      </c>
      <c r="B1019" s="100" t="str">
        <f>IF($E1019="","",INDEX(资金日记账!$B$4:$B$603,55))</f>
        <v/>
      </c>
      <c r="C1019" s="26" t="str">
        <f>IF($E1019="","",IF(INDEX(资金日记账!$W$4:$W$603,55)="","记-"&amp;TEXT($B1019,"YYYYMM")&amp;"-资金",INDEX(资金日记账!$W$4:$W$603,55)))</f>
        <v/>
      </c>
      <c r="D1019" s="32" t="str">
        <f>IF($E1019="","",INDEX(资金日记账!$D$4:$D$603,55))</f>
        <v/>
      </c>
      <c r="E1019" s="26" t="str">
        <f>IF(INDEX(资金日记账!$N$4:$S$603,55,4)=0,"",INDEX(资金日记账!$N$4:$S$603,55,4))</f>
        <v/>
      </c>
      <c r="F1019" s="25" t="str">
        <f>IF($E1019="","",IFERROR(INDEX(科目表!$A$4:$A$81,MATCH($E1019,科目表!$B$4:$B$81,0)),""))</f>
        <v/>
      </c>
      <c r="G1019" s="26" t="str">
        <f>IF($E1019="","",IFERROR(INDEX(科目表!$E$4:$E$81,MATCH($E1019,科目表!$B$4:$B$81,0)),""))</f>
        <v/>
      </c>
      <c r="H1019" s="27" t="str">
        <f>IF($E1019="","",N(INDEX(资金日记账!$N$4:$S$603,55,5)))</f>
        <v/>
      </c>
      <c r="I1019" s="27" t="str">
        <f>IF($E1019="","",N(INDEX(资金日记账!$N$4:$S$603,55,6)))</f>
        <v/>
      </c>
      <c r="J1019" s="26" t="str">
        <f>IF($E1019="","",INDEX(资金日记账!$E$4:$E$603,55))</f>
        <v/>
      </c>
      <c r="K1019" s="26" t="str">
        <f>IF($E1019="","",INDEX(资金日记账!$F$4:$F$603,55))</f>
        <v/>
      </c>
      <c r="L1019" s="32" t="str">
        <f>IF($E1019="","",INDEX(资金日记账!$X$4:$X$603,55))</f>
        <v/>
      </c>
      <c r="M1019" s="32"/>
      <c r="N1019" s="26" t="str">
        <f>IF($E1019="","",INDEX(资金日记账!$Y$4:$Y$603,55))</f>
        <v/>
      </c>
      <c r="O1019" s="26" t="str">
        <f t="shared" si="62"/>
        <v/>
      </c>
      <c r="P1019" s="10"/>
    </row>
    <row r="1020" ht="18" customHeight="1" spans="1:16">
      <c r="A1020" s="32" t="str">
        <f t="shared" si="61"/>
        <v/>
      </c>
      <c r="B1020" s="100" t="str">
        <f>IF($E1020="","",INDEX(资金日记账!$B$4:$B$603,56))</f>
        <v/>
      </c>
      <c r="C1020" s="26" t="str">
        <f>IF($E1020="","",IF(INDEX(资金日记账!$W$4:$W$603,56)="","记-"&amp;TEXT($B1020,"YYYYMM")&amp;"-资金",INDEX(资金日记账!$W$4:$W$603,56)))</f>
        <v/>
      </c>
      <c r="D1020" s="32" t="str">
        <f>IF($E1020="","",INDEX(资金日记账!$D$4:$D$603,56))</f>
        <v/>
      </c>
      <c r="E1020" s="26" t="str">
        <f>IF(INDEX(资金日记账!$N$4:$S$603,56,1)=0,"",INDEX(资金日记账!$N$4:$S$603,56,1))</f>
        <v/>
      </c>
      <c r="F1020" s="25" t="str">
        <f>IF($E1020="","",IFERROR(INDEX(科目表!$A$4:$A$81,MATCH($E1020,科目表!$B$4:$B$81,0)),""))</f>
        <v/>
      </c>
      <c r="G1020" s="26" t="str">
        <f>IF($E1020="","",IFERROR(INDEX(科目表!$E$4:$E$81,MATCH($E1020,科目表!$B$4:$B$81,0)),""))</f>
        <v/>
      </c>
      <c r="H1020" s="27" t="str">
        <f>IF($E1020="","",N(INDEX(资金日记账!$N$4:$S$603,56,2)))</f>
        <v/>
      </c>
      <c r="I1020" s="27" t="str">
        <f>IF($E1020="","",N(INDEX(资金日记账!$N$4:$S$603,56,3)))</f>
        <v/>
      </c>
      <c r="J1020" s="26" t="str">
        <f>IF($E1020="","",INDEX(资金日记账!$E$4:$E$603,56))</f>
        <v/>
      </c>
      <c r="K1020" s="26" t="str">
        <f>IF($E1020="","",INDEX(资金日记账!$F$4:$F$603,56))</f>
        <v/>
      </c>
      <c r="L1020" s="32" t="str">
        <f>IF($E1020="","",INDEX(资金日记账!$X$4:$X$603,56))</f>
        <v/>
      </c>
      <c r="M1020" s="32"/>
      <c r="N1020" s="26" t="str">
        <f>IF($E1020="","",INDEX(资金日记账!$Y$4:$Y$603,56))</f>
        <v/>
      </c>
      <c r="O1020" s="26" t="str">
        <f t="shared" si="62"/>
        <v/>
      </c>
      <c r="P1020" s="10"/>
    </row>
    <row r="1021" ht="18" customHeight="1" spans="1:16">
      <c r="A1021" s="32" t="str">
        <f t="shared" si="61"/>
        <v/>
      </c>
      <c r="B1021" s="100" t="str">
        <f>IF($E1021="","",INDEX(资金日记账!$B$4:$B$603,56))</f>
        <v/>
      </c>
      <c r="C1021" s="26" t="str">
        <f>IF($E1021="","",IF(INDEX(资金日记账!$W$4:$W$603,56)="","记-"&amp;TEXT($B1021,"YYYYMM")&amp;"-资金",INDEX(资金日记账!$W$4:$W$603,56)))</f>
        <v/>
      </c>
      <c r="D1021" s="32" t="str">
        <f>IF($E1021="","",INDEX(资金日记账!$D$4:$D$603,56))</f>
        <v/>
      </c>
      <c r="E1021" s="26" t="str">
        <f>IF(INDEX(资金日记账!$N$4:$S$603,56,4)=0,"",INDEX(资金日记账!$N$4:$S$603,56,4))</f>
        <v/>
      </c>
      <c r="F1021" s="25" t="str">
        <f>IF($E1021="","",IFERROR(INDEX(科目表!$A$4:$A$81,MATCH($E1021,科目表!$B$4:$B$81,0)),""))</f>
        <v/>
      </c>
      <c r="G1021" s="26" t="str">
        <f>IF($E1021="","",IFERROR(INDEX(科目表!$E$4:$E$81,MATCH($E1021,科目表!$B$4:$B$81,0)),""))</f>
        <v/>
      </c>
      <c r="H1021" s="27" t="str">
        <f>IF($E1021="","",N(INDEX(资金日记账!$N$4:$S$603,56,5)))</f>
        <v/>
      </c>
      <c r="I1021" s="27" t="str">
        <f>IF($E1021="","",N(INDEX(资金日记账!$N$4:$S$603,56,6)))</f>
        <v/>
      </c>
      <c r="J1021" s="26" t="str">
        <f>IF($E1021="","",INDEX(资金日记账!$E$4:$E$603,56))</f>
        <v/>
      </c>
      <c r="K1021" s="26" t="str">
        <f>IF($E1021="","",INDEX(资金日记账!$F$4:$F$603,56))</f>
        <v/>
      </c>
      <c r="L1021" s="32" t="str">
        <f>IF($E1021="","",INDEX(资金日记账!$X$4:$X$603,56))</f>
        <v/>
      </c>
      <c r="M1021" s="32"/>
      <c r="N1021" s="26" t="str">
        <f>IF($E1021="","",INDEX(资金日记账!$Y$4:$Y$603,56))</f>
        <v/>
      </c>
      <c r="O1021" s="26" t="str">
        <f t="shared" si="62"/>
        <v/>
      </c>
      <c r="P1021" s="10"/>
    </row>
    <row r="1022" ht="18" customHeight="1" spans="1:16">
      <c r="A1022" s="32" t="str">
        <f t="shared" si="61"/>
        <v/>
      </c>
      <c r="B1022" s="100" t="str">
        <f>IF($E1022="","",INDEX(资金日记账!$B$4:$B$603,57))</f>
        <v/>
      </c>
      <c r="C1022" s="26" t="str">
        <f>IF($E1022="","",IF(INDEX(资金日记账!$W$4:$W$603,57)="","记-"&amp;TEXT($B1022,"YYYYMM")&amp;"-资金",INDEX(资金日记账!$W$4:$W$603,57)))</f>
        <v/>
      </c>
      <c r="D1022" s="32" t="str">
        <f>IF($E1022="","",INDEX(资金日记账!$D$4:$D$603,57))</f>
        <v/>
      </c>
      <c r="E1022" s="26" t="str">
        <f>IF(INDEX(资金日记账!$N$4:$S$603,57,1)=0,"",INDEX(资金日记账!$N$4:$S$603,57,1))</f>
        <v/>
      </c>
      <c r="F1022" s="25" t="str">
        <f>IF($E1022="","",IFERROR(INDEX(科目表!$A$4:$A$81,MATCH($E1022,科目表!$B$4:$B$81,0)),""))</f>
        <v/>
      </c>
      <c r="G1022" s="26" t="str">
        <f>IF($E1022="","",IFERROR(INDEX(科目表!$E$4:$E$81,MATCH($E1022,科目表!$B$4:$B$81,0)),""))</f>
        <v/>
      </c>
      <c r="H1022" s="27" t="str">
        <f>IF($E1022="","",N(INDEX(资金日记账!$N$4:$S$603,57,2)))</f>
        <v/>
      </c>
      <c r="I1022" s="27" t="str">
        <f>IF($E1022="","",N(INDEX(资金日记账!$N$4:$S$603,57,3)))</f>
        <v/>
      </c>
      <c r="J1022" s="26" t="str">
        <f>IF($E1022="","",INDEX(资金日记账!$E$4:$E$603,57))</f>
        <v/>
      </c>
      <c r="K1022" s="26" t="str">
        <f>IF($E1022="","",INDEX(资金日记账!$F$4:$F$603,57))</f>
        <v/>
      </c>
      <c r="L1022" s="32" t="str">
        <f>IF($E1022="","",INDEX(资金日记账!$X$4:$X$603,57))</f>
        <v/>
      </c>
      <c r="M1022" s="32"/>
      <c r="N1022" s="26" t="str">
        <f>IF($E1022="","",INDEX(资金日记账!$Y$4:$Y$603,57))</f>
        <v/>
      </c>
      <c r="O1022" s="26" t="str">
        <f t="shared" si="62"/>
        <v/>
      </c>
      <c r="P1022" s="10"/>
    </row>
    <row r="1023" ht="18" customHeight="1" spans="1:16">
      <c r="A1023" s="32" t="str">
        <f t="shared" si="61"/>
        <v/>
      </c>
      <c r="B1023" s="100" t="str">
        <f>IF($E1023="","",INDEX(资金日记账!$B$4:$B$603,57))</f>
        <v/>
      </c>
      <c r="C1023" s="26" t="str">
        <f>IF($E1023="","",IF(INDEX(资金日记账!$W$4:$W$603,57)="","记-"&amp;TEXT($B1023,"YYYYMM")&amp;"-资金",INDEX(资金日记账!$W$4:$W$603,57)))</f>
        <v/>
      </c>
      <c r="D1023" s="32" t="str">
        <f>IF($E1023="","",INDEX(资金日记账!$D$4:$D$603,57))</f>
        <v/>
      </c>
      <c r="E1023" s="26" t="str">
        <f>IF(INDEX(资金日记账!$N$4:$S$603,57,4)=0,"",INDEX(资金日记账!$N$4:$S$603,57,4))</f>
        <v/>
      </c>
      <c r="F1023" s="25" t="str">
        <f>IF($E1023="","",IFERROR(INDEX(科目表!$A$4:$A$81,MATCH($E1023,科目表!$B$4:$B$81,0)),""))</f>
        <v/>
      </c>
      <c r="G1023" s="26" t="str">
        <f>IF($E1023="","",IFERROR(INDEX(科目表!$E$4:$E$81,MATCH($E1023,科目表!$B$4:$B$81,0)),""))</f>
        <v/>
      </c>
      <c r="H1023" s="27" t="str">
        <f>IF($E1023="","",N(INDEX(资金日记账!$N$4:$S$603,57,5)))</f>
        <v/>
      </c>
      <c r="I1023" s="27" t="str">
        <f>IF($E1023="","",N(INDEX(资金日记账!$N$4:$S$603,57,6)))</f>
        <v/>
      </c>
      <c r="J1023" s="26" t="str">
        <f>IF($E1023="","",INDEX(资金日记账!$E$4:$E$603,57))</f>
        <v/>
      </c>
      <c r="K1023" s="26" t="str">
        <f>IF($E1023="","",INDEX(资金日记账!$F$4:$F$603,57))</f>
        <v/>
      </c>
      <c r="L1023" s="32" t="str">
        <f>IF($E1023="","",INDEX(资金日记账!$X$4:$X$603,57))</f>
        <v/>
      </c>
      <c r="M1023" s="32"/>
      <c r="N1023" s="26" t="str">
        <f>IF($E1023="","",INDEX(资金日记账!$Y$4:$Y$603,57))</f>
        <v/>
      </c>
      <c r="O1023" s="26" t="str">
        <f t="shared" si="62"/>
        <v/>
      </c>
      <c r="P1023" s="10"/>
    </row>
    <row r="1024" ht="18" customHeight="1" spans="1:16">
      <c r="A1024" s="32" t="str">
        <f t="shared" si="61"/>
        <v/>
      </c>
      <c r="B1024" s="100" t="str">
        <f>IF($E1024="","",INDEX(资金日记账!$B$4:$B$603,58))</f>
        <v/>
      </c>
      <c r="C1024" s="26" t="str">
        <f>IF($E1024="","",IF(INDEX(资金日记账!$W$4:$W$603,58)="","记-"&amp;TEXT($B1024,"YYYYMM")&amp;"-资金",INDEX(资金日记账!$W$4:$W$603,58)))</f>
        <v/>
      </c>
      <c r="D1024" s="32" t="str">
        <f>IF($E1024="","",INDEX(资金日记账!$D$4:$D$603,58))</f>
        <v/>
      </c>
      <c r="E1024" s="26" t="str">
        <f>IF(INDEX(资金日记账!$N$4:$S$603,58,1)=0,"",INDEX(资金日记账!$N$4:$S$603,58,1))</f>
        <v/>
      </c>
      <c r="F1024" s="25" t="str">
        <f>IF($E1024="","",IFERROR(INDEX(科目表!$A$4:$A$81,MATCH($E1024,科目表!$B$4:$B$81,0)),""))</f>
        <v/>
      </c>
      <c r="G1024" s="26" t="str">
        <f>IF($E1024="","",IFERROR(INDEX(科目表!$E$4:$E$81,MATCH($E1024,科目表!$B$4:$B$81,0)),""))</f>
        <v/>
      </c>
      <c r="H1024" s="27" t="str">
        <f>IF($E1024="","",N(INDEX(资金日记账!$N$4:$S$603,58,2)))</f>
        <v/>
      </c>
      <c r="I1024" s="27" t="str">
        <f>IF($E1024="","",N(INDEX(资金日记账!$N$4:$S$603,58,3)))</f>
        <v/>
      </c>
      <c r="J1024" s="26" t="str">
        <f>IF($E1024="","",INDEX(资金日记账!$E$4:$E$603,58))</f>
        <v/>
      </c>
      <c r="K1024" s="26" t="str">
        <f>IF($E1024="","",INDEX(资金日记账!$F$4:$F$603,58))</f>
        <v/>
      </c>
      <c r="L1024" s="32" t="str">
        <f>IF($E1024="","",INDEX(资金日记账!$X$4:$X$603,58))</f>
        <v/>
      </c>
      <c r="M1024" s="32"/>
      <c r="N1024" s="26" t="str">
        <f>IF($E1024="","",INDEX(资金日记账!$Y$4:$Y$603,58))</f>
        <v/>
      </c>
      <c r="O1024" s="26" t="str">
        <f t="shared" si="62"/>
        <v/>
      </c>
      <c r="P1024" s="10"/>
    </row>
    <row r="1025" ht="18" customHeight="1" spans="1:16">
      <c r="A1025" s="32" t="str">
        <f t="shared" si="61"/>
        <v/>
      </c>
      <c r="B1025" s="100" t="str">
        <f>IF($E1025="","",INDEX(资金日记账!$B$4:$B$603,58))</f>
        <v/>
      </c>
      <c r="C1025" s="26" t="str">
        <f>IF($E1025="","",IF(INDEX(资金日记账!$W$4:$W$603,58)="","记-"&amp;TEXT($B1025,"YYYYMM")&amp;"-资金",INDEX(资金日记账!$W$4:$W$603,58)))</f>
        <v/>
      </c>
      <c r="D1025" s="32" t="str">
        <f>IF($E1025="","",INDEX(资金日记账!$D$4:$D$603,58))</f>
        <v/>
      </c>
      <c r="E1025" s="26" t="str">
        <f>IF(INDEX(资金日记账!$N$4:$S$603,58,4)=0,"",INDEX(资金日记账!$N$4:$S$603,58,4))</f>
        <v/>
      </c>
      <c r="F1025" s="25" t="str">
        <f>IF($E1025="","",IFERROR(INDEX(科目表!$A$4:$A$81,MATCH($E1025,科目表!$B$4:$B$81,0)),""))</f>
        <v/>
      </c>
      <c r="G1025" s="26" t="str">
        <f>IF($E1025="","",IFERROR(INDEX(科目表!$E$4:$E$81,MATCH($E1025,科目表!$B$4:$B$81,0)),""))</f>
        <v/>
      </c>
      <c r="H1025" s="27" t="str">
        <f>IF($E1025="","",N(INDEX(资金日记账!$N$4:$S$603,58,5)))</f>
        <v/>
      </c>
      <c r="I1025" s="27" t="str">
        <f>IF($E1025="","",N(INDEX(资金日记账!$N$4:$S$603,58,6)))</f>
        <v/>
      </c>
      <c r="J1025" s="26" t="str">
        <f>IF($E1025="","",INDEX(资金日记账!$E$4:$E$603,58))</f>
        <v/>
      </c>
      <c r="K1025" s="26" t="str">
        <f>IF($E1025="","",INDEX(资金日记账!$F$4:$F$603,58))</f>
        <v/>
      </c>
      <c r="L1025" s="32" t="str">
        <f>IF($E1025="","",INDEX(资金日记账!$X$4:$X$603,58))</f>
        <v/>
      </c>
      <c r="M1025" s="32"/>
      <c r="N1025" s="26" t="str">
        <f>IF($E1025="","",INDEX(资金日记账!$Y$4:$Y$603,58))</f>
        <v/>
      </c>
      <c r="O1025" s="26" t="str">
        <f t="shared" si="62"/>
        <v/>
      </c>
      <c r="P1025" s="10"/>
    </row>
    <row r="1026" ht="18" customHeight="1" spans="1:16">
      <c r="A1026" s="32" t="str">
        <f t="shared" si="61"/>
        <v/>
      </c>
      <c r="B1026" s="100" t="str">
        <f>IF($E1026="","",INDEX(资金日记账!$B$4:$B$603,59))</f>
        <v/>
      </c>
      <c r="C1026" s="26" t="str">
        <f>IF($E1026="","",IF(INDEX(资金日记账!$W$4:$W$603,59)="","记-"&amp;TEXT($B1026,"YYYYMM")&amp;"-资金",INDEX(资金日记账!$W$4:$W$603,59)))</f>
        <v/>
      </c>
      <c r="D1026" s="32" t="str">
        <f>IF($E1026="","",INDEX(资金日记账!$D$4:$D$603,59))</f>
        <v/>
      </c>
      <c r="E1026" s="26" t="str">
        <f>IF(INDEX(资金日记账!$N$4:$S$603,59,1)=0,"",INDEX(资金日记账!$N$4:$S$603,59,1))</f>
        <v/>
      </c>
      <c r="F1026" s="25" t="str">
        <f>IF($E1026="","",IFERROR(INDEX(科目表!$A$4:$A$81,MATCH($E1026,科目表!$B$4:$B$81,0)),""))</f>
        <v/>
      </c>
      <c r="G1026" s="26" t="str">
        <f>IF($E1026="","",IFERROR(INDEX(科目表!$E$4:$E$81,MATCH($E1026,科目表!$B$4:$B$81,0)),""))</f>
        <v/>
      </c>
      <c r="H1026" s="27" t="str">
        <f>IF($E1026="","",N(INDEX(资金日记账!$N$4:$S$603,59,2)))</f>
        <v/>
      </c>
      <c r="I1026" s="27" t="str">
        <f>IF($E1026="","",N(INDEX(资金日记账!$N$4:$S$603,59,3)))</f>
        <v/>
      </c>
      <c r="J1026" s="26" t="str">
        <f>IF($E1026="","",INDEX(资金日记账!$E$4:$E$603,59))</f>
        <v/>
      </c>
      <c r="K1026" s="26" t="str">
        <f>IF($E1026="","",INDEX(资金日记账!$F$4:$F$603,59))</f>
        <v/>
      </c>
      <c r="L1026" s="32" t="str">
        <f>IF($E1026="","",INDEX(资金日记账!$X$4:$X$603,59))</f>
        <v/>
      </c>
      <c r="M1026" s="32"/>
      <c r="N1026" s="26" t="str">
        <f>IF($E1026="","",INDEX(资金日记账!$Y$4:$Y$603,59))</f>
        <v/>
      </c>
      <c r="O1026" s="26" t="str">
        <f t="shared" si="62"/>
        <v/>
      </c>
      <c r="P1026" s="10"/>
    </row>
    <row r="1027" ht="18" customHeight="1" spans="1:16">
      <c r="A1027" s="32" t="str">
        <f t="shared" si="61"/>
        <v/>
      </c>
      <c r="B1027" s="100" t="str">
        <f>IF($E1027="","",INDEX(资金日记账!$B$4:$B$603,59))</f>
        <v/>
      </c>
      <c r="C1027" s="26" t="str">
        <f>IF($E1027="","",IF(INDEX(资金日记账!$W$4:$W$603,59)="","记-"&amp;TEXT($B1027,"YYYYMM")&amp;"-资金",INDEX(资金日记账!$W$4:$W$603,59)))</f>
        <v/>
      </c>
      <c r="D1027" s="32" t="str">
        <f>IF($E1027="","",INDEX(资金日记账!$D$4:$D$603,59))</f>
        <v/>
      </c>
      <c r="E1027" s="26" t="str">
        <f>IF(INDEX(资金日记账!$N$4:$S$603,59,4)=0,"",INDEX(资金日记账!$N$4:$S$603,59,4))</f>
        <v/>
      </c>
      <c r="F1027" s="25" t="str">
        <f>IF($E1027="","",IFERROR(INDEX(科目表!$A$4:$A$81,MATCH($E1027,科目表!$B$4:$B$81,0)),""))</f>
        <v/>
      </c>
      <c r="G1027" s="26" t="str">
        <f>IF($E1027="","",IFERROR(INDEX(科目表!$E$4:$E$81,MATCH($E1027,科目表!$B$4:$B$81,0)),""))</f>
        <v/>
      </c>
      <c r="H1027" s="27" t="str">
        <f>IF($E1027="","",N(INDEX(资金日记账!$N$4:$S$603,59,5)))</f>
        <v/>
      </c>
      <c r="I1027" s="27" t="str">
        <f>IF($E1027="","",N(INDEX(资金日记账!$N$4:$S$603,59,6)))</f>
        <v/>
      </c>
      <c r="J1027" s="26" t="str">
        <f>IF($E1027="","",INDEX(资金日记账!$E$4:$E$603,59))</f>
        <v/>
      </c>
      <c r="K1027" s="26" t="str">
        <f>IF($E1027="","",INDEX(资金日记账!$F$4:$F$603,59))</f>
        <v/>
      </c>
      <c r="L1027" s="32" t="str">
        <f>IF($E1027="","",INDEX(资金日记账!$X$4:$X$603,59))</f>
        <v/>
      </c>
      <c r="M1027" s="32"/>
      <c r="N1027" s="26" t="str">
        <f>IF($E1027="","",INDEX(资金日记账!$Y$4:$Y$603,59))</f>
        <v/>
      </c>
      <c r="O1027" s="26" t="str">
        <f t="shared" si="62"/>
        <v/>
      </c>
      <c r="P1027" s="10"/>
    </row>
    <row r="1028" ht="18" customHeight="1" spans="1:16">
      <c r="A1028" s="32" t="str">
        <f t="shared" ref="A1028:A1091" si="63">IF($E1028="","",ROW()-3)</f>
        <v/>
      </c>
      <c r="B1028" s="100" t="str">
        <f>IF($E1028="","",INDEX(资金日记账!$B$4:$B$603,60))</f>
        <v/>
      </c>
      <c r="C1028" s="26" t="str">
        <f>IF($E1028="","",IF(INDEX(资金日记账!$W$4:$W$603,60)="","记-"&amp;TEXT($B1028,"YYYYMM")&amp;"-资金",INDEX(资金日记账!$W$4:$W$603,60)))</f>
        <v/>
      </c>
      <c r="D1028" s="32" t="str">
        <f>IF($E1028="","",INDEX(资金日记账!$D$4:$D$603,60))</f>
        <v/>
      </c>
      <c r="E1028" s="26" t="str">
        <f>IF(INDEX(资金日记账!$N$4:$S$603,60,1)=0,"",INDEX(资金日记账!$N$4:$S$603,60,1))</f>
        <v/>
      </c>
      <c r="F1028" s="25" t="str">
        <f>IF($E1028="","",IFERROR(INDEX(科目表!$A$4:$A$81,MATCH($E1028,科目表!$B$4:$B$81,0)),""))</f>
        <v/>
      </c>
      <c r="G1028" s="26" t="str">
        <f>IF($E1028="","",IFERROR(INDEX(科目表!$E$4:$E$81,MATCH($E1028,科目表!$B$4:$B$81,0)),""))</f>
        <v/>
      </c>
      <c r="H1028" s="27" t="str">
        <f>IF($E1028="","",N(INDEX(资金日记账!$N$4:$S$603,60,2)))</f>
        <v/>
      </c>
      <c r="I1028" s="27" t="str">
        <f>IF($E1028="","",N(INDEX(资金日记账!$N$4:$S$603,60,3)))</f>
        <v/>
      </c>
      <c r="J1028" s="26" t="str">
        <f>IF($E1028="","",INDEX(资金日记账!$E$4:$E$603,60))</f>
        <v/>
      </c>
      <c r="K1028" s="26" t="str">
        <f>IF($E1028="","",INDEX(资金日记账!$F$4:$F$603,60))</f>
        <v/>
      </c>
      <c r="L1028" s="32" t="str">
        <f>IF($E1028="","",INDEX(资金日记账!$X$4:$X$603,60))</f>
        <v/>
      </c>
      <c r="M1028" s="32"/>
      <c r="N1028" s="26" t="str">
        <f>IF($E1028="","",INDEX(资金日记账!$Y$4:$Y$603,60))</f>
        <v/>
      </c>
      <c r="O1028" s="26" t="str">
        <f t="shared" si="62"/>
        <v/>
      </c>
      <c r="P1028" s="10"/>
    </row>
    <row r="1029" ht="18" customHeight="1" spans="1:16">
      <c r="A1029" s="32" t="str">
        <f t="shared" si="63"/>
        <v/>
      </c>
      <c r="B1029" s="100" t="str">
        <f>IF($E1029="","",INDEX(资金日记账!$B$4:$B$603,60))</f>
        <v/>
      </c>
      <c r="C1029" s="26" t="str">
        <f>IF($E1029="","",IF(INDEX(资金日记账!$W$4:$W$603,60)="","记-"&amp;TEXT($B1029,"YYYYMM")&amp;"-资金",INDEX(资金日记账!$W$4:$W$603,60)))</f>
        <v/>
      </c>
      <c r="D1029" s="32" t="str">
        <f>IF($E1029="","",INDEX(资金日记账!$D$4:$D$603,60))</f>
        <v/>
      </c>
      <c r="E1029" s="26" t="str">
        <f>IF(INDEX(资金日记账!$N$4:$S$603,60,4)=0,"",INDEX(资金日记账!$N$4:$S$603,60,4))</f>
        <v/>
      </c>
      <c r="F1029" s="25" t="str">
        <f>IF($E1029="","",IFERROR(INDEX(科目表!$A$4:$A$81,MATCH($E1029,科目表!$B$4:$B$81,0)),""))</f>
        <v/>
      </c>
      <c r="G1029" s="26" t="str">
        <f>IF($E1029="","",IFERROR(INDEX(科目表!$E$4:$E$81,MATCH($E1029,科目表!$B$4:$B$81,0)),""))</f>
        <v/>
      </c>
      <c r="H1029" s="27" t="str">
        <f>IF($E1029="","",N(INDEX(资金日记账!$N$4:$S$603,60,5)))</f>
        <v/>
      </c>
      <c r="I1029" s="27" t="str">
        <f>IF($E1029="","",N(INDEX(资金日记账!$N$4:$S$603,60,6)))</f>
        <v/>
      </c>
      <c r="J1029" s="26" t="str">
        <f>IF($E1029="","",INDEX(资金日记账!$E$4:$E$603,60))</f>
        <v/>
      </c>
      <c r="K1029" s="26" t="str">
        <f>IF($E1029="","",INDEX(资金日记账!$F$4:$F$603,60))</f>
        <v/>
      </c>
      <c r="L1029" s="32" t="str">
        <f>IF($E1029="","",INDEX(资金日记账!$X$4:$X$603,60))</f>
        <v/>
      </c>
      <c r="M1029" s="32"/>
      <c r="N1029" s="26" t="str">
        <f>IF($E1029="","",INDEX(资金日记账!$Y$4:$Y$603,60))</f>
        <v/>
      </c>
      <c r="O1029" s="26" t="str">
        <f t="shared" si="62"/>
        <v/>
      </c>
      <c r="P1029" s="10"/>
    </row>
    <row r="1030" ht="18" customHeight="1" spans="1:16">
      <c r="A1030" s="32" t="str">
        <f t="shared" si="63"/>
        <v/>
      </c>
      <c r="B1030" s="100" t="str">
        <f>IF($E1030="","",INDEX(资金日记账!$B$4:$B$603,61))</f>
        <v/>
      </c>
      <c r="C1030" s="26" t="str">
        <f>IF($E1030="","",IF(INDEX(资金日记账!$W$4:$W$603,61)="","记-"&amp;TEXT($B1030,"YYYYMM")&amp;"-资金",INDEX(资金日记账!$W$4:$W$603,61)))</f>
        <v/>
      </c>
      <c r="D1030" s="32" t="str">
        <f>IF($E1030="","",INDEX(资金日记账!$D$4:$D$603,61))</f>
        <v/>
      </c>
      <c r="E1030" s="26" t="str">
        <f>IF(INDEX(资金日记账!$N$4:$S$603,61,1)=0,"",INDEX(资金日记账!$N$4:$S$603,61,1))</f>
        <v/>
      </c>
      <c r="F1030" s="25" t="str">
        <f>IF($E1030="","",IFERROR(INDEX(科目表!$A$4:$A$81,MATCH($E1030,科目表!$B$4:$B$81,0)),""))</f>
        <v/>
      </c>
      <c r="G1030" s="26" t="str">
        <f>IF($E1030="","",IFERROR(INDEX(科目表!$E$4:$E$81,MATCH($E1030,科目表!$B$4:$B$81,0)),""))</f>
        <v/>
      </c>
      <c r="H1030" s="27" t="str">
        <f>IF($E1030="","",N(INDEX(资金日记账!$N$4:$S$603,61,2)))</f>
        <v/>
      </c>
      <c r="I1030" s="27" t="str">
        <f>IF($E1030="","",N(INDEX(资金日记账!$N$4:$S$603,61,3)))</f>
        <v/>
      </c>
      <c r="J1030" s="26" t="str">
        <f>IF($E1030="","",INDEX(资金日记账!$E$4:$E$603,61))</f>
        <v/>
      </c>
      <c r="K1030" s="26" t="str">
        <f>IF($E1030="","",INDEX(资金日记账!$F$4:$F$603,61))</f>
        <v/>
      </c>
      <c r="L1030" s="32" t="str">
        <f>IF($E1030="","",INDEX(资金日记账!$X$4:$X$603,61))</f>
        <v/>
      </c>
      <c r="M1030" s="32"/>
      <c r="N1030" s="26" t="str">
        <f>IF($E1030="","",INDEX(资金日记账!$Y$4:$Y$603,61))</f>
        <v/>
      </c>
      <c r="O1030" s="26" t="str">
        <f t="shared" si="62"/>
        <v/>
      </c>
      <c r="P1030" s="10"/>
    </row>
    <row r="1031" ht="18" customHeight="1" spans="1:16">
      <c r="A1031" s="32" t="str">
        <f t="shared" si="63"/>
        <v/>
      </c>
      <c r="B1031" s="100" t="str">
        <f>IF($E1031="","",INDEX(资金日记账!$B$4:$B$603,61))</f>
        <v/>
      </c>
      <c r="C1031" s="26" t="str">
        <f>IF($E1031="","",IF(INDEX(资金日记账!$W$4:$W$603,61)="","记-"&amp;TEXT($B1031,"YYYYMM")&amp;"-资金",INDEX(资金日记账!$W$4:$W$603,61)))</f>
        <v/>
      </c>
      <c r="D1031" s="32" t="str">
        <f>IF($E1031="","",INDEX(资金日记账!$D$4:$D$603,61))</f>
        <v/>
      </c>
      <c r="E1031" s="26" t="str">
        <f>IF(INDEX(资金日记账!$N$4:$S$603,61,4)=0,"",INDEX(资金日记账!$N$4:$S$603,61,4))</f>
        <v/>
      </c>
      <c r="F1031" s="25" t="str">
        <f>IF($E1031="","",IFERROR(INDEX(科目表!$A$4:$A$81,MATCH($E1031,科目表!$B$4:$B$81,0)),""))</f>
        <v/>
      </c>
      <c r="G1031" s="26" t="str">
        <f>IF($E1031="","",IFERROR(INDEX(科目表!$E$4:$E$81,MATCH($E1031,科目表!$B$4:$B$81,0)),""))</f>
        <v/>
      </c>
      <c r="H1031" s="27" t="str">
        <f>IF($E1031="","",N(INDEX(资金日记账!$N$4:$S$603,61,5)))</f>
        <v/>
      </c>
      <c r="I1031" s="27" t="str">
        <f>IF($E1031="","",N(INDEX(资金日记账!$N$4:$S$603,61,6)))</f>
        <v/>
      </c>
      <c r="J1031" s="26" t="str">
        <f>IF($E1031="","",INDEX(资金日记账!$E$4:$E$603,61))</f>
        <v/>
      </c>
      <c r="K1031" s="26" t="str">
        <f>IF($E1031="","",INDEX(资金日记账!$F$4:$F$603,61))</f>
        <v/>
      </c>
      <c r="L1031" s="32" t="str">
        <f>IF($E1031="","",INDEX(资金日记账!$X$4:$X$603,61))</f>
        <v/>
      </c>
      <c r="M1031" s="32"/>
      <c r="N1031" s="26" t="str">
        <f>IF($E1031="","",INDEX(资金日记账!$Y$4:$Y$603,61))</f>
        <v/>
      </c>
      <c r="O1031" s="26" t="str">
        <f t="shared" si="62"/>
        <v/>
      </c>
      <c r="P1031" s="10"/>
    </row>
    <row r="1032" ht="18" customHeight="1" spans="1:16">
      <c r="A1032" s="32" t="str">
        <f t="shared" si="63"/>
        <v/>
      </c>
      <c r="B1032" s="100" t="str">
        <f>IF($E1032="","",INDEX(资金日记账!$B$4:$B$603,62))</f>
        <v/>
      </c>
      <c r="C1032" s="26" t="str">
        <f>IF($E1032="","",IF(INDEX(资金日记账!$W$4:$W$603,62)="","记-"&amp;TEXT($B1032,"YYYYMM")&amp;"-资金",INDEX(资金日记账!$W$4:$W$603,62)))</f>
        <v/>
      </c>
      <c r="D1032" s="32" t="str">
        <f>IF($E1032="","",INDEX(资金日记账!$D$4:$D$603,62))</f>
        <v/>
      </c>
      <c r="E1032" s="26" t="str">
        <f>IF(INDEX(资金日记账!$N$4:$S$603,62,1)=0,"",INDEX(资金日记账!$N$4:$S$603,62,1))</f>
        <v/>
      </c>
      <c r="F1032" s="25" t="str">
        <f>IF($E1032="","",IFERROR(INDEX(科目表!$A$4:$A$81,MATCH($E1032,科目表!$B$4:$B$81,0)),""))</f>
        <v/>
      </c>
      <c r="G1032" s="26" t="str">
        <f>IF($E1032="","",IFERROR(INDEX(科目表!$E$4:$E$81,MATCH($E1032,科目表!$B$4:$B$81,0)),""))</f>
        <v/>
      </c>
      <c r="H1032" s="27" t="str">
        <f>IF($E1032="","",N(INDEX(资金日记账!$N$4:$S$603,62,2)))</f>
        <v/>
      </c>
      <c r="I1032" s="27" t="str">
        <f>IF($E1032="","",N(INDEX(资金日记账!$N$4:$S$603,62,3)))</f>
        <v/>
      </c>
      <c r="J1032" s="26" t="str">
        <f>IF($E1032="","",INDEX(资金日记账!$E$4:$E$603,62))</f>
        <v/>
      </c>
      <c r="K1032" s="26" t="str">
        <f>IF($E1032="","",INDEX(资金日记账!$F$4:$F$603,62))</f>
        <v/>
      </c>
      <c r="L1032" s="32" t="str">
        <f>IF($E1032="","",INDEX(资金日记账!$X$4:$X$603,62))</f>
        <v/>
      </c>
      <c r="M1032" s="32"/>
      <c r="N1032" s="26" t="str">
        <f>IF($E1032="","",INDEX(资金日记账!$Y$4:$Y$603,62))</f>
        <v/>
      </c>
      <c r="O1032" s="26" t="str">
        <f t="shared" si="62"/>
        <v/>
      </c>
      <c r="P1032" s="10"/>
    </row>
    <row r="1033" ht="18" customHeight="1" spans="1:16">
      <c r="A1033" s="32" t="str">
        <f t="shared" si="63"/>
        <v/>
      </c>
      <c r="B1033" s="100" t="str">
        <f>IF($E1033="","",INDEX(资金日记账!$B$4:$B$603,62))</f>
        <v/>
      </c>
      <c r="C1033" s="26" t="str">
        <f>IF($E1033="","",IF(INDEX(资金日记账!$W$4:$W$603,62)="","记-"&amp;TEXT($B1033,"YYYYMM")&amp;"-资金",INDEX(资金日记账!$W$4:$W$603,62)))</f>
        <v/>
      </c>
      <c r="D1033" s="32" t="str">
        <f>IF($E1033="","",INDEX(资金日记账!$D$4:$D$603,62))</f>
        <v/>
      </c>
      <c r="E1033" s="26" t="str">
        <f>IF(INDEX(资金日记账!$N$4:$S$603,62,4)=0,"",INDEX(资金日记账!$N$4:$S$603,62,4))</f>
        <v/>
      </c>
      <c r="F1033" s="25" t="str">
        <f>IF($E1033="","",IFERROR(INDEX(科目表!$A$4:$A$81,MATCH($E1033,科目表!$B$4:$B$81,0)),""))</f>
        <v/>
      </c>
      <c r="G1033" s="26" t="str">
        <f>IF($E1033="","",IFERROR(INDEX(科目表!$E$4:$E$81,MATCH($E1033,科目表!$B$4:$B$81,0)),""))</f>
        <v/>
      </c>
      <c r="H1033" s="27" t="str">
        <f>IF($E1033="","",N(INDEX(资金日记账!$N$4:$S$603,62,5)))</f>
        <v/>
      </c>
      <c r="I1033" s="27" t="str">
        <f>IF($E1033="","",N(INDEX(资金日记账!$N$4:$S$603,62,6)))</f>
        <v/>
      </c>
      <c r="J1033" s="26" t="str">
        <f>IF($E1033="","",INDEX(资金日记账!$E$4:$E$603,62))</f>
        <v/>
      </c>
      <c r="K1033" s="26" t="str">
        <f>IF($E1033="","",INDEX(资金日记账!$F$4:$F$603,62))</f>
        <v/>
      </c>
      <c r="L1033" s="32" t="str">
        <f>IF($E1033="","",INDEX(资金日记账!$X$4:$X$603,62))</f>
        <v/>
      </c>
      <c r="M1033" s="32"/>
      <c r="N1033" s="26" t="str">
        <f>IF($E1033="","",INDEX(资金日记账!$Y$4:$Y$603,62))</f>
        <v/>
      </c>
      <c r="O1033" s="26" t="str">
        <f t="shared" si="62"/>
        <v/>
      </c>
      <c r="P1033" s="10"/>
    </row>
    <row r="1034" ht="18" customHeight="1" spans="1:16">
      <c r="A1034" s="32" t="str">
        <f t="shared" si="63"/>
        <v/>
      </c>
      <c r="B1034" s="100" t="str">
        <f>IF($E1034="","",INDEX(资金日记账!$B$4:$B$603,63))</f>
        <v/>
      </c>
      <c r="C1034" s="26" t="str">
        <f>IF($E1034="","",IF(INDEX(资金日记账!$W$4:$W$603,63)="","记-"&amp;TEXT($B1034,"YYYYMM")&amp;"-资金",INDEX(资金日记账!$W$4:$W$603,63)))</f>
        <v/>
      </c>
      <c r="D1034" s="32" t="str">
        <f>IF($E1034="","",INDEX(资金日记账!$D$4:$D$603,63))</f>
        <v/>
      </c>
      <c r="E1034" s="26" t="str">
        <f>IF(INDEX(资金日记账!$N$4:$S$603,63,1)=0,"",INDEX(资金日记账!$N$4:$S$603,63,1))</f>
        <v/>
      </c>
      <c r="F1034" s="25" t="str">
        <f>IF($E1034="","",IFERROR(INDEX(科目表!$A$4:$A$81,MATCH($E1034,科目表!$B$4:$B$81,0)),""))</f>
        <v/>
      </c>
      <c r="G1034" s="26" t="str">
        <f>IF($E1034="","",IFERROR(INDEX(科目表!$E$4:$E$81,MATCH($E1034,科目表!$B$4:$B$81,0)),""))</f>
        <v/>
      </c>
      <c r="H1034" s="27" t="str">
        <f>IF($E1034="","",N(INDEX(资金日记账!$N$4:$S$603,63,2)))</f>
        <v/>
      </c>
      <c r="I1034" s="27" t="str">
        <f>IF($E1034="","",N(INDEX(资金日记账!$N$4:$S$603,63,3)))</f>
        <v/>
      </c>
      <c r="J1034" s="26" t="str">
        <f>IF($E1034="","",INDEX(资金日记账!$E$4:$E$603,63))</f>
        <v/>
      </c>
      <c r="K1034" s="26" t="str">
        <f>IF($E1034="","",INDEX(资金日记账!$F$4:$F$603,63))</f>
        <v/>
      </c>
      <c r="L1034" s="32" t="str">
        <f>IF($E1034="","",INDEX(资金日记账!$X$4:$X$603,63))</f>
        <v/>
      </c>
      <c r="M1034" s="32"/>
      <c r="N1034" s="26" t="str">
        <f>IF($E1034="","",INDEX(资金日记账!$Y$4:$Y$603,63))</f>
        <v/>
      </c>
      <c r="O1034" s="26" t="str">
        <f t="shared" si="62"/>
        <v/>
      </c>
      <c r="P1034" s="10"/>
    </row>
    <row r="1035" ht="18" customHeight="1" spans="1:16">
      <c r="A1035" s="32" t="str">
        <f t="shared" si="63"/>
        <v/>
      </c>
      <c r="B1035" s="100" t="str">
        <f>IF($E1035="","",INDEX(资金日记账!$B$4:$B$603,63))</f>
        <v/>
      </c>
      <c r="C1035" s="26" t="str">
        <f>IF($E1035="","",IF(INDEX(资金日记账!$W$4:$W$603,63)="","记-"&amp;TEXT($B1035,"YYYYMM")&amp;"-资金",INDEX(资金日记账!$W$4:$W$603,63)))</f>
        <v/>
      </c>
      <c r="D1035" s="32" t="str">
        <f>IF($E1035="","",INDEX(资金日记账!$D$4:$D$603,63))</f>
        <v/>
      </c>
      <c r="E1035" s="26" t="str">
        <f>IF(INDEX(资金日记账!$N$4:$S$603,63,4)=0,"",INDEX(资金日记账!$N$4:$S$603,63,4))</f>
        <v/>
      </c>
      <c r="F1035" s="25" t="str">
        <f>IF($E1035="","",IFERROR(INDEX(科目表!$A$4:$A$81,MATCH($E1035,科目表!$B$4:$B$81,0)),""))</f>
        <v/>
      </c>
      <c r="G1035" s="26" t="str">
        <f>IF($E1035="","",IFERROR(INDEX(科目表!$E$4:$E$81,MATCH($E1035,科目表!$B$4:$B$81,0)),""))</f>
        <v/>
      </c>
      <c r="H1035" s="27" t="str">
        <f>IF($E1035="","",N(INDEX(资金日记账!$N$4:$S$603,63,5)))</f>
        <v/>
      </c>
      <c r="I1035" s="27" t="str">
        <f>IF($E1035="","",N(INDEX(资金日记账!$N$4:$S$603,63,6)))</f>
        <v/>
      </c>
      <c r="J1035" s="26" t="str">
        <f>IF($E1035="","",INDEX(资金日记账!$E$4:$E$603,63))</f>
        <v/>
      </c>
      <c r="K1035" s="26" t="str">
        <f>IF($E1035="","",INDEX(资金日记账!$F$4:$F$603,63))</f>
        <v/>
      </c>
      <c r="L1035" s="32" t="str">
        <f>IF($E1035="","",INDEX(资金日记账!$X$4:$X$603,63))</f>
        <v/>
      </c>
      <c r="M1035" s="32"/>
      <c r="N1035" s="26" t="str">
        <f>IF($E1035="","",INDEX(资金日记账!$Y$4:$Y$603,63))</f>
        <v/>
      </c>
      <c r="O1035" s="26" t="str">
        <f t="shared" si="62"/>
        <v/>
      </c>
      <c r="P1035" s="10"/>
    </row>
    <row r="1036" ht="18" customHeight="1" spans="1:16">
      <c r="A1036" s="32" t="str">
        <f t="shared" si="63"/>
        <v/>
      </c>
      <c r="B1036" s="100" t="str">
        <f>IF($E1036="","",INDEX(资金日记账!$B$4:$B$603,64))</f>
        <v/>
      </c>
      <c r="C1036" s="26" t="str">
        <f>IF($E1036="","",IF(INDEX(资金日记账!$W$4:$W$603,64)="","记-"&amp;TEXT($B1036,"YYYYMM")&amp;"-资金",INDEX(资金日记账!$W$4:$W$603,64)))</f>
        <v/>
      </c>
      <c r="D1036" s="32" t="str">
        <f>IF($E1036="","",INDEX(资金日记账!$D$4:$D$603,64))</f>
        <v/>
      </c>
      <c r="E1036" s="26" t="str">
        <f>IF(INDEX(资金日记账!$N$4:$S$603,64,1)=0,"",INDEX(资金日记账!$N$4:$S$603,64,1))</f>
        <v/>
      </c>
      <c r="F1036" s="25" t="str">
        <f>IF($E1036="","",IFERROR(INDEX(科目表!$A$4:$A$81,MATCH($E1036,科目表!$B$4:$B$81,0)),""))</f>
        <v/>
      </c>
      <c r="G1036" s="26" t="str">
        <f>IF($E1036="","",IFERROR(INDEX(科目表!$E$4:$E$81,MATCH($E1036,科目表!$B$4:$B$81,0)),""))</f>
        <v/>
      </c>
      <c r="H1036" s="27" t="str">
        <f>IF($E1036="","",N(INDEX(资金日记账!$N$4:$S$603,64,2)))</f>
        <v/>
      </c>
      <c r="I1036" s="27" t="str">
        <f>IF($E1036="","",N(INDEX(资金日记账!$N$4:$S$603,64,3)))</f>
        <v/>
      </c>
      <c r="J1036" s="26" t="str">
        <f>IF($E1036="","",INDEX(资金日记账!$E$4:$E$603,64))</f>
        <v/>
      </c>
      <c r="K1036" s="26" t="str">
        <f>IF($E1036="","",INDEX(资金日记账!$F$4:$F$603,64))</f>
        <v/>
      </c>
      <c r="L1036" s="32" t="str">
        <f>IF($E1036="","",INDEX(资金日记账!$X$4:$X$603,64))</f>
        <v/>
      </c>
      <c r="M1036" s="32"/>
      <c r="N1036" s="26" t="str">
        <f>IF($E1036="","",INDEX(资金日记账!$Y$4:$Y$603,64))</f>
        <v/>
      </c>
      <c r="O1036" s="26" t="str">
        <f t="shared" si="62"/>
        <v/>
      </c>
      <c r="P1036" s="10"/>
    </row>
    <row r="1037" ht="18" customHeight="1" spans="1:16">
      <c r="A1037" s="32" t="str">
        <f t="shared" si="63"/>
        <v/>
      </c>
      <c r="B1037" s="100" t="str">
        <f>IF($E1037="","",INDEX(资金日记账!$B$4:$B$603,64))</f>
        <v/>
      </c>
      <c r="C1037" s="26" t="str">
        <f>IF($E1037="","",IF(INDEX(资金日记账!$W$4:$W$603,64)="","记-"&amp;TEXT($B1037,"YYYYMM")&amp;"-资金",INDEX(资金日记账!$W$4:$W$603,64)))</f>
        <v/>
      </c>
      <c r="D1037" s="32" t="str">
        <f>IF($E1037="","",INDEX(资金日记账!$D$4:$D$603,64))</f>
        <v/>
      </c>
      <c r="E1037" s="26" t="str">
        <f>IF(INDEX(资金日记账!$N$4:$S$603,64,4)=0,"",INDEX(资金日记账!$N$4:$S$603,64,4))</f>
        <v/>
      </c>
      <c r="F1037" s="25" t="str">
        <f>IF($E1037="","",IFERROR(INDEX(科目表!$A$4:$A$81,MATCH($E1037,科目表!$B$4:$B$81,0)),""))</f>
        <v/>
      </c>
      <c r="G1037" s="26" t="str">
        <f>IF($E1037="","",IFERROR(INDEX(科目表!$E$4:$E$81,MATCH($E1037,科目表!$B$4:$B$81,0)),""))</f>
        <v/>
      </c>
      <c r="H1037" s="27" t="str">
        <f>IF($E1037="","",N(INDEX(资金日记账!$N$4:$S$603,64,5)))</f>
        <v/>
      </c>
      <c r="I1037" s="27" t="str">
        <f>IF($E1037="","",N(INDEX(资金日记账!$N$4:$S$603,64,6)))</f>
        <v/>
      </c>
      <c r="J1037" s="26" t="str">
        <f>IF($E1037="","",INDEX(资金日记账!$E$4:$E$603,64))</f>
        <v/>
      </c>
      <c r="K1037" s="26" t="str">
        <f>IF($E1037="","",INDEX(资金日记账!$F$4:$F$603,64))</f>
        <v/>
      </c>
      <c r="L1037" s="32" t="str">
        <f>IF($E1037="","",INDEX(资金日记账!$X$4:$X$603,64))</f>
        <v/>
      </c>
      <c r="M1037" s="32"/>
      <c r="N1037" s="26" t="str">
        <f>IF($E1037="","",INDEX(资金日记账!$Y$4:$Y$603,64))</f>
        <v/>
      </c>
      <c r="O1037" s="26" t="str">
        <f t="shared" si="62"/>
        <v/>
      </c>
      <c r="P1037" s="10"/>
    </row>
    <row r="1038" ht="18" customHeight="1" spans="1:16">
      <c r="A1038" s="32" t="str">
        <f t="shared" si="63"/>
        <v/>
      </c>
      <c r="B1038" s="100" t="str">
        <f>IF($E1038="","",INDEX(资金日记账!$B$4:$B$603,65))</f>
        <v/>
      </c>
      <c r="C1038" s="26" t="str">
        <f>IF($E1038="","",IF(INDEX(资金日记账!$W$4:$W$603,65)="","记-"&amp;TEXT($B1038,"YYYYMM")&amp;"-资金",INDEX(资金日记账!$W$4:$W$603,65)))</f>
        <v/>
      </c>
      <c r="D1038" s="32" t="str">
        <f>IF($E1038="","",INDEX(资金日记账!$D$4:$D$603,65))</f>
        <v/>
      </c>
      <c r="E1038" s="26" t="str">
        <f>IF(INDEX(资金日记账!$N$4:$S$603,65,1)=0,"",INDEX(资金日记账!$N$4:$S$603,65,1))</f>
        <v/>
      </c>
      <c r="F1038" s="25" t="str">
        <f>IF($E1038="","",IFERROR(INDEX(科目表!$A$4:$A$81,MATCH($E1038,科目表!$B$4:$B$81,0)),""))</f>
        <v/>
      </c>
      <c r="G1038" s="26" t="str">
        <f>IF($E1038="","",IFERROR(INDEX(科目表!$E$4:$E$81,MATCH($E1038,科目表!$B$4:$B$81,0)),""))</f>
        <v/>
      </c>
      <c r="H1038" s="27" t="str">
        <f>IF($E1038="","",N(INDEX(资金日记账!$N$4:$S$603,65,2)))</f>
        <v/>
      </c>
      <c r="I1038" s="27" t="str">
        <f>IF($E1038="","",N(INDEX(资金日记账!$N$4:$S$603,65,3)))</f>
        <v/>
      </c>
      <c r="J1038" s="26" t="str">
        <f>IF($E1038="","",INDEX(资金日记账!$E$4:$E$603,65))</f>
        <v/>
      </c>
      <c r="K1038" s="26" t="str">
        <f>IF($E1038="","",INDEX(资金日记账!$F$4:$F$603,65))</f>
        <v/>
      </c>
      <c r="L1038" s="32" t="str">
        <f>IF($E1038="","",INDEX(资金日记账!$X$4:$X$603,65))</f>
        <v/>
      </c>
      <c r="M1038" s="32"/>
      <c r="N1038" s="26" t="str">
        <f>IF($E1038="","",INDEX(资金日记账!$Y$4:$Y$603,65))</f>
        <v/>
      </c>
      <c r="O1038" s="26" t="str">
        <f t="shared" ref="O1038:O1101" si="64">IF($E1038="","","自动B")</f>
        <v/>
      </c>
      <c r="P1038" s="10"/>
    </row>
    <row r="1039" ht="18" customHeight="1" spans="1:16">
      <c r="A1039" s="32" t="str">
        <f t="shared" si="63"/>
        <v/>
      </c>
      <c r="B1039" s="100" t="str">
        <f>IF($E1039="","",INDEX(资金日记账!$B$4:$B$603,65))</f>
        <v/>
      </c>
      <c r="C1039" s="26" t="str">
        <f>IF($E1039="","",IF(INDEX(资金日记账!$W$4:$W$603,65)="","记-"&amp;TEXT($B1039,"YYYYMM")&amp;"-资金",INDEX(资金日记账!$W$4:$W$603,65)))</f>
        <v/>
      </c>
      <c r="D1039" s="32" t="str">
        <f>IF($E1039="","",INDEX(资金日记账!$D$4:$D$603,65))</f>
        <v/>
      </c>
      <c r="E1039" s="26" t="str">
        <f>IF(INDEX(资金日记账!$N$4:$S$603,65,4)=0,"",INDEX(资金日记账!$N$4:$S$603,65,4))</f>
        <v/>
      </c>
      <c r="F1039" s="25" t="str">
        <f>IF($E1039="","",IFERROR(INDEX(科目表!$A$4:$A$81,MATCH($E1039,科目表!$B$4:$B$81,0)),""))</f>
        <v/>
      </c>
      <c r="G1039" s="26" t="str">
        <f>IF($E1039="","",IFERROR(INDEX(科目表!$E$4:$E$81,MATCH($E1039,科目表!$B$4:$B$81,0)),""))</f>
        <v/>
      </c>
      <c r="H1039" s="27" t="str">
        <f>IF($E1039="","",N(INDEX(资金日记账!$N$4:$S$603,65,5)))</f>
        <v/>
      </c>
      <c r="I1039" s="27" t="str">
        <f>IF($E1039="","",N(INDEX(资金日记账!$N$4:$S$603,65,6)))</f>
        <v/>
      </c>
      <c r="J1039" s="26" t="str">
        <f>IF($E1039="","",INDEX(资金日记账!$E$4:$E$603,65))</f>
        <v/>
      </c>
      <c r="K1039" s="26" t="str">
        <f>IF($E1039="","",INDEX(资金日记账!$F$4:$F$603,65))</f>
        <v/>
      </c>
      <c r="L1039" s="32" t="str">
        <f>IF($E1039="","",INDEX(资金日记账!$X$4:$X$603,65))</f>
        <v/>
      </c>
      <c r="M1039" s="32"/>
      <c r="N1039" s="26" t="str">
        <f>IF($E1039="","",INDEX(资金日记账!$Y$4:$Y$603,65))</f>
        <v/>
      </c>
      <c r="O1039" s="26" t="str">
        <f t="shared" si="64"/>
        <v/>
      </c>
      <c r="P1039" s="10"/>
    </row>
    <row r="1040" ht="18" customHeight="1" spans="1:16">
      <c r="A1040" s="32" t="str">
        <f t="shared" si="63"/>
        <v/>
      </c>
      <c r="B1040" s="100" t="str">
        <f>IF($E1040="","",INDEX(资金日记账!$B$4:$B$603,66))</f>
        <v/>
      </c>
      <c r="C1040" s="26" t="str">
        <f>IF($E1040="","",IF(INDEX(资金日记账!$W$4:$W$603,66)="","记-"&amp;TEXT($B1040,"YYYYMM")&amp;"-资金",INDEX(资金日记账!$W$4:$W$603,66)))</f>
        <v/>
      </c>
      <c r="D1040" s="32" t="str">
        <f>IF($E1040="","",INDEX(资金日记账!$D$4:$D$603,66))</f>
        <v/>
      </c>
      <c r="E1040" s="26" t="str">
        <f>IF(INDEX(资金日记账!$N$4:$S$603,66,1)=0,"",INDEX(资金日记账!$N$4:$S$603,66,1))</f>
        <v/>
      </c>
      <c r="F1040" s="25" t="str">
        <f>IF($E1040="","",IFERROR(INDEX(科目表!$A$4:$A$81,MATCH($E1040,科目表!$B$4:$B$81,0)),""))</f>
        <v/>
      </c>
      <c r="G1040" s="26" t="str">
        <f>IF($E1040="","",IFERROR(INDEX(科目表!$E$4:$E$81,MATCH($E1040,科目表!$B$4:$B$81,0)),""))</f>
        <v/>
      </c>
      <c r="H1040" s="27" t="str">
        <f>IF($E1040="","",N(INDEX(资金日记账!$N$4:$S$603,66,2)))</f>
        <v/>
      </c>
      <c r="I1040" s="27" t="str">
        <f>IF($E1040="","",N(INDEX(资金日记账!$N$4:$S$603,66,3)))</f>
        <v/>
      </c>
      <c r="J1040" s="26" t="str">
        <f>IF($E1040="","",INDEX(资金日记账!$E$4:$E$603,66))</f>
        <v/>
      </c>
      <c r="K1040" s="26" t="str">
        <f>IF($E1040="","",INDEX(资金日记账!$F$4:$F$603,66))</f>
        <v/>
      </c>
      <c r="L1040" s="32" t="str">
        <f>IF($E1040="","",INDEX(资金日记账!$X$4:$X$603,66))</f>
        <v/>
      </c>
      <c r="M1040" s="32"/>
      <c r="N1040" s="26" t="str">
        <f>IF($E1040="","",INDEX(资金日记账!$Y$4:$Y$603,66))</f>
        <v/>
      </c>
      <c r="O1040" s="26" t="str">
        <f t="shared" si="64"/>
        <v/>
      </c>
      <c r="P1040" s="10"/>
    </row>
    <row r="1041" ht="18" customHeight="1" spans="1:16">
      <c r="A1041" s="32" t="str">
        <f t="shared" si="63"/>
        <v/>
      </c>
      <c r="B1041" s="100" t="str">
        <f>IF($E1041="","",INDEX(资金日记账!$B$4:$B$603,66))</f>
        <v/>
      </c>
      <c r="C1041" s="26" t="str">
        <f>IF($E1041="","",IF(INDEX(资金日记账!$W$4:$W$603,66)="","记-"&amp;TEXT($B1041,"YYYYMM")&amp;"-资金",INDEX(资金日记账!$W$4:$W$603,66)))</f>
        <v/>
      </c>
      <c r="D1041" s="32" t="str">
        <f>IF($E1041="","",INDEX(资金日记账!$D$4:$D$603,66))</f>
        <v/>
      </c>
      <c r="E1041" s="26" t="str">
        <f>IF(INDEX(资金日记账!$N$4:$S$603,66,4)=0,"",INDEX(资金日记账!$N$4:$S$603,66,4))</f>
        <v/>
      </c>
      <c r="F1041" s="25" t="str">
        <f>IF($E1041="","",IFERROR(INDEX(科目表!$A$4:$A$81,MATCH($E1041,科目表!$B$4:$B$81,0)),""))</f>
        <v/>
      </c>
      <c r="G1041" s="26" t="str">
        <f>IF($E1041="","",IFERROR(INDEX(科目表!$E$4:$E$81,MATCH($E1041,科目表!$B$4:$B$81,0)),""))</f>
        <v/>
      </c>
      <c r="H1041" s="27" t="str">
        <f>IF($E1041="","",N(INDEX(资金日记账!$N$4:$S$603,66,5)))</f>
        <v/>
      </c>
      <c r="I1041" s="27" t="str">
        <f>IF($E1041="","",N(INDEX(资金日记账!$N$4:$S$603,66,6)))</f>
        <v/>
      </c>
      <c r="J1041" s="26" t="str">
        <f>IF($E1041="","",INDEX(资金日记账!$E$4:$E$603,66))</f>
        <v/>
      </c>
      <c r="K1041" s="26" t="str">
        <f>IF($E1041="","",INDEX(资金日记账!$F$4:$F$603,66))</f>
        <v/>
      </c>
      <c r="L1041" s="32" t="str">
        <f>IF($E1041="","",INDEX(资金日记账!$X$4:$X$603,66))</f>
        <v/>
      </c>
      <c r="M1041" s="32"/>
      <c r="N1041" s="26" t="str">
        <f>IF($E1041="","",INDEX(资金日记账!$Y$4:$Y$603,66))</f>
        <v/>
      </c>
      <c r="O1041" s="26" t="str">
        <f t="shared" si="64"/>
        <v/>
      </c>
      <c r="P1041" s="10"/>
    </row>
    <row r="1042" ht="18" customHeight="1" spans="1:16">
      <c r="A1042" s="32" t="str">
        <f t="shared" si="63"/>
        <v/>
      </c>
      <c r="B1042" s="100" t="str">
        <f>IF($E1042="","",INDEX(资金日记账!$B$4:$B$603,67))</f>
        <v/>
      </c>
      <c r="C1042" s="26" t="str">
        <f>IF($E1042="","",IF(INDEX(资金日记账!$W$4:$W$603,67)="","记-"&amp;TEXT($B1042,"YYYYMM")&amp;"-资金",INDEX(资金日记账!$W$4:$W$603,67)))</f>
        <v/>
      </c>
      <c r="D1042" s="32" t="str">
        <f>IF($E1042="","",INDEX(资金日记账!$D$4:$D$603,67))</f>
        <v/>
      </c>
      <c r="E1042" s="26" t="str">
        <f>IF(INDEX(资金日记账!$N$4:$S$603,67,1)=0,"",INDEX(资金日记账!$N$4:$S$603,67,1))</f>
        <v/>
      </c>
      <c r="F1042" s="25" t="str">
        <f>IF($E1042="","",IFERROR(INDEX(科目表!$A$4:$A$81,MATCH($E1042,科目表!$B$4:$B$81,0)),""))</f>
        <v/>
      </c>
      <c r="G1042" s="26" t="str">
        <f>IF($E1042="","",IFERROR(INDEX(科目表!$E$4:$E$81,MATCH($E1042,科目表!$B$4:$B$81,0)),""))</f>
        <v/>
      </c>
      <c r="H1042" s="27" t="str">
        <f>IF($E1042="","",N(INDEX(资金日记账!$N$4:$S$603,67,2)))</f>
        <v/>
      </c>
      <c r="I1042" s="27" t="str">
        <f>IF($E1042="","",N(INDEX(资金日记账!$N$4:$S$603,67,3)))</f>
        <v/>
      </c>
      <c r="J1042" s="26" t="str">
        <f>IF($E1042="","",INDEX(资金日记账!$E$4:$E$603,67))</f>
        <v/>
      </c>
      <c r="K1042" s="26" t="str">
        <f>IF($E1042="","",INDEX(资金日记账!$F$4:$F$603,67))</f>
        <v/>
      </c>
      <c r="L1042" s="32" t="str">
        <f>IF($E1042="","",INDEX(资金日记账!$X$4:$X$603,67))</f>
        <v/>
      </c>
      <c r="M1042" s="32"/>
      <c r="N1042" s="26" t="str">
        <f>IF($E1042="","",INDEX(资金日记账!$Y$4:$Y$603,67))</f>
        <v/>
      </c>
      <c r="O1042" s="26" t="str">
        <f t="shared" si="64"/>
        <v/>
      </c>
      <c r="P1042" s="10"/>
    </row>
    <row r="1043" ht="18" customHeight="1" spans="1:16">
      <c r="A1043" s="32" t="str">
        <f t="shared" si="63"/>
        <v/>
      </c>
      <c r="B1043" s="100" t="str">
        <f>IF($E1043="","",INDEX(资金日记账!$B$4:$B$603,67))</f>
        <v/>
      </c>
      <c r="C1043" s="26" t="str">
        <f>IF($E1043="","",IF(INDEX(资金日记账!$W$4:$W$603,67)="","记-"&amp;TEXT($B1043,"YYYYMM")&amp;"-资金",INDEX(资金日记账!$W$4:$W$603,67)))</f>
        <v/>
      </c>
      <c r="D1043" s="32" t="str">
        <f>IF($E1043="","",INDEX(资金日记账!$D$4:$D$603,67))</f>
        <v/>
      </c>
      <c r="E1043" s="26" t="str">
        <f>IF(INDEX(资金日记账!$N$4:$S$603,67,4)=0,"",INDEX(资金日记账!$N$4:$S$603,67,4))</f>
        <v/>
      </c>
      <c r="F1043" s="25" t="str">
        <f>IF($E1043="","",IFERROR(INDEX(科目表!$A$4:$A$81,MATCH($E1043,科目表!$B$4:$B$81,0)),""))</f>
        <v/>
      </c>
      <c r="G1043" s="26" t="str">
        <f>IF($E1043="","",IFERROR(INDEX(科目表!$E$4:$E$81,MATCH($E1043,科目表!$B$4:$B$81,0)),""))</f>
        <v/>
      </c>
      <c r="H1043" s="27" t="str">
        <f>IF($E1043="","",N(INDEX(资金日记账!$N$4:$S$603,67,5)))</f>
        <v/>
      </c>
      <c r="I1043" s="27" t="str">
        <f>IF($E1043="","",N(INDEX(资金日记账!$N$4:$S$603,67,6)))</f>
        <v/>
      </c>
      <c r="J1043" s="26" t="str">
        <f>IF($E1043="","",INDEX(资金日记账!$E$4:$E$603,67))</f>
        <v/>
      </c>
      <c r="K1043" s="26" t="str">
        <f>IF($E1043="","",INDEX(资金日记账!$F$4:$F$603,67))</f>
        <v/>
      </c>
      <c r="L1043" s="32" t="str">
        <f>IF($E1043="","",INDEX(资金日记账!$X$4:$X$603,67))</f>
        <v/>
      </c>
      <c r="M1043" s="32"/>
      <c r="N1043" s="26" t="str">
        <f>IF($E1043="","",INDEX(资金日记账!$Y$4:$Y$603,67))</f>
        <v/>
      </c>
      <c r="O1043" s="26" t="str">
        <f t="shared" si="64"/>
        <v/>
      </c>
      <c r="P1043" s="10"/>
    </row>
    <row r="1044" ht="18" customHeight="1" spans="1:16">
      <c r="A1044" s="32" t="str">
        <f t="shared" si="63"/>
        <v/>
      </c>
      <c r="B1044" s="100" t="str">
        <f>IF($E1044="","",INDEX(资金日记账!$B$4:$B$603,68))</f>
        <v/>
      </c>
      <c r="C1044" s="26" t="str">
        <f>IF($E1044="","",IF(INDEX(资金日记账!$W$4:$W$603,68)="","记-"&amp;TEXT($B1044,"YYYYMM")&amp;"-资金",INDEX(资金日记账!$W$4:$W$603,68)))</f>
        <v/>
      </c>
      <c r="D1044" s="32" t="str">
        <f>IF($E1044="","",INDEX(资金日记账!$D$4:$D$603,68))</f>
        <v/>
      </c>
      <c r="E1044" s="26" t="str">
        <f>IF(INDEX(资金日记账!$N$4:$S$603,68,1)=0,"",INDEX(资金日记账!$N$4:$S$603,68,1))</f>
        <v/>
      </c>
      <c r="F1044" s="25" t="str">
        <f>IF($E1044="","",IFERROR(INDEX(科目表!$A$4:$A$81,MATCH($E1044,科目表!$B$4:$B$81,0)),""))</f>
        <v/>
      </c>
      <c r="G1044" s="26" t="str">
        <f>IF($E1044="","",IFERROR(INDEX(科目表!$E$4:$E$81,MATCH($E1044,科目表!$B$4:$B$81,0)),""))</f>
        <v/>
      </c>
      <c r="H1044" s="27" t="str">
        <f>IF($E1044="","",N(INDEX(资金日记账!$N$4:$S$603,68,2)))</f>
        <v/>
      </c>
      <c r="I1044" s="27" t="str">
        <f>IF($E1044="","",N(INDEX(资金日记账!$N$4:$S$603,68,3)))</f>
        <v/>
      </c>
      <c r="J1044" s="26" t="str">
        <f>IF($E1044="","",INDEX(资金日记账!$E$4:$E$603,68))</f>
        <v/>
      </c>
      <c r="K1044" s="26" t="str">
        <f>IF($E1044="","",INDEX(资金日记账!$F$4:$F$603,68))</f>
        <v/>
      </c>
      <c r="L1044" s="32" t="str">
        <f>IF($E1044="","",INDEX(资金日记账!$X$4:$X$603,68))</f>
        <v/>
      </c>
      <c r="M1044" s="32"/>
      <c r="N1044" s="26" t="str">
        <f>IF($E1044="","",INDEX(资金日记账!$Y$4:$Y$603,68))</f>
        <v/>
      </c>
      <c r="O1044" s="26" t="str">
        <f t="shared" si="64"/>
        <v/>
      </c>
      <c r="P1044" s="10"/>
    </row>
    <row r="1045" ht="18" customHeight="1" spans="1:16">
      <c r="A1045" s="32" t="str">
        <f t="shared" si="63"/>
        <v/>
      </c>
      <c r="B1045" s="100" t="str">
        <f>IF($E1045="","",INDEX(资金日记账!$B$4:$B$603,68))</f>
        <v/>
      </c>
      <c r="C1045" s="26" t="str">
        <f>IF($E1045="","",IF(INDEX(资金日记账!$W$4:$W$603,68)="","记-"&amp;TEXT($B1045,"YYYYMM")&amp;"-资金",INDEX(资金日记账!$W$4:$W$603,68)))</f>
        <v/>
      </c>
      <c r="D1045" s="32" t="str">
        <f>IF($E1045="","",INDEX(资金日记账!$D$4:$D$603,68))</f>
        <v/>
      </c>
      <c r="E1045" s="26" t="str">
        <f>IF(INDEX(资金日记账!$N$4:$S$603,68,4)=0,"",INDEX(资金日记账!$N$4:$S$603,68,4))</f>
        <v/>
      </c>
      <c r="F1045" s="25" t="str">
        <f>IF($E1045="","",IFERROR(INDEX(科目表!$A$4:$A$81,MATCH($E1045,科目表!$B$4:$B$81,0)),""))</f>
        <v/>
      </c>
      <c r="G1045" s="26" t="str">
        <f>IF($E1045="","",IFERROR(INDEX(科目表!$E$4:$E$81,MATCH($E1045,科目表!$B$4:$B$81,0)),""))</f>
        <v/>
      </c>
      <c r="H1045" s="27" t="str">
        <f>IF($E1045="","",N(INDEX(资金日记账!$N$4:$S$603,68,5)))</f>
        <v/>
      </c>
      <c r="I1045" s="27" t="str">
        <f>IF($E1045="","",N(INDEX(资金日记账!$N$4:$S$603,68,6)))</f>
        <v/>
      </c>
      <c r="J1045" s="26" t="str">
        <f>IF($E1045="","",INDEX(资金日记账!$E$4:$E$603,68))</f>
        <v/>
      </c>
      <c r="K1045" s="26" t="str">
        <f>IF($E1045="","",INDEX(资金日记账!$F$4:$F$603,68))</f>
        <v/>
      </c>
      <c r="L1045" s="32" t="str">
        <f>IF($E1045="","",INDEX(资金日记账!$X$4:$X$603,68))</f>
        <v/>
      </c>
      <c r="M1045" s="32"/>
      <c r="N1045" s="26" t="str">
        <f>IF($E1045="","",INDEX(资金日记账!$Y$4:$Y$603,68))</f>
        <v/>
      </c>
      <c r="O1045" s="26" t="str">
        <f t="shared" si="64"/>
        <v/>
      </c>
      <c r="P1045" s="10"/>
    </row>
    <row r="1046" ht="18" customHeight="1" spans="1:16">
      <c r="A1046" s="32" t="str">
        <f t="shared" si="63"/>
        <v/>
      </c>
      <c r="B1046" s="100" t="str">
        <f>IF($E1046="","",INDEX(资金日记账!$B$4:$B$603,69))</f>
        <v/>
      </c>
      <c r="C1046" s="26" t="str">
        <f>IF($E1046="","",IF(INDEX(资金日记账!$W$4:$W$603,69)="","记-"&amp;TEXT($B1046,"YYYYMM")&amp;"-资金",INDEX(资金日记账!$W$4:$W$603,69)))</f>
        <v/>
      </c>
      <c r="D1046" s="32" t="str">
        <f>IF($E1046="","",INDEX(资金日记账!$D$4:$D$603,69))</f>
        <v/>
      </c>
      <c r="E1046" s="26" t="str">
        <f>IF(INDEX(资金日记账!$N$4:$S$603,69,1)=0,"",INDEX(资金日记账!$N$4:$S$603,69,1))</f>
        <v/>
      </c>
      <c r="F1046" s="25" t="str">
        <f>IF($E1046="","",IFERROR(INDEX(科目表!$A$4:$A$81,MATCH($E1046,科目表!$B$4:$B$81,0)),""))</f>
        <v/>
      </c>
      <c r="G1046" s="26" t="str">
        <f>IF($E1046="","",IFERROR(INDEX(科目表!$E$4:$E$81,MATCH($E1046,科目表!$B$4:$B$81,0)),""))</f>
        <v/>
      </c>
      <c r="H1046" s="27" t="str">
        <f>IF($E1046="","",N(INDEX(资金日记账!$N$4:$S$603,69,2)))</f>
        <v/>
      </c>
      <c r="I1046" s="27" t="str">
        <f>IF($E1046="","",N(INDEX(资金日记账!$N$4:$S$603,69,3)))</f>
        <v/>
      </c>
      <c r="J1046" s="26" t="str">
        <f>IF($E1046="","",INDEX(资金日记账!$E$4:$E$603,69))</f>
        <v/>
      </c>
      <c r="K1046" s="26" t="str">
        <f>IF($E1046="","",INDEX(资金日记账!$F$4:$F$603,69))</f>
        <v/>
      </c>
      <c r="L1046" s="32" t="str">
        <f>IF($E1046="","",INDEX(资金日记账!$X$4:$X$603,69))</f>
        <v/>
      </c>
      <c r="M1046" s="32"/>
      <c r="N1046" s="26" t="str">
        <f>IF($E1046="","",INDEX(资金日记账!$Y$4:$Y$603,69))</f>
        <v/>
      </c>
      <c r="O1046" s="26" t="str">
        <f t="shared" si="64"/>
        <v/>
      </c>
      <c r="P1046" s="10"/>
    </row>
    <row r="1047" ht="18" customHeight="1" spans="1:16">
      <c r="A1047" s="32" t="str">
        <f t="shared" si="63"/>
        <v/>
      </c>
      <c r="B1047" s="100" t="str">
        <f>IF($E1047="","",INDEX(资金日记账!$B$4:$B$603,69))</f>
        <v/>
      </c>
      <c r="C1047" s="26" t="str">
        <f>IF($E1047="","",IF(INDEX(资金日记账!$W$4:$W$603,69)="","记-"&amp;TEXT($B1047,"YYYYMM")&amp;"-资金",INDEX(资金日记账!$W$4:$W$603,69)))</f>
        <v/>
      </c>
      <c r="D1047" s="32" t="str">
        <f>IF($E1047="","",INDEX(资金日记账!$D$4:$D$603,69))</f>
        <v/>
      </c>
      <c r="E1047" s="26" t="str">
        <f>IF(INDEX(资金日记账!$N$4:$S$603,69,4)=0,"",INDEX(资金日记账!$N$4:$S$603,69,4))</f>
        <v/>
      </c>
      <c r="F1047" s="25" t="str">
        <f>IF($E1047="","",IFERROR(INDEX(科目表!$A$4:$A$81,MATCH($E1047,科目表!$B$4:$B$81,0)),""))</f>
        <v/>
      </c>
      <c r="G1047" s="26" t="str">
        <f>IF($E1047="","",IFERROR(INDEX(科目表!$E$4:$E$81,MATCH($E1047,科目表!$B$4:$B$81,0)),""))</f>
        <v/>
      </c>
      <c r="H1047" s="27" t="str">
        <f>IF($E1047="","",N(INDEX(资金日记账!$N$4:$S$603,69,5)))</f>
        <v/>
      </c>
      <c r="I1047" s="27" t="str">
        <f>IF($E1047="","",N(INDEX(资金日记账!$N$4:$S$603,69,6)))</f>
        <v/>
      </c>
      <c r="J1047" s="26" t="str">
        <f>IF($E1047="","",INDEX(资金日记账!$E$4:$E$603,69))</f>
        <v/>
      </c>
      <c r="K1047" s="26" t="str">
        <f>IF($E1047="","",INDEX(资金日记账!$F$4:$F$603,69))</f>
        <v/>
      </c>
      <c r="L1047" s="32" t="str">
        <f>IF($E1047="","",INDEX(资金日记账!$X$4:$X$603,69))</f>
        <v/>
      </c>
      <c r="M1047" s="32"/>
      <c r="N1047" s="26" t="str">
        <f>IF($E1047="","",INDEX(资金日记账!$Y$4:$Y$603,69))</f>
        <v/>
      </c>
      <c r="O1047" s="26" t="str">
        <f t="shared" si="64"/>
        <v/>
      </c>
      <c r="P1047" s="10"/>
    </row>
    <row r="1048" ht="18" customHeight="1" spans="1:16">
      <c r="A1048" s="32" t="str">
        <f t="shared" si="63"/>
        <v/>
      </c>
      <c r="B1048" s="100" t="str">
        <f>IF($E1048="","",INDEX(资金日记账!$B$4:$B$603,70))</f>
        <v/>
      </c>
      <c r="C1048" s="26" t="str">
        <f>IF($E1048="","",IF(INDEX(资金日记账!$W$4:$W$603,70)="","记-"&amp;TEXT($B1048,"YYYYMM")&amp;"-资金",INDEX(资金日记账!$W$4:$W$603,70)))</f>
        <v/>
      </c>
      <c r="D1048" s="32" t="str">
        <f>IF($E1048="","",INDEX(资金日记账!$D$4:$D$603,70))</f>
        <v/>
      </c>
      <c r="E1048" s="26" t="str">
        <f>IF(INDEX(资金日记账!$N$4:$S$603,70,1)=0,"",INDEX(资金日记账!$N$4:$S$603,70,1))</f>
        <v/>
      </c>
      <c r="F1048" s="25" t="str">
        <f>IF($E1048="","",IFERROR(INDEX(科目表!$A$4:$A$81,MATCH($E1048,科目表!$B$4:$B$81,0)),""))</f>
        <v/>
      </c>
      <c r="G1048" s="26" t="str">
        <f>IF($E1048="","",IFERROR(INDEX(科目表!$E$4:$E$81,MATCH($E1048,科目表!$B$4:$B$81,0)),""))</f>
        <v/>
      </c>
      <c r="H1048" s="27" t="str">
        <f>IF($E1048="","",N(INDEX(资金日记账!$N$4:$S$603,70,2)))</f>
        <v/>
      </c>
      <c r="I1048" s="27" t="str">
        <f>IF($E1048="","",N(INDEX(资金日记账!$N$4:$S$603,70,3)))</f>
        <v/>
      </c>
      <c r="J1048" s="26" t="str">
        <f>IF($E1048="","",INDEX(资金日记账!$E$4:$E$603,70))</f>
        <v/>
      </c>
      <c r="K1048" s="26" t="str">
        <f>IF($E1048="","",INDEX(资金日记账!$F$4:$F$603,70))</f>
        <v/>
      </c>
      <c r="L1048" s="32" t="str">
        <f>IF($E1048="","",INDEX(资金日记账!$X$4:$X$603,70))</f>
        <v/>
      </c>
      <c r="M1048" s="32"/>
      <c r="N1048" s="26" t="str">
        <f>IF($E1048="","",INDEX(资金日记账!$Y$4:$Y$603,70))</f>
        <v/>
      </c>
      <c r="O1048" s="26" t="str">
        <f t="shared" si="64"/>
        <v/>
      </c>
      <c r="P1048" s="10"/>
    </row>
    <row r="1049" ht="18" customHeight="1" spans="1:16">
      <c r="A1049" s="32" t="str">
        <f t="shared" si="63"/>
        <v/>
      </c>
      <c r="B1049" s="100" t="str">
        <f>IF($E1049="","",INDEX(资金日记账!$B$4:$B$603,70))</f>
        <v/>
      </c>
      <c r="C1049" s="26" t="str">
        <f>IF($E1049="","",IF(INDEX(资金日记账!$W$4:$W$603,70)="","记-"&amp;TEXT($B1049,"YYYYMM")&amp;"-资金",INDEX(资金日记账!$W$4:$W$603,70)))</f>
        <v/>
      </c>
      <c r="D1049" s="32" t="str">
        <f>IF($E1049="","",INDEX(资金日记账!$D$4:$D$603,70))</f>
        <v/>
      </c>
      <c r="E1049" s="26" t="str">
        <f>IF(INDEX(资金日记账!$N$4:$S$603,70,4)=0,"",INDEX(资金日记账!$N$4:$S$603,70,4))</f>
        <v/>
      </c>
      <c r="F1049" s="25" t="str">
        <f>IF($E1049="","",IFERROR(INDEX(科目表!$A$4:$A$81,MATCH($E1049,科目表!$B$4:$B$81,0)),""))</f>
        <v/>
      </c>
      <c r="G1049" s="26" t="str">
        <f>IF($E1049="","",IFERROR(INDEX(科目表!$E$4:$E$81,MATCH($E1049,科目表!$B$4:$B$81,0)),""))</f>
        <v/>
      </c>
      <c r="H1049" s="27" t="str">
        <f>IF($E1049="","",N(INDEX(资金日记账!$N$4:$S$603,70,5)))</f>
        <v/>
      </c>
      <c r="I1049" s="27" t="str">
        <f>IF($E1049="","",N(INDEX(资金日记账!$N$4:$S$603,70,6)))</f>
        <v/>
      </c>
      <c r="J1049" s="26" t="str">
        <f>IF($E1049="","",INDEX(资金日记账!$E$4:$E$603,70))</f>
        <v/>
      </c>
      <c r="K1049" s="26" t="str">
        <f>IF($E1049="","",INDEX(资金日记账!$F$4:$F$603,70))</f>
        <v/>
      </c>
      <c r="L1049" s="32" t="str">
        <f>IF($E1049="","",INDEX(资金日记账!$X$4:$X$603,70))</f>
        <v/>
      </c>
      <c r="M1049" s="32"/>
      <c r="N1049" s="26" t="str">
        <f>IF($E1049="","",INDEX(资金日记账!$Y$4:$Y$603,70))</f>
        <v/>
      </c>
      <c r="O1049" s="26" t="str">
        <f t="shared" si="64"/>
        <v/>
      </c>
      <c r="P1049" s="10"/>
    </row>
    <row r="1050" ht="18" customHeight="1" spans="1:16">
      <c r="A1050" s="32" t="str">
        <f t="shared" si="63"/>
        <v/>
      </c>
      <c r="B1050" s="100" t="str">
        <f>IF($E1050="","",INDEX(资金日记账!$B$4:$B$603,71))</f>
        <v/>
      </c>
      <c r="C1050" s="26" t="str">
        <f>IF($E1050="","",IF(INDEX(资金日记账!$W$4:$W$603,71)="","记-"&amp;TEXT($B1050,"YYYYMM")&amp;"-资金",INDEX(资金日记账!$W$4:$W$603,71)))</f>
        <v/>
      </c>
      <c r="D1050" s="32" t="str">
        <f>IF($E1050="","",INDEX(资金日记账!$D$4:$D$603,71))</f>
        <v/>
      </c>
      <c r="E1050" s="26" t="str">
        <f>IF(INDEX(资金日记账!$N$4:$S$603,71,1)=0,"",INDEX(资金日记账!$N$4:$S$603,71,1))</f>
        <v/>
      </c>
      <c r="F1050" s="25" t="str">
        <f>IF($E1050="","",IFERROR(INDEX(科目表!$A$4:$A$81,MATCH($E1050,科目表!$B$4:$B$81,0)),""))</f>
        <v/>
      </c>
      <c r="G1050" s="26" t="str">
        <f>IF($E1050="","",IFERROR(INDEX(科目表!$E$4:$E$81,MATCH($E1050,科目表!$B$4:$B$81,0)),""))</f>
        <v/>
      </c>
      <c r="H1050" s="27" t="str">
        <f>IF($E1050="","",N(INDEX(资金日记账!$N$4:$S$603,71,2)))</f>
        <v/>
      </c>
      <c r="I1050" s="27" t="str">
        <f>IF($E1050="","",N(INDEX(资金日记账!$N$4:$S$603,71,3)))</f>
        <v/>
      </c>
      <c r="J1050" s="26" t="str">
        <f>IF($E1050="","",INDEX(资金日记账!$E$4:$E$603,71))</f>
        <v/>
      </c>
      <c r="K1050" s="26" t="str">
        <f>IF($E1050="","",INDEX(资金日记账!$F$4:$F$603,71))</f>
        <v/>
      </c>
      <c r="L1050" s="32" t="str">
        <f>IF($E1050="","",INDEX(资金日记账!$X$4:$X$603,71))</f>
        <v/>
      </c>
      <c r="M1050" s="32"/>
      <c r="N1050" s="26" t="str">
        <f>IF($E1050="","",INDEX(资金日记账!$Y$4:$Y$603,71))</f>
        <v/>
      </c>
      <c r="O1050" s="26" t="str">
        <f t="shared" si="64"/>
        <v/>
      </c>
      <c r="P1050" s="10"/>
    </row>
    <row r="1051" ht="18" customHeight="1" spans="1:16">
      <c r="A1051" s="32" t="str">
        <f t="shared" si="63"/>
        <v/>
      </c>
      <c r="B1051" s="100" t="str">
        <f>IF($E1051="","",INDEX(资金日记账!$B$4:$B$603,71))</f>
        <v/>
      </c>
      <c r="C1051" s="26" t="str">
        <f>IF($E1051="","",IF(INDEX(资金日记账!$W$4:$W$603,71)="","记-"&amp;TEXT($B1051,"YYYYMM")&amp;"-资金",INDEX(资金日记账!$W$4:$W$603,71)))</f>
        <v/>
      </c>
      <c r="D1051" s="32" t="str">
        <f>IF($E1051="","",INDEX(资金日记账!$D$4:$D$603,71))</f>
        <v/>
      </c>
      <c r="E1051" s="26" t="str">
        <f>IF(INDEX(资金日记账!$N$4:$S$603,71,4)=0,"",INDEX(资金日记账!$N$4:$S$603,71,4))</f>
        <v/>
      </c>
      <c r="F1051" s="25" t="str">
        <f>IF($E1051="","",IFERROR(INDEX(科目表!$A$4:$A$81,MATCH($E1051,科目表!$B$4:$B$81,0)),""))</f>
        <v/>
      </c>
      <c r="G1051" s="26" t="str">
        <f>IF($E1051="","",IFERROR(INDEX(科目表!$E$4:$E$81,MATCH($E1051,科目表!$B$4:$B$81,0)),""))</f>
        <v/>
      </c>
      <c r="H1051" s="27" t="str">
        <f>IF($E1051="","",N(INDEX(资金日记账!$N$4:$S$603,71,5)))</f>
        <v/>
      </c>
      <c r="I1051" s="27" t="str">
        <f>IF($E1051="","",N(INDEX(资金日记账!$N$4:$S$603,71,6)))</f>
        <v/>
      </c>
      <c r="J1051" s="26" t="str">
        <f>IF($E1051="","",INDEX(资金日记账!$E$4:$E$603,71))</f>
        <v/>
      </c>
      <c r="K1051" s="26" t="str">
        <f>IF($E1051="","",INDEX(资金日记账!$F$4:$F$603,71))</f>
        <v/>
      </c>
      <c r="L1051" s="32" t="str">
        <f>IF($E1051="","",INDEX(资金日记账!$X$4:$X$603,71))</f>
        <v/>
      </c>
      <c r="M1051" s="32"/>
      <c r="N1051" s="26" t="str">
        <f>IF($E1051="","",INDEX(资金日记账!$Y$4:$Y$603,71))</f>
        <v/>
      </c>
      <c r="O1051" s="26" t="str">
        <f t="shared" si="64"/>
        <v/>
      </c>
      <c r="P1051" s="10"/>
    </row>
    <row r="1052" ht="18" customHeight="1" spans="1:16">
      <c r="A1052" s="32" t="str">
        <f t="shared" si="63"/>
        <v/>
      </c>
      <c r="B1052" s="100" t="str">
        <f>IF($E1052="","",INDEX(资金日记账!$B$4:$B$603,72))</f>
        <v/>
      </c>
      <c r="C1052" s="26" t="str">
        <f>IF($E1052="","",IF(INDEX(资金日记账!$W$4:$W$603,72)="","记-"&amp;TEXT($B1052,"YYYYMM")&amp;"-资金",INDEX(资金日记账!$W$4:$W$603,72)))</f>
        <v/>
      </c>
      <c r="D1052" s="32" t="str">
        <f>IF($E1052="","",INDEX(资金日记账!$D$4:$D$603,72))</f>
        <v/>
      </c>
      <c r="E1052" s="26" t="str">
        <f>IF(INDEX(资金日记账!$N$4:$S$603,72,1)=0,"",INDEX(资金日记账!$N$4:$S$603,72,1))</f>
        <v/>
      </c>
      <c r="F1052" s="25" t="str">
        <f>IF($E1052="","",IFERROR(INDEX(科目表!$A$4:$A$81,MATCH($E1052,科目表!$B$4:$B$81,0)),""))</f>
        <v/>
      </c>
      <c r="G1052" s="26" t="str">
        <f>IF($E1052="","",IFERROR(INDEX(科目表!$E$4:$E$81,MATCH($E1052,科目表!$B$4:$B$81,0)),""))</f>
        <v/>
      </c>
      <c r="H1052" s="27" t="str">
        <f>IF($E1052="","",N(INDEX(资金日记账!$N$4:$S$603,72,2)))</f>
        <v/>
      </c>
      <c r="I1052" s="27" t="str">
        <f>IF($E1052="","",N(INDEX(资金日记账!$N$4:$S$603,72,3)))</f>
        <v/>
      </c>
      <c r="J1052" s="26" t="str">
        <f>IF($E1052="","",INDEX(资金日记账!$E$4:$E$603,72))</f>
        <v/>
      </c>
      <c r="K1052" s="26" t="str">
        <f>IF($E1052="","",INDEX(资金日记账!$F$4:$F$603,72))</f>
        <v/>
      </c>
      <c r="L1052" s="32" t="str">
        <f>IF($E1052="","",INDEX(资金日记账!$X$4:$X$603,72))</f>
        <v/>
      </c>
      <c r="M1052" s="32"/>
      <c r="N1052" s="26" t="str">
        <f>IF($E1052="","",INDEX(资金日记账!$Y$4:$Y$603,72))</f>
        <v/>
      </c>
      <c r="O1052" s="26" t="str">
        <f t="shared" si="64"/>
        <v/>
      </c>
      <c r="P1052" s="10"/>
    </row>
    <row r="1053" ht="18" customHeight="1" spans="1:16">
      <c r="A1053" s="32" t="str">
        <f t="shared" si="63"/>
        <v/>
      </c>
      <c r="B1053" s="100" t="str">
        <f>IF($E1053="","",INDEX(资金日记账!$B$4:$B$603,72))</f>
        <v/>
      </c>
      <c r="C1053" s="26" t="str">
        <f>IF($E1053="","",IF(INDEX(资金日记账!$W$4:$W$603,72)="","记-"&amp;TEXT($B1053,"YYYYMM")&amp;"-资金",INDEX(资金日记账!$W$4:$W$603,72)))</f>
        <v/>
      </c>
      <c r="D1053" s="32" t="str">
        <f>IF($E1053="","",INDEX(资金日记账!$D$4:$D$603,72))</f>
        <v/>
      </c>
      <c r="E1053" s="26" t="str">
        <f>IF(INDEX(资金日记账!$N$4:$S$603,72,4)=0,"",INDEX(资金日记账!$N$4:$S$603,72,4))</f>
        <v/>
      </c>
      <c r="F1053" s="25" t="str">
        <f>IF($E1053="","",IFERROR(INDEX(科目表!$A$4:$A$81,MATCH($E1053,科目表!$B$4:$B$81,0)),""))</f>
        <v/>
      </c>
      <c r="G1053" s="26" t="str">
        <f>IF($E1053="","",IFERROR(INDEX(科目表!$E$4:$E$81,MATCH($E1053,科目表!$B$4:$B$81,0)),""))</f>
        <v/>
      </c>
      <c r="H1053" s="27" t="str">
        <f>IF($E1053="","",N(INDEX(资金日记账!$N$4:$S$603,72,5)))</f>
        <v/>
      </c>
      <c r="I1053" s="27" t="str">
        <f>IF($E1053="","",N(INDEX(资金日记账!$N$4:$S$603,72,6)))</f>
        <v/>
      </c>
      <c r="J1053" s="26" t="str">
        <f>IF($E1053="","",INDEX(资金日记账!$E$4:$E$603,72))</f>
        <v/>
      </c>
      <c r="K1053" s="26" t="str">
        <f>IF($E1053="","",INDEX(资金日记账!$F$4:$F$603,72))</f>
        <v/>
      </c>
      <c r="L1053" s="32" t="str">
        <f>IF($E1053="","",INDEX(资金日记账!$X$4:$X$603,72))</f>
        <v/>
      </c>
      <c r="M1053" s="32"/>
      <c r="N1053" s="26" t="str">
        <f>IF($E1053="","",INDEX(资金日记账!$Y$4:$Y$603,72))</f>
        <v/>
      </c>
      <c r="O1053" s="26" t="str">
        <f t="shared" si="64"/>
        <v/>
      </c>
      <c r="P1053" s="10"/>
    </row>
    <row r="1054" ht="18" customHeight="1" spans="1:16">
      <c r="A1054" s="32" t="str">
        <f t="shared" si="63"/>
        <v/>
      </c>
      <c r="B1054" s="100" t="str">
        <f>IF($E1054="","",INDEX(资金日记账!$B$4:$B$603,73))</f>
        <v/>
      </c>
      <c r="C1054" s="26" t="str">
        <f>IF($E1054="","",IF(INDEX(资金日记账!$W$4:$W$603,73)="","记-"&amp;TEXT($B1054,"YYYYMM")&amp;"-资金",INDEX(资金日记账!$W$4:$W$603,73)))</f>
        <v/>
      </c>
      <c r="D1054" s="32" t="str">
        <f>IF($E1054="","",INDEX(资金日记账!$D$4:$D$603,73))</f>
        <v/>
      </c>
      <c r="E1054" s="26" t="str">
        <f>IF(INDEX(资金日记账!$N$4:$S$603,73,1)=0,"",INDEX(资金日记账!$N$4:$S$603,73,1))</f>
        <v/>
      </c>
      <c r="F1054" s="25" t="str">
        <f>IF($E1054="","",IFERROR(INDEX(科目表!$A$4:$A$81,MATCH($E1054,科目表!$B$4:$B$81,0)),""))</f>
        <v/>
      </c>
      <c r="G1054" s="26" t="str">
        <f>IF($E1054="","",IFERROR(INDEX(科目表!$E$4:$E$81,MATCH($E1054,科目表!$B$4:$B$81,0)),""))</f>
        <v/>
      </c>
      <c r="H1054" s="27" t="str">
        <f>IF($E1054="","",N(INDEX(资金日记账!$N$4:$S$603,73,2)))</f>
        <v/>
      </c>
      <c r="I1054" s="27" t="str">
        <f>IF($E1054="","",N(INDEX(资金日记账!$N$4:$S$603,73,3)))</f>
        <v/>
      </c>
      <c r="J1054" s="26" t="str">
        <f>IF($E1054="","",INDEX(资金日记账!$E$4:$E$603,73))</f>
        <v/>
      </c>
      <c r="K1054" s="26" t="str">
        <f>IF($E1054="","",INDEX(资金日记账!$F$4:$F$603,73))</f>
        <v/>
      </c>
      <c r="L1054" s="32" t="str">
        <f>IF($E1054="","",INDEX(资金日记账!$X$4:$X$603,73))</f>
        <v/>
      </c>
      <c r="M1054" s="32"/>
      <c r="N1054" s="26" t="str">
        <f>IF($E1054="","",INDEX(资金日记账!$Y$4:$Y$603,73))</f>
        <v/>
      </c>
      <c r="O1054" s="26" t="str">
        <f t="shared" si="64"/>
        <v/>
      </c>
      <c r="P1054" s="10"/>
    </row>
    <row r="1055" ht="18" customHeight="1" spans="1:16">
      <c r="A1055" s="32" t="str">
        <f t="shared" si="63"/>
        <v/>
      </c>
      <c r="B1055" s="100" t="str">
        <f>IF($E1055="","",INDEX(资金日记账!$B$4:$B$603,73))</f>
        <v/>
      </c>
      <c r="C1055" s="26" t="str">
        <f>IF($E1055="","",IF(INDEX(资金日记账!$W$4:$W$603,73)="","记-"&amp;TEXT($B1055,"YYYYMM")&amp;"-资金",INDEX(资金日记账!$W$4:$W$603,73)))</f>
        <v/>
      </c>
      <c r="D1055" s="32" t="str">
        <f>IF($E1055="","",INDEX(资金日记账!$D$4:$D$603,73))</f>
        <v/>
      </c>
      <c r="E1055" s="26" t="str">
        <f>IF(INDEX(资金日记账!$N$4:$S$603,73,4)=0,"",INDEX(资金日记账!$N$4:$S$603,73,4))</f>
        <v/>
      </c>
      <c r="F1055" s="25" t="str">
        <f>IF($E1055="","",IFERROR(INDEX(科目表!$A$4:$A$81,MATCH($E1055,科目表!$B$4:$B$81,0)),""))</f>
        <v/>
      </c>
      <c r="G1055" s="26" t="str">
        <f>IF($E1055="","",IFERROR(INDEX(科目表!$E$4:$E$81,MATCH($E1055,科目表!$B$4:$B$81,0)),""))</f>
        <v/>
      </c>
      <c r="H1055" s="27" t="str">
        <f>IF($E1055="","",N(INDEX(资金日记账!$N$4:$S$603,73,5)))</f>
        <v/>
      </c>
      <c r="I1055" s="27" t="str">
        <f>IF($E1055="","",N(INDEX(资金日记账!$N$4:$S$603,73,6)))</f>
        <v/>
      </c>
      <c r="J1055" s="26" t="str">
        <f>IF($E1055="","",INDEX(资金日记账!$E$4:$E$603,73))</f>
        <v/>
      </c>
      <c r="K1055" s="26" t="str">
        <f>IF($E1055="","",INDEX(资金日记账!$F$4:$F$603,73))</f>
        <v/>
      </c>
      <c r="L1055" s="32" t="str">
        <f>IF($E1055="","",INDEX(资金日记账!$X$4:$X$603,73))</f>
        <v/>
      </c>
      <c r="M1055" s="32"/>
      <c r="N1055" s="26" t="str">
        <f>IF($E1055="","",INDEX(资金日记账!$Y$4:$Y$603,73))</f>
        <v/>
      </c>
      <c r="O1055" s="26" t="str">
        <f t="shared" si="64"/>
        <v/>
      </c>
      <c r="P1055" s="10"/>
    </row>
    <row r="1056" ht="18" customHeight="1" spans="1:16">
      <c r="A1056" s="32" t="str">
        <f t="shared" si="63"/>
        <v/>
      </c>
      <c r="B1056" s="100" t="str">
        <f>IF($E1056="","",INDEX(资金日记账!$B$4:$B$603,74))</f>
        <v/>
      </c>
      <c r="C1056" s="26" t="str">
        <f>IF($E1056="","",IF(INDEX(资金日记账!$W$4:$W$603,74)="","记-"&amp;TEXT($B1056,"YYYYMM")&amp;"-资金",INDEX(资金日记账!$W$4:$W$603,74)))</f>
        <v/>
      </c>
      <c r="D1056" s="32" t="str">
        <f>IF($E1056="","",INDEX(资金日记账!$D$4:$D$603,74))</f>
        <v/>
      </c>
      <c r="E1056" s="26" t="str">
        <f>IF(INDEX(资金日记账!$N$4:$S$603,74,1)=0,"",INDEX(资金日记账!$N$4:$S$603,74,1))</f>
        <v/>
      </c>
      <c r="F1056" s="25" t="str">
        <f>IF($E1056="","",IFERROR(INDEX(科目表!$A$4:$A$81,MATCH($E1056,科目表!$B$4:$B$81,0)),""))</f>
        <v/>
      </c>
      <c r="G1056" s="26" t="str">
        <f>IF($E1056="","",IFERROR(INDEX(科目表!$E$4:$E$81,MATCH($E1056,科目表!$B$4:$B$81,0)),""))</f>
        <v/>
      </c>
      <c r="H1056" s="27" t="str">
        <f>IF($E1056="","",N(INDEX(资金日记账!$N$4:$S$603,74,2)))</f>
        <v/>
      </c>
      <c r="I1056" s="27" t="str">
        <f>IF($E1056="","",N(INDEX(资金日记账!$N$4:$S$603,74,3)))</f>
        <v/>
      </c>
      <c r="J1056" s="26" t="str">
        <f>IF($E1056="","",INDEX(资金日记账!$E$4:$E$603,74))</f>
        <v/>
      </c>
      <c r="K1056" s="26" t="str">
        <f>IF($E1056="","",INDEX(资金日记账!$F$4:$F$603,74))</f>
        <v/>
      </c>
      <c r="L1056" s="32" t="str">
        <f>IF($E1056="","",INDEX(资金日记账!$X$4:$X$603,74))</f>
        <v/>
      </c>
      <c r="M1056" s="32"/>
      <c r="N1056" s="26" t="str">
        <f>IF($E1056="","",INDEX(资金日记账!$Y$4:$Y$603,74))</f>
        <v/>
      </c>
      <c r="O1056" s="26" t="str">
        <f t="shared" si="64"/>
        <v/>
      </c>
      <c r="P1056" s="10"/>
    </row>
    <row r="1057" ht="18" customHeight="1" spans="1:16">
      <c r="A1057" s="32" t="str">
        <f t="shared" si="63"/>
        <v/>
      </c>
      <c r="B1057" s="100" t="str">
        <f>IF($E1057="","",INDEX(资金日记账!$B$4:$B$603,74))</f>
        <v/>
      </c>
      <c r="C1057" s="26" t="str">
        <f>IF($E1057="","",IF(INDEX(资金日记账!$W$4:$W$603,74)="","记-"&amp;TEXT($B1057,"YYYYMM")&amp;"-资金",INDEX(资金日记账!$W$4:$W$603,74)))</f>
        <v/>
      </c>
      <c r="D1057" s="32" t="str">
        <f>IF($E1057="","",INDEX(资金日记账!$D$4:$D$603,74))</f>
        <v/>
      </c>
      <c r="E1057" s="26" t="str">
        <f>IF(INDEX(资金日记账!$N$4:$S$603,74,4)=0,"",INDEX(资金日记账!$N$4:$S$603,74,4))</f>
        <v/>
      </c>
      <c r="F1057" s="25" t="str">
        <f>IF($E1057="","",IFERROR(INDEX(科目表!$A$4:$A$81,MATCH($E1057,科目表!$B$4:$B$81,0)),""))</f>
        <v/>
      </c>
      <c r="G1057" s="26" t="str">
        <f>IF($E1057="","",IFERROR(INDEX(科目表!$E$4:$E$81,MATCH($E1057,科目表!$B$4:$B$81,0)),""))</f>
        <v/>
      </c>
      <c r="H1057" s="27" t="str">
        <f>IF($E1057="","",N(INDEX(资金日记账!$N$4:$S$603,74,5)))</f>
        <v/>
      </c>
      <c r="I1057" s="27" t="str">
        <f>IF($E1057="","",N(INDEX(资金日记账!$N$4:$S$603,74,6)))</f>
        <v/>
      </c>
      <c r="J1057" s="26" t="str">
        <f>IF($E1057="","",INDEX(资金日记账!$E$4:$E$603,74))</f>
        <v/>
      </c>
      <c r="K1057" s="26" t="str">
        <f>IF($E1057="","",INDEX(资金日记账!$F$4:$F$603,74))</f>
        <v/>
      </c>
      <c r="L1057" s="32" t="str">
        <f>IF($E1057="","",INDEX(资金日记账!$X$4:$X$603,74))</f>
        <v/>
      </c>
      <c r="M1057" s="32"/>
      <c r="N1057" s="26" t="str">
        <f>IF($E1057="","",INDEX(资金日记账!$Y$4:$Y$603,74))</f>
        <v/>
      </c>
      <c r="O1057" s="26" t="str">
        <f t="shared" si="64"/>
        <v/>
      </c>
      <c r="P1057" s="10"/>
    </row>
    <row r="1058" ht="18" customHeight="1" spans="1:16">
      <c r="A1058" s="32" t="str">
        <f t="shared" si="63"/>
        <v/>
      </c>
      <c r="B1058" s="100" t="str">
        <f>IF($E1058="","",INDEX(资金日记账!$B$4:$B$603,75))</f>
        <v/>
      </c>
      <c r="C1058" s="26" t="str">
        <f>IF($E1058="","",IF(INDEX(资金日记账!$W$4:$W$603,75)="","记-"&amp;TEXT($B1058,"YYYYMM")&amp;"-资金",INDEX(资金日记账!$W$4:$W$603,75)))</f>
        <v/>
      </c>
      <c r="D1058" s="32" t="str">
        <f>IF($E1058="","",INDEX(资金日记账!$D$4:$D$603,75))</f>
        <v/>
      </c>
      <c r="E1058" s="26" t="str">
        <f>IF(INDEX(资金日记账!$N$4:$S$603,75,1)=0,"",INDEX(资金日记账!$N$4:$S$603,75,1))</f>
        <v/>
      </c>
      <c r="F1058" s="25" t="str">
        <f>IF($E1058="","",IFERROR(INDEX(科目表!$A$4:$A$81,MATCH($E1058,科目表!$B$4:$B$81,0)),""))</f>
        <v/>
      </c>
      <c r="G1058" s="26" t="str">
        <f>IF($E1058="","",IFERROR(INDEX(科目表!$E$4:$E$81,MATCH($E1058,科目表!$B$4:$B$81,0)),""))</f>
        <v/>
      </c>
      <c r="H1058" s="27" t="str">
        <f>IF($E1058="","",N(INDEX(资金日记账!$N$4:$S$603,75,2)))</f>
        <v/>
      </c>
      <c r="I1058" s="27" t="str">
        <f>IF($E1058="","",N(INDEX(资金日记账!$N$4:$S$603,75,3)))</f>
        <v/>
      </c>
      <c r="J1058" s="26" t="str">
        <f>IF($E1058="","",INDEX(资金日记账!$E$4:$E$603,75))</f>
        <v/>
      </c>
      <c r="K1058" s="26" t="str">
        <f>IF($E1058="","",INDEX(资金日记账!$F$4:$F$603,75))</f>
        <v/>
      </c>
      <c r="L1058" s="32" t="str">
        <f>IF($E1058="","",INDEX(资金日记账!$X$4:$X$603,75))</f>
        <v/>
      </c>
      <c r="M1058" s="32"/>
      <c r="N1058" s="26" t="str">
        <f>IF($E1058="","",INDEX(资金日记账!$Y$4:$Y$603,75))</f>
        <v/>
      </c>
      <c r="O1058" s="26" t="str">
        <f t="shared" si="64"/>
        <v/>
      </c>
      <c r="P1058" s="10"/>
    </row>
    <row r="1059" ht="18" customHeight="1" spans="1:16">
      <c r="A1059" s="32" t="str">
        <f t="shared" si="63"/>
        <v/>
      </c>
      <c r="B1059" s="100" t="str">
        <f>IF($E1059="","",INDEX(资金日记账!$B$4:$B$603,75))</f>
        <v/>
      </c>
      <c r="C1059" s="26" t="str">
        <f>IF($E1059="","",IF(INDEX(资金日记账!$W$4:$W$603,75)="","记-"&amp;TEXT($B1059,"YYYYMM")&amp;"-资金",INDEX(资金日记账!$W$4:$W$603,75)))</f>
        <v/>
      </c>
      <c r="D1059" s="32" t="str">
        <f>IF($E1059="","",INDEX(资金日记账!$D$4:$D$603,75))</f>
        <v/>
      </c>
      <c r="E1059" s="26" t="str">
        <f>IF(INDEX(资金日记账!$N$4:$S$603,75,4)=0,"",INDEX(资金日记账!$N$4:$S$603,75,4))</f>
        <v/>
      </c>
      <c r="F1059" s="25" t="str">
        <f>IF($E1059="","",IFERROR(INDEX(科目表!$A$4:$A$81,MATCH($E1059,科目表!$B$4:$B$81,0)),""))</f>
        <v/>
      </c>
      <c r="G1059" s="26" t="str">
        <f>IF($E1059="","",IFERROR(INDEX(科目表!$E$4:$E$81,MATCH($E1059,科目表!$B$4:$B$81,0)),""))</f>
        <v/>
      </c>
      <c r="H1059" s="27" t="str">
        <f>IF($E1059="","",N(INDEX(资金日记账!$N$4:$S$603,75,5)))</f>
        <v/>
      </c>
      <c r="I1059" s="27" t="str">
        <f>IF($E1059="","",N(INDEX(资金日记账!$N$4:$S$603,75,6)))</f>
        <v/>
      </c>
      <c r="J1059" s="26" t="str">
        <f>IF($E1059="","",INDEX(资金日记账!$E$4:$E$603,75))</f>
        <v/>
      </c>
      <c r="K1059" s="26" t="str">
        <f>IF($E1059="","",INDEX(资金日记账!$F$4:$F$603,75))</f>
        <v/>
      </c>
      <c r="L1059" s="32" t="str">
        <f>IF($E1059="","",INDEX(资金日记账!$X$4:$X$603,75))</f>
        <v/>
      </c>
      <c r="M1059" s="32"/>
      <c r="N1059" s="26" t="str">
        <f>IF($E1059="","",INDEX(资金日记账!$Y$4:$Y$603,75))</f>
        <v/>
      </c>
      <c r="O1059" s="26" t="str">
        <f t="shared" si="64"/>
        <v/>
      </c>
      <c r="P1059" s="10"/>
    </row>
    <row r="1060" ht="18" customHeight="1" spans="1:16">
      <c r="A1060" s="32" t="str">
        <f t="shared" si="63"/>
        <v/>
      </c>
      <c r="B1060" s="100" t="str">
        <f>IF($E1060="","",INDEX(资金日记账!$B$4:$B$603,76))</f>
        <v/>
      </c>
      <c r="C1060" s="26" t="str">
        <f>IF($E1060="","",IF(INDEX(资金日记账!$W$4:$W$603,76)="","记-"&amp;TEXT($B1060,"YYYYMM")&amp;"-资金",INDEX(资金日记账!$W$4:$W$603,76)))</f>
        <v/>
      </c>
      <c r="D1060" s="32" t="str">
        <f>IF($E1060="","",INDEX(资金日记账!$D$4:$D$603,76))</f>
        <v/>
      </c>
      <c r="E1060" s="26" t="str">
        <f>IF(INDEX(资金日记账!$N$4:$S$603,76,1)=0,"",INDEX(资金日记账!$N$4:$S$603,76,1))</f>
        <v/>
      </c>
      <c r="F1060" s="25" t="str">
        <f>IF($E1060="","",IFERROR(INDEX(科目表!$A$4:$A$81,MATCH($E1060,科目表!$B$4:$B$81,0)),""))</f>
        <v/>
      </c>
      <c r="G1060" s="26" t="str">
        <f>IF($E1060="","",IFERROR(INDEX(科目表!$E$4:$E$81,MATCH($E1060,科目表!$B$4:$B$81,0)),""))</f>
        <v/>
      </c>
      <c r="H1060" s="27" t="str">
        <f>IF($E1060="","",N(INDEX(资金日记账!$N$4:$S$603,76,2)))</f>
        <v/>
      </c>
      <c r="I1060" s="27" t="str">
        <f>IF($E1060="","",N(INDEX(资金日记账!$N$4:$S$603,76,3)))</f>
        <v/>
      </c>
      <c r="J1060" s="26" t="str">
        <f>IF($E1060="","",INDEX(资金日记账!$E$4:$E$603,76))</f>
        <v/>
      </c>
      <c r="K1060" s="26" t="str">
        <f>IF($E1060="","",INDEX(资金日记账!$F$4:$F$603,76))</f>
        <v/>
      </c>
      <c r="L1060" s="32" t="str">
        <f>IF($E1060="","",INDEX(资金日记账!$X$4:$X$603,76))</f>
        <v/>
      </c>
      <c r="M1060" s="32"/>
      <c r="N1060" s="26" t="str">
        <f>IF($E1060="","",INDEX(资金日记账!$Y$4:$Y$603,76))</f>
        <v/>
      </c>
      <c r="O1060" s="26" t="str">
        <f t="shared" si="64"/>
        <v/>
      </c>
      <c r="P1060" s="10"/>
    </row>
    <row r="1061" ht="18" customHeight="1" spans="1:16">
      <c r="A1061" s="32" t="str">
        <f t="shared" si="63"/>
        <v/>
      </c>
      <c r="B1061" s="100" t="str">
        <f>IF($E1061="","",INDEX(资金日记账!$B$4:$B$603,76))</f>
        <v/>
      </c>
      <c r="C1061" s="26" t="str">
        <f>IF($E1061="","",IF(INDEX(资金日记账!$W$4:$W$603,76)="","记-"&amp;TEXT($B1061,"YYYYMM")&amp;"-资金",INDEX(资金日记账!$W$4:$W$603,76)))</f>
        <v/>
      </c>
      <c r="D1061" s="32" t="str">
        <f>IF($E1061="","",INDEX(资金日记账!$D$4:$D$603,76))</f>
        <v/>
      </c>
      <c r="E1061" s="26" t="str">
        <f>IF(INDEX(资金日记账!$N$4:$S$603,76,4)=0,"",INDEX(资金日记账!$N$4:$S$603,76,4))</f>
        <v/>
      </c>
      <c r="F1061" s="25" t="str">
        <f>IF($E1061="","",IFERROR(INDEX(科目表!$A$4:$A$81,MATCH($E1061,科目表!$B$4:$B$81,0)),""))</f>
        <v/>
      </c>
      <c r="G1061" s="26" t="str">
        <f>IF($E1061="","",IFERROR(INDEX(科目表!$E$4:$E$81,MATCH($E1061,科目表!$B$4:$B$81,0)),""))</f>
        <v/>
      </c>
      <c r="H1061" s="27" t="str">
        <f>IF($E1061="","",N(INDEX(资金日记账!$N$4:$S$603,76,5)))</f>
        <v/>
      </c>
      <c r="I1061" s="27" t="str">
        <f>IF($E1061="","",N(INDEX(资金日记账!$N$4:$S$603,76,6)))</f>
        <v/>
      </c>
      <c r="J1061" s="26" t="str">
        <f>IF($E1061="","",INDEX(资金日记账!$E$4:$E$603,76))</f>
        <v/>
      </c>
      <c r="K1061" s="26" t="str">
        <f>IF($E1061="","",INDEX(资金日记账!$F$4:$F$603,76))</f>
        <v/>
      </c>
      <c r="L1061" s="32" t="str">
        <f>IF($E1061="","",INDEX(资金日记账!$X$4:$X$603,76))</f>
        <v/>
      </c>
      <c r="M1061" s="32"/>
      <c r="N1061" s="26" t="str">
        <f>IF($E1061="","",INDEX(资金日记账!$Y$4:$Y$603,76))</f>
        <v/>
      </c>
      <c r="O1061" s="26" t="str">
        <f t="shared" si="64"/>
        <v/>
      </c>
      <c r="P1061" s="10"/>
    </row>
    <row r="1062" ht="18" customHeight="1" spans="1:16">
      <c r="A1062" s="32" t="str">
        <f t="shared" si="63"/>
        <v/>
      </c>
      <c r="B1062" s="100" t="str">
        <f>IF($E1062="","",INDEX(资金日记账!$B$4:$B$603,77))</f>
        <v/>
      </c>
      <c r="C1062" s="26" t="str">
        <f>IF($E1062="","",IF(INDEX(资金日记账!$W$4:$W$603,77)="","记-"&amp;TEXT($B1062,"YYYYMM")&amp;"-资金",INDEX(资金日记账!$W$4:$W$603,77)))</f>
        <v/>
      </c>
      <c r="D1062" s="32" t="str">
        <f>IF($E1062="","",INDEX(资金日记账!$D$4:$D$603,77))</f>
        <v/>
      </c>
      <c r="E1062" s="26" t="str">
        <f>IF(INDEX(资金日记账!$N$4:$S$603,77,1)=0,"",INDEX(资金日记账!$N$4:$S$603,77,1))</f>
        <v/>
      </c>
      <c r="F1062" s="25" t="str">
        <f>IF($E1062="","",IFERROR(INDEX(科目表!$A$4:$A$81,MATCH($E1062,科目表!$B$4:$B$81,0)),""))</f>
        <v/>
      </c>
      <c r="G1062" s="26" t="str">
        <f>IF($E1062="","",IFERROR(INDEX(科目表!$E$4:$E$81,MATCH($E1062,科目表!$B$4:$B$81,0)),""))</f>
        <v/>
      </c>
      <c r="H1062" s="27" t="str">
        <f>IF($E1062="","",N(INDEX(资金日记账!$N$4:$S$603,77,2)))</f>
        <v/>
      </c>
      <c r="I1062" s="27" t="str">
        <f>IF($E1062="","",N(INDEX(资金日记账!$N$4:$S$603,77,3)))</f>
        <v/>
      </c>
      <c r="J1062" s="26" t="str">
        <f>IF($E1062="","",INDEX(资金日记账!$E$4:$E$603,77))</f>
        <v/>
      </c>
      <c r="K1062" s="26" t="str">
        <f>IF($E1062="","",INDEX(资金日记账!$F$4:$F$603,77))</f>
        <v/>
      </c>
      <c r="L1062" s="32" t="str">
        <f>IF($E1062="","",INDEX(资金日记账!$X$4:$X$603,77))</f>
        <v/>
      </c>
      <c r="M1062" s="32"/>
      <c r="N1062" s="26" t="str">
        <f>IF($E1062="","",INDEX(资金日记账!$Y$4:$Y$603,77))</f>
        <v/>
      </c>
      <c r="O1062" s="26" t="str">
        <f t="shared" si="64"/>
        <v/>
      </c>
      <c r="P1062" s="10"/>
    </row>
    <row r="1063" ht="18" customHeight="1" spans="1:16">
      <c r="A1063" s="32" t="str">
        <f t="shared" si="63"/>
        <v/>
      </c>
      <c r="B1063" s="100" t="str">
        <f>IF($E1063="","",INDEX(资金日记账!$B$4:$B$603,77))</f>
        <v/>
      </c>
      <c r="C1063" s="26" t="str">
        <f>IF($E1063="","",IF(INDEX(资金日记账!$W$4:$W$603,77)="","记-"&amp;TEXT($B1063,"YYYYMM")&amp;"-资金",INDEX(资金日记账!$W$4:$W$603,77)))</f>
        <v/>
      </c>
      <c r="D1063" s="32" t="str">
        <f>IF($E1063="","",INDEX(资金日记账!$D$4:$D$603,77))</f>
        <v/>
      </c>
      <c r="E1063" s="26" t="str">
        <f>IF(INDEX(资金日记账!$N$4:$S$603,77,4)=0,"",INDEX(资金日记账!$N$4:$S$603,77,4))</f>
        <v/>
      </c>
      <c r="F1063" s="25" t="str">
        <f>IF($E1063="","",IFERROR(INDEX(科目表!$A$4:$A$81,MATCH($E1063,科目表!$B$4:$B$81,0)),""))</f>
        <v/>
      </c>
      <c r="G1063" s="26" t="str">
        <f>IF($E1063="","",IFERROR(INDEX(科目表!$E$4:$E$81,MATCH($E1063,科目表!$B$4:$B$81,0)),""))</f>
        <v/>
      </c>
      <c r="H1063" s="27" t="str">
        <f>IF($E1063="","",N(INDEX(资金日记账!$N$4:$S$603,77,5)))</f>
        <v/>
      </c>
      <c r="I1063" s="27" t="str">
        <f>IF($E1063="","",N(INDEX(资金日记账!$N$4:$S$603,77,6)))</f>
        <v/>
      </c>
      <c r="J1063" s="26" t="str">
        <f>IF($E1063="","",INDEX(资金日记账!$E$4:$E$603,77))</f>
        <v/>
      </c>
      <c r="K1063" s="26" t="str">
        <f>IF($E1063="","",INDEX(资金日记账!$F$4:$F$603,77))</f>
        <v/>
      </c>
      <c r="L1063" s="32" t="str">
        <f>IF($E1063="","",INDEX(资金日记账!$X$4:$X$603,77))</f>
        <v/>
      </c>
      <c r="M1063" s="32"/>
      <c r="N1063" s="26" t="str">
        <f>IF($E1063="","",INDEX(资金日记账!$Y$4:$Y$603,77))</f>
        <v/>
      </c>
      <c r="O1063" s="26" t="str">
        <f t="shared" si="64"/>
        <v/>
      </c>
      <c r="P1063" s="10"/>
    </row>
    <row r="1064" ht="18" customHeight="1" spans="1:16">
      <c r="A1064" s="32" t="str">
        <f t="shared" si="63"/>
        <v/>
      </c>
      <c r="B1064" s="100" t="str">
        <f>IF($E1064="","",INDEX(资金日记账!$B$4:$B$603,78))</f>
        <v/>
      </c>
      <c r="C1064" s="26" t="str">
        <f>IF($E1064="","",IF(INDEX(资金日记账!$W$4:$W$603,78)="","记-"&amp;TEXT($B1064,"YYYYMM")&amp;"-资金",INDEX(资金日记账!$W$4:$W$603,78)))</f>
        <v/>
      </c>
      <c r="D1064" s="32" t="str">
        <f>IF($E1064="","",INDEX(资金日记账!$D$4:$D$603,78))</f>
        <v/>
      </c>
      <c r="E1064" s="26" t="str">
        <f>IF(INDEX(资金日记账!$N$4:$S$603,78,1)=0,"",INDEX(资金日记账!$N$4:$S$603,78,1))</f>
        <v/>
      </c>
      <c r="F1064" s="25" t="str">
        <f>IF($E1064="","",IFERROR(INDEX(科目表!$A$4:$A$81,MATCH($E1064,科目表!$B$4:$B$81,0)),""))</f>
        <v/>
      </c>
      <c r="G1064" s="26" t="str">
        <f>IF($E1064="","",IFERROR(INDEX(科目表!$E$4:$E$81,MATCH($E1064,科目表!$B$4:$B$81,0)),""))</f>
        <v/>
      </c>
      <c r="H1064" s="27" t="str">
        <f>IF($E1064="","",N(INDEX(资金日记账!$N$4:$S$603,78,2)))</f>
        <v/>
      </c>
      <c r="I1064" s="27" t="str">
        <f>IF($E1064="","",N(INDEX(资金日记账!$N$4:$S$603,78,3)))</f>
        <v/>
      </c>
      <c r="J1064" s="26" t="str">
        <f>IF($E1064="","",INDEX(资金日记账!$E$4:$E$603,78))</f>
        <v/>
      </c>
      <c r="K1064" s="26" t="str">
        <f>IF($E1064="","",INDEX(资金日记账!$F$4:$F$603,78))</f>
        <v/>
      </c>
      <c r="L1064" s="32" t="str">
        <f>IF($E1064="","",INDEX(资金日记账!$X$4:$X$603,78))</f>
        <v/>
      </c>
      <c r="M1064" s="32"/>
      <c r="N1064" s="26" t="str">
        <f>IF($E1064="","",INDEX(资金日记账!$Y$4:$Y$603,78))</f>
        <v/>
      </c>
      <c r="O1064" s="26" t="str">
        <f t="shared" si="64"/>
        <v/>
      </c>
      <c r="P1064" s="10"/>
    </row>
    <row r="1065" ht="18" customHeight="1" spans="1:16">
      <c r="A1065" s="32" t="str">
        <f t="shared" si="63"/>
        <v/>
      </c>
      <c r="B1065" s="100" t="str">
        <f>IF($E1065="","",INDEX(资金日记账!$B$4:$B$603,78))</f>
        <v/>
      </c>
      <c r="C1065" s="26" t="str">
        <f>IF($E1065="","",IF(INDEX(资金日记账!$W$4:$W$603,78)="","记-"&amp;TEXT($B1065,"YYYYMM")&amp;"-资金",INDEX(资金日记账!$W$4:$W$603,78)))</f>
        <v/>
      </c>
      <c r="D1065" s="32" t="str">
        <f>IF($E1065="","",INDEX(资金日记账!$D$4:$D$603,78))</f>
        <v/>
      </c>
      <c r="E1065" s="26" t="str">
        <f>IF(INDEX(资金日记账!$N$4:$S$603,78,4)=0,"",INDEX(资金日记账!$N$4:$S$603,78,4))</f>
        <v/>
      </c>
      <c r="F1065" s="25" t="str">
        <f>IF($E1065="","",IFERROR(INDEX(科目表!$A$4:$A$81,MATCH($E1065,科目表!$B$4:$B$81,0)),""))</f>
        <v/>
      </c>
      <c r="G1065" s="26" t="str">
        <f>IF($E1065="","",IFERROR(INDEX(科目表!$E$4:$E$81,MATCH($E1065,科目表!$B$4:$B$81,0)),""))</f>
        <v/>
      </c>
      <c r="H1065" s="27" t="str">
        <f>IF($E1065="","",N(INDEX(资金日记账!$N$4:$S$603,78,5)))</f>
        <v/>
      </c>
      <c r="I1065" s="27" t="str">
        <f>IF($E1065="","",N(INDEX(资金日记账!$N$4:$S$603,78,6)))</f>
        <v/>
      </c>
      <c r="J1065" s="26" t="str">
        <f>IF($E1065="","",INDEX(资金日记账!$E$4:$E$603,78))</f>
        <v/>
      </c>
      <c r="K1065" s="26" t="str">
        <f>IF($E1065="","",INDEX(资金日记账!$F$4:$F$603,78))</f>
        <v/>
      </c>
      <c r="L1065" s="32" t="str">
        <f>IF($E1065="","",INDEX(资金日记账!$X$4:$X$603,78))</f>
        <v/>
      </c>
      <c r="M1065" s="32"/>
      <c r="N1065" s="26" t="str">
        <f>IF($E1065="","",INDEX(资金日记账!$Y$4:$Y$603,78))</f>
        <v/>
      </c>
      <c r="O1065" s="26" t="str">
        <f t="shared" si="64"/>
        <v/>
      </c>
      <c r="P1065" s="10"/>
    </row>
    <row r="1066" ht="18" customHeight="1" spans="1:16">
      <c r="A1066" s="32" t="str">
        <f t="shared" si="63"/>
        <v/>
      </c>
      <c r="B1066" s="100" t="str">
        <f>IF($E1066="","",INDEX(资金日记账!$B$4:$B$603,79))</f>
        <v/>
      </c>
      <c r="C1066" s="26" t="str">
        <f>IF($E1066="","",IF(INDEX(资金日记账!$W$4:$W$603,79)="","记-"&amp;TEXT($B1066,"YYYYMM")&amp;"-资金",INDEX(资金日记账!$W$4:$W$603,79)))</f>
        <v/>
      </c>
      <c r="D1066" s="32" t="str">
        <f>IF($E1066="","",INDEX(资金日记账!$D$4:$D$603,79))</f>
        <v/>
      </c>
      <c r="E1066" s="26" t="str">
        <f>IF(INDEX(资金日记账!$N$4:$S$603,79,1)=0,"",INDEX(资金日记账!$N$4:$S$603,79,1))</f>
        <v/>
      </c>
      <c r="F1066" s="25" t="str">
        <f>IF($E1066="","",IFERROR(INDEX(科目表!$A$4:$A$81,MATCH($E1066,科目表!$B$4:$B$81,0)),""))</f>
        <v/>
      </c>
      <c r="G1066" s="26" t="str">
        <f>IF($E1066="","",IFERROR(INDEX(科目表!$E$4:$E$81,MATCH($E1066,科目表!$B$4:$B$81,0)),""))</f>
        <v/>
      </c>
      <c r="H1066" s="27" t="str">
        <f>IF($E1066="","",N(INDEX(资金日记账!$N$4:$S$603,79,2)))</f>
        <v/>
      </c>
      <c r="I1066" s="27" t="str">
        <f>IF($E1066="","",N(INDEX(资金日记账!$N$4:$S$603,79,3)))</f>
        <v/>
      </c>
      <c r="J1066" s="26" t="str">
        <f>IF($E1066="","",INDEX(资金日记账!$E$4:$E$603,79))</f>
        <v/>
      </c>
      <c r="K1066" s="26" t="str">
        <f>IF($E1066="","",INDEX(资金日记账!$F$4:$F$603,79))</f>
        <v/>
      </c>
      <c r="L1066" s="32" t="str">
        <f>IF($E1066="","",INDEX(资金日记账!$X$4:$X$603,79))</f>
        <v/>
      </c>
      <c r="M1066" s="32"/>
      <c r="N1066" s="26" t="str">
        <f>IF($E1066="","",INDEX(资金日记账!$Y$4:$Y$603,79))</f>
        <v/>
      </c>
      <c r="O1066" s="26" t="str">
        <f t="shared" si="64"/>
        <v/>
      </c>
      <c r="P1066" s="10"/>
    </row>
    <row r="1067" ht="18" customHeight="1" spans="1:16">
      <c r="A1067" s="32" t="str">
        <f t="shared" si="63"/>
        <v/>
      </c>
      <c r="B1067" s="100" t="str">
        <f>IF($E1067="","",INDEX(资金日记账!$B$4:$B$603,79))</f>
        <v/>
      </c>
      <c r="C1067" s="26" t="str">
        <f>IF($E1067="","",IF(INDEX(资金日记账!$W$4:$W$603,79)="","记-"&amp;TEXT($B1067,"YYYYMM")&amp;"-资金",INDEX(资金日记账!$W$4:$W$603,79)))</f>
        <v/>
      </c>
      <c r="D1067" s="32" t="str">
        <f>IF($E1067="","",INDEX(资金日记账!$D$4:$D$603,79))</f>
        <v/>
      </c>
      <c r="E1067" s="26" t="str">
        <f>IF(INDEX(资金日记账!$N$4:$S$603,79,4)=0,"",INDEX(资金日记账!$N$4:$S$603,79,4))</f>
        <v/>
      </c>
      <c r="F1067" s="25" t="str">
        <f>IF($E1067="","",IFERROR(INDEX(科目表!$A$4:$A$81,MATCH($E1067,科目表!$B$4:$B$81,0)),""))</f>
        <v/>
      </c>
      <c r="G1067" s="26" t="str">
        <f>IF($E1067="","",IFERROR(INDEX(科目表!$E$4:$E$81,MATCH($E1067,科目表!$B$4:$B$81,0)),""))</f>
        <v/>
      </c>
      <c r="H1067" s="27" t="str">
        <f>IF($E1067="","",N(INDEX(资金日记账!$N$4:$S$603,79,5)))</f>
        <v/>
      </c>
      <c r="I1067" s="27" t="str">
        <f>IF($E1067="","",N(INDEX(资金日记账!$N$4:$S$603,79,6)))</f>
        <v/>
      </c>
      <c r="J1067" s="26" t="str">
        <f>IF($E1067="","",INDEX(资金日记账!$E$4:$E$603,79))</f>
        <v/>
      </c>
      <c r="K1067" s="26" t="str">
        <f>IF($E1067="","",INDEX(资金日记账!$F$4:$F$603,79))</f>
        <v/>
      </c>
      <c r="L1067" s="32" t="str">
        <f>IF($E1067="","",INDEX(资金日记账!$X$4:$X$603,79))</f>
        <v/>
      </c>
      <c r="M1067" s="32"/>
      <c r="N1067" s="26" t="str">
        <f>IF($E1067="","",INDEX(资金日记账!$Y$4:$Y$603,79))</f>
        <v/>
      </c>
      <c r="O1067" s="26" t="str">
        <f t="shared" si="64"/>
        <v/>
      </c>
      <c r="P1067" s="10"/>
    </row>
    <row r="1068" ht="18" customHeight="1" spans="1:16">
      <c r="A1068" s="32" t="str">
        <f t="shared" si="63"/>
        <v/>
      </c>
      <c r="B1068" s="100" t="str">
        <f>IF($E1068="","",INDEX(资金日记账!$B$4:$B$603,80))</f>
        <v/>
      </c>
      <c r="C1068" s="26" t="str">
        <f>IF($E1068="","",IF(INDEX(资金日记账!$W$4:$W$603,80)="","记-"&amp;TEXT($B1068,"YYYYMM")&amp;"-资金",INDEX(资金日记账!$W$4:$W$603,80)))</f>
        <v/>
      </c>
      <c r="D1068" s="32" t="str">
        <f>IF($E1068="","",INDEX(资金日记账!$D$4:$D$603,80))</f>
        <v/>
      </c>
      <c r="E1068" s="26" t="str">
        <f>IF(INDEX(资金日记账!$N$4:$S$603,80,1)=0,"",INDEX(资金日记账!$N$4:$S$603,80,1))</f>
        <v/>
      </c>
      <c r="F1068" s="25" t="str">
        <f>IF($E1068="","",IFERROR(INDEX(科目表!$A$4:$A$81,MATCH($E1068,科目表!$B$4:$B$81,0)),""))</f>
        <v/>
      </c>
      <c r="G1068" s="26" t="str">
        <f>IF($E1068="","",IFERROR(INDEX(科目表!$E$4:$E$81,MATCH($E1068,科目表!$B$4:$B$81,0)),""))</f>
        <v/>
      </c>
      <c r="H1068" s="27" t="str">
        <f>IF($E1068="","",N(INDEX(资金日记账!$N$4:$S$603,80,2)))</f>
        <v/>
      </c>
      <c r="I1068" s="27" t="str">
        <f>IF($E1068="","",N(INDEX(资金日记账!$N$4:$S$603,80,3)))</f>
        <v/>
      </c>
      <c r="J1068" s="26" t="str">
        <f>IF($E1068="","",INDEX(资金日记账!$E$4:$E$603,80))</f>
        <v/>
      </c>
      <c r="K1068" s="26" t="str">
        <f>IF($E1068="","",INDEX(资金日记账!$F$4:$F$603,80))</f>
        <v/>
      </c>
      <c r="L1068" s="32" t="str">
        <f>IF($E1068="","",INDEX(资金日记账!$X$4:$X$603,80))</f>
        <v/>
      </c>
      <c r="M1068" s="32"/>
      <c r="N1068" s="26" t="str">
        <f>IF($E1068="","",INDEX(资金日记账!$Y$4:$Y$603,80))</f>
        <v/>
      </c>
      <c r="O1068" s="26" t="str">
        <f t="shared" si="64"/>
        <v/>
      </c>
      <c r="P1068" s="10"/>
    </row>
    <row r="1069" ht="18" customHeight="1" spans="1:16">
      <c r="A1069" s="32" t="str">
        <f t="shared" si="63"/>
        <v/>
      </c>
      <c r="B1069" s="100" t="str">
        <f>IF($E1069="","",INDEX(资金日记账!$B$4:$B$603,80))</f>
        <v/>
      </c>
      <c r="C1069" s="26" t="str">
        <f>IF($E1069="","",IF(INDEX(资金日记账!$W$4:$W$603,80)="","记-"&amp;TEXT($B1069,"YYYYMM")&amp;"-资金",INDEX(资金日记账!$W$4:$W$603,80)))</f>
        <v/>
      </c>
      <c r="D1069" s="32" t="str">
        <f>IF($E1069="","",INDEX(资金日记账!$D$4:$D$603,80))</f>
        <v/>
      </c>
      <c r="E1069" s="26" t="str">
        <f>IF(INDEX(资金日记账!$N$4:$S$603,80,4)=0,"",INDEX(资金日记账!$N$4:$S$603,80,4))</f>
        <v/>
      </c>
      <c r="F1069" s="25" t="str">
        <f>IF($E1069="","",IFERROR(INDEX(科目表!$A$4:$A$81,MATCH($E1069,科目表!$B$4:$B$81,0)),""))</f>
        <v/>
      </c>
      <c r="G1069" s="26" t="str">
        <f>IF($E1069="","",IFERROR(INDEX(科目表!$E$4:$E$81,MATCH($E1069,科目表!$B$4:$B$81,0)),""))</f>
        <v/>
      </c>
      <c r="H1069" s="27" t="str">
        <f>IF($E1069="","",N(INDEX(资金日记账!$N$4:$S$603,80,5)))</f>
        <v/>
      </c>
      <c r="I1069" s="27" t="str">
        <f>IF($E1069="","",N(INDEX(资金日记账!$N$4:$S$603,80,6)))</f>
        <v/>
      </c>
      <c r="J1069" s="26" t="str">
        <f>IF($E1069="","",INDEX(资金日记账!$E$4:$E$603,80))</f>
        <v/>
      </c>
      <c r="K1069" s="26" t="str">
        <f>IF($E1069="","",INDEX(资金日记账!$F$4:$F$603,80))</f>
        <v/>
      </c>
      <c r="L1069" s="32" t="str">
        <f>IF($E1069="","",INDEX(资金日记账!$X$4:$X$603,80))</f>
        <v/>
      </c>
      <c r="M1069" s="32"/>
      <c r="N1069" s="26" t="str">
        <f>IF($E1069="","",INDEX(资金日记账!$Y$4:$Y$603,80))</f>
        <v/>
      </c>
      <c r="O1069" s="26" t="str">
        <f t="shared" si="64"/>
        <v/>
      </c>
      <c r="P1069" s="10"/>
    </row>
    <row r="1070" ht="18" customHeight="1" spans="1:16">
      <c r="A1070" s="32" t="str">
        <f t="shared" si="63"/>
        <v/>
      </c>
      <c r="B1070" s="100" t="str">
        <f>IF($E1070="","",INDEX(资金日记账!$B$4:$B$603,81))</f>
        <v/>
      </c>
      <c r="C1070" s="26" t="str">
        <f>IF($E1070="","",IF(INDEX(资金日记账!$W$4:$W$603,81)="","记-"&amp;TEXT($B1070,"YYYYMM")&amp;"-资金",INDEX(资金日记账!$W$4:$W$603,81)))</f>
        <v/>
      </c>
      <c r="D1070" s="32" t="str">
        <f>IF($E1070="","",INDEX(资金日记账!$D$4:$D$603,81))</f>
        <v/>
      </c>
      <c r="E1070" s="26" t="str">
        <f>IF(INDEX(资金日记账!$N$4:$S$603,81,1)=0,"",INDEX(资金日记账!$N$4:$S$603,81,1))</f>
        <v/>
      </c>
      <c r="F1070" s="25" t="str">
        <f>IF($E1070="","",IFERROR(INDEX(科目表!$A$4:$A$81,MATCH($E1070,科目表!$B$4:$B$81,0)),""))</f>
        <v/>
      </c>
      <c r="G1070" s="26" t="str">
        <f>IF($E1070="","",IFERROR(INDEX(科目表!$E$4:$E$81,MATCH($E1070,科目表!$B$4:$B$81,0)),""))</f>
        <v/>
      </c>
      <c r="H1070" s="27" t="str">
        <f>IF($E1070="","",N(INDEX(资金日记账!$N$4:$S$603,81,2)))</f>
        <v/>
      </c>
      <c r="I1070" s="27" t="str">
        <f>IF($E1070="","",N(INDEX(资金日记账!$N$4:$S$603,81,3)))</f>
        <v/>
      </c>
      <c r="J1070" s="26" t="str">
        <f>IF($E1070="","",INDEX(资金日记账!$E$4:$E$603,81))</f>
        <v/>
      </c>
      <c r="K1070" s="26" t="str">
        <f>IF($E1070="","",INDEX(资金日记账!$F$4:$F$603,81))</f>
        <v/>
      </c>
      <c r="L1070" s="32" t="str">
        <f>IF($E1070="","",INDEX(资金日记账!$X$4:$X$603,81))</f>
        <v/>
      </c>
      <c r="M1070" s="32"/>
      <c r="N1070" s="26" t="str">
        <f>IF($E1070="","",INDEX(资金日记账!$Y$4:$Y$603,81))</f>
        <v/>
      </c>
      <c r="O1070" s="26" t="str">
        <f t="shared" si="64"/>
        <v/>
      </c>
      <c r="P1070" s="10"/>
    </row>
    <row r="1071" ht="18" customHeight="1" spans="1:16">
      <c r="A1071" s="32" t="str">
        <f t="shared" si="63"/>
        <v/>
      </c>
      <c r="B1071" s="100" t="str">
        <f>IF($E1071="","",INDEX(资金日记账!$B$4:$B$603,81))</f>
        <v/>
      </c>
      <c r="C1071" s="26" t="str">
        <f>IF($E1071="","",IF(INDEX(资金日记账!$W$4:$W$603,81)="","记-"&amp;TEXT($B1071,"YYYYMM")&amp;"-资金",INDEX(资金日记账!$W$4:$W$603,81)))</f>
        <v/>
      </c>
      <c r="D1071" s="32" t="str">
        <f>IF($E1071="","",INDEX(资金日记账!$D$4:$D$603,81))</f>
        <v/>
      </c>
      <c r="E1071" s="26" t="str">
        <f>IF(INDEX(资金日记账!$N$4:$S$603,81,4)=0,"",INDEX(资金日记账!$N$4:$S$603,81,4))</f>
        <v/>
      </c>
      <c r="F1071" s="25" t="str">
        <f>IF($E1071="","",IFERROR(INDEX(科目表!$A$4:$A$81,MATCH($E1071,科目表!$B$4:$B$81,0)),""))</f>
        <v/>
      </c>
      <c r="G1071" s="26" t="str">
        <f>IF($E1071="","",IFERROR(INDEX(科目表!$E$4:$E$81,MATCH($E1071,科目表!$B$4:$B$81,0)),""))</f>
        <v/>
      </c>
      <c r="H1071" s="27" t="str">
        <f>IF($E1071="","",N(INDEX(资金日记账!$N$4:$S$603,81,5)))</f>
        <v/>
      </c>
      <c r="I1071" s="27" t="str">
        <f>IF($E1071="","",N(INDEX(资金日记账!$N$4:$S$603,81,6)))</f>
        <v/>
      </c>
      <c r="J1071" s="26" t="str">
        <f>IF($E1071="","",INDEX(资金日记账!$E$4:$E$603,81))</f>
        <v/>
      </c>
      <c r="K1071" s="26" t="str">
        <f>IF($E1071="","",INDEX(资金日记账!$F$4:$F$603,81))</f>
        <v/>
      </c>
      <c r="L1071" s="32" t="str">
        <f>IF($E1071="","",INDEX(资金日记账!$X$4:$X$603,81))</f>
        <v/>
      </c>
      <c r="M1071" s="32"/>
      <c r="N1071" s="26" t="str">
        <f>IF($E1071="","",INDEX(资金日记账!$Y$4:$Y$603,81))</f>
        <v/>
      </c>
      <c r="O1071" s="26" t="str">
        <f t="shared" si="64"/>
        <v/>
      </c>
      <c r="P1071" s="10"/>
    </row>
    <row r="1072" ht="18" customHeight="1" spans="1:16">
      <c r="A1072" s="32" t="str">
        <f t="shared" si="63"/>
        <v/>
      </c>
      <c r="B1072" s="100" t="str">
        <f>IF($E1072="","",INDEX(资金日记账!$B$4:$B$603,82))</f>
        <v/>
      </c>
      <c r="C1072" s="26" t="str">
        <f>IF($E1072="","",IF(INDEX(资金日记账!$W$4:$W$603,82)="","记-"&amp;TEXT($B1072,"YYYYMM")&amp;"-资金",INDEX(资金日记账!$W$4:$W$603,82)))</f>
        <v/>
      </c>
      <c r="D1072" s="32" t="str">
        <f>IF($E1072="","",INDEX(资金日记账!$D$4:$D$603,82))</f>
        <v/>
      </c>
      <c r="E1072" s="26" t="str">
        <f>IF(INDEX(资金日记账!$N$4:$S$603,82,1)=0,"",INDEX(资金日记账!$N$4:$S$603,82,1))</f>
        <v/>
      </c>
      <c r="F1072" s="25" t="str">
        <f>IF($E1072="","",IFERROR(INDEX(科目表!$A$4:$A$81,MATCH($E1072,科目表!$B$4:$B$81,0)),""))</f>
        <v/>
      </c>
      <c r="G1072" s="26" t="str">
        <f>IF($E1072="","",IFERROR(INDEX(科目表!$E$4:$E$81,MATCH($E1072,科目表!$B$4:$B$81,0)),""))</f>
        <v/>
      </c>
      <c r="H1072" s="27" t="str">
        <f>IF($E1072="","",N(INDEX(资金日记账!$N$4:$S$603,82,2)))</f>
        <v/>
      </c>
      <c r="I1072" s="27" t="str">
        <f>IF($E1072="","",N(INDEX(资金日记账!$N$4:$S$603,82,3)))</f>
        <v/>
      </c>
      <c r="J1072" s="26" t="str">
        <f>IF($E1072="","",INDEX(资金日记账!$E$4:$E$603,82))</f>
        <v/>
      </c>
      <c r="K1072" s="26" t="str">
        <f>IF($E1072="","",INDEX(资金日记账!$F$4:$F$603,82))</f>
        <v/>
      </c>
      <c r="L1072" s="32" t="str">
        <f>IF($E1072="","",INDEX(资金日记账!$X$4:$X$603,82))</f>
        <v/>
      </c>
      <c r="M1072" s="32"/>
      <c r="N1072" s="26" t="str">
        <f>IF($E1072="","",INDEX(资金日记账!$Y$4:$Y$603,82))</f>
        <v/>
      </c>
      <c r="O1072" s="26" t="str">
        <f t="shared" si="64"/>
        <v/>
      </c>
      <c r="P1072" s="10"/>
    </row>
    <row r="1073" ht="18" customHeight="1" spans="1:16">
      <c r="A1073" s="32" t="str">
        <f t="shared" si="63"/>
        <v/>
      </c>
      <c r="B1073" s="100" t="str">
        <f>IF($E1073="","",INDEX(资金日记账!$B$4:$B$603,82))</f>
        <v/>
      </c>
      <c r="C1073" s="26" t="str">
        <f>IF($E1073="","",IF(INDEX(资金日记账!$W$4:$W$603,82)="","记-"&amp;TEXT($B1073,"YYYYMM")&amp;"-资金",INDEX(资金日记账!$W$4:$W$603,82)))</f>
        <v/>
      </c>
      <c r="D1073" s="32" t="str">
        <f>IF($E1073="","",INDEX(资金日记账!$D$4:$D$603,82))</f>
        <v/>
      </c>
      <c r="E1073" s="26" t="str">
        <f>IF(INDEX(资金日记账!$N$4:$S$603,82,4)=0,"",INDEX(资金日记账!$N$4:$S$603,82,4))</f>
        <v/>
      </c>
      <c r="F1073" s="25" t="str">
        <f>IF($E1073="","",IFERROR(INDEX(科目表!$A$4:$A$81,MATCH($E1073,科目表!$B$4:$B$81,0)),""))</f>
        <v/>
      </c>
      <c r="G1073" s="26" t="str">
        <f>IF($E1073="","",IFERROR(INDEX(科目表!$E$4:$E$81,MATCH($E1073,科目表!$B$4:$B$81,0)),""))</f>
        <v/>
      </c>
      <c r="H1073" s="27" t="str">
        <f>IF($E1073="","",N(INDEX(资金日记账!$N$4:$S$603,82,5)))</f>
        <v/>
      </c>
      <c r="I1073" s="27" t="str">
        <f>IF($E1073="","",N(INDEX(资金日记账!$N$4:$S$603,82,6)))</f>
        <v/>
      </c>
      <c r="J1073" s="26" t="str">
        <f>IF($E1073="","",INDEX(资金日记账!$E$4:$E$603,82))</f>
        <v/>
      </c>
      <c r="K1073" s="26" t="str">
        <f>IF($E1073="","",INDEX(资金日记账!$F$4:$F$603,82))</f>
        <v/>
      </c>
      <c r="L1073" s="32" t="str">
        <f>IF($E1073="","",INDEX(资金日记账!$X$4:$X$603,82))</f>
        <v/>
      </c>
      <c r="M1073" s="32"/>
      <c r="N1073" s="26" t="str">
        <f>IF($E1073="","",INDEX(资金日记账!$Y$4:$Y$603,82))</f>
        <v/>
      </c>
      <c r="O1073" s="26" t="str">
        <f t="shared" si="64"/>
        <v/>
      </c>
      <c r="P1073" s="10"/>
    </row>
    <row r="1074" ht="18" customHeight="1" spans="1:16">
      <c r="A1074" s="32" t="str">
        <f t="shared" si="63"/>
        <v/>
      </c>
      <c r="B1074" s="100" t="str">
        <f>IF($E1074="","",INDEX(资金日记账!$B$4:$B$603,83))</f>
        <v/>
      </c>
      <c r="C1074" s="26" t="str">
        <f>IF($E1074="","",IF(INDEX(资金日记账!$W$4:$W$603,83)="","记-"&amp;TEXT($B1074,"YYYYMM")&amp;"-资金",INDEX(资金日记账!$W$4:$W$603,83)))</f>
        <v/>
      </c>
      <c r="D1074" s="32" t="str">
        <f>IF($E1074="","",INDEX(资金日记账!$D$4:$D$603,83))</f>
        <v/>
      </c>
      <c r="E1074" s="26" t="str">
        <f>IF(INDEX(资金日记账!$N$4:$S$603,83,1)=0,"",INDEX(资金日记账!$N$4:$S$603,83,1))</f>
        <v/>
      </c>
      <c r="F1074" s="25" t="str">
        <f>IF($E1074="","",IFERROR(INDEX(科目表!$A$4:$A$81,MATCH($E1074,科目表!$B$4:$B$81,0)),""))</f>
        <v/>
      </c>
      <c r="G1074" s="26" t="str">
        <f>IF($E1074="","",IFERROR(INDEX(科目表!$E$4:$E$81,MATCH($E1074,科目表!$B$4:$B$81,0)),""))</f>
        <v/>
      </c>
      <c r="H1074" s="27" t="str">
        <f>IF($E1074="","",N(INDEX(资金日记账!$N$4:$S$603,83,2)))</f>
        <v/>
      </c>
      <c r="I1074" s="27" t="str">
        <f>IF($E1074="","",N(INDEX(资金日记账!$N$4:$S$603,83,3)))</f>
        <v/>
      </c>
      <c r="J1074" s="26" t="str">
        <f>IF($E1074="","",INDEX(资金日记账!$E$4:$E$603,83))</f>
        <v/>
      </c>
      <c r="K1074" s="26" t="str">
        <f>IF($E1074="","",INDEX(资金日记账!$F$4:$F$603,83))</f>
        <v/>
      </c>
      <c r="L1074" s="32" t="str">
        <f>IF($E1074="","",INDEX(资金日记账!$X$4:$X$603,83))</f>
        <v/>
      </c>
      <c r="M1074" s="32"/>
      <c r="N1074" s="26" t="str">
        <f>IF($E1074="","",INDEX(资金日记账!$Y$4:$Y$603,83))</f>
        <v/>
      </c>
      <c r="O1074" s="26" t="str">
        <f t="shared" si="64"/>
        <v/>
      </c>
      <c r="P1074" s="10"/>
    </row>
    <row r="1075" ht="18" customHeight="1" spans="1:16">
      <c r="A1075" s="32" t="str">
        <f t="shared" si="63"/>
        <v/>
      </c>
      <c r="B1075" s="100" t="str">
        <f>IF($E1075="","",INDEX(资金日记账!$B$4:$B$603,83))</f>
        <v/>
      </c>
      <c r="C1075" s="26" t="str">
        <f>IF($E1075="","",IF(INDEX(资金日记账!$W$4:$W$603,83)="","记-"&amp;TEXT($B1075,"YYYYMM")&amp;"-资金",INDEX(资金日记账!$W$4:$W$603,83)))</f>
        <v/>
      </c>
      <c r="D1075" s="32" t="str">
        <f>IF($E1075="","",INDEX(资金日记账!$D$4:$D$603,83))</f>
        <v/>
      </c>
      <c r="E1075" s="26" t="str">
        <f>IF(INDEX(资金日记账!$N$4:$S$603,83,4)=0,"",INDEX(资金日记账!$N$4:$S$603,83,4))</f>
        <v/>
      </c>
      <c r="F1075" s="25" t="str">
        <f>IF($E1075="","",IFERROR(INDEX(科目表!$A$4:$A$81,MATCH($E1075,科目表!$B$4:$B$81,0)),""))</f>
        <v/>
      </c>
      <c r="G1075" s="26" t="str">
        <f>IF($E1075="","",IFERROR(INDEX(科目表!$E$4:$E$81,MATCH($E1075,科目表!$B$4:$B$81,0)),""))</f>
        <v/>
      </c>
      <c r="H1075" s="27" t="str">
        <f>IF($E1075="","",N(INDEX(资金日记账!$N$4:$S$603,83,5)))</f>
        <v/>
      </c>
      <c r="I1075" s="27" t="str">
        <f>IF($E1075="","",N(INDEX(资金日记账!$N$4:$S$603,83,6)))</f>
        <v/>
      </c>
      <c r="J1075" s="26" t="str">
        <f>IF($E1075="","",INDEX(资金日记账!$E$4:$E$603,83))</f>
        <v/>
      </c>
      <c r="K1075" s="26" t="str">
        <f>IF($E1075="","",INDEX(资金日记账!$F$4:$F$603,83))</f>
        <v/>
      </c>
      <c r="L1075" s="32" t="str">
        <f>IF($E1075="","",INDEX(资金日记账!$X$4:$X$603,83))</f>
        <v/>
      </c>
      <c r="M1075" s="32"/>
      <c r="N1075" s="26" t="str">
        <f>IF($E1075="","",INDEX(资金日记账!$Y$4:$Y$603,83))</f>
        <v/>
      </c>
      <c r="O1075" s="26" t="str">
        <f t="shared" si="64"/>
        <v/>
      </c>
      <c r="P1075" s="10"/>
    </row>
    <row r="1076" ht="18" customHeight="1" spans="1:16">
      <c r="A1076" s="32" t="str">
        <f t="shared" si="63"/>
        <v/>
      </c>
      <c r="B1076" s="100" t="str">
        <f>IF($E1076="","",INDEX(资金日记账!$B$4:$B$603,84))</f>
        <v/>
      </c>
      <c r="C1076" s="26" t="str">
        <f>IF($E1076="","",IF(INDEX(资金日记账!$W$4:$W$603,84)="","记-"&amp;TEXT($B1076,"YYYYMM")&amp;"-资金",INDEX(资金日记账!$W$4:$W$603,84)))</f>
        <v/>
      </c>
      <c r="D1076" s="32" t="str">
        <f>IF($E1076="","",INDEX(资金日记账!$D$4:$D$603,84))</f>
        <v/>
      </c>
      <c r="E1076" s="26" t="str">
        <f>IF(INDEX(资金日记账!$N$4:$S$603,84,1)=0,"",INDEX(资金日记账!$N$4:$S$603,84,1))</f>
        <v/>
      </c>
      <c r="F1076" s="25" t="str">
        <f>IF($E1076="","",IFERROR(INDEX(科目表!$A$4:$A$81,MATCH($E1076,科目表!$B$4:$B$81,0)),""))</f>
        <v/>
      </c>
      <c r="G1076" s="26" t="str">
        <f>IF($E1076="","",IFERROR(INDEX(科目表!$E$4:$E$81,MATCH($E1076,科目表!$B$4:$B$81,0)),""))</f>
        <v/>
      </c>
      <c r="H1076" s="27" t="str">
        <f>IF($E1076="","",N(INDEX(资金日记账!$N$4:$S$603,84,2)))</f>
        <v/>
      </c>
      <c r="I1076" s="27" t="str">
        <f>IF($E1076="","",N(INDEX(资金日记账!$N$4:$S$603,84,3)))</f>
        <v/>
      </c>
      <c r="J1076" s="26" t="str">
        <f>IF($E1076="","",INDEX(资金日记账!$E$4:$E$603,84))</f>
        <v/>
      </c>
      <c r="K1076" s="26" t="str">
        <f>IF($E1076="","",INDEX(资金日记账!$F$4:$F$603,84))</f>
        <v/>
      </c>
      <c r="L1076" s="32" t="str">
        <f>IF($E1076="","",INDEX(资金日记账!$X$4:$X$603,84))</f>
        <v/>
      </c>
      <c r="M1076" s="32"/>
      <c r="N1076" s="26" t="str">
        <f>IF($E1076="","",INDEX(资金日记账!$Y$4:$Y$603,84))</f>
        <v/>
      </c>
      <c r="O1076" s="26" t="str">
        <f t="shared" si="64"/>
        <v/>
      </c>
      <c r="P1076" s="10"/>
    </row>
    <row r="1077" ht="18" customHeight="1" spans="1:16">
      <c r="A1077" s="32" t="str">
        <f t="shared" si="63"/>
        <v/>
      </c>
      <c r="B1077" s="100" t="str">
        <f>IF($E1077="","",INDEX(资金日记账!$B$4:$B$603,84))</f>
        <v/>
      </c>
      <c r="C1077" s="26" t="str">
        <f>IF($E1077="","",IF(INDEX(资金日记账!$W$4:$W$603,84)="","记-"&amp;TEXT($B1077,"YYYYMM")&amp;"-资金",INDEX(资金日记账!$W$4:$W$603,84)))</f>
        <v/>
      </c>
      <c r="D1077" s="32" t="str">
        <f>IF($E1077="","",INDEX(资金日记账!$D$4:$D$603,84))</f>
        <v/>
      </c>
      <c r="E1077" s="26" t="str">
        <f>IF(INDEX(资金日记账!$N$4:$S$603,84,4)=0,"",INDEX(资金日记账!$N$4:$S$603,84,4))</f>
        <v/>
      </c>
      <c r="F1077" s="25" t="str">
        <f>IF($E1077="","",IFERROR(INDEX(科目表!$A$4:$A$81,MATCH($E1077,科目表!$B$4:$B$81,0)),""))</f>
        <v/>
      </c>
      <c r="G1077" s="26" t="str">
        <f>IF($E1077="","",IFERROR(INDEX(科目表!$E$4:$E$81,MATCH($E1077,科目表!$B$4:$B$81,0)),""))</f>
        <v/>
      </c>
      <c r="H1077" s="27" t="str">
        <f>IF($E1077="","",N(INDEX(资金日记账!$N$4:$S$603,84,5)))</f>
        <v/>
      </c>
      <c r="I1077" s="27" t="str">
        <f>IF($E1077="","",N(INDEX(资金日记账!$N$4:$S$603,84,6)))</f>
        <v/>
      </c>
      <c r="J1077" s="26" t="str">
        <f>IF($E1077="","",INDEX(资金日记账!$E$4:$E$603,84))</f>
        <v/>
      </c>
      <c r="K1077" s="26" t="str">
        <f>IF($E1077="","",INDEX(资金日记账!$F$4:$F$603,84))</f>
        <v/>
      </c>
      <c r="L1077" s="32" t="str">
        <f>IF($E1077="","",INDEX(资金日记账!$X$4:$X$603,84))</f>
        <v/>
      </c>
      <c r="M1077" s="32"/>
      <c r="N1077" s="26" t="str">
        <f>IF($E1077="","",INDEX(资金日记账!$Y$4:$Y$603,84))</f>
        <v/>
      </c>
      <c r="O1077" s="26" t="str">
        <f t="shared" si="64"/>
        <v/>
      </c>
      <c r="P1077" s="10"/>
    </row>
    <row r="1078" ht="18" customHeight="1" spans="1:16">
      <c r="A1078" s="32" t="str">
        <f t="shared" si="63"/>
        <v/>
      </c>
      <c r="B1078" s="100" t="str">
        <f>IF($E1078="","",INDEX(资金日记账!$B$4:$B$603,85))</f>
        <v/>
      </c>
      <c r="C1078" s="26" t="str">
        <f>IF($E1078="","",IF(INDEX(资金日记账!$W$4:$W$603,85)="","记-"&amp;TEXT($B1078,"YYYYMM")&amp;"-资金",INDEX(资金日记账!$W$4:$W$603,85)))</f>
        <v/>
      </c>
      <c r="D1078" s="32" t="str">
        <f>IF($E1078="","",INDEX(资金日记账!$D$4:$D$603,85))</f>
        <v/>
      </c>
      <c r="E1078" s="26" t="str">
        <f>IF(INDEX(资金日记账!$N$4:$S$603,85,1)=0,"",INDEX(资金日记账!$N$4:$S$603,85,1))</f>
        <v/>
      </c>
      <c r="F1078" s="25" t="str">
        <f>IF($E1078="","",IFERROR(INDEX(科目表!$A$4:$A$81,MATCH($E1078,科目表!$B$4:$B$81,0)),""))</f>
        <v/>
      </c>
      <c r="G1078" s="26" t="str">
        <f>IF($E1078="","",IFERROR(INDEX(科目表!$E$4:$E$81,MATCH($E1078,科目表!$B$4:$B$81,0)),""))</f>
        <v/>
      </c>
      <c r="H1078" s="27" t="str">
        <f>IF($E1078="","",N(INDEX(资金日记账!$N$4:$S$603,85,2)))</f>
        <v/>
      </c>
      <c r="I1078" s="27" t="str">
        <f>IF($E1078="","",N(INDEX(资金日记账!$N$4:$S$603,85,3)))</f>
        <v/>
      </c>
      <c r="J1078" s="26" t="str">
        <f>IF($E1078="","",INDEX(资金日记账!$E$4:$E$603,85))</f>
        <v/>
      </c>
      <c r="K1078" s="26" t="str">
        <f>IF($E1078="","",INDEX(资金日记账!$F$4:$F$603,85))</f>
        <v/>
      </c>
      <c r="L1078" s="32" t="str">
        <f>IF($E1078="","",INDEX(资金日记账!$X$4:$X$603,85))</f>
        <v/>
      </c>
      <c r="M1078" s="32"/>
      <c r="N1078" s="26" t="str">
        <f>IF($E1078="","",INDEX(资金日记账!$Y$4:$Y$603,85))</f>
        <v/>
      </c>
      <c r="O1078" s="26" t="str">
        <f t="shared" si="64"/>
        <v/>
      </c>
      <c r="P1078" s="10"/>
    </row>
    <row r="1079" ht="18" customHeight="1" spans="1:16">
      <c r="A1079" s="32" t="str">
        <f t="shared" si="63"/>
        <v/>
      </c>
      <c r="B1079" s="100" t="str">
        <f>IF($E1079="","",INDEX(资金日记账!$B$4:$B$603,85))</f>
        <v/>
      </c>
      <c r="C1079" s="26" t="str">
        <f>IF($E1079="","",IF(INDEX(资金日记账!$W$4:$W$603,85)="","记-"&amp;TEXT($B1079,"YYYYMM")&amp;"-资金",INDEX(资金日记账!$W$4:$W$603,85)))</f>
        <v/>
      </c>
      <c r="D1079" s="32" t="str">
        <f>IF($E1079="","",INDEX(资金日记账!$D$4:$D$603,85))</f>
        <v/>
      </c>
      <c r="E1079" s="26" t="str">
        <f>IF(INDEX(资金日记账!$N$4:$S$603,85,4)=0,"",INDEX(资金日记账!$N$4:$S$603,85,4))</f>
        <v/>
      </c>
      <c r="F1079" s="25" t="str">
        <f>IF($E1079="","",IFERROR(INDEX(科目表!$A$4:$A$81,MATCH($E1079,科目表!$B$4:$B$81,0)),""))</f>
        <v/>
      </c>
      <c r="G1079" s="26" t="str">
        <f>IF($E1079="","",IFERROR(INDEX(科目表!$E$4:$E$81,MATCH($E1079,科目表!$B$4:$B$81,0)),""))</f>
        <v/>
      </c>
      <c r="H1079" s="27" t="str">
        <f>IF($E1079="","",N(INDEX(资金日记账!$N$4:$S$603,85,5)))</f>
        <v/>
      </c>
      <c r="I1079" s="27" t="str">
        <f>IF($E1079="","",N(INDEX(资金日记账!$N$4:$S$603,85,6)))</f>
        <v/>
      </c>
      <c r="J1079" s="26" t="str">
        <f>IF($E1079="","",INDEX(资金日记账!$E$4:$E$603,85))</f>
        <v/>
      </c>
      <c r="K1079" s="26" t="str">
        <f>IF($E1079="","",INDEX(资金日记账!$F$4:$F$603,85))</f>
        <v/>
      </c>
      <c r="L1079" s="32" t="str">
        <f>IF($E1079="","",INDEX(资金日记账!$X$4:$X$603,85))</f>
        <v/>
      </c>
      <c r="M1079" s="32"/>
      <c r="N1079" s="26" t="str">
        <f>IF($E1079="","",INDEX(资金日记账!$Y$4:$Y$603,85))</f>
        <v/>
      </c>
      <c r="O1079" s="26" t="str">
        <f t="shared" si="64"/>
        <v/>
      </c>
      <c r="P1079" s="10"/>
    </row>
    <row r="1080" ht="18" customHeight="1" spans="1:16">
      <c r="A1080" s="32" t="str">
        <f t="shared" si="63"/>
        <v/>
      </c>
      <c r="B1080" s="100" t="str">
        <f>IF($E1080="","",INDEX(资金日记账!$B$4:$B$603,86))</f>
        <v/>
      </c>
      <c r="C1080" s="26" t="str">
        <f>IF($E1080="","",IF(INDEX(资金日记账!$W$4:$W$603,86)="","记-"&amp;TEXT($B1080,"YYYYMM")&amp;"-资金",INDEX(资金日记账!$W$4:$W$603,86)))</f>
        <v/>
      </c>
      <c r="D1080" s="32" t="str">
        <f>IF($E1080="","",INDEX(资金日记账!$D$4:$D$603,86))</f>
        <v/>
      </c>
      <c r="E1080" s="26" t="str">
        <f>IF(INDEX(资金日记账!$N$4:$S$603,86,1)=0,"",INDEX(资金日记账!$N$4:$S$603,86,1))</f>
        <v/>
      </c>
      <c r="F1080" s="25" t="str">
        <f>IF($E1080="","",IFERROR(INDEX(科目表!$A$4:$A$81,MATCH($E1080,科目表!$B$4:$B$81,0)),""))</f>
        <v/>
      </c>
      <c r="G1080" s="26" t="str">
        <f>IF($E1080="","",IFERROR(INDEX(科目表!$E$4:$E$81,MATCH($E1080,科目表!$B$4:$B$81,0)),""))</f>
        <v/>
      </c>
      <c r="H1080" s="27" t="str">
        <f>IF($E1080="","",N(INDEX(资金日记账!$N$4:$S$603,86,2)))</f>
        <v/>
      </c>
      <c r="I1080" s="27" t="str">
        <f>IF($E1080="","",N(INDEX(资金日记账!$N$4:$S$603,86,3)))</f>
        <v/>
      </c>
      <c r="J1080" s="26" t="str">
        <f>IF($E1080="","",INDEX(资金日记账!$E$4:$E$603,86))</f>
        <v/>
      </c>
      <c r="K1080" s="26" t="str">
        <f>IF($E1080="","",INDEX(资金日记账!$F$4:$F$603,86))</f>
        <v/>
      </c>
      <c r="L1080" s="32" t="str">
        <f>IF($E1080="","",INDEX(资金日记账!$X$4:$X$603,86))</f>
        <v/>
      </c>
      <c r="M1080" s="32"/>
      <c r="N1080" s="26" t="str">
        <f>IF($E1080="","",INDEX(资金日记账!$Y$4:$Y$603,86))</f>
        <v/>
      </c>
      <c r="O1080" s="26" t="str">
        <f t="shared" si="64"/>
        <v/>
      </c>
      <c r="P1080" s="10"/>
    </row>
    <row r="1081" ht="18" customHeight="1" spans="1:16">
      <c r="A1081" s="32" t="str">
        <f t="shared" si="63"/>
        <v/>
      </c>
      <c r="B1081" s="100" t="str">
        <f>IF($E1081="","",INDEX(资金日记账!$B$4:$B$603,86))</f>
        <v/>
      </c>
      <c r="C1081" s="26" t="str">
        <f>IF($E1081="","",IF(INDEX(资金日记账!$W$4:$W$603,86)="","记-"&amp;TEXT($B1081,"YYYYMM")&amp;"-资金",INDEX(资金日记账!$W$4:$W$603,86)))</f>
        <v/>
      </c>
      <c r="D1081" s="32" t="str">
        <f>IF($E1081="","",INDEX(资金日记账!$D$4:$D$603,86))</f>
        <v/>
      </c>
      <c r="E1081" s="26" t="str">
        <f>IF(INDEX(资金日记账!$N$4:$S$603,86,4)=0,"",INDEX(资金日记账!$N$4:$S$603,86,4))</f>
        <v/>
      </c>
      <c r="F1081" s="25" t="str">
        <f>IF($E1081="","",IFERROR(INDEX(科目表!$A$4:$A$81,MATCH($E1081,科目表!$B$4:$B$81,0)),""))</f>
        <v/>
      </c>
      <c r="G1081" s="26" t="str">
        <f>IF($E1081="","",IFERROR(INDEX(科目表!$E$4:$E$81,MATCH($E1081,科目表!$B$4:$B$81,0)),""))</f>
        <v/>
      </c>
      <c r="H1081" s="27" t="str">
        <f>IF($E1081="","",N(INDEX(资金日记账!$N$4:$S$603,86,5)))</f>
        <v/>
      </c>
      <c r="I1081" s="27" t="str">
        <f>IF($E1081="","",N(INDEX(资金日记账!$N$4:$S$603,86,6)))</f>
        <v/>
      </c>
      <c r="J1081" s="26" t="str">
        <f>IF($E1081="","",INDEX(资金日记账!$E$4:$E$603,86))</f>
        <v/>
      </c>
      <c r="K1081" s="26" t="str">
        <f>IF($E1081="","",INDEX(资金日记账!$F$4:$F$603,86))</f>
        <v/>
      </c>
      <c r="L1081" s="32" t="str">
        <f>IF($E1081="","",INDEX(资金日记账!$X$4:$X$603,86))</f>
        <v/>
      </c>
      <c r="M1081" s="32"/>
      <c r="N1081" s="26" t="str">
        <f>IF($E1081="","",INDEX(资金日记账!$Y$4:$Y$603,86))</f>
        <v/>
      </c>
      <c r="O1081" s="26" t="str">
        <f t="shared" si="64"/>
        <v/>
      </c>
      <c r="P1081" s="10"/>
    </row>
    <row r="1082" ht="18" customHeight="1" spans="1:16">
      <c r="A1082" s="32" t="str">
        <f t="shared" si="63"/>
        <v/>
      </c>
      <c r="B1082" s="100" t="str">
        <f>IF($E1082="","",INDEX(资金日记账!$B$4:$B$603,87))</f>
        <v/>
      </c>
      <c r="C1082" s="26" t="str">
        <f>IF($E1082="","",IF(INDEX(资金日记账!$W$4:$W$603,87)="","记-"&amp;TEXT($B1082,"YYYYMM")&amp;"-资金",INDEX(资金日记账!$W$4:$W$603,87)))</f>
        <v/>
      </c>
      <c r="D1082" s="32" t="str">
        <f>IF($E1082="","",INDEX(资金日记账!$D$4:$D$603,87))</f>
        <v/>
      </c>
      <c r="E1082" s="26" t="str">
        <f>IF(INDEX(资金日记账!$N$4:$S$603,87,1)=0,"",INDEX(资金日记账!$N$4:$S$603,87,1))</f>
        <v/>
      </c>
      <c r="F1082" s="25" t="str">
        <f>IF($E1082="","",IFERROR(INDEX(科目表!$A$4:$A$81,MATCH($E1082,科目表!$B$4:$B$81,0)),""))</f>
        <v/>
      </c>
      <c r="G1082" s="26" t="str">
        <f>IF($E1082="","",IFERROR(INDEX(科目表!$E$4:$E$81,MATCH($E1082,科目表!$B$4:$B$81,0)),""))</f>
        <v/>
      </c>
      <c r="H1082" s="27" t="str">
        <f>IF($E1082="","",N(INDEX(资金日记账!$N$4:$S$603,87,2)))</f>
        <v/>
      </c>
      <c r="I1082" s="27" t="str">
        <f>IF($E1082="","",N(INDEX(资金日记账!$N$4:$S$603,87,3)))</f>
        <v/>
      </c>
      <c r="J1082" s="26" t="str">
        <f>IF($E1082="","",INDEX(资金日记账!$E$4:$E$603,87))</f>
        <v/>
      </c>
      <c r="K1082" s="26" t="str">
        <f>IF($E1082="","",INDEX(资金日记账!$F$4:$F$603,87))</f>
        <v/>
      </c>
      <c r="L1082" s="32" t="str">
        <f>IF($E1082="","",INDEX(资金日记账!$X$4:$X$603,87))</f>
        <v/>
      </c>
      <c r="M1082" s="32"/>
      <c r="N1082" s="26" t="str">
        <f>IF($E1082="","",INDEX(资金日记账!$Y$4:$Y$603,87))</f>
        <v/>
      </c>
      <c r="O1082" s="26" t="str">
        <f t="shared" si="64"/>
        <v/>
      </c>
      <c r="P1082" s="10"/>
    </row>
    <row r="1083" ht="18" customHeight="1" spans="1:16">
      <c r="A1083" s="32" t="str">
        <f t="shared" si="63"/>
        <v/>
      </c>
      <c r="B1083" s="100" t="str">
        <f>IF($E1083="","",INDEX(资金日记账!$B$4:$B$603,87))</f>
        <v/>
      </c>
      <c r="C1083" s="26" t="str">
        <f>IF($E1083="","",IF(INDEX(资金日记账!$W$4:$W$603,87)="","记-"&amp;TEXT($B1083,"YYYYMM")&amp;"-资金",INDEX(资金日记账!$W$4:$W$603,87)))</f>
        <v/>
      </c>
      <c r="D1083" s="32" t="str">
        <f>IF($E1083="","",INDEX(资金日记账!$D$4:$D$603,87))</f>
        <v/>
      </c>
      <c r="E1083" s="26" t="str">
        <f>IF(INDEX(资金日记账!$N$4:$S$603,87,4)=0,"",INDEX(资金日记账!$N$4:$S$603,87,4))</f>
        <v/>
      </c>
      <c r="F1083" s="25" t="str">
        <f>IF($E1083="","",IFERROR(INDEX(科目表!$A$4:$A$81,MATCH($E1083,科目表!$B$4:$B$81,0)),""))</f>
        <v/>
      </c>
      <c r="G1083" s="26" t="str">
        <f>IF($E1083="","",IFERROR(INDEX(科目表!$E$4:$E$81,MATCH($E1083,科目表!$B$4:$B$81,0)),""))</f>
        <v/>
      </c>
      <c r="H1083" s="27" t="str">
        <f>IF($E1083="","",N(INDEX(资金日记账!$N$4:$S$603,87,5)))</f>
        <v/>
      </c>
      <c r="I1083" s="27" t="str">
        <f>IF($E1083="","",N(INDEX(资金日记账!$N$4:$S$603,87,6)))</f>
        <v/>
      </c>
      <c r="J1083" s="26" t="str">
        <f>IF($E1083="","",INDEX(资金日记账!$E$4:$E$603,87))</f>
        <v/>
      </c>
      <c r="K1083" s="26" t="str">
        <f>IF($E1083="","",INDEX(资金日记账!$F$4:$F$603,87))</f>
        <v/>
      </c>
      <c r="L1083" s="32" t="str">
        <f>IF($E1083="","",INDEX(资金日记账!$X$4:$X$603,87))</f>
        <v/>
      </c>
      <c r="M1083" s="32"/>
      <c r="N1083" s="26" t="str">
        <f>IF($E1083="","",INDEX(资金日记账!$Y$4:$Y$603,87))</f>
        <v/>
      </c>
      <c r="O1083" s="26" t="str">
        <f t="shared" si="64"/>
        <v/>
      </c>
      <c r="P1083" s="10"/>
    </row>
    <row r="1084" ht="18" customHeight="1" spans="1:16">
      <c r="A1084" s="32" t="str">
        <f t="shared" si="63"/>
        <v/>
      </c>
      <c r="B1084" s="100" t="str">
        <f>IF($E1084="","",INDEX(资金日记账!$B$4:$B$603,88))</f>
        <v/>
      </c>
      <c r="C1084" s="26" t="str">
        <f>IF($E1084="","",IF(INDEX(资金日记账!$W$4:$W$603,88)="","记-"&amp;TEXT($B1084,"YYYYMM")&amp;"-资金",INDEX(资金日记账!$W$4:$W$603,88)))</f>
        <v/>
      </c>
      <c r="D1084" s="32" t="str">
        <f>IF($E1084="","",INDEX(资金日记账!$D$4:$D$603,88))</f>
        <v/>
      </c>
      <c r="E1084" s="26" t="str">
        <f>IF(INDEX(资金日记账!$N$4:$S$603,88,1)=0,"",INDEX(资金日记账!$N$4:$S$603,88,1))</f>
        <v/>
      </c>
      <c r="F1084" s="25" t="str">
        <f>IF($E1084="","",IFERROR(INDEX(科目表!$A$4:$A$81,MATCH($E1084,科目表!$B$4:$B$81,0)),""))</f>
        <v/>
      </c>
      <c r="G1084" s="26" t="str">
        <f>IF($E1084="","",IFERROR(INDEX(科目表!$E$4:$E$81,MATCH($E1084,科目表!$B$4:$B$81,0)),""))</f>
        <v/>
      </c>
      <c r="H1084" s="27" t="str">
        <f>IF($E1084="","",N(INDEX(资金日记账!$N$4:$S$603,88,2)))</f>
        <v/>
      </c>
      <c r="I1084" s="27" t="str">
        <f>IF($E1084="","",N(INDEX(资金日记账!$N$4:$S$603,88,3)))</f>
        <v/>
      </c>
      <c r="J1084" s="26" t="str">
        <f>IF($E1084="","",INDEX(资金日记账!$E$4:$E$603,88))</f>
        <v/>
      </c>
      <c r="K1084" s="26" t="str">
        <f>IF($E1084="","",INDEX(资金日记账!$F$4:$F$603,88))</f>
        <v/>
      </c>
      <c r="L1084" s="32" t="str">
        <f>IF($E1084="","",INDEX(资金日记账!$X$4:$X$603,88))</f>
        <v/>
      </c>
      <c r="M1084" s="32"/>
      <c r="N1084" s="26" t="str">
        <f>IF($E1084="","",INDEX(资金日记账!$Y$4:$Y$603,88))</f>
        <v/>
      </c>
      <c r="O1084" s="26" t="str">
        <f t="shared" si="64"/>
        <v/>
      </c>
      <c r="P1084" s="10"/>
    </row>
    <row r="1085" ht="18" customHeight="1" spans="1:16">
      <c r="A1085" s="32" t="str">
        <f t="shared" si="63"/>
        <v/>
      </c>
      <c r="B1085" s="100" t="str">
        <f>IF($E1085="","",INDEX(资金日记账!$B$4:$B$603,88))</f>
        <v/>
      </c>
      <c r="C1085" s="26" t="str">
        <f>IF($E1085="","",IF(INDEX(资金日记账!$W$4:$W$603,88)="","记-"&amp;TEXT($B1085,"YYYYMM")&amp;"-资金",INDEX(资金日记账!$W$4:$W$603,88)))</f>
        <v/>
      </c>
      <c r="D1085" s="32" t="str">
        <f>IF($E1085="","",INDEX(资金日记账!$D$4:$D$603,88))</f>
        <v/>
      </c>
      <c r="E1085" s="26" t="str">
        <f>IF(INDEX(资金日记账!$N$4:$S$603,88,4)=0,"",INDEX(资金日记账!$N$4:$S$603,88,4))</f>
        <v/>
      </c>
      <c r="F1085" s="25" t="str">
        <f>IF($E1085="","",IFERROR(INDEX(科目表!$A$4:$A$81,MATCH($E1085,科目表!$B$4:$B$81,0)),""))</f>
        <v/>
      </c>
      <c r="G1085" s="26" t="str">
        <f>IF($E1085="","",IFERROR(INDEX(科目表!$E$4:$E$81,MATCH($E1085,科目表!$B$4:$B$81,0)),""))</f>
        <v/>
      </c>
      <c r="H1085" s="27" t="str">
        <f>IF($E1085="","",N(INDEX(资金日记账!$N$4:$S$603,88,5)))</f>
        <v/>
      </c>
      <c r="I1085" s="27" t="str">
        <f>IF($E1085="","",N(INDEX(资金日记账!$N$4:$S$603,88,6)))</f>
        <v/>
      </c>
      <c r="J1085" s="26" t="str">
        <f>IF($E1085="","",INDEX(资金日记账!$E$4:$E$603,88))</f>
        <v/>
      </c>
      <c r="K1085" s="26" t="str">
        <f>IF($E1085="","",INDEX(资金日记账!$F$4:$F$603,88))</f>
        <v/>
      </c>
      <c r="L1085" s="32" t="str">
        <f>IF($E1085="","",INDEX(资金日记账!$X$4:$X$603,88))</f>
        <v/>
      </c>
      <c r="M1085" s="32"/>
      <c r="N1085" s="26" t="str">
        <f>IF($E1085="","",INDEX(资金日记账!$Y$4:$Y$603,88))</f>
        <v/>
      </c>
      <c r="O1085" s="26" t="str">
        <f t="shared" si="64"/>
        <v/>
      </c>
      <c r="P1085" s="10"/>
    </row>
    <row r="1086" ht="18" customHeight="1" spans="1:16">
      <c r="A1086" s="32" t="str">
        <f t="shared" si="63"/>
        <v/>
      </c>
      <c r="B1086" s="100" t="str">
        <f>IF($E1086="","",INDEX(资金日记账!$B$4:$B$603,89))</f>
        <v/>
      </c>
      <c r="C1086" s="26" t="str">
        <f>IF($E1086="","",IF(INDEX(资金日记账!$W$4:$W$603,89)="","记-"&amp;TEXT($B1086,"YYYYMM")&amp;"-资金",INDEX(资金日记账!$W$4:$W$603,89)))</f>
        <v/>
      </c>
      <c r="D1086" s="32" t="str">
        <f>IF($E1086="","",INDEX(资金日记账!$D$4:$D$603,89))</f>
        <v/>
      </c>
      <c r="E1086" s="26" t="str">
        <f>IF(INDEX(资金日记账!$N$4:$S$603,89,1)=0,"",INDEX(资金日记账!$N$4:$S$603,89,1))</f>
        <v/>
      </c>
      <c r="F1086" s="25" t="str">
        <f>IF($E1086="","",IFERROR(INDEX(科目表!$A$4:$A$81,MATCH($E1086,科目表!$B$4:$B$81,0)),""))</f>
        <v/>
      </c>
      <c r="G1086" s="26" t="str">
        <f>IF($E1086="","",IFERROR(INDEX(科目表!$E$4:$E$81,MATCH($E1086,科目表!$B$4:$B$81,0)),""))</f>
        <v/>
      </c>
      <c r="H1086" s="27" t="str">
        <f>IF($E1086="","",N(INDEX(资金日记账!$N$4:$S$603,89,2)))</f>
        <v/>
      </c>
      <c r="I1086" s="27" t="str">
        <f>IF($E1086="","",N(INDEX(资金日记账!$N$4:$S$603,89,3)))</f>
        <v/>
      </c>
      <c r="J1086" s="26" t="str">
        <f>IF($E1086="","",INDEX(资金日记账!$E$4:$E$603,89))</f>
        <v/>
      </c>
      <c r="K1086" s="26" t="str">
        <f>IF($E1086="","",INDEX(资金日记账!$F$4:$F$603,89))</f>
        <v/>
      </c>
      <c r="L1086" s="32" t="str">
        <f>IF($E1086="","",INDEX(资金日记账!$X$4:$X$603,89))</f>
        <v/>
      </c>
      <c r="M1086" s="32"/>
      <c r="N1086" s="26" t="str">
        <f>IF($E1086="","",INDEX(资金日记账!$Y$4:$Y$603,89))</f>
        <v/>
      </c>
      <c r="O1086" s="26" t="str">
        <f t="shared" si="64"/>
        <v/>
      </c>
      <c r="P1086" s="10"/>
    </row>
    <row r="1087" ht="18" customHeight="1" spans="1:16">
      <c r="A1087" s="32" t="str">
        <f t="shared" si="63"/>
        <v/>
      </c>
      <c r="B1087" s="100" t="str">
        <f>IF($E1087="","",INDEX(资金日记账!$B$4:$B$603,89))</f>
        <v/>
      </c>
      <c r="C1087" s="26" t="str">
        <f>IF($E1087="","",IF(INDEX(资金日记账!$W$4:$W$603,89)="","记-"&amp;TEXT($B1087,"YYYYMM")&amp;"-资金",INDEX(资金日记账!$W$4:$W$603,89)))</f>
        <v/>
      </c>
      <c r="D1087" s="32" t="str">
        <f>IF($E1087="","",INDEX(资金日记账!$D$4:$D$603,89))</f>
        <v/>
      </c>
      <c r="E1087" s="26" t="str">
        <f>IF(INDEX(资金日记账!$N$4:$S$603,89,4)=0,"",INDEX(资金日记账!$N$4:$S$603,89,4))</f>
        <v/>
      </c>
      <c r="F1087" s="25" t="str">
        <f>IF($E1087="","",IFERROR(INDEX(科目表!$A$4:$A$81,MATCH($E1087,科目表!$B$4:$B$81,0)),""))</f>
        <v/>
      </c>
      <c r="G1087" s="26" t="str">
        <f>IF($E1087="","",IFERROR(INDEX(科目表!$E$4:$E$81,MATCH($E1087,科目表!$B$4:$B$81,0)),""))</f>
        <v/>
      </c>
      <c r="H1087" s="27" t="str">
        <f>IF($E1087="","",N(INDEX(资金日记账!$N$4:$S$603,89,5)))</f>
        <v/>
      </c>
      <c r="I1087" s="27" t="str">
        <f>IF($E1087="","",N(INDEX(资金日记账!$N$4:$S$603,89,6)))</f>
        <v/>
      </c>
      <c r="J1087" s="26" t="str">
        <f>IF($E1087="","",INDEX(资金日记账!$E$4:$E$603,89))</f>
        <v/>
      </c>
      <c r="K1087" s="26" t="str">
        <f>IF($E1087="","",INDEX(资金日记账!$F$4:$F$603,89))</f>
        <v/>
      </c>
      <c r="L1087" s="32" t="str">
        <f>IF($E1087="","",INDEX(资金日记账!$X$4:$X$603,89))</f>
        <v/>
      </c>
      <c r="M1087" s="32"/>
      <c r="N1087" s="26" t="str">
        <f>IF($E1087="","",INDEX(资金日记账!$Y$4:$Y$603,89))</f>
        <v/>
      </c>
      <c r="O1087" s="26" t="str">
        <f t="shared" si="64"/>
        <v/>
      </c>
      <c r="P1087" s="10"/>
    </row>
    <row r="1088" ht="18" customHeight="1" spans="1:16">
      <c r="A1088" s="32" t="str">
        <f t="shared" si="63"/>
        <v/>
      </c>
      <c r="B1088" s="100" t="str">
        <f>IF($E1088="","",INDEX(资金日记账!$B$4:$B$603,90))</f>
        <v/>
      </c>
      <c r="C1088" s="26" t="str">
        <f>IF($E1088="","",IF(INDEX(资金日记账!$W$4:$W$603,90)="","记-"&amp;TEXT($B1088,"YYYYMM")&amp;"-资金",INDEX(资金日记账!$W$4:$W$603,90)))</f>
        <v/>
      </c>
      <c r="D1088" s="32" t="str">
        <f>IF($E1088="","",INDEX(资金日记账!$D$4:$D$603,90))</f>
        <v/>
      </c>
      <c r="E1088" s="26" t="str">
        <f>IF(INDEX(资金日记账!$N$4:$S$603,90,1)=0,"",INDEX(资金日记账!$N$4:$S$603,90,1))</f>
        <v/>
      </c>
      <c r="F1088" s="25" t="str">
        <f>IF($E1088="","",IFERROR(INDEX(科目表!$A$4:$A$81,MATCH($E1088,科目表!$B$4:$B$81,0)),""))</f>
        <v/>
      </c>
      <c r="G1088" s="26" t="str">
        <f>IF($E1088="","",IFERROR(INDEX(科目表!$E$4:$E$81,MATCH($E1088,科目表!$B$4:$B$81,0)),""))</f>
        <v/>
      </c>
      <c r="H1088" s="27" t="str">
        <f>IF($E1088="","",N(INDEX(资金日记账!$N$4:$S$603,90,2)))</f>
        <v/>
      </c>
      <c r="I1088" s="27" t="str">
        <f>IF($E1088="","",N(INDEX(资金日记账!$N$4:$S$603,90,3)))</f>
        <v/>
      </c>
      <c r="J1088" s="26" t="str">
        <f>IF($E1088="","",INDEX(资金日记账!$E$4:$E$603,90))</f>
        <v/>
      </c>
      <c r="K1088" s="26" t="str">
        <f>IF($E1088="","",INDEX(资金日记账!$F$4:$F$603,90))</f>
        <v/>
      </c>
      <c r="L1088" s="32" t="str">
        <f>IF($E1088="","",INDEX(资金日记账!$X$4:$X$603,90))</f>
        <v/>
      </c>
      <c r="M1088" s="32"/>
      <c r="N1088" s="26" t="str">
        <f>IF($E1088="","",INDEX(资金日记账!$Y$4:$Y$603,90))</f>
        <v/>
      </c>
      <c r="O1088" s="26" t="str">
        <f t="shared" si="64"/>
        <v/>
      </c>
      <c r="P1088" s="10"/>
    </row>
    <row r="1089" ht="18" customHeight="1" spans="1:16">
      <c r="A1089" s="32" t="str">
        <f t="shared" si="63"/>
        <v/>
      </c>
      <c r="B1089" s="100" t="str">
        <f>IF($E1089="","",INDEX(资金日记账!$B$4:$B$603,90))</f>
        <v/>
      </c>
      <c r="C1089" s="26" t="str">
        <f>IF($E1089="","",IF(INDEX(资金日记账!$W$4:$W$603,90)="","记-"&amp;TEXT($B1089,"YYYYMM")&amp;"-资金",INDEX(资金日记账!$W$4:$W$603,90)))</f>
        <v/>
      </c>
      <c r="D1089" s="32" t="str">
        <f>IF($E1089="","",INDEX(资金日记账!$D$4:$D$603,90))</f>
        <v/>
      </c>
      <c r="E1089" s="26" t="str">
        <f>IF(INDEX(资金日记账!$N$4:$S$603,90,4)=0,"",INDEX(资金日记账!$N$4:$S$603,90,4))</f>
        <v/>
      </c>
      <c r="F1089" s="25" t="str">
        <f>IF($E1089="","",IFERROR(INDEX(科目表!$A$4:$A$81,MATCH($E1089,科目表!$B$4:$B$81,0)),""))</f>
        <v/>
      </c>
      <c r="G1089" s="26" t="str">
        <f>IF($E1089="","",IFERROR(INDEX(科目表!$E$4:$E$81,MATCH($E1089,科目表!$B$4:$B$81,0)),""))</f>
        <v/>
      </c>
      <c r="H1089" s="27" t="str">
        <f>IF($E1089="","",N(INDEX(资金日记账!$N$4:$S$603,90,5)))</f>
        <v/>
      </c>
      <c r="I1089" s="27" t="str">
        <f>IF($E1089="","",N(INDEX(资金日记账!$N$4:$S$603,90,6)))</f>
        <v/>
      </c>
      <c r="J1089" s="26" t="str">
        <f>IF($E1089="","",INDEX(资金日记账!$E$4:$E$603,90))</f>
        <v/>
      </c>
      <c r="K1089" s="26" t="str">
        <f>IF($E1089="","",INDEX(资金日记账!$F$4:$F$603,90))</f>
        <v/>
      </c>
      <c r="L1089" s="32" t="str">
        <f>IF($E1089="","",INDEX(资金日记账!$X$4:$X$603,90))</f>
        <v/>
      </c>
      <c r="M1089" s="32"/>
      <c r="N1089" s="26" t="str">
        <f>IF($E1089="","",INDEX(资金日记账!$Y$4:$Y$603,90))</f>
        <v/>
      </c>
      <c r="O1089" s="26" t="str">
        <f t="shared" si="64"/>
        <v/>
      </c>
      <c r="P1089" s="10"/>
    </row>
    <row r="1090" ht="18" customHeight="1" spans="1:16">
      <c r="A1090" s="32" t="str">
        <f t="shared" si="63"/>
        <v/>
      </c>
      <c r="B1090" s="100" t="str">
        <f>IF($E1090="","",INDEX(资金日记账!$B$4:$B$603,91))</f>
        <v/>
      </c>
      <c r="C1090" s="26" t="str">
        <f>IF($E1090="","",IF(INDEX(资金日记账!$W$4:$W$603,91)="","记-"&amp;TEXT($B1090,"YYYYMM")&amp;"-资金",INDEX(资金日记账!$W$4:$W$603,91)))</f>
        <v/>
      </c>
      <c r="D1090" s="32" t="str">
        <f>IF($E1090="","",INDEX(资金日记账!$D$4:$D$603,91))</f>
        <v/>
      </c>
      <c r="E1090" s="26" t="str">
        <f>IF(INDEX(资金日记账!$N$4:$S$603,91,1)=0,"",INDEX(资金日记账!$N$4:$S$603,91,1))</f>
        <v/>
      </c>
      <c r="F1090" s="25" t="str">
        <f>IF($E1090="","",IFERROR(INDEX(科目表!$A$4:$A$81,MATCH($E1090,科目表!$B$4:$B$81,0)),""))</f>
        <v/>
      </c>
      <c r="G1090" s="26" t="str">
        <f>IF($E1090="","",IFERROR(INDEX(科目表!$E$4:$E$81,MATCH($E1090,科目表!$B$4:$B$81,0)),""))</f>
        <v/>
      </c>
      <c r="H1090" s="27" t="str">
        <f>IF($E1090="","",N(INDEX(资金日记账!$N$4:$S$603,91,2)))</f>
        <v/>
      </c>
      <c r="I1090" s="27" t="str">
        <f>IF($E1090="","",N(INDEX(资金日记账!$N$4:$S$603,91,3)))</f>
        <v/>
      </c>
      <c r="J1090" s="26" t="str">
        <f>IF($E1090="","",INDEX(资金日记账!$E$4:$E$603,91))</f>
        <v/>
      </c>
      <c r="K1090" s="26" t="str">
        <f>IF($E1090="","",INDEX(资金日记账!$F$4:$F$603,91))</f>
        <v/>
      </c>
      <c r="L1090" s="32" t="str">
        <f>IF($E1090="","",INDEX(资金日记账!$X$4:$X$603,91))</f>
        <v/>
      </c>
      <c r="M1090" s="32"/>
      <c r="N1090" s="26" t="str">
        <f>IF($E1090="","",INDEX(资金日记账!$Y$4:$Y$603,91))</f>
        <v/>
      </c>
      <c r="O1090" s="26" t="str">
        <f t="shared" si="64"/>
        <v/>
      </c>
      <c r="P1090" s="10"/>
    </row>
    <row r="1091" ht="18" customHeight="1" spans="1:16">
      <c r="A1091" s="32" t="str">
        <f t="shared" si="63"/>
        <v/>
      </c>
      <c r="B1091" s="100" t="str">
        <f>IF($E1091="","",INDEX(资金日记账!$B$4:$B$603,91))</f>
        <v/>
      </c>
      <c r="C1091" s="26" t="str">
        <f>IF($E1091="","",IF(INDEX(资金日记账!$W$4:$W$603,91)="","记-"&amp;TEXT($B1091,"YYYYMM")&amp;"-资金",INDEX(资金日记账!$W$4:$W$603,91)))</f>
        <v/>
      </c>
      <c r="D1091" s="32" t="str">
        <f>IF($E1091="","",INDEX(资金日记账!$D$4:$D$603,91))</f>
        <v/>
      </c>
      <c r="E1091" s="26" t="str">
        <f>IF(INDEX(资金日记账!$N$4:$S$603,91,4)=0,"",INDEX(资金日记账!$N$4:$S$603,91,4))</f>
        <v/>
      </c>
      <c r="F1091" s="25" t="str">
        <f>IF($E1091="","",IFERROR(INDEX(科目表!$A$4:$A$81,MATCH($E1091,科目表!$B$4:$B$81,0)),""))</f>
        <v/>
      </c>
      <c r="G1091" s="26" t="str">
        <f>IF($E1091="","",IFERROR(INDEX(科目表!$E$4:$E$81,MATCH($E1091,科目表!$B$4:$B$81,0)),""))</f>
        <v/>
      </c>
      <c r="H1091" s="27" t="str">
        <f>IF($E1091="","",N(INDEX(资金日记账!$N$4:$S$603,91,5)))</f>
        <v/>
      </c>
      <c r="I1091" s="27" t="str">
        <f>IF($E1091="","",N(INDEX(资金日记账!$N$4:$S$603,91,6)))</f>
        <v/>
      </c>
      <c r="J1091" s="26" t="str">
        <f>IF($E1091="","",INDEX(资金日记账!$E$4:$E$603,91))</f>
        <v/>
      </c>
      <c r="K1091" s="26" t="str">
        <f>IF($E1091="","",INDEX(资金日记账!$F$4:$F$603,91))</f>
        <v/>
      </c>
      <c r="L1091" s="32" t="str">
        <f>IF($E1091="","",INDEX(资金日记账!$X$4:$X$603,91))</f>
        <v/>
      </c>
      <c r="M1091" s="32"/>
      <c r="N1091" s="26" t="str">
        <f>IF($E1091="","",INDEX(资金日记账!$Y$4:$Y$603,91))</f>
        <v/>
      </c>
      <c r="O1091" s="26" t="str">
        <f t="shared" si="64"/>
        <v/>
      </c>
      <c r="P1091" s="10"/>
    </row>
    <row r="1092" ht="18" customHeight="1" spans="1:16">
      <c r="A1092" s="32" t="str">
        <f t="shared" ref="A1092:A1155" si="65">IF($E1092="","",ROW()-3)</f>
        <v/>
      </c>
      <c r="B1092" s="100" t="str">
        <f>IF($E1092="","",INDEX(资金日记账!$B$4:$B$603,92))</f>
        <v/>
      </c>
      <c r="C1092" s="26" t="str">
        <f>IF($E1092="","",IF(INDEX(资金日记账!$W$4:$W$603,92)="","记-"&amp;TEXT($B1092,"YYYYMM")&amp;"-资金",INDEX(资金日记账!$W$4:$W$603,92)))</f>
        <v/>
      </c>
      <c r="D1092" s="32" t="str">
        <f>IF($E1092="","",INDEX(资金日记账!$D$4:$D$603,92))</f>
        <v/>
      </c>
      <c r="E1092" s="26" t="str">
        <f>IF(INDEX(资金日记账!$N$4:$S$603,92,1)=0,"",INDEX(资金日记账!$N$4:$S$603,92,1))</f>
        <v/>
      </c>
      <c r="F1092" s="25" t="str">
        <f>IF($E1092="","",IFERROR(INDEX(科目表!$A$4:$A$81,MATCH($E1092,科目表!$B$4:$B$81,0)),""))</f>
        <v/>
      </c>
      <c r="G1092" s="26" t="str">
        <f>IF($E1092="","",IFERROR(INDEX(科目表!$E$4:$E$81,MATCH($E1092,科目表!$B$4:$B$81,0)),""))</f>
        <v/>
      </c>
      <c r="H1092" s="27" t="str">
        <f>IF($E1092="","",N(INDEX(资金日记账!$N$4:$S$603,92,2)))</f>
        <v/>
      </c>
      <c r="I1092" s="27" t="str">
        <f>IF($E1092="","",N(INDEX(资金日记账!$N$4:$S$603,92,3)))</f>
        <v/>
      </c>
      <c r="J1092" s="26" t="str">
        <f>IF($E1092="","",INDEX(资金日记账!$E$4:$E$603,92))</f>
        <v/>
      </c>
      <c r="K1092" s="26" t="str">
        <f>IF($E1092="","",INDEX(资金日记账!$F$4:$F$603,92))</f>
        <v/>
      </c>
      <c r="L1092" s="32" t="str">
        <f>IF($E1092="","",INDEX(资金日记账!$X$4:$X$603,92))</f>
        <v/>
      </c>
      <c r="M1092" s="32"/>
      <c r="N1092" s="26" t="str">
        <f>IF($E1092="","",INDEX(资金日记账!$Y$4:$Y$603,92))</f>
        <v/>
      </c>
      <c r="O1092" s="26" t="str">
        <f t="shared" si="64"/>
        <v/>
      </c>
      <c r="P1092" s="10"/>
    </row>
    <row r="1093" ht="18" customHeight="1" spans="1:16">
      <c r="A1093" s="32" t="str">
        <f t="shared" si="65"/>
        <v/>
      </c>
      <c r="B1093" s="100" t="str">
        <f>IF($E1093="","",INDEX(资金日记账!$B$4:$B$603,92))</f>
        <v/>
      </c>
      <c r="C1093" s="26" t="str">
        <f>IF($E1093="","",IF(INDEX(资金日记账!$W$4:$W$603,92)="","记-"&amp;TEXT($B1093,"YYYYMM")&amp;"-资金",INDEX(资金日记账!$W$4:$W$603,92)))</f>
        <v/>
      </c>
      <c r="D1093" s="32" t="str">
        <f>IF($E1093="","",INDEX(资金日记账!$D$4:$D$603,92))</f>
        <v/>
      </c>
      <c r="E1093" s="26" t="str">
        <f>IF(INDEX(资金日记账!$N$4:$S$603,92,4)=0,"",INDEX(资金日记账!$N$4:$S$603,92,4))</f>
        <v/>
      </c>
      <c r="F1093" s="25" t="str">
        <f>IF($E1093="","",IFERROR(INDEX(科目表!$A$4:$A$81,MATCH($E1093,科目表!$B$4:$B$81,0)),""))</f>
        <v/>
      </c>
      <c r="G1093" s="26" t="str">
        <f>IF($E1093="","",IFERROR(INDEX(科目表!$E$4:$E$81,MATCH($E1093,科目表!$B$4:$B$81,0)),""))</f>
        <v/>
      </c>
      <c r="H1093" s="27" t="str">
        <f>IF($E1093="","",N(INDEX(资金日记账!$N$4:$S$603,92,5)))</f>
        <v/>
      </c>
      <c r="I1093" s="27" t="str">
        <f>IF($E1093="","",N(INDEX(资金日记账!$N$4:$S$603,92,6)))</f>
        <v/>
      </c>
      <c r="J1093" s="26" t="str">
        <f>IF($E1093="","",INDEX(资金日记账!$E$4:$E$603,92))</f>
        <v/>
      </c>
      <c r="K1093" s="26" t="str">
        <f>IF($E1093="","",INDEX(资金日记账!$F$4:$F$603,92))</f>
        <v/>
      </c>
      <c r="L1093" s="32" t="str">
        <f>IF($E1093="","",INDEX(资金日记账!$X$4:$X$603,92))</f>
        <v/>
      </c>
      <c r="M1093" s="32"/>
      <c r="N1093" s="26" t="str">
        <f>IF($E1093="","",INDEX(资金日记账!$Y$4:$Y$603,92))</f>
        <v/>
      </c>
      <c r="O1093" s="26" t="str">
        <f t="shared" si="64"/>
        <v/>
      </c>
      <c r="P1093" s="10"/>
    </row>
    <row r="1094" ht="18" customHeight="1" spans="1:16">
      <c r="A1094" s="32" t="str">
        <f t="shared" si="65"/>
        <v/>
      </c>
      <c r="B1094" s="100" t="str">
        <f>IF($E1094="","",INDEX(资金日记账!$B$4:$B$603,93))</f>
        <v/>
      </c>
      <c r="C1094" s="26" t="str">
        <f>IF($E1094="","",IF(INDEX(资金日记账!$W$4:$W$603,93)="","记-"&amp;TEXT($B1094,"YYYYMM")&amp;"-资金",INDEX(资金日记账!$W$4:$W$603,93)))</f>
        <v/>
      </c>
      <c r="D1094" s="32" t="str">
        <f>IF($E1094="","",INDEX(资金日记账!$D$4:$D$603,93))</f>
        <v/>
      </c>
      <c r="E1094" s="26" t="str">
        <f>IF(INDEX(资金日记账!$N$4:$S$603,93,1)=0,"",INDEX(资金日记账!$N$4:$S$603,93,1))</f>
        <v/>
      </c>
      <c r="F1094" s="25" t="str">
        <f>IF($E1094="","",IFERROR(INDEX(科目表!$A$4:$A$81,MATCH($E1094,科目表!$B$4:$B$81,0)),""))</f>
        <v/>
      </c>
      <c r="G1094" s="26" t="str">
        <f>IF($E1094="","",IFERROR(INDEX(科目表!$E$4:$E$81,MATCH($E1094,科目表!$B$4:$B$81,0)),""))</f>
        <v/>
      </c>
      <c r="H1094" s="27" t="str">
        <f>IF($E1094="","",N(INDEX(资金日记账!$N$4:$S$603,93,2)))</f>
        <v/>
      </c>
      <c r="I1094" s="27" t="str">
        <f>IF($E1094="","",N(INDEX(资金日记账!$N$4:$S$603,93,3)))</f>
        <v/>
      </c>
      <c r="J1094" s="26" t="str">
        <f>IF($E1094="","",INDEX(资金日记账!$E$4:$E$603,93))</f>
        <v/>
      </c>
      <c r="K1094" s="26" t="str">
        <f>IF($E1094="","",INDEX(资金日记账!$F$4:$F$603,93))</f>
        <v/>
      </c>
      <c r="L1094" s="32" t="str">
        <f>IF($E1094="","",INDEX(资金日记账!$X$4:$X$603,93))</f>
        <v/>
      </c>
      <c r="M1094" s="32"/>
      <c r="N1094" s="26" t="str">
        <f>IF($E1094="","",INDEX(资金日记账!$Y$4:$Y$603,93))</f>
        <v/>
      </c>
      <c r="O1094" s="26" t="str">
        <f t="shared" si="64"/>
        <v/>
      </c>
      <c r="P1094" s="10"/>
    </row>
    <row r="1095" ht="18" customHeight="1" spans="1:16">
      <c r="A1095" s="32" t="str">
        <f t="shared" si="65"/>
        <v/>
      </c>
      <c r="B1095" s="100" t="str">
        <f>IF($E1095="","",INDEX(资金日记账!$B$4:$B$603,93))</f>
        <v/>
      </c>
      <c r="C1095" s="26" t="str">
        <f>IF($E1095="","",IF(INDEX(资金日记账!$W$4:$W$603,93)="","记-"&amp;TEXT($B1095,"YYYYMM")&amp;"-资金",INDEX(资金日记账!$W$4:$W$603,93)))</f>
        <v/>
      </c>
      <c r="D1095" s="32" t="str">
        <f>IF($E1095="","",INDEX(资金日记账!$D$4:$D$603,93))</f>
        <v/>
      </c>
      <c r="E1095" s="26" t="str">
        <f>IF(INDEX(资金日记账!$N$4:$S$603,93,4)=0,"",INDEX(资金日记账!$N$4:$S$603,93,4))</f>
        <v/>
      </c>
      <c r="F1095" s="25" t="str">
        <f>IF($E1095="","",IFERROR(INDEX(科目表!$A$4:$A$81,MATCH($E1095,科目表!$B$4:$B$81,0)),""))</f>
        <v/>
      </c>
      <c r="G1095" s="26" t="str">
        <f>IF($E1095="","",IFERROR(INDEX(科目表!$E$4:$E$81,MATCH($E1095,科目表!$B$4:$B$81,0)),""))</f>
        <v/>
      </c>
      <c r="H1095" s="27" t="str">
        <f>IF($E1095="","",N(INDEX(资金日记账!$N$4:$S$603,93,5)))</f>
        <v/>
      </c>
      <c r="I1095" s="27" t="str">
        <f>IF($E1095="","",N(INDEX(资金日记账!$N$4:$S$603,93,6)))</f>
        <v/>
      </c>
      <c r="J1095" s="26" t="str">
        <f>IF($E1095="","",INDEX(资金日记账!$E$4:$E$603,93))</f>
        <v/>
      </c>
      <c r="K1095" s="26" t="str">
        <f>IF($E1095="","",INDEX(资金日记账!$F$4:$F$603,93))</f>
        <v/>
      </c>
      <c r="L1095" s="32" t="str">
        <f>IF($E1095="","",INDEX(资金日记账!$X$4:$X$603,93))</f>
        <v/>
      </c>
      <c r="M1095" s="32"/>
      <c r="N1095" s="26" t="str">
        <f>IF($E1095="","",INDEX(资金日记账!$Y$4:$Y$603,93))</f>
        <v/>
      </c>
      <c r="O1095" s="26" t="str">
        <f t="shared" si="64"/>
        <v/>
      </c>
      <c r="P1095" s="10"/>
    </row>
    <row r="1096" ht="18" customHeight="1" spans="1:16">
      <c r="A1096" s="32" t="str">
        <f t="shared" si="65"/>
        <v/>
      </c>
      <c r="B1096" s="100" t="str">
        <f>IF($E1096="","",INDEX(资金日记账!$B$4:$B$603,94))</f>
        <v/>
      </c>
      <c r="C1096" s="26" t="str">
        <f>IF($E1096="","",IF(INDEX(资金日记账!$W$4:$W$603,94)="","记-"&amp;TEXT($B1096,"YYYYMM")&amp;"-资金",INDEX(资金日记账!$W$4:$W$603,94)))</f>
        <v/>
      </c>
      <c r="D1096" s="32" t="str">
        <f>IF($E1096="","",INDEX(资金日记账!$D$4:$D$603,94))</f>
        <v/>
      </c>
      <c r="E1096" s="26" t="str">
        <f>IF(INDEX(资金日记账!$N$4:$S$603,94,1)=0,"",INDEX(资金日记账!$N$4:$S$603,94,1))</f>
        <v/>
      </c>
      <c r="F1096" s="25" t="str">
        <f>IF($E1096="","",IFERROR(INDEX(科目表!$A$4:$A$81,MATCH($E1096,科目表!$B$4:$B$81,0)),""))</f>
        <v/>
      </c>
      <c r="G1096" s="26" t="str">
        <f>IF($E1096="","",IFERROR(INDEX(科目表!$E$4:$E$81,MATCH($E1096,科目表!$B$4:$B$81,0)),""))</f>
        <v/>
      </c>
      <c r="H1096" s="27" t="str">
        <f>IF($E1096="","",N(INDEX(资金日记账!$N$4:$S$603,94,2)))</f>
        <v/>
      </c>
      <c r="I1096" s="27" t="str">
        <f>IF($E1096="","",N(INDEX(资金日记账!$N$4:$S$603,94,3)))</f>
        <v/>
      </c>
      <c r="J1096" s="26" t="str">
        <f>IF($E1096="","",INDEX(资金日记账!$E$4:$E$603,94))</f>
        <v/>
      </c>
      <c r="K1096" s="26" t="str">
        <f>IF($E1096="","",INDEX(资金日记账!$F$4:$F$603,94))</f>
        <v/>
      </c>
      <c r="L1096" s="32" t="str">
        <f>IF($E1096="","",INDEX(资金日记账!$X$4:$X$603,94))</f>
        <v/>
      </c>
      <c r="M1096" s="32"/>
      <c r="N1096" s="26" t="str">
        <f>IF($E1096="","",INDEX(资金日记账!$Y$4:$Y$603,94))</f>
        <v/>
      </c>
      <c r="O1096" s="26" t="str">
        <f t="shared" si="64"/>
        <v/>
      </c>
      <c r="P1096" s="10"/>
    </row>
    <row r="1097" ht="18" customHeight="1" spans="1:16">
      <c r="A1097" s="32" t="str">
        <f t="shared" si="65"/>
        <v/>
      </c>
      <c r="B1097" s="100" t="str">
        <f>IF($E1097="","",INDEX(资金日记账!$B$4:$B$603,94))</f>
        <v/>
      </c>
      <c r="C1097" s="26" t="str">
        <f>IF($E1097="","",IF(INDEX(资金日记账!$W$4:$W$603,94)="","记-"&amp;TEXT($B1097,"YYYYMM")&amp;"-资金",INDEX(资金日记账!$W$4:$W$603,94)))</f>
        <v/>
      </c>
      <c r="D1097" s="32" t="str">
        <f>IF($E1097="","",INDEX(资金日记账!$D$4:$D$603,94))</f>
        <v/>
      </c>
      <c r="E1097" s="26" t="str">
        <f>IF(INDEX(资金日记账!$N$4:$S$603,94,4)=0,"",INDEX(资金日记账!$N$4:$S$603,94,4))</f>
        <v/>
      </c>
      <c r="F1097" s="25" t="str">
        <f>IF($E1097="","",IFERROR(INDEX(科目表!$A$4:$A$81,MATCH($E1097,科目表!$B$4:$B$81,0)),""))</f>
        <v/>
      </c>
      <c r="G1097" s="26" t="str">
        <f>IF($E1097="","",IFERROR(INDEX(科目表!$E$4:$E$81,MATCH($E1097,科目表!$B$4:$B$81,0)),""))</f>
        <v/>
      </c>
      <c r="H1097" s="27" t="str">
        <f>IF($E1097="","",N(INDEX(资金日记账!$N$4:$S$603,94,5)))</f>
        <v/>
      </c>
      <c r="I1097" s="27" t="str">
        <f>IF($E1097="","",N(INDEX(资金日记账!$N$4:$S$603,94,6)))</f>
        <v/>
      </c>
      <c r="J1097" s="26" t="str">
        <f>IF($E1097="","",INDEX(资金日记账!$E$4:$E$603,94))</f>
        <v/>
      </c>
      <c r="K1097" s="26" t="str">
        <f>IF($E1097="","",INDEX(资金日记账!$F$4:$F$603,94))</f>
        <v/>
      </c>
      <c r="L1097" s="32" t="str">
        <f>IF($E1097="","",INDEX(资金日记账!$X$4:$X$603,94))</f>
        <v/>
      </c>
      <c r="M1097" s="32"/>
      <c r="N1097" s="26" t="str">
        <f>IF($E1097="","",INDEX(资金日记账!$Y$4:$Y$603,94))</f>
        <v/>
      </c>
      <c r="O1097" s="26" t="str">
        <f t="shared" si="64"/>
        <v/>
      </c>
      <c r="P1097" s="10"/>
    </row>
    <row r="1098" ht="18" customHeight="1" spans="1:16">
      <c r="A1098" s="32" t="str">
        <f t="shared" si="65"/>
        <v/>
      </c>
      <c r="B1098" s="100" t="str">
        <f>IF($E1098="","",INDEX(资金日记账!$B$4:$B$603,95))</f>
        <v/>
      </c>
      <c r="C1098" s="26" t="str">
        <f>IF($E1098="","",IF(INDEX(资金日记账!$W$4:$W$603,95)="","记-"&amp;TEXT($B1098,"YYYYMM")&amp;"-资金",INDEX(资金日记账!$W$4:$W$603,95)))</f>
        <v/>
      </c>
      <c r="D1098" s="32" t="str">
        <f>IF($E1098="","",INDEX(资金日记账!$D$4:$D$603,95))</f>
        <v/>
      </c>
      <c r="E1098" s="26" t="str">
        <f>IF(INDEX(资金日记账!$N$4:$S$603,95,1)=0,"",INDEX(资金日记账!$N$4:$S$603,95,1))</f>
        <v/>
      </c>
      <c r="F1098" s="25" t="str">
        <f>IF($E1098="","",IFERROR(INDEX(科目表!$A$4:$A$81,MATCH($E1098,科目表!$B$4:$B$81,0)),""))</f>
        <v/>
      </c>
      <c r="G1098" s="26" t="str">
        <f>IF($E1098="","",IFERROR(INDEX(科目表!$E$4:$E$81,MATCH($E1098,科目表!$B$4:$B$81,0)),""))</f>
        <v/>
      </c>
      <c r="H1098" s="27" t="str">
        <f>IF($E1098="","",N(INDEX(资金日记账!$N$4:$S$603,95,2)))</f>
        <v/>
      </c>
      <c r="I1098" s="27" t="str">
        <f>IF($E1098="","",N(INDEX(资金日记账!$N$4:$S$603,95,3)))</f>
        <v/>
      </c>
      <c r="J1098" s="26" t="str">
        <f>IF($E1098="","",INDEX(资金日记账!$E$4:$E$603,95))</f>
        <v/>
      </c>
      <c r="K1098" s="26" t="str">
        <f>IF($E1098="","",INDEX(资金日记账!$F$4:$F$603,95))</f>
        <v/>
      </c>
      <c r="L1098" s="32" t="str">
        <f>IF($E1098="","",INDEX(资金日记账!$X$4:$X$603,95))</f>
        <v/>
      </c>
      <c r="M1098" s="32"/>
      <c r="N1098" s="26" t="str">
        <f>IF($E1098="","",INDEX(资金日记账!$Y$4:$Y$603,95))</f>
        <v/>
      </c>
      <c r="O1098" s="26" t="str">
        <f t="shared" si="64"/>
        <v/>
      </c>
      <c r="P1098" s="10"/>
    </row>
    <row r="1099" ht="18" customHeight="1" spans="1:16">
      <c r="A1099" s="32" t="str">
        <f t="shared" si="65"/>
        <v/>
      </c>
      <c r="B1099" s="100" t="str">
        <f>IF($E1099="","",INDEX(资金日记账!$B$4:$B$603,95))</f>
        <v/>
      </c>
      <c r="C1099" s="26" t="str">
        <f>IF($E1099="","",IF(INDEX(资金日记账!$W$4:$W$603,95)="","记-"&amp;TEXT($B1099,"YYYYMM")&amp;"-资金",INDEX(资金日记账!$W$4:$W$603,95)))</f>
        <v/>
      </c>
      <c r="D1099" s="32" t="str">
        <f>IF($E1099="","",INDEX(资金日记账!$D$4:$D$603,95))</f>
        <v/>
      </c>
      <c r="E1099" s="26" t="str">
        <f>IF(INDEX(资金日记账!$N$4:$S$603,95,4)=0,"",INDEX(资金日记账!$N$4:$S$603,95,4))</f>
        <v/>
      </c>
      <c r="F1099" s="25" t="str">
        <f>IF($E1099="","",IFERROR(INDEX(科目表!$A$4:$A$81,MATCH($E1099,科目表!$B$4:$B$81,0)),""))</f>
        <v/>
      </c>
      <c r="G1099" s="26" t="str">
        <f>IF($E1099="","",IFERROR(INDEX(科目表!$E$4:$E$81,MATCH($E1099,科目表!$B$4:$B$81,0)),""))</f>
        <v/>
      </c>
      <c r="H1099" s="27" t="str">
        <f>IF($E1099="","",N(INDEX(资金日记账!$N$4:$S$603,95,5)))</f>
        <v/>
      </c>
      <c r="I1099" s="27" t="str">
        <f>IF($E1099="","",N(INDEX(资金日记账!$N$4:$S$603,95,6)))</f>
        <v/>
      </c>
      <c r="J1099" s="26" t="str">
        <f>IF($E1099="","",INDEX(资金日记账!$E$4:$E$603,95))</f>
        <v/>
      </c>
      <c r="K1099" s="26" t="str">
        <f>IF($E1099="","",INDEX(资金日记账!$F$4:$F$603,95))</f>
        <v/>
      </c>
      <c r="L1099" s="32" t="str">
        <f>IF($E1099="","",INDEX(资金日记账!$X$4:$X$603,95))</f>
        <v/>
      </c>
      <c r="M1099" s="32"/>
      <c r="N1099" s="26" t="str">
        <f>IF($E1099="","",INDEX(资金日记账!$Y$4:$Y$603,95))</f>
        <v/>
      </c>
      <c r="O1099" s="26" t="str">
        <f t="shared" si="64"/>
        <v/>
      </c>
      <c r="P1099" s="10"/>
    </row>
    <row r="1100" ht="18" customHeight="1" spans="1:16">
      <c r="A1100" s="32" t="str">
        <f t="shared" si="65"/>
        <v/>
      </c>
      <c r="B1100" s="100" t="str">
        <f>IF($E1100="","",INDEX(资金日记账!$B$4:$B$603,96))</f>
        <v/>
      </c>
      <c r="C1100" s="26" t="str">
        <f>IF($E1100="","",IF(INDEX(资金日记账!$W$4:$W$603,96)="","记-"&amp;TEXT($B1100,"YYYYMM")&amp;"-资金",INDEX(资金日记账!$W$4:$W$603,96)))</f>
        <v/>
      </c>
      <c r="D1100" s="32" t="str">
        <f>IF($E1100="","",INDEX(资金日记账!$D$4:$D$603,96))</f>
        <v/>
      </c>
      <c r="E1100" s="26" t="str">
        <f>IF(INDEX(资金日记账!$N$4:$S$603,96,1)=0,"",INDEX(资金日记账!$N$4:$S$603,96,1))</f>
        <v/>
      </c>
      <c r="F1100" s="25" t="str">
        <f>IF($E1100="","",IFERROR(INDEX(科目表!$A$4:$A$81,MATCH($E1100,科目表!$B$4:$B$81,0)),""))</f>
        <v/>
      </c>
      <c r="G1100" s="26" t="str">
        <f>IF($E1100="","",IFERROR(INDEX(科目表!$E$4:$E$81,MATCH($E1100,科目表!$B$4:$B$81,0)),""))</f>
        <v/>
      </c>
      <c r="H1100" s="27" t="str">
        <f>IF($E1100="","",N(INDEX(资金日记账!$N$4:$S$603,96,2)))</f>
        <v/>
      </c>
      <c r="I1100" s="27" t="str">
        <f>IF($E1100="","",N(INDEX(资金日记账!$N$4:$S$603,96,3)))</f>
        <v/>
      </c>
      <c r="J1100" s="26" t="str">
        <f>IF($E1100="","",INDEX(资金日记账!$E$4:$E$603,96))</f>
        <v/>
      </c>
      <c r="K1100" s="26" t="str">
        <f>IF($E1100="","",INDEX(资金日记账!$F$4:$F$603,96))</f>
        <v/>
      </c>
      <c r="L1100" s="32" t="str">
        <f>IF($E1100="","",INDEX(资金日记账!$X$4:$X$603,96))</f>
        <v/>
      </c>
      <c r="M1100" s="32"/>
      <c r="N1100" s="26" t="str">
        <f>IF($E1100="","",INDEX(资金日记账!$Y$4:$Y$603,96))</f>
        <v/>
      </c>
      <c r="O1100" s="26" t="str">
        <f t="shared" si="64"/>
        <v/>
      </c>
      <c r="P1100" s="10"/>
    </row>
    <row r="1101" ht="18" customHeight="1" spans="1:16">
      <c r="A1101" s="32" t="str">
        <f t="shared" si="65"/>
        <v/>
      </c>
      <c r="B1101" s="100" t="str">
        <f>IF($E1101="","",INDEX(资金日记账!$B$4:$B$603,96))</f>
        <v/>
      </c>
      <c r="C1101" s="26" t="str">
        <f>IF($E1101="","",IF(INDEX(资金日记账!$W$4:$W$603,96)="","记-"&amp;TEXT($B1101,"YYYYMM")&amp;"-资金",INDEX(资金日记账!$W$4:$W$603,96)))</f>
        <v/>
      </c>
      <c r="D1101" s="32" t="str">
        <f>IF($E1101="","",INDEX(资金日记账!$D$4:$D$603,96))</f>
        <v/>
      </c>
      <c r="E1101" s="26" t="str">
        <f>IF(INDEX(资金日记账!$N$4:$S$603,96,4)=0,"",INDEX(资金日记账!$N$4:$S$603,96,4))</f>
        <v/>
      </c>
      <c r="F1101" s="25" t="str">
        <f>IF($E1101="","",IFERROR(INDEX(科目表!$A$4:$A$81,MATCH($E1101,科目表!$B$4:$B$81,0)),""))</f>
        <v/>
      </c>
      <c r="G1101" s="26" t="str">
        <f>IF($E1101="","",IFERROR(INDEX(科目表!$E$4:$E$81,MATCH($E1101,科目表!$B$4:$B$81,0)),""))</f>
        <v/>
      </c>
      <c r="H1101" s="27" t="str">
        <f>IF($E1101="","",N(INDEX(资金日记账!$N$4:$S$603,96,5)))</f>
        <v/>
      </c>
      <c r="I1101" s="27" t="str">
        <f>IF($E1101="","",N(INDEX(资金日记账!$N$4:$S$603,96,6)))</f>
        <v/>
      </c>
      <c r="J1101" s="26" t="str">
        <f>IF($E1101="","",INDEX(资金日记账!$E$4:$E$603,96))</f>
        <v/>
      </c>
      <c r="K1101" s="26" t="str">
        <f>IF($E1101="","",INDEX(资金日记账!$F$4:$F$603,96))</f>
        <v/>
      </c>
      <c r="L1101" s="32" t="str">
        <f>IF($E1101="","",INDEX(资金日记账!$X$4:$X$603,96))</f>
        <v/>
      </c>
      <c r="M1101" s="32"/>
      <c r="N1101" s="26" t="str">
        <f>IF($E1101="","",INDEX(资金日记账!$Y$4:$Y$603,96))</f>
        <v/>
      </c>
      <c r="O1101" s="26" t="str">
        <f t="shared" si="64"/>
        <v/>
      </c>
      <c r="P1101" s="10"/>
    </row>
    <row r="1102" ht="18" customHeight="1" spans="1:16">
      <c r="A1102" s="32" t="str">
        <f t="shared" si="65"/>
        <v/>
      </c>
      <c r="B1102" s="100" t="str">
        <f>IF($E1102="","",INDEX(资金日记账!$B$4:$B$603,97))</f>
        <v/>
      </c>
      <c r="C1102" s="26" t="str">
        <f>IF($E1102="","",IF(INDEX(资金日记账!$W$4:$W$603,97)="","记-"&amp;TEXT($B1102,"YYYYMM")&amp;"-资金",INDEX(资金日记账!$W$4:$W$603,97)))</f>
        <v/>
      </c>
      <c r="D1102" s="32" t="str">
        <f>IF($E1102="","",INDEX(资金日记账!$D$4:$D$603,97))</f>
        <v/>
      </c>
      <c r="E1102" s="26" t="str">
        <f>IF(INDEX(资金日记账!$N$4:$S$603,97,1)=0,"",INDEX(资金日记账!$N$4:$S$603,97,1))</f>
        <v/>
      </c>
      <c r="F1102" s="25" t="str">
        <f>IF($E1102="","",IFERROR(INDEX(科目表!$A$4:$A$81,MATCH($E1102,科目表!$B$4:$B$81,0)),""))</f>
        <v/>
      </c>
      <c r="G1102" s="26" t="str">
        <f>IF($E1102="","",IFERROR(INDEX(科目表!$E$4:$E$81,MATCH($E1102,科目表!$B$4:$B$81,0)),""))</f>
        <v/>
      </c>
      <c r="H1102" s="27" t="str">
        <f>IF($E1102="","",N(INDEX(资金日记账!$N$4:$S$603,97,2)))</f>
        <v/>
      </c>
      <c r="I1102" s="27" t="str">
        <f>IF($E1102="","",N(INDEX(资金日记账!$N$4:$S$603,97,3)))</f>
        <v/>
      </c>
      <c r="J1102" s="26" t="str">
        <f>IF($E1102="","",INDEX(资金日记账!$E$4:$E$603,97))</f>
        <v/>
      </c>
      <c r="K1102" s="26" t="str">
        <f>IF($E1102="","",INDEX(资金日记账!$F$4:$F$603,97))</f>
        <v/>
      </c>
      <c r="L1102" s="32" t="str">
        <f>IF($E1102="","",INDEX(资金日记账!$X$4:$X$603,97))</f>
        <v/>
      </c>
      <c r="M1102" s="32"/>
      <c r="N1102" s="26" t="str">
        <f>IF($E1102="","",INDEX(资金日记账!$Y$4:$Y$603,97))</f>
        <v/>
      </c>
      <c r="O1102" s="26" t="str">
        <f t="shared" ref="O1102:O1165" si="66">IF($E1102="","","自动B")</f>
        <v/>
      </c>
      <c r="P1102" s="10"/>
    </row>
    <row r="1103" ht="18" customHeight="1" spans="1:16">
      <c r="A1103" s="32" t="str">
        <f t="shared" si="65"/>
        <v/>
      </c>
      <c r="B1103" s="100" t="str">
        <f>IF($E1103="","",INDEX(资金日记账!$B$4:$B$603,97))</f>
        <v/>
      </c>
      <c r="C1103" s="26" t="str">
        <f>IF($E1103="","",IF(INDEX(资金日记账!$W$4:$W$603,97)="","记-"&amp;TEXT($B1103,"YYYYMM")&amp;"-资金",INDEX(资金日记账!$W$4:$W$603,97)))</f>
        <v/>
      </c>
      <c r="D1103" s="32" t="str">
        <f>IF($E1103="","",INDEX(资金日记账!$D$4:$D$603,97))</f>
        <v/>
      </c>
      <c r="E1103" s="26" t="str">
        <f>IF(INDEX(资金日记账!$N$4:$S$603,97,4)=0,"",INDEX(资金日记账!$N$4:$S$603,97,4))</f>
        <v/>
      </c>
      <c r="F1103" s="25" t="str">
        <f>IF($E1103="","",IFERROR(INDEX(科目表!$A$4:$A$81,MATCH($E1103,科目表!$B$4:$B$81,0)),""))</f>
        <v/>
      </c>
      <c r="G1103" s="26" t="str">
        <f>IF($E1103="","",IFERROR(INDEX(科目表!$E$4:$E$81,MATCH($E1103,科目表!$B$4:$B$81,0)),""))</f>
        <v/>
      </c>
      <c r="H1103" s="27" t="str">
        <f>IF($E1103="","",N(INDEX(资金日记账!$N$4:$S$603,97,5)))</f>
        <v/>
      </c>
      <c r="I1103" s="27" t="str">
        <f>IF($E1103="","",N(INDEX(资金日记账!$N$4:$S$603,97,6)))</f>
        <v/>
      </c>
      <c r="J1103" s="26" t="str">
        <f>IF($E1103="","",INDEX(资金日记账!$E$4:$E$603,97))</f>
        <v/>
      </c>
      <c r="K1103" s="26" t="str">
        <f>IF($E1103="","",INDEX(资金日记账!$F$4:$F$603,97))</f>
        <v/>
      </c>
      <c r="L1103" s="32" t="str">
        <f>IF($E1103="","",INDEX(资金日记账!$X$4:$X$603,97))</f>
        <v/>
      </c>
      <c r="M1103" s="32"/>
      <c r="N1103" s="26" t="str">
        <f>IF($E1103="","",INDEX(资金日记账!$Y$4:$Y$603,97))</f>
        <v/>
      </c>
      <c r="O1103" s="26" t="str">
        <f t="shared" si="66"/>
        <v/>
      </c>
      <c r="P1103" s="10"/>
    </row>
    <row r="1104" ht="18" customHeight="1" spans="1:16">
      <c r="A1104" s="32" t="str">
        <f t="shared" si="65"/>
        <v/>
      </c>
      <c r="B1104" s="100" t="str">
        <f>IF($E1104="","",INDEX(资金日记账!$B$4:$B$603,98))</f>
        <v/>
      </c>
      <c r="C1104" s="26" t="str">
        <f>IF($E1104="","",IF(INDEX(资金日记账!$W$4:$W$603,98)="","记-"&amp;TEXT($B1104,"YYYYMM")&amp;"-资金",INDEX(资金日记账!$W$4:$W$603,98)))</f>
        <v/>
      </c>
      <c r="D1104" s="32" t="str">
        <f>IF($E1104="","",INDEX(资金日记账!$D$4:$D$603,98))</f>
        <v/>
      </c>
      <c r="E1104" s="26" t="str">
        <f>IF(INDEX(资金日记账!$N$4:$S$603,98,1)=0,"",INDEX(资金日记账!$N$4:$S$603,98,1))</f>
        <v/>
      </c>
      <c r="F1104" s="25" t="str">
        <f>IF($E1104="","",IFERROR(INDEX(科目表!$A$4:$A$81,MATCH($E1104,科目表!$B$4:$B$81,0)),""))</f>
        <v/>
      </c>
      <c r="G1104" s="26" t="str">
        <f>IF($E1104="","",IFERROR(INDEX(科目表!$E$4:$E$81,MATCH($E1104,科目表!$B$4:$B$81,0)),""))</f>
        <v/>
      </c>
      <c r="H1104" s="27" t="str">
        <f>IF($E1104="","",N(INDEX(资金日记账!$N$4:$S$603,98,2)))</f>
        <v/>
      </c>
      <c r="I1104" s="27" t="str">
        <f>IF($E1104="","",N(INDEX(资金日记账!$N$4:$S$603,98,3)))</f>
        <v/>
      </c>
      <c r="J1104" s="26" t="str">
        <f>IF($E1104="","",INDEX(资金日记账!$E$4:$E$603,98))</f>
        <v/>
      </c>
      <c r="K1104" s="26" t="str">
        <f>IF($E1104="","",INDEX(资金日记账!$F$4:$F$603,98))</f>
        <v/>
      </c>
      <c r="L1104" s="32" t="str">
        <f>IF($E1104="","",INDEX(资金日记账!$X$4:$X$603,98))</f>
        <v/>
      </c>
      <c r="M1104" s="32"/>
      <c r="N1104" s="26" t="str">
        <f>IF($E1104="","",INDEX(资金日记账!$Y$4:$Y$603,98))</f>
        <v/>
      </c>
      <c r="O1104" s="26" t="str">
        <f t="shared" si="66"/>
        <v/>
      </c>
      <c r="P1104" s="10"/>
    </row>
    <row r="1105" ht="18" customHeight="1" spans="1:16">
      <c r="A1105" s="32" t="str">
        <f t="shared" si="65"/>
        <v/>
      </c>
      <c r="B1105" s="100" t="str">
        <f>IF($E1105="","",INDEX(资金日记账!$B$4:$B$603,98))</f>
        <v/>
      </c>
      <c r="C1105" s="26" t="str">
        <f>IF($E1105="","",IF(INDEX(资金日记账!$W$4:$W$603,98)="","记-"&amp;TEXT($B1105,"YYYYMM")&amp;"-资金",INDEX(资金日记账!$W$4:$W$603,98)))</f>
        <v/>
      </c>
      <c r="D1105" s="32" t="str">
        <f>IF($E1105="","",INDEX(资金日记账!$D$4:$D$603,98))</f>
        <v/>
      </c>
      <c r="E1105" s="26" t="str">
        <f>IF(INDEX(资金日记账!$N$4:$S$603,98,4)=0,"",INDEX(资金日记账!$N$4:$S$603,98,4))</f>
        <v/>
      </c>
      <c r="F1105" s="25" t="str">
        <f>IF($E1105="","",IFERROR(INDEX(科目表!$A$4:$A$81,MATCH($E1105,科目表!$B$4:$B$81,0)),""))</f>
        <v/>
      </c>
      <c r="G1105" s="26" t="str">
        <f>IF($E1105="","",IFERROR(INDEX(科目表!$E$4:$E$81,MATCH($E1105,科目表!$B$4:$B$81,0)),""))</f>
        <v/>
      </c>
      <c r="H1105" s="27" t="str">
        <f>IF($E1105="","",N(INDEX(资金日记账!$N$4:$S$603,98,5)))</f>
        <v/>
      </c>
      <c r="I1105" s="27" t="str">
        <f>IF($E1105="","",N(INDEX(资金日记账!$N$4:$S$603,98,6)))</f>
        <v/>
      </c>
      <c r="J1105" s="26" t="str">
        <f>IF($E1105="","",INDEX(资金日记账!$E$4:$E$603,98))</f>
        <v/>
      </c>
      <c r="K1105" s="26" t="str">
        <f>IF($E1105="","",INDEX(资金日记账!$F$4:$F$603,98))</f>
        <v/>
      </c>
      <c r="L1105" s="32" t="str">
        <f>IF($E1105="","",INDEX(资金日记账!$X$4:$X$603,98))</f>
        <v/>
      </c>
      <c r="M1105" s="32"/>
      <c r="N1105" s="26" t="str">
        <f>IF($E1105="","",INDEX(资金日记账!$Y$4:$Y$603,98))</f>
        <v/>
      </c>
      <c r="O1105" s="26" t="str">
        <f t="shared" si="66"/>
        <v/>
      </c>
      <c r="P1105" s="10"/>
    </row>
    <row r="1106" ht="18" customHeight="1" spans="1:16">
      <c r="A1106" s="32" t="str">
        <f t="shared" si="65"/>
        <v/>
      </c>
      <c r="B1106" s="100" t="str">
        <f>IF($E1106="","",INDEX(资金日记账!$B$4:$B$603,99))</f>
        <v/>
      </c>
      <c r="C1106" s="26" t="str">
        <f>IF($E1106="","",IF(INDEX(资金日记账!$W$4:$W$603,99)="","记-"&amp;TEXT($B1106,"YYYYMM")&amp;"-资金",INDEX(资金日记账!$W$4:$W$603,99)))</f>
        <v/>
      </c>
      <c r="D1106" s="32" t="str">
        <f>IF($E1106="","",INDEX(资金日记账!$D$4:$D$603,99))</f>
        <v/>
      </c>
      <c r="E1106" s="26" t="str">
        <f>IF(INDEX(资金日记账!$N$4:$S$603,99,1)=0,"",INDEX(资金日记账!$N$4:$S$603,99,1))</f>
        <v/>
      </c>
      <c r="F1106" s="25" t="str">
        <f>IF($E1106="","",IFERROR(INDEX(科目表!$A$4:$A$81,MATCH($E1106,科目表!$B$4:$B$81,0)),""))</f>
        <v/>
      </c>
      <c r="G1106" s="26" t="str">
        <f>IF($E1106="","",IFERROR(INDEX(科目表!$E$4:$E$81,MATCH($E1106,科目表!$B$4:$B$81,0)),""))</f>
        <v/>
      </c>
      <c r="H1106" s="27" t="str">
        <f>IF($E1106="","",N(INDEX(资金日记账!$N$4:$S$603,99,2)))</f>
        <v/>
      </c>
      <c r="I1106" s="27" t="str">
        <f>IF($E1106="","",N(INDEX(资金日记账!$N$4:$S$603,99,3)))</f>
        <v/>
      </c>
      <c r="J1106" s="26" t="str">
        <f>IF($E1106="","",INDEX(资金日记账!$E$4:$E$603,99))</f>
        <v/>
      </c>
      <c r="K1106" s="26" t="str">
        <f>IF($E1106="","",INDEX(资金日记账!$F$4:$F$603,99))</f>
        <v/>
      </c>
      <c r="L1106" s="32" t="str">
        <f>IF($E1106="","",INDEX(资金日记账!$X$4:$X$603,99))</f>
        <v/>
      </c>
      <c r="M1106" s="32"/>
      <c r="N1106" s="26" t="str">
        <f>IF($E1106="","",INDEX(资金日记账!$Y$4:$Y$603,99))</f>
        <v/>
      </c>
      <c r="O1106" s="26" t="str">
        <f t="shared" si="66"/>
        <v/>
      </c>
      <c r="P1106" s="10"/>
    </row>
    <row r="1107" ht="18" customHeight="1" spans="1:16">
      <c r="A1107" s="32" t="str">
        <f t="shared" si="65"/>
        <v/>
      </c>
      <c r="B1107" s="100" t="str">
        <f>IF($E1107="","",INDEX(资金日记账!$B$4:$B$603,99))</f>
        <v/>
      </c>
      <c r="C1107" s="26" t="str">
        <f>IF($E1107="","",IF(INDEX(资金日记账!$W$4:$W$603,99)="","记-"&amp;TEXT($B1107,"YYYYMM")&amp;"-资金",INDEX(资金日记账!$W$4:$W$603,99)))</f>
        <v/>
      </c>
      <c r="D1107" s="32" t="str">
        <f>IF($E1107="","",INDEX(资金日记账!$D$4:$D$603,99))</f>
        <v/>
      </c>
      <c r="E1107" s="26" t="str">
        <f>IF(INDEX(资金日记账!$N$4:$S$603,99,4)=0,"",INDEX(资金日记账!$N$4:$S$603,99,4))</f>
        <v/>
      </c>
      <c r="F1107" s="25" t="str">
        <f>IF($E1107="","",IFERROR(INDEX(科目表!$A$4:$A$81,MATCH($E1107,科目表!$B$4:$B$81,0)),""))</f>
        <v/>
      </c>
      <c r="G1107" s="26" t="str">
        <f>IF($E1107="","",IFERROR(INDEX(科目表!$E$4:$E$81,MATCH($E1107,科目表!$B$4:$B$81,0)),""))</f>
        <v/>
      </c>
      <c r="H1107" s="27" t="str">
        <f>IF($E1107="","",N(INDEX(资金日记账!$N$4:$S$603,99,5)))</f>
        <v/>
      </c>
      <c r="I1107" s="27" t="str">
        <f>IF($E1107="","",N(INDEX(资金日记账!$N$4:$S$603,99,6)))</f>
        <v/>
      </c>
      <c r="J1107" s="26" t="str">
        <f>IF($E1107="","",INDEX(资金日记账!$E$4:$E$603,99))</f>
        <v/>
      </c>
      <c r="K1107" s="26" t="str">
        <f>IF($E1107="","",INDEX(资金日记账!$F$4:$F$603,99))</f>
        <v/>
      </c>
      <c r="L1107" s="32" t="str">
        <f>IF($E1107="","",INDEX(资金日记账!$X$4:$X$603,99))</f>
        <v/>
      </c>
      <c r="M1107" s="32"/>
      <c r="N1107" s="26" t="str">
        <f>IF($E1107="","",INDEX(资金日记账!$Y$4:$Y$603,99))</f>
        <v/>
      </c>
      <c r="O1107" s="26" t="str">
        <f t="shared" si="66"/>
        <v/>
      </c>
      <c r="P1107" s="10"/>
    </row>
    <row r="1108" ht="18" customHeight="1" spans="1:16">
      <c r="A1108" s="32" t="str">
        <f t="shared" si="65"/>
        <v/>
      </c>
      <c r="B1108" s="100" t="str">
        <f>IF($E1108="","",INDEX(资金日记账!$B$4:$B$603,100))</f>
        <v/>
      </c>
      <c r="C1108" s="26" t="str">
        <f>IF($E1108="","",IF(INDEX(资金日记账!$W$4:$W$603,100)="","记-"&amp;TEXT($B1108,"YYYYMM")&amp;"-资金",INDEX(资金日记账!$W$4:$W$603,100)))</f>
        <v/>
      </c>
      <c r="D1108" s="32" t="str">
        <f>IF($E1108="","",INDEX(资金日记账!$D$4:$D$603,100))</f>
        <v/>
      </c>
      <c r="E1108" s="26" t="str">
        <f>IF(INDEX(资金日记账!$N$4:$S$603,100,1)=0,"",INDEX(资金日记账!$N$4:$S$603,100,1))</f>
        <v/>
      </c>
      <c r="F1108" s="25" t="str">
        <f>IF($E1108="","",IFERROR(INDEX(科目表!$A$4:$A$81,MATCH($E1108,科目表!$B$4:$B$81,0)),""))</f>
        <v/>
      </c>
      <c r="G1108" s="26" t="str">
        <f>IF($E1108="","",IFERROR(INDEX(科目表!$E$4:$E$81,MATCH($E1108,科目表!$B$4:$B$81,0)),""))</f>
        <v/>
      </c>
      <c r="H1108" s="27" t="str">
        <f>IF($E1108="","",N(INDEX(资金日记账!$N$4:$S$603,100,2)))</f>
        <v/>
      </c>
      <c r="I1108" s="27" t="str">
        <f>IF($E1108="","",N(INDEX(资金日记账!$N$4:$S$603,100,3)))</f>
        <v/>
      </c>
      <c r="J1108" s="26" t="str">
        <f>IF($E1108="","",INDEX(资金日记账!$E$4:$E$603,100))</f>
        <v/>
      </c>
      <c r="K1108" s="26" t="str">
        <f>IF($E1108="","",INDEX(资金日记账!$F$4:$F$603,100))</f>
        <v/>
      </c>
      <c r="L1108" s="32" t="str">
        <f>IF($E1108="","",INDEX(资金日记账!$X$4:$X$603,100))</f>
        <v/>
      </c>
      <c r="M1108" s="32"/>
      <c r="N1108" s="26" t="str">
        <f>IF($E1108="","",INDEX(资金日记账!$Y$4:$Y$603,100))</f>
        <v/>
      </c>
      <c r="O1108" s="26" t="str">
        <f t="shared" si="66"/>
        <v/>
      </c>
      <c r="P1108" s="10"/>
    </row>
    <row r="1109" ht="18" customHeight="1" spans="1:16">
      <c r="A1109" s="32" t="str">
        <f t="shared" si="65"/>
        <v/>
      </c>
      <c r="B1109" s="100" t="str">
        <f>IF($E1109="","",INDEX(资金日记账!$B$4:$B$603,100))</f>
        <v/>
      </c>
      <c r="C1109" s="26" t="str">
        <f>IF($E1109="","",IF(INDEX(资金日记账!$W$4:$W$603,100)="","记-"&amp;TEXT($B1109,"YYYYMM")&amp;"-资金",INDEX(资金日记账!$W$4:$W$603,100)))</f>
        <v/>
      </c>
      <c r="D1109" s="32" t="str">
        <f>IF($E1109="","",INDEX(资金日记账!$D$4:$D$603,100))</f>
        <v/>
      </c>
      <c r="E1109" s="26" t="str">
        <f>IF(INDEX(资金日记账!$N$4:$S$603,100,4)=0,"",INDEX(资金日记账!$N$4:$S$603,100,4))</f>
        <v/>
      </c>
      <c r="F1109" s="25" t="str">
        <f>IF($E1109="","",IFERROR(INDEX(科目表!$A$4:$A$81,MATCH($E1109,科目表!$B$4:$B$81,0)),""))</f>
        <v/>
      </c>
      <c r="G1109" s="26" t="str">
        <f>IF($E1109="","",IFERROR(INDEX(科目表!$E$4:$E$81,MATCH($E1109,科目表!$B$4:$B$81,0)),""))</f>
        <v/>
      </c>
      <c r="H1109" s="27" t="str">
        <f>IF($E1109="","",N(INDEX(资金日记账!$N$4:$S$603,100,5)))</f>
        <v/>
      </c>
      <c r="I1109" s="27" t="str">
        <f>IF($E1109="","",N(INDEX(资金日记账!$N$4:$S$603,100,6)))</f>
        <v/>
      </c>
      <c r="J1109" s="26" t="str">
        <f>IF($E1109="","",INDEX(资金日记账!$E$4:$E$603,100))</f>
        <v/>
      </c>
      <c r="K1109" s="26" t="str">
        <f>IF($E1109="","",INDEX(资金日记账!$F$4:$F$603,100))</f>
        <v/>
      </c>
      <c r="L1109" s="32" t="str">
        <f>IF($E1109="","",INDEX(资金日记账!$X$4:$X$603,100))</f>
        <v/>
      </c>
      <c r="M1109" s="32"/>
      <c r="N1109" s="26" t="str">
        <f>IF($E1109="","",INDEX(资金日记账!$Y$4:$Y$603,100))</f>
        <v/>
      </c>
      <c r="O1109" s="26" t="str">
        <f t="shared" si="66"/>
        <v/>
      </c>
      <c r="P1109" s="10"/>
    </row>
    <row r="1110" ht="18" customHeight="1" spans="1:16">
      <c r="A1110" s="32" t="str">
        <f t="shared" si="65"/>
        <v/>
      </c>
      <c r="B1110" s="100" t="str">
        <f>IF($E1110="","",INDEX(资金日记账!$B$4:$B$603,101))</f>
        <v/>
      </c>
      <c r="C1110" s="26" t="str">
        <f>IF($E1110="","",IF(INDEX(资金日记账!$W$4:$W$603,101)="","记-"&amp;TEXT($B1110,"YYYYMM")&amp;"-资金",INDEX(资金日记账!$W$4:$W$603,101)))</f>
        <v/>
      </c>
      <c r="D1110" s="32" t="str">
        <f>IF($E1110="","",INDEX(资金日记账!$D$4:$D$603,101))</f>
        <v/>
      </c>
      <c r="E1110" s="26" t="str">
        <f>IF(INDEX(资金日记账!$N$4:$S$603,101,1)=0,"",INDEX(资金日记账!$N$4:$S$603,101,1))</f>
        <v/>
      </c>
      <c r="F1110" s="25" t="str">
        <f>IF($E1110="","",IFERROR(INDEX(科目表!$A$4:$A$81,MATCH($E1110,科目表!$B$4:$B$81,0)),""))</f>
        <v/>
      </c>
      <c r="G1110" s="26" t="str">
        <f>IF($E1110="","",IFERROR(INDEX(科目表!$E$4:$E$81,MATCH($E1110,科目表!$B$4:$B$81,0)),""))</f>
        <v/>
      </c>
      <c r="H1110" s="27" t="str">
        <f>IF($E1110="","",N(INDEX(资金日记账!$N$4:$S$603,101,2)))</f>
        <v/>
      </c>
      <c r="I1110" s="27" t="str">
        <f>IF($E1110="","",N(INDEX(资金日记账!$N$4:$S$603,101,3)))</f>
        <v/>
      </c>
      <c r="J1110" s="26" t="str">
        <f>IF($E1110="","",INDEX(资金日记账!$E$4:$E$603,101))</f>
        <v/>
      </c>
      <c r="K1110" s="26" t="str">
        <f>IF($E1110="","",INDEX(资金日记账!$F$4:$F$603,101))</f>
        <v/>
      </c>
      <c r="L1110" s="32" t="str">
        <f>IF($E1110="","",INDEX(资金日记账!$X$4:$X$603,101))</f>
        <v/>
      </c>
      <c r="M1110" s="32"/>
      <c r="N1110" s="26" t="str">
        <f>IF($E1110="","",INDEX(资金日记账!$Y$4:$Y$603,101))</f>
        <v/>
      </c>
      <c r="O1110" s="26" t="str">
        <f t="shared" si="66"/>
        <v/>
      </c>
      <c r="P1110" s="10"/>
    </row>
    <row r="1111" ht="18" customHeight="1" spans="1:16">
      <c r="A1111" s="32" t="str">
        <f t="shared" si="65"/>
        <v/>
      </c>
      <c r="B1111" s="100" t="str">
        <f>IF($E1111="","",INDEX(资金日记账!$B$4:$B$603,101))</f>
        <v/>
      </c>
      <c r="C1111" s="26" t="str">
        <f>IF($E1111="","",IF(INDEX(资金日记账!$W$4:$W$603,101)="","记-"&amp;TEXT($B1111,"YYYYMM")&amp;"-资金",INDEX(资金日记账!$W$4:$W$603,101)))</f>
        <v/>
      </c>
      <c r="D1111" s="32" t="str">
        <f>IF($E1111="","",INDEX(资金日记账!$D$4:$D$603,101))</f>
        <v/>
      </c>
      <c r="E1111" s="26" t="str">
        <f>IF(INDEX(资金日记账!$N$4:$S$603,101,4)=0,"",INDEX(资金日记账!$N$4:$S$603,101,4))</f>
        <v/>
      </c>
      <c r="F1111" s="25" t="str">
        <f>IF($E1111="","",IFERROR(INDEX(科目表!$A$4:$A$81,MATCH($E1111,科目表!$B$4:$B$81,0)),""))</f>
        <v/>
      </c>
      <c r="G1111" s="26" t="str">
        <f>IF($E1111="","",IFERROR(INDEX(科目表!$E$4:$E$81,MATCH($E1111,科目表!$B$4:$B$81,0)),""))</f>
        <v/>
      </c>
      <c r="H1111" s="27" t="str">
        <f>IF($E1111="","",N(INDEX(资金日记账!$N$4:$S$603,101,5)))</f>
        <v/>
      </c>
      <c r="I1111" s="27" t="str">
        <f>IF($E1111="","",N(INDEX(资金日记账!$N$4:$S$603,101,6)))</f>
        <v/>
      </c>
      <c r="J1111" s="26" t="str">
        <f>IF($E1111="","",INDEX(资金日记账!$E$4:$E$603,101))</f>
        <v/>
      </c>
      <c r="K1111" s="26" t="str">
        <f>IF($E1111="","",INDEX(资金日记账!$F$4:$F$603,101))</f>
        <v/>
      </c>
      <c r="L1111" s="32" t="str">
        <f>IF($E1111="","",INDEX(资金日记账!$X$4:$X$603,101))</f>
        <v/>
      </c>
      <c r="M1111" s="32"/>
      <c r="N1111" s="26" t="str">
        <f>IF($E1111="","",INDEX(资金日记账!$Y$4:$Y$603,101))</f>
        <v/>
      </c>
      <c r="O1111" s="26" t="str">
        <f t="shared" si="66"/>
        <v/>
      </c>
      <c r="P1111" s="10"/>
    </row>
    <row r="1112" ht="18" customHeight="1" spans="1:16">
      <c r="A1112" s="32" t="str">
        <f t="shared" si="65"/>
        <v/>
      </c>
      <c r="B1112" s="100" t="str">
        <f>IF($E1112="","",INDEX(资金日记账!$B$4:$B$603,102))</f>
        <v/>
      </c>
      <c r="C1112" s="26" t="str">
        <f>IF($E1112="","",IF(INDEX(资金日记账!$W$4:$W$603,102)="","记-"&amp;TEXT($B1112,"YYYYMM")&amp;"-资金",INDEX(资金日记账!$W$4:$W$603,102)))</f>
        <v/>
      </c>
      <c r="D1112" s="32" t="str">
        <f>IF($E1112="","",INDEX(资金日记账!$D$4:$D$603,102))</f>
        <v/>
      </c>
      <c r="E1112" s="26" t="str">
        <f>IF(INDEX(资金日记账!$N$4:$S$603,102,1)=0,"",INDEX(资金日记账!$N$4:$S$603,102,1))</f>
        <v/>
      </c>
      <c r="F1112" s="25" t="str">
        <f>IF($E1112="","",IFERROR(INDEX(科目表!$A$4:$A$81,MATCH($E1112,科目表!$B$4:$B$81,0)),""))</f>
        <v/>
      </c>
      <c r="G1112" s="26" t="str">
        <f>IF($E1112="","",IFERROR(INDEX(科目表!$E$4:$E$81,MATCH($E1112,科目表!$B$4:$B$81,0)),""))</f>
        <v/>
      </c>
      <c r="H1112" s="27" t="str">
        <f>IF($E1112="","",N(INDEX(资金日记账!$N$4:$S$603,102,2)))</f>
        <v/>
      </c>
      <c r="I1112" s="27" t="str">
        <f>IF($E1112="","",N(INDEX(资金日记账!$N$4:$S$603,102,3)))</f>
        <v/>
      </c>
      <c r="J1112" s="26" t="str">
        <f>IF($E1112="","",INDEX(资金日记账!$E$4:$E$603,102))</f>
        <v/>
      </c>
      <c r="K1112" s="26" t="str">
        <f>IF($E1112="","",INDEX(资金日记账!$F$4:$F$603,102))</f>
        <v/>
      </c>
      <c r="L1112" s="32" t="str">
        <f>IF($E1112="","",INDEX(资金日记账!$X$4:$X$603,102))</f>
        <v/>
      </c>
      <c r="M1112" s="32"/>
      <c r="N1112" s="26" t="str">
        <f>IF($E1112="","",INDEX(资金日记账!$Y$4:$Y$603,102))</f>
        <v/>
      </c>
      <c r="O1112" s="26" t="str">
        <f t="shared" si="66"/>
        <v/>
      </c>
      <c r="P1112" s="10"/>
    </row>
    <row r="1113" ht="18" customHeight="1" spans="1:16">
      <c r="A1113" s="32" t="str">
        <f t="shared" si="65"/>
        <v/>
      </c>
      <c r="B1113" s="100" t="str">
        <f>IF($E1113="","",INDEX(资金日记账!$B$4:$B$603,102))</f>
        <v/>
      </c>
      <c r="C1113" s="26" t="str">
        <f>IF($E1113="","",IF(INDEX(资金日记账!$W$4:$W$603,102)="","记-"&amp;TEXT($B1113,"YYYYMM")&amp;"-资金",INDEX(资金日记账!$W$4:$W$603,102)))</f>
        <v/>
      </c>
      <c r="D1113" s="32" t="str">
        <f>IF($E1113="","",INDEX(资金日记账!$D$4:$D$603,102))</f>
        <v/>
      </c>
      <c r="E1113" s="26" t="str">
        <f>IF(INDEX(资金日记账!$N$4:$S$603,102,4)=0,"",INDEX(资金日记账!$N$4:$S$603,102,4))</f>
        <v/>
      </c>
      <c r="F1113" s="25" t="str">
        <f>IF($E1113="","",IFERROR(INDEX(科目表!$A$4:$A$81,MATCH($E1113,科目表!$B$4:$B$81,0)),""))</f>
        <v/>
      </c>
      <c r="G1113" s="26" t="str">
        <f>IF($E1113="","",IFERROR(INDEX(科目表!$E$4:$E$81,MATCH($E1113,科目表!$B$4:$B$81,0)),""))</f>
        <v/>
      </c>
      <c r="H1113" s="27" t="str">
        <f>IF($E1113="","",N(INDEX(资金日记账!$N$4:$S$603,102,5)))</f>
        <v/>
      </c>
      <c r="I1113" s="27" t="str">
        <f>IF($E1113="","",N(INDEX(资金日记账!$N$4:$S$603,102,6)))</f>
        <v/>
      </c>
      <c r="J1113" s="26" t="str">
        <f>IF($E1113="","",INDEX(资金日记账!$E$4:$E$603,102))</f>
        <v/>
      </c>
      <c r="K1113" s="26" t="str">
        <f>IF($E1113="","",INDEX(资金日记账!$F$4:$F$603,102))</f>
        <v/>
      </c>
      <c r="L1113" s="32" t="str">
        <f>IF($E1113="","",INDEX(资金日记账!$X$4:$X$603,102))</f>
        <v/>
      </c>
      <c r="M1113" s="32"/>
      <c r="N1113" s="26" t="str">
        <f>IF($E1113="","",INDEX(资金日记账!$Y$4:$Y$603,102))</f>
        <v/>
      </c>
      <c r="O1113" s="26" t="str">
        <f t="shared" si="66"/>
        <v/>
      </c>
      <c r="P1113" s="10"/>
    </row>
    <row r="1114" ht="18" customHeight="1" spans="1:16">
      <c r="A1114" s="32" t="str">
        <f t="shared" si="65"/>
        <v/>
      </c>
      <c r="B1114" s="100" t="str">
        <f>IF($E1114="","",INDEX(资金日记账!$B$4:$B$603,103))</f>
        <v/>
      </c>
      <c r="C1114" s="26" t="str">
        <f>IF($E1114="","",IF(INDEX(资金日记账!$W$4:$W$603,103)="","记-"&amp;TEXT($B1114,"YYYYMM")&amp;"-资金",INDEX(资金日记账!$W$4:$W$603,103)))</f>
        <v/>
      </c>
      <c r="D1114" s="32" t="str">
        <f>IF($E1114="","",INDEX(资金日记账!$D$4:$D$603,103))</f>
        <v/>
      </c>
      <c r="E1114" s="26" t="str">
        <f>IF(INDEX(资金日记账!$N$4:$S$603,103,1)=0,"",INDEX(资金日记账!$N$4:$S$603,103,1))</f>
        <v/>
      </c>
      <c r="F1114" s="25" t="str">
        <f>IF($E1114="","",IFERROR(INDEX(科目表!$A$4:$A$81,MATCH($E1114,科目表!$B$4:$B$81,0)),""))</f>
        <v/>
      </c>
      <c r="G1114" s="26" t="str">
        <f>IF($E1114="","",IFERROR(INDEX(科目表!$E$4:$E$81,MATCH($E1114,科目表!$B$4:$B$81,0)),""))</f>
        <v/>
      </c>
      <c r="H1114" s="27" t="str">
        <f>IF($E1114="","",N(INDEX(资金日记账!$N$4:$S$603,103,2)))</f>
        <v/>
      </c>
      <c r="I1114" s="27" t="str">
        <f>IF($E1114="","",N(INDEX(资金日记账!$N$4:$S$603,103,3)))</f>
        <v/>
      </c>
      <c r="J1114" s="26" t="str">
        <f>IF($E1114="","",INDEX(资金日记账!$E$4:$E$603,103))</f>
        <v/>
      </c>
      <c r="K1114" s="26" t="str">
        <f>IF($E1114="","",INDEX(资金日记账!$F$4:$F$603,103))</f>
        <v/>
      </c>
      <c r="L1114" s="32" t="str">
        <f>IF($E1114="","",INDEX(资金日记账!$X$4:$X$603,103))</f>
        <v/>
      </c>
      <c r="M1114" s="32"/>
      <c r="N1114" s="26" t="str">
        <f>IF($E1114="","",INDEX(资金日记账!$Y$4:$Y$603,103))</f>
        <v/>
      </c>
      <c r="O1114" s="26" t="str">
        <f t="shared" si="66"/>
        <v/>
      </c>
      <c r="P1114" s="10"/>
    </row>
    <row r="1115" ht="18" customHeight="1" spans="1:16">
      <c r="A1115" s="32" t="str">
        <f t="shared" si="65"/>
        <v/>
      </c>
      <c r="B1115" s="100" t="str">
        <f>IF($E1115="","",INDEX(资金日记账!$B$4:$B$603,103))</f>
        <v/>
      </c>
      <c r="C1115" s="26" t="str">
        <f>IF($E1115="","",IF(INDEX(资金日记账!$W$4:$W$603,103)="","记-"&amp;TEXT($B1115,"YYYYMM")&amp;"-资金",INDEX(资金日记账!$W$4:$W$603,103)))</f>
        <v/>
      </c>
      <c r="D1115" s="32" t="str">
        <f>IF($E1115="","",INDEX(资金日记账!$D$4:$D$603,103))</f>
        <v/>
      </c>
      <c r="E1115" s="26" t="str">
        <f>IF(INDEX(资金日记账!$N$4:$S$603,103,4)=0,"",INDEX(资金日记账!$N$4:$S$603,103,4))</f>
        <v/>
      </c>
      <c r="F1115" s="25" t="str">
        <f>IF($E1115="","",IFERROR(INDEX(科目表!$A$4:$A$81,MATCH($E1115,科目表!$B$4:$B$81,0)),""))</f>
        <v/>
      </c>
      <c r="G1115" s="26" t="str">
        <f>IF($E1115="","",IFERROR(INDEX(科目表!$E$4:$E$81,MATCH($E1115,科目表!$B$4:$B$81,0)),""))</f>
        <v/>
      </c>
      <c r="H1115" s="27" t="str">
        <f>IF($E1115="","",N(INDEX(资金日记账!$N$4:$S$603,103,5)))</f>
        <v/>
      </c>
      <c r="I1115" s="27" t="str">
        <f>IF($E1115="","",N(INDEX(资金日记账!$N$4:$S$603,103,6)))</f>
        <v/>
      </c>
      <c r="J1115" s="26" t="str">
        <f>IF($E1115="","",INDEX(资金日记账!$E$4:$E$603,103))</f>
        <v/>
      </c>
      <c r="K1115" s="26" t="str">
        <f>IF($E1115="","",INDEX(资金日记账!$F$4:$F$603,103))</f>
        <v/>
      </c>
      <c r="L1115" s="32" t="str">
        <f>IF($E1115="","",INDEX(资金日记账!$X$4:$X$603,103))</f>
        <v/>
      </c>
      <c r="M1115" s="32"/>
      <c r="N1115" s="26" t="str">
        <f>IF($E1115="","",INDEX(资金日记账!$Y$4:$Y$603,103))</f>
        <v/>
      </c>
      <c r="O1115" s="26" t="str">
        <f t="shared" si="66"/>
        <v/>
      </c>
      <c r="P1115" s="10"/>
    </row>
    <row r="1116" ht="18" customHeight="1" spans="1:16">
      <c r="A1116" s="32" t="str">
        <f t="shared" si="65"/>
        <v/>
      </c>
      <c r="B1116" s="100" t="str">
        <f>IF($E1116="","",INDEX(资金日记账!$B$4:$B$603,104))</f>
        <v/>
      </c>
      <c r="C1116" s="26" t="str">
        <f>IF($E1116="","",IF(INDEX(资金日记账!$W$4:$W$603,104)="","记-"&amp;TEXT($B1116,"YYYYMM")&amp;"-资金",INDEX(资金日记账!$W$4:$W$603,104)))</f>
        <v/>
      </c>
      <c r="D1116" s="32" t="str">
        <f>IF($E1116="","",INDEX(资金日记账!$D$4:$D$603,104))</f>
        <v/>
      </c>
      <c r="E1116" s="26" t="str">
        <f>IF(INDEX(资金日记账!$N$4:$S$603,104,1)=0,"",INDEX(资金日记账!$N$4:$S$603,104,1))</f>
        <v/>
      </c>
      <c r="F1116" s="25" t="str">
        <f>IF($E1116="","",IFERROR(INDEX(科目表!$A$4:$A$81,MATCH($E1116,科目表!$B$4:$B$81,0)),""))</f>
        <v/>
      </c>
      <c r="G1116" s="26" t="str">
        <f>IF($E1116="","",IFERROR(INDEX(科目表!$E$4:$E$81,MATCH($E1116,科目表!$B$4:$B$81,0)),""))</f>
        <v/>
      </c>
      <c r="H1116" s="27" t="str">
        <f>IF($E1116="","",N(INDEX(资金日记账!$N$4:$S$603,104,2)))</f>
        <v/>
      </c>
      <c r="I1116" s="27" t="str">
        <f>IF($E1116="","",N(INDEX(资金日记账!$N$4:$S$603,104,3)))</f>
        <v/>
      </c>
      <c r="J1116" s="26" t="str">
        <f>IF($E1116="","",INDEX(资金日记账!$E$4:$E$603,104))</f>
        <v/>
      </c>
      <c r="K1116" s="26" t="str">
        <f>IF($E1116="","",INDEX(资金日记账!$F$4:$F$603,104))</f>
        <v/>
      </c>
      <c r="L1116" s="32" t="str">
        <f>IF($E1116="","",INDEX(资金日记账!$X$4:$X$603,104))</f>
        <v/>
      </c>
      <c r="M1116" s="32"/>
      <c r="N1116" s="26" t="str">
        <f>IF($E1116="","",INDEX(资金日记账!$Y$4:$Y$603,104))</f>
        <v/>
      </c>
      <c r="O1116" s="26" t="str">
        <f t="shared" si="66"/>
        <v/>
      </c>
      <c r="P1116" s="10"/>
    </row>
    <row r="1117" ht="18" customHeight="1" spans="1:16">
      <c r="A1117" s="32" t="str">
        <f t="shared" si="65"/>
        <v/>
      </c>
      <c r="B1117" s="100" t="str">
        <f>IF($E1117="","",INDEX(资金日记账!$B$4:$B$603,104))</f>
        <v/>
      </c>
      <c r="C1117" s="26" t="str">
        <f>IF($E1117="","",IF(INDEX(资金日记账!$W$4:$W$603,104)="","记-"&amp;TEXT($B1117,"YYYYMM")&amp;"-资金",INDEX(资金日记账!$W$4:$W$603,104)))</f>
        <v/>
      </c>
      <c r="D1117" s="32" t="str">
        <f>IF($E1117="","",INDEX(资金日记账!$D$4:$D$603,104))</f>
        <v/>
      </c>
      <c r="E1117" s="26" t="str">
        <f>IF(INDEX(资金日记账!$N$4:$S$603,104,4)=0,"",INDEX(资金日记账!$N$4:$S$603,104,4))</f>
        <v/>
      </c>
      <c r="F1117" s="25" t="str">
        <f>IF($E1117="","",IFERROR(INDEX(科目表!$A$4:$A$81,MATCH($E1117,科目表!$B$4:$B$81,0)),""))</f>
        <v/>
      </c>
      <c r="G1117" s="26" t="str">
        <f>IF($E1117="","",IFERROR(INDEX(科目表!$E$4:$E$81,MATCH($E1117,科目表!$B$4:$B$81,0)),""))</f>
        <v/>
      </c>
      <c r="H1117" s="27" t="str">
        <f>IF($E1117="","",N(INDEX(资金日记账!$N$4:$S$603,104,5)))</f>
        <v/>
      </c>
      <c r="I1117" s="27" t="str">
        <f>IF($E1117="","",N(INDEX(资金日记账!$N$4:$S$603,104,6)))</f>
        <v/>
      </c>
      <c r="J1117" s="26" t="str">
        <f>IF($E1117="","",INDEX(资金日记账!$E$4:$E$603,104))</f>
        <v/>
      </c>
      <c r="K1117" s="26" t="str">
        <f>IF($E1117="","",INDEX(资金日记账!$F$4:$F$603,104))</f>
        <v/>
      </c>
      <c r="L1117" s="32" t="str">
        <f>IF($E1117="","",INDEX(资金日记账!$X$4:$X$603,104))</f>
        <v/>
      </c>
      <c r="M1117" s="32"/>
      <c r="N1117" s="26" t="str">
        <f>IF($E1117="","",INDEX(资金日记账!$Y$4:$Y$603,104))</f>
        <v/>
      </c>
      <c r="O1117" s="26" t="str">
        <f t="shared" si="66"/>
        <v/>
      </c>
      <c r="P1117" s="10"/>
    </row>
    <row r="1118" ht="18" customHeight="1" spans="1:16">
      <c r="A1118" s="32" t="str">
        <f t="shared" si="65"/>
        <v/>
      </c>
      <c r="B1118" s="100" t="str">
        <f>IF($E1118="","",INDEX(资金日记账!$B$4:$B$603,105))</f>
        <v/>
      </c>
      <c r="C1118" s="26" t="str">
        <f>IF($E1118="","",IF(INDEX(资金日记账!$W$4:$W$603,105)="","记-"&amp;TEXT($B1118,"YYYYMM")&amp;"-资金",INDEX(资金日记账!$W$4:$W$603,105)))</f>
        <v/>
      </c>
      <c r="D1118" s="32" t="str">
        <f>IF($E1118="","",INDEX(资金日记账!$D$4:$D$603,105))</f>
        <v/>
      </c>
      <c r="E1118" s="26" t="str">
        <f>IF(INDEX(资金日记账!$N$4:$S$603,105,1)=0,"",INDEX(资金日记账!$N$4:$S$603,105,1))</f>
        <v/>
      </c>
      <c r="F1118" s="25" t="str">
        <f>IF($E1118="","",IFERROR(INDEX(科目表!$A$4:$A$81,MATCH($E1118,科目表!$B$4:$B$81,0)),""))</f>
        <v/>
      </c>
      <c r="G1118" s="26" t="str">
        <f>IF($E1118="","",IFERROR(INDEX(科目表!$E$4:$E$81,MATCH($E1118,科目表!$B$4:$B$81,0)),""))</f>
        <v/>
      </c>
      <c r="H1118" s="27" t="str">
        <f>IF($E1118="","",N(INDEX(资金日记账!$N$4:$S$603,105,2)))</f>
        <v/>
      </c>
      <c r="I1118" s="27" t="str">
        <f>IF($E1118="","",N(INDEX(资金日记账!$N$4:$S$603,105,3)))</f>
        <v/>
      </c>
      <c r="J1118" s="26" t="str">
        <f>IF($E1118="","",INDEX(资金日记账!$E$4:$E$603,105))</f>
        <v/>
      </c>
      <c r="K1118" s="26" t="str">
        <f>IF($E1118="","",INDEX(资金日记账!$F$4:$F$603,105))</f>
        <v/>
      </c>
      <c r="L1118" s="32" t="str">
        <f>IF($E1118="","",INDEX(资金日记账!$X$4:$X$603,105))</f>
        <v/>
      </c>
      <c r="M1118" s="32"/>
      <c r="N1118" s="26" t="str">
        <f>IF($E1118="","",INDEX(资金日记账!$Y$4:$Y$603,105))</f>
        <v/>
      </c>
      <c r="O1118" s="26" t="str">
        <f t="shared" si="66"/>
        <v/>
      </c>
      <c r="P1118" s="10"/>
    </row>
    <row r="1119" ht="18" customHeight="1" spans="1:16">
      <c r="A1119" s="32" t="str">
        <f t="shared" si="65"/>
        <v/>
      </c>
      <c r="B1119" s="100" t="str">
        <f>IF($E1119="","",INDEX(资金日记账!$B$4:$B$603,105))</f>
        <v/>
      </c>
      <c r="C1119" s="26" t="str">
        <f>IF($E1119="","",IF(INDEX(资金日记账!$W$4:$W$603,105)="","记-"&amp;TEXT($B1119,"YYYYMM")&amp;"-资金",INDEX(资金日记账!$W$4:$W$603,105)))</f>
        <v/>
      </c>
      <c r="D1119" s="32" t="str">
        <f>IF($E1119="","",INDEX(资金日记账!$D$4:$D$603,105))</f>
        <v/>
      </c>
      <c r="E1119" s="26" t="str">
        <f>IF(INDEX(资金日记账!$N$4:$S$603,105,4)=0,"",INDEX(资金日记账!$N$4:$S$603,105,4))</f>
        <v/>
      </c>
      <c r="F1119" s="25" t="str">
        <f>IF($E1119="","",IFERROR(INDEX(科目表!$A$4:$A$81,MATCH($E1119,科目表!$B$4:$B$81,0)),""))</f>
        <v/>
      </c>
      <c r="G1119" s="26" t="str">
        <f>IF($E1119="","",IFERROR(INDEX(科目表!$E$4:$E$81,MATCH($E1119,科目表!$B$4:$B$81,0)),""))</f>
        <v/>
      </c>
      <c r="H1119" s="27" t="str">
        <f>IF($E1119="","",N(INDEX(资金日记账!$N$4:$S$603,105,5)))</f>
        <v/>
      </c>
      <c r="I1119" s="27" t="str">
        <f>IF($E1119="","",N(INDEX(资金日记账!$N$4:$S$603,105,6)))</f>
        <v/>
      </c>
      <c r="J1119" s="26" t="str">
        <f>IF($E1119="","",INDEX(资金日记账!$E$4:$E$603,105))</f>
        <v/>
      </c>
      <c r="K1119" s="26" t="str">
        <f>IF($E1119="","",INDEX(资金日记账!$F$4:$F$603,105))</f>
        <v/>
      </c>
      <c r="L1119" s="32" t="str">
        <f>IF($E1119="","",INDEX(资金日记账!$X$4:$X$603,105))</f>
        <v/>
      </c>
      <c r="M1119" s="32"/>
      <c r="N1119" s="26" t="str">
        <f>IF($E1119="","",INDEX(资金日记账!$Y$4:$Y$603,105))</f>
        <v/>
      </c>
      <c r="O1119" s="26" t="str">
        <f t="shared" si="66"/>
        <v/>
      </c>
      <c r="P1119" s="10"/>
    </row>
    <row r="1120" ht="18" customHeight="1" spans="1:16">
      <c r="A1120" s="32" t="str">
        <f t="shared" si="65"/>
        <v/>
      </c>
      <c r="B1120" s="100" t="str">
        <f>IF($E1120="","",INDEX(资金日记账!$B$4:$B$603,106))</f>
        <v/>
      </c>
      <c r="C1120" s="26" t="str">
        <f>IF($E1120="","",IF(INDEX(资金日记账!$W$4:$W$603,106)="","记-"&amp;TEXT($B1120,"YYYYMM")&amp;"-资金",INDEX(资金日记账!$W$4:$W$603,106)))</f>
        <v/>
      </c>
      <c r="D1120" s="32" t="str">
        <f>IF($E1120="","",INDEX(资金日记账!$D$4:$D$603,106))</f>
        <v/>
      </c>
      <c r="E1120" s="26" t="str">
        <f>IF(INDEX(资金日记账!$N$4:$S$603,106,1)=0,"",INDEX(资金日记账!$N$4:$S$603,106,1))</f>
        <v/>
      </c>
      <c r="F1120" s="25" t="str">
        <f>IF($E1120="","",IFERROR(INDEX(科目表!$A$4:$A$81,MATCH($E1120,科目表!$B$4:$B$81,0)),""))</f>
        <v/>
      </c>
      <c r="G1120" s="26" t="str">
        <f>IF($E1120="","",IFERROR(INDEX(科目表!$E$4:$E$81,MATCH($E1120,科目表!$B$4:$B$81,0)),""))</f>
        <v/>
      </c>
      <c r="H1120" s="27" t="str">
        <f>IF($E1120="","",N(INDEX(资金日记账!$N$4:$S$603,106,2)))</f>
        <v/>
      </c>
      <c r="I1120" s="27" t="str">
        <f>IF($E1120="","",N(INDEX(资金日记账!$N$4:$S$603,106,3)))</f>
        <v/>
      </c>
      <c r="J1120" s="26" t="str">
        <f>IF($E1120="","",INDEX(资金日记账!$E$4:$E$603,106))</f>
        <v/>
      </c>
      <c r="K1120" s="26" t="str">
        <f>IF($E1120="","",INDEX(资金日记账!$F$4:$F$603,106))</f>
        <v/>
      </c>
      <c r="L1120" s="32" t="str">
        <f>IF($E1120="","",INDEX(资金日记账!$X$4:$X$603,106))</f>
        <v/>
      </c>
      <c r="M1120" s="32"/>
      <c r="N1120" s="26" t="str">
        <f>IF($E1120="","",INDEX(资金日记账!$Y$4:$Y$603,106))</f>
        <v/>
      </c>
      <c r="O1120" s="26" t="str">
        <f t="shared" si="66"/>
        <v/>
      </c>
      <c r="P1120" s="10"/>
    </row>
    <row r="1121" ht="18" customHeight="1" spans="1:16">
      <c r="A1121" s="32" t="str">
        <f t="shared" si="65"/>
        <v/>
      </c>
      <c r="B1121" s="100" t="str">
        <f>IF($E1121="","",INDEX(资金日记账!$B$4:$B$603,106))</f>
        <v/>
      </c>
      <c r="C1121" s="26" t="str">
        <f>IF($E1121="","",IF(INDEX(资金日记账!$W$4:$W$603,106)="","记-"&amp;TEXT($B1121,"YYYYMM")&amp;"-资金",INDEX(资金日记账!$W$4:$W$603,106)))</f>
        <v/>
      </c>
      <c r="D1121" s="32" t="str">
        <f>IF($E1121="","",INDEX(资金日记账!$D$4:$D$603,106))</f>
        <v/>
      </c>
      <c r="E1121" s="26" t="str">
        <f>IF(INDEX(资金日记账!$N$4:$S$603,106,4)=0,"",INDEX(资金日记账!$N$4:$S$603,106,4))</f>
        <v/>
      </c>
      <c r="F1121" s="25" t="str">
        <f>IF($E1121="","",IFERROR(INDEX(科目表!$A$4:$A$81,MATCH($E1121,科目表!$B$4:$B$81,0)),""))</f>
        <v/>
      </c>
      <c r="G1121" s="26" t="str">
        <f>IF($E1121="","",IFERROR(INDEX(科目表!$E$4:$E$81,MATCH($E1121,科目表!$B$4:$B$81,0)),""))</f>
        <v/>
      </c>
      <c r="H1121" s="27" t="str">
        <f>IF($E1121="","",N(INDEX(资金日记账!$N$4:$S$603,106,5)))</f>
        <v/>
      </c>
      <c r="I1121" s="27" t="str">
        <f>IF($E1121="","",N(INDEX(资金日记账!$N$4:$S$603,106,6)))</f>
        <v/>
      </c>
      <c r="J1121" s="26" t="str">
        <f>IF($E1121="","",INDEX(资金日记账!$E$4:$E$603,106))</f>
        <v/>
      </c>
      <c r="K1121" s="26" t="str">
        <f>IF($E1121="","",INDEX(资金日记账!$F$4:$F$603,106))</f>
        <v/>
      </c>
      <c r="L1121" s="32" t="str">
        <f>IF($E1121="","",INDEX(资金日记账!$X$4:$X$603,106))</f>
        <v/>
      </c>
      <c r="M1121" s="32"/>
      <c r="N1121" s="26" t="str">
        <f>IF($E1121="","",INDEX(资金日记账!$Y$4:$Y$603,106))</f>
        <v/>
      </c>
      <c r="O1121" s="26" t="str">
        <f t="shared" si="66"/>
        <v/>
      </c>
      <c r="P1121" s="10"/>
    </row>
    <row r="1122" ht="18" customHeight="1" spans="1:16">
      <c r="A1122" s="32" t="str">
        <f t="shared" si="65"/>
        <v/>
      </c>
      <c r="B1122" s="100" t="str">
        <f>IF($E1122="","",INDEX(资金日记账!$B$4:$B$603,107))</f>
        <v/>
      </c>
      <c r="C1122" s="26" t="str">
        <f>IF($E1122="","",IF(INDEX(资金日记账!$W$4:$W$603,107)="","记-"&amp;TEXT($B1122,"YYYYMM")&amp;"-资金",INDEX(资金日记账!$W$4:$W$603,107)))</f>
        <v/>
      </c>
      <c r="D1122" s="32" t="str">
        <f>IF($E1122="","",INDEX(资金日记账!$D$4:$D$603,107))</f>
        <v/>
      </c>
      <c r="E1122" s="26" t="str">
        <f>IF(INDEX(资金日记账!$N$4:$S$603,107,1)=0,"",INDEX(资金日记账!$N$4:$S$603,107,1))</f>
        <v/>
      </c>
      <c r="F1122" s="25" t="str">
        <f>IF($E1122="","",IFERROR(INDEX(科目表!$A$4:$A$81,MATCH($E1122,科目表!$B$4:$B$81,0)),""))</f>
        <v/>
      </c>
      <c r="G1122" s="26" t="str">
        <f>IF($E1122="","",IFERROR(INDEX(科目表!$E$4:$E$81,MATCH($E1122,科目表!$B$4:$B$81,0)),""))</f>
        <v/>
      </c>
      <c r="H1122" s="27" t="str">
        <f>IF($E1122="","",N(INDEX(资金日记账!$N$4:$S$603,107,2)))</f>
        <v/>
      </c>
      <c r="I1122" s="27" t="str">
        <f>IF($E1122="","",N(INDEX(资金日记账!$N$4:$S$603,107,3)))</f>
        <v/>
      </c>
      <c r="J1122" s="26" t="str">
        <f>IF($E1122="","",INDEX(资金日记账!$E$4:$E$603,107))</f>
        <v/>
      </c>
      <c r="K1122" s="26" t="str">
        <f>IF($E1122="","",INDEX(资金日记账!$F$4:$F$603,107))</f>
        <v/>
      </c>
      <c r="L1122" s="32" t="str">
        <f>IF($E1122="","",INDEX(资金日记账!$X$4:$X$603,107))</f>
        <v/>
      </c>
      <c r="M1122" s="32"/>
      <c r="N1122" s="26" t="str">
        <f>IF($E1122="","",INDEX(资金日记账!$Y$4:$Y$603,107))</f>
        <v/>
      </c>
      <c r="O1122" s="26" t="str">
        <f t="shared" si="66"/>
        <v/>
      </c>
      <c r="P1122" s="10"/>
    </row>
    <row r="1123" ht="18" customHeight="1" spans="1:16">
      <c r="A1123" s="32" t="str">
        <f t="shared" si="65"/>
        <v/>
      </c>
      <c r="B1123" s="100" t="str">
        <f>IF($E1123="","",INDEX(资金日记账!$B$4:$B$603,107))</f>
        <v/>
      </c>
      <c r="C1123" s="26" t="str">
        <f>IF($E1123="","",IF(INDEX(资金日记账!$W$4:$W$603,107)="","记-"&amp;TEXT($B1123,"YYYYMM")&amp;"-资金",INDEX(资金日记账!$W$4:$W$603,107)))</f>
        <v/>
      </c>
      <c r="D1123" s="32" t="str">
        <f>IF($E1123="","",INDEX(资金日记账!$D$4:$D$603,107))</f>
        <v/>
      </c>
      <c r="E1123" s="26" t="str">
        <f>IF(INDEX(资金日记账!$N$4:$S$603,107,4)=0,"",INDEX(资金日记账!$N$4:$S$603,107,4))</f>
        <v/>
      </c>
      <c r="F1123" s="25" t="str">
        <f>IF($E1123="","",IFERROR(INDEX(科目表!$A$4:$A$81,MATCH($E1123,科目表!$B$4:$B$81,0)),""))</f>
        <v/>
      </c>
      <c r="G1123" s="26" t="str">
        <f>IF($E1123="","",IFERROR(INDEX(科目表!$E$4:$E$81,MATCH($E1123,科目表!$B$4:$B$81,0)),""))</f>
        <v/>
      </c>
      <c r="H1123" s="27" t="str">
        <f>IF($E1123="","",N(INDEX(资金日记账!$N$4:$S$603,107,5)))</f>
        <v/>
      </c>
      <c r="I1123" s="27" t="str">
        <f>IF($E1123="","",N(INDEX(资金日记账!$N$4:$S$603,107,6)))</f>
        <v/>
      </c>
      <c r="J1123" s="26" t="str">
        <f>IF($E1123="","",INDEX(资金日记账!$E$4:$E$603,107))</f>
        <v/>
      </c>
      <c r="K1123" s="26" t="str">
        <f>IF($E1123="","",INDEX(资金日记账!$F$4:$F$603,107))</f>
        <v/>
      </c>
      <c r="L1123" s="32" t="str">
        <f>IF($E1123="","",INDEX(资金日记账!$X$4:$X$603,107))</f>
        <v/>
      </c>
      <c r="M1123" s="32"/>
      <c r="N1123" s="26" t="str">
        <f>IF($E1123="","",INDEX(资金日记账!$Y$4:$Y$603,107))</f>
        <v/>
      </c>
      <c r="O1123" s="26" t="str">
        <f t="shared" si="66"/>
        <v/>
      </c>
      <c r="P1123" s="10"/>
    </row>
    <row r="1124" ht="18" customHeight="1" spans="1:16">
      <c r="A1124" s="32" t="str">
        <f t="shared" si="65"/>
        <v/>
      </c>
      <c r="B1124" s="100" t="str">
        <f>IF($E1124="","",INDEX(资金日记账!$B$4:$B$603,108))</f>
        <v/>
      </c>
      <c r="C1124" s="26" t="str">
        <f>IF($E1124="","",IF(INDEX(资金日记账!$W$4:$W$603,108)="","记-"&amp;TEXT($B1124,"YYYYMM")&amp;"-资金",INDEX(资金日记账!$W$4:$W$603,108)))</f>
        <v/>
      </c>
      <c r="D1124" s="32" t="str">
        <f>IF($E1124="","",INDEX(资金日记账!$D$4:$D$603,108))</f>
        <v/>
      </c>
      <c r="E1124" s="26" t="str">
        <f>IF(INDEX(资金日记账!$N$4:$S$603,108,1)=0,"",INDEX(资金日记账!$N$4:$S$603,108,1))</f>
        <v/>
      </c>
      <c r="F1124" s="25" t="str">
        <f>IF($E1124="","",IFERROR(INDEX(科目表!$A$4:$A$81,MATCH($E1124,科目表!$B$4:$B$81,0)),""))</f>
        <v/>
      </c>
      <c r="G1124" s="26" t="str">
        <f>IF($E1124="","",IFERROR(INDEX(科目表!$E$4:$E$81,MATCH($E1124,科目表!$B$4:$B$81,0)),""))</f>
        <v/>
      </c>
      <c r="H1124" s="27" t="str">
        <f>IF($E1124="","",N(INDEX(资金日记账!$N$4:$S$603,108,2)))</f>
        <v/>
      </c>
      <c r="I1124" s="27" t="str">
        <f>IF($E1124="","",N(INDEX(资金日记账!$N$4:$S$603,108,3)))</f>
        <v/>
      </c>
      <c r="J1124" s="26" t="str">
        <f>IF($E1124="","",INDEX(资金日记账!$E$4:$E$603,108))</f>
        <v/>
      </c>
      <c r="K1124" s="26" t="str">
        <f>IF($E1124="","",INDEX(资金日记账!$F$4:$F$603,108))</f>
        <v/>
      </c>
      <c r="L1124" s="32" t="str">
        <f>IF($E1124="","",INDEX(资金日记账!$X$4:$X$603,108))</f>
        <v/>
      </c>
      <c r="M1124" s="32"/>
      <c r="N1124" s="26" t="str">
        <f>IF($E1124="","",INDEX(资金日记账!$Y$4:$Y$603,108))</f>
        <v/>
      </c>
      <c r="O1124" s="26" t="str">
        <f t="shared" si="66"/>
        <v/>
      </c>
      <c r="P1124" s="10"/>
    </row>
    <row r="1125" ht="18" customHeight="1" spans="1:16">
      <c r="A1125" s="32" t="str">
        <f t="shared" si="65"/>
        <v/>
      </c>
      <c r="B1125" s="100" t="str">
        <f>IF($E1125="","",INDEX(资金日记账!$B$4:$B$603,108))</f>
        <v/>
      </c>
      <c r="C1125" s="26" t="str">
        <f>IF($E1125="","",IF(INDEX(资金日记账!$W$4:$W$603,108)="","记-"&amp;TEXT($B1125,"YYYYMM")&amp;"-资金",INDEX(资金日记账!$W$4:$W$603,108)))</f>
        <v/>
      </c>
      <c r="D1125" s="32" t="str">
        <f>IF($E1125="","",INDEX(资金日记账!$D$4:$D$603,108))</f>
        <v/>
      </c>
      <c r="E1125" s="26" t="str">
        <f>IF(INDEX(资金日记账!$N$4:$S$603,108,4)=0,"",INDEX(资金日记账!$N$4:$S$603,108,4))</f>
        <v/>
      </c>
      <c r="F1125" s="25" t="str">
        <f>IF($E1125="","",IFERROR(INDEX(科目表!$A$4:$A$81,MATCH($E1125,科目表!$B$4:$B$81,0)),""))</f>
        <v/>
      </c>
      <c r="G1125" s="26" t="str">
        <f>IF($E1125="","",IFERROR(INDEX(科目表!$E$4:$E$81,MATCH($E1125,科目表!$B$4:$B$81,0)),""))</f>
        <v/>
      </c>
      <c r="H1125" s="27" t="str">
        <f>IF($E1125="","",N(INDEX(资金日记账!$N$4:$S$603,108,5)))</f>
        <v/>
      </c>
      <c r="I1125" s="27" t="str">
        <f>IF($E1125="","",N(INDEX(资金日记账!$N$4:$S$603,108,6)))</f>
        <v/>
      </c>
      <c r="J1125" s="26" t="str">
        <f>IF($E1125="","",INDEX(资金日记账!$E$4:$E$603,108))</f>
        <v/>
      </c>
      <c r="K1125" s="26" t="str">
        <f>IF($E1125="","",INDEX(资金日记账!$F$4:$F$603,108))</f>
        <v/>
      </c>
      <c r="L1125" s="32" t="str">
        <f>IF($E1125="","",INDEX(资金日记账!$X$4:$X$603,108))</f>
        <v/>
      </c>
      <c r="M1125" s="32"/>
      <c r="N1125" s="26" t="str">
        <f>IF($E1125="","",INDEX(资金日记账!$Y$4:$Y$603,108))</f>
        <v/>
      </c>
      <c r="O1125" s="26" t="str">
        <f t="shared" si="66"/>
        <v/>
      </c>
      <c r="P1125" s="10"/>
    </row>
    <row r="1126" ht="18" customHeight="1" spans="1:16">
      <c r="A1126" s="32" t="str">
        <f t="shared" si="65"/>
        <v/>
      </c>
      <c r="B1126" s="100" t="str">
        <f>IF($E1126="","",INDEX(资金日记账!$B$4:$B$603,109))</f>
        <v/>
      </c>
      <c r="C1126" s="26" t="str">
        <f>IF($E1126="","",IF(INDEX(资金日记账!$W$4:$W$603,109)="","记-"&amp;TEXT($B1126,"YYYYMM")&amp;"-资金",INDEX(资金日记账!$W$4:$W$603,109)))</f>
        <v/>
      </c>
      <c r="D1126" s="32" t="str">
        <f>IF($E1126="","",INDEX(资金日记账!$D$4:$D$603,109))</f>
        <v/>
      </c>
      <c r="E1126" s="26" t="str">
        <f>IF(INDEX(资金日记账!$N$4:$S$603,109,1)=0,"",INDEX(资金日记账!$N$4:$S$603,109,1))</f>
        <v/>
      </c>
      <c r="F1126" s="25" t="str">
        <f>IF($E1126="","",IFERROR(INDEX(科目表!$A$4:$A$81,MATCH($E1126,科目表!$B$4:$B$81,0)),""))</f>
        <v/>
      </c>
      <c r="G1126" s="26" t="str">
        <f>IF($E1126="","",IFERROR(INDEX(科目表!$E$4:$E$81,MATCH($E1126,科目表!$B$4:$B$81,0)),""))</f>
        <v/>
      </c>
      <c r="H1126" s="27" t="str">
        <f>IF($E1126="","",N(INDEX(资金日记账!$N$4:$S$603,109,2)))</f>
        <v/>
      </c>
      <c r="I1126" s="27" t="str">
        <f>IF($E1126="","",N(INDEX(资金日记账!$N$4:$S$603,109,3)))</f>
        <v/>
      </c>
      <c r="J1126" s="26" t="str">
        <f>IF($E1126="","",INDEX(资金日记账!$E$4:$E$603,109))</f>
        <v/>
      </c>
      <c r="K1126" s="26" t="str">
        <f>IF($E1126="","",INDEX(资金日记账!$F$4:$F$603,109))</f>
        <v/>
      </c>
      <c r="L1126" s="32" t="str">
        <f>IF($E1126="","",INDEX(资金日记账!$X$4:$X$603,109))</f>
        <v/>
      </c>
      <c r="M1126" s="32"/>
      <c r="N1126" s="26" t="str">
        <f>IF($E1126="","",INDEX(资金日记账!$Y$4:$Y$603,109))</f>
        <v/>
      </c>
      <c r="O1126" s="26" t="str">
        <f t="shared" si="66"/>
        <v/>
      </c>
      <c r="P1126" s="10"/>
    </row>
    <row r="1127" ht="18" customHeight="1" spans="1:16">
      <c r="A1127" s="32" t="str">
        <f t="shared" si="65"/>
        <v/>
      </c>
      <c r="B1127" s="100" t="str">
        <f>IF($E1127="","",INDEX(资金日记账!$B$4:$B$603,109))</f>
        <v/>
      </c>
      <c r="C1127" s="26" t="str">
        <f>IF($E1127="","",IF(INDEX(资金日记账!$W$4:$W$603,109)="","记-"&amp;TEXT($B1127,"YYYYMM")&amp;"-资金",INDEX(资金日记账!$W$4:$W$603,109)))</f>
        <v/>
      </c>
      <c r="D1127" s="32" t="str">
        <f>IF($E1127="","",INDEX(资金日记账!$D$4:$D$603,109))</f>
        <v/>
      </c>
      <c r="E1127" s="26" t="str">
        <f>IF(INDEX(资金日记账!$N$4:$S$603,109,4)=0,"",INDEX(资金日记账!$N$4:$S$603,109,4))</f>
        <v/>
      </c>
      <c r="F1127" s="25" t="str">
        <f>IF($E1127="","",IFERROR(INDEX(科目表!$A$4:$A$81,MATCH($E1127,科目表!$B$4:$B$81,0)),""))</f>
        <v/>
      </c>
      <c r="G1127" s="26" t="str">
        <f>IF($E1127="","",IFERROR(INDEX(科目表!$E$4:$E$81,MATCH($E1127,科目表!$B$4:$B$81,0)),""))</f>
        <v/>
      </c>
      <c r="H1127" s="27" t="str">
        <f>IF($E1127="","",N(INDEX(资金日记账!$N$4:$S$603,109,5)))</f>
        <v/>
      </c>
      <c r="I1127" s="27" t="str">
        <f>IF($E1127="","",N(INDEX(资金日记账!$N$4:$S$603,109,6)))</f>
        <v/>
      </c>
      <c r="J1127" s="26" t="str">
        <f>IF($E1127="","",INDEX(资金日记账!$E$4:$E$603,109))</f>
        <v/>
      </c>
      <c r="K1127" s="26" t="str">
        <f>IF($E1127="","",INDEX(资金日记账!$F$4:$F$603,109))</f>
        <v/>
      </c>
      <c r="L1127" s="32" t="str">
        <f>IF($E1127="","",INDEX(资金日记账!$X$4:$X$603,109))</f>
        <v/>
      </c>
      <c r="M1127" s="32"/>
      <c r="N1127" s="26" t="str">
        <f>IF($E1127="","",INDEX(资金日记账!$Y$4:$Y$603,109))</f>
        <v/>
      </c>
      <c r="O1127" s="26" t="str">
        <f t="shared" si="66"/>
        <v/>
      </c>
      <c r="P1127" s="10"/>
    </row>
    <row r="1128" ht="18" customHeight="1" spans="1:16">
      <c r="A1128" s="32" t="str">
        <f t="shared" si="65"/>
        <v/>
      </c>
      <c r="B1128" s="100" t="str">
        <f>IF($E1128="","",INDEX(资金日记账!$B$4:$B$603,110))</f>
        <v/>
      </c>
      <c r="C1128" s="26" t="str">
        <f>IF($E1128="","",IF(INDEX(资金日记账!$W$4:$W$603,110)="","记-"&amp;TEXT($B1128,"YYYYMM")&amp;"-资金",INDEX(资金日记账!$W$4:$W$603,110)))</f>
        <v/>
      </c>
      <c r="D1128" s="32" t="str">
        <f>IF($E1128="","",INDEX(资金日记账!$D$4:$D$603,110))</f>
        <v/>
      </c>
      <c r="E1128" s="26" t="str">
        <f>IF(INDEX(资金日记账!$N$4:$S$603,110,1)=0,"",INDEX(资金日记账!$N$4:$S$603,110,1))</f>
        <v/>
      </c>
      <c r="F1128" s="25" t="str">
        <f>IF($E1128="","",IFERROR(INDEX(科目表!$A$4:$A$81,MATCH($E1128,科目表!$B$4:$B$81,0)),""))</f>
        <v/>
      </c>
      <c r="G1128" s="26" t="str">
        <f>IF($E1128="","",IFERROR(INDEX(科目表!$E$4:$E$81,MATCH($E1128,科目表!$B$4:$B$81,0)),""))</f>
        <v/>
      </c>
      <c r="H1128" s="27" t="str">
        <f>IF($E1128="","",N(INDEX(资金日记账!$N$4:$S$603,110,2)))</f>
        <v/>
      </c>
      <c r="I1128" s="27" t="str">
        <f>IF($E1128="","",N(INDEX(资金日记账!$N$4:$S$603,110,3)))</f>
        <v/>
      </c>
      <c r="J1128" s="26" t="str">
        <f>IF($E1128="","",INDEX(资金日记账!$E$4:$E$603,110))</f>
        <v/>
      </c>
      <c r="K1128" s="26" t="str">
        <f>IF($E1128="","",INDEX(资金日记账!$F$4:$F$603,110))</f>
        <v/>
      </c>
      <c r="L1128" s="32" t="str">
        <f>IF($E1128="","",INDEX(资金日记账!$X$4:$X$603,110))</f>
        <v/>
      </c>
      <c r="M1128" s="32"/>
      <c r="N1128" s="26" t="str">
        <f>IF($E1128="","",INDEX(资金日记账!$Y$4:$Y$603,110))</f>
        <v/>
      </c>
      <c r="O1128" s="26" t="str">
        <f t="shared" si="66"/>
        <v/>
      </c>
      <c r="P1128" s="10"/>
    </row>
    <row r="1129" ht="18" customHeight="1" spans="1:16">
      <c r="A1129" s="32" t="str">
        <f t="shared" si="65"/>
        <v/>
      </c>
      <c r="B1129" s="100" t="str">
        <f>IF($E1129="","",INDEX(资金日记账!$B$4:$B$603,110))</f>
        <v/>
      </c>
      <c r="C1129" s="26" t="str">
        <f>IF($E1129="","",IF(INDEX(资金日记账!$W$4:$W$603,110)="","记-"&amp;TEXT($B1129,"YYYYMM")&amp;"-资金",INDEX(资金日记账!$W$4:$W$603,110)))</f>
        <v/>
      </c>
      <c r="D1129" s="32" t="str">
        <f>IF($E1129="","",INDEX(资金日记账!$D$4:$D$603,110))</f>
        <v/>
      </c>
      <c r="E1129" s="26" t="str">
        <f>IF(INDEX(资金日记账!$N$4:$S$603,110,4)=0,"",INDEX(资金日记账!$N$4:$S$603,110,4))</f>
        <v/>
      </c>
      <c r="F1129" s="25" t="str">
        <f>IF($E1129="","",IFERROR(INDEX(科目表!$A$4:$A$81,MATCH($E1129,科目表!$B$4:$B$81,0)),""))</f>
        <v/>
      </c>
      <c r="G1129" s="26" t="str">
        <f>IF($E1129="","",IFERROR(INDEX(科目表!$E$4:$E$81,MATCH($E1129,科目表!$B$4:$B$81,0)),""))</f>
        <v/>
      </c>
      <c r="H1129" s="27" t="str">
        <f>IF($E1129="","",N(INDEX(资金日记账!$N$4:$S$603,110,5)))</f>
        <v/>
      </c>
      <c r="I1129" s="27" t="str">
        <f>IF($E1129="","",N(INDEX(资金日记账!$N$4:$S$603,110,6)))</f>
        <v/>
      </c>
      <c r="J1129" s="26" t="str">
        <f>IF($E1129="","",INDEX(资金日记账!$E$4:$E$603,110))</f>
        <v/>
      </c>
      <c r="K1129" s="26" t="str">
        <f>IF($E1129="","",INDEX(资金日记账!$F$4:$F$603,110))</f>
        <v/>
      </c>
      <c r="L1129" s="32" t="str">
        <f>IF($E1129="","",INDEX(资金日记账!$X$4:$X$603,110))</f>
        <v/>
      </c>
      <c r="M1129" s="32"/>
      <c r="N1129" s="26" t="str">
        <f>IF($E1129="","",INDEX(资金日记账!$Y$4:$Y$603,110))</f>
        <v/>
      </c>
      <c r="O1129" s="26" t="str">
        <f t="shared" si="66"/>
        <v/>
      </c>
      <c r="P1129" s="10"/>
    </row>
    <row r="1130" ht="18" customHeight="1" spans="1:16">
      <c r="A1130" s="32" t="str">
        <f t="shared" si="65"/>
        <v/>
      </c>
      <c r="B1130" s="100" t="str">
        <f>IF($E1130="","",INDEX(资金日记账!$B$4:$B$603,111))</f>
        <v/>
      </c>
      <c r="C1130" s="26" t="str">
        <f>IF($E1130="","",IF(INDEX(资金日记账!$W$4:$W$603,111)="","记-"&amp;TEXT($B1130,"YYYYMM")&amp;"-资金",INDEX(资金日记账!$W$4:$W$603,111)))</f>
        <v/>
      </c>
      <c r="D1130" s="32" t="str">
        <f>IF($E1130="","",INDEX(资金日记账!$D$4:$D$603,111))</f>
        <v/>
      </c>
      <c r="E1130" s="26" t="str">
        <f>IF(INDEX(资金日记账!$N$4:$S$603,111,1)=0,"",INDEX(资金日记账!$N$4:$S$603,111,1))</f>
        <v/>
      </c>
      <c r="F1130" s="25" t="str">
        <f>IF($E1130="","",IFERROR(INDEX(科目表!$A$4:$A$81,MATCH($E1130,科目表!$B$4:$B$81,0)),""))</f>
        <v/>
      </c>
      <c r="G1130" s="26" t="str">
        <f>IF($E1130="","",IFERROR(INDEX(科目表!$E$4:$E$81,MATCH($E1130,科目表!$B$4:$B$81,0)),""))</f>
        <v/>
      </c>
      <c r="H1130" s="27" t="str">
        <f>IF($E1130="","",N(INDEX(资金日记账!$N$4:$S$603,111,2)))</f>
        <v/>
      </c>
      <c r="I1130" s="27" t="str">
        <f>IF($E1130="","",N(INDEX(资金日记账!$N$4:$S$603,111,3)))</f>
        <v/>
      </c>
      <c r="J1130" s="26" t="str">
        <f>IF($E1130="","",INDEX(资金日记账!$E$4:$E$603,111))</f>
        <v/>
      </c>
      <c r="K1130" s="26" t="str">
        <f>IF($E1130="","",INDEX(资金日记账!$F$4:$F$603,111))</f>
        <v/>
      </c>
      <c r="L1130" s="32" t="str">
        <f>IF($E1130="","",INDEX(资金日记账!$X$4:$X$603,111))</f>
        <v/>
      </c>
      <c r="M1130" s="32"/>
      <c r="N1130" s="26" t="str">
        <f>IF($E1130="","",INDEX(资金日记账!$Y$4:$Y$603,111))</f>
        <v/>
      </c>
      <c r="O1130" s="26" t="str">
        <f t="shared" si="66"/>
        <v/>
      </c>
      <c r="P1130" s="10"/>
    </row>
    <row r="1131" ht="18" customHeight="1" spans="1:16">
      <c r="A1131" s="32" t="str">
        <f t="shared" si="65"/>
        <v/>
      </c>
      <c r="B1131" s="100" t="str">
        <f>IF($E1131="","",INDEX(资金日记账!$B$4:$B$603,111))</f>
        <v/>
      </c>
      <c r="C1131" s="26" t="str">
        <f>IF($E1131="","",IF(INDEX(资金日记账!$W$4:$W$603,111)="","记-"&amp;TEXT($B1131,"YYYYMM")&amp;"-资金",INDEX(资金日记账!$W$4:$W$603,111)))</f>
        <v/>
      </c>
      <c r="D1131" s="32" t="str">
        <f>IF($E1131="","",INDEX(资金日记账!$D$4:$D$603,111))</f>
        <v/>
      </c>
      <c r="E1131" s="26" t="str">
        <f>IF(INDEX(资金日记账!$N$4:$S$603,111,4)=0,"",INDEX(资金日记账!$N$4:$S$603,111,4))</f>
        <v/>
      </c>
      <c r="F1131" s="25" t="str">
        <f>IF($E1131="","",IFERROR(INDEX(科目表!$A$4:$A$81,MATCH($E1131,科目表!$B$4:$B$81,0)),""))</f>
        <v/>
      </c>
      <c r="G1131" s="26" t="str">
        <f>IF($E1131="","",IFERROR(INDEX(科目表!$E$4:$E$81,MATCH($E1131,科目表!$B$4:$B$81,0)),""))</f>
        <v/>
      </c>
      <c r="H1131" s="27" t="str">
        <f>IF($E1131="","",N(INDEX(资金日记账!$N$4:$S$603,111,5)))</f>
        <v/>
      </c>
      <c r="I1131" s="27" t="str">
        <f>IF($E1131="","",N(INDEX(资金日记账!$N$4:$S$603,111,6)))</f>
        <v/>
      </c>
      <c r="J1131" s="26" t="str">
        <f>IF($E1131="","",INDEX(资金日记账!$E$4:$E$603,111))</f>
        <v/>
      </c>
      <c r="K1131" s="26" t="str">
        <f>IF($E1131="","",INDEX(资金日记账!$F$4:$F$603,111))</f>
        <v/>
      </c>
      <c r="L1131" s="32" t="str">
        <f>IF($E1131="","",INDEX(资金日记账!$X$4:$X$603,111))</f>
        <v/>
      </c>
      <c r="M1131" s="32"/>
      <c r="N1131" s="26" t="str">
        <f>IF($E1131="","",INDEX(资金日记账!$Y$4:$Y$603,111))</f>
        <v/>
      </c>
      <c r="O1131" s="26" t="str">
        <f t="shared" si="66"/>
        <v/>
      </c>
      <c r="P1131" s="10"/>
    </row>
    <row r="1132" ht="18" customHeight="1" spans="1:16">
      <c r="A1132" s="32" t="str">
        <f t="shared" si="65"/>
        <v/>
      </c>
      <c r="B1132" s="100" t="str">
        <f>IF($E1132="","",INDEX(资金日记账!$B$4:$B$603,112))</f>
        <v/>
      </c>
      <c r="C1132" s="26" t="str">
        <f>IF($E1132="","",IF(INDEX(资金日记账!$W$4:$W$603,112)="","记-"&amp;TEXT($B1132,"YYYYMM")&amp;"-资金",INDEX(资金日记账!$W$4:$W$603,112)))</f>
        <v/>
      </c>
      <c r="D1132" s="32" t="str">
        <f>IF($E1132="","",INDEX(资金日记账!$D$4:$D$603,112))</f>
        <v/>
      </c>
      <c r="E1132" s="26" t="str">
        <f>IF(INDEX(资金日记账!$N$4:$S$603,112,1)=0,"",INDEX(资金日记账!$N$4:$S$603,112,1))</f>
        <v/>
      </c>
      <c r="F1132" s="25" t="str">
        <f>IF($E1132="","",IFERROR(INDEX(科目表!$A$4:$A$81,MATCH($E1132,科目表!$B$4:$B$81,0)),""))</f>
        <v/>
      </c>
      <c r="G1132" s="26" t="str">
        <f>IF($E1132="","",IFERROR(INDEX(科目表!$E$4:$E$81,MATCH($E1132,科目表!$B$4:$B$81,0)),""))</f>
        <v/>
      </c>
      <c r="H1132" s="27" t="str">
        <f>IF($E1132="","",N(INDEX(资金日记账!$N$4:$S$603,112,2)))</f>
        <v/>
      </c>
      <c r="I1132" s="27" t="str">
        <f>IF($E1132="","",N(INDEX(资金日记账!$N$4:$S$603,112,3)))</f>
        <v/>
      </c>
      <c r="J1132" s="26" t="str">
        <f>IF($E1132="","",INDEX(资金日记账!$E$4:$E$603,112))</f>
        <v/>
      </c>
      <c r="K1132" s="26" t="str">
        <f>IF($E1132="","",INDEX(资金日记账!$F$4:$F$603,112))</f>
        <v/>
      </c>
      <c r="L1132" s="32" t="str">
        <f>IF($E1132="","",INDEX(资金日记账!$X$4:$X$603,112))</f>
        <v/>
      </c>
      <c r="M1132" s="32"/>
      <c r="N1132" s="26" t="str">
        <f>IF($E1132="","",INDEX(资金日记账!$Y$4:$Y$603,112))</f>
        <v/>
      </c>
      <c r="O1132" s="26" t="str">
        <f t="shared" si="66"/>
        <v/>
      </c>
      <c r="P1132" s="10"/>
    </row>
    <row r="1133" ht="18" customHeight="1" spans="1:16">
      <c r="A1133" s="32" t="str">
        <f t="shared" si="65"/>
        <v/>
      </c>
      <c r="B1133" s="100" t="str">
        <f>IF($E1133="","",INDEX(资金日记账!$B$4:$B$603,112))</f>
        <v/>
      </c>
      <c r="C1133" s="26" t="str">
        <f>IF($E1133="","",IF(INDEX(资金日记账!$W$4:$W$603,112)="","记-"&amp;TEXT($B1133,"YYYYMM")&amp;"-资金",INDEX(资金日记账!$W$4:$W$603,112)))</f>
        <v/>
      </c>
      <c r="D1133" s="32" t="str">
        <f>IF($E1133="","",INDEX(资金日记账!$D$4:$D$603,112))</f>
        <v/>
      </c>
      <c r="E1133" s="26" t="str">
        <f>IF(INDEX(资金日记账!$N$4:$S$603,112,4)=0,"",INDEX(资金日记账!$N$4:$S$603,112,4))</f>
        <v/>
      </c>
      <c r="F1133" s="25" t="str">
        <f>IF($E1133="","",IFERROR(INDEX(科目表!$A$4:$A$81,MATCH($E1133,科目表!$B$4:$B$81,0)),""))</f>
        <v/>
      </c>
      <c r="G1133" s="26" t="str">
        <f>IF($E1133="","",IFERROR(INDEX(科目表!$E$4:$E$81,MATCH($E1133,科目表!$B$4:$B$81,0)),""))</f>
        <v/>
      </c>
      <c r="H1133" s="27" t="str">
        <f>IF($E1133="","",N(INDEX(资金日记账!$N$4:$S$603,112,5)))</f>
        <v/>
      </c>
      <c r="I1133" s="27" t="str">
        <f>IF($E1133="","",N(INDEX(资金日记账!$N$4:$S$603,112,6)))</f>
        <v/>
      </c>
      <c r="J1133" s="26" t="str">
        <f>IF($E1133="","",INDEX(资金日记账!$E$4:$E$603,112))</f>
        <v/>
      </c>
      <c r="K1133" s="26" t="str">
        <f>IF($E1133="","",INDEX(资金日记账!$F$4:$F$603,112))</f>
        <v/>
      </c>
      <c r="L1133" s="32" t="str">
        <f>IF($E1133="","",INDEX(资金日记账!$X$4:$X$603,112))</f>
        <v/>
      </c>
      <c r="M1133" s="32"/>
      <c r="N1133" s="26" t="str">
        <f>IF($E1133="","",INDEX(资金日记账!$Y$4:$Y$603,112))</f>
        <v/>
      </c>
      <c r="O1133" s="26" t="str">
        <f t="shared" si="66"/>
        <v/>
      </c>
      <c r="P1133" s="10"/>
    </row>
    <row r="1134" ht="18" customHeight="1" spans="1:16">
      <c r="A1134" s="32" t="str">
        <f t="shared" si="65"/>
        <v/>
      </c>
      <c r="B1134" s="100" t="str">
        <f>IF($E1134="","",INDEX(资金日记账!$B$4:$B$603,113))</f>
        <v/>
      </c>
      <c r="C1134" s="26" t="str">
        <f>IF($E1134="","",IF(INDEX(资金日记账!$W$4:$W$603,113)="","记-"&amp;TEXT($B1134,"YYYYMM")&amp;"-资金",INDEX(资金日记账!$W$4:$W$603,113)))</f>
        <v/>
      </c>
      <c r="D1134" s="32" t="str">
        <f>IF($E1134="","",INDEX(资金日记账!$D$4:$D$603,113))</f>
        <v/>
      </c>
      <c r="E1134" s="26" t="str">
        <f>IF(INDEX(资金日记账!$N$4:$S$603,113,1)=0,"",INDEX(资金日记账!$N$4:$S$603,113,1))</f>
        <v/>
      </c>
      <c r="F1134" s="25" t="str">
        <f>IF($E1134="","",IFERROR(INDEX(科目表!$A$4:$A$81,MATCH($E1134,科目表!$B$4:$B$81,0)),""))</f>
        <v/>
      </c>
      <c r="G1134" s="26" t="str">
        <f>IF($E1134="","",IFERROR(INDEX(科目表!$E$4:$E$81,MATCH($E1134,科目表!$B$4:$B$81,0)),""))</f>
        <v/>
      </c>
      <c r="H1134" s="27" t="str">
        <f>IF($E1134="","",N(INDEX(资金日记账!$N$4:$S$603,113,2)))</f>
        <v/>
      </c>
      <c r="I1134" s="27" t="str">
        <f>IF($E1134="","",N(INDEX(资金日记账!$N$4:$S$603,113,3)))</f>
        <v/>
      </c>
      <c r="J1134" s="26" t="str">
        <f>IF($E1134="","",INDEX(资金日记账!$E$4:$E$603,113))</f>
        <v/>
      </c>
      <c r="K1134" s="26" t="str">
        <f>IF($E1134="","",INDEX(资金日记账!$F$4:$F$603,113))</f>
        <v/>
      </c>
      <c r="L1134" s="32" t="str">
        <f>IF($E1134="","",INDEX(资金日记账!$X$4:$X$603,113))</f>
        <v/>
      </c>
      <c r="M1134" s="32"/>
      <c r="N1134" s="26" t="str">
        <f>IF($E1134="","",INDEX(资金日记账!$Y$4:$Y$603,113))</f>
        <v/>
      </c>
      <c r="O1134" s="26" t="str">
        <f t="shared" si="66"/>
        <v/>
      </c>
      <c r="P1134" s="10"/>
    </row>
    <row r="1135" ht="18" customHeight="1" spans="1:16">
      <c r="A1135" s="32" t="str">
        <f t="shared" si="65"/>
        <v/>
      </c>
      <c r="B1135" s="100" t="str">
        <f>IF($E1135="","",INDEX(资金日记账!$B$4:$B$603,113))</f>
        <v/>
      </c>
      <c r="C1135" s="26" t="str">
        <f>IF($E1135="","",IF(INDEX(资金日记账!$W$4:$W$603,113)="","记-"&amp;TEXT($B1135,"YYYYMM")&amp;"-资金",INDEX(资金日记账!$W$4:$W$603,113)))</f>
        <v/>
      </c>
      <c r="D1135" s="32" t="str">
        <f>IF($E1135="","",INDEX(资金日记账!$D$4:$D$603,113))</f>
        <v/>
      </c>
      <c r="E1135" s="26" t="str">
        <f>IF(INDEX(资金日记账!$N$4:$S$603,113,4)=0,"",INDEX(资金日记账!$N$4:$S$603,113,4))</f>
        <v/>
      </c>
      <c r="F1135" s="25" t="str">
        <f>IF($E1135="","",IFERROR(INDEX(科目表!$A$4:$A$81,MATCH($E1135,科目表!$B$4:$B$81,0)),""))</f>
        <v/>
      </c>
      <c r="G1135" s="26" t="str">
        <f>IF($E1135="","",IFERROR(INDEX(科目表!$E$4:$E$81,MATCH($E1135,科目表!$B$4:$B$81,0)),""))</f>
        <v/>
      </c>
      <c r="H1135" s="27" t="str">
        <f>IF($E1135="","",N(INDEX(资金日记账!$N$4:$S$603,113,5)))</f>
        <v/>
      </c>
      <c r="I1135" s="27" t="str">
        <f>IF($E1135="","",N(INDEX(资金日记账!$N$4:$S$603,113,6)))</f>
        <v/>
      </c>
      <c r="J1135" s="26" t="str">
        <f>IF($E1135="","",INDEX(资金日记账!$E$4:$E$603,113))</f>
        <v/>
      </c>
      <c r="K1135" s="26" t="str">
        <f>IF($E1135="","",INDEX(资金日记账!$F$4:$F$603,113))</f>
        <v/>
      </c>
      <c r="L1135" s="32" t="str">
        <f>IF($E1135="","",INDEX(资金日记账!$X$4:$X$603,113))</f>
        <v/>
      </c>
      <c r="M1135" s="32"/>
      <c r="N1135" s="26" t="str">
        <f>IF($E1135="","",INDEX(资金日记账!$Y$4:$Y$603,113))</f>
        <v/>
      </c>
      <c r="O1135" s="26" t="str">
        <f t="shared" si="66"/>
        <v/>
      </c>
      <c r="P1135" s="10"/>
    </row>
    <row r="1136" ht="18" customHeight="1" spans="1:16">
      <c r="A1136" s="32" t="str">
        <f t="shared" si="65"/>
        <v/>
      </c>
      <c r="B1136" s="100" t="str">
        <f>IF($E1136="","",INDEX(资金日记账!$B$4:$B$603,114))</f>
        <v/>
      </c>
      <c r="C1136" s="26" t="str">
        <f>IF($E1136="","",IF(INDEX(资金日记账!$W$4:$W$603,114)="","记-"&amp;TEXT($B1136,"YYYYMM")&amp;"-资金",INDEX(资金日记账!$W$4:$W$603,114)))</f>
        <v/>
      </c>
      <c r="D1136" s="32" t="str">
        <f>IF($E1136="","",INDEX(资金日记账!$D$4:$D$603,114))</f>
        <v/>
      </c>
      <c r="E1136" s="26" t="str">
        <f>IF(INDEX(资金日记账!$N$4:$S$603,114,1)=0,"",INDEX(资金日记账!$N$4:$S$603,114,1))</f>
        <v/>
      </c>
      <c r="F1136" s="25" t="str">
        <f>IF($E1136="","",IFERROR(INDEX(科目表!$A$4:$A$81,MATCH($E1136,科目表!$B$4:$B$81,0)),""))</f>
        <v/>
      </c>
      <c r="G1136" s="26" t="str">
        <f>IF($E1136="","",IFERROR(INDEX(科目表!$E$4:$E$81,MATCH($E1136,科目表!$B$4:$B$81,0)),""))</f>
        <v/>
      </c>
      <c r="H1136" s="27" t="str">
        <f>IF($E1136="","",N(INDEX(资金日记账!$N$4:$S$603,114,2)))</f>
        <v/>
      </c>
      <c r="I1136" s="27" t="str">
        <f>IF($E1136="","",N(INDEX(资金日记账!$N$4:$S$603,114,3)))</f>
        <v/>
      </c>
      <c r="J1136" s="26" t="str">
        <f>IF($E1136="","",INDEX(资金日记账!$E$4:$E$603,114))</f>
        <v/>
      </c>
      <c r="K1136" s="26" t="str">
        <f>IF($E1136="","",INDEX(资金日记账!$F$4:$F$603,114))</f>
        <v/>
      </c>
      <c r="L1136" s="32" t="str">
        <f>IF($E1136="","",INDEX(资金日记账!$X$4:$X$603,114))</f>
        <v/>
      </c>
      <c r="M1136" s="32"/>
      <c r="N1136" s="26" t="str">
        <f>IF($E1136="","",INDEX(资金日记账!$Y$4:$Y$603,114))</f>
        <v/>
      </c>
      <c r="O1136" s="26" t="str">
        <f t="shared" si="66"/>
        <v/>
      </c>
      <c r="P1136" s="10"/>
    </row>
    <row r="1137" ht="18" customHeight="1" spans="1:16">
      <c r="A1137" s="32" t="str">
        <f t="shared" si="65"/>
        <v/>
      </c>
      <c r="B1137" s="100" t="str">
        <f>IF($E1137="","",INDEX(资金日记账!$B$4:$B$603,114))</f>
        <v/>
      </c>
      <c r="C1137" s="26" t="str">
        <f>IF($E1137="","",IF(INDEX(资金日记账!$W$4:$W$603,114)="","记-"&amp;TEXT($B1137,"YYYYMM")&amp;"-资金",INDEX(资金日记账!$W$4:$W$603,114)))</f>
        <v/>
      </c>
      <c r="D1137" s="32" t="str">
        <f>IF($E1137="","",INDEX(资金日记账!$D$4:$D$603,114))</f>
        <v/>
      </c>
      <c r="E1137" s="26" t="str">
        <f>IF(INDEX(资金日记账!$N$4:$S$603,114,4)=0,"",INDEX(资金日记账!$N$4:$S$603,114,4))</f>
        <v/>
      </c>
      <c r="F1137" s="25" t="str">
        <f>IF($E1137="","",IFERROR(INDEX(科目表!$A$4:$A$81,MATCH($E1137,科目表!$B$4:$B$81,0)),""))</f>
        <v/>
      </c>
      <c r="G1137" s="26" t="str">
        <f>IF($E1137="","",IFERROR(INDEX(科目表!$E$4:$E$81,MATCH($E1137,科目表!$B$4:$B$81,0)),""))</f>
        <v/>
      </c>
      <c r="H1137" s="27" t="str">
        <f>IF($E1137="","",N(INDEX(资金日记账!$N$4:$S$603,114,5)))</f>
        <v/>
      </c>
      <c r="I1137" s="27" t="str">
        <f>IF($E1137="","",N(INDEX(资金日记账!$N$4:$S$603,114,6)))</f>
        <v/>
      </c>
      <c r="J1137" s="26" t="str">
        <f>IF($E1137="","",INDEX(资金日记账!$E$4:$E$603,114))</f>
        <v/>
      </c>
      <c r="K1137" s="26" t="str">
        <f>IF($E1137="","",INDEX(资金日记账!$F$4:$F$603,114))</f>
        <v/>
      </c>
      <c r="L1137" s="32" t="str">
        <f>IF($E1137="","",INDEX(资金日记账!$X$4:$X$603,114))</f>
        <v/>
      </c>
      <c r="M1137" s="32"/>
      <c r="N1137" s="26" t="str">
        <f>IF($E1137="","",INDEX(资金日记账!$Y$4:$Y$603,114))</f>
        <v/>
      </c>
      <c r="O1137" s="26" t="str">
        <f t="shared" si="66"/>
        <v/>
      </c>
      <c r="P1137" s="10"/>
    </row>
    <row r="1138" ht="18" customHeight="1" spans="1:16">
      <c r="A1138" s="32" t="str">
        <f t="shared" si="65"/>
        <v/>
      </c>
      <c r="B1138" s="100" t="str">
        <f>IF($E1138="","",INDEX(资金日记账!$B$4:$B$603,115))</f>
        <v/>
      </c>
      <c r="C1138" s="26" t="str">
        <f>IF($E1138="","",IF(INDEX(资金日记账!$W$4:$W$603,115)="","记-"&amp;TEXT($B1138,"YYYYMM")&amp;"-资金",INDEX(资金日记账!$W$4:$W$603,115)))</f>
        <v/>
      </c>
      <c r="D1138" s="32" t="str">
        <f>IF($E1138="","",INDEX(资金日记账!$D$4:$D$603,115))</f>
        <v/>
      </c>
      <c r="E1138" s="26" t="str">
        <f>IF(INDEX(资金日记账!$N$4:$S$603,115,1)=0,"",INDEX(资金日记账!$N$4:$S$603,115,1))</f>
        <v/>
      </c>
      <c r="F1138" s="25" t="str">
        <f>IF($E1138="","",IFERROR(INDEX(科目表!$A$4:$A$81,MATCH($E1138,科目表!$B$4:$B$81,0)),""))</f>
        <v/>
      </c>
      <c r="G1138" s="26" t="str">
        <f>IF($E1138="","",IFERROR(INDEX(科目表!$E$4:$E$81,MATCH($E1138,科目表!$B$4:$B$81,0)),""))</f>
        <v/>
      </c>
      <c r="H1138" s="27" t="str">
        <f>IF($E1138="","",N(INDEX(资金日记账!$N$4:$S$603,115,2)))</f>
        <v/>
      </c>
      <c r="I1138" s="27" t="str">
        <f>IF($E1138="","",N(INDEX(资金日记账!$N$4:$S$603,115,3)))</f>
        <v/>
      </c>
      <c r="J1138" s="26" t="str">
        <f>IF($E1138="","",INDEX(资金日记账!$E$4:$E$603,115))</f>
        <v/>
      </c>
      <c r="K1138" s="26" t="str">
        <f>IF($E1138="","",INDEX(资金日记账!$F$4:$F$603,115))</f>
        <v/>
      </c>
      <c r="L1138" s="32" t="str">
        <f>IF($E1138="","",INDEX(资金日记账!$X$4:$X$603,115))</f>
        <v/>
      </c>
      <c r="M1138" s="32"/>
      <c r="N1138" s="26" t="str">
        <f>IF($E1138="","",INDEX(资金日记账!$Y$4:$Y$603,115))</f>
        <v/>
      </c>
      <c r="O1138" s="26" t="str">
        <f t="shared" si="66"/>
        <v/>
      </c>
      <c r="P1138" s="10"/>
    </row>
    <row r="1139" ht="18" customHeight="1" spans="1:16">
      <c r="A1139" s="32" t="str">
        <f t="shared" si="65"/>
        <v/>
      </c>
      <c r="B1139" s="100" t="str">
        <f>IF($E1139="","",INDEX(资金日记账!$B$4:$B$603,115))</f>
        <v/>
      </c>
      <c r="C1139" s="26" t="str">
        <f>IF($E1139="","",IF(INDEX(资金日记账!$W$4:$W$603,115)="","记-"&amp;TEXT($B1139,"YYYYMM")&amp;"-资金",INDEX(资金日记账!$W$4:$W$603,115)))</f>
        <v/>
      </c>
      <c r="D1139" s="32" t="str">
        <f>IF($E1139="","",INDEX(资金日记账!$D$4:$D$603,115))</f>
        <v/>
      </c>
      <c r="E1139" s="26" t="str">
        <f>IF(INDEX(资金日记账!$N$4:$S$603,115,4)=0,"",INDEX(资金日记账!$N$4:$S$603,115,4))</f>
        <v/>
      </c>
      <c r="F1139" s="25" t="str">
        <f>IF($E1139="","",IFERROR(INDEX(科目表!$A$4:$A$81,MATCH($E1139,科目表!$B$4:$B$81,0)),""))</f>
        <v/>
      </c>
      <c r="G1139" s="26" t="str">
        <f>IF($E1139="","",IFERROR(INDEX(科目表!$E$4:$E$81,MATCH($E1139,科目表!$B$4:$B$81,0)),""))</f>
        <v/>
      </c>
      <c r="H1139" s="27" t="str">
        <f>IF($E1139="","",N(INDEX(资金日记账!$N$4:$S$603,115,5)))</f>
        <v/>
      </c>
      <c r="I1139" s="27" t="str">
        <f>IF($E1139="","",N(INDEX(资金日记账!$N$4:$S$603,115,6)))</f>
        <v/>
      </c>
      <c r="J1139" s="26" t="str">
        <f>IF($E1139="","",INDEX(资金日记账!$E$4:$E$603,115))</f>
        <v/>
      </c>
      <c r="K1139" s="26" t="str">
        <f>IF($E1139="","",INDEX(资金日记账!$F$4:$F$603,115))</f>
        <v/>
      </c>
      <c r="L1139" s="32" t="str">
        <f>IF($E1139="","",INDEX(资金日记账!$X$4:$X$603,115))</f>
        <v/>
      </c>
      <c r="M1139" s="32"/>
      <c r="N1139" s="26" t="str">
        <f>IF($E1139="","",INDEX(资金日记账!$Y$4:$Y$603,115))</f>
        <v/>
      </c>
      <c r="O1139" s="26" t="str">
        <f t="shared" si="66"/>
        <v/>
      </c>
      <c r="P1139" s="10"/>
    </row>
    <row r="1140" ht="18" customHeight="1" spans="1:16">
      <c r="A1140" s="32" t="str">
        <f t="shared" si="65"/>
        <v/>
      </c>
      <c r="B1140" s="100" t="str">
        <f>IF($E1140="","",INDEX(资金日记账!$B$4:$B$603,116))</f>
        <v/>
      </c>
      <c r="C1140" s="26" t="str">
        <f>IF($E1140="","",IF(INDEX(资金日记账!$W$4:$W$603,116)="","记-"&amp;TEXT($B1140,"YYYYMM")&amp;"-资金",INDEX(资金日记账!$W$4:$W$603,116)))</f>
        <v/>
      </c>
      <c r="D1140" s="32" t="str">
        <f>IF($E1140="","",INDEX(资金日记账!$D$4:$D$603,116))</f>
        <v/>
      </c>
      <c r="E1140" s="26" t="str">
        <f>IF(INDEX(资金日记账!$N$4:$S$603,116,1)=0,"",INDEX(资金日记账!$N$4:$S$603,116,1))</f>
        <v/>
      </c>
      <c r="F1140" s="25" t="str">
        <f>IF($E1140="","",IFERROR(INDEX(科目表!$A$4:$A$81,MATCH($E1140,科目表!$B$4:$B$81,0)),""))</f>
        <v/>
      </c>
      <c r="G1140" s="26" t="str">
        <f>IF($E1140="","",IFERROR(INDEX(科目表!$E$4:$E$81,MATCH($E1140,科目表!$B$4:$B$81,0)),""))</f>
        <v/>
      </c>
      <c r="H1140" s="27" t="str">
        <f>IF($E1140="","",N(INDEX(资金日记账!$N$4:$S$603,116,2)))</f>
        <v/>
      </c>
      <c r="I1140" s="27" t="str">
        <f>IF($E1140="","",N(INDEX(资金日记账!$N$4:$S$603,116,3)))</f>
        <v/>
      </c>
      <c r="J1140" s="26" t="str">
        <f>IF($E1140="","",INDEX(资金日记账!$E$4:$E$603,116))</f>
        <v/>
      </c>
      <c r="K1140" s="26" t="str">
        <f>IF($E1140="","",INDEX(资金日记账!$F$4:$F$603,116))</f>
        <v/>
      </c>
      <c r="L1140" s="32" t="str">
        <f>IF($E1140="","",INDEX(资金日记账!$X$4:$X$603,116))</f>
        <v/>
      </c>
      <c r="M1140" s="32"/>
      <c r="N1140" s="26" t="str">
        <f>IF($E1140="","",INDEX(资金日记账!$Y$4:$Y$603,116))</f>
        <v/>
      </c>
      <c r="O1140" s="26" t="str">
        <f t="shared" si="66"/>
        <v/>
      </c>
      <c r="P1140" s="10"/>
    </row>
    <row r="1141" ht="18" customHeight="1" spans="1:16">
      <c r="A1141" s="32" t="str">
        <f t="shared" si="65"/>
        <v/>
      </c>
      <c r="B1141" s="100" t="str">
        <f>IF($E1141="","",INDEX(资金日记账!$B$4:$B$603,116))</f>
        <v/>
      </c>
      <c r="C1141" s="26" t="str">
        <f>IF($E1141="","",IF(INDEX(资金日记账!$W$4:$W$603,116)="","记-"&amp;TEXT($B1141,"YYYYMM")&amp;"-资金",INDEX(资金日记账!$W$4:$W$603,116)))</f>
        <v/>
      </c>
      <c r="D1141" s="32" t="str">
        <f>IF($E1141="","",INDEX(资金日记账!$D$4:$D$603,116))</f>
        <v/>
      </c>
      <c r="E1141" s="26" t="str">
        <f>IF(INDEX(资金日记账!$N$4:$S$603,116,4)=0,"",INDEX(资金日记账!$N$4:$S$603,116,4))</f>
        <v/>
      </c>
      <c r="F1141" s="25" t="str">
        <f>IF($E1141="","",IFERROR(INDEX(科目表!$A$4:$A$81,MATCH($E1141,科目表!$B$4:$B$81,0)),""))</f>
        <v/>
      </c>
      <c r="G1141" s="26" t="str">
        <f>IF($E1141="","",IFERROR(INDEX(科目表!$E$4:$E$81,MATCH($E1141,科目表!$B$4:$B$81,0)),""))</f>
        <v/>
      </c>
      <c r="H1141" s="27" t="str">
        <f>IF($E1141="","",N(INDEX(资金日记账!$N$4:$S$603,116,5)))</f>
        <v/>
      </c>
      <c r="I1141" s="27" t="str">
        <f>IF($E1141="","",N(INDEX(资金日记账!$N$4:$S$603,116,6)))</f>
        <v/>
      </c>
      <c r="J1141" s="26" t="str">
        <f>IF($E1141="","",INDEX(资金日记账!$E$4:$E$603,116))</f>
        <v/>
      </c>
      <c r="K1141" s="26" t="str">
        <f>IF($E1141="","",INDEX(资金日记账!$F$4:$F$603,116))</f>
        <v/>
      </c>
      <c r="L1141" s="32" t="str">
        <f>IF($E1141="","",INDEX(资金日记账!$X$4:$X$603,116))</f>
        <v/>
      </c>
      <c r="M1141" s="32"/>
      <c r="N1141" s="26" t="str">
        <f>IF($E1141="","",INDEX(资金日记账!$Y$4:$Y$603,116))</f>
        <v/>
      </c>
      <c r="O1141" s="26" t="str">
        <f t="shared" si="66"/>
        <v/>
      </c>
      <c r="P1141" s="10"/>
    </row>
    <row r="1142" ht="18" customHeight="1" spans="1:16">
      <c r="A1142" s="32" t="str">
        <f t="shared" si="65"/>
        <v/>
      </c>
      <c r="B1142" s="100" t="str">
        <f>IF($E1142="","",INDEX(资金日记账!$B$4:$B$603,117))</f>
        <v/>
      </c>
      <c r="C1142" s="26" t="str">
        <f>IF($E1142="","",IF(INDEX(资金日记账!$W$4:$W$603,117)="","记-"&amp;TEXT($B1142,"YYYYMM")&amp;"-资金",INDEX(资金日记账!$W$4:$W$603,117)))</f>
        <v/>
      </c>
      <c r="D1142" s="32" t="str">
        <f>IF($E1142="","",INDEX(资金日记账!$D$4:$D$603,117))</f>
        <v/>
      </c>
      <c r="E1142" s="26" t="str">
        <f>IF(INDEX(资金日记账!$N$4:$S$603,117,1)=0,"",INDEX(资金日记账!$N$4:$S$603,117,1))</f>
        <v/>
      </c>
      <c r="F1142" s="25" t="str">
        <f>IF($E1142="","",IFERROR(INDEX(科目表!$A$4:$A$81,MATCH($E1142,科目表!$B$4:$B$81,0)),""))</f>
        <v/>
      </c>
      <c r="G1142" s="26" t="str">
        <f>IF($E1142="","",IFERROR(INDEX(科目表!$E$4:$E$81,MATCH($E1142,科目表!$B$4:$B$81,0)),""))</f>
        <v/>
      </c>
      <c r="H1142" s="27" t="str">
        <f>IF($E1142="","",N(INDEX(资金日记账!$N$4:$S$603,117,2)))</f>
        <v/>
      </c>
      <c r="I1142" s="27" t="str">
        <f>IF($E1142="","",N(INDEX(资金日记账!$N$4:$S$603,117,3)))</f>
        <v/>
      </c>
      <c r="J1142" s="26" t="str">
        <f>IF($E1142="","",INDEX(资金日记账!$E$4:$E$603,117))</f>
        <v/>
      </c>
      <c r="K1142" s="26" t="str">
        <f>IF($E1142="","",INDEX(资金日记账!$F$4:$F$603,117))</f>
        <v/>
      </c>
      <c r="L1142" s="32" t="str">
        <f>IF($E1142="","",INDEX(资金日记账!$X$4:$X$603,117))</f>
        <v/>
      </c>
      <c r="M1142" s="32"/>
      <c r="N1142" s="26" t="str">
        <f>IF($E1142="","",INDEX(资金日记账!$Y$4:$Y$603,117))</f>
        <v/>
      </c>
      <c r="O1142" s="26" t="str">
        <f t="shared" si="66"/>
        <v/>
      </c>
      <c r="P1142" s="10"/>
    </row>
    <row r="1143" ht="18" customHeight="1" spans="1:16">
      <c r="A1143" s="32" t="str">
        <f t="shared" si="65"/>
        <v/>
      </c>
      <c r="B1143" s="100" t="str">
        <f>IF($E1143="","",INDEX(资金日记账!$B$4:$B$603,117))</f>
        <v/>
      </c>
      <c r="C1143" s="26" t="str">
        <f>IF($E1143="","",IF(INDEX(资金日记账!$W$4:$W$603,117)="","记-"&amp;TEXT($B1143,"YYYYMM")&amp;"-资金",INDEX(资金日记账!$W$4:$W$603,117)))</f>
        <v/>
      </c>
      <c r="D1143" s="32" t="str">
        <f>IF($E1143="","",INDEX(资金日记账!$D$4:$D$603,117))</f>
        <v/>
      </c>
      <c r="E1143" s="26" t="str">
        <f>IF(INDEX(资金日记账!$N$4:$S$603,117,4)=0,"",INDEX(资金日记账!$N$4:$S$603,117,4))</f>
        <v/>
      </c>
      <c r="F1143" s="25" t="str">
        <f>IF($E1143="","",IFERROR(INDEX(科目表!$A$4:$A$81,MATCH($E1143,科目表!$B$4:$B$81,0)),""))</f>
        <v/>
      </c>
      <c r="G1143" s="26" t="str">
        <f>IF($E1143="","",IFERROR(INDEX(科目表!$E$4:$E$81,MATCH($E1143,科目表!$B$4:$B$81,0)),""))</f>
        <v/>
      </c>
      <c r="H1143" s="27" t="str">
        <f>IF($E1143="","",N(INDEX(资金日记账!$N$4:$S$603,117,5)))</f>
        <v/>
      </c>
      <c r="I1143" s="27" t="str">
        <f>IF($E1143="","",N(INDEX(资金日记账!$N$4:$S$603,117,6)))</f>
        <v/>
      </c>
      <c r="J1143" s="26" t="str">
        <f>IF($E1143="","",INDEX(资金日记账!$E$4:$E$603,117))</f>
        <v/>
      </c>
      <c r="K1143" s="26" t="str">
        <f>IF($E1143="","",INDEX(资金日记账!$F$4:$F$603,117))</f>
        <v/>
      </c>
      <c r="L1143" s="32" t="str">
        <f>IF($E1143="","",INDEX(资金日记账!$X$4:$X$603,117))</f>
        <v/>
      </c>
      <c r="M1143" s="32"/>
      <c r="N1143" s="26" t="str">
        <f>IF($E1143="","",INDEX(资金日记账!$Y$4:$Y$603,117))</f>
        <v/>
      </c>
      <c r="O1143" s="26" t="str">
        <f t="shared" si="66"/>
        <v/>
      </c>
      <c r="P1143" s="10"/>
    </row>
    <row r="1144" ht="18" customHeight="1" spans="1:16">
      <c r="A1144" s="32" t="str">
        <f t="shared" si="65"/>
        <v/>
      </c>
      <c r="B1144" s="100" t="str">
        <f>IF($E1144="","",INDEX(资金日记账!$B$4:$B$603,118))</f>
        <v/>
      </c>
      <c r="C1144" s="26" t="str">
        <f>IF($E1144="","",IF(INDEX(资金日记账!$W$4:$W$603,118)="","记-"&amp;TEXT($B1144,"YYYYMM")&amp;"-资金",INDEX(资金日记账!$W$4:$W$603,118)))</f>
        <v/>
      </c>
      <c r="D1144" s="32" t="str">
        <f>IF($E1144="","",INDEX(资金日记账!$D$4:$D$603,118))</f>
        <v/>
      </c>
      <c r="E1144" s="26" t="str">
        <f>IF(INDEX(资金日记账!$N$4:$S$603,118,1)=0,"",INDEX(资金日记账!$N$4:$S$603,118,1))</f>
        <v/>
      </c>
      <c r="F1144" s="25" t="str">
        <f>IF($E1144="","",IFERROR(INDEX(科目表!$A$4:$A$81,MATCH($E1144,科目表!$B$4:$B$81,0)),""))</f>
        <v/>
      </c>
      <c r="G1144" s="26" t="str">
        <f>IF($E1144="","",IFERROR(INDEX(科目表!$E$4:$E$81,MATCH($E1144,科目表!$B$4:$B$81,0)),""))</f>
        <v/>
      </c>
      <c r="H1144" s="27" t="str">
        <f>IF($E1144="","",N(INDEX(资金日记账!$N$4:$S$603,118,2)))</f>
        <v/>
      </c>
      <c r="I1144" s="27" t="str">
        <f>IF($E1144="","",N(INDEX(资金日记账!$N$4:$S$603,118,3)))</f>
        <v/>
      </c>
      <c r="J1144" s="26" t="str">
        <f>IF($E1144="","",INDEX(资金日记账!$E$4:$E$603,118))</f>
        <v/>
      </c>
      <c r="K1144" s="26" t="str">
        <f>IF($E1144="","",INDEX(资金日记账!$F$4:$F$603,118))</f>
        <v/>
      </c>
      <c r="L1144" s="32" t="str">
        <f>IF($E1144="","",INDEX(资金日记账!$X$4:$X$603,118))</f>
        <v/>
      </c>
      <c r="M1144" s="32"/>
      <c r="N1144" s="26" t="str">
        <f>IF($E1144="","",INDEX(资金日记账!$Y$4:$Y$603,118))</f>
        <v/>
      </c>
      <c r="O1144" s="26" t="str">
        <f t="shared" si="66"/>
        <v/>
      </c>
      <c r="P1144" s="10"/>
    </row>
    <row r="1145" ht="18" customHeight="1" spans="1:16">
      <c r="A1145" s="32" t="str">
        <f t="shared" si="65"/>
        <v/>
      </c>
      <c r="B1145" s="100" t="str">
        <f>IF($E1145="","",INDEX(资金日记账!$B$4:$B$603,118))</f>
        <v/>
      </c>
      <c r="C1145" s="26" t="str">
        <f>IF($E1145="","",IF(INDEX(资金日记账!$W$4:$W$603,118)="","记-"&amp;TEXT($B1145,"YYYYMM")&amp;"-资金",INDEX(资金日记账!$W$4:$W$603,118)))</f>
        <v/>
      </c>
      <c r="D1145" s="32" t="str">
        <f>IF($E1145="","",INDEX(资金日记账!$D$4:$D$603,118))</f>
        <v/>
      </c>
      <c r="E1145" s="26" t="str">
        <f>IF(INDEX(资金日记账!$N$4:$S$603,118,4)=0,"",INDEX(资金日记账!$N$4:$S$603,118,4))</f>
        <v/>
      </c>
      <c r="F1145" s="25" t="str">
        <f>IF($E1145="","",IFERROR(INDEX(科目表!$A$4:$A$81,MATCH($E1145,科目表!$B$4:$B$81,0)),""))</f>
        <v/>
      </c>
      <c r="G1145" s="26" t="str">
        <f>IF($E1145="","",IFERROR(INDEX(科目表!$E$4:$E$81,MATCH($E1145,科目表!$B$4:$B$81,0)),""))</f>
        <v/>
      </c>
      <c r="H1145" s="27" t="str">
        <f>IF($E1145="","",N(INDEX(资金日记账!$N$4:$S$603,118,5)))</f>
        <v/>
      </c>
      <c r="I1145" s="27" t="str">
        <f>IF($E1145="","",N(INDEX(资金日记账!$N$4:$S$603,118,6)))</f>
        <v/>
      </c>
      <c r="J1145" s="26" t="str">
        <f>IF($E1145="","",INDEX(资金日记账!$E$4:$E$603,118))</f>
        <v/>
      </c>
      <c r="K1145" s="26" t="str">
        <f>IF($E1145="","",INDEX(资金日记账!$F$4:$F$603,118))</f>
        <v/>
      </c>
      <c r="L1145" s="32" t="str">
        <f>IF($E1145="","",INDEX(资金日记账!$X$4:$X$603,118))</f>
        <v/>
      </c>
      <c r="M1145" s="32"/>
      <c r="N1145" s="26" t="str">
        <f>IF($E1145="","",INDEX(资金日记账!$Y$4:$Y$603,118))</f>
        <v/>
      </c>
      <c r="O1145" s="26" t="str">
        <f t="shared" si="66"/>
        <v/>
      </c>
      <c r="P1145" s="10"/>
    </row>
    <row r="1146" ht="18" customHeight="1" spans="1:16">
      <c r="A1146" s="32" t="str">
        <f t="shared" si="65"/>
        <v/>
      </c>
      <c r="B1146" s="100" t="str">
        <f>IF($E1146="","",INDEX(资金日记账!$B$4:$B$603,119))</f>
        <v/>
      </c>
      <c r="C1146" s="26" t="str">
        <f>IF($E1146="","",IF(INDEX(资金日记账!$W$4:$W$603,119)="","记-"&amp;TEXT($B1146,"YYYYMM")&amp;"-资金",INDEX(资金日记账!$W$4:$W$603,119)))</f>
        <v/>
      </c>
      <c r="D1146" s="32" t="str">
        <f>IF($E1146="","",INDEX(资金日记账!$D$4:$D$603,119))</f>
        <v/>
      </c>
      <c r="E1146" s="26" t="str">
        <f>IF(INDEX(资金日记账!$N$4:$S$603,119,1)=0,"",INDEX(资金日记账!$N$4:$S$603,119,1))</f>
        <v/>
      </c>
      <c r="F1146" s="25" t="str">
        <f>IF($E1146="","",IFERROR(INDEX(科目表!$A$4:$A$81,MATCH($E1146,科目表!$B$4:$B$81,0)),""))</f>
        <v/>
      </c>
      <c r="G1146" s="26" t="str">
        <f>IF($E1146="","",IFERROR(INDEX(科目表!$E$4:$E$81,MATCH($E1146,科目表!$B$4:$B$81,0)),""))</f>
        <v/>
      </c>
      <c r="H1146" s="27" t="str">
        <f>IF($E1146="","",N(INDEX(资金日记账!$N$4:$S$603,119,2)))</f>
        <v/>
      </c>
      <c r="I1146" s="27" t="str">
        <f>IF($E1146="","",N(INDEX(资金日记账!$N$4:$S$603,119,3)))</f>
        <v/>
      </c>
      <c r="J1146" s="26" t="str">
        <f>IF($E1146="","",INDEX(资金日记账!$E$4:$E$603,119))</f>
        <v/>
      </c>
      <c r="K1146" s="26" t="str">
        <f>IF($E1146="","",INDEX(资金日记账!$F$4:$F$603,119))</f>
        <v/>
      </c>
      <c r="L1146" s="32" t="str">
        <f>IF($E1146="","",INDEX(资金日记账!$X$4:$X$603,119))</f>
        <v/>
      </c>
      <c r="M1146" s="32"/>
      <c r="N1146" s="26" t="str">
        <f>IF($E1146="","",INDEX(资金日记账!$Y$4:$Y$603,119))</f>
        <v/>
      </c>
      <c r="O1146" s="26" t="str">
        <f t="shared" si="66"/>
        <v/>
      </c>
      <c r="P1146" s="10"/>
    </row>
    <row r="1147" ht="18" customHeight="1" spans="1:16">
      <c r="A1147" s="32" t="str">
        <f t="shared" si="65"/>
        <v/>
      </c>
      <c r="B1147" s="100" t="str">
        <f>IF($E1147="","",INDEX(资金日记账!$B$4:$B$603,119))</f>
        <v/>
      </c>
      <c r="C1147" s="26" t="str">
        <f>IF($E1147="","",IF(INDEX(资金日记账!$W$4:$W$603,119)="","记-"&amp;TEXT($B1147,"YYYYMM")&amp;"-资金",INDEX(资金日记账!$W$4:$W$603,119)))</f>
        <v/>
      </c>
      <c r="D1147" s="32" t="str">
        <f>IF($E1147="","",INDEX(资金日记账!$D$4:$D$603,119))</f>
        <v/>
      </c>
      <c r="E1147" s="26" t="str">
        <f>IF(INDEX(资金日记账!$N$4:$S$603,119,4)=0,"",INDEX(资金日记账!$N$4:$S$603,119,4))</f>
        <v/>
      </c>
      <c r="F1147" s="25" t="str">
        <f>IF($E1147="","",IFERROR(INDEX(科目表!$A$4:$A$81,MATCH($E1147,科目表!$B$4:$B$81,0)),""))</f>
        <v/>
      </c>
      <c r="G1147" s="26" t="str">
        <f>IF($E1147="","",IFERROR(INDEX(科目表!$E$4:$E$81,MATCH($E1147,科目表!$B$4:$B$81,0)),""))</f>
        <v/>
      </c>
      <c r="H1147" s="27" t="str">
        <f>IF($E1147="","",N(INDEX(资金日记账!$N$4:$S$603,119,5)))</f>
        <v/>
      </c>
      <c r="I1147" s="27" t="str">
        <f>IF($E1147="","",N(INDEX(资金日记账!$N$4:$S$603,119,6)))</f>
        <v/>
      </c>
      <c r="J1147" s="26" t="str">
        <f>IF($E1147="","",INDEX(资金日记账!$E$4:$E$603,119))</f>
        <v/>
      </c>
      <c r="K1147" s="26" t="str">
        <f>IF($E1147="","",INDEX(资金日记账!$F$4:$F$603,119))</f>
        <v/>
      </c>
      <c r="L1147" s="32" t="str">
        <f>IF($E1147="","",INDEX(资金日记账!$X$4:$X$603,119))</f>
        <v/>
      </c>
      <c r="M1147" s="32"/>
      <c r="N1147" s="26" t="str">
        <f>IF($E1147="","",INDEX(资金日记账!$Y$4:$Y$603,119))</f>
        <v/>
      </c>
      <c r="O1147" s="26" t="str">
        <f t="shared" si="66"/>
        <v/>
      </c>
      <c r="P1147" s="10"/>
    </row>
    <row r="1148" ht="18" customHeight="1" spans="1:16">
      <c r="A1148" s="32" t="str">
        <f t="shared" si="65"/>
        <v/>
      </c>
      <c r="B1148" s="100" t="str">
        <f>IF($E1148="","",INDEX(资金日记账!$B$4:$B$603,120))</f>
        <v/>
      </c>
      <c r="C1148" s="26" t="str">
        <f>IF($E1148="","",IF(INDEX(资金日记账!$W$4:$W$603,120)="","记-"&amp;TEXT($B1148,"YYYYMM")&amp;"-资金",INDEX(资金日记账!$W$4:$W$603,120)))</f>
        <v/>
      </c>
      <c r="D1148" s="32" t="str">
        <f>IF($E1148="","",INDEX(资金日记账!$D$4:$D$603,120))</f>
        <v/>
      </c>
      <c r="E1148" s="26" t="str">
        <f>IF(INDEX(资金日记账!$N$4:$S$603,120,1)=0,"",INDEX(资金日记账!$N$4:$S$603,120,1))</f>
        <v/>
      </c>
      <c r="F1148" s="25" t="str">
        <f>IF($E1148="","",IFERROR(INDEX(科目表!$A$4:$A$81,MATCH($E1148,科目表!$B$4:$B$81,0)),""))</f>
        <v/>
      </c>
      <c r="G1148" s="26" t="str">
        <f>IF($E1148="","",IFERROR(INDEX(科目表!$E$4:$E$81,MATCH($E1148,科目表!$B$4:$B$81,0)),""))</f>
        <v/>
      </c>
      <c r="H1148" s="27" t="str">
        <f>IF($E1148="","",N(INDEX(资金日记账!$N$4:$S$603,120,2)))</f>
        <v/>
      </c>
      <c r="I1148" s="27" t="str">
        <f>IF($E1148="","",N(INDEX(资金日记账!$N$4:$S$603,120,3)))</f>
        <v/>
      </c>
      <c r="J1148" s="26" t="str">
        <f>IF($E1148="","",INDEX(资金日记账!$E$4:$E$603,120))</f>
        <v/>
      </c>
      <c r="K1148" s="26" t="str">
        <f>IF($E1148="","",INDEX(资金日记账!$F$4:$F$603,120))</f>
        <v/>
      </c>
      <c r="L1148" s="32" t="str">
        <f>IF($E1148="","",INDEX(资金日记账!$X$4:$X$603,120))</f>
        <v/>
      </c>
      <c r="M1148" s="32"/>
      <c r="N1148" s="26" t="str">
        <f>IF($E1148="","",INDEX(资金日记账!$Y$4:$Y$603,120))</f>
        <v/>
      </c>
      <c r="O1148" s="26" t="str">
        <f t="shared" si="66"/>
        <v/>
      </c>
      <c r="P1148" s="10"/>
    </row>
    <row r="1149" ht="18" customHeight="1" spans="1:16">
      <c r="A1149" s="32" t="str">
        <f t="shared" si="65"/>
        <v/>
      </c>
      <c r="B1149" s="100" t="str">
        <f>IF($E1149="","",INDEX(资金日记账!$B$4:$B$603,120))</f>
        <v/>
      </c>
      <c r="C1149" s="26" t="str">
        <f>IF($E1149="","",IF(INDEX(资金日记账!$W$4:$W$603,120)="","记-"&amp;TEXT($B1149,"YYYYMM")&amp;"-资金",INDEX(资金日记账!$W$4:$W$603,120)))</f>
        <v/>
      </c>
      <c r="D1149" s="32" t="str">
        <f>IF($E1149="","",INDEX(资金日记账!$D$4:$D$603,120))</f>
        <v/>
      </c>
      <c r="E1149" s="26" t="str">
        <f>IF(INDEX(资金日记账!$N$4:$S$603,120,4)=0,"",INDEX(资金日记账!$N$4:$S$603,120,4))</f>
        <v/>
      </c>
      <c r="F1149" s="25" t="str">
        <f>IF($E1149="","",IFERROR(INDEX(科目表!$A$4:$A$81,MATCH($E1149,科目表!$B$4:$B$81,0)),""))</f>
        <v/>
      </c>
      <c r="G1149" s="26" t="str">
        <f>IF($E1149="","",IFERROR(INDEX(科目表!$E$4:$E$81,MATCH($E1149,科目表!$B$4:$B$81,0)),""))</f>
        <v/>
      </c>
      <c r="H1149" s="27" t="str">
        <f>IF($E1149="","",N(INDEX(资金日记账!$N$4:$S$603,120,5)))</f>
        <v/>
      </c>
      <c r="I1149" s="27" t="str">
        <f>IF($E1149="","",N(INDEX(资金日记账!$N$4:$S$603,120,6)))</f>
        <v/>
      </c>
      <c r="J1149" s="26" t="str">
        <f>IF($E1149="","",INDEX(资金日记账!$E$4:$E$603,120))</f>
        <v/>
      </c>
      <c r="K1149" s="26" t="str">
        <f>IF($E1149="","",INDEX(资金日记账!$F$4:$F$603,120))</f>
        <v/>
      </c>
      <c r="L1149" s="32" t="str">
        <f>IF($E1149="","",INDEX(资金日记账!$X$4:$X$603,120))</f>
        <v/>
      </c>
      <c r="M1149" s="32"/>
      <c r="N1149" s="26" t="str">
        <f>IF($E1149="","",INDEX(资金日记账!$Y$4:$Y$603,120))</f>
        <v/>
      </c>
      <c r="O1149" s="26" t="str">
        <f t="shared" si="66"/>
        <v/>
      </c>
      <c r="P1149" s="10"/>
    </row>
    <row r="1150" ht="18" customHeight="1" spans="1:16">
      <c r="A1150" s="32" t="str">
        <f t="shared" si="65"/>
        <v/>
      </c>
      <c r="B1150" s="100" t="str">
        <f>IF($E1150="","",INDEX(资金日记账!$B$4:$B$603,121))</f>
        <v/>
      </c>
      <c r="C1150" s="26" t="str">
        <f>IF($E1150="","",IF(INDEX(资金日记账!$W$4:$W$603,121)="","记-"&amp;TEXT($B1150,"YYYYMM")&amp;"-资金",INDEX(资金日记账!$W$4:$W$603,121)))</f>
        <v/>
      </c>
      <c r="D1150" s="32" t="str">
        <f>IF($E1150="","",INDEX(资金日记账!$D$4:$D$603,121))</f>
        <v/>
      </c>
      <c r="E1150" s="26" t="str">
        <f>IF(INDEX(资金日记账!$N$4:$S$603,121,1)=0,"",INDEX(资金日记账!$N$4:$S$603,121,1))</f>
        <v/>
      </c>
      <c r="F1150" s="25" t="str">
        <f>IF($E1150="","",IFERROR(INDEX(科目表!$A$4:$A$81,MATCH($E1150,科目表!$B$4:$B$81,0)),""))</f>
        <v/>
      </c>
      <c r="G1150" s="26" t="str">
        <f>IF($E1150="","",IFERROR(INDEX(科目表!$E$4:$E$81,MATCH($E1150,科目表!$B$4:$B$81,0)),""))</f>
        <v/>
      </c>
      <c r="H1150" s="27" t="str">
        <f>IF($E1150="","",N(INDEX(资金日记账!$N$4:$S$603,121,2)))</f>
        <v/>
      </c>
      <c r="I1150" s="27" t="str">
        <f>IF($E1150="","",N(INDEX(资金日记账!$N$4:$S$603,121,3)))</f>
        <v/>
      </c>
      <c r="J1150" s="26" t="str">
        <f>IF($E1150="","",INDEX(资金日记账!$E$4:$E$603,121))</f>
        <v/>
      </c>
      <c r="K1150" s="26" t="str">
        <f>IF($E1150="","",INDEX(资金日记账!$F$4:$F$603,121))</f>
        <v/>
      </c>
      <c r="L1150" s="32" t="str">
        <f>IF($E1150="","",INDEX(资金日记账!$X$4:$X$603,121))</f>
        <v/>
      </c>
      <c r="M1150" s="32"/>
      <c r="N1150" s="26" t="str">
        <f>IF($E1150="","",INDEX(资金日记账!$Y$4:$Y$603,121))</f>
        <v/>
      </c>
      <c r="O1150" s="26" t="str">
        <f t="shared" si="66"/>
        <v/>
      </c>
      <c r="P1150" s="10"/>
    </row>
    <row r="1151" ht="18" customHeight="1" spans="1:16">
      <c r="A1151" s="32" t="str">
        <f t="shared" si="65"/>
        <v/>
      </c>
      <c r="B1151" s="100" t="str">
        <f>IF($E1151="","",INDEX(资金日记账!$B$4:$B$603,121))</f>
        <v/>
      </c>
      <c r="C1151" s="26" t="str">
        <f>IF($E1151="","",IF(INDEX(资金日记账!$W$4:$W$603,121)="","记-"&amp;TEXT($B1151,"YYYYMM")&amp;"-资金",INDEX(资金日记账!$W$4:$W$603,121)))</f>
        <v/>
      </c>
      <c r="D1151" s="32" t="str">
        <f>IF($E1151="","",INDEX(资金日记账!$D$4:$D$603,121))</f>
        <v/>
      </c>
      <c r="E1151" s="26" t="str">
        <f>IF(INDEX(资金日记账!$N$4:$S$603,121,4)=0,"",INDEX(资金日记账!$N$4:$S$603,121,4))</f>
        <v/>
      </c>
      <c r="F1151" s="25" t="str">
        <f>IF($E1151="","",IFERROR(INDEX(科目表!$A$4:$A$81,MATCH($E1151,科目表!$B$4:$B$81,0)),""))</f>
        <v/>
      </c>
      <c r="G1151" s="26" t="str">
        <f>IF($E1151="","",IFERROR(INDEX(科目表!$E$4:$E$81,MATCH($E1151,科目表!$B$4:$B$81,0)),""))</f>
        <v/>
      </c>
      <c r="H1151" s="27" t="str">
        <f>IF($E1151="","",N(INDEX(资金日记账!$N$4:$S$603,121,5)))</f>
        <v/>
      </c>
      <c r="I1151" s="27" t="str">
        <f>IF($E1151="","",N(INDEX(资金日记账!$N$4:$S$603,121,6)))</f>
        <v/>
      </c>
      <c r="J1151" s="26" t="str">
        <f>IF($E1151="","",INDEX(资金日记账!$E$4:$E$603,121))</f>
        <v/>
      </c>
      <c r="K1151" s="26" t="str">
        <f>IF($E1151="","",INDEX(资金日记账!$F$4:$F$603,121))</f>
        <v/>
      </c>
      <c r="L1151" s="32" t="str">
        <f>IF($E1151="","",INDEX(资金日记账!$X$4:$X$603,121))</f>
        <v/>
      </c>
      <c r="M1151" s="32"/>
      <c r="N1151" s="26" t="str">
        <f>IF($E1151="","",INDEX(资金日记账!$Y$4:$Y$603,121))</f>
        <v/>
      </c>
      <c r="O1151" s="26" t="str">
        <f t="shared" si="66"/>
        <v/>
      </c>
      <c r="P1151" s="10"/>
    </row>
    <row r="1152" ht="18" customHeight="1" spans="1:16">
      <c r="A1152" s="32" t="str">
        <f t="shared" si="65"/>
        <v/>
      </c>
      <c r="B1152" s="100" t="str">
        <f>IF($E1152="","",INDEX(资金日记账!$B$4:$B$603,122))</f>
        <v/>
      </c>
      <c r="C1152" s="26" t="str">
        <f>IF($E1152="","",IF(INDEX(资金日记账!$W$4:$W$603,122)="","记-"&amp;TEXT($B1152,"YYYYMM")&amp;"-资金",INDEX(资金日记账!$W$4:$W$603,122)))</f>
        <v/>
      </c>
      <c r="D1152" s="32" t="str">
        <f>IF($E1152="","",INDEX(资金日记账!$D$4:$D$603,122))</f>
        <v/>
      </c>
      <c r="E1152" s="26" t="str">
        <f>IF(INDEX(资金日记账!$N$4:$S$603,122,1)=0,"",INDEX(资金日记账!$N$4:$S$603,122,1))</f>
        <v/>
      </c>
      <c r="F1152" s="25" t="str">
        <f>IF($E1152="","",IFERROR(INDEX(科目表!$A$4:$A$81,MATCH($E1152,科目表!$B$4:$B$81,0)),""))</f>
        <v/>
      </c>
      <c r="G1152" s="26" t="str">
        <f>IF($E1152="","",IFERROR(INDEX(科目表!$E$4:$E$81,MATCH($E1152,科目表!$B$4:$B$81,0)),""))</f>
        <v/>
      </c>
      <c r="H1152" s="27" t="str">
        <f>IF($E1152="","",N(INDEX(资金日记账!$N$4:$S$603,122,2)))</f>
        <v/>
      </c>
      <c r="I1152" s="27" t="str">
        <f>IF($E1152="","",N(INDEX(资金日记账!$N$4:$S$603,122,3)))</f>
        <v/>
      </c>
      <c r="J1152" s="26" t="str">
        <f>IF($E1152="","",INDEX(资金日记账!$E$4:$E$603,122))</f>
        <v/>
      </c>
      <c r="K1152" s="26" t="str">
        <f>IF($E1152="","",INDEX(资金日记账!$F$4:$F$603,122))</f>
        <v/>
      </c>
      <c r="L1152" s="32" t="str">
        <f>IF($E1152="","",INDEX(资金日记账!$X$4:$X$603,122))</f>
        <v/>
      </c>
      <c r="M1152" s="32"/>
      <c r="N1152" s="26" t="str">
        <f>IF($E1152="","",INDEX(资金日记账!$Y$4:$Y$603,122))</f>
        <v/>
      </c>
      <c r="O1152" s="26" t="str">
        <f t="shared" si="66"/>
        <v/>
      </c>
      <c r="P1152" s="10"/>
    </row>
    <row r="1153" ht="18" customHeight="1" spans="1:16">
      <c r="A1153" s="32" t="str">
        <f t="shared" si="65"/>
        <v/>
      </c>
      <c r="B1153" s="100" t="str">
        <f>IF($E1153="","",INDEX(资金日记账!$B$4:$B$603,122))</f>
        <v/>
      </c>
      <c r="C1153" s="26" t="str">
        <f>IF($E1153="","",IF(INDEX(资金日记账!$W$4:$W$603,122)="","记-"&amp;TEXT($B1153,"YYYYMM")&amp;"-资金",INDEX(资金日记账!$W$4:$W$603,122)))</f>
        <v/>
      </c>
      <c r="D1153" s="32" t="str">
        <f>IF($E1153="","",INDEX(资金日记账!$D$4:$D$603,122))</f>
        <v/>
      </c>
      <c r="E1153" s="26" t="str">
        <f>IF(INDEX(资金日记账!$N$4:$S$603,122,4)=0,"",INDEX(资金日记账!$N$4:$S$603,122,4))</f>
        <v/>
      </c>
      <c r="F1153" s="25" t="str">
        <f>IF($E1153="","",IFERROR(INDEX(科目表!$A$4:$A$81,MATCH($E1153,科目表!$B$4:$B$81,0)),""))</f>
        <v/>
      </c>
      <c r="G1153" s="26" t="str">
        <f>IF($E1153="","",IFERROR(INDEX(科目表!$E$4:$E$81,MATCH($E1153,科目表!$B$4:$B$81,0)),""))</f>
        <v/>
      </c>
      <c r="H1153" s="27" t="str">
        <f>IF($E1153="","",N(INDEX(资金日记账!$N$4:$S$603,122,5)))</f>
        <v/>
      </c>
      <c r="I1153" s="27" t="str">
        <f>IF($E1153="","",N(INDEX(资金日记账!$N$4:$S$603,122,6)))</f>
        <v/>
      </c>
      <c r="J1153" s="26" t="str">
        <f>IF($E1153="","",INDEX(资金日记账!$E$4:$E$603,122))</f>
        <v/>
      </c>
      <c r="K1153" s="26" t="str">
        <f>IF($E1153="","",INDEX(资金日记账!$F$4:$F$603,122))</f>
        <v/>
      </c>
      <c r="L1153" s="32" t="str">
        <f>IF($E1153="","",INDEX(资金日记账!$X$4:$X$603,122))</f>
        <v/>
      </c>
      <c r="M1153" s="32"/>
      <c r="N1153" s="26" t="str">
        <f>IF($E1153="","",INDEX(资金日记账!$Y$4:$Y$603,122))</f>
        <v/>
      </c>
      <c r="O1153" s="26" t="str">
        <f t="shared" si="66"/>
        <v/>
      </c>
      <c r="P1153" s="10"/>
    </row>
    <row r="1154" ht="18" customHeight="1" spans="1:16">
      <c r="A1154" s="32" t="str">
        <f t="shared" si="65"/>
        <v/>
      </c>
      <c r="B1154" s="100" t="str">
        <f>IF($E1154="","",INDEX(资金日记账!$B$4:$B$603,123))</f>
        <v/>
      </c>
      <c r="C1154" s="26" t="str">
        <f>IF($E1154="","",IF(INDEX(资金日记账!$W$4:$W$603,123)="","记-"&amp;TEXT($B1154,"YYYYMM")&amp;"-资金",INDEX(资金日记账!$W$4:$W$603,123)))</f>
        <v/>
      </c>
      <c r="D1154" s="32" t="str">
        <f>IF($E1154="","",INDEX(资金日记账!$D$4:$D$603,123))</f>
        <v/>
      </c>
      <c r="E1154" s="26" t="str">
        <f>IF(INDEX(资金日记账!$N$4:$S$603,123,1)=0,"",INDEX(资金日记账!$N$4:$S$603,123,1))</f>
        <v/>
      </c>
      <c r="F1154" s="25" t="str">
        <f>IF($E1154="","",IFERROR(INDEX(科目表!$A$4:$A$81,MATCH($E1154,科目表!$B$4:$B$81,0)),""))</f>
        <v/>
      </c>
      <c r="G1154" s="26" t="str">
        <f>IF($E1154="","",IFERROR(INDEX(科目表!$E$4:$E$81,MATCH($E1154,科目表!$B$4:$B$81,0)),""))</f>
        <v/>
      </c>
      <c r="H1154" s="27" t="str">
        <f>IF($E1154="","",N(INDEX(资金日记账!$N$4:$S$603,123,2)))</f>
        <v/>
      </c>
      <c r="I1154" s="27" t="str">
        <f>IF($E1154="","",N(INDEX(资金日记账!$N$4:$S$603,123,3)))</f>
        <v/>
      </c>
      <c r="J1154" s="26" t="str">
        <f>IF($E1154="","",INDEX(资金日记账!$E$4:$E$603,123))</f>
        <v/>
      </c>
      <c r="K1154" s="26" t="str">
        <f>IF($E1154="","",INDEX(资金日记账!$F$4:$F$603,123))</f>
        <v/>
      </c>
      <c r="L1154" s="32" t="str">
        <f>IF($E1154="","",INDEX(资金日记账!$X$4:$X$603,123))</f>
        <v/>
      </c>
      <c r="M1154" s="32"/>
      <c r="N1154" s="26" t="str">
        <f>IF($E1154="","",INDEX(资金日记账!$Y$4:$Y$603,123))</f>
        <v/>
      </c>
      <c r="O1154" s="26" t="str">
        <f t="shared" si="66"/>
        <v/>
      </c>
      <c r="P1154" s="10"/>
    </row>
    <row r="1155" ht="18" customHeight="1" spans="1:16">
      <c r="A1155" s="32" t="str">
        <f t="shared" si="65"/>
        <v/>
      </c>
      <c r="B1155" s="100" t="str">
        <f>IF($E1155="","",INDEX(资金日记账!$B$4:$B$603,123))</f>
        <v/>
      </c>
      <c r="C1155" s="26" t="str">
        <f>IF($E1155="","",IF(INDEX(资金日记账!$W$4:$W$603,123)="","记-"&amp;TEXT($B1155,"YYYYMM")&amp;"-资金",INDEX(资金日记账!$W$4:$W$603,123)))</f>
        <v/>
      </c>
      <c r="D1155" s="32" t="str">
        <f>IF($E1155="","",INDEX(资金日记账!$D$4:$D$603,123))</f>
        <v/>
      </c>
      <c r="E1155" s="26" t="str">
        <f>IF(INDEX(资金日记账!$N$4:$S$603,123,4)=0,"",INDEX(资金日记账!$N$4:$S$603,123,4))</f>
        <v/>
      </c>
      <c r="F1155" s="25" t="str">
        <f>IF($E1155="","",IFERROR(INDEX(科目表!$A$4:$A$81,MATCH($E1155,科目表!$B$4:$B$81,0)),""))</f>
        <v/>
      </c>
      <c r="G1155" s="26" t="str">
        <f>IF($E1155="","",IFERROR(INDEX(科目表!$E$4:$E$81,MATCH($E1155,科目表!$B$4:$B$81,0)),""))</f>
        <v/>
      </c>
      <c r="H1155" s="27" t="str">
        <f>IF($E1155="","",N(INDEX(资金日记账!$N$4:$S$603,123,5)))</f>
        <v/>
      </c>
      <c r="I1155" s="27" t="str">
        <f>IF($E1155="","",N(INDEX(资金日记账!$N$4:$S$603,123,6)))</f>
        <v/>
      </c>
      <c r="J1155" s="26" t="str">
        <f>IF($E1155="","",INDEX(资金日记账!$E$4:$E$603,123))</f>
        <v/>
      </c>
      <c r="K1155" s="26" t="str">
        <f>IF($E1155="","",INDEX(资金日记账!$F$4:$F$603,123))</f>
        <v/>
      </c>
      <c r="L1155" s="32" t="str">
        <f>IF($E1155="","",INDEX(资金日记账!$X$4:$X$603,123))</f>
        <v/>
      </c>
      <c r="M1155" s="32"/>
      <c r="N1155" s="26" t="str">
        <f>IF($E1155="","",INDEX(资金日记账!$Y$4:$Y$603,123))</f>
        <v/>
      </c>
      <c r="O1155" s="26" t="str">
        <f t="shared" si="66"/>
        <v/>
      </c>
      <c r="P1155" s="10"/>
    </row>
    <row r="1156" ht="18" customHeight="1" spans="1:16">
      <c r="A1156" s="32" t="str">
        <f t="shared" ref="A1156:A1219" si="67">IF($E1156="","",ROW()-3)</f>
        <v/>
      </c>
      <c r="B1156" s="100" t="str">
        <f>IF($E1156="","",INDEX(资金日记账!$B$4:$B$603,124))</f>
        <v/>
      </c>
      <c r="C1156" s="26" t="str">
        <f>IF($E1156="","",IF(INDEX(资金日记账!$W$4:$W$603,124)="","记-"&amp;TEXT($B1156,"YYYYMM")&amp;"-资金",INDEX(资金日记账!$W$4:$W$603,124)))</f>
        <v/>
      </c>
      <c r="D1156" s="32" t="str">
        <f>IF($E1156="","",INDEX(资金日记账!$D$4:$D$603,124))</f>
        <v/>
      </c>
      <c r="E1156" s="26" t="str">
        <f>IF(INDEX(资金日记账!$N$4:$S$603,124,1)=0,"",INDEX(资金日记账!$N$4:$S$603,124,1))</f>
        <v/>
      </c>
      <c r="F1156" s="25" t="str">
        <f>IF($E1156="","",IFERROR(INDEX(科目表!$A$4:$A$81,MATCH($E1156,科目表!$B$4:$B$81,0)),""))</f>
        <v/>
      </c>
      <c r="G1156" s="26" t="str">
        <f>IF($E1156="","",IFERROR(INDEX(科目表!$E$4:$E$81,MATCH($E1156,科目表!$B$4:$B$81,0)),""))</f>
        <v/>
      </c>
      <c r="H1156" s="27" t="str">
        <f>IF($E1156="","",N(INDEX(资金日记账!$N$4:$S$603,124,2)))</f>
        <v/>
      </c>
      <c r="I1156" s="27" t="str">
        <f>IF($E1156="","",N(INDEX(资金日记账!$N$4:$S$603,124,3)))</f>
        <v/>
      </c>
      <c r="J1156" s="26" t="str">
        <f>IF($E1156="","",INDEX(资金日记账!$E$4:$E$603,124))</f>
        <v/>
      </c>
      <c r="K1156" s="26" t="str">
        <f>IF($E1156="","",INDEX(资金日记账!$F$4:$F$603,124))</f>
        <v/>
      </c>
      <c r="L1156" s="32" t="str">
        <f>IF($E1156="","",INDEX(资金日记账!$X$4:$X$603,124))</f>
        <v/>
      </c>
      <c r="M1156" s="32"/>
      <c r="N1156" s="26" t="str">
        <f>IF($E1156="","",INDEX(资金日记账!$Y$4:$Y$603,124))</f>
        <v/>
      </c>
      <c r="O1156" s="26" t="str">
        <f t="shared" si="66"/>
        <v/>
      </c>
      <c r="P1156" s="10"/>
    </row>
    <row r="1157" ht="18" customHeight="1" spans="1:16">
      <c r="A1157" s="32" t="str">
        <f t="shared" si="67"/>
        <v/>
      </c>
      <c r="B1157" s="100" t="str">
        <f>IF($E1157="","",INDEX(资金日记账!$B$4:$B$603,124))</f>
        <v/>
      </c>
      <c r="C1157" s="26" t="str">
        <f>IF($E1157="","",IF(INDEX(资金日记账!$W$4:$W$603,124)="","记-"&amp;TEXT($B1157,"YYYYMM")&amp;"-资金",INDEX(资金日记账!$W$4:$W$603,124)))</f>
        <v/>
      </c>
      <c r="D1157" s="32" t="str">
        <f>IF($E1157="","",INDEX(资金日记账!$D$4:$D$603,124))</f>
        <v/>
      </c>
      <c r="E1157" s="26" t="str">
        <f>IF(INDEX(资金日记账!$N$4:$S$603,124,4)=0,"",INDEX(资金日记账!$N$4:$S$603,124,4))</f>
        <v/>
      </c>
      <c r="F1157" s="25" t="str">
        <f>IF($E1157="","",IFERROR(INDEX(科目表!$A$4:$A$81,MATCH($E1157,科目表!$B$4:$B$81,0)),""))</f>
        <v/>
      </c>
      <c r="G1157" s="26" t="str">
        <f>IF($E1157="","",IFERROR(INDEX(科目表!$E$4:$E$81,MATCH($E1157,科目表!$B$4:$B$81,0)),""))</f>
        <v/>
      </c>
      <c r="H1157" s="27" t="str">
        <f>IF($E1157="","",N(INDEX(资金日记账!$N$4:$S$603,124,5)))</f>
        <v/>
      </c>
      <c r="I1157" s="27" t="str">
        <f>IF($E1157="","",N(INDEX(资金日记账!$N$4:$S$603,124,6)))</f>
        <v/>
      </c>
      <c r="J1157" s="26" t="str">
        <f>IF($E1157="","",INDEX(资金日记账!$E$4:$E$603,124))</f>
        <v/>
      </c>
      <c r="K1157" s="26" t="str">
        <f>IF($E1157="","",INDEX(资金日记账!$F$4:$F$603,124))</f>
        <v/>
      </c>
      <c r="L1157" s="32" t="str">
        <f>IF($E1157="","",INDEX(资金日记账!$X$4:$X$603,124))</f>
        <v/>
      </c>
      <c r="M1157" s="32"/>
      <c r="N1157" s="26" t="str">
        <f>IF($E1157="","",INDEX(资金日记账!$Y$4:$Y$603,124))</f>
        <v/>
      </c>
      <c r="O1157" s="26" t="str">
        <f t="shared" si="66"/>
        <v/>
      </c>
      <c r="P1157" s="10"/>
    </row>
    <row r="1158" ht="18" customHeight="1" spans="1:16">
      <c r="A1158" s="32" t="str">
        <f t="shared" si="67"/>
        <v/>
      </c>
      <c r="B1158" s="100" t="str">
        <f>IF($E1158="","",INDEX(资金日记账!$B$4:$B$603,125))</f>
        <v/>
      </c>
      <c r="C1158" s="26" t="str">
        <f>IF($E1158="","",IF(INDEX(资金日记账!$W$4:$W$603,125)="","记-"&amp;TEXT($B1158,"YYYYMM")&amp;"-资金",INDEX(资金日记账!$W$4:$W$603,125)))</f>
        <v/>
      </c>
      <c r="D1158" s="32" t="str">
        <f>IF($E1158="","",INDEX(资金日记账!$D$4:$D$603,125))</f>
        <v/>
      </c>
      <c r="E1158" s="26" t="str">
        <f>IF(INDEX(资金日记账!$N$4:$S$603,125,1)=0,"",INDEX(资金日记账!$N$4:$S$603,125,1))</f>
        <v/>
      </c>
      <c r="F1158" s="25" t="str">
        <f>IF($E1158="","",IFERROR(INDEX(科目表!$A$4:$A$81,MATCH($E1158,科目表!$B$4:$B$81,0)),""))</f>
        <v/>
      </c>
      <c r="G1158" s="26" t="str">
        <f>IF($E1158="","",IFERROR(INDEX(科目表!$E$4:$E$81,MATCH($E1158,科目表!$B$4:$B$81,0)),""))</f>
        <v/>
      </c>
      <c r="H1158" s="27" t="str">
        <f>IF($E1158="","",N(INDEX(资金日记账!$N$4:$S$603,125,2)))</f>
        <v/>
      </c>
      <c r="I1158" s="27" t="str">
        <f>IF($E1158="","",N(INDEX(资金日记账!$N$4:$S$603,125,3)))</f>
        <v/>
      </c>
      <c r="J1158" s="26" t="str">
        <f>IF($E1158="","",INDEX(资金日记账!$E$4:$E$603,125))</f>
        <v/>
      </c>
      <c r="K1158" s="26" t="str">
        <f>IF($E1158="","",INDEX(资金日记账!$F$4:$F$603,125))</f>
        <v/>
      </c>
      <c r="L1158" s="32" t="str">
        <f>IF($E1158="","",INDEX(资金日记账!$X$4:$X$603,125))</f>
        <v/>
      </c>
      <c r="M1158" s="32"/>
      <c r="N1158" s="26" t="str">
        <f>IF($E1158="","",INDEX(资金日记账!$Y$4:$Y$603,125))</f>
        <v/>
      </c>
      <c r="O1158" s="26" t="str">
        <f t="shared" si="66"/>
        <v/>
      </c>
      <c r="P1158" s="10"/>
    </row>
    <row r="1159" ht="18" customHeight="1" spans="1:16">
      <c r="A1159" s="32" t="str">
        <f t="shared" si="67"/>
        <v/>
      </c>
      <c r="B1159" s="100" t="str">
        <f>IF($E1159="","",INDEX(资金日记账!$B$4:$B$603,125))</f>
        <v/>
      </c>
      <c r="C1159" s="26" t="str">
        <f>IF($E1159="","",IF(INDEX(资金日记账!$W$4:$W$603,125)="","记-"&amp;TEXT($B1159,"YYYYMM")&amp;"-资金",INDEX(资金日记账!$W$4:$W$603,125)))</f>
        <v/>
      </c>
      <c r="D1159" s="32" t="str">
        <f>IF($E1159="","",INDEX(资金日记账!$D$4:$D$603,125))</f>
        <v/>
      </c>
      <c r="E1159" s="26" t="str">
        <f>IF(INDEX(资金日记账!$N$4:$S$603,125,4)=0,"",INDEX(资金日记账!$N$4:$S$603,125,4))</f>
        <v/>
      </c>
      <c r="F1159" s="25" t="str">
        <f>IF($E1159="","",IFERROR(INDEX(科目表!$A$4:$A$81,MATCH($E1159,科目表!$B$4:$B$81,0)),""))</f>
        <v/>
      </c>
      <c r="G1159" s="26" t="str">
        <f>IF($E1159="","",IFERROR(INDEX(科目表!$E$4:$E$81,MATCH($E1159,科目表!$B$4:$B$81,0)),""))</f>
        <v/>
      </c>
      <c r="H1159" s="27" t="str">
        <f>IF($E1159="","",N(INDEX(资金日记账!$N$4:$S$603,125,5)))</f>
        <v/>
      </c>
      <c r="I1159" s="27" t="str">
        <f>IF($E1159="","",N(INDEX(资金日记账!$N$4:$S$603,125,6)))</f>
        <v/>
      </c>
      <c r="J1159" s="26" t="str">
        <f>IF($E1159="","",INDEX(资金日记账!$E$4:$E$603,125))</f>
        <v/>
      </c>
      <c r="K1159" s="26" t="str">
        <f>IF($E1159="","",INDEX(资金日记账!$F$4:$F$603,125))</f>
        <v/>
      </c>
      <c r="L1159" s="32" t="str">
        <f>IF($E1159="","",INDEX(资金日记账!$X$4:$X$603,125))</f>
        <v/>
      </c>
      <c r="M1159" s="32"/>
      <c r="N1159" s="26" t="str">
        <f>IF($E1159="","",INDEX(资金日记账!$Y$4:$Y$603,125))</f>
        <v/>
      </c>
      <c r="O1159" s="26" t="str">
        <f t="shared" si="66"/>
        <v/>
      </c>
      <c r="P1159" s="10"/>
    </row>
    <row r="1160" ht="18" customHeight="1" spans="1:16">
      <c r="A1160" s="32" t="str">
        <f t="shared" si="67"/>
        <v/>
      </c>
      <c r="B1160" s="100" t="str">
        <f>IF($E1160="","",INDEX(资金日记账!$B$4:$B$603,126))</f>
        <v/>
      </c>
      <c r="C1160" s="26" t="str">
        <f>IF($E1160="","",IF(INDEX(资金日记账!$W$4:$W$603,126)="","记-"&amp;TEXT($B1160,"YYYYMM")&amp;"-资金",INDEX(资金日记账!$W$4:$W$603,126)))</f>
        <v/>
      </c>
      <c r="D1160" s="32" t="str">
        <f>IF($E1160="","",INDEX(资金日记账!$D$4:$D$603,126))</f>
        <v/>
      </c>
      <c r="E1160" s="26" t="str">
        <f>IF(INDEX(资金日记账!$N$4:$S$603,126,1)=0,"",INDEX(资金日记账!$N$4:$S$603,126,1))</f>
        <v/>
      </c>
      <c r="F1160" s="25" t="str">
        <f>IF($E1160="","",IFERROR(INDEX(科目表!$A$4:$A$81,MATCH($E1160,科目表!$B$4:$B$81,0)),""))</f>
        <v/>
      </c>
      <c r="G1160" s="26" t="str">
        <f>IF($E1160="","",IFERROR(INDEX(科目表!$E$4:$E$81,MATCH($E1160,科目表!$B$4:$B$81,0)),""))</f>
        <v/>
      </c>
      <c r="H1160" s="27" t="str">
        <f>IF($E1160="","",N(INDEX(资金日记账!$N$4:$S$603,126,2)))</f>
        <v/>
      </c>
      <c r="I1160" s="27" t="str">
        <f>IF($E1160="","",N(INDEX(资金日记账!$N$4:$S$603,126,3)))</f>
        <v/>
      </c>
      <c r="J1160" s="26" t="str">
        <f>IF($E1160="","",INDEX(资金日记账!$E$4:$E$603,126))</f>
        <v/>
      </c>
      <c r="K1160" s="26" t="str">
        <f>IF($E1160="","",INDEX(资金日记账!$F$4:$F$603,126))</f>
        <v/>
      </c>
      <c r="L1160" s="32" t="str">
        <f>IF($E1160="","",INDEX(资金日记账!$X$4:$X$603,126))</f>
        <v/>
      </c>
      <c r="M1160" s="32"/>
      <c r="N1160" s="26" t="str">
        <f>IF($E1160="","",INDEX(资金日记账!$Y$4:$Y$603,126))</f>
        <v/>
      </c>
      <c r="O1160" s="26" t="str">
        <f t="shared" si="66"/>
        <v/>
      </c>
      <c r="P1160" s="10"/>
    </row>
    <row r="1161" ht="18" customHeight="1" spans="1:16">
      <c r="A1161" s="32" t="str">
        <f t="shared" si="67"/>
        <v/>
      </c>
      <c r="B1161" s="100" t="str">
        <f>IF($E1161="","",INDEX(资金日记账!$B$4:$B$603,126))</f>
        <v/>
      </c>
      <c r="C1161" s="26" t="str">
        <f>IF($E1161="","",IF(INDEX(资金日记账!$W$4:$W$603,126)="","记-"&amp;TEXT($B1161,"YYYYMM")&amp;"-资金",INDEX(资金日记账!$W$4:$W$603,126)))</f>
        <v/>
      </c>
      <c r="D1161" s="32" t="str">
        <f>IF($E1161="","",INDEX(资金日记账!$D$4:$D$603,126))</f>
        <v/>
      </c>
      <c r="E1161" s="26" t="str">
        <f>IF(INDEX(资金日记账!$N$4:$S$603,126,4)=0,"",INDEX(资金日记账!$N$4:$S$603,126,4))</f>
        <v/>
      </c>
      <c r="F1161" s="25" t="str">
        <f>IF($E1161="","",IFERROR(INDEX(科目表!$A$4:$A$81,MATCH($E1161,科目表!$B$4:$B$81,0)),""))</f>
        <v/>
      </c>
      <c r="G1161" s="26" t="str">
        <f>IF($E1161="","",IFERROR(INDEX(科目表!$E$4:$E$81,MATCH($E1161,科目表!$B$4:$B$81,0)),""))</f>
        <v/>
      </c>
      <c r="H1161" s="27" t="str">
        <f>IF($E1161="","",N(INDEX(资金日记账!$N$4:$S$603,126,5)))</f>
        <v/>
      </c>
      <c r="I1161" s="27" t="str">
        <f>IF($E1161="","",N(INDEX(资金日记账!$N$4:$S$603,126,6)))</f>
        <v/>
      </c>
      <c r="J1161" s="26" t="str">
        <f>IF($E1161="","",INDEX(资金日记账!$E$4:$E$603,126))</f>
        <v/>
      </c>
      <c r="K1161" s="26" t="str">
        <f>IF($E1161="","",INDEX(资金日记账!$F$4:$F$603,126))</f>
        <v/>
      </c>
      <c r="L1161" s="32" t="str">
        <f>IF($E1161="","",INDEX(资金日记账!$X$4:$X$603,126))</f>
        <v/>
      </c>
      <c r="M1161" s="32"/>
      <c r="N1161" s="26" t="str">
        <f>IF($E1161="","",INDEX(资金日记账!$Y$4:$Y$603,126))</f>
        <v/>
      </c>
      <c r="O1161" s="26" t="str">
        <f t="shared" si="66"/>
        <v/>
      </c>
      <c r="P1161" s="10"/>
    </row>
    <row r="1162" ht="18" customHeight="1" spans="1:16">
      <c r="A1162" s="32" t="str">
        <f t="shared" si="67"/>
        <v/>
      </c>
      <c r="B1162" s="100" t="str">
        <f>IF($E1162="","",INDEX(资金日记账!$B$4:$B$603,127))</f>
        <v/>
      </c>
      <c r="C1162" s="26" t="str">
        <f>IF($E1162="","",IF(INDEX(资金日记账!$W$4:$W$603,127)="","记-"&amp;TEXT($B1162,"YYYYMM")&amp;"-资金",INDEX(资金日记账!$W$4:$W$603,127)))</f>
        <v/>
      </c>
      <c r="D1162" s="32" t="str">
        <f>IF($E1162="","",INDEX(资金日记账!$D$4:$D$603,127))</f>
        <v/>
      </c>
      <c r="E1162" s="26" t="str">
        <f>IF(INDEX(资金日记账!$N$4:$S$603,127,1)=0,"",INDEX(资金日记账!$N$4:$S$603,127,1))</f>
        <v/>
      </c>
      <c r="F1162" s="25" t="str">
        <f>IF($E1162="","",IFERROR(INDEX(科目表!$A$4:$A$81,MATCH($E1162,科目表!$B$4:$B$81,0)),""))</f>
        <v/>
      </c>
      <c r="G1162" s="26" t="str">
        <f>IF($E1162="","",IFERROR(INDEX(科目表!$E$4:$E$81,MATCH($E1162,科目表!$B$4:$B$81,0)),""))</f>
        <v/>
      </c>
      <c r="H1162" s="27" t="str">
        <f>IF($E1162="","",N(INDEX(资金日记账!$N$4:$S$603,127,2)))</f>
        <v/>
      </c>
      <c r="I1162" s="27" t="str">
        <f>IF($E1162="","",N(INDEX(资金日记账!$N$4:$S$603,127,3)))</f>
        <v/>
      </c>
      <c r="J1162" s="26" t="str">
        <f>IF($E1162="","",INDEX(资金日记账!$E$4:$E$603,127))</f>
        <v/>
      </c>
      <c r="K1162" s="26" t="str">
        <f>IF($E1162="","",INDEX(资金日记账!$F$4:$F$603,127))</f>
        <v/>
      </c>
      <c r="L1162" s="32" t="str">
        <f>IF($E1162="","",INDEX(资金日记账!$X$4:$X$603,127))</f>
        <v/>
      </c>
      <c r="M1162" s="32"/>
      <c r="N1162" s="26" t="str">
        <f>IF($E1162="","",INDEX(资金日记账!$Y$4:$Y$603,127))</f>
        <v/>
      </c>
      <c r="O1162" s="26" t="str">
        <f t="shared" si="66"/>
        <v/>
      </c>
      <c r="P1162" s="10"/>
    </row>
    <row r="1163" ht="18" customHeight="1" spans="1:16">
      <c r="A1163" s="32" t="str">
        <f t="shared" si="67"/>
        <v/>
      </c>
      <c r="B1163" s="100" t="str">
        <f>IF($E1163="","",INDEX(资金日记账!$B$4:$B$603,127))</f>
        <v/>
      </c>
      <c r="C1163" s="26" t="str">
        <f>IF($E1163="","",IF(INDEX(资金日记账!$W$4:$W$603,127)="","记-"&amp;TEXT($B1163,"YYYYMM")&amp;"-资金",INDEX(资金日记账!$W$4:$W$603,127)))</f>
        <v/>
      </c>
      <c r="D1163" s="32" t="str">
        <f>IF($E1163="","",INDEX(资金日记账!$D$4:$D$603,127))</f>
        <v/>
      </c>
      <c r="E1163" s="26" t="str">
        <f>IF(INDEX(资金日记账!$N$4:$S$603,127,4)=0,"",INDEX(资金日记账!$N$4:$S$603,127,4))</f>
        <v/>
      </c>
      <c r="F1163" s="25" t="str">
        <f>IF($E1163="","",IFERROR(INDEX(科目表!$A$4:$A$81,MATCH($E1163,科目表!$B$4:$B$81,0)),""))</f>
        <v/>
      </c>
      <c r="G1163" s="26" t="str">
        <f>IF($E1163="","",IFERROR(INDEX(科目表!$E$4:$E$81,MATCH($E1163,科目表!$B$4:$B$81,0)),""))</f>
        <v/>
      </c>
      <c r="H1163" s="27" t="str">
        <f>IF($E1163="","",N(INDEX(资金日记账!$N$4:$S$603,127,5)))</f>
        <v/>
      </c>
      <c r="I1163" s="27" t="str">
        <f>IF($E1163="","",N(INDEX(资金日记账!$N$4:$S$603,127,6)))</f>
        <v/>
      </c>
      <c r="J1163" s="26" t="str">
        <f>IF($E1163="","",INDEX(资金日记账!$E$4:$E$603,127))</f>
        <v/>
      </c>
      <c r="K1163" s="26" t="str">
        <f>IF($E1163="","",INDEX(资金日记账!$F$4:$F$603,127))</f>
        <v/>
      </c>
      <c r="L1163" s="32" t="str">
        <f>IF($E1163="","",INDEX(资金日记账!$X$4:$X$603,127))</f>
        <v/>
      </c>
      <c r="M1163" s="32"/>
      <c r="N1163" s="26" t="str">
        <f>IF($E1163="","",INDEX(资金日记账!$Y$4:$Y$603,127))</f>
        <v/>
      </c>
      <c r="O1163" s="26" t="str">
        <f t="shared" si="66"/>
        <v/>
      </c>
      <c r="P1163" s="10"/>
    </row>
    <row r="1164" ht="18" customHeight="1" spans="1:16">
      <c r="A1164" s="32" t="str">
        <f t="shared" si="67"/>
        <v/>
      </c>
      <c r="B1164" s="100" t="str">
        <f>IF($E1164="","",INDEX(资金日记账!$B$4:$B$603,128))</f>
        <v/>
      </c>
      <c r="C1164" s="26" t="str">
        <f>IF($E1164="","",IF(INDEX(资金日记账!$W$4:$W$603,128)="","记-"&amp;TEXT($B1164,"YYYYMM")&amp;"-资金",INDEX(资金日记账!$W$4:$W$603,128)))</f>
        <v/>
      </c>
      <c r="D1164" s="32" t="str">
        <f>IF($E1164="","",INDEX(资金日记账!$D$4:$D$603,128))</f>
        <v/>
      </c>
      <c r="E1164" s="26" t="str">
        <f>IF(INDEX(资金日记账!$N$4:$S$603,128,1)=0,"",INDEX(资金日记账!$N$4:$S$603,128,1))</f>
        <v/>
      </c>
      <c r="F1164" s="25" t="str">
        <f>IF($E1164="","",IFERROR(INDEX(科目表!$A$4:$A$81,MATCH($E1164,科目表!$B$4:$B$81,0)),""))</f>
        <v/>
      </c>
      <c r="G1164" s="26" t="str">
        <f>IF($E1164="","",IFERROR(INDEX(科目表!$E$4:$E$81,MATCH($E1164,科目表!$B$4:$B$81,0)),""))</f>
        <v/>
      </c>
      <c r="H1164" s="27" t="str">
        <f>IF($E1164="","",N(INDEX(资金日记账!$N$4:$S$603,128,2)))</f>
        <v/>
      </c>
      <c r="I1164" s="27" t="str">
        <f>IF($E1164="","",N(INDEX(资金日记账!$N$4:$S$603,128,3)))</f>
        <v/>
      </c>
      <c r="J1164" s="26" t="str">
        <f>IF($E1164="","",INDEX(资金日记账!$E$4:$E$603,128))</f>
        <v/>
      </c>
      <c r="K1164" s="26" t="str">
        <f>IF($E1164="","",INDEX(资金日记账!$F$4:$F$603,128))</f>
        <v/>
      </c>
      <c r="L1164" s="32" t="str">
        <f>IF($E1164="","",INDEX(资金日记账!$X$4:$X$603,128))</f>
        <v/>
      </c>
      <c r="M1164" s="32"/>
      <c r="N1164" s="26" t="str">
        <f>IF($E1164="","",INDEX(资金日记账!$Y$4:$Y$603,128))</f>
        <v/>
      </c>
      <c r="O1164" s="26" t="str">
        <f t="shared" si="66"/>
        <v/>
      </c>
      <c r="P1164" s="10"/>
    </row>
    <row r="1165" ht="18" customHeight="1" spans="1:16">
      <c r="A1165" s="32" t="str">
        <f t="shared" si="67"/>
        <v/>
      </c>
      <c r="B1165" s="100" t="str">
        <f>IF($E1165="","",INDEX(资金日记账!$B$4:$B$603,128))</f>
        <v/>
      </c>
      <c r="C1165" s="26" t="str">
        <f>IF($E1165="","",IF(INDEX(资金日记账!$W$4:$W$603,128)="","记-"&amp;TEXT($B1165,"YYYYMM")&amp;"-资金",INDEX(资金日记账!$W$4:$W$603,128)))</f>
        <v/>
      </c>
      <c r="D1165" s="32" t="str">
        <f>IF($E1165="","",INDEX(资金日记账!$D$4:$D$603,128))</f>
        <v/>
      </c>
      <c r="E1165" s="26" t="str">
        <f>IF(INDEX(资金日记账!$N$4:$S$603,128,4)=0,"",INDEX(资金日记账!$N$4:$S$603,128,4))</f>
        <v/>
      </c>
      <c r="F1165" s="25" t="str">
        <f>IF($E1165="","",IFERROR(INDEX(科目表!$A$4:$A$81,MATCH($E1165,科目表!$B$4:$B$81,0)),""))</f>
        <v/>
      </c>
      <c r="G1165" s="26" t="str">
        <f>IF($E1165="","",IFERROR(INDEX(科目表!$E$4:$E$81,MATCH($E1165,科目表!$B$4:$B$81,0)),""))</f>
        <v/>
      </c>
      <c r="H1165" s="27" t="str">
        <f>IF($E1165="","",N(INDEX(资金日记账!$N$4:$S$603,128,5)))</f>
        <v/>
      </c>
      <c r="I1165" s="27" t="str">
        <f>IF($E1165="","",N(INDEX(资金日记账!$N$4:$S$603,128,6)))</f>
        <v/>
      </c>
      <c r="J1165" s="26" t="str">
        <f>IF($E1165="","",INDEX(资金日记账!$E$4:$E$603,128))</f>
        <v/>
      </c>
      <c r="K1165" s="26" t="str">
        <f>IF($E1165="","",INDEX(资金日记账!$F$4:$F$603,128))</f>
        <v/>
      </c>
      <c r="L1165" s="32" t="str">
        <f>IF($E1165="","",INDEX(资金日记账!$X$4:$X$603,128))</f>
        <v/>
      </c>
      <c r="M1165" s="32"/>
      <c r="N1165" s="26" t="str">
        <f>IF($E1165="","",INDEX(资金日记账!$Y$4:$Y$603,128))</f>
        <v/>
      </c>
      <c r="O1165" s="26" t="str">
        <f t="shared" si="66"/>
        <v/>
      </c>
      <c r="P1165" s="10"/>
    </row>
    <row r="1166" ht="18" customHeight="1" spans="1:16">
      <c r="A1166" s="32" t="str">
        <f t="shared" si="67"/>
        <v/>
      </c>
      <c r="B1166" s="100" t="str">
        <f>IF($E1166="","",INDEX(资金日记账!$B$4:$B$603,129))</f>
        <v/>
      </c>
      <c r="C1166" s="26" t="str">
        <f>IF($E1166="","",IF(INDEX(资金日记账!$W$4:$W$603,129)="","记-"&amp;TEXT($B1166,"YYYYMM")&amp;"-资金",INDEX(资金日记账!$W$4:$W$603,129)))</f>
        <v/>
      </c>
      <c r="D1166" s="32" t="str">
        <f>IF($E1166="","",INDEX(资金日记账!$D$4:$D$603,129))</f>
        <v/>
      </c>
      <c r="E1166" s="26" t="str">
        <f>IF(INDEX(资金日记账!$N$4:$S$603,129,1)=0,"",INDEX(资金日记账!$N$4:$S$603,129,1))</f>
        <v/>
      </c>
      <c r="F1166" s="25" t="str">
        <f>IF($E1166="","",IFERROR(INDEX(科目表!$A$4:$A$81,MATCH($E1166,科目表!$B$4:$B$81,0)),""))</f>
        <v/>
      </c>
      <c r="G1166" s="26" t="str">
        <f>IF($E1166="","",IFERROR(INDEX(科目表!$E$4:$E$81,MATCH($E1166,科目表!$B$4:$B$81,0)),""))</f>
        <v/>
      </c>
      <c r="H1166" s="27" t="str">
        <f>IF($E1166="","",N(INDEX(资金日记账!$N$4:$S$603,129,2)))</f>
        <v/>
      </c>
      <c r="I1166" s="27" t="str">
        <f>IF($E1166="","",N(INDEX(资金日记账!$N$4:$S$603,129,3)))</f>
        <v/>
      </c>
      <c r="J1166" s="26" t="str">
        <f>IF($E1166="","",INDEX(资金日记账!$E$4:$E$603,129))</f>
        <v/>
      </c>
      <c r="K1166" s="26" t="str">
        <f>IF($E1166="","",INDEX(资金日记账!$F$4:$F$603,129))</f>
        <v/>
      </c>
      <c r="L1166" s="32" t="str">
        <f>IF($E1166="","",INDEX(资金日记账!$X$4:$X$603,129))</f>
        <v/>
      </c>
      <c r="M1166" s="32"/>
      <c r="N1166" s="26" t="str">
        <f>IF($E1166="","",INDEX(资金日记账!$Y$4:$Y$603,129))</f>
        <v/>
      </c>
      <c r="O1166" s="26" t="str">
        <f t="shared" ref="O1166:O1229" si="68">IF($E1166="","","自动B")</f>
        <v/>
      </c>
      <c r="P1166" s="10"/>
    </row>
    <row r="1167" ht="18" customHeight="1" spans="1:16">
      <c r="A1167" s="32" t="str">
        <f t="shared" si="67"/>
        <v/>
      </c>
      <c r="B1167" s="100" t="str">
        <f>IF($E1167="","",INDEX(资金日记账!$B$4:$B$603,129))</f>
        <v/>
      </c>
      <c r="C1167" s="26" t="str">
        <f>IF($E1167="","",IF(INDEX(资金日记账!$W$4:$W$603,129)="","记-"&amp;TEXT($B1167,"YYYYMM")&amp;"-资金",INDEX(资金日记账!$W$4:$W$603,129)))</f>
        <v/>
      </c>
      <c r="D1167" s="32" t="str">
        <f>IF($E1167="","",INDEX(资金日记账!$D$4:$D$603,129))</f>
        <v/>
      </c>
      <c r="E1167" s="26" t="str">
        <f>IF(INDEX(资金日记账!$N$4:$S$603,129,4)=0,"",INDEX(资金日记账!$N$4:$S$603,129,4))</f>
        <v/>
      </c>
      <c r="F1167" s="25" t="str">
        <f>IF($E1167="","",IFERROR(INDEX(科目表!$A$4:$A$81,MATCH($E1167,科目表!$B$4:$B$81,0)),""))</f>
        <v/>
      </c>
      <c r="G1167" s="26" t="str">
        <f>IF($E1167="","",IFERROR(INDEX(科目表!$E$4:$E$81,MATCH($E1167,科目表!$B$4:$B$81,0)),""))</f>
        <v/>
      </c>
      <c r="H1167" s="27" t="str">
        <f>IF($E1167="","",N(INDEX(资金日记账!$N$4:$S$603,129,5)))</f>
        <v/>
      </c>
      <c r="I1167" s="27" t="str">
        <f>IF($E1167="","",N(INDEX(资金日记账!$N$4:$S$603,129,6)))</f>
        <v/>
      </c>
      <c r="J1167" s="26" t="str">
        <f>IF($E1167="","",INDEX(资金日记账!$E$4:$E$603,129))</f>
        <v/>
      </c>
      <c r="K1167" s="26" t="str">
        <f>IF($E1167="","",INDEX(资金日记账!$F$4:$F$603,129))</f>
        <v/>
      </c>
      <c r="L1167" s="32" t="str">
        <f>IF($E1167="","",INDEX(资金日记账!$X$4:$X$603,129))</f>
        <v/>
      </c>
      <c r="M1167" s="32"/>
      <c r="N1167" s="26" t="str">
        <f>IF($E1167="","",INDEX(资金日记账!$Y$4:$Y$603,129))</f>
        <v/>
      </c>
      <c r="O1167" s="26" t="str">
        <f t="shared" si="68"/>
        <v/>
      </c>
      <c r="P1167" s="10"/>
    </row>
    <row r="1168" ht="18" customHeight="1" spans="1:16">
      <c r="A1168" s="32" t="str">
        <f t="shared" si="67"/>
        <v/>
      </c>
      <c r="B1168" s="100" t="str">
        <f>IF($E1168="","",INDEX(资金日记账!$B$4:$B$603,130))</f>
        <v/>
      </c>
      <c r="C1168" s="26" t="str">
        <f>IF($E1168="","",IF(INDEX(资金日记账!$W$4:$W$603,130)="","记-"&amp;TEXT($B1168,"YYYYMM")&amp;"-资金",INDEX(资金日记账!$W$4:$W$603,130)))</f>
        <v/>
      </c>
      <c r="D1168" s="32" t="str">
        <f>IF($E1168="","",INDEX(资金日记账!$D$4:$D$603,130))</f>
        <v/>
      </c>
      <c r="E1168" s="26" t="str">
        <f>IF(INDEX(资金日记账!$N$4:$S$603,130,1)=0,"",INDEX(资金日记账!$N$4:$S$603,130,1))</f>
        <v/>
      </c>
      <c r="F1168" s="25" t="str">
        <f>IF($E1168="","",IFERROR(INDEX(科目表!$A$4:$A$81,MATCH($E1168,科目表!$B$4:$B$81,0)),""))</f>
        <v/>
      </c>
      <c r="G1168" s="26" t="str">
        <f>IF($E1168="","",IFERROR(INDEX(科目表!$E$4:$E$81,MATCH($E1168,科目表!$B$4:$B$81,0)),""))</f>
        <v/>
      </c>
      <c r="H1168" s="27" t="str">
        <f>IF($E1168="","",N(INDEX(资金日记账!$N$4:$S$603,130,2)))</f>
        <v/>
      </c>
      <c r="I1168" s="27" t="str">
        <f>IF($E1168="","",N(INDEX(资金日记账!$N$4:$S$603,130,3)))</f>
        <v/>
      </c>
      <c r="J1168" s="26" t="str">
        <f>IF($E1168="","",INDEX(资金日记账!$E$4:$E$603,130))</f>
        <v/>
      </c>
      <c r="K1168" s="26" t="str">
        <f>IF($E1168="","",INDEX(资金日记账!$F$4:$F$603,130))</f>
        <v/>
      </c>
      <c r="L1168" s="32" t="str">
        <f>IF($E1168="","",INDEX(资金日记账!$X$4:$X$603,130))</f>
        <v/>
      </c>
      <c r="M1168" s="32"/>
      <c r="N1168" s="26" t="str">
        <f>IF($E1168="","",INDEX(资金日记账!$Y$4:$Y$603,130))</f>
        <v/>
      </c>
      <c r="O1168" s="26" t="str">
        <f t="shared" si="68"/>
        <v/>
      </c>
      <c r="P1168" s="10"/>
    </row>
    <row r="1169" ht="18" customHeight="1" spans="1:16">
      <c r="A1169" s="32" t="str">
        <f t="shared" si="67"/>
        <v/>
      </c>
      <c r="B1169" s="100" t="str">
        <f>IF($E1169="","",INDEX(资金日记账!$B$4:$B$603,130))</f>
        <v/>
      </c>
      <c r="C1169" s="26" t="str">
        <f>IF($E1169="","",IF(INDEX(资金日记账!$W$4:$W$603,130)="","记-"&amp;TEXT($B1169,"YYYYMM")&amp;"-资金",INDEX(资金日记账!$W$4:$W$603,130)))</f>
        <v/>
      </c>
      <c r="D1169" s="32" t="str">
        <f>IF($E1169="","",INDEX(资金日记账!$D$4:$D$603,130))</f>
        <v/>
      </c>
      <c r="E1169" s="26" t="str">
        <f>IF(INDEX(资金日记账!$N$4:$S$603,130,4)=0,"",INDEX(资金日记账!$N$4:$S$603,130,4))</f>
        <v/>
      </c>
      <c r="F1169" s="25" t="str">
        <f>IF($E1169="","",IFERROR(INDEX(科目表!$A$4:$A$81,MATCH($E1169,科目表!$B$4:$B$81,0)),""))</f>
        <v/>
      </c>
      <c r="G1169" s="26" t="str">
        <f>IF($E1169="","",IFERROR(INDEX(科目表!$E$4:$E$81,MATCH($E1169,科目表!$B$4:$B$81,0)),""))</f>
        <v/>
      </c>
      <c r="H1169" s="27" t="str">
        <f>IF($E1169="","",N(INDEX(资金日记账!$N$4:$S$603,130,5)))</f>
        <v/>
      </c>
      <c r="I1169" s="27" t="str">
        <f>IF($E1169="","",N(INDEX(资金日记账!$N$4:$S$603,130,6)))</f>
        <v/>
      </c>
      <c r="J1169" s="26" t="str">
        <f>IF($E1169="","",INDEX(资金日记账!$E$4:$E$603,130))</f>
        <v/>
      </c>
      <c r="K1169" s="26" t="str">
        <f>IF($E1169="","",INDEX(资金日记账!$F$4:$F$603,130))</f>
        <v/>
      </c>
      <c r="L1169" s="32" t="str">
        <f>IF($E1169="","",INDEX(资金日记账!$X$4:$X$603,130))</f>
        <v/>
      </c>
      <c r="M1169" s="32"/>
      <c r="N1169" s="26" t="str">
        <f>IF($E1169="","",INDEX(资金日记账!$Y$4:$Y$603,130))</f>
        <v/>
      </c>
      <c r="O1169" s="26" t="str">
        <f t="shared" si="68"/>
        <v/>
      </c>
      <c r="P1169" s="10"/>
    </row>
    <row r="1170" ht="18" customHeight="1" spans="1:16">
      <c r="A1170" s="32" t="str">
        <f t="shared" si="67"/>
        <v/>
      </c>
      <c r="B1170" s="100" t="str">
        <f>IF($E1170="","",INDEX(资金日记账!$B$4:$B$603,131))</f>
        <v/>
      </c>
      <c r="C1170" s="26" t="str">
        <f>IF($E1170="","",IF(INDEX(资金日记账!$W$4:$W$603,131)="","记-"&amp;TEXT($B1170,"YYYYMM")&amp;"-资金",INDEX(资金日记账!$W$4:$W$603,131)))</f>
        <v/>
      </c>
      <c r="D1170" s="32" t="str">
        <f>IF($E1170="","",INDEX(资金日记账!$D$4:$D$603,131))</f>
        <v/>
      </c>
      <c r="E1170" s="26" t="str">
        <f>IF(INDEX(资金日记账!$N$4:$S$603,131,1)=0,"",INDEX(资金日记账!$N$4:$S$603,131,1))</f>
        <v/>
      </c>
      <c r="F1170" s="25" t="str">
        <f>IF($E1170="","",IFERROR(INDEX(科目表!$A$4:$A$81,MATCH($E1170,科目表!$B$4:$B$81,0)),""))</f>
        <v/>
      </c>
      <c r="G1170" s="26" t="str">
        <f>IF($E1170="","",IFERROR(INDEX(科目表!$E$4:$E$81,MATCH($E1170,科目表!$B$4:$B$81,0)),""))</f>
        <v/>
      </c>
      <c r="H1170" s="27" t="str">
        <f>IF($E1170="","",N(INDEX(资金日记账!$N$4:$S$603,131,2)))</f>
        <v/>
      </c>
      <c r="I1170" s="27" t="str">
        <f>IF($E1170="","",N(INDEX(资金日记账!$N$4:$S$603,131,3)))</f>
        <v/>
      </c>
      <c r="J1170" s="26" t="str">
        <f>IF($E1170="","",INDEX(资金日记账!$E$4:$E$603,131))</f>
        <v/>
      </c>
      <c r="K1170" s="26" t="str">
        <f>IF($E1170="","",INDEX(资金日记账!$F$4:$F$603,131))</f>
        <v/>
      </c>
      <c r="L1170" s="32" t="str">
        <f>IF($E1170="","",INDEX(资金日记账!$X$4:$X$603,131))</f>
        <v/>
      </c>
      <c r="M1170" s="32"/>
      <c r="N1170" s="26" t="str">
        <f>IF($E1170="","",INDEX(资金日记账!$Y$4:$Y$603,131))</f>
        <v/>
      </c>
      <c r="O1170" s="26" t="str">
        <f t="shared" si="68"/>
        <v/>
      </c>
      <c r="P1170" s="10"/>
    </row>
    <row r="1171" ht="18" customHeight="1" spans="1:16">
      <c r="A1171" s="32" t="str">
        <f t="shared" si="67"/>
        <v/>
      </c>
      <c r="B1171" s="100" t="str">
        <f>IF($E1171="","",INDEX(资金日记账!$B$4:$B$603,131))</f>
        <v/>
      </c>
      <c r="C1171" s="26" t="str">
        <f>IF($E1171="","",IF(INDEX(资金日记账!$W$4:$W$603,131)="","记-"&amp;TEXT($B1171,"YYYYMM")&amp;"-资金",INDEX(资金日记账!$W$4:$W$603,131)))</f>
        <v/>
      </c>
      <c r="D1171" s="32" t="str">
        <f>IF($E1171="","",INDEX(资金日记账!$D$4:$D$603,131))</f>
        <v/>
      </c>
      <c r="E1171" s="26" t="str">
        <f>IF(INDEX(资金日记账!$N$4:$S$603,131,4)=0,"",INDEX(资金日记账!$N$4:$S$603,131,4))</f>
        <v/>
      </c>
      <c r="F1171" s="25" t="str">
        <f>IF($E1171="","",IFERROR(INDEX(科目表!$A$4:$A$81,MATCH($E1171,科目表!$B$4:$B$81,0)),""))</f>
        <v/>
      </c>
      <c r="G1171" s="26" t="str">
        <f>IF($E1171="","",IFERROR(INDEX(科目表!$E$4:$E$81,MATCH($E1171,科目表!$B$4:$B$81,0)),""))</f>
        <v/>
      </c>
      <c r="H1171" s="27" t="str">
        <f>IF($E1171="","",N(INDEX(资金日记账!$N$4:$S$603,131,5)))</f>
        <v/>
      </c>
      <c r="I1171" s="27" t="str">
        <f>IF($E1171="","",N(INDEX(资金日记账!$N$4:$S$603,131,6)))</f>
        <v/>
      </c>
      <c r="J1171" s="26" t="str">
        <f>IF($E1171="","",INDEX(资金日记账!$E$4:$E$603,131))</f>
        <v/>
      </c>
      <c r="K1171" s="26" t="str">
        <f>IF($E1171="","",INDEX(资金日记账!$F$4:$F$603,131))</f>
        <v/>
      </c>
      <c r="L1171" s="32" t="str">
        <f>IF($E1171="","",INDEX(资金日记账!$X$4:$X$603,131))</f>
        <v/>
      </c>
      <c r="M1171" s="32"/>
      <c r="N1171" s="26" t="str">
        <f>IF($E1171="","",INDEX(资金日记账!$Y$4:$Y$603,131))</f>
        <v/>
      </c>
      <c r="O1171" s="26" t="str">
        <f t="shared" si="68"/>
        <v/>
      </c>
      <c r="P1171" s="10"/>
    </row>
    <row r="1172" ht="18" customHeight="1" spans="1:16">
      <c r="A1172" s="32" t="str">
        <f t="shared" si="67"/>
        <v/>
      </c>
      <c r="B1172" s="100" t="str">
        <f>IF($E1172="","",INDEX(资金日记账!$B$4:$B$603,132))</f>
        <v/>
      </c>
      <c r="C1172" s="26" t="str">
        <f>IF($E1172="","",IF(INDEX(资金日记账!$W$4:$W$603,132)="","记-"&amp;TEXT($B1172,"YYYYMM")&amp;"-资金",INDEX(资金日记账!$W$4:$W$603,132)))</f>
        <v/>
      </c>
      <c r="D1172" s="32" t="str">
        <f>IF($E1172="","",INDEX(资金日记账!$D$4:$D$603,132))</f>
        <v/>
      </c>
      <c r="E1172" s="26" t="str">
        <f>IF(INDEX(资金日记账!$N$4:$S$603,132,1)=0,"",INDEX(资金日记账!$N$4:$S$603,132,1))</f>
        <v/>
      </c>
      <c r="F1172" s="25" t="str">
        <f>IF($E1172="","",IFERROR(INDEX(科目表!$A$4:$A$81,MATCH($E1172,科目表!$B$4:$B$81,0)),""))</f>
        <v/>
      </c>
      <c r="G1172" s="26" t="str">
        <f>IF($E1172="","",IFERROR(INDEX(科目表!$E$4:$E$81,MATCH($E1172,科目表!$B$4:$B$81,0)),""))</f>
        <v/>
      </c>
      <c r="H1172" s="27" t="str">
        <f>IF($E1172="","",N(INDEX(资金日记账!$N$4:$S$603,132,2)))</f>
        <v/>
      </c>
      <c r="I1172" s="27" t="str">
        <f>IF($E1172="","",N(INDEX(资金日记账!$N$4:$S$603,132,3)))</f>
        <v/>
      </c>
      <c r="J1172" s="26" t="str">
        <f>IF($E1172="","",INDEX(资金日记账!$E$4:$E$603,132))</f>
        <v/>
      </c>
      <c r="K1172" s="26" t="str">
        <f>IF($E1172="","",INDEX(资金日记账!$F$4:$F$603,132))</f>
        <v/>
      </c>
      <c r="L1172" s="32" t="str">
        <f>IF($E1172="","",INDEX(资金日记账!$X$4:$X$603,132))</f>
        <v/>
      </c>
      <c r="M1172" s="32"/>
      <c r="N1172" s="26" t="str">
        <f>IF($E1172="","",INDEX(资金日记账!$Y$4:$Y$603,132))</f>
        <v/>
      </c>
      <c r="O1172" s="26" t="str">
        <f t="shared" si="68"/>
        <v/>
      </c>
      <c r="P1172" s="10"/>
    </row>
    <row r="1173" ht="18" customHeight="1" spans="1:16">
      <c r="A1173" s="32" t="str">
        <f t="shared" si="67"/>
        <v/>
      </c>
      <c r="B1173" s="100" t="str">
        <f>IF($E1173="","",INDEX(资金日记账!$B$4:$B$603,132))</f>
        <v/>
      </c>
      <c r="C1173" s="26" t="str">
        <f>IF($E1173="","",IF(INDEX(资金日记账!$W$4:$W$603,132)="","记-"&amp;TEXT($B1173,"YYYYMM")&amp;"-资金",INDEX(资金日记账!$W$4:$W$603,132)))</f>
        <v/>
      </c>
      <c r="D1173" s="32" t="str">
        <f>IF($E1173="","",INDEX(资金日记账!$D$4:$D$603,132))</f>
        <v/>
      </c>
      <c r="E1173" s="26" t="str">
        <f>IF(INDEX(资金日记账!$N$4:$S$603,132,4)=0,"",INDEX(资金日记账!$N$4:$S$603,132,4))</f>
        <v/>
      </c>
      <c r="F1173" s="25" t="str">
        <f>IF($E1173="","",IFERROR(INDEX(科目表!$A$4:$A$81,MATCH($E1173,科目表!$B$4:$B$81,0)),""))</f>
        <v/>
      </c>
      <c r="G1173" s="26" t="str">
        <f>IF($E1173="","",IFERROR(INDEX(科目表!$E$4:$E$81,MATCH($E1173,科目表!$B$4:$B$81,0)),""))</f>
        <v/>
      </c>
      <c r="H1173" s="27" t="str">
        <f>IF($E1173="","",N(INDEX(资金日记账!$N$4:$S$603,132,5)))</f>
        <v/>
      </c>
      <c r="I1173" s="27" t="str">
        <f>IF($E1173="","",N(INDEX(资金日记账!$N$4:$S$603,132,6)))</f>
        <v/>
      </c>
      <c r="J1173" s="26" t="str">
        <f>IF($E1173="","",INDEX(资金日记账!$E$4:$E$603,132))</f>
        <v/>
      </c>
      <c r="K1173" s="26" t="str">
        <f>IF($E1173="","",INDEX(资金日记账!$F$4:$F$603,132))</f>
        <v/>
      </c>
      <c r="L1173" s="32" t="str">
        <f>IF($E1173="","",INDEX(资金日记账!$X$4:$X$603,132))</f>
        <v/>
      </c>
      <c r="M1173" s="32"/>
      <c r="N1173" s="26" t="str">
        <f>IF($E1173="","",INDEX(资金日记账!$Y$4:$Y$603,132))</f>
        <v/>
      </c>
      <c r="O1173" s="26" t="str">
        <f t="shared" si="68"/>
        <v/>
      </c>
      <c r="P1173" s="10"/>
    </row>
    <row r="1174" ht="18" customHeight="1" spans="1:16">
      <c r="A1174" s="32" t="str">
        <f t="shared" si="67"/>
        <v/>
      </c>
      <c r="B1174" s="100" t="str">
        <f>IF($E1174="","",INDEX(资金日记账!$B$4:$B$603,133))</f>
        <v/>
      </c>
      <c r="C1174" s="26" t="str">
        <f>IF($E1174="","",IF(INDEX(资金日记账!$W$4:$W$603,133)="","记-"&amp;TEXT($B1174,"YYYYMM")&amp;"-资金",INDEX(资金日记账!$W$4:$W$603,133)))</f>
        <v/>
      </c>
      <c r="D1174" s="32" t="str">
        <f>IF($E1174="","",INDEX(资金日记账!$D$4:$D$603,133))</f>
        <v/>
      </c>
      <c r="E1174" s="26" t="str">
        <f>IF(INDEX(资金日记账!$N$4:$S$603,133,1)=0,"",INDEX(资金日记账!$N$4:$S$603,133,1))</f>
        <v/>
      </c>
      <c r="F1174" s="25" t="str">
        <f>IF($E1174="","",IFERROR(INDEX(科目表!$A$4:$A$81,MATCH($E1174,科目表!$B$4:$B$81,0)),""))</f>
        <v/>
      </c>
      <c r="G1174" s="26" t="str">
        <f>IF($E1174="","",IFERROR(INDEX(科目表!$E$4:$E$81,MATCH($E1174,科目表!$B$4:$B$81,0)),""))</f>
        <v/>
      </c>
      <c r="H1174" s="27" t="str">
        <f>IF($E1174="","",N(INDEX(资金日记账!$N$4:$S$603,133,2)))</f>
        <v/>
      </c>
      <c r="I1174" s="27" t="str">
        <f>IF($E1174="","",N(INDEX(资金日记账!$N$4:$S$603,133,3)))</f>
        <v/>
      </c>
      <c r="J1174" s="26" t="str">
        <f>IF($E1174="","",INDEX(资金日记账!$E$4:$E$603,133))</f>
        <v/>
      </c>
      <c r="K1174" s="26" t="str">
        <f>IF($E1174="","",INDEX(资金日记账!$F$4:$F$603,133))</f>
        <v/>
      </c>
      <c r="L1174" s="32" t="str">
        <f>IF($E1174="","",INDEX(资金日记账!$X$4:$X$603,133))</f>
        <v/>
      </c>
      <c r="M1174" s="32"/>
      <c r="N1174" s="26" t="str">
        <f>IF($E1174="","",INDEX(资金日记账!$Y$4:$Y$603,133))</f>
        <v/>
      </c>
      <c r="O1174" s="26" t="str">
        <f t="shared" si="68"/>
        <v/>
      </c>
      <c r="P1174" s="10"/>
    </row>
    <row r="1175" ht="18" customHeight="1" spans="1:16">
      <c r="A1175" s="32" t="str">
        <f t="shared" si="67"/>
        <v/>
      </c>
      <c r="B1175" s="100" t="str">
        <f>IF($E1175="","",INDEX(资金日记账!$B$4:$B$603,133))</f>
        <v/>
      </c>
      <c r="C1175" s="26" t="str">
        <f>IF($E1175="","",IF(INDEX(资金日记账!$W$4:$W$603,133)="","记-"&amp;TEXT($B1175,"YYYYMM")&amp;"-资金",INDEX(资金日记账!$W$4:$W$603,133)))</f>
        <v/>
      </c>
      <c r="D1175" s="32" t="str">
        <f>IF($E1175="","",INDEX(资金日记账!$D$4:$D$603,133))</f>
        <v/>
      </c>
      <c r="E1175" s="26" t="str">
        <f>IF(INDEX(资金日记账!$N$4:$S$603,133,4)=0,"",INDEX(资金日记账!$N$4:$S$603,133,4))</f>
        <v/>
      </c>
      <c r="F1175" s="25" t="str">
        <f>IF($E1175="","",IFERROR(INDEX(科目表!$A$4:$A$81,MATCH($E1175,科目表!$B$4:$B$81,0)),""))</f>
        <v/>
      </c>
      <c r="G1175" s="26" t="str">
        <f>IF($E1175="","",IFERROR(INDEX(科目表!$E$4:$E$81,MATCH($E1175,科目表!$B$4:$B$81,0)),""))</f>
        <v/>
      </c>
      <c r="H1175" s="27" t="str">
        <f>IF($E1175="","",N(INDEX(资金日记账!$N$4:$S$603,133,5)))</f>
        <v/>
      </c>
      <c r="I1175" s="27" t="str">
        <f>IF($E1175="","",N(INDEX(资金日记账!$N$4:$S$603,133,6)))</f>
        <v/>
      </c>
      <c r="J1175" s="26" t="str">
        <f>IF($E1175="","",INDEX(资金日记账!$E$4:$E$603,133))</f>
        <v/>
      </c>
      <c r="K1175" s="26" t="str">
        <f>IF($E1175="","",INDEX(资金日记账!$F$4:$F$603,133))</f>
        <v/>
      </c>
      <c r="L1175" s="32" t="str">
        <f>IF($E1175="","",INDEX(资金日记账!$X$4:$X$603,133))</f>
        <v/>
      </c>
      <c r="M1175" s="32"/>
      <c r="N1175" s="26" t="str">
        <f>IF($E1175="","",INDEX(资金日记账!$Y$4:$Y$603,133))</f>
        <v/>
      </c>
      <c r="O1175" s="26" t="str">
        <f t="shared" si="68"/>
        <v/>
      </c>
      <c r="P1175" s="10"/>
    </row>
    <row r="1176" ht="18" customHeight="1" spans="1:16">
      <c r="A1176" s="32" t="str">
        <f t="shared" si="67"/>
        <v/>
      </c>
      <c r="B1176" s="100" t="str">
        <f>IF($E1176="","",INDEX(资金日记账!$B$4:$B$603,134))</f>
        <v/>
      </c>
      <c r="C1176" s="26" t="str">
        <f>IF($E1176="","",IF(INDEX(资金日记账!$W$4:$W$603,134)="","记-"&amp;TEXT($B1176,"YYYYMM")&amp;"-资金",INDEX(资金日记账!$W$4:$W$603,134)))</f>
        <v/>
      </c>
      <c r="D1176" s="32" t="str">
        <f>IF($E1176="","",INDEX(资金日记账!$D$4:$D$603,134))</f>
        <v/>
      </c>
      <c r="E1176" s="26" t="str">
        <f>IF(INDEX(资金日记账!$N$4:$S$603,134,1)=0,"",INDEX(资金日记账!$N$4:$S$603,134,1))</f>
        <v/>
      </c>
      <c r="F1176" s="25" t="str">
        <f>IF($E1176="","",IFERROR(INDEX(科目表!$A$4:$A$81,MATCH($E1176,科目表!$B$4:$B$81,0)),""))</f>
        <v/>
      </c>
      <c r="G1176" s="26" t="str">
        <f>IF($E1176="","",IFERROR(INDEX(科目表!$E$4:$E$81,MATCH($E1176,科目表!$B$4:$B$81,0)),""))</f>
        <v/>
      </c>
      <c r="H1176" s="27" t="str">
        <f>IF($E1176="","",N(INDEX(资金日记账!$N$4:$S$603,134,2)))</f>
        <v/>
      </c>
      <c r="I1176" s="27" t="str">
        <f>IF($E1176="","",N(INDEX(资金日记账!$N$4:$S$603,134,3)))</f>
        <v/>
      </c>
      <c r="J1176" s="26" t="str">
        <f>IF($E1176="","",INDEX(资金日记账!$E$4:$E$603,134))</f>
        <v/>
      </c>
      <c r="K1176" s="26" t="str">
        <f>IF($E1176="","",INDEX(资金日记账!$F$4:$F$603,134))</f>
        <v/>
      </c>
      <c r="L1176" s="32" t="str">
        <f>IF($E1176="","",INDEX(资金日记账!$X$4:$X$603,134))</f>
        <v/>
      </c>
      <c r="M1176" s="32"/>
      <c r="N1176" s="26" t="str">
        <f>IF($E1176="","",INDEX(资金日记账!$Y$4:$Y$603,134))</f>
        <v/>
      </c>
      <c r="O1176" s="26" t="str">
        <f t="shared" si="68"/>
        <v/>
      </c>
      <c r="P1176" s="10"/>
    </row>
    <row r="1177" ht="18" customHeight="1" spans="1:16">
      <c r="A1177" s="32" t="str">
        <f t="shared" si="67"/>
        <v/>
      </c>
      <c r="B1177" s="100" t="str">
        <f>IF($E1177="","",INDEX(资金日记账!$B$4:$B$603,134))</f>
        <v/>
      </c>
      <c r="C1177" s="26" t="str">
        <f>IF($E1177="","",IF(INDEX(资金日记账!$W$4:$W$603,134)="","记-"&amp;TEXT($B1177,"YYYYMM")&amp;"-资金",INDEX(资金日记账!$W$4:$W$603,134)))</f>
        <v/>
      </c>
      <c r="D1177" s="32" t="str">
        <f>IF($E1177="","",INDEX(资金日记账!$D$4:$D$603,134))</f>
        <v/>
      </c>
      <c r="E1177" s="26" t="str">
        <f>IF(INDEX(资金日记账!$N$4:$S$603,134,4)=0,"",INDEX(资金日记账!$N$4:$S$603,134,4))</f>
        <v/>
      </c>
      <c r="F1177" s="25" t="str">
        <f>IF($E1177="","",IFERROR(INDEX(科目表!$A$4:$A$81,MATCH($E1177,科目表!$B$4:$B$81,0)),""))</f>
        <v/>
      </c>
      <c r="G1177" s="26" t="str">
        <f>IF($E1177="","",IFERROR(INDEX(科目表!$E$4:$E$81,MATCH($E1177,科目表!$B$4:$B$81,0)),""))</f>
        <v/>
      </c>
      <c r="H1177" s="27" t="str">
        <f>IF($E1177="","",N(INDEX(资金日记账!$N$4:$S$603,134,5)))</f>
        <v/>
      </c>
      <c r="I1177" s="27" t="str">
        <f>IF($E1177="","",N(INDEX(资金日记账!$N$4:$S$603,134,6)))</f>
        <v/>
      </c>
      <c r="J1177" s="26" t="str">
        <f>IF($E1177="","",INDEX(资金日记账!$E$4:$E$603,134))</f>
        <v/>
      </c>
      <c r="K1177" s="26" t="str">
        <f>IF($E1177="","",INDEX(资金日记账!$F$4:$F$603,134))</f>
        <v/>
      </c>
      <c r="L1177" s="32" t="str">
        <f>IF($E1177="","",INDEX(资金日记账!$X$4:$X$603,134))</f>
        <v/>
      </c>
      <c r="M1177" s="32"/>
      <c r="N1177" s="26" t="str">
        <f>IF($E1177="","",INDEX(资金日记账!$Y$4:$Y$603,134))</f>
        <v/>
      </c>
      <c r="O1177" s="26" t="str">
        <f t="shared" si="68"/>
        <v/>
      </c>
      <c r="P1177" s="10"/>
    </row>
    <row r="1178" ht="18" customHeight="1" spans="1:16">
      <c r="A1178" s="32" t="str">
        <f t="shared" si="67"/>
        <v/>
      </c>
      <c r="B1178" s="100" t="str">
        <f>IF($E1178="","",INDEX(资金日记账!$B$4:$B$603,135))</f>
        <v/>
      </c>
      <c r="C1178" s="26" t="str">
        <f>IF($E1178="","",IF(INDEX(资金日记账!$W$4:$W$603,135)="","记-"&amp;TEXT($B1178,"YYYYMM")&amp;"-资金",INDEX(资金日记账!$W$4:$W$603,135)))</f>
        <v/>
      </c>
      <c r="D1178" s="32" t="str">
        <f>IF($E1178="","",INDEX(资金日记账!$D$4:$D$603,135))</f>
        <v/>
      </c>
      <c r="E1178" s="26" t="str">
        <f>IF(INDEX(资金日记账!$N$4:$S$603,135,1)=0,"",INDEX(资金日记账!$N$4:$S$603,135,1))</f>
        <v/>
      </c>
      <c r="F1178" s="25" t="str">
        <f>IF($E1178="","",IFERROR(INDEX(科目表!$A$4:$A$81,MATCH($E1178,科目表!$B$4:$B$81,0)),""))</f>
        <v/>
      </c>
      <c r="G1178" s="26" t="str">
        <f>IF($E1178="","",IFERROR(INDEX(科目表!$E$4:$E$81,MATCH($E1178,科目表!$B$4:$B$81,0)),""))</f>
        <v/>
      </c>
      <c r="H1178" s="27" t="str">
        <f>IF($E1178="","",N(INDEX(资金日记账!$N$4:$S$603,135,2)))</f>
        <v/>
      </c>
      <c r="I1178" s="27" t="str">
        <f>IF($E1178="","",N(INDEX(资金日记账!$N$4:$S$603,135,3)))</f>
        <v/>
      </c>
      <c r="J1178" s="26" t="str">
        <f>IF($E1178="","",INDEX(资金日记账!$E$4:$E$603,135))</f>
        <v/>
      </c>
      <c r="K1178" s="26" t="str">
        <f>IF($E1178="","",INDEX(资金日记账!$F$4:$F$603,135))</f>
        <v/>
      </c>
      <c r="L1178" s="32" t="str">
        <f>IF($E1178="","",INDEX(资金日记账!$X$4:$X$603,135))</f>
        <v/>
      </c>
      <c r="M1178" s="32"/>
      <c r="N1178" s="26" t="str">
        <f>IF($E1178="","",INDEX(资金日记账!$Y$4:$Y$603,135))</f>
        <v/>
      </c>
      <c r="O1178" s="26" t="str">
        <f t="shared" si="68"/>
        <v/>
      </c>
      <c r="P1178" s="10"/>
    </row>
    <row r="1179" ht="18" customHeight="1" spans="1:16">
      <c r="A1179" s="32" t="str">
        <f t="shared" si="67"/>
        <v/>
      </c>
      <c r="B1179" s="100" t="str">
        <f>IF($E1179="","",INDEX(资金日记账!$B$4:$B$603,135))</f>
        <v/>
      </c>
      <c r="C1179" s="26" t="str">
        <f>IF($E1179="","",IF(INDEX(资金日记账!$W$4:$W$603,135)="","记-"&amp;TEXT($B1179,"YYYYMM")&amp;"-资金",INDEX(资金日记账!$W$4:$W$603,135)))</f>
        <v/>
      </c>
      <c r="D1179" s="32" t="str">
        <f>IF($E1179="","",INDEX(资金日记账!$D$4:$D$603,135))</f>
        <v/>
      </c>
      <c r="E1179" s="26" t="str">
        <f>IF(INDEX(资金日记账!$N$4:$S$603,135,4)=0,"",INDEX(资金日记账!$N$4:$S$603,135,4))</f>
        <v/>
      </c>
      <c r="F1179" s="25" t="str">
        <f>IF($E1179="","",IFERROR(INDEX(科目表!$A$4:$A$81,MATCH($E1179,科目表!$B$4:$B$81,0)),""))</f>
        <v/>
      </c>
      <c r="G1179" s="26" t="str">
        <f>IF($E1179="","",IFERROR(INDEX(科目表!$E$4:$E$81,MATCH($E1179,科目表!$B$4:$B$81,0)),""))</f>
        <v/>
      </c>
      <c r="H1179" s="27" t="str">
        <f>IF($E1179="","",N(INDEX(资金日记账!$N$4:$S$603,135,5)))</f>
        <v/>
      </c>
      <c r="I1179" s="27" t="str">
        <f>IF($E1179="","",N(INDEX(资金日记账!$N$4:$S$603,135,6)))</f>
        <v/>
      </c>
      <c r="J1179" s="26" t="str">
        <f>IF($E1179="","",INDEX(资金日记账!$E$4:$E$603,135))</f>
        <v/>
      </c>
      <c r="K1179" s="26" t="str">
        <f>IF($E1179="","",INDEX(资金日记账!$F$4:$F$603,135))</f>
        <v/>
      </c>
      <c r="L1179" s="32" t="str">
        <f>IF($E1179="","",INDEX(资金日记账!$X$4:$X$603,135))</f>
        <v/>
      </c>
      <c r="M1179" s="32"/>
      <c r="N1179" s="26" t="str">
        <f>IF($E1179="","",INDEX(资金日记账!$Y$4:$Y$603,135))</f>
        <v/>
      </c>
      <c r="O1179" s="26" t="str">
        <f t="shared" si="68"/>
        <v/>
      </c>
      <c r="P1179" s="10"/>
    </row>
    <row r="1180" ht="18" customHeight="1" spans="1:16">
      <c r="A1180" s="32" t="str">
        <f t="shared" si="67"/>
        <v/>
      </c>
      <c r="B1180" s="100" t="str">
        <f>IF($E1180="","",INDEX(资金日记账!$B$4:$B$603,136))</f>
        <v/>
      </c>
      <c r="C1180" s="26" t="str">
        <f>IF($E1180="","",IF(INDEX(资金日记账!$W$4:$W$603,136)="","记-"&amp;TEXT($B1180,"YYYYMM")&amp;"-资金",INDEX(资金日记账!$W$4:$W$603,136)))</f>
        <v/>
      </c>
      <c r="D1180" s="32" t="str">
        <f>IF($E1180="","",INDEX(资金日记账!$D$4:$D$603,136))</f>
        <v/>
      </c>
      <c r="E1180" s="26" t="str">
        <f>IF(INDEX(资金日记账!$N$4:$S$603,136,1)=0,"",INDEX(资金日记账!$N$4:$S$603,136,1))</f>
        <v/>
      </c>
      <c r="F1180" s="25" t="str">
        <f>IF($E1180="","",IFERROR(INDEX(科目表!$A$4:$A$81,MATCH($E1180,科目表!$B$4:$B$81,0)),""))</f>
        <v/>
      </c>
      <c r="G1180" s="26" t="str">
        <f>IF($E1180="","",IFERROR(INDEX(科目表!$E$4:$E$81,MATCH($E1180,科目表!$B$4:$B$81,0)),""))</f>
        <v/>
      </c>
      <c r="H1180" s="27" t="str">
        <f>IF($E1180="","",N(INDEX(资金日记账!$N$4:$S$603,136,2)))</f>
        <v/>
      </c>
      <c r="I1180" s="27" t="str">
        <f>IF($E1180="","",N(INDEX(资金日记账!$N$4:$S$603,136,3)))</f>
        <v/>
      </c>
      <c r="J1180" s="26" t="str">
        <f>IF($E1180="","",INDEX(资金日记账!$E$4:$E$603,136))</f>
        <v/>
      </c>
      <c r="K1180" s="26" t="str">
        <f>IF($E1180="","",INDEX(资金日记账!$F$4:$F$603,136))</f>
        <v/>
      </c>
      <c r="L1180" s="32" t="str">
        <f>IF($E1180="","",INDEX(资金日记账!$X$4:$X$603,136))</f>
        <v/>
      </c>
      <c r="M1180" s="32"/>
      <c r="N1180" s="26" t="str">
        <f>IF($E1180="","",INDEX(资金日记账!$Y$4:$Y$603,136))</f>
        <v/>
      </c>
      <c r="O1180" s="26" t="str">
        <f t="shared" si="68"/>
        <v/>
      </c>
      <c r="P1180" s="10"/>
    </row>
    <row r="1181" ht="18" customHeight="1" spans="1:16">
      <c r="A1181" s="32" t="str">
        <f t="shared" si="67"/>
        <v/>
      </c>
      <c r="B1181" s="100" t="str">
        <f>IF($E1181="","",INDEX(资金日记账!$B$4:$B$603,136))</f>
        <v/>
      </c>
      <c r="C1181" s="26" t="str">
        <f>IF($E1181="","",IF(INDEX(资金日记账!$W$4:$W$603,136)="","记-"&amp;TEXT($B1181,"YYYYMM")&amp;"-资金",INDEX(资金日记账!$W$4:$W$603,136)))</f>
        <v/>
      </c>
      <c r="D1181" s="32" t="str">
        <f>IF($E1181="","",INDEX(资金日记账!$D$4:$D$603,136))</f>
        <v/>
      </c>
      <c r="E1181" s="26" t="str">
        <f>IF(INDEX(资金日记账!$N$4:$S$603,136,4)=0,"",INDEX(资金日记账!$N$4:$S$603,136,4))</f>
        <v/>
      </c>
      <c r="F1181" s="25" t="str">
        <f>IF($E1181="","",IFERROR(INDEX(科目表!$A$4:$A$81,MATCH($E1181,科目表!$B$4:$B$81,0)),""))</f>
        <v/>
      </c>
      <c r="G1181" s="26" t="str">
        <f>IF($E1181="","",IFERROR(INDEX(科目表!$E$4:$E$81,MATCH($E1181,科目表!$B$4:$B$81,0)),""))</f>
        <v/>
      </c>
      <c r="H1181" s="27" t="str">
        <f>IF($E1181="","",N(INDEX(资金日记账!$N$4:$S$603,136,5)))</f>
        <v/>
      </c>
      <c r="I1181" s="27" t="str">
        <f>IF($E1181="","",N(INDEX(资金日记账!$N$4:$S$603,136,6)))</f>
        <v/>
      </c>
      <c r="J1181" s="26" t="str">
        <f>IF($E1181="","",INDEX(资金日记账!$E$4:$E$603,136))</f>
        <v/>
      </c>
      <c r="K1181" s="26" t="str">
        <f>IF($E1181="","",INDEX(资金日记账!$F$4:$F$603,136))</f>
        <v/>
      </c>
      <c r="L1181" s="32" t="str">
        <f>IF($E1181="","",INDEX(资金日记账!$X$4:$X$603,136))</f>
        <v/>
      </c>
      <c r="M1181" s="32"/>
      <c r="N1181" s="26" t="str">
        <f>IF($E1181="","",INDEX(资金日记账!$Y$4:$Y$603,136))</f>
        <v/>
      </c>
      <c r="O1181" s="26" t="str">
        <f t="shared" si="68"/>
        <v/>
      </c>
      <c r="P1181" s="10"/>
    </row>
    <row r="1182" ht="18" customHeight="1" spans="1:16">
      <c r="A1182" s="32" t="str">
        <f t="shared" si="67"/>
        <v/>
      </c>
      <c r="B1182" s="100" t="str">
        <f>IF($E1182="","",INDEX(资金日记账!$B$4:$B$603,137))</f>
        <v/>
      </c>
      <c r="C1182" s="26" t="str">
        <f>IF($E1182="","",IF(INDEX(资金日记账!$W$4:$W$603,137)="","记-"&amp;TEXT($B1182,"YYYYMM")&amp;"-资金",INDEX(资金日记账!$W$4:$W$603,137)))</f>
        <v/>
      </c>
      <c r="D1182" s="32" t="str">
        <f>IF($E1182="","",INDEX(资金日记账!$D$4:$D$603,137))</f>
        <v/>
      </c>
      <c r="E1182" s="26" t="str">
        <f>IF(INDEX(资金日记账!$N$4:$S$603,137,1)=0,"",INDEX(资金日记账!$N$4:$S$603,137,1))</f>
        <v/>
      </c>
      <c r="F1182" s="25" t="str">
        <f>IF($E1182="","",IFERROR(INDEX(科目表!$A$4:$A$81,MATCH($E1182,科目表!$B$4:$B$81,0)),""))</f>
        <v/>
      </c>
      <c r="G1182" s="26" t="str">
        <f>IF($E1182="","",IFERROR(INDEX(科目表!$E$4:$E$81,MATCH($E1182,科目表!$B$4:$B$81,0)),""))</f>
        <v/>
      </c>
      <c r="H1182" s="27" t="str">
        <f>IF($E1182="","",N(INDEX(资金日记账!$N$4:$S$603,137,2)))</f>
        <v/>
      </c>
      <c r="I1182" s="27" t="str">
        <f>IF($E1182="","",N(INDEX(资金日记账!$N$4:$S$603,137,3)))</f>
        <v/>
      </c>
      <c r="J1182" s="26" t="str">
        <f>IF($E1182="","",INDEX(资金日记账!$E$4:$E$603,137))</f>
        <v/>
      </c>
      <c r="K1182" s="26" t="str">
        <f>IF($E1182="","",INDEX(资金日记账!$F$4:$F$603,137))</f>
        <v/>
      </c>
      <c r="L1182" s="32" t="str">
        <f>IF($E1182="","",INDEX(资金日记账!$X$4:$X$603,137))</f>
        <v/>
      </c>
      <c r="M1182" s="32"/>
      <c r="N1182" s="26" t="str">
        <f>IF($E1182="","",INDEX(资金日记账!$Y$4:$Y$603,137))</f>
        <v/>
      </c>
      <c r="O1182" s="26" t="str">
        <f t="shared" si="68"/>
        <v/>
      </c>
      <c r="P1182" s="10"/>
    </row>
    <row r="1183" ht="18" customHeight="1" spans="1:16">
      <c r="A1183" s="32" t="str">
        <f t="shared" si="67"/>
        <v/>
      </c>
      <c r="B1183" s="100" t="str">
        <f>IF($E1183="","",INDEX(资金日记账!$B$4:$B$603,137))</f>
        <v/>
      </c>
      <c r="C1183" s="26" t="str">
        <f>IF($E1183="","",IF(INDEX(资金日记账!$W$4:$W$603,137)="","记-"&amp;TEXT($B1183,"YYYYMM")&amp;"-资金",INDEX(资金日记账!$W$4:$W$603,137)))</f>
        <v/>
      </c>
      <c r="D1183" s="32" t="str">
        <f>IF($E1183="","",INDEX(资金日记账!$D$4:$D$603,137))</f>
        <v/>
      </c>
      <c r="E1183" s="26" t="str">
        <f>IF(INDEX(资金日记账!$N$4:$S$603,137,4)=0,"",INDEX(资金日记账!$N$4:$S$603,137,4))</f>
        <v/>
      </c>
      <c r="F1183" s="25" t="str">
        <f>IF($E1183="","",IFERROR(INDEX(科目表!$A$4:$A$81,MATCH($E1183,科目表!$B$4:$B$81,0)),""))</f>
        <v/>
      </c>
      <c r="G1183" s="26" t="str">
        <f>IF($E1183="","",IFERROR(INDEX(科目表!$E$4:$E$81,MATCH($E1183,科目表!$B$4:$B$81,0)),""))</f>
        <v/>
      </c>
      <c r="H1183" s="27" t="str">
        <f>IF($E1183="","",N(INDEX(资金日记账!$N$4:$S$603,137,5)))</f>
        <v/>
      </c>
      <c r="I1183" s="27" t="str">
        <f>IF($E1183="","",N(INDEX(资金日记账!$N$4:$S$603,137,6)))</f>
        <v/>
      </c>
      <c r="J1183" s="26" t="str">
        <f>IF($E1183="","",INDEX(资金日记账!$E$4:$E$603,137))</f>
        <v/>
      </c>
      <c r="K1183" s="26" t="str">
        <f>IF($E1183="","",INDEX(资金日记账!$F$4:$F$603,137))</f>
        <v/>
      </c>
      <c r="L1183" s="32" t="str">
        <f>IF($E1183="","",INDEX(资金日记账!$X$4:$X$603,137))</f>
        <v/>
      </c>
      <c r="M1183" s="32"/>
      <c r="N1183" s="26" t="str">
        <f>IF($E1183="","",INDEX(资金日记账!$Y$4:$Y$603,137))</f>
        <v/>
      </c>
      <c r="O1183" s="26" t="str">
        <f t="shared" si="68"/>
        <v/>
      </c>
      <c r="P1183" s="10"/>
    </row>
    <row r="1184" ht="18" customHeight="1" spans="1:16">
      <c r="A1184" s="32" t="str">
        <f t="shared" si="67"/>
        <v/>
      </c>
      <c r="B1184" s="100" t="str">
        <f>IF($E1184="","",INDEX(资金日记账!$B$4:$B$603,138))</f>
        <v/>
      </c>
      <c r="C1184" s="26" t="str">
        <f>IF($E1184="","",IF(INDEX(资金日记账!$W$4:$W$603,138)="","记-"&amp;TEXT($B1184,"YYYYMM")&amp;"-资金",INDEX(资金日记账!$W$4:$W$603,138)))</f>
        <v/>
      </c>
      <c r="D1184" s="32" t="str">
        <f>IF($E1184="","",INDEX(资金日记账!$D$4:$D$603,138))</f>
        <v/>
      </c>
      <c r="E1184" s="26" t="str">
        <f>IF(INDEX(资金日记账!$N$4:$S$603,138,1)=0,"",INDEX(资金日记账!$N$4:$S$603,138,1))</f>
        <v/>
      </c>
      <c r="F1184" s="25" t="str">
        <f>IF($E1184="","",IFERROR(INDEX(科目表!$A$4:$A$81,MATCH($E1184,科目表!$B$4:$B$81,0)),""))</f>
        <v/>
      </c>
      <c r="G1184" s="26" t="str">
        <f>IF($E1184="","",IFERROR(INDEX(科目表!$E$4:$E$81,MATCH($E1184,科目表!$B$4:$B$81,0)),""))</f>
        <v/>
      </c>
      <c r="H1184" s="27" t="str">
        <f>IF($E1184="","",N(INDEX(资金日记账!$N$4:$S$603,138,2)))</f>
        <v/>
      </c>
      <c r="I1184" s="27" t="str">
        <f>IF($E1184="","",N(INDEX(资金日记账!$N$4:$S$603,138,3)))</f>
        <v/>
      </c>
      <c r="J1184" s="26" t="str">
        <f>IF($E1184="","",INDEX(资金日记账!$E$4:$E$603,138))</f>
        <v/>
      </c>
      <c r="K1184" s="26" t="str">
        <f>IF($E1184="","",INDEX(资金日记账!$F$4:$F$603,138))</f>
        <v/>
      </c>
      <c r="L1184" s="32" t="str">
        <f>IF($E1184="","",INDEX(资金日记账!$X$4:$X$603,138))</f>
        <v/>
      </c>
      <c r="M1184" s="32"/>
      <c r="N1184" s="26" t="str">
        <f>IF($E1184="","",INDEX(资金日记账!$Y$4:$Y$603,138))</f>
        <v/>
      </c>
      <c r="O1184" s="26" t="str">
        <f t="shared" si="68"/>
        <v/>
      </c>
      <c r="P1184" s="10"/>
    </row>
    <row r="1185" ht="18" customHeight="1" spans="1:16">
      <c r="A1185" s="32" t="str">
        <f t="shared" si="67"/>
        <v/>
      </c>
      <c r="B1185" s="100" t="str">
        <f>IF($E1185="","",INDEX(资金日记账!$B$4:$B$603,138))</f>
        <v/>
      </c>
      <c r="C1185" s="26" t="str">
        <f>IF($E1185="","",IF(INDEX(资金日记账!$W$4:$W$603,138)="","记-"&amp;TEXT($B1185,"YYYYMM")&amp;"-资金",INDEX(资金日记账!$W$4:$W$603,138)))</f>
        <v/>
      </c>
      <c r="D1185" s="32" t="str">
        <f>IF($E1185="","",INDEX(资金日记账!$D$4:$D$603,138))</f>
        <v/>
      </c>
      <c r="E1185" s="26" t="str">
        <f>IF(INDEX(资金日记账!$N$4:$S$603,138,4)=0,"",INDEX(资金日记账!$N$4:$S$603,138,4))</f>
        <v/>
      </c>
      <c r="F1185" s="25" t="str">
        <f>IF($E1185="","",IFERROR(INDEX(科目表!$A$4:$A$81,MATCH($E1185,科目表!$B$4:$B$81,0)),""))</f>
        <v/>
      </c>
      <c r="G1185" s="26" t="str">
        <f>IF($E1185="","",IFERROR(INDEX(科目表!$E$4:$E$81,MATCH($E1185,科目表!$B$4:$B$81,0)),""))</f>
        <v/>
      </c>
      <c r="H1185" s="27" t="str">
        <f>IF($E1185="","",N(INDEX(资金日记账!$N$4:$S$603,138,5)))</f>
        <v/>
      </c>
      <c r="I1185" s="27" t="str">
        <f>IF($E1185="","",N(INDEX(资金日记账!$N$4:$S$603,138,6)))</f>
        <v/>
      </c>
      <c r="J1185" s="26" t="str">
        <f>IF($E1185="","",INDEX(资金日记账!$E$4:$E$603,138))</f>
        <v/>
      </c>
      <c r="K1185" s="26" t="str">
        <f>IF($E1185="","",INDEX(资金日记账!$F$4:$F$603,138))</f>
        <v/>
      </c>
      <c r="L1185" s="32" t="str">
        <f>IF($E1185="","",INDEX(资金日记账!$X$4:$X$603,138))</f>
        <v/>
      </c>
      <c r="M1185" s="32"/>
      <c r="N1185" s="26" t="str">
        <f>IF($E1185="","",INDEX(资金日记账!$Y$4:$Y$603,138))</f>
        <v/>
      </c>
      <c r="O1185" s="26" t="str">
        <f t="shared" si="68"/>
        <v/>
      </c>
      <c r="P1185" s="10"/>
    </row>
    <row r="1186" ht="18" customHeight="1" spans="1:16">
      <c r="A1186" s="32" t="str">
        <f t="shared" si="67"/>
        <v/>
      </c>
      <c r="B1186" s="100" t="str">
        <f>IF($E1186="","",INDEX(资金日记账!$B$4:$B$603,139))</f>
        <v/>
      </c>
      <c r="C1186" s="26" t="str">
        <f>IF($E1186="","",IF(INDEX(资金日记账!$W$4:$W$603,139)="","记-"&amp;TEXT($B1186,"YYYYMM")&amp;"-资金",INDEX(资金日记账!$W$4:$W$603,139)))</f>
        <v/>
      </c>
      <c r="D1186" s="32" t="str">
        <f>IF($E1186="","",INDEX(资金日记账!$D$4:$D$603,139))</f>
        <v/>
      </c>
      <c r="E1186" s="26" t="str">
        <f>IF(INDEX(资金日记账!$N$4:$S$603,139,1)=0,"",INDEX(资金日记账!$N$4:$S$603,139,1))</f>
        <v/>
      </c>
      <c r="F1186" s="25" t="str">
        <f>IF($E1186="","",IFERROR(INDEX(科目表!$A$4:$A$81,MATCH($E1186,科目表!$B$4:$B$81,0)),""))</f>
        <v/>
      </c>
      <c r="G1186" s="26" t="str">
        <f>IF($E1186="","",IFERROR(INDEX(科目表!$E$4:$E$81,MATCH($E1186,科目表!$B$4:$B$81,0)),""))</f>
        <v/>
      </c>
      <c r="H1186" s="27" t="str">
        <f>IF($E1186="","",N(INDEX(资金日记账!$N$4:$S$603,139,2)))</f>
        <v/>
      </c>
      <c r="I1186" s="27" t="str">
        <f>IF($E1186="","",N(INDEX(资金日记账!$N$4:$S$603,139,3)))</f>
        <v/>
      </c>
      <c r="J1186" s="26" t="str">
        <f>IF($E1186="","",INDEX(资金日记账!$E$4:$E$603,139))</f>
        <v/>
      </c>
      <c r="K1186" s="26" t="str">
        <f>IF($E1186="","",INDEX(资金日记账!$F$4:$F$603,139))</f>
        <v/>
      </c>
      <c r="L1186" s="32" t="str">
        <f>IF($E1186="","",INDEX(资金日记账!$X$4:$X$603,139))</f>
        <v/>
      </c>
      <c r="M1186" s="32"/>
      <c r="N1186" s="26" t="str">
        <f>IF($E1186="","",INDEX(资金日记账!$Y$4:$Y$603,139))</f>
        <v/>
      </c>
      <c r="O1186" s="26" t="str">
        <f t="shared" si="68"/>
        <v/>
      </c>
      <c r="P1186" s="10"/>
    </row>
    <row r="1187" ht="18" customHeight="1" spans="1:16">
      <c r="A1187" s="32" t="str">
        <f t="shared" si="67"/>
        <v/>
      </c>
      <c r="B1187" s="100" t="str">
        <f>IF($E1187="","",INDEX(资金日记账!$B$4:$B$603,139))</f>
        <v/>
      </c>
      <c r="C1187" s="26" t="str">
        <f>IF($E1187="","",IF(INDEX(资金日记账!$W$4:$W$603,139)="","记-"&amp;TEXT($B1187,"YYYYMM")&amp;"-资金",INDEX(资金日记账!$W$4:$W$603,139)))</f>
        <v/>
      </c>
      <c r="D1187" s="32" t="str">
        <f>IF($E1187="","",INDEX(资金日记账!$D$4:$D$603,139))</f>
        <v/>
      </c>
      <c r="E1187" s="26" t="str">
        <f>IF(INDEX(资金日记账!$N$4:$S$603,139,4)=0,"",INDEX(资金日记账!$N$4:$S$603,139,4))</f>
        <v/>
      </c>
      <c r="F1187" s="25" t="str">
        <f>IF($E1187="","",IFERROR(INDEX(科目表!$A$4:$A$81,MATCH($E1187,科目表!$B$4:$B$81,0)),""))</f>
        <v/>
      </c>
      <c r="G1187" s="26" t="str">
        <f>IF($E1187="","",IFERROR(INDEX(科目表!$E$4:$E$81,MATCH($E1187,科目表!$B$4:$B$81,0)),""))</f>
        <v/>
      </c>
      <c r="H1187" s="27" t="str">
        <f>IF($E1187="","",N(INDEX(资金日记账!$N$4:$S$603,139,5)))</f>
        <v/>
      </c>
      <c r="I1187" s="27" t="str">
        <f>IF($E1187="","",N(INDEX(资金日记账!$N$4:$S$603,139,6)))</f>
        <v/>
      </c>
      <c r="J1187" s="26" t="str">
        <f>IF($E1187="","",INDEX(资金日记账!$E$4:$E$603,139))</f>
        <v/>
      </c>
      <c r="K1187" s="26" t="str">
        <f>IF($E1187="","",INDEX(资金日记账!$F$4:$F$603,139))</f>
        <v/>
      </c>
      <c r="L1187" s="32" t="str">
        <f>IF($E1187="","",INDEX(资金日记账!$X$4:$X$603,139))</f>
        <v/>
      </c>
      <c r="M1187" s="32"/>
      <c r="N1187" s="26" t="str">
        <f>IF($E1187="","",INDEX(资金日记账!$Y$4:$Y$603,139))</f>
        <v/>
      </c>
      <c r="O1187" s="26" t="str">
        <f t="shared" si="68"/>
        <v/>
      </c>
      <c r="P1187" s="10"/>
    </row>
    <row r="1188" ht="18" customHeight="1" spans="1:16">
      <c r="A1188" s="32" t="str">
        <f t="shared" si="67"/>
        <v/>
      </c>
      <c r="B1188" s="100" t="str">
        <f>IF($E1188="","",INDEX(资金日记账!$B$4:$B$603,140))</f>
        <v/>
      </c>
      <c r="C1188" s="26" t="str">
        <f>IF($E1188="","",IF(INDEX(资金日记账!$W$4:$W$603,140)="","记-"&amp;TEXT($B1188,"YYYYMM")&amp;"-资金",INDEX(资金日记账!$W$4:$W$603,140)))</f>
        <v/>
      </c>
      <c r="D1188" s="32" t="str">
        <f>IF($E1188="","",INDEX(资金日记账!$D$4:$D$603,140))</f>
        <v/>
      </c>
      <c r="E1188" s="26" t="str">
        <f>IF(INDEX(资金日记账!$N$4:$S$603,140,1)=0,"",INDEX(资金日记账!$N$4:$S$603,140,1))</f>
        <v/>
      </c>
      <c r="F1188" s="25" t="str">
        <f>IF($E1188="","",IFERROR(INDEX(科目表!$A$4:$A$81,MATCH($E1188,科目表!$B$4:$B$81,0)),""))</f>
        <v/>
      </c>
      <c r="G1188" s="26" t="str">
        <f>IF($E1188="","",IFERROR(INDEX(科目表!$E$4:$E$81,MATCH($E1188,科目表!$B$4:$B$81,0)),""))</f>
        <v/>
      </c>
      <c r="H1188" s="27" t="str">
        <f>IF($E1188="","",N(INDEX(资金日记账!$N$4:$S$603,140,2)))</f>
        <v/>
      </c>
      <c r="I1188" s="27" t="str">
        <f>IF($E1188="","",N(INDEX(资金日记账!$N$4:$S$603,140,3)))</f>
        <v/>
      </c>
      <c r="J1188" s="26" t="str">
        <f>IF($E1188="","",INDEX(资金日记账!$E$4:$E$603,140))</f>
        <v/>
      </c>
      <c r="K1188" s="26" t="str">
        <f>IF($E1188="","",INDEX(资金日记账!$F$4:$F$603,140))</f>
        <v/>
      </c>
      <c r="L1188" s="32" t="str">
        <f>IF($E1188="","",INDEX(资金日记账!$X$4:$X$603,140))</f>
        <v/>
      </c>
      <c r="M1188" s="32"/>
      <c r="N1188" s="26" t="str">
        <f>IF($E1188="","",INDEX(资金日记账!$Y$4:$Y$603,140))</f>
        <v/>
      </c>
      <c r="O1188" s="26" t="str">
        <f t="shared" si="68"/>
        <v/>
      </c>
      <c r="P1188" s="10"/>
    </row>
    <row r="1189" ht="18" customHeight="1" spans="1:16">
      <c r="A1189" s="32" t="str">
        <f t="shared" si="67"/>
        <v/>
      </c>
      <c r="B1189" s="100" t="str">
        <f>IF($E1189="","",INDEX(资金日记账!$B$4:$B$603,140))</f>
        <v/>
      </c>
      <c r="C1189" s="26" t="str">
        <f>IF($E1189="","",IF(INDEX(资金日记账!$W$4:$W$603,140)="","记-"&amp;TEXT($B1189,"YYYYMM")&amp;"-资金",INDEX(资金日记账!$W$4:$W$603,140)))</f>
        <v/>
      </c>
      <c r="D1189" s="32" t="str">
        <f>IF($E1189="","",INDEX(资金日记账!$D$4:$D$603,140))</f>
        <v/>
      </c>
      <c r="E1189" s="26" t="str">
        <f>IF(INDEX(资金日记账!$N$4:$S$603,140,4)=0,"",INDEX(资金日记账!$N$4:$S$603,140,4))</f>
        <v/>
      </c>
      <c r="F1189" s="25" t="str">
        <f>IF($E1189="","",IFERROR(INDEX(科目表!$A$4:$A$81,MATCH($E1189,科目表!$B$4:$B$81,0)),""))</f>
        <v/>
      </c>
      <c r="G1189" s="26" t="str">
        <f>IF($E1189="","",IFERROR(INDEX(科目表!$E$4:$E$81,MATCH($E1189,科目表!$B$4:$B$81,0)),""))</f>
        <v/>
      </c>
      <c r="H1189" s="27" t="str">
        <f>IF($E1189="","",N(INDEX(资金日记账!$N$4:$S$603,140,5)))</f>
        <v/>
      </c>
      <c r="I1189" s="27" t="str">
        <f>IF($E1189="","",N(INDEX(资金日记账!$N$4:$S$603,140,6)))</f>
        <v/>
      </c>
      <c r="J1189" s="26" t="str">
        <f>IF($E1189="","",INDEX(资金日记账!$E$4:$E$603,140))</f>
        <v/>
      </c>
      <c r="K1189" s="26" t="str">
        <f>IF($E1189="","",INDEX(资金日记账!$F$4:$F$603,140))</f>
        <v/>
      </c>
      <c r="L1189" s="32" t="str">
        <f>IF($E1189="","",INDEX(资金日记账!$X$4:$X$603,140))</f>
        <v/>
      </c>
      <c r="M1189" s="32"/>
      <c r="N1189" s="26" t="str">
        <f>IF($E1189="","",INDEX(资金日记账!$Y$4:$Y$603,140))</f>
        <v/>
      </c>
      <c r="O1189" s="26" t="str">
        <f t="shared" si="68"/>
        <v/>
      </c>
      <c r="P1189" s="10"/>
    </row>
    <row r="1190" ht="18" customHeight="1" spans="1:16">
      <c r="A1190" s="32" t="str">
        <f t="shared" si="67"/>
        <v/>
      </c>
      <c r="B1190" s="100" t="str">
        <f>IF($E1190="","",INDEX(资金日记账!$B$4:$B$603,141))</f>
        <v/>
      </c>
      <c r="C1190" s="26" t="str">
        <f>IF($E1190="","",IF(INDEX(资金日记账!$W$4:$W$603,141)="","记-"&amp;TEXT($B1190,"YYYYMM")&amp;"-资金",INDEX(资金日记账!$W$4:$W$603,141)))</f>
        <v/>
      </c>
      <c r="D1190" s="32" t="str">
        <f>IF($E1190="","",INDEX(资金日记账!$D$4:$D$603,141))</f>
        <v/>
      </c>
      <c r="E1190" s="26" t="str">
        <f>IF(INDEX(资金日记账!$N$4:$S$603,141,1)=0,"",INDEX(资金日记账!$N$4:$S$603,141,1))</f>
        <v/>
      </c>
      <c r="F1190" s="25" t="str">
        <f>IF($E1190="","",IFERROR(INDEX(科目表!$A$4:$A$81,MATCH($E1190,科目表!$B$4:$B$81,0)),""))</f>
        <v/>
      </c>
      <c r="G1190" s="26" t="str">
        <f>IF($E1190="","",IFERROR(INDEX(科目表!$E$4:$E$81,MATCH($E1190,科目表!$B$4:$B$81,0)),""))</f>
        <v/>
      </c>
      <c r="H1190" s="27" t="str">
        <f>IF($E1190="","",N(INDEX(资金日记账!$N$4:$S$603,141,2)))</f>
        <v/>
      </c>
      <c r="I1190" s="27" t="str">
        <f>IF($E1190="","",N(INDEX(资金日记账!$N$4:$S$603,141,3)))</f>
        <v/>
      </c>
      <c r="J1190" s="26" t="str">
        <f>IF($E1190="","",INDEX(资金日记账!$E$4:$E$603,141))</f>
        <v/>
      </c>
      <c r="K1190" s="26" t="str">
        <f>IF($E1190="","",INDEX(资金日记账!$F$4:$F$603,141))</f>
        <v/>
      </c>
      <c r="L1190" s="32" t="str">
        <f>IF($E1190="","",INDEX(资金日记账!$X$4:$X$603,141))</f>
        <v/>
      </c>
      <c r="M1190" s="32"/>
      <c r="N1190" s="26" t="str">
        <f>IF($E1190="","",INDEX(资金日记账!$Y$4:$Y$603,141))</f>
        <v/>
      </c>
      <c r="O1190" s="26" t="str">
        <f t="shared" si="68"/>
        <v/>
      </c>
      <c r="P1190" s="10"/>
    </row>
    <row r="1191" ht="18" customHeight="1" spans="1:16">
      <c r="A1191" s="32" t="str">
        <f t="shared" si="67"/>
        <v/>
      </c>
      <c r="B1191" s="100" t="str">
        <f>IF($E1191="","",INDEX(资金日记账!$B$4:$B$603,141))</f>
        <v/>
      </c>
      <c r="C1191" s="26" t="str">
        <f>IF($E1191="","",IF(INDEX(资金日记账!$W$4:$W$603,141)="","记-"&amp;TEXT($B1191,"YYYYMM")&amp;"-资金",INDEX(资金日记账!$W$4:$W$603,141)))</f>
        <v/>
      </c>
      <c r="D1191" s="32" t="str">
        <f>IF($E1191="","",INDEX(资金日记账!$D$4:$D$603,141))</f>
        <v/>
      </c>
      <c r="E1191" s="26" t="str">
        <f>IF(INDEX(资金日记账!$N$4:$S$603,141,4)=0,"",INDEX(资金日记账!$N$4:$S$603,141,4))</f>
        <v/>
      </c>
      <c r="F1191" s="25" t="str">
        <f>IF($E1191="","",IFERROR(INDEX(科目表!$A$4:$A$81,MATCH($E1191,科目表!$B$4:$B$81,0)),""))</f>
        <v/>
      </c>
      <c r="G1191" s="26" t="str">
        <f>IF($E1191="","",IFERROR(INDEX(科目表!$E$4:$E$81,MATCH($E1191,科目表!$B$4:$B$81,0)),""))</f>
        <v/>
      </c>
      <c r="H1191" s="27" t="str">
        <f>IF($E1191="","",N(INDEX(资金日记账!$N$4:$S$603,141,5)))</f>
        <v/>
      </c>
      <c r="I1191" s="27" t="str">
        <f>IF($E1191="","",N(INDEX(资金日记账!$N$4:$S$603,141,6)))</f>
        <v/>
      </c>
      <c r="J1191" s="26" t="str">
        <f>IF($E1191="","",INDEX(资金日记账!$E$4:$E$603,141))</f>
        <v/>
      </c>
      <c r="K1191" s="26" t="str">
        <f>IF($E1191="","",INDEX(资金日记账!$F$4:$F$603,141))</f>
        <v/>
      </c>
      <c r="L1191" s="32" t="str">
        <f>IF($E1191="","",INDEX(资金日记账!$X$4:$X$603,141))</f>
        <v/>
      </c>
      <c r="M1191" s="32"/>
      <c r="N1191" s="26" t="str">
        <f>IF($E1191="","",INDEX(资金日记账!$Y$4:$Y$603,141))</f>
        <v/>
      </c>
      <c r="O1191" s="26" t="str">
        <f t="shared" si="68"/>
        <v/>
      </c>
      <c r="P1191" s="10"/>
    </row>
    <row r="1192" ht="18" customHeight="1" spans="1:16">
      <c r="A1192" s="32" t="str">
        <f t="shared" si="67"/>
        <v/>
      </c>
      <c r="B1192" s="100" t="str">
        <f>IF($E1192="","",INDEX(资金日记账!$B$4:$B$603,142))</f>
        <v/>
      </c>
      <c r="C1192" s="26" t="str">
        <f>IF($E1192="","",IF(INDEX(资金日记账!$W$4:$W$603,142)="","记-"&amp;TEXT($B1192,"YYYYMM")&amp;"-资金",INDEX(资金日记账!$W$4:$W$603,142)))</f>
        <v/>
      </c>
      <c r="D1192" s="32" t="str">
        <f>IF($E1192="","",INDEX(资金日记账!$D$4:$D$603,142))</f>
        <v/>
      </c>
      <c r="E1192" s="26" t="str">
        <f>IF(INDEX(资金日记账!$N$4:$S$603,142,1)=0,"",INDEX(资金日记账!$N$4:$S$603,142,1))</f>
        <v/>
      </c>
      <c r="F1192" s="25" t="str">
        <f>IF($E1192="","",IFERROR(INDEX(科目表!$A$4:$A$81,MATCH($E1192,科目表!$B$4:$B$81,0)),""))</f>
        <v/>
      </c>
      <c r="G1192" s="26" t="str">
        <f>IF($E1192="","",IFERROR(INDEX(科目表!$E$4:$E$81,MATCH($E1192,科目表!$B$4:$B$81,0)),""))</f>
        <v/>
      </c>
      <c r="H1192" s="27" t="str">
        <f>IF($E1192="","",N(INDEX(资金日记账!$N$4:$S$603,142,2)))</f>
        <v/>
      </c>
      <c r="I1192" s="27" t="str">
        <f>IF($E1192="","",N(INDEX(资金日记账!$N$4:$S$603,142,3)))</f>
        <v/>
      </c>
      <c r="J1192" s="26" t="str">
        <f>IF($E1192="","",INDEX(资金日记账!$E$4:$E$603,142))</f>
        <v/>
      </c>
      <c r="K1192" s="26" t="str">
        <f>IF($E1192="","",INDEX(资金日记账!$F$4:$F$603,142))</f>
        <v/>
      </c>
      <c r="L1192" s="32" t="str">
        <f>IF($E1192="","",INDEX(资金日记账!$X$4:$X$603,142))</f>
        <v/>
      </c>
      <c r="M1192" s="32"/>
      <c r="N1192" s="26" t="str">
        <f>IF($E1192="","",INDEX(资金日记账!$Y$4:$Y$603,142))</f>
        <v/>
      </c>
      <c r="O1192" s="26" t="str">
        <f t="shared" si="68"/>
        <v/>
      </c>
      <c r="P1192" s="10"/>
    </row>
    <row r="1193" ht="18" customHeight="1" spans="1:16">
      <c r="A1193" s="32" t="str">
        <f t="shared" si="67"/>
        <v/>
      </c>
      <c r="B1193" s="100" t="str">
        <f>IF($E1193="","",INDEX(资金日记账!$B$4:$B$603,142))</f>
        <v/>
      </c>
      <c r="C1193" s="26" t="str">
        <f>IF($E1193="","",IF(INDEX(资金日记账!$W$4:$W$603,142)="","记-"&amp;TEXT($B1193,"YYYYMM")&amp;"-资金",INDEX(资金日记账!$W$4:$W$603,142)))</f>
        <v/>
      </c>
      <c r="D1193" s="32" t="str">
        <f>IF($E1193="","",INDEX(资金日记账!$D$4:$D$603,142))</f>
        <v/>
      </c>
      <c r="E1193" s="26" t="str">
        <f>IF(INDEX(资金日记账!$N$4:$S$603,142,4)=0,"",INDEX(资金日记账!$N$4:$S$603,142,4))</f>
        <v/>
      </c>
      <c r="F1193" s="25" t="str">
        <f>IF($E1193="","",IFERROR(INDEX(科目表!$A$4:$A$81,MATCH($E1193,科目表!$B$4:$B$81,0)),""))</f>
        <v/>
      </c>
      <c r="G1193" s="26" t="str">
        <f>IF($E1193="","",IFERROR(INDEX(科目表!$E$4:$E$81,MATCH($E1193,科目表!$B$4:$B$81,0)),""))</f>
        <v/>
      </c>
      <c r="H1193" s="27" t="str">
        <f>IF($E1193="","",N(INDEX(资金日记账!$N$4:$S$603,142,5)))</f>
        <v/>
      </c>
      <c r="I1193" s="27" t="str">
        <f>IF($E1193="","",N(INDEX(资金日记账!$N$4:$S$603,142,6)))</f>
        <v/>
      </c>
      <c r="J1193" s="26" t="str">
        <f>IF($E1193="","",INDEX(资金日记账!$E$4:$E$603,142))</f>
        <v/>
      </c>
      <c r="K1193" s="26" t="str">
        <f>IF($E1193="","",INDEX(资金日记账!$F$4:$F$603,142))</f>
        <v/>
      </c>
      <c r="L1193" s="32" t="str">
        <f>IF($E1193="","",INDEX(资金日记账!$X$4:$X$603,142))</f>
        <v/>
      </c>
      <c r="M1193" s="32"/>
      <c r="N1193" s="26" t="str">
        <f>IF($E1193="","",INDEX(资金日记账!$Y$4:$Y$603,142))</f>
        <v/>
      </c>
      <c r="O1193" s="26" t="str">
        <f t="shared" si="68"/>
        <v/>
      </c>
      <c r="P1193" s="10"/>
    </row>
    <row r="1194" ht="18" customHeight="1" spans="1:16">
      <c r="A1194" s="32" t="str">
        <f t="shared" si="67"/>
        <v/>
      </c>
      <c r="B1194" s="100" t="str">
        <f>IF($E1194="","",INDEX(资金日记账!$B$4:$B$603,143))</f>
        <v/>
      </c>
      <c r="C1194" s="26" t="str">
        <f>IF($E1194="","",IF(INDEX(资金日记账!$W$4:$W$603,143)="","记-"&amp;TEXT($B1194,"YYYYMM")&amp;"-资金",INDEX(资金日记账!$W$4:$W$603,143)))</f>
        <v/>
      </c>
      <c r="D1194" s="32" t="str">
        <f>IF($E1194="","",INDEX(资金日记账!$D$4:$D$603,143))</f>
        <v/>
      </c>
      <c r="E1194" s="26" t="str">
        <f>IF(INDEX(资金日记账!$N$4:$S$603,143,1)=0,"",INDEX(资金日记账!$N$4:$S$603,143,1))</f>
        <v/>
      </c>
      <c r="F1194" s="25" t="str">
        <f>IF($E1194="","",IFERROR(INDEX(科目表!$A$4:$A$81,MATCH($E1194,科目表!$B$4:$B$81,0)),""))</f>
        <v/>
      </c>
      <c r="G1194" s="26" t="str">
        <f>IF($E1194="","",IFERROR(INDEX(科目表!$E$4:$E$81,MATCH($E1194,科目表!$B$4:$B$81,0)),""))</f>
        <v/>
      </c>
      <c r="H1194" s="27" t="str">
        <f>IF($E1194="","",N(INDEX(资金日记账!$N$4:$S$603,143,2)))</f>
        <v/>
      </c>
      <c r="I1194" s="27" t="str">
        <f>IF($E1194="","",N(INDEX(资金日记账!$N$4:$S$603,143,3)))</f>
        <v/>
      </c>
      <c r="J1194" s="26" t="str">
        <f>IF($E1194="","",INDEX(资金日记账!$E$4:$E$603,143))</f>
        <v/>
      </c>
      <c r="K1194" s="26" t="str">
        <f>IF($E1194="","",INDEX(资金日记账!$F$4:$F$603,143))</f>
        <v/>
      </c>
      <c r="L1194" s="32" t="str">
        <f>IF($E1194="","",INDEX(资金日记账!$X$4:$X$603,143))</f>
        <v/>
      </c>
      <c r="M1194" s="32"/>
      <c r="N1194" s="26" t="str">
        <f>IF($E1194="","",INDEX(资金日记账!$Y$4:$Y$603,143))</f>
        <v/>
      </c>
      <c r="O1194" s="26" t="str">
        <f t="shared" si="68"/>
        <v/>
      </c>
      <c r="P1194" s="10"/>
    </row>
    <row r="1195" ht="18" customHeight="1" spans="1:16">
      <c r="A1195" s="32" t="str">
        <f t="shared" si="67"/>
        <v/>
      </c>
      <c r="B1195" s="100" t="str">
        <f>IF($E1195="","",INDEX(资金日记账!$B$4:$B$603,143))</f>
        <v/>
      </c>
      <c r="C1195" s="26" t="str">
        <f>IF($E1195="","",IF(INDEX(资金日记账!$W$4:$W$603,143)="","记-"&amp;TEXT($B1195,"YYYYMM")&amp;"-资金",INDEX(资金日记账!$W$4:$W$603,143)))</f>
        <v/>
      </c>
      <c r="D1195" s="32" t="str">
        <f>IF($E1195="","",INDEX(资金日记账!$D$4:$D$603,143))</f>
        <v/>
      </c>
      <c r="E1195" s="26" t="str">
        <f>IF(INDEX(资金日记账!$N$4:$S$603,143,4)=0,"",INDEX(资金日记账!$N$4:$S$603,143,4))</f>
        <v/>
      </c>
      <c r="F1195" s="25" t="str">
        <f>IF($E1195="","",IFERROR(INDEX(科目表!$A$4:$A$81,MATCH($E1195,科目表!$B$4:$B$81,0)),""))</f>
        <v/>
      </c>
      <c r="G1195" s="26" t="str">
        <f>IF($E1195="","",IFERROR(INDEX(科目表!$E$4:$E$81,MATCH($E1195,科目表!$B$4:$B$81,0)),""))</f>
        <v/>
      </c>
      <c r="H1195" s="27" t="str">
        <f>IF($E1195="","",N(INDEX(资金日记账!$N$4:$S$603,143,5)))</f>
        <v/>
      </c>
      <c r="I1195" s="27" t="str">
        <f>IF($E1195="","",N(INDEX(资金日记账!$N$4:$S$603,143,6)))</f>
        <v/>
      </c>
      <c r="J1195" s="26" t="str">
        <f>IF($E1195="","",INDEX(资金日记账!$E$4:$E$603,143))</f>
        <v/>
      </c>
      <c r="K1195" s="26" t="str">
        <f>IF($E1195="","",INDEX(资金日记账!$F$4:$F$603,143))</f>
        <v/>
      </c>
      <c r="L1195" s="32" t="str">
        <f>IF($E1195="","",INDEX(资金日记账!$X$4:$X$603,143))</f>
        <v/>
      </c>
      <c r="M1195" s="32"/>
      <c r="N1195" s="26" t="str">
        <f>IF($E1195="","",INDEX(资金日记账!$Y$4:$Y$603,143))</f>
        <v/>
      </c>
      <c r="O1195" s="26" t="str">
        <f t="shared" si="68"/>
        <v/>
      </c>
      <c r="P1195" s="10"/>
    </row>
    <row r="1196" ht="18" customHeight="1" spans="1:16">
      <c r="A1196" s="32" t="str">
        <f t="shared" si="67"/>
        <v/>
      </c>
      <c r="B1196" s="100" t="str">
        <f>IF($E1196="","",INDEX(资金日记账!$B$4:$B$603,144))</f>
        <v/>
      </c>
      <c r="C1196" s="26" t="str">
        <f>IF($E1196="","",IF(INDEX(资金日记账!$W$4:$W$603,144)="","记-"&amp;TEXT($B1196,"YYYYMM")&amp;"-资金",INDEX(资金日记账!$W$4:$W$603,144)))</f>
        <v/>
      </c>
      <c r="D1196" s="32" t="str">
        <f>IF($E1196="","",INDEX(资金日记账!$D$4:$D$603,144))</f>
        <v/>
      </c>
      <c r="E1196" s="26" t="str">
        <f>IF(INDEX(资金日记账!$N$4:$S$603,144,1)=0,"",INDEX(资金日记账!$N$4:$S$603,144,1))</f>
        <v/>
      </c>
      <c r="F1196" s="25" t="str">
        <f>IF($E1196="","",IFERROR(INDEX(科目表!$A$4:$A$81,MATCH($E1196,科目表!$B$4:$B$81,0)),""))</f>
        <v/>
      </c>
      <c r="G1196" s="26" t="str">
        <f>IF($E1196="","",IFERROR(INDEX(科目表!$E$4:$E$81,MATCH($E1196,科目表!$B$4:$B$81,0)),""))</f>
        <v/>
      </c>
      <c r="H1196" s="27" t="str">
        <f>IF($E1196="","",N(INDEX(资金日记账!$N$4:$S$603,144,2)))</f>
        <v/>
      </c>
      <c r="I1196" s="27" t="str">
        <f>IF($E1196="","",N(INDEX(资金日记账!$N$4:$S$603,144,3)))</f>
        <v/>
      </c>
      <c r="J1196" s="26" t="str">
        <f>IF($E1196="","",INDEX(资金日记账!$E$4:$E$603,144))</f>
        <v/>
      </c>
      <c r="K1196" s="26" t="str">
        <f>IF($E1196="","",INDEX(资金日记账!$F$4:$F$603,144))</f>
        <v/>
      </c>
      <c r="L1196" s="32" t="str">
        <f>IF($E1196="","",INDEX(资金日记账!$X$4:$X$603,144))</f>
        <v/>
      </c>
      <c r="M1196" s="32"/>
      <c r="N1196" s="26" t="str">
        <f>IF($E1196="","",INDEX(资金日记账!$Y$4:$Y$603,144))</f>
        <v/>
      </c>
      <c r="O1196" s="26" t="str">
        <f t="shared" si="68"/>
        <v/>
      </c>
      <c r="P1196" s="10"/>
    </row>
    <row r="1197" ht="18" customHeight="1" spans="1:16">
      <c r="A1197" s="32" t="str">
        <f t="shared" si="67"/>
        <v/>
      </c>
      <c r="B1197" s="100" t="str">
        <f>IF($E1197="","",INDEX(资金日记账!$B$4:$B$603,144))</f>
        <v/>
      </c>
      <c r="C1197" s="26" t="str">
        <f>IF($E1197="","",IF(INDEX(资金日记账!$W$4:$W$603,144)="","记-"&amp;TEXT($B1197,"YYYYMM")&amp;"-资金",INDEX(资金日记账!$W$4:$W$603,144)))</f>
        <v/>
      </c>
      <c r="D1197" s="32" t="str">
        <f>IF($E1197="","",INDEX(资金日记账!$D$4:$D$603,144))</f>
        <v/>
      </c>
      <c r="E1197" s="26" t="str">
        <f>IF(INDEX(资金日记账!$N$4:$S$603,144,4)=0,"",INDEX(资金日记账!$N$4:$S$603,144,4))</f>
        <v/>
      </c>
      <c r="F1197" s="25" t="str">
        <f>IF($E1197="","",IFERROR(INDEX(科目表!$A$4:$A$81,MATCH($E1197,科目表!$B$4:$B$81,0)),""))</f>
        <v/>
      </c>
      <c r="G1197" s="26" t="str">
        <f>IF($E1197="","",IFERROR(INDEX(科目表!$E$4:$E$81,MATCH($E1197,科目表!$B$4:$B$81,0)),""))</f>
        <v/>
      </c>
      <c r="H1197" s="27" t="str">
        <f>IF($E1197="","",N(INDEX(资金日记账!$N$4:$S$603,144,5)))</f>
        <v/>
      </c>
      <c r="I1197" s="27" t="str">
        <f>IF($E1197="","",N(INDEX(资金日记账!$N$4:$S$603,144,6)))</f>
        <v/>
      </c>
      <c r="J1197" s="26" t="str">
        <f>IF($E1197="","",INDEX(资金日记账!$E$4:$E$603,144))</f>
        <v/>
      </c>
      <c r="K1197" s="26" t="str">
        <f>IF($E1197="","",INDEX(资金日记账!$F$4:$F$603,144))</f>
        <v/>
      </c>
      <c r="L1197" s="32" t="str">
        <f>IF($E1197="","",INDEX(资金日记账!$X$4:$X$603,144))</f>
        <v/>
      </c>
      <c r="M1197" s="32"/>
      <c r="N1197" s="26" t="str">
        <f>IF($E1197="","",INDEX(资金日记账!$Y$4:$Y$603,144))</f>
        <v/>
      </c>
      <c r="O1197" s="26" t="str">
        <f t="shared" si="68"/>
        <v/>
      </c>
      <c r="P1197" s="10"/>
    </row>
    <row r="1198" ht="18" customHeight="1" spans="1:16">
      <c r="A1198" s="32" t="str">
        <f t="shared" si="67"/>
        <v/>
      </c>
      <c r="B1198" s="100" t="str">
        <f>IF($E1198="","",INDEX(资金日记账!$B$4:$B$603,145))</f>
        <v/>
      </c>
      <c r="C1198" s="26" t="str">
        <f>IF($E1198="","",IF(INDEX(资金日记账!$W$4:$W$603,145)="","记-"&amp;TEXT($B1198,"YYYYMM")&amp;"-资金",INDEX(资金日记账!$W$4:$W$603,145)))</f>
        <v/>
      </c>
      <c r="D1198" s="32" t="str">
        <f>IF($E1198="","",INDEX(资金日记账!$D$4:$D$603,145))</f>
        <v/>
      </c>
      <c r="E1198" s="26" t="str">
        <f>IF(INDEX(资金日记账!$N$4:$S$603,145,1)=0,"",INDEX(资金日记账!$N$4:$S$603,145,1))</f>
        <v/>
      </c>
      <c r="F1198" s="25" t="str">
        <f>IF($E1198="","",IFERROR(INDEX(科目表!$A$4:$A$81,MATCH($E1198,科目表!$B$4:$B$81,0)),""))</f>
        <v/>
      </c>
      <c r="G1198" s="26" t="str">
        <f>IF($E1198="","",IFERROR(INDEX(科目表!$E$4:$E$81,MATCH($E1198,科目表!$B$4:$B$81,0)),""))</f>
        <v/>
      </c>
      <c r="H1198" s="27" t="str">
        <f>IF($E1198="","",N(INDEX(资金日记账!$N$4:$S$603,145,2)))</f>
        <v/>
      </c>
      <c r="I1198" s="27" t="str">
        <f>IF($E1198="","",N(INDEX(资金日记账!$N$4:$S$603,145,3)))</f>
        <v/>
      </c>
      <c r="J1198" s="26" t="str">
        <f>IF($E1198="","",INDEX(资金日记账!$E$4:$E$603,145))</f>
        <v/>
      </c>
      <c r="K1198" s="26" t="str">
        <f>IF($E1198="","",INDEX(资金日记账!$F$4:$F$603,145))</f>
        <v/>
      </c>
      <c r="L1198" s="32" t="str">
        <f>IF($E1198="","",INDEX(资金日记账!$X$4:$X$603,145))</f>
        <v/>
      </c>
      <c r="M1198" s="32"/>
      <c r="N1198" s="26" t="str">
        <f>IF($E1198="","",INDEX(资金日记账!$Y$4:$Y$603,145))</f>
        <v/>
      </c>
      <c r="O1198" s="26" t="str">
        <f t="shared" si="68"/>
        <v/>
      </c>
      <c r="P1198" s="10"/>
    </row>
    <row r="1199" ht="18" customHeight="1" spans="1:16">
      <c r="A1199" s="32" t="str">
        <f t="shared" si="67"/>
        <v/>
      </c>
      <c r="B1199" s="100" t="str">
        <f>IF($E1199="","",INDEX(资金日记账!$B$4:$B$603,145))</f>
        <v/>
      </c>
      <c r="C1199" s="26" t="str">
        <f>IF($E1199="","",IF(INDEX(资金日记账!$W$4:$W$603,145)="","记-"&amp;TEXT($B1199,"YYYYMM")&amp;"-资金",INDEX(资金日记账!$W$4:$W$603,145)))</f>
        <v/>
      </c>
      <c r="D1199" s="32" t="str">
        <f>IF($E1199="","",INDEX(资金日记账!$D$4:$D$603,145))</f>
        <v/>
      </c>
      <c r="E1199" s="26" t="str">
        <f>IF(INDEX(资金日记账!$N$4:$S$603,145,4)=0,"",INDEX(资金日记账!$N$4:$S$603,145,4))</f>
        <v/>
      </c>
      <c r="F1199" s="25" t="str">
        <f>IF($E1199="","",IFERROR(INDEX(科目表!$A$4:$A$81,MATCH($E1199,科目表!$B$4:$B$81,0)),""))</f>
        <v/>
      </c>
      <c r="G1199" s="26" t="str">
        <f>IF($E1199="","",IFERROR(INDEX(科目表!$E$4:$E$81,MATCH($E1199,科目表!$B$4:$B$81,0)),""))</f>
        <v/>
      </c>
      <c r="H1199" s="27" t="str">
        <f>IF($E1199="","",N(INDEX(资金日记账!$N$4:$S$603,145,5)))</f>
        <v/>
      </c>
      <c r="I1199" s="27" t="str">
        <f>IF($E1199="","",N(INDEX(资金日记账!$N$4:$S$603,145,6)))</f>
        <v/>
      </c>
      <c r="J1199" s="26" t="str">
        <f>IF($E1199="","",INDEX(资金日记账!$E$4:$E$603,145))</f>
        <v/>
      </c>
      <c r="K1199" s="26" t="str">
        <f>IF($E1199="","",INDEX(资金日记账!$F$4:$F$603,145))</f>
        <v/>
      </c>
      <c r="L1199" s="32" t="str">
        <f>IF($E1199="","",INDEX(资金日记账!$X$4:$X$603,145))</f>
        <v/>
      </c>
      <c r="M1199" s="32"/>
      <c r="N1199" s="26" t="str">
        <f>IF($E1199="","",INDEX(资金日记账!$Y$4:$Y$603,145))</f>
        <v/>
      </c>
      <c r="O1199" s="26" t="str">
        <f t="shared" si="68"/>
        <v/>
      </c>
      <c r="P1199" s="10"/>
    </row>
    <row r="1200" ht="18" customHeight="1" spans="1:16">
      <c r="A1200" s="32" t="str">
        <f t="shared" si="67"/>
        <v/>
      </c>
      <c r="B1200" s="100" t="str">
        <f>IF($E1200="","",INDEX(资金日记账!$B$4:$B$603,146))</f>
        <v/>
      </c>
      <c r="C1200" s="26" t="str">
        <f>IF($E1200="","",IF(INDEX(资金日记账!$W$4:$W$603,146)="","记-"&amp;TEXT($B1200,"YYYYMM")&amp;"-资金",INDEX(资金日记账!$W$4:$W$603,146)))</f>
        <v/>
      </c>
      <c r="D1200" s="32" t="str">
        <f>IF($E1200="","",INDEX(资金日记账!$D$4:$D$603,146))</f>
        <v/>
      </c>
      <c r="E1200" s="26" t="str">
        <f>IF(INDEX(资金日记账!$N$4:$S$603,146,1)=0,"",INDEX(资金日记账!$N$4:$S$603,146,1))</f>
        <v/>
      </c>
      <c r="F1200" s="25" t="str">
        <f>IF($E1200="","",IFERROR(INDEX(科目表!$A$4:$A$81,MATCH($E1200,科目表!$B$4:$B$81,0)),""))</f>
        <v/>
      </c>
      <c r="G1200" s="26" t="str">
        <f>IF($E1200="","",IFERROR(INDEX(科目表!$E$4:$E$81,MATCH($E1200,科目表!$B$4:$B$81,0)),""))</f>
        <v/>
      </c>
      <c r="H1200" s="27" t="str">
        <f>IF($E1200="","",N(INDEX(资金日记账!$N$4:$S$603,146,2)))</f>
        <v/>
      </c>
      <c r="I1200" s="27" t="str">
        <f>IF($E1200="","",N(INDEX(资金日记账!$N$4:$S$603,146,3)))</f>
        <v/>
      </c>
      <c r="J1200" s="26" t="str">
        <f>IF($E1200="","",INDEX(资金日记账!$E$4:$E$603,146))</f>
        <v/>
      </c>
      <c r="K1200" s="26" t="str">
        <f>IF($E1200="","",INDEX(资金日记账!$F$4:$F$603,146))</f>
        <v/>
      </c>
      <c r="L1200" s="32" t="str">
        <f>IF($E1200="","",INDEX(资金日记账!$X$4:$X$603,146))</f>
        <v/>
      </c>
      <c r="M1200" s="32"/>
      <c r="N1200" s="26" t="str">
        <f>IF($E1200="","",INDEX(资金日记账!$Y$4:$Y$603,146))</f>
        <v/>
      </c>
      <c r="O1200" s="26" t="str">
        <f t="shared" si="68"/>
        <v/>
      </c>
      <c r="P1200" s="10"/>
    </row>
    <row r="1201" ht="18" customHeight="1" spans="1:16">
      <c r="A1201" s="32" t="str">
        <f t="shared" si="67"/>
        <v/>
      </c>
      <c r="B1201" s="100" t="str">
        <f>IF($E1201="","",INDEX(资金日记账!$B$4:$B$603,146))</f>
        <v/>
      </c>
      <c r="C1201" s="26" t="str">
        <f>IF($E1201="","",IF(INDEX(资金日记账!$W$4:$W$603,146)="","记-"&amp;TEXT($B1201,"YYYYMM")&amp;"-资金",INDEX(资金日记账!$W$4:$W$603,146)))</f>
        <v/>
      </c>
      <c r="D1201" s="32" t="str">
        <f>IF($E1201="","",INDEX(资金日记账!$D$4:$D$603,146))</f>
        <v/>
      </c>
      <c r="E1201" s="26" t="str">
        <f>IF(INDEX(资金日记账!$N$4:$S$603,146,4)=0,"",INDEX(资金日记账!$N$4:$S$603,146,4))</f>
        <v/>
      </c>
      <c r="F1201" s="25" t="str">
        <f>IF($E1201="","",IFERROR(INDEX(科目表!$A$4:$A$81,MATCH($E1201,科目表!$B$4:$B$81,0)),""))</f>
        <v/>
      </c>
      <c r="G1201" s="26" t="str">
        <f>IF($E1201="","",IFERROR(INDEX(科目表!$E$4:$E$81,MATCH($E1201,科目表!$B$4:$B$81,0)),""))</f>
        <v/>
      </c>
      <c r="H1201" s="27" t="str">
        <f>IF($E1201="","",N(INDEX(资金日记账!$N$4:$S$603,146,5)))</f>
        <v/>
      </c>
      <c r="I1201" s="27" t="str">
        <f>IF($E1201="","",N(INDEX(资金日记账!$N$4:$S$603,146,6)))</f>
        <v/>
      </c>
      <c r="J1201" s="26" t="str">
        <f>IF($E1201="","",INDEX(资金日记账!$E$4:$E$603,146))</f>
        <v/>
      </c>
      <c r="K1201" s="26" t="str">
        <f>IF($E1201="","",INDEX(资金日记账!$F$4:$F$603,146))</f>
        <v/>
      </c>
      <c r="L1201" s="32" t="str">
        <f>IF($E1201="","",INDEX(资金日记账!$X$4:$X$603,146))</f>
        <v/>
      </c>
      <c r="M1201" s="32"/>
      <c r="N1201" s="26" t="str">
        <f>IF($E1201="","",INDEX(资金日记账!$Y$4:$Y$603,146))</f>
        <v/>
      </c>
      <c r="O1201" s="26" t="str">
        <f t="shared" si="68"/>
        <v/>
      </c>
      <c r="P1201" s="10"/>
    </row>
    <row r="1202" ht="18" customHeight="1" spans="1:16">
      <c r="A1202" s="32" t="str">
        <f t="shared" si="67"/>
        <v/>
      </c>
      <c r="B1202" s="100" t="str">
        <f>IF($E1202="","",INDEX(资金日记账!$B$4:$B$603,147))</f>
        <v/>
      </c>
      <c r="C1202" s="26" t="str">
        <f>IF($E1202="","",IF(INDEX(资金日记账!$W$4:$W$603,147)="","记-"&amp;TEXT($B1202,"YYYYMM")&amp;"-资金",INDEX(资金日记账!$W$4:$W$603,147)))</f>
        <v/>
      </c>
      <c r="D1202" s="32" t="str">
        <f>IF($E1202="","",INDEX(资金日记账!$D$4:$D$603,147))</f>
        <v/>
      </c>
      <c r="E1202" s="26" t="str">
        <f>IF(INDEX(资金日记账!$N$4:$S$603,147,1)=0,"",INDEX(资金日记账!$N$4:$S$603,147,1))</f>
        <v/>
      </c>
      <c r="F1202" s="25" t="str">
        <f>IF($E1202="","",IFERROR(INDEX(科目表!$A$4:$A$81,MATCH($E1202,科目表!$B$4:$B$81,0)),""))</f>
        <v/>
      </c>
      <c r="G1202" s="26" t="str">
        <f>IF($E1202="","",IFERROR(INDEX(科目表!$E$4:$E$81,MATCH($E1202,科目表!$B$4:$B$81,0)),""))</f>
        <v/>
      </c>
      <c r="H1202" s="27" t="str">
        <f>IF($E1202="","",N(INDEX(资金日记账!$N$4:$S$603,147,2)))</f>
        <v/>
      </c>
      <c r="I1202" s="27" t="str">
        <f>IF($E1202="","",N(INDEX(资金日记账!$N$4:$S$603,147,3)))</f>
        <v/>
      </c>
      <c r="J1202" s="26" t="str">
        <f>IF($E1202="","",INDEX(资金日记账!$E$4:$E$603,147))</f>
        <v/>
      </c>
      <c r="K1202" s="26" t="str">
        <f>IF($E1202="","",INDEX(资金日记账!$F$4:$F$603,147))</f>
        <v/>
      </c>
      <c r="L1202" s="32" t="str">
        <f>IF($E1202="","",INDEX(资金日记账!$X$4:$X$603,147))</f>
        <v/>
      </c>
      <c r="M1202" s="32"/>
      <c r="N1202" s="26" t="str">
        <f>IF($E1202="","",INDEX(资金日记账!$Y$4:$Y$603,147))</f>
        <v/>
      </c>
      <c r="O1202" s="26" t="str">
        <f t="shared" si="68"/>
        <v/>
      </c>
      <c r="P1202" s="10"/>
    </row>
    <row r="1203" ht="18" customHeight="1" spans="1:16">
      <c r="A1203" s="32" t="str">
        <f t="shared" si="67"/>
        <v/>
      </c>
      <c r="B1203" s="100" t="str">
        <f>IF($E1203="","",INDEX(资金日记账!$B$4:$B$603,147))</f>
        <v/>
      </c>
      <c r="C1203" s="26" t="str">
        <f>IF($E1203="","",IF(INDEX(资金日记账!$W$4:$W$603,147)="","记-"&amp;TEXT($B1203,"YYYYMM")&amp;"-资金",INDEX(资金日记账!$W$4:$W$603,147)))</f>
        <v/>
      </c>
      <c r="D1203" s="32" t="str">
        <f>IF($E1203="","",INDEX(资金日记账!$D$4:$D$603,147))</f>
        <v/>
      </c>
      <c r="E1203" s="26" t="str">
        <f>IF(INDEX(资金日记账!$N$4:$S$603,147,4)=0,"",INDEX(资金日记账!$N$4:$S$603,147,4))</f>
        <v/>
      </c>
      <c r="F1203" s="25" t="str">
        <f>IF($E1203="","",IFERROR(INDEX(科目表!$A$4:$A$81,MATCH($E1203,科目表!$B$4:$B$81,0)),""))</f>
        <v/>
      </c>
      <c r="G1203" s="26" t="str">
        <f>IF($E1203="","",IFERROR(INDEX(科目表!$E$4:$E$81,MATCH($E1203,科目表!$B$4:$B$81,0)),""))</f>
        <v/>
      </c>
      <c r="H1203" s="27" t="str">
        <f>IF($E1203="","",N(INDEX(资金日记账!$N$4:$S$603,147,5)))</f>
        <v/>
      </c>
      <c r="I1203" s="27" t="str">
        <f>IF($E1203="","",N(INDEX(资金日记账!$N$4:$S$603,147,6)))</f>
        <v/>
      </c>
      <c r="J1203" s="26" t="str">
        <f>IF($E1203="","",INDEX(资金日记账!$E$4:$E$603,147))</f>
        <v/>
      </c>
      <c r="K1203" s="26" t="str">
        <f>IF($E1203="","",INDEX(资金日记账!$F$4:$F$603,147))</f>
        <v/>
      </c>
      <c r="L1203" s="32" t="str">
        <f>IF($E1203="","",INDEX(资金日记账!$X$4:$X$603,147))</f>
        <v/>
      </c>
      <c r="M1203" s="32"/>
      <c r="N1203" s="26" t="str">
        <f>IF($E1203="","",INDEX(资金日记账!$Y$4:$Y$603,147))</f>
        <v/>
      </c>
      <c r="O1203" s="26" t="str">
        <f t="shared" si="68"/>
        <v/>
      </c>
      <c r="P1203" s="10"/>
    </row>
    <row r="1204" ht="18" customHeight="1" spans="1:16">
      <c r="A1204" s="32" t="str">
        <f t="shared" si="67"/>
        <v/>
      </c>
      <c r="B1204" s="100" t="str">
        <f>IF($E1204="","",INDEX(资金日记账!$B$4:$B$603,148))</f>
        <v/>
      </c>
      <c r="C1204" s="26" t="str">
        <f>IF($E1204="","",IF(INDEX(资金日记账!$W$4:$W$603,148)="","记-"&amp;TEXT($B1204,"YYYYMM")&amp;"-资金",INDEX(资金日记账!$W$4:$W$603,148)))</f>
        <v/>
      </c>
      <c r="D1204" s="32" t="str">
        <f>IF($E1204="","",INDEX(资金日记账!$D$4:$D$603,148))</f>
        <v/>
      </c>
      <c r="E1204" s="26" t="str">
        <f>IF(INDEX(资金日记账!$N$4:$S$603,148,1)=0,"",INDEX(资金日记账!$N$4:$S$603,148,1))</f>
        <v/>
      </c>
      <c r="F1204" s="25" t="str">
        <f>IF($E1204="","",IFERROR(INDEX(科目表!$A$4:$A$81,MATCH($E1204,科目表!$B$4:$B$81,0)),""))</f>
        <v/>
      </c>
      <c r="G1204" s="26" t="str">
        <f>IF($E1204="","",IFERROR(INDEX(科目表!$E$4:$E$81,MATCH($E1204,科目表!$B$4:$B$81,0)),""))</f>
        <v/>
      </c>
      <c r="H1204" s="27" t="str">
        <f>IF($E1204="","",N(INDEX(资金日记账!$N$4:$S$603,148,2)))</f>
        <v/>
      </c>
      <c r="I1204" s="27" t="str">
        <f>IF($E1204="","",N(INDEX(资金日记账!$N$4:$S$603,148,3)))</f>
        <v/>
      </c>
      <c r="J1204" s="26" t="str">
        <f>IF($E1204="","",INDEX(资金日记账!$E$4:$E$603,148))</f>
        <v/>
      </c>
      <c r="K1204" s="26" t="str">
        <f>IF($E1204="","",INDEX(资金日记账!$F$4:$F$603,148))</f>
        <v/>
      </c>
      <c r="L1204" s="32" t="str">
        <f>IF($E1204="","",INDEX(资金日记账!$X$4:$X$603,148))</f>
        <v/>
      </c>
      <c r="M1204" s="32"/>
      <c r="N1204" s="26" t="str">
        <f>IF($E1204="","",INDEX(资金日记账!$Y$4:$Y$603,148))</f>
        <v/>
      </c>
      <c r="O1204" s="26" t="str">
        <f t="shared" si="68"/>
        <v/>
      </c>
      <c r="P1204" s="10"/>
    </row>
    <row r="1205" ht="18" customHeight="1" spans="1:16">
      <c r="A1205" s="32" t="str">
        <f t="shared" si="67"/>
        <v/>
      </c>
      <c r="B1205" s="100" t="str">
        <f>IF($E1205="","",INDEX(资金日记账!$B$4:$B$603,148))</f>
        <v/>
      </c>
      <c r="C1205" s="26" t="str">
        <f>IF($E1205="","",IF(INDEX(资金日记账!$W$4:$W$603,148)="","记-"&amp;TEXT($B1205,"YYYYMM")&amp;"-资金",INDEX(资金日记账!$W$4:$W$603,148)))</f>
        <v/>
      </c>
      <c r="D1205" s="32" t="str">
        <f>IF($E1205="","",INDEX(资金日记账!$D$4:$D$603,148))</f>
        <v/>
      </c>
      <c r="E1205" s="26" t="str">
        <f>IF(INDEX(资金日记账!$N$4:$S$603,148,4)=0,"",INDEX(资金日记账!$N$4:$S$603,148,4))</f>
        <v/>
      </c>
      <c r="F1205" s="25" t="str">
        <f>IF($E1205="","",IFERROR(INDEX(科目表!$A$4:$A$81,MATCH($E1205,科目表!$B$4:$B$81,0)),""))</f>
        <v/>
      </c>
      <c r="G1205" s="26" t="str">
        <f>IF($E1205="","",IFERROR(INDEX(科目表!$E$4:$E$81,MATCH($E1205,科目表!$B$4:$B$81,0)),""))</f>
        <v/>
      </c>
      <c r="H1205" s="27" t="str">
        <f>IF($E1205="","",N(INDEX(资金日记账!$N$4:$S$603,148,5)))</f>
        <v/>
      </c>
      <c r="I1205" s="27" t="str">
        <f>IF($E1205="","",N(INDEX(资金日记账!$N$4:$S$603,148,6)))</f>
        <v/>
      </c>
      <c r="J1205" s="26" t="str">
        <f>IF($E1205="","",INDEX(资金日记账!$E$4:$E$603,148))</f>
        <v/>
      </c>
      <c r="K1205" s="26" t="str">
        <f>IF($E1205="","",INDEX(资金日记账!$F$4:$F$603,148))</f>
        <v/>
      </c>
      <c r="L1205" s="32" t="str">
        <f>IF($E1205="","",INDEX(资金日记账!$X$4:$X$603,148))</f>
        <v/>
      </c>
      <c r="M1205" s="32"/>
      <c r="N1205" s="26" t="str">
        <f>IF($E1205="","",INDEX(资金日记账!$Y$4:$Y$603,148))</f>
        <v/>
      </c>
      <c r="O1205" s="26" t="str">
        <f t="shared" si="68"/>
        <v/>
      </c>
      <c r="P1205" s="10"/>
    </row>
    <row r="1206" ht="18" customHeight="1" spans="1:16">
      <c r="A1206" s="32" t="str">
        <f t="shared" si="67"/>
        <v/>
      </c>
      <c r="B1206" s="100" t="str">
        <f>IF($E1206="","",INDEX(资金日记账!$B$4:$B$603,149))</f>
        <v/>
      </c>
      <c r="C1206" s="26" t="str">
        <f>IF($E1206="","",IF(INDEX(资金日记账!$W$4:$W$603,149)="","记-"&amp;TEXT($B1206,"YYYYMM")&amp;"-资金",INDEX(资金日记账!$W$4:$W$603,149)))</f>
        <v/>
      </c>
      <c r="D1206" s="32" t="str">
        <f>IF($E1206="","",INDEX(资金日记账!$D$4:$D$603,149))</f>
        <v/>
      </c>
      <c r="E1206" s="26" t="str">
        <f>IF(INDEX(资金日记账!$N$4:$S$603,149,1)=0,"",INDEX(资金日记账!$N$4:$S$603,149,1))</f>
        <v/>
      </c>
      <c r="F1206" s="25" t="str">
        <f>IF($E1206="","",IFERROR(INDEX(科目表!$A$4:$A$81,MATCH($E1206,科目表!$B$4:$B$81,0)),""))</f>
        <v/>
      </c>
      <c r="G1206" s="26" t="str">
        <f>IF($E1206="","",IFERROR(INDEX(科目表!$E$4:$E$81,MATCH($E1206,科目表!$B$4:$B$81,0)),""))</f>
        <v/>
      </c>
      <c r="H1206" s="27" t="str">
        <f>IF($E1206="","",N(INDEX(资金日记账!$N$4:$S$603,149,2)))</f>
        <v/>
      </c>
      <c r="I1206" s="27" t="str">
        <f>IF($E1206="","",N(INDEX(资金日记账!$N$4:$S$603,149,3)))</f>
        <v/>
      </c>
      <c r="J1206" s="26" t="str">
        <f>IF($E1206="","",INDEX(资金日记账!$E$4:$E$603,149))</f>
        <v/>
      </c>
      <c r="K1206" s="26" t="str">
        <f>IF($E1206="","",INDEX(资金日记账!$F$4:$F$603,149))</f>
        <v/>
      </c>
      <c r="L1206" s="32" t="str">
        <f>IF($E1206="","",INDEX(资金日记账!$X$4:$X$603,149))</f>
        <v/>
      </c>
      <c r="M1206" s="32"/>
      <c r="N1206" s="26" t="str">
        <f>IF($E1206="","",INDEX(资金日记账!$Y$4:$Y$603,149))</f>
        <v/>
      </c>
      <c r="O1206" s="26" t="str">
        <f t="shared" si="68"/>
        <v/>
      </c>
      <c r="P1206" s="10"/>
    </row>
    <row r="1207" ht="18" customHeight="1" spans="1:16">
      <c r="A1207" s="32" t="str">
        <f t="shared" si="67"/>
        <v/>
      </c>
      <c r="B1207" s="100" t="str">
        <f>IF($E1207="","",INDEX(资金日记账!$B$4:$B$603,149))</f>
        <v/>
      </c>
      <c r="C1207" s="26" t="str">
        <f>IF($E1207="","",IF(INDEX(资金日记账!$W$4:$W$603,149)="","记-"&amp;TEXT($B1207,"YYYYMM")&amp;"-资金",INDEX(资金日记账!$W$4:$W$603,149)))</f>
        <v/>
      </c>
      <c r="D1207" s="32" t="str">
        <f>IF($E1207="","",INDEX(资金日记账!$D$4:$D$603,149))</f>
        <v/>
      </c>
      <c r="E1207" s="26" t="str">
        <f>IF(INDEX(资金日记账!$N$4:$S$603,149,4)=0,"",INDEX(资金日记账!$N$4:$S$603,149,4))</f>
        <v/>
      </c>
      <c r="F1207" s="25" t="str">
        <f>IF($E1207="","",IFERROR(INDEX(科目表!$A$4:$A$81,MATCH($E1207,科目表!$B$4:$B$81,0)),""))</f>
        <v/>
      </c>
      <c r="G1207" s="26" t="str">
        <f>IF($E1207="","",IFERROR(INDEX(科目表!$E$4:$E$81,MATCH($E1207,科目表!$B$4:$B$81,0)),""))</f>
        <v/>
      </c>
      <c r="H1207" s="27" t="str">
        <f>IF($E1207="","",N(INDEX(资金日记账!$N$4:$S$603,149,5)))</f>
        <v/>
      </c>
      <c r="I1207" s="27" t="str">
        <f>IF($E1207="","",N(INDEX(资金日记账!$N$4:$S$603,149,6)))</f>
        <v/>
      </c>
      <c r="J1207" s="26" t="str">
        <f>IF($E1207="","",INDEX(资金日记账!$E$4:$E$603,149))</f>
        <v/>
      </c>
      <c r="K1207" s="26" t="str">
        <f>IF($E1207="","",INDEX(资金日记账!$F$4:$F$603,149))</f>
        <v/>
      </c>
      <c r="L1207" s="32" t="str">
        <f>IF($E1207="","",INDEX(资金日记账!$X$4:$X$603,149))</f>
        <v/>
      </c>
      <c r="M1207" s="32"/>
      <c r="N1207" s="26" t="str">
        <f>IF($E1207="","",INDEX(资金日记账!$Y$4:$Y$603,149))</f>
        <v/>
      </c>
      <c r="O1207" s="26" t="str">
        <f t="shared" si="68"/>
        <v/>
      </c>
      <c r="P1207" s="10"/>
    </row>
    <row r="1208" ht="18" customHeight="1" spans="1:16">
      <c r="A1208" s="32" t="str">
        <f t="shared" si="67"/>
        <v/>
      </c>
      <c r="B1208" s="100" t="str">
        <f>IF($E1208="","",INDEX(资金日记账!$B$4:$B$603,150))</f>
        <v/>
      </c>
      <c r="C1208" s="26" t="str">
        <f>IF($E1208="","",IF(INDEX(资金日记账!$W$4:$W$603,150)="","记-"&amp;TEXT($B1208,"YYYYMM")&amp;"-资金",INDEX(资金日记账!$W$4:$W$603,150)))</f>
        <v/>
      </c>
      <c r="D1208" s="32" t="str">
        <f>IF($E1208="","",INDEX(资金日记账!$D$4:$D$603,150))</f>
        <v/>
      </c>
      <c r="E1208" s="26" t="str">
        <f>IF(INDEX(资金日记账!$N$4:$S$603,150,1)=0,"",INDEX(资金日记账!$N$4:$S$603,150,1))</f>
        <v/>
      </c>
      <c r="F1208" s="25" t="str">
        <f>IF($E1208="","",IFERROR(INDEX(科目表!$A$4:$A$81,MATCH($E1208,科目表!$B$4:$B$81,0)),""))</f>
        <v/>
      </c>
      <c r="G1208" s="26" t="str">
        <f>IF($E1208="","",IFERROR(INDEX(科目表!$E$4:$E$81,MATCH($E1208,科目表!$B$4:$B$81,0)),""))</f>
        <v/>
      </c>
      <c r="H1208" s="27" t="str">
        <f>IF($E1208="","",N(INDEX(资金日记账!$N$4:$S$603,150,2)))</f>
        <v/>
      </c>
      <c r="I1208" s="27" t="str">
        <f>IF($E1208="","",N(INDEX(资金日记账!$N$4:$S$603,150,3)))</f>
        <v/>
      </c>
      <c r="J1208" s="26" t="str">
        <f>IF($E1208="","",INDEX(资金日记账!$E$4:$E$603,150))</f>
        <v/>
      </c>
      <c r="K1208" s="26" t="str">
        <f>IF($E1208="","",INDEX(资金日记账!$F$4:$F$603,150))</f>
        <v/>
      </c>
      <c r="L1208" s="32" t="str">
        <f>IF($E1208="","",INDEX(资金日记账!$X$4:$X$603,150))</f>
        <v/>
      </c>
      <c r="M1208" s="32"/>
      <c r="N1208" s="26" t="str">
        <f>IF($E1208="","",INDEX(资金日记账!$Y$4:$Y$603,150))</f>
        <v/>
      </c>
      <c r="O1208" s="26" t="str">
        <f t="shared" si="68"/>
        <v/>
      </c>
      <c r="P1208" s="10"/>
    </row>
    <row r="1209" ht="18" customHeight="1" spans="1:16">
      <c r="A1209" s="32" t="str">
        <f t="shared" si="67"/>
        <v/>
      </c>
      <c r="B1209" s="100" t="str">
        <f>IF($E1209="","",INDEX(资金日记账!$B$4:$B$603,150))</f>
        <v/>
      </c>
      <c r="C1209" s="26" t="str">
        <f>IF($E1209="","",IF(INDEX(资金日记账!$W$4:$W$603,150)="","记-"&amp;TEXT($B1209,"YYYYMM")&amp;"-资金",INDEX(资金日记账!$W$4:$W$603,150)))</f>
        <v/>
      </c>
      <c r="D1209" s="32" t="str">
        <f>IF($E1209="","",INDEX(资金日记账!$D$4:$D$603,150))</f>
        <v/>
      </c>
      <c r="E1209" s="26" t="str">
        <f>IF(INDEX(资金日记账!$N$4:$S$603,150,4)=0,"",INDEX(资金日记账!$N$4:$S$603,150,4))</f>
        <v/>
      </c>
      <c r="F1209" s="25" t="str">
        <f>IF($E1209="","",IFERROR(INDEX(科目表!$A$4:$A$81,MATCH($E1209,科目表!$B$4:$B$81,0)),""))</f>
        <v/>
      </c>
      <c r="G1209" s="26" t="str">
        <f>IF($E1209="","",IFERROR(INDEX(科目表!$E$4:$E$81,MATCH($E1209,科目表!$B$4:$B$81,0)),""))</f>
        <v/>
      </c>
      <c r="H1209" s="27" t="str">
        <f>IF($E1209="","",N(INDEX(资金日记账!$N$4:$S$603,150,5)))</f>
        <v/>
      </c>
      <c r="I1209" s="27" t="str">
        <f>IF($E1209="","",N(INDEX(资金日记账!$N$4:$S$603,150,6)))</f>
        <v/>
      </c>
      <c r="J1209" s="26" t="str">
        <f>IF($E1209="","",INDEX(资金日记账!$E$4:$E$603,150))</f>
        <v/>
      </c>
      <c r="K1209" s="26" t="str">
        <f>IF($E1209="","",INDEX(资金日记账!$F$4:$F$603,150))</f>
        <v/>
      </c>
      <c r="L1209" s="32" t="str">
        <f>IF($E1209="","",INDEX(资金日记账!$X$4:$X$603,150))</f>
        <v/>
      </c>
      <c r="M1209" s="32"/>
      <c r="N1209" s="26" t="str">
        <f>IF($E1209="","",INDEX(资金日记账!$Y$4:$Y$603,150))</f>
        <v/>
      </c>
      <c r="O1209" s="26" t="str">
        <f t="shared" si="68"/>
        <v/>
      </c>
      <c r="P1209" s="10"/>
    </row>
    <row r="1210" ht="18" customHeight="1" spans="1:16">
      <c r="A1210" s="32" t="str">
        <f t="shared" si="67"/>
        <v/>
      </c>
      <c r="B1210" s="100" t="str">
        <f>IF($E1210="","",INDEX(资金日记账!$B$4:$B$603,151))</f>
        <v/>
      </c>
      <c r="C1210" s="26" t="str">
        <f>IF($E1210="","",IF(INDEX(资金日记账!$W$4:$W$603,151)="","记-"&amp;TEXT($B1210,"YYYYMM")&amp;"-资金",INDEX(资金日记账!$W$4:$W$603,151)))</f>
        <v/>
      </c>
      <c r="D1210" s="32" t="str">
        <f>IF($E1210="","",INDEX(资金日记账!$D$4:$D$603,151))</f>
        <v/>
      </c>
      <c r="E1210" s="26" t="str">
        <f>IF(INDEX(资金日记账!$N$4:$S$603,151,1)=0,"",INDEX(资金日记账!$N$4:$S$603,151,1))</f>
        <v/>
      </c>
      <c r="F1210" s="25" t="str">
        <f>IF($E1210="","",IFERROR(INDEX(科目表!$A$4:$A$81,MATCH($E1210,科目表!$B$4:$B$81,0)),""))</f>
        <v/>
      </c>
      <c r="G1210" s="26" t="str">
        <f>IF($E1210="","",IFERROR(INDEX(科目表!$E$4:$E$81,MATCH($E1210,科目表!$B$4:$B$81,0)),""))</f>
        <v/>
      </c>
      <c r="H1210" s="27" t="str">
        <f>IF($E1210="","",N(INDEX(资金日记账!$N$4:$S$603,151,2)))</f>
        <v/>
      </c>
      <c r="I1210" s="27" t="str">
        <f>IF($E1210="","",N(INDEX(资金日记账!$N$4:$S$603,151,3)))</f>
        <v/>
      </c>
      <c r="J1210" s="26" t="str">
        <f>IF($E1210="","",INDEX(资金日记账!$E$4:$E$603,151))</f>
        <v/>
      </c>
      <c r="K1210" s="26" t="str">
        <f>IF($E1210="","",INDEX(资金日记账!$F$4:$F$603,151))</f>
        <v/>
      </c>
      <c r="L1210" s="32" t="str">
        <f>IF($E1210="","",INDEX(资金日记账!$X$4:$X$603,151))</f>
        <v/>
      </c>
      <c r="M1210" s="32"/>
      <c r="N1210" s="26" t="str">
        <f>IF($E1210="","",INDEX(资金日记账!$Y$4:$Y$603,151))</f>
        <v/>
      </c>
      <c r="O1210" s="26" t="str">
        <f t="shared" si="68"/>
        <v/>
      </c>
      <c r="P1210" s="10"/>
    </row>
    <row r="1211" ht="18" customHeight="1" spans="1:16">
      <c r="A1211" s="32" t="str">
        <f t="shared" si="67"/>
        <v/>
      </c>
      <c r="B1211" s="100" t="str">
        <f>IF($E1211="","",INDEX(资金日记账!$B$4:$B$603,151))</f>
        <v/>
      </c>
      <c r="C1211" s="26" t="str">
        <f>IF($E1211="","",IF(INDEX(资金日记账!$W$4:$W$603,151)="","记-"&amp;TEXT($B1211,"YYYYMM")&amp;"-资金",INDEX(资金日记账!$W$4:$W$603,151)))</f>
        <v/>
      </c>
      <c r="D1211" s="32" t="str">
        <f>IF($E1211="","",INDEX(资金日记账!$D$4:$D$603,151))</f>
        <v/>
      </c>
      <c r="E1211" s="26" t="str">
        <f>IF(INDEX(资金日记账!$N$4:$S$603,151,4)=0,"",INDEX(资金日记账!$N$4:$S$603,151,4))</f>
        <v/>
      </c>
      <c r="F1211" s="25" t="str">
        <f>IF($E1211="","",IFERROR(INDEX(科目表!$A$4:$A$81,MATCH($E1211,科目表!$B$4:$B$81,0)),""))</f>
        <v/>
      </c>
      <c r="G1211" s="26" t="str">
        <f>IF($E1211="","",IFERROR(INDEX(科目表!$E$4:$E$81,MATCH($E1211,科目表!$B$4:$B$81,0)),""))</f>
        <v/>
      </c>
      <c r="H1211" s="27" t="str">
        <f>IF($E1211="","",N(INDEX(资金日记账!$N$4:$S$603,151,5)))</f>
        <v/>
      </c>
      <c r="I1211" s="27" t="str">
        <f>IF($E1211="","",N(INDEX(资金日记账!$N$4:$S$603,151,6)))</f>
        <v/>
      </c>
      <c r="J1211" s="26" t="str">
        <f>IF($E1211="","",INDEX(资金日记账!$E$4:$E$603,151))</f>
        <v/>
      </c>
      <c r="K1211" s="26" t="str">
        <f>IF($E1211="","",INDEX(资金日记账!$F$4:$F$603,151))</f>
        <v/>
      </c>
      <c r="L1211" s="32" t="str">
        <f>IF($E1211="","",INDEX(资金日记账!$X$4:$X$603,151))</f>
        <v/>
      </c>
      <c r="M1211" s="32"/>
      <c r="N1211" s="26" t="str">
        <f>IF($E1211="","",INDEX(资金日记账!$Y$4:$Y$603,151))</f>
        <v/>
      </c>
      <c r="O1211" s="26" t="str">
        <f t="shared" si="68"/>
        <v/>
      </c>
      <c r="P1211" s="10"/>
    </row>
    <row r="1212" ht="18" customHeight="1" spans="1:16">
      <c r="A1212" s="32" t="str">
        <f t="shared" si="67"/>
        <v/>
      </c>
      <c r="B1212" s="100" t="str">
        <f>IF($E1212="","",INDEX(资金日记账!$B$4:$B$603,152))</f>
        <v/>
      </c>
      <c r="C1212" s="26" t="str">
        <f>IF($E1212="","",IF(INDEX(资金日记账!$W$4:$W$603,152)="","记-"&amp;TEXT($B1212,"YYYYMM")&amp;"-资金",INDEX(资金日记账!$W$4:$W$603,152)))</f>
        <v/>
      </c>
      <c r="D1212" s="32" t="str">
        <f>IF($E1212="","",INDEX(资金日记账!$D$4:$D$603,152))</f>
        <v/>
      </c>
      <c r="E1212" s="26" t="str">
        <f>IF(INDEX(资金日记账!$N$4:$S$603,152,1)=0,"",INDEX(资金日记账!$N$4:$S$603,152,1))</f>
        <v/>
      </c>
      <c r="F1212" s="25" t="str">
        <f>IF($E1212="","",IFERROR(INDEX(科目表!$A$4:$A$81,MATCH($E1212,科目表!$B$4:$B$81,0)),""))</f>
        <v/>
      </c>
      <c r="G1212" s="26" t="str">
        <f>IF($E1212="","",IFERROR(INDEX(科目表!$E$4:$E$81,MATCH($E1212,科目表!$B$4:$B$81,0)),""))</f>
        <v/>
      </c>
      <c r="H1212" s="27" t="str">
        <f>IF($E1212="","",N(INDEX(资金日记账!$N$4:$S$603,152,2)))</f>
        <v/>
      </c>
      <c r="I1212" s="27" t="str">
        <f>IF($E1212="","",N(INDEX(资金日记账!$N$4:$S$603,152,3)))</f>
        <v/>
      </c>
      <c r="J1212" s="26" t="str">
        <f>IF($E1212="","",INDEX(资金日记账!$E$4:$E$603,152))</f>
        <v/>
      </c>
      <c r="K1212" s="26" t="str">
        <f>IF($E1212="","",INDEX(资金日记账!$F$4:$F$603,152))</f>
        <v/>
      </c>
      <c r="L1212" s="32" t="str">
        <f>IF($E1212="","",INDEX(资金日记账!$X$4:$X$603,152))</f>
        <v/>
      </c>
      <c r="M1212" s="32"/>
      <c r="N1212" s="26" t="str">
        <f>IF($E1212="","",INDEX(资金日记账!$Y$4:$Y$603,152))</f>
        <v/>
      </c>
      <c r="O1212" s="26" t="str">
        <f t="shared" si="68"/>
        <v/>
      </c>
      <c r="P1212" s="10"/>
    </row>
    <row r="1213" ht="18" customHeight="1" spans="1:16">
      <c r="A1213" s="32" t="str">
        <f t="shared" si="67"/>
        <v/>
      </c>
      <c r="B1213" s="100" t="str">
        <f>IF($E1213="","",INDEX(资金日记账!$B$4:$B$603,152))</f>
        <v/>
      </c>
      <c r="C1213" s="26" t="str">
        <f>IF($E1213="","",IF(INDEX(资金日记账!$W$4:$W$603,152)="","记-"&amp;TEXT($B1213,"YYYYMM")&amp;"-资金",INDEX(资金日记账!$W$4:$W$603,152)))</f>
        <v/>
      </c>
      <c r="D1213" s="32" t="str">
        <f>IF($E1213="","",INDEX(资金日记账!$D$4:$D$603,152))</f>
        <v/>
      </c>
      <c r="E1213" s="26" t="str">
        <f>IF(INDEX(资金日记账!$N$4:$S$603,152,4)=0,"",INDEX(资金日记账!$N$4:$S$603,152,4))</f>
        <v/>
      </c>
      <c r="F1213" s="25" t="str">
        <f>IF($E1213="","",IFERROR(INDEX(科目表!$A$4:$A$81,MATCH($E1213,科目表!$B$4:$B$81,0)),""))</f>
        <v/>
      </c>
      <c r="G1213" s="26" t="str">
        <f>IF($E1213="","",IFERROR(INDEX(科目表!$E$4:$E$81,MATCH($E1213,科目表!$B$4:$B$81,0)),""))</f>
        <v/>
      </c>
      <c r="H1213" s="27" t="str">
        <f>IF($E1213="","",N(INDEX(资金日记账!$N$4:$S$603,152,5)))</f>
        <v/>
      </c>
      <c r="I1213" s="27" t="str">
        <f>IF($E1213="","",N(INDEX(资金日记账!$N$4:$S$603,152,6)))</f>
        <v/>
      </c>
      <c r="J1213" s="26" t="str">
        <f>IF($E1213="","",INDEX(资金日记账!$E$4:$E$603,152))</f>
        <v/>
      </c>
      <c r="K1213" s="26" t="str">
        <f>IF($E1213="","",INDEX(资金日记账!$F$4:$F$603,152))</f>
        <v/>
      </c>
      <c r="L1213" s="32" t="str">
        <f>IF($E1213="","",INDEX(资金日记账!$X$4:$X$603,152))</f>
        <v/>
      </c>
      <c r="M1213" s="32"/>
      <c r="N1213" s="26" t="str">
        <f>IF($E1213="","",INDEX(资金日记账!$Y$4:$Y$603,152))</f>
        <v/>
      </c>
      <c r="O1213" s="26" t="str">
        <f t="shared" si="68"/>
        <v/>
      </c>
      <c r="P1213" s="10"/>
    </row>
    <row r="1214" ht="18" customHeight="1" spans="1:16">
      <c r="A1214" s="32" t="str">
        <f t="shared" si="67"/>
        <v/>
      </c>
      <c r="B1214" s="100" t="str">
        <f>IF($E1214="","",INDEX(资金日记账!$B$4:$B$603,153))</f>
        <v/>
      </c>
      <c r="C1214" s="26" t="str">
        <f>IF($E1214="","",IF(INDEX(资金日记账!$W$4:$W$603,153)="","记-"&amp;TEXT($B1214,"YYYYMM")&amp;"-资金",INDEX(资金日记账!$W$4:$W$603,153)))</f>
        <v/>
      </c>
      <c r="D1214" s="32" t="str">
        <f>IF($E1214="","",INDEX(资金日记账!$D$4:$D$603,153))</f>
        <v/>
      </c>
      <c r="E1214" s="26" t="str">
        <f>IF(INDEX(资金日记账!$N$4:$S$603,153,1)=0,"",INDEX(资金日记账!$N$4:$S$603,153,1))</f>
        <v/>
      </c>
      <c r="F1214" s="25" t="str">
        <f>IF($E1214="","",IFERROR(INDEX(科目表!$A$4:$A$81,MATCH($E1214,科目表!$B$4:$B$81,0)),""))</f>
        <v/>
      </c>
      <c r="G1214" s="26" t="str">
        <f>IF($E1214="","",IFERROR(INDEX(科目表!$E$4:$E$81,MATCH($E1214,科目表!$B$4:$B$81,0)),""))</f>
        <v/>
      </c>
      <c r="H1214" s="27" t="str">
        <f>IF($E1214="","",N(INDEX(资金日记账!$N$4:$S$603,153,2)))</f>
        <v/>
      </c>
      <c r="I1214" s="27" t="str">
        <f>IF($E1214="","",N(INDEX(资金日记账!$N$4:$S$603,153,3)))</f>
        <v/>
      </c>
      <c r="J1214" s="26" t="str">
        <f>IF($E1214="","",INDEX(资金日记账!$E$4:$E$603,153))</f>
        <v/>
      </c>
      <c r="K1214" s="26" t="str">
        <f>IF($E1214="","",INDEX(资金日记账!$F$4:$F$603,153))</f>
        <v/>
      </c>
      <c r="L1214" s="32" t="str">
        <f>IF($E1214="","",INDEX(资金日记账!$X$4:$X$603,153))</f>
        <v/>
      </c>
      <c r="M1214" s="32"/>
      <c r="N1214" s="26" t="str">
        <f>IF($E1214="","",INDEX(资金日记账!$Y$4:$Y$603,153))</f>
        <v/>
      </c>
      <c r="O1214" s="26" t="str">
        <f t="shared" si="68"/>
        <v/>
      </c>
      <c r="P1214" s="10"/>
    </row>
    <row r="1215" ht="18" customHeight="1" spans="1:16">
      <c r="A1215" s="32" t="str">
        <f t="shared" si="67"/>
        <v/>
      </c>
      <c r="B1215" s="100" t="str">
        <f>IF($E1215="","",INDEX(资金日记账!$B$4:$B$603,153))</f>
        <v/>
      </c>
      <c r="C1215" s="26" t="str">
        <f>IF($E1215="","",IF(INDEX(资金日记账!$W$4:$W$603,153)="","记-"&amp;TEXT($B1215,"YYYYMM")&amp;"-资金",INDEX(资金日记账!$W$4:$W$603,153)))</f>
        <v/>
      </c>
      <c r="D1215" s="32" t="str">
        <f>IF($E1215="","",INDEX(资金日记账!$D$4:$D$603,153))</f>
        <v/>
      </c>
      <c r="E1215" s="26" t="str">
        <f>IF(INDEX(资金日记账!$N$4:$S$603,153,4)=0,"",INDEX(资金日记账!$N$4:$S$603,153,4))</f>
        <v/>
      </c>
      <c r="F1215" s="25" t="str">
        <f>IF($E1215="","",IFERROR(INDEX(科目表!$A$4:$A$81,MATCH($E1215,科目表!$B$4:$B$81,0)),""))</f>
        <v/>
      </c>
      <c r="G1215" s="26" t="str">
        <f>IF($E1215="","",IFERROR(INDEX(科目表!$E$4:$E$81,MATCH($E1215,科目表!$B$4:$B$81,0)),""))</f>
        <v/>
      </c>
      <c r="H1215" s="27" t="str">
        <f>IF($E1215="","",N(INDEX(资金日记账!$N$4:$S$603,153,5)))</f>
        <v/>
      </c>
      <c r="I1215" s="27" t="str">
        <f>IF($E1215="","",N(INDEX(资金日记账!$N$4:$S$603,153,6)))</f>
        <v/>
      </c>
      <c r="J1215" s="26" t="str">
        <f>IF($E1215="","",INDEX(资金日记账!$E$4:$E$603,153))</f>
        <v/>
      </c>
      <c r="K1215" s="26" t="str">
        <f>IF($E1215="","",INDEX(资金日记账!$F$4:$F$603,153))</f>
        <v/>
      </c>
      <c r="L1215" s="32" t="str">
        <f>IF($E1215="","",INDEX(资金日记账!$X$4:$X$603,153))</f>
        <v/>
      </c>
      <c r="M1215" s="32"/>
      <c r="N1215" s="26" t="str">
        <f>IF($E1215="","",INDEX(资金日记账!$Y$4:$Y$603,153))</f>
        <v/>
      </c>
      <c r="O1215" s="26" t="str">
        <f t="shared" si="68"/>
        <v/>
      </c>
      <c r="P1215" s="10"/>
    </row>
    <row r="1216" ht="18" customHeight="1" spans="1:16">
      <c r="A1216" s="32" t="str">
        <f t="shared" si="67"/>
        <v/>
      </c>
      <c r="B1216" s="100" t="str">
        <f>IF($E1216="","",INDEX(资金日记账!$B$4:$B$603,154))</f>
        <v/>
      </c>
      <c r="C1216" s="26" t="str">
        <f>IF($E1216="","",IF(INDEX(资金日记账!$W$4:$W$603,154)="","记-"&amp;TEXT($B1216,"YYYYMM")&amp;"-资金",INDEX(资金日记账!$W$4:$W$603,154)))</f>
        <v/>
      </c>
      <c r="D1216" s="32" t="str">
        <f>IF($E1216="","",INDEX(资金日记账!$D$4:$D$603,154))</f>
        <v/>
      </c>
      <c r="E1216" s="26" t="str">
        <f>IF(INDEX(资金日记账!$N$4:$S$603,154,1)=0,"",INDEX(资金日记账!$N$4:$S$603,154,1))</f>
        <v/>
      </c>
      <c r="F1216" s="25" t="str">
        <f>IF($E1216="","",IFERROR(INDEX(科目表!$A$4:$A$81,MATCH($E1216,科目表!$B$4:$B$81,0)),""))</f>
        <v/>
      </c>
      <c r="G1216" s="26" t="str">
        <f>IF($E1216="","",IFERROR(INDEX(科目表!$E$4:$E$81,MATCH($E1216,科目表!$B$4:$B$81,0)),""))</f>
        <v/>
      </c>
      <c r="H1216" s="27" t="str">
        <f>IF($E1216="","",N(INDEX(资金日记账!$N$4:$S$603,154,2)))</f>
        <v/>
      </c>
      <c r="I1216" s="27" t="str">
        <f>IF($E1216="","",N(INDEX(资金日记账!$N$4:$S$603,154,3)))</f>
        <v/>
      </c>
      <c r="J1216" s="26" t="str">
        <f>IF($E1216="","",INDEX(资金日记账!$E$4:$E$603,154))</f>
        <v/>
      </c>
      <c r="K1216" s="26" t="str">
        <f>IF($E1216="","",INDEX(资金日记账!$F$4:$F$603,154))</f>
        <v/>
      </c>
      <c r="L1216" s="32" t="str">
        <f>IF($E1216="","",INDEX(资金日记账!$X$4:$X$603,154))</f>
        <v/>
      </c>
      <c r="M1216" s="32"/>
      <c r="N1216" s="26" t="str">
        <f>IF($E1216="","",INDEX(资金日记账!$Y$4:$Y$603,154))</f>
        <v/>
      </c>
      <c r="O1216" s="26" t="str">
        <f t="shared" si="68"/>
        <v/>
      </c>
      <c r="P1216" s="10"/>
    </row>
    <row r="1217" ht="18" customHeight="1" spans="1:16">
      <c r="A1217" s="32" t="str">
        <f t="shared" si="67"/>
        <v/>
      </c>
      <c r="B1217" s="100" t="str">
        <f>IF($E1217="","",INDEX(资金日记账!$B$4:$B$603,154))</f>
        <v/>
      </c>
      <c r="C1217" s="26" t="str">
        <f>IF($E1217="","",IF(INDEX(资金日记账!$W$4:$W$603,154)="","记-"&amp;TEXT($B1217,"YYYYMM")&amp;"-资金",INDEX(资金日记账!$W$4:$W$603,154)))</f>
        <v/>
      </c>
      <c r="D1217" s="32" t="str">
        <f>IF($E1217="","",INDEX(资金日记账!$D$4:$D$603,154))</f>
        <v/>
      </c>
      <c r="E1217" s="26" t="str">
        <f>IF(INDEX(资金日记账!$N$4:$S$603,154,4)=0,"",INDEX(资金日记账!$N$4:$S$603,154,4))</f>
        <v/>
      </c>
      <c r="F1217" s="25" t="str">
        <f>IF($E1217="","",IFERROR(INDEX(科目表!$A$4:$A$81,MATCH($E1217,科目表!$B$4:$B$81,0)),""))</f>
        <v/>
      </c>
      <c r="G1217" s="26" t="str">
        <f>IF($E1217="","",IFERROR(INDEX(科目表!$E$4:$E$81,MATCH($E1217,科目表!$B$4:$B$81,0)),""))</f>
        <v/>
      </c>
      <c r="H1217" s="27" t="str">
        <f>IF($E1217="","",N(INDEX(资金日记账!$N$4:$S$603,154,5)))</f>
        <v/>
      </c>
      <c r="I1217" s="27" t="str">
        <f>IF($E1217="","",N(INDEX(资金日记账!$N$4:$S$603,154,6)))</f>
        <v/>
      </c>
      <c r="J1217" s="26" t="str">
        <f>IF($E1217="","",INDEX(资金日记账!$E$4:$E$603,154))</f>
        <v/>
      </c>
      <c r="K1217" s="26" t="str">
        <f>IF($E1217="","",INDEX(资金日记账!$F$4:$F$603,154))</f>
        <v/>
      </c>
      <c r="L1217" s="32" t="str">
        <f>IF($E1217="","",INDEX(资金日记账!$X$4:$X$603,154))</f>
        <v/>
      </c>
      <c r="M1217" s="32"/>
      <c r="N1217" s="26" t="str">
        <f>IF($E1217="","",INDEX(资金日记账!$Y$4:$Y$603,154))</f>
        <v/>
      </c>
      <c r="O1217" s="26" t="str">
        <f t="shared" si="68"/>
        <v/>
      </c>
      <c r="P1217" s="10"/>
    </row>
    <row r="1218" ht="18" customHeight="1" spans="1:16">
      <c r="A1218" s="32" t="str">
        <f t="shared" si="67"/>
        <v/>
      </c>
      <c r="B1218" s="100" t="str">
        <f>IF($E1218="","",INDEX(资金日记账!$B$4:$B$603,155))</f>
        <v/>
      </c>
      <c r="C1218" s="26" t="str">
        <f>IF($E1218="","",IF(INDEX(资金日记账!$W$4:$W$603,155)="","记-"&amp;TEXT($B1218,"YYYYMM")&amp;"-资金",INDEX(资金日记账!$W$4:$W$603,155)))</f>
        <v/>
      </c>
      <c r="D1218" s="32" t="str">
        <f>IF($E1218="","",INDEX(资金日记账!$D$4:$D$603,155))</f>
        <v/>
      </c>
      <c r="E1218" s="26" t="str">
        <f>IF(INDEX(资金日记账!$N$4:$S$603,155,1)=0,"",INDEX(资金日记账!$N$4:$S$603,155,1))</f>
        <v/>
      </c>
      <c r="F1218" s="25" t="str">
        <f>IF($E1218="","",IFERROR(INDEX(科目表!$A$4:$A$81,MATCH($E1218,科目表!$B$4:$B$81,0)),""))</f>
        <v/>
      </c>
      <c r="G1218" s="26" t="str">
        <f>IF($E1218="","",IFERROR(INDEX(科目表!$E$4:$E$81,MATCH($E1218,科目表!$B$4:$B$81,0)),""))</f>
        <v/>
      </c>
      <c r="H1218" s="27" t="str">
        <f>IF($E1218="","",N(INDEX(资金日记账!$N$4:$S$603,155,2)))</f>
        <v/>
      </c>
      <c r="I1218" s="27" t="str">
        <f>IF($E1218="","",N(INDEX(资金日记账!$N$4:$S$603,155,3)))</f>
        <v/>
      </c>
      <c r="J1218" s="26" t="str">
        <f>IF($E1218="","",INDEX(资金日记账!$E$4:$E$603,155))</f>
        <v/>
      </c>
      <c r="K1218" s="26" t="str">
        <f>IF($E1218="","",INDEX(资金日记账!$F$4:$F$603,155))</f>
        <v/>
      </c>
      <c r="L1218" s="32" t="str">
        <f>IF($E1218="","",INDEX(资金日记账!$X$4:$X$603,155))</f>
        <v/>
      </c>
      <c r="M1218" s="32"/>
      <c r="N1218" s="26" t="str">
        <f>IF($E1218="","",INDEX(资金日记账!$Y$4:$Y$603,155))</f>
        <v/>
      </c>
      <c r="O1218" s="26" t="str">
        <f t="shared" si="68"/>
        <v/>
      </c>
      <c r="P1218" s="10"/>
    </row>
    <row r="1219" ht="18" customHeight="1" spans="1:16">
      <c r="A1219" s="32" t="str">
        <f t="shared" si="67"/>
        <v/>
      </c>
      <c r="B1219" s="100" t="str">
        <f>IF($E1219="","",INDEX(资金日记账!$B$4:$B$603,155))</f>
        <v/>
      </c>
      <c r="C1219" s="26" t="str">
        <f>IF($E1219="","",IF(INDEX(资金日记账!$W$4:$W$603,155)="","记-"&amp;TEXT($B1219,"YYYYMM")&amp;"-资金",INDEX(资金日记账!$W$4:$W$603,155)))</f>
        <v/>
      </c>
      <c r="D1219" s="32" t="str">
        <f>IF($E1219="","",INDEX(资金日记账!$D$4:$D$603,155))</f>
        <v/>
      </c>
      <c r="E1219" s="26" t="str">
        <f>IF(INDEX(资金日记账!$N$4:$S$603,155,4)=0,"",INDEX(资金日记账!$N$4:$S$603,155,4))</f>
        <v/>
      </c>
      <c r="F1219" s="25" t="str">
        <f>IF($E1219="","",IFERROR(INDEX(科目表!$A$4:$A$81,MATCH($E1219,科目表!$B$4:$B$81,0)),""))</f>
        <v/>
      </c>
      <c r="G1219" s="26" t="str">
        <f>IF($E1219="","",IFERROR(INDEX(科目表!$E$4:$E$81,MATCH($E1219,科目表!$B$4:$B$81,0)),""))</f>
        <v/>
      </c>
      <c r="H1219" s="27" t="str">
        <f>IF($E1219="","",N(INDEX(资金日记账!$N$4:$S$603,155,5)))</f>
        <v/>
      </c>
      <c r="I1219" s="27" t="str">
        <f>IF($E1219="","",N(INDEX(资金日记账!$N$4:$S$603,155,6)))</f>
        <v/>
      </c>
      <c r="J1219" s="26" t="str">
        <f>IF($E1219="","",INDEX(资金日记账!$E$4:$E$603,155))</f>
        <v/>
      </c>
      <c r="K1219" s="26" t="str">
        <f>IF($E1219="","",INDEX(资金日记账!$F$4:$F$603,155))</f>
        <v/>
      </c>
      <c r="L1219" s="32" t="str">
        <f>IF($E1219="","",INDEX(资金日记账!$X$4:$X$603,155))</f>
        <v/>
      </c>
      <c r="M1219" s="32"/>
      <c r="N1219" s="26" t="str">
        <f>IF($E1219="","",INDEX(资金日记账!$Y$4:$Y$603,155))</f>
        <v/>
      </c>
      <c r="O1219" s="26" t="str">
        <f t="shared" si="68"/>
        <v/>
      </c>
      <c r="P1219" s="10"/>
    </row>
    <row r="1220" ht="18" customHeight="1" spans="1:16">
      <c r="A1220" s="32" t="str">
        <f t="shared" ref="A1220:A1283" si="69">IF($E1220="","",ROW()-3)</f>
        <v/>
      </c>
      <c r="B1220" s="100" t="str">
        <f>IF($E1220="","",INDEX(资金日记账!$B$4:$B$603,156))</f>
        <v/>
      </c>
      <c r="C1220" s="26" t="str">
        <f>IF($E1220="","",IF(INDEX(资金日记账!$W$4:$W$603,156)="","记-"&amp;TEXT($B1220,"YYYYMM")&amp;"-资金",INDEX(资金日记账!$W$4:$W$603,156)))</f>
        <v/>
      </c>
      <c r="D1220" s="32" t="str">
        <f>IF($E1220="","",INDEX(资金日记账!$D$4:$D$603,156))</f>
        <v/>
      </c>
      <c r="E1220" s="26" t="str">
        <f>IF(INDEX(资金日记账!$N$4:$S$603,156,1)=0,"",INDEX(资金日记账!$N$4:$S$603,156,1))</f>
        <v/>
      </c>
      <c r="F1220" s="25" t="str">
        <f>IF($E1220="","",IFERROR(INDEX(科目表!$A$4:$A$81,MATCH($E1220,科目表!$B$4:$B$81,0)),""))</f>
        <v/>
      </c>
      <c r="G1220" s="26" t="str">
        <f>IF($E1220="","",IFERROR(INDEX(科目表!$E$4:$E$81,MATCH($E1220,科目表!$B$4:$B$81,0)),""))</f>
        <v/>
      </c>
      <c r="H1220" s="27" t="str">
        <f>IF($E1220="","",N(INDEX(资金日记账!$N$4:$S$603,156,2)))</f>
        <v/>
      </c>
      <c r="I1220" s="27" t="str">
        <f>IF($E1220="","",N(INDEX(资金日记账!$N$4:$S$603,156,3)))</f>
        <v/>
      </c>
      <c r="J1220" s="26" t="str">
        <f>IF($E1220="","",INDEX(资金日记账!$E$4:$E$603,156))</f>
        <v/>
      </c>
      <c r="K1220" s="26" t="str">
        <f>IF($E1220="","",INDEX(资金日记账!$F$4:$F$603,156))</f>
        <v/>
      </c>
      <c r="L1220" s="32" t="str">
        <f>IF($E1220="","",INDEX(资金日记账!$X$4:$X$603,156))</f>
        <v/>
      </c>
      <c r="M1220" s="32"/>
      <c r="N1220" s="26" t="str">
        <f>IF($E1220="","",INDEX(资金日记账!$Y$4:$Y$603,156))</f>
        <v/>
      </c>
      <c r="O1220" s="26" t="str">
        <f t="shared" si="68"/>
        <v/>
      </c>
      <c r="P1220" s="10"/>
    </row>
    <row r="1221" ht="18" customHeight="1" spans="1:16">
      <c r="A1221" s="32" t="str">
        <f t="shared" si="69"/>
        <v/>
      </c>
      <c r="B1221" s="100" t="str">
        <f>IF($E1221="","",INDEX(资金日记账!$B$4:$B$603,156))</f>
        <v/>
      </c>
      <c r="C1221" s="26" t="str">
        <f>IF($E1221="","",IF(INDEX(资金日记账!$W$4:$W$603,156)="","记-"&amp;TEXT($B1221,"YYYYMM")&amp;"-资金",INDEX(资金日记账!$W$4:$W$603,156)))</f>
        <v/>
      </c>
      <c r="D1221" s="32" t="str">
        <f>IF($E1221="","",INDEX(资金日记账!$D$4:$D$603,156))</f>
        <v/>
      </c>
      <c r="E1221" s="26" t="str">
        <f>IF(INDEX(资金日记账!$N$4:$S$603,156,4)=0,"",INDEX(资金日记账!$N$4:$S$603,156,4))</f>
        <v/>
      </c>
      <c r="F1221" s="25" t="str">
        <f>IF($E1221="","",IFERROR(INDEX(科目表!$A$4:$A$81,MATCH($E1221,科目表!$B$4:$B$81,0)),""))</f>
        <v/>
      </c>
      <c r="G1221" s="26" t="str">
        <f>IF($E1221="","",IFERROR(INDEX(科目表!$E$4:$E$81,MATCH($E1221,科目表!$B$4:$B$81,0)),""))</f>
        <v/>
      </c>
      <c r="H1221" s="27" t="str">
        <f>IF($E1221="","",N(INDEX(资金日记账!$N$4:$S$603,156,5)))</f>
        <v/>
      </c>
      <c r="I1221" s="27" t="str">
        <f>IF($E1221="","",N(INDEX(资金日记账!$N$4:$S$603,156,6)))</f>
        <v/>
      </c>
      <c r="J1221" s="26" t="str">
        <f>IF($E1221="","",INDEX(资金日记账!$E$4:$E$603,156))</f>
        <v/>
      </c>
      <c r="K1221" s="26" t="str">
        <f>IF($E1221="","",INDEX(资金日记账!$F$4:$F$603,156))</f>
        <v/>
      </c>
      <c r="L1221" s="32" t="str">
        <f>IF($E1221="","",INDEX(资金日记账!$X$4:$X$603,156))</f>
        <v/>
      </c>
      <c r="M1221" s="32"/>
      <c r="N1221" s="26" t="str">
        <f>IF($E1221="","",INDEX(资金日记账!$Y$4:$Y$603,156))</f>
        <v/>
      </c>
      <c r="O1221" s="26" t="str">
        <f t="shared" si="68"/>
        <v/>
      </c>
      <c r="P1221" s="10"/>
    </row>
    <row r="1222" ht="18" customHeight="1" spans="1:16">
      <c r="A1222" s="32" t="str">
        <f t="shared" si="69"/>
        <v/>
      </c>
      <c r="B1222" s="100" t="str">
        <f>IF($E1222="","",INDEX(资金日记账!$B$4:$B$603,157))</f>
        <v/>
      </c>
      <c r="C1222" s="26" t="str">
        <f>IF($E1222="","",IF(INDEX(资金日记账!$W$4:$W$603,157)="","记-"&amp;TEXT($B1222,"YYYYMM")&amp;"-资金",INDEX(资金日记账!$W$4:$W$603,157)))</f>
        <v/>
      </c>
      <c r="D1222" s="32" t="str">
        <f>IF($E1222="","",INDEX(资金日记账!$D$4:$D$603,157))</f>
        <v/>
      </c>
      <c r="E1222" s="26" t="str">
        <f>IF(INDEX(资金日记账!$N$4:$S$603,157,1)=0,"",INDEX(资金日记账!$N$4:$S$603,157,1))</f>
        <v/>
      </c>
      <c r="F1222" s="25" t="str">
        <f>IF($E1222="","",IFERROR(INDEX(科目表!$A$4:$A$81,MATCH($E1222,科目表!$B$4:$B$81,0)),""))</f>
        <v/>
      </c>
      <c r="G1222" s="26" t="str">
        <f>IF($E1222="","",IFERROR(INDEX(科目表!$E$4:$E$81,MATCH($E1222,科目表!$B$4:$B$81,0)),""))</f>
        <v/>
      </c>
      <c r="H1222" s="27" t="str">
        <f>IF($E1222="","",N(INDEX(资金日记账!$N$4:$S$603,157,2)))</f>
        <v/>
      </c>
      <c r="I1222" s="27" t="str">
        <f>IF($E1222="","",N(INDEX(资金日记账!$N$4:$S$603,157,3)))</f>
        <v/>
      </c>
      <c r="J1222" s="26" t="str">
        <f>IF($E1222="","",INDEX(资金日记账!$E$4:$E$603,157))</f>
        <v/>
      </c>
      <c r="K1222" s="26" t="str">
        <f>IF($E1222="","",INDEX(资金日记账!$F$4:$F$603,157))</f>
        <v/>
      </c>
      <c r="L1222" s="32" t="str">
        <f>IF($E1222="","",INDEX(资金日记账!$X$4:$X$603,157))</f>
        <v/>
      </c>
      <c r="M1222" s="32"/>
      <c r="N1222" s="26" t="str">
        <f>IF($E1222="","",INDEX(资金日记账!$Y$4:$Y$603,157))</f>
        <v/>
      </c>
      <c r="O1222" s="26" t="str">
        <f t="shared" si="68"/>
        <v/>
      </c>
      <c r="P1222" s="10"/>
    </row>
    <row r="1223" ht="18" customHeight="1" spans="1:16">
      <c r="A1223" s="32" t="str">
        <f t="shared" si="69"/>
        <v/>
      </c>
      <c r="B1223" s="100" t="str">
        <f>IF($E1223="","",INDEX(资金日记账!$B$4:$B$603,157))</f>
        <v/>
      </c>
      <c r="C1223" s="26" t="str">
        <f>IF($E1223="","",IF(INDEX(资金日记账!$W$4:$W$603,157)="","记-"&amp;TEXT($B1223,"YYYYMM")&amp;"-资金",INDEX(资金日记账!$W$4:$W$603,157)))</f>
        <v/>
      </c>
      <c r="D1223" s="32" t="str">
        <f>IF($E1223="","",INDEX(资金日记账!$D$4:$D$603,157))</f>
        <v/>
      </c>
      <c r="E1223" s="26" t="str">
        <f>IF(INDEX(资金日记账!$N$4:$S$603,157,4)=0,"",INDEX(资金日记账!$N$4:$S$603,157,4))</f>
        <v/>
      </c>
      <c r="F1223" s="25" t="str">
        <f>IF($E1223="","",IFERROR(INDEX(科目表!$A$4:$A$81,MATCH($E1223,科目表!$B$4:$B$81,0)),""))</f>
        <v/>
      </c>
      <c r="G1223" s="26" t="str">
        <f>IF($E1223="","",IFERROR(INDEX(科目表!$E$4:$E$81,MATCH($E1223,科目表!$B$4:$B$81,0)),""))</f>
        <v/>
      </c>
      <c r="H1223" s="27" t="str">
        <f>IF($E1223="","",N(INDEX(资金日记账!$N$4:$S$603,157,5)))</f>
        <v/>
      </c>
      <c r="I1223" s="27" t="str">
        <f>IF($E1223="","",N(INDEX(资金日记账!$N$4:$S$603,157,6)))</f>
        <v/>
      </c>
      <c r="J1223" s="26" t="str">
        <f>IF($E1223="","",INDEX(资金日记账!$E$4:$E$603,157))</f>
        <v/>
      </c>
      <c r="K1223" s="26" t="str">
        <f>IF($E1223="","",INDEX(资金日记账!$F$4:$F$603,157))</f>
        <v/>
      </c>
      <c r="L1223" s="32" t="str">
        <f>IF($E1223="","",INDEX(资金日记账!$X$4:$X$603,157))</f>
        <v/>
      </c>
      <c r="M1223" s="32"/>
      <c r="N1223" s="26" t="str">
        <f>IF($E1223="","",INDEX(资金日记账!$Y$4:$Y$603,157))</f>
        <v/>
      </c>
      <c r="O1223" s="26" t="str">
        <f t="shared" si="68"/>
        <v/>
      </c>
      <c r="P1223" s="10"/>
    </row>
    <row r="1224" ht="18" customHeight="1" spans="1:16">
      <c r="A1224" s="32" t="str">
        <f t="shared" si="69"/>
        <v/>
      </c>
      <c r="B1224" s="100" t="str">
        <f>IF($E1224="","",INDEX(资金日记账!$B$4:$B$603,158))</f>
        <v/>
      </c>
      <c r="C1224" s="26" t="str">
        <f>IF($E1224="","",IF(INDEX(资金日记账!$W$4:$W$603,158)="","记-"&amp;TEXT($B1224,"YYYYMM")&amp;"-资金",INDEX(资金日记账!$W$4:$W$603,158)))</f>
        <v/>
      </c>
      <c r="D1224" s="32" t="str">
        <f>IF($E1224="","",INDEX(资金日记账!$D$4:$D$603,158))</f>
        <v/>
      </c>
      <c r="E1224" s="26" t="str">
        <f>IF(INDEX(资金日记账!$N$4:$S$603,158,1)=0,"",INDEX(资金日记账!$N$4:$S$603,158,1))</f>
        <v/>
      </c>
      <c r="F1224" s="25" t="str">
        <f>IF($E1224="","",IFERROR(INDEX(科目表!$A$4:$A$81,MATCH($E1224,科目表!$B$4:$B$81,0)),""))</f>
        <v/>
      </c>
      <c r="G1224" s="26" t="str">
        <f>IF($E1224="","",IFERROR(INDEX(科目表!$E$4:$E$81,MATCH($E1224,科目表!$B$4:$B$81,0)),""))</f>
        <v/>
      </c>
      <c r="H1224" s="27" t="str">
        <f>IF($E1224="","",N(INDEX(资金日记账!$N$4:$S$603,158,2)))</f>
        <v/>
      </c>
      <c r="I1224" s="27" t="str">
        <f>IF($E1224="","",N(INDEX(资金日记账!$N$4:$S$603,158,3)))</f>
        <v/>
      </c>
      <c r="J1224" s="26" t="str">
        <f>IF($E1224="","",INDEX(资金日记账!$E$4:$E$603,158))</f>
        <v/>
      </c>
      <c r="K1224" s="26" t="str">
        <f>IF($E1224="","",INDEX(资金日记账!$F$4:$F$603,158))</f>
        <v/>
      </c>
      <c r="L1224" s="32" t="str">
        <f>IF($E1224="","",INDEX(资金日记账!$X$4:$X$603,158))</f>
        <v/>
      </c>
      <c r="M1224" s="32"/>
      <c r="N1224" s="26" t="str">
        <f>IF($E1224="","",INDEX(资金日记账!$Y$4:$Y$603,158))</f>
        <v/>
      </c>
      <c r="O1224" s="26" t="str">
        <f t="shared" si="68"/>
        <v/>
      </c>
      <c r="P1224" s="10"/>
    </row>
    <row r="1225" ht="18" customHeight="1" spans="1:16">
      <c r="A1225" s="32" t="str">
        <f t="shared" si="69"/>
        <v/>
      </c>
      <c r="B1225" s="100" t="str">
        <f>IF($E1225="","",INDEX(资金日记账!$B$4:$B$603,158))</f>
        <v/>
      </c>
      <c r="C1225" s="26" t="str">
        <f>IF($E1225="","",IF(INDEX(资金日记账!$W$4:$W$603,158)="","记-"&amp;TEXT($B1225,"YYYYMM")&amp;"-资金",INDEX(资金日记账!$W$4:$W$603,158)))</f>
        <v/>
      </c>
      <c r="D1225" s="32" t="str">
        <f>IF($E1225="","",INDEX(资金日记账!$D$4:$D$603,158))</f>
        <v/>
      </c>
      <c r="E1225" s="26" t="str">
        <f>IF(INDEX(资金日记账!$N$4:$S$603,158,4)=0,"",INDEX(资金日记账!$N$4:$S$603,158,4))</f>
        <v/>
      </c>
      <c r="F1225" s="25" t="str">
        <f>IF($E1225="","",IFERROR(INDEX(科目表!$A$4:$A$81,MATCH($E1225,科目表!$B$4:$B$81,0)),""))</f>
        <v/>
      </c>
      <c r="G1225" s="26" t="str">
        <f>IF($E1225="","",IFERROR(INDEX(科目表!$E$4:$E$81,MATCH($E1225,科目表!$B$4:$B$81,0)),""))</f>
        <v/>
      </c>
      <c r="H1225" s="27" t="str">
        <f>IF($E1225="","",N(INDEX(资金日记账!$N$4:$S$603,158,5)))</f>
        <v/>
      </c>
      <c r="I1225" s="27" t="str">
        <f>IF($E1225="","",N(INDEX(资金日记账!$N$4:$S$603,158,6)))</f>
        <v/>
      </c>
      <c r="J1225" s="26" t="str">
        <f>IF($E1225="","",INDEX(资金日记账!$E$4:$E$603,158))</f>
        <v/>
      </c>
      <c r="K1225" s="26" t="str">
        <f>IF($E1225="","",INDEX(资金日记账!$F$4:$F$603,158))</f>
        <v/>
      </c>
      <c r="L1225" s="32" t="str">
        <f>IF($E1225="","",INDEX(资金日记账!$X$4:$X$603,158))</f>
        <v/>
      </c>
      <c r="M1225" s="32"/>
      <c r="N1225" s="26" t="str">
        <f>IF($E1225="","",INDEX(资金日记账!$Y$4:$Y$603,158))</f>
        <v/>
      </c>
      <c r="O1225" s="26" t="str">
        <f t="shared" si="68"/>
        <v/>
      </c>
      <c r="P1225" s="10"/>
    </row>
    <row r="1226" ht="18" customHeight="1" spans="1:16">
      <c r="A1226" s="32" t="str">
        <f t="shared" si="69"/>
        <v/>
      </c>
      <c r="B1226" s="100" t="str">
        <f>IF($E1226="","",INDEX(资金日记账!$B$4:$B$603,159))</f>
        <v/>
      </c>
      <c r="C1226" s="26" t="str">
        <f>IF($E1226="","",IF(INDEX(资金日记账!$W$4:$W$603,159)="","记-"&amp;TEXT($B1226,"YYYYMM")&amp;"-资金",INDEX(资金日记账!$W$4:$W$603,159)))</f>
        <v/>
      </c>
      <c r="D1226" s="32" t="str">
        <f>IF($E1226="","",INDEX(资金日记账!$D$4:$D$603,159))</f>
        <v/>
      </c>
      <c r="E1226" s="26" t="str">
        <f>IF(INDEX(资金日记账!$N$4:$S$603,159,1)=0,"",INDEX(资金日记账!$N$4:$S$603,159,1))</f>
        <v/>
      </c>
      <c r="F1226" s="25" t="str">
        <f>IF($E1226="","",IFERROR(INDEX(科目表!$A$4:$A$81,MATCH($E1226,科目表!$B$4:$B$81,0)),""))</f>
        <v/>
      </c>
      <c r="G1226" s="26" t="str">
        <f>IF($E1226="","",IFERROR(INDEX(科目表!$E$4:$E$81,MATCH($E1226,科目表!$B$4:$B$81,0)),""))</f>
        <v/>
      </c>
      <c r="H1226" s="27" t="str">
        <f>IF($E1226="","",N(INDEX(资金日记账!$N$4:$S$603,159,2)))</f>
        <v/>
      </c>
      <c r="I1226" s="27" t="str">
        <f>IF($E1226="","",N(INDEX(资金日记账!$N$4:$S$603,159,3)))</f>
        <v/>
      </c>
      <c r="J1226" s="26" t="str">
        <f>IF($E1226="","",INDEX(资金日记账!$E$4:$E$603,159))</f>
        <v/>
      </c>
      <c r="K1226" s="26" t="str">
        <f>IF($E1226="","",INDEX(资金日记账!$F$4:$F$603,159))</f>
        <v/>
      </c>
      <c r="L1226" s="32" t="str">
        <f>IF($E1226="","",INDEX(资金日记账!$X$4:$X$603,159))</f>
        <v/>
      </c>
      <c r="M1226" s="32"/>
      <c r="N1226" s="26" t="str">
        <f>IF($E1226="","",INDEX(资金日记账!$Y$4:$Y$603,159))</f>
        <v/>
      </c>
      <c r="O1226" s="26" t="str">
        <f t="shared" si="68"/>
        <v/>
      </c>
      <c r="P1226" s="10"/>
    </row>
    <row r="1227" ht="18" customHeight="1" spans="1:16">
      <c r="A1227" s="32" t="str">
        <f t="shared" si="69"/>
        <v/>
      </c>
      <c r="B1227" s="100" t="str">
        <f>IF($E1227="","",INDEX(资金日记账!$B$4:$B$603,159))</f>
        <v/>
      </c>
      <c r="C1227" s="26" t="str">
        <f>IF($E1227="","",IF(INDEX(资金日记账!$W$4:$W$603,159)="","记-"&amp;TEXT($B1227,"YYYYMM")&amp;"-资金",INDEX(资金日记账!$W$4:$W$603,159)))</f>
        <v/>
      </c>
      <c r="D1227" s="32" t="str">
        <f>IF($E1227="","",INDEX(资金日记账!$D$4:$D$603,159))</f>
        <v/>
      </c>
      <c r="E1227" s="26" t="str">
        <f>IF(INDEX(资金日记账!$N$4:$S$603,159,4)=0,"",INDEX(资金日记账!$N$4:$S$603,159,4))</f>
        <v/>
      </c>
      <c r="F1227" s="25" t="str">
        <f>IF($E1227="","",IFERROR(INDEX(科目表!$A$4:$A$81,MATCH($E1227,科目表!$B$4:$B$81,0)),""))</f>
        <v/>
      </c>
      <c r="G1227" s="26" t="str">
        <f>IF($E1227="","",IFERROR(INDEX(科目表!$E$4:$E$81,MATCH($E1227,科目表!$B$4:$B$81,0)),""))</f>
        <v/>
      </c>
      <c r="H1227" s="27" t="str">
        <f>IF($E1227="","",N(INDEX(资金日记账!$N$4:$S$603,159,5)))</f>
        <v/>
      </c>
      <c r="I1227" s="27" t="str">
        <f>IF($E1227="","",N(INDEX(资金日记账!$N$4:$S$603,159,6)))</f>
        <v/>
      </c>
      <c r="J1227" s="26" t="str">
        <f>IF($E1227="","",INDEX(资金日记账!$E$4:$E$603,159))</f>
        <v/>
      </c>
      <c r="K1227" s="26" t="str">
        <f>IF($E1227="","",INDEX(资金日记账!$F$4:$F$603,159))</f>
        <v/>
      </c>
      <c r="L1227" s="32" t="str">
        <f>IF($E1227="","",INDEX(资金日记账!$X$4:$X$603,159))</f>
        <v/>
      </c>
      <c r="M1227" s="32"/>
      <c r="N1227" s="26" t="str">
        <f>IF($E1227="","",INDEX(资金日记账!$Y$4:$Y$603,159))</f>
        <v/>
      </c>
      <c r="O1227" s="26" t="str">
        <f t="shared" si="68"/>
        <v/>
      </c>
      <c r="P1227" s="10"/>
    </row>
    <row r="1228" ht="18" customHeight="1" spans="1:16">
      <c r="A1228" s="32" t="str">
        <f t="shared" si="69"/>
        <v/>
      </c>
      <c r="B1228" s="100" t="str">
        <f>IF($E1228="","",INDEX(资金日记账!$B$4:$B$603,160))</f>
        <v/>
      </c>
      <c r="C1228" s="26" t="str">
        <f>IF($E1228="","",IF(INDEX(资金日记账!$W$4:$W$603,160)="","记-"&amp;TEXT($B1228,"YYYYMM")&amp;"-资金",INDEX(资金日记账!$W$4:$W$603,160)))</f>
        <v/>
      </c>
      <c r="D1228" s="32" t="str">
        <f>IF($E1228="","",INDEX(资金日记账!$D$4:$D$603,160))</f>
        <v/>
      </c>
      <c r="E1228" s="26" t="str">
        <f>IF(INDEX(资金日记账!$N$4:$S$603,160,1)=0,"",INDEX(资金日记账!$N$4:$S$603,160,1))</f>
        <v/>
      </c>
      <c r="F1228" s="25" t="str">
        <f>IF($E1228="","",IFERROR(INDEX(科目表!$A$4:$A$81,MATCH($E1228,科目表!$B$4:$B$81,0)),""))</f>
        <v/>
      </c>
      <c r="G1228" s="26" t="str">
        <f>IF($E1228="","",IFERROR(INDEX(科目表!$E$4:$E$81,MATCH($E1228,科目表!$B$4:$B$81,0)),""))</f>
        <v/>
      </c>
      <c r="H1228" s="27" t="str">
        <f>IF($E1228="","",N(INDEX(资金日记账!$N$4:$S$603,160,2)))</f>
        <v/>
      </c>
      <c r="I1228" s="27" t="str">
        <f>IF($E1228="","",N(INDEX(资金日记账!$N$4:$S$603,160,3)))</f>
        <v/>
      </c>
      <c r="J1228" s="26" t="str">
        <f>IF($E1228="","",INDEX(资金日记账!$E$4:$E$603,160))</f>
        <v/>
      </c>
      <c r="K1228" s="26" t="str">
        <f>IF($E1228="","",INDEX(资金日记账!$F$4:$F$603,160))</f>
        <v/>
      </c>
      <c r="L1228" s="32" t="str">
        <f>IF($E1228="","",INDEX(资金日记账!$X$4:$X$603,160))</f>
        <v/>
      </c>
      <c r="M1228" s="32"/>
      <c r="N1228" s="26" t="str">
        <f>IF($E1228="","",INDEX(资金日记账!$Y$4:$Y$603,160))</f>
        <v/>
      </c>
      <c r="O1228" s="26" t="str">
        <f t="shared" si="68"/>
        <v/>
      </c>
      <c r="P1228" s="10"/>
    </row>
    <row r="1229" ht="18" customHeight="1" spans="1:16">
      <c r="A1229" s="32" t="str">
        <f t="shared" si="69"/>
        <v/>
      </c>
      <c r="B1229" s="100" t="str">
        <f>IF($E1229="","",INDEX(资金日记账!$B$4:$B$603,160))</f>
        <v/>
      </c>
      <c r="C1229" s="26" t="str">
        <f>IF($E1229="","",IF(INDEX(资金日记账!$W$4:$W$603,160)="","记-"&amp;TEXT($B1229,"YYYYMM")&amp;"-资金",INDEX(资金日记账!$W$4:$W$603,160)))</f>
        <v/>
      </c>
      <c r="D1229" s="32" t="str">
        <f>IF($E1229="","",INDEX(资金日记账!$D$4:$D$603,160))</f>
        <v/>
      </c>
      <c r="E1229" s="26" t="str">
        <f>IF(INDEX(资金日记账!$N$4:$S$603,160,4)=0,"",INDEX(资金日记账!$N$4:$S$603,160,4))</f>
        <v/>
      </c>
      <c r="F1229" s="25" t="str">
        <f>IF($E1229="","",IFERROR(INDEX(科目表!$A$4:$A$81,MATCH($E1229,科目表!$B$4:$B$81,0)),""))</f>
        <v/>
      </c>
      <c r="G1229" s="26" t="str">
        <f>IF($E1229="","",IFERROR(INDEX(科目表!$E$4:$E$81,MATCH($E1229,科目表!$B$4:$B$81,0)),""))</f>
        <v/>
      </c>
      <c r="H1229" s="27" t="str">
        <f>IF($E1229="","",N(INDEX(资金日记账!$N$4:$S$603,160,5)))</f>
        <v/>
      </c>
      <c r="I1229" s="27" t="str">
        <f>IF($E1229="","",N(INDEX(资金日记账!$N$4:$S$603,160,6)))</f>
        <v/>
      </c>
      <c r="J1229" s="26" t="str">
        <f>IF($E1229="","",INDEX(资金日记账!$E$4:$E$603,160))</f>
        <v/>
      </c>
      <c r="K1229" s="26" t="str">
        <f>IF($E1229="","",INDEX(资金日记账!$F$4:$F$603,160))</f>
        <v/>
      </c>
      <c r="L1229" s="32" t="str">
        <f>IF($E1229="","",INDEX(资金日记账!$X$4:$X$603,160))</f>
        <v/>
      </c>
      <c r="M1229" s="32"/>
      <c r="N1229" s="26" t="str">
        <f>IF($E1229="","",INDEX(资金日记账!$Y$4:$Y$603,160))</f>
        <v/>
      </c>
      <c r="O1229" s="26" t="str">
        <f t="shared" si="68"/>
        <v/>
      </c>
      <c r="P1229" s="10"/>
    </row>
    <row r="1230" ht="18" customHeight="1" spans="1:16">
      <c r="A1230" s="32" t="str">
        <f t="shared" si="69"/>
        <v/>
      </c>
      <c r="B1230" s="100" t="str">
        <f>IF($E1230="","",INDEX(资金日记账!$B$4:$B$603,161))</f>
        <v/>
      </c>
      <c r="C1230" s="26" t="str">
        <f>IF($E1230="","",IF(INDEX(资金日记账!$W$4:$W$603,161)="","记-"&amp;TEXT($B1230,"YYYYMM")&amp;"-资金",INDEX(资金日记账!$W$4:$W$603,161)))</f>
        <v/>
      </c>
      <c r="D1230" s="32" t="str">
        <f>IF($E1230="","",INDEX(资金日记账!$D$4:$D$603,161))</f>
        <v/>
      </c>
      <c r="E1230" s="26" t="str">
        <f>IF(INDEX(资金日记账!$N$4:$S$603,161,1)=0,"",INDEX(资金日记账!$N$4:$S$603,161,1))</f>
        <v/>
      </c>
      <c r="F1230" s="25" t="str">
        <f>IF($E1230="","",IFERROR(INDEX(科目表!$A$4:$A$81,MATCH($E1230,科目表!$B$4:$B$81,0)),""))</f>
        <v/>
      </c>
      <c r="G1230" s="26" t="str">
        <f>IF($E1230="","",IFERROR(INDEX(科目表!$E$4:$E$81,MATCH($E1230,科目表!$B$4:$B$81,0)),""))</f>
        <v/>
      </c>
      <c r="H1230" s="27" t="str">
        <f>IF($E1230="","",N(INDEX(资金日记账!$N$4:$S$603,161,2)))</f>
        <v/>
      </c>
      <c r="I1230" s="27" t="str">
        <f>IF($E1230="","",N(INDEX(资金日记账!$N$4:$S$603,161,3)))</f>
        <v/>
      </c>
      <c r="J1230" s="26" t="str">
        <f>IF($E1230="","",INDEX(资金日记账!$E$4:$E$603,161))</f>
        <v/>
      </c>
      <c r="K1230" s="26" t="str">
        <f>IF($E1230="","",INDEX(资金日记账!$F$4:$F$603,161))</f>
        <v/>
      </c>
      <c r="L1230" s="32" t="str">
        <f>IF($E1230="","",INDEX(资金日记账!$X$4:$X$603,161))</f>
        <v/>
      </c>
      <c r="M1230" s="32"/>
      <c r="N1230" s="26" t="str">
        <f>IF($E1230="","",INDEX(资金日记账!$Y$4:$Y$603,161))</f>
        <v/>
      </c>
      <c r="O1230" s="26" t="str">
        <f t="shared" ref="O1230:O1293" si="70">IF($E1230="","","自动B")</f>
        <v/>
      </c>
      <c r="P1230" s="10"/>
    </row>
    <row r="1231" ht="18" customHeight="1" spans="1:16">
      <c r="A1231" s="32" t="str">
        <f t="shared" si="69"/>
        <v/>
      </c>
      <c r="B1231" s="100" t="str">
        <f>IF($E1231="","",INDEX(资金日记账!$B$4:$B$603,161))</f>
        <v/>
      </c>
      <c r="C1231" s="26" t="str">
        <f>IF($E1231="","",IF(INDEX(资金日记账!$W$4:$W$603,161)="","记-"&amp;TEXT($B1231,"YYYYMM")&amp;"-资金",INDEX(资金日记账!$W$4:$W$603,161)))</f>
        <v/>
      </c>
      <c r="D1231" s="32" t="str">
        <f>IF($E1231="","",INDEX(资金日记账!$D$4:$D$603,161))</f>
        <v/>
      </c>
      <c r="E1231" s="26" t="str">
        <f>IF(INDEX(资金日记账!$N$4:$S$603,161,4)=0,"",INDEX(资金日记账!$N$4:$S$603,161,4))</f>
        <v/>
      </c>
      <c r="F1231" s="25" t="str">
        <f>IF($E1231="","",IFERROR(INDEX(科目表!$A$4:$A$81,MATCH($E1231,科目表!$B$4:$B$81,0)),""))</f>
        <v/>
      </c>
      <c r="G1231" s="26" t="str">
        <f>IF($E1231="","",IFERROR(INDEX(科目表!$E$4:$E$81,MATCH($E1231,科目表!$B$4:$B$81,0)),""))</f>
        <v/>
      </c>
      <c r="H1231" s="27" t="str">
        <f>IF($E1231="","",N(INDEX(资金日记账!$N$4:$S$603,161,5)))</f>
        <v/>
      </c>
      <c r="I1231" s="27" t="str">
        <f>IF($E1231="","",N(INDEX(资金日记账!$N$4:$S$603,161,6)))</f>
        <v/>
      </c>
      <c r="J1231" s="26" t="str">
        <f>IF($E1231="","",INDEX(资金日记账!$E$4:$E$603,161))</f>
        <v/>
      </c>
      <c r="K1231" s="26" t="str">
        <f>IF($E1231="","",INDEX(资金日记账!$F$4:$F$603,161))</f>
        <v/>
      </c>
      <c r="L1231" s="32" t="str">
        <f>IF($E1231="","",INDEX(资金日记账!$X$4:$X$603,161))</f>
        <v/>
      </c>
      <c r="M1231" s="32"/>
      <c r="N1231" s="26" t="str">
        <f>IF($E1231="","",INDEX(资金日记账!$Y$4:$Y$603,161))</f>
        <v/>
      </c>
      <c r="O1231" s="26" t="str">
        <f t="shared" si="70"/>
        <v/>
      </c>
      <c r="P1231" s="10"/>
    </row>
    <row r="1232" ht="18" customHeight="1" spans="1:16">
      <c r="A1232" s="32" t="str">
        <f t="shared" si="69"/>
        <v/>
      </c>
      <c r="B1232" s="100" t="str">
        <f>IF($E1232="","",INDEX(资金日记账!$B$4:$B$603,162))</f>
        <v/>
      </c>
      <c r="C1232" s="26" t="str">
        <f>IF($E1232="","",IF(INDEX(资金日记账!$W$4:$W$603,162)="","记-"&amp;TEXT($B1232,"YYYYMM")&amp;"-资金",INDEX(资金日记账!$W$4:$W$603,162)))</f>
        <v/>
      </c>
      <c r="D1232" s="32" t="str">
        <f>IF($E1232="","",INDEX(资金日记账!$D$4:$D$603,162))</f>
        <v/>
      </c>
      <c r="E1232" s="26" t="str">
        <f>IF(INDEX(资金日记账!$N$4:$S$603,162,1)=0,"",INDEX(资金日记账!$N$4:$S$603,162,1))</f>
        <v/>
      </c>
      <c r="F1232" s="25" t="str">
        <f>IF($E1232="","",IFERROR(INDEX(科目表!$A$4:$A$81,MATCH($E1232,科目表!$B$4:$B$81,0)),""))</f>
        <v/>
      </c>
      <c r="G1232" s="26" t="str">
        <f>IF($E1232="","",IFERROR(INDEX(科目表!$E$4:$E$81,MATCH($E1232,科目表!$B$4:$B$81,0)),""))</f>
        <v/>
      </c>
      <c r="H1232" s="27" t="str">
        <f>IF($E1232="","",N(INDEX(资金日记账!$N$4:$S$603,162,2)))</f>
        <v/>
      </c>
      <c r="I1232" s="27" t="str">
        <f>IF($E1232="","",N(INDEX(资金日记账!$N$4:$S$603,162,3)))</f>
        <v/>
      </c>
      <c r="J1232" s="26" t="str">
        <f>IF($E1232="","",INDEX(资金日记账!$E$4:$E$603,162))</f>
        <v/>
      </c>
      <c r="K1232" s="26" t="str">
        <f>IF($E1232="","",INDEX(资金日记账!$F$4:$F$603,162))</f>
        <v/>
      </c>
      <c r="L1232" s="32" t="str">
        <f>IF($E1232="","",INDEX(资金日记账!$X$4:$X$603,162))</f>
        <v/>
      </c>
      <c r="M1232" s="32"/>
      <c r="N1232" s="26" t="str">
        <f>IF($E1232="","",INDEX(资金日记账!$Y$4:$Y$603,162))</f>
        <v/>
      </c>
      <c r="O1232" s="26" t="str">
        <f t="shared" si="70"/>
        <v/>
      </c>
      <c r="P1232" s="10"/>
    </row>
    <row r="1233" ht="18" customHeight="1" spans="1:16">
      <c r="A1233" s="32" t="str">
        <f t="shared" si="69"/>
        <v/>
      </c>
      <c r="B1233" s="100" t="str">
        <f>IF($E1233="","",INDEX(资金日记账!$B$4:$B$603,162))</f>
        <v/>
      </c>
      <c r="C1233" s="26" t="str">
        <f>IF($E1233="","",IF(INDEX(资金日记账!$W$4:$W$603,162)="","记-"&amp;TEXT($B1233,"YYYYMM")&amp;"-资金",INDEX(资金日记账!$W$4:$W$603,162)))</f>
        <v/>
      </c>
      <c r="D1233" s="32" t="str">
        <f>IF($E1233="","",INDEX(资金日记账!$D$4:$D$603,162))</f>
        <v/>
      </c>
      <c r="E1233" s="26" t="str">
        <f>IF(INDEX(资金日记账!$N$4:$S$603,162,4)=0,"",INDEX(资金日记账!$N$4:$S$603,162,4))</f>
        <v/>
      </c>
      <c r="F1233" s="25" t="str">
        <f>IF($E1233="","",IFERROR(INDEX(科目表!$A$4:$A$81,MATCH($E1233,科目表!$B$4:$B$81,0)),""))</f>
        <v/>
      </c>
      <c r="G1233" s="26" t="str">
        <f>IF($E1233="","",IFERROR(INDEX(科目表!$E$4:$E$81,MATCH($E1233,科目表!$B$4:$B$81,0)),""))</f>
        <v/>
      </c>
      <c r="H1233" s="27" t="str">
        <f>IF($E1233="","",N(INDEX(资金日记账!$N$4:$S$603,162,5)))</f>
        <v/>
      </c>
      <c r="I1233" s="27" t="str">
        <f>IF($E1233="","",N(INDEX(资金日记账!$N$4:$S$603,162,6)))</f>
        <v/>
      </c>
      <c r="J1233" s="26" t="str">
        <f>IF($E1233="","",INDEX(资金日记账!$E$4:$E$603,162))</f>
        <v/>
      </c>
      <c r="K1233" s="26" t="str">
        <f>IF($E1233="","",INDEX(资金日记账!$F$4:$F$603,162))</f>
        <v/>
      </c>
      <c r="L1233" s="32" t="str">
        <f>IF($E1233="","",INDEX(资金日记账!$X$4:$X$603,162))</f>
        <v/>
      </c>
      <c r="M1233" s="32"/>
      <c r="N1233" s="26" t="str">
        <f>IF($E1233="","",INDEX(资金日记账!$Y$4:$Y$603,162))</f>
        <v/>
      </c>
      <c r="O1233" s="26" t="str">
        <f t="shared" si="70"/>
        <v/>
      </c>
      <c r="P1233" s="10"/>
    </row>
    <row r="1234" ht="18" customHeight="1" spans="1:16">
      <c r="A1234" s="32" t="str">
        <f t="shared" si="69"/>
        <v/>
      </c>
      <c r="B1234" s="100" t="str">
        <f>IF($E1234="","",INDEX(资金日记账!$B$4:$B$603,163))</f>
        <v/>
      </c>
      <c r="C1234" s="26" t="str">
        <f>IF($E1234="","",IF(INDEX(资金日记账!$W$4:$W$603,163)="","记-"&amp;TEXT($B1234,"YYYYMM")&amp;"-资金",INDEX(资金日记账!$W$4:$W$603,163)))</f>
        <v/>
      </c>
      <c r="D1234" s="32" t="str">
        <f>IF($E1234="","",INDEX(资金日记账!$D$4:$D$603,163))</f>
        <v/>
      </c>
      <c r="E1234" s="26" t="str">
        <f>IF(INDEX(资金日记账!$N$4:$S$603,163,1)=0,"",INDEX(资金日记账!$N$4:$S$603,163,1))</f>
        <v/>
      </c>
      <c r="F1234" s="25" t="str">
        <f>IF($E1234="","",IFERROR(INDEX(科目表!$A$4:$A$81,MATCH($E1234,科目表!$B$4:$B$81,0)),""))</f>
        <v/>
      </c>
      <c r="G1234" s="26" t="str">
        <f>IF($E1234="","",IFERROR(INDEX(科目表!$E$4:$E$81,MATCH($E1234,科目表!$B$4:$B$81,0)),""))</f>
        <v/>
      </c>
      <c r="H1234" s="27" t="str">
        <f>IF($E1234="","",N(INDEX(资金日记账!$N$4:$S$603,163,2)))</f>
        <v/>
      </c>
      <c r="I1234" s="27" t="str">
        <f>IF($E1234="","",N(INDEX(资金日记账!$N$4:$S$603,163,3)))</f>
        <v/>
      </c>
      <c r="J1234" s="26" t="str">
        <f>IF($E1234="","",INDEX(资金日记账!$E$4:$E$603,163))</f>
        <v/>
      </c>
      <c r="K1234" s="26" t="str">
        <f>IF($E1234="","",INDEX(资金日记账!$F$4:$F$603,163))</f>
        <v/>
      </c>
      <c r="L1234" s="32" t="str">
        <f>IF($E1234="","",INDEX(资金日记账!$X$4:$X$603,163))</f>
        <v/>
      </c>
      <c r="M1234" s="32"/>
      <c r="N1234" s="26" t="str">
        <f>IF($E1234="","",INDEX(资金日记账!$Y$4:$Y$603,163))</f>
        <v/>
      </c>
      <c r="O1234" s="26" t="str">
        <f t="shared" si="70"/>
        <v/>
      </c>
      <c r="P1234" s="10"/>
    </row>
    <row r="1235" ht="18" customHeight="1" spans="1:16">
      <c r="A1235" s="32" t="str">
        <f t="shared" si="69"/>
        <v/>
      </c>
      <c r="B1235" s="100" t="str">
        <f>IF($E1235="","",INDEX(资金日记账!$B$4:$B$603,163))</f>
        <v/>
      </c>
      <c r="C1235" s="26" t="str">
        <f>IF($E1235="","",IF(INDEX(资金日记账!$W$4:$W$603,163)="","记-"&amp;TEXT($B1235,"YYYYMM")&amp;"-资金",INDEX(资金日记账!$W$4:$W$603,163)))</f>
        <v/>
      </c>
      <c r="D1235" s="32" t="str">
        <f>IF($E1235="","",INDEX(资金日记账!$D$4:$D$603,163))</f>
        <v/>
      </c>
      <c r="E1235" s="26" t="str">
        <f>IF(INDEX(资金日记账!$N$4:$S$603,163,4)=0,"",INDEX(资金日记账!$N$4:$S$603,163,4))</f>
        <v/>
      </c>
      <c r="F1235" s="25" t="str">
        <f>IF($E1235="","",IFERROR(INDEX(科目表!$A$4:$A$81,MATCH($E1235,科目表!$B$4:$B$81,0)),""))</f>
        <v/>
      </c>
      <c r="G1235" s="26" t="str">
        <f>IF($E1235="","",IFERROR(INDEX(科目表!$E$4:$E$81,MATCH($E1235,科目表!$B$4:$B$81,0)),""))</f>
        <v/>
      </c>
      <c r="H1235" s="27" t="str">
        <f>IF($E1235="","",N(INDEX(资金日记账!$N$4:$S$603,163,5)))</f>
        <v/>
      </c>
      <c r="I1235" s="27" t="str">
        <f>IF($E1235="","",N(INDEX(资金日记账!$N$4:$S$603,163,6)))</f>
        <v/>
      </c>
      <c r="J1235" s="26" t="str">
        <f>IF($E1235="","",INDEX(资金日记账!$E$4:$E$603,163))</f>
        <v/>
      </c>
      <c r="K1235" s="26" t="str">
        <f>IF($E1235="","",INDEX(资金日记账!$F$4:$F$603,163))</f>
        <v/>
      </c>
      <c r="L1235" s="32" t="str">
        <f>IF($E1235="","",INDEX(资金日记账!$X$4:$X$603,163))</f>
        <v/>
      </c>
      <c r="M1235" s="32"/>
      <c r="N1235" s="26" t="str">
        <f>IF($E1235="","",INDEX(资金日记账!$Y$4:$Y$603,163))</f>
        <v/>
      </c>
      <c r="O1235" s="26" t="str">
        <f t="shared" si="70"/>
        <v/>
      </c>
      <c r="P1235" s="10"/>
    </row>
    <row r="1236" ht="18" customHeight="1" spans="1:16">
      <c r="A1236" s="32" t="str">
        <f t="shared" si="69"/>
        <v/>
      </c>
      <c r="B1236" s="100" t="str">
        <f>IF($E1236="","",INDEX(资金日记账!$B$4:$B$603,164))</f>
        <v/>
      </c>
      <c r="C1236" s="26" t="str">
        <f>IF($E1236="","",IF(INDEX(资金日记账!$W$4:$W$603,164)="","记-"&amp;TEXT($B1236,"YYYYMM")&amp;"-资金",INDEX(资金日记账!$W$4:$W$603,164)))</f>
        <v/>
      </c>
      <c r="D1236" s="32" t="str">
        <f>IF($E1236="","",INDEX(资金日记账!$D$4:$D$603,164))</f>
        <v/>
      </c>
      <c r="E1236" s="26" t="str">
        <f>IF(INDEX(资金日记账!$N$4:$S$603,164,1)=0,"",INDEX(资金日记账!$N$4:$S$603,164,1))</f>
        <v/>
      </c>
      <c r="F1236" s="25" t="str">
        <f>IF($E1236="","",IFERROR(INDEX(科目表!$A$4:$A$81,MATCH($E1236,科目表!$B$4:$B$81,0)),""))</f>
        <v/>
      </c>
      <c r="G1236" s="26" t="str">
        <f>IF($E1236="","",IFERROR(INDEX(科目表!$E$4:$E$81,MATCH($E1236,科目表!$B$4:$B$81,0)),""))</f>
        <v/>
      </c>
      <c r="H1236" s="27" t="str">
        <f>IF($E1236="","",N(INDEX(资金日记账!$N$4:$S$603,164,2)))</f>
        <v/>
      </c>
      <c r="I1236" s="27" t="str">
        <f>IF($E1236="","",N(INDEX(资金日记账!$N$4:$S$603,164,3)))</f>
        <v/>
      </c>
      <c r="J1236" s="26" t="str">
        <f>IF($E1236="","",INDEX(资金日记账!$E$4:$E$603,164))</f>
        <v/>
      </c>
      <c r="K1236" s="26" t="str">
        <f>IF($E1236="","",INDEX(资金日记账!$F$4:$F$603,164))</f>
        <v/>
      </c>
      <c r="L1236" s="32" t="str">
        <f>IF($E1236="","",INDEX(资金日记账!$X$4:$X$603,164))</f>
        <v/>
      </c>
      <c r="M1236" s="32"/>
      <c r="N1236" s="26" t="str">
        <f>IF($E1236="","",INDEX(资金日记账!$Y$4:$Y$603,164))</f>
        <v/>
      </c>
      <c r="O1236" s="26" t="str">
        <f t="shared" si="70"/>
        <v/>
      </c>
      <c r="P1236" s="10"/>
    </row>
    <row r="1237" ht="18" customHeight="1" spans="1:16">
      <c r="A1237" s="32" t="str">
        <f t="shared" si="69"/>
        <v/>
      </c>
      <c r="B1237" s="100" t="str">
        <f>IF($E1237="","",INDEX(资金日记账!$B$4:$B$603,164))</f>
        <v/>
      </c>
      <c r="C1237" s="26" t="str">
        <f>IF($E1237="","",IF(INDEX(资金日记账!$W$4:$W$603,164)="","记-"&amp;TEXT($B1237,"YYYYMM")&amp;"-资金",INDEX(资金日记账!$W$4:$W$603,164)))</f>
        <v/>
      </c>
      <c r="D1237" s="32" t="str">
        <f>IF($E1237="","",INDEX(资金日记账!$D$4:$D$603,164))</f>
        <v/>
      </c>
      <c r="E1237" s="26" t="str">
        <f>IF(INDEX(资金日记账!$N$4:$S$603,164,4)=0,"",INDEX(资金日记账!$N$4:$S$603,164,4))</f>
        <v/>
      </c>
      <c r="F1237" s="25" t="str">
        <f>IF($E1237="","",IFERROR(INDEX(科目表!$A$4:$A$81,MATCH($E1237,科目表!$B$4:$B$81,0)),""))</f>
        <v/>
      </c>
      <c r="G1237" s="26" t="str">
        <f>IF($E1237="","",IFERROR(INDEX(科目表!$E$4:$E$81,MATCH($E1237,科目表!$B$4:$B$81,0)),""))</f>
        <v/>
      </c>
      <c r="H1237" s="27" t="str">
        <f>IF($E1237="","",N(INDEX(资金日记账!$N$4:$S$603,164,5)))</f>
        <v/>
      </c>
      <c r="I1237" s="27" t="str">
        <f>IF($E1237="","",N(INDEX(资金日记账!$N$4:$S$603,164,6)))</f>
        <v/>
      </c>
      <c r="J1237" s="26" t="str">
        <f>IF($E1237="","",INDEX(资金日记账!$E$4:$E$603,164))</f>
        <v/>
      </c>
      <c r="K1237" s="26" t="str">
        <f>IF($E1237="","",INDEX(资金日记账!$F$4:$F$603,164))</f>
        <v/>
      </c>
      <c r="L1237" s="32" t="str">
        <f>IF($E1237="","",INDEX(资金日记账!$X$4:$X$603,164))</f>
        <v/>
      </c>
      <c r="M1237" s="32"/>
      <c r="N1237" s="26" t="str">
        <f>IF($E1237="","",INDEX(资金日记账!$Y$4:$Y$603,164))</f>
        <v/>
      </c>
      <c r="O1237" s="26" t="str">
        <f t="shared" si="70"/>
        <v/>
      </c>
      <c r="P1237" s="10"/>
    </row>
    <row r="1238" ht="18" customHeight="1" spans="1:16">
      <c r="A1238" s="32" t="str">
        <f t="shared" si="69"/>
        <v/>
      </c>
      <c r="B1238" s="100" t="str">
        <f>IF($E1238="","",INDEX(资金日记账!$B$4:$B$603,165))</f>
        <v/>
      </c>
      <c r="C1238" s="26" t="str">
        <f>IF($E1238="","",IF(INDEX(资金日记账!$W$4:$W$603,165)="","记-"&amp;TEXT($B1238,"YYYYMM")&amp;"-资金",INDEX(资金日记账!$W$4:$W$603,165)))</f>
        <v/>
      </c>
      <c r="D1238" s="32" t="str">
        <f>IF($E1238="","",INDEX(资金日记账!$D$4:$D$603,165))</f>
        <v/>
      </c>
      <c r="E1238" s="26" t="str">
        <f>IF(INDEX(资金日记账!$N$4:$S$603,165,1)=0,"",INDEX(资金日记账!$N$4:$S$603,165,1))</f>
        <v/>
      </c>
      <c r="F1238" s="25" t="str">
        <f>IF($E1238="","",IFERROR(INDEX(科目表!$A$4:$A$81,MATCH($E1238,科目表!$B$4:$B$81,0)),""))</f>
        <v/>
      </c>
      <c r="G1238" s="26" t="str">
        <f>IF($E1238="","",IFERROR(INDEX(科目表!$E$4:$E$81,MATCH($E1238,科目表!$B$4:$B$81,0)),""))</f>
        <v/>
      </c>
      <c r="H1238" s="27" t="str">
        <f>IF($E1238="","",N(INDEX(资金日记账!$N$4:$S$603,165,2)))</f>
        <v/>
      </c>
      <c r="I1238" s="27" t="str">
        <f>IF($E1238="","",N(INDEX(资金日记账!$N$4:$S$603,165,3)))</f>
        <v/>
      </c>
      <c r="J1238" s="26" t="str">
        <f>IF($E1238="","",INDEX(资金日记账!$E$4:$E$603,165))</f>
        <v/>
      </c>
      <c r="K1238" s="26" t="str">
        <f>IF($E1238="","",INDEX(资金日记账!$F$4:$F$603,165))</f>
        <v/>
      </c>
      <c r="L1238" s="32" t="str">
        <f>IF($E1238="","",INDEX(资金日记账!$X$4:$X$603,165))</f>
        <v/>
      </c>
      <c r="M1238" s="32"/>
      <c r="N1238" s="26" t="str">
        <f>IF($E1238="","",INDEX(资金日记账!$Y$4:$Y$603,165))</f>
        <v/>
      </c>
      <c r="O1238" s="26" t="str">
        <f t="shared" si="70"/>
        <v/>
      </c>
      <c r="P1238" s="10"/>
    </row>
    <row r="1239" ht="18" customHeight="1" spans="1:16">
      <c r="A1239" s="32" t="str">
        <f t="shared" si="69"/>
        <v/>
      </c>
      <c r="B1239" s="100" t="str">
        <f>IF($E1239="","",INDEX(资金日记账!$B$4:$B$603,165))</f>
        <v/>
      </c>
      <c r="C1239" s="26" t="str">
        <f>IF($E1239="","",IF(INDEX(资金日记账!$W$4:$W$603,165)="","记-"&amp;TEXT($B1239,"YYYYMM")&amp;"-资金",INDEX(资金日记账!$W$4:$W$603,165)))</f>
        <v/>
      </c>
      <c r="D1239" s="32" t="str">
        <f>IF($E1239="","",INDEX(资金日记账!$D$4:$D$603,165))</f>
        <v/>
      </c>
      <c r="E1239" s="26" t="str">
        <f>IF(INDEX(资金日记账!$N$4:$S$603,165,4)=0,"",INDEX(资金日记账!$N$4:$S$603,165,4))</f>
        <v/>
      </c>
      <c r="F1239" s="25" t="str">
        <f>IF($E1239="","",IFERROR(INDEX(科目表!$A$4:$A$81,MATCH($E1239,科目表!$B$4:$B$81,0)),""))</f>
        <v/>
      </c>
      <c r="G1239" s="26" t="str">
        <f>IF($E1239="","",IFERROR(INDEX(科目表!$E$4:$E$81,MATCH($E1239,科目表!$B$4:$B$81,0)),""))</f>
        <v/>
      </c>
      <c r="H1239" s="27" t="str">
        <f>IF($E1239="","",N(INDEX(资金日记账!$N$4:$S$603,165,5)))</f>
        <v/>
      </c>
      <c r="I1239" s="27" t="str">
        <f>IF($E1239="","",N(INDEX(资金日记账!$N$4:$S$603,165,6)))</f>
        <v/>
      </c>
      <c r="J1239" s="26" t="str">
        <f>IF($E1239="","",INDEX(资金日记账!$E$4:$E$603,165))</f>
        <v/>
      </c>
      <c r="K1239" s="26" t="str">
        <f>IF($E1239="","",INDEX(资金日记账!$F$4:$F$603,165))</f>
        <v/>
      </c>
      <c r="L1239" s="32" t="str">
        <f>IF($E1239="","",INDEX(资金日记账!$X$4:$X$603,165))</f>
        <v/>
      </c>
      <c r="M1239" s="32"/>
      <c r="N1239" s="26" t="str">
        <f>IF($E1239="","",INDEX(资金日记账!$Y$4:$Y$603,165))</f>
        <v/>
      </c>
      <c r="O1239" s="26" t="str">
        <f t="shared" si="70"/>
        <v/>
      </c>
      <c r="P1239" s="10"/>
    </row>
    <row r="1240" ht="18" customHeight="1" spans="1:16">
      <c r="A1240" s="32" t="str">
        <f t="shared" si="69"/>
        <v/>
      </c>
      <c r="B1240" s="100" t="str">
        <f>IF($E1240="","",INDEX(资金日记账!$B$4:$B$603,166))</f>
        <v/>
      </c>
      <c r="C1240" s="26" t="str">
        <f>IF($E1240="","",IF(INDEX(资金日记账!$W$4:$W$603,166)="","记-"&amp;TEXT($B1240,"YYYYMM")&amp;"-资金",INDEX(资金日记账!$W$4:$W$603,166)))</f>
        <v/>
      </c>
      <c r="D1240" s="32" t="str">
        <f>IF($E1240="","",INDEX(资金日记账!$D$4:$D$603,166))</f>
        <v/>
      </c>
      <c r="E1240" s="26" t="str">
        <f>IF(INDEX(资金日记账!$N$4:$S$603,166,1)=0,"",INDEX(资金日记账!$N$4:$S$603,166,1))</f>
        <v/>
      </c>
      <c r="F1240" s="25" t="str">
        <f>IF($E1240="","",IFERROR(INDEX(科目表!$A$4:$A$81,MATCH($E1240,科目表!$B$4:$B$81,0)),""))</f>
        <v/>
      </c>
      <c r="G1240" s="26" t="str">
        <f>IF($E1240="","",IFERROR(INDEX(科目表!$E$4:$E$81,MATCH($E1240,科目表!$B$4:$B$81,0)),""))</f>
        <v/>
      </c>
      <c r="H1240" s="27" t="str">
        <f>IF($E1240="","",N(INDEX(资金日记账!$N$4:$S$603,166,2)))</f>
        <v/>
      </c>
      <c r="I1240" s="27" t="str">
        <f>IF($E1240="","",N(INDEX(资金日记账!$N$4:$S$603,166,3)))</f>
        <v/>
      </c>
      <c r="J1240" s="26" t="str">
        <f>IF($E1240="","",INDEX(资金日记账!$E$4:$E$603,166))</f>
        <v/>
      </c>
      <c r="K1240" s="26" t="str">
        <f>IF($E1240="","",INDEX(资金日记账!$F$4:$F$603,166))</f>
        <v/>
      </c>
      <c r="L1240" s="32" t="str">
        <f>IF($E1240="","",INDEX(资金日记账!$X$4:$X$603,166))</f>
        <v/>
      </c>
      <c r="M1240" s="32"/>
      <c r="N1240" s="26" t="str">
        <f>IF($E1240="","",INDEX(资金日记账!$Y$4:$Y$603,166))</f>
        <v/>
      </c>
      <c r="O1240" s="26" t="str">
        <f t="shared" si="70"/>
        <v/>
      </c>
      <c r="P1240" s="10"/>
    </row>
    <row r="1241" ht="18" customHeight="1" spans="1:16">
      <c r="A1241" s="32" t="str">
        <f t="shared" si="69"/>
        <v/>
      </c>
      <c r="B1241" s="100" t="str">
        <f>IF($E1241="","",INDEX(资金日记账!$B$4:$B$603,166))</f>
        <v/>
      </c>
      <c r="C1241" s="26" t="str">
        <f>IF($E1241="","",IF(INDEX(资金日记账!$W$4:$W$603,166)="","记-"&amp;TEXT($B1241,"YYYYMM")&amp;"-资金",INDEX(资金日记账!$W$4:$W$603,166)))</f>
        <v/>
      </c>
      <c r="D1241" s="32" t="str">
        <f>IF($E1241="","",INDEX(资金日记账!$D$4:$D$603,166))</f>
        <v/>
      </c>
      <c r="E1241" s="26" t="str">
        <f>IF(INDEX(资金日记账!$N$4:$S$603,166,4)=0,"",INDEX(资金日记账!$N$4:$S$603,166,4))</f>
        <v/>
      </c>
      <c r="F1241" s="25" t="str">
        <f>IF($E1241="","",IFERROR(INDEX(科目表!$A$4:$A$81,MATCH($E1241,科目表!$B$4:$B$81,0)),""))</f>
        <v/>
      </c>
      <c r="G1241" s="26" t="str">
        <f>IF($E1241="","",IFERROR(INDEX(科目表!$E$4:$E$81,MATCH($E1241,科目表!$B$4:$B$81,0)),""))</f>
        <v/>
      </c>
      <c r="H1241" s="27" t="str">
        <f>IF($E1241="","",N(INDEX(资金日记账!$N$4:$S$603,166,5)))</f>
        <v/>
      </c>
      <c r="I1241" s="27" t="str">
        <f>IF($E1241="","",N(INDEX(资金日记账!$N$4:$S$603,166,6)))</f>
        <v/>
      </c>
      <c r="J1241" s="26" t="str">
        <f>IF($E1241="","",INDEX(资金日记账!$E$4:$E$603,166))</f>
        <v/>
      </c>
      <c r="K1241" s="26" t="str">
        <f>IF($E1241="","",INDEX(资金日记账!$F$4:$F$603,166))</f>
        <v/>
      </c>
      <c r="L1241" s="32" t="str">
        <f>IF($E1241="","",INDEX(资金日记账!$X$4:$X$603,166))</f>
        <v/>
      </c>
      <c r="M1241" s="32"/>
      <c r="N1241" s="26" t="str">
        <f>IF($E1241="","",INDEX(资金日记账!$Y$4:$Y$603,166))</f>
        <v/>
      </c>
      <c r="O1241" s="26" t="str">
        <f t="shared" si="70"/>
        <v/>
      </c>
      <c r="P1241" s="10"/>
    </row>
    <row r="1242" ht="18" customHeight="1" spans="1:16">
      <c r="A1242" s="32" t="str">
        <f t="shared" si="69"/>
        <v/>
      </c>
      <c r="B1242" s="100" t="str">
        <f>IF($E1242="","",INDEX(资金日记账!$B$4:$B$603,167))</f>
        <v/>
      </c>
      <c r="C1242" s="26" t="str">
        <f>IF($E1242="","",IF(INDEX(资金日记账!$W$4:$W$603,167)="","记-"&amp;TEXT($B1242,"YYYYMM")&amp;"-资金",INDEX(资金日记账!$W$4:$W$603,167)))</f>
        <v/>
      </c>
      <c r="D1242" s="32" t="str">
        <f>IF($E1242="","",INDEX(资金日记账!$D$4:$D$603,167))</f>
        <v/>
      </c>
      <c r="E1242" s="26" t="str">
        <f>IF(INDEX(资金日记账!$N$4:$S$603,167,1)=0,"",INDEX(资金日记账!$N$4:$S$603,167,1))</f>
        <v/>
      </c>
      <c r="F1242" s="25" t="str">
        <f>IF($E1242="","",IFERROR(INDEX(科目表!$A$4:$A$81,MATCH($E1242,科目表!$B$4:$B$81,0)),""))</f>
        <v/>
      </c>
      <c r="G1242" s="26" t="str">
        <f>IF($E1242="","",IFERROR(INDEX(科目表!$E$4:$E$81,MATCH($E1242,科目表!$B$4:$B$81,0)),""))</f>
        <v/>
      </c>
      <c r="H1242" s="27" t="str">
        <f>IF($E1242="","",N(INDEX(资金日记账!$N$4:$S$603,167,2)))</f>
        <v/>
      </c>
      <c r="I1242" s="27" t="str">
        <f>IF($E1242="","",N(INDEX(资金日记账!$N$4:$S$603,167,3)))</f>
        <v/>
      </c>
      <c r="J1242" s="26" t="str">
        <f>IF($E1242="","",INDEX(资金日记账!$E$4:$E$603,167))</f>
        <v/>
      </c>
      <c r="K1242" s="26" t="str">
        <f>IF($E1242="","",INDEX(资金日记账!$F$4:$F$603,167))</f>
        <v/>
      </c>
      <c r="L1242" s="32" t="str">
        <f>IF($E1242="","",INDEX(资金日记账!$X$4:$X$603,167))</f>
        <v/>
      </c>
      <c r="M1242" s="32"/>
      <c r="N1242" s="26" t="str">
        <f>IF($E1242="","",INDEX(资金日记账!$Y$4:$Y$603,167))</f>
        <v/>
      </c>
      <c r="O1242" s="26" t="str">
        <f t="shared" si="70"/>
        <v/>
      </c>
      <c r="P1242" s="10"/>
    </row>
    <row r="1243" ht="18" customHeight="1" spans="1:16">
      <c r="A1243" s="32" t="str">
        <f t="shared" si="69"/>
        <v/>
      </c>
      <c r="B1243" s="100" t="str">
        <f>IF($E1243="","",INDEX(资金日记账!$B$4:$B$603,167))</f>
        <v/>
      </c>
      <c r="C1243" s="26" t="str">
        <f>IF($E1243="","",IF(INDEX(资金日记账!$W$4:$W$603,167)="","记-"&amp;TEXT($B1243,"YYYYMM")&amp;"-资金",INDEX(资金日记账!$W$4:$W$603,167)))</f>
        <v/>
      </c>
      <c r="D1243" s="32" t="str">
        <f>IF($E1243="","",INDEX(资金日记账!$D$4:$D$603,167))</f>
        <v/>
      </c>
      <c r="E1243" s="26" t="str">
        <f>IF(INDEX(资金日记账!$N$4:$S$603,167,4)=0,"",INDEX(资金日记账!$N$4:$S$603,167,4))</f>
        <v/>
      </c>
      <c r="F1243" s="25" t="str">
        <f>IF($E1243="","",IFERROR(INDEX(科目表!$A$4:$A$81,MATCH($E1243,科目表!$B$4:$B$81,0)),""))</f>
        <v/>
      </c>
      <c r="G1243" s="26" t="str">
        <f>IF($E1243="","",IFERROR(INDEX(科目表!$E$4:$E$81,MATCH($E1243,科目表!$B$4:$B$81,0)),""))</f>
        <v/>
      </c>
      <c r="H1243" s="27" t="str">
        <f>IF($E1243="","",N(INDEX(资金日记账!$N$4:$S$603,167,5)))</f>
        <v/>
      </c>
      <c r="I1243" s="27" t="str">
        <f>IF($E1243="","",N(INDEX(资金日记账!$N$4:$S$603,167,6)))</f>
        <v/>
      </c>
      <c r="J1243" s="26" t="str">
        <f>IF($E1243="","",INDEX(资金日记账!$E$4:$E$603,167))</f>
        <v/>
      </c>
      <c r="K1243" s="26" t="str">
        <f>IF($E1243="","",INDEX(资金日记账!$F$4:$F$603,167))</f>
        <v/>
      </c>
      <c r="L1243" s="32" t="str">
        <f>IF($E1243="","",INDEX(资金日记账!$X$4:$X$603,167))</f>
        <v/>
      </c>
      <c r="M1243" s="32"/>
      <c r="N1243" s="26" t="str">
        <f>IF($E1243="","",INDEX(资金日记账!$Y$4:$Y$603,167))</f>
        <v/>
      </c>
      <c r="O1243" s="26" t="str">
        <f t="shared" si="70"/>
        <v/>
      </c>
      <c r="P1243" s="10"/>
    </row>
    <row r="1244" ht="18" customHeight="1" spans="1:16">
      <c r="A1244" s="32" t="str">
        <f t="shared" si="69"/>
        <v/>
      </c>
      <c r="B1244" s="100" t="str">
        <f>IF($E1244="","",INDEX(资金日记账!$B$4:$B$603,168))</f>
        <v/>
      </c>
      <c r="C1244" s="26" t="str">
        <f>IF($E1244="","",IF(INDEX(资金日记账!$W$4:$W$603,168)="","记-"&amp;TEXT($B1244,"YYYYMM")&amp;"-资金",INDEX(资金日记账!$W$4:$W$603,168)))</f>
        <v/>
      </c>
      <c r="D1244" s="32" t="str">
        <f>IF($E1244="","",INDEX(资金日记账!$D$4:$D$603,168))</f>
        <v/>
      </c>
      <c r="E1244" s="26" t="str">
        <f>IF(INDEX(资金日记账!$N$4:$S$603,168,1)=0,"",INDEX(资金日记账!$N$4:$S$603,168,1))</f>
        <v/>
      </c>
      <c r="F1244" s="25" t="str">
        <f>IF($E1244="","",IFERROR(INDEX(科目表!$A$4:$A$81,MATCH($E1244,科目表!$B$4:$B$81,0)),""))</f>
        <v/>
      </c>
      <c r="G1244" s="26" t="str">
        <f>IF($E1244="","",IFERROR(INDEX(科目表!$E$4:$E$81,MATCH($E1244,科目表!$B$4:$B$81,0)),""))</f>
        <v/>
      </c>
      <c r="H1244" s="27" t="str">
        <f>IF($E1244="","",N(INDEX(资金日记账!$N$4:$S$603,168,2)))</f>
        <v/>
      </c>
      <c r="I1244" s="27" t="str">
        <f>IF($E1244="","",N(INDEX(资金日记账!$N$4:$S$603,168,3)))</f>
        <v/>
      </c>
      <c r="J1244" s="26" t="str">
        <f>IF($E1244="","",INDEX(资金日记账!$E$4:$E$603,168))</f>
        <v/>
      </c>
      <c r="K1244" s="26" t="str">
        <f>IF($E1244="","",INDEX(资金日记账!$F$4:$F$603,168))</f>
        <v/>
      </c>
      <c r="L1244" s="32" t="str">
        <f>IF($E1244="","",INDEX(资金日记账!$X$4:$X$603,168))</f>
        <v/>
      </c>
      <c r="M1244" s="32"/>
      <c r="N1244" s="26" t="str">
        <f>IF($E1244="","",INDEX(资金日记账!$Y$4:$Y$603,168))</f>
        <v/>
      </c>
      <c r="O1244" s="26" t="str">
        <f t="shared" si="70"/>
        <v/>
      </c>
      <c r="P1244" s="10"/>
    </row>
    <row r="1245" ht="18" customHeight="1" spans="1:16">
      <c r="A1245" s="32" t="str">
        <f t="shared" si="69"/>
        <v/>
      </c>
      <c r="B1245" s="100" t="str">
        <f>IF($E1245="","",INDEX(资金日记账!$B$4:$B$603,168))</f>
        <v/>
      </c>
      <c r="C1245" s="26" t="str">
        <f>IF($E1245="","",IF(INDEX(资金日记账!$W$4:$W$603,168)="","记-"&amp;TEXT($B1245,"YYYYMM")&amp;"-资金",INDEX(资金日记账!$W$4:$W$603,168)))</f>
        <v/>
      </c>
      <c r="D1245" s="32" t="str">
        <f>IF($E1245="","",INDEX(资金日记账!$D$4:$D$603,168))</f>
        <v/>
      </c>
      <c r="E1245" s="26" t="str">
        <f>IF(INDEX(资金日记账!$N$4:$S$603,168,4)=0,"",INDEX(资金日记账!$N$4:$S$603,168,4))</f>
        <v/>
      </c>
      <c r="F1245" s="25" t="str">
        <f>IF($E1245="","",IFERROR(INDEX(科目表!$A$4:$A$81,MATCH($E1245,科目表!$B$4:$B$81,0)),""))</f>
        <v/>
      </c>
      <c r="G1245" s="26" t="str">
        <f>IF($E1245="","",IFERROR(INDEX(科目表!$E$4:$E$81,MATCH($E1245,科目表!$B$4:$B$81,0)),""))</f>
        <v/>
      </c>
      <c r="H1245" s="27" t="str">
        <f>IF($E1245="","",N(INDEX(资金日记账!$N$4:$S$603,168,5)))</f>
        <v/>
      </c>
      <c r="I1245" s="27" t="str">
        <f>IF($E1245="","",N(INDEX(资金日记账!$N$4:$S$603,168,6)))</f>
        <v/>
      </c>
      <c r="J1245" s="26" t="str">
        <f>IF($E1245="","",INDEX(资金日记账!$E$4:$E$603,168))</f>
        <v/>
      </c>
      <c r="K1245" s="26" t="str">
        <f>IF($E1245="","",INDEX(资金日记账!$F$4:$F$603,168))</f>
        <v/>
      </c>
      <c r="L1245" s="32" t="str">
        <f>IF($E1245="","",INDEX(资金日记账!$X$4:$X$603,168))</f>
        <v/>
      </c>
      <c r="M1245" s="32"/>
      <c r="N1245" s="26" t="str">
        <f>IF($E1245="","",INDEX(资金日记账!$Y$4:$Y$603,168))</f>
        <v/>
      </c>
      <c r="O1245" s="26" t="str">
        <f t="shared" si="70"/>
        <v/>
      </c>
      <c r="P1245" s="10"/>
    </row>
    <row r="1246" ht="18" customHeight="1" spans="1:16">
      <c r="A1246" s="32" t="str">
        <f t="shared" si="69"/>
        <v/>
      </c>
      <c r="B1246" s="100" t="str">
        <f>IF($E1246="","",INDEX(资金日记账!$B$4:$B$603,169))</f>
        <v/>
      </c>
      <c r="C1246" s="26" t="str">
        <f>IF($E1246="","",IF(INDEX(资金日记账!$W$4:$W$603,169)="","记-"&amp;TEXT($B1246,"YYYYMM")&amp;"-资金",INDEX(资金日记账!$W$4:$W$603,169)))</f>
        <v/>
      </c>
      <c r="D1246" s="32" t="str">
        <f>IF($E1246="","",INDEX(资金日记账!$D$4:$D$603,169))</f>
        <v/>
      </c>
      <c r="E1246" s="26" t="str">
        <f>IF(INDEX(资金日记账!$N$4:$S$603,169,1)=0,"",INDEX(资金日记账!$N$4:$S$603,169,1))</f>
        <v/>
      </c>
      <c r="F1246" s="25" t="str">
        <f>IF($E1246="","",IFERROR(INDEX(科目表!$A$4:$A$81,MATCH($E1246,科目表!$B$4:$B$81,0)),""))</f>
        <v/>
      </c>
      <c r="G1246" s="26" t="str">
        <f>IF($E1246="","",IFERROR(INDEX(科目表!$E$4:$E$81,MATCH($E1246,科目表!$B$4:$B$81,0)),""))</f>
        <v/>
      </c>
      <c r="H1246" s="27" t="str">
        <f>IF($E1246="","",N(INDEX(资金日记账!$N$4:$S$603,169,2)))</f>
        <v/>
      </c>
      <c r="I1246" s="27" t="str">
        <f>IF($E1246="","",N(INDEX(资金日记账!$N$4:$S$603,169,3)))</f>
        <v/>
      </c>
      <c r="J1246" s="26" t="str">
        <f>IF($E1246="","",INDEX(资金日记账!$E$4:$E$603,169))</f>
        <v/>
      </c>
      <c r="K1246" s="26" t="str">
        <f>IF($E1246="","",INDEX(资金日记账!$F$4:$F$603,169))</f>
        <v/>
      </c>
      <c r="L1246" s="32" t="str">
        <f>IF($E1246="","",INDEX(资金日记账!$X$4:$X$603,169))</f>
        <v/>
      </c>
      <c r="M1246" s="32"/>
      <c r="N1246" s="26" t="str">
        <f>IF($E1246="","",INDEX(资金日记账!$Y$4:$Y$603,169))</f>
        <v/>
      </c>
      <c r="O1246" s="26" t="str">
        <f t="shared" si="70"/>
        <v/>
      </c>
      <c r="P1246" s="10"/>
    </row>
    <row r="1247" ht="18" customHeight="1" spans="1:16">
      <c r="A1247" s="32" t="str">
        <f t="shared" si="69"/>
        <v/>
      </c>
      <c r="B1247" s="100" t="str">
        <f>IF($E1247="","",INDEX(资金日记账!$B$4:$B$603,169))</f>
        <v/>
      </c>
      <c r="C1247" s="26" t="str">
        <f>IF($E1247="","",IF(INDEX(资金日记账!$W$4:$W$603,169)="","记-"&amp;TEXT($B1247,"YYYYMM")&amp;"-资金",INDEX(资金日记账!$W$4:$W$603,169)))</f>
        <v/>
      </c>
      <c r="D1247" s="32" t="str">
        <f>IF($E1247="","",INDEX(资金日记账!$D$4:$D$603,169))</f>
        <v/>
      </c>
      <c r="E1247" s="26" t="str">
        <f>IF(INDEX(资金日记账!$N$4:$S$603,169,4)=0,"",INDEX(资金日记账!$N$4:$S$603,169,4))</f>
        <v/>
      </c>
      <c r="F1247" s="25" t="str">
        <f>IF($E1247="","",IFERROR(INDEX(科目表!$A$4:$A$81,MATCH($E1247,科目表!$B$4:$B$81,0)),""))</f>
        <v/>
      </c>
      <c r="G1247" s="26" t="str">
        <f>IF($E1247="","",IFERROR(INDEX(科目表!$E$4:$E$81,MATCH($E1247,科目表!$B$4:$B$81,0)),""))</f>
        <v/>
      </c>
      <c r="H1247" s="27" t="str">
        <f>IF($E1247="","",N(INDEX(资金日记账!$N$4:$S$603,169,5)))</f>
        <v/>
      </c>
      <c r="I1247" s="27" t="str">
        <f>IF($E1247="","",N(INDEX(资金日记账!$N$4:$S$603,169,6)))</f>
        <v/>
      </c>
      <c r="J1247" s="26" t="str">
        <f>IF($E1247="","",INDEX(资金日记账!$E$4:$E$603,169))</f>
        <v/>
      </c>
      <c r="K1247" s="26" t="str">
        <f>IF($E1247="","",INDEX(资金日记账!$F$4:$F$603,169))</f>
        <v/>
      </c>
      <c r="L1247" s="32" t="str">
        <f>IF($E1247="","",INDEX(资金日记账!$X$4:$X$603,169))</f>
        <v/>
      </c>
      <c r="M1247" s="32"/>
      <c r="N1247" s="26" t="str">
        <f>IF($E1247="","",INDEX(资金日记账!$Y$4:$Y$603,169))</f>
        <v/>
      </c>
      <c r="O1247" s="26" t="str">
        <f t="shared" si="70"/>
        <v/>
      </c>
      <c r="P1247" s="10"/>
    </row>
    <row r="1248" ht="18" customHeight="1" spans="1:16">
      <c r="A1248" s="32" t="str">
        <f t="shared" si="69"/>
        <v/>
      </c>
      <c r="B1248" s="100" t="str">
        <f>IF($E1248="","",INDEX(资金日记账!$B$4:$B$603,170))</f>
        <v/>
      </c>
      <c r="C1248" s="26" t="str">
        <f>IF($E1248="","",IF(INDEX(资金日记账!$W$4:$W$603,170)="","记-"&amp;TEXT($B1248,"YYYYMM")&amp;"-资金",INDEX(资金日记账!$W$4:$W$603,170)))</f>
        <v/>
      </c>
      <c r="D1248" s="32" t="str">
        <f>IF($E1248="","",INDEX(资金日记账!$D$4:$D$603,170))</f>
        <v/>
      </c>
      <c r="E1248" s="26" t="str">
        <f>IF(INDEX(资金日记账!$N$4:$S$603,170,1)=0,"",INDEX(资金日记账!$N$4:$S$603,170,1))</f>
        <v/>
      </c>
      <c r="F1248" s="25" t="str">
        <f>IF($E1248="","",IFERROR(INDEX(科目表!$A$4:$A$81,MATCH($E1248,科目表!$B$4:$B$81,0)),""))</f>
        <v/>
      </c>
      <c r="G1248" s="26" t="str">
        <f>IF($E1248="","",IFERROR(INDEX(科目表!$E$4:$E$81,MATCH($E1248,科目表!$B$4:$B$81,0)),""))</f>
        <v/>
      </c>
      <c r="H1248" s="27" t="str">
        <f>IF($E1248="","",N(INDEX(资金日记账!$N$4:$S$603,170,2)))</f>
        <v/>
      </c>
      <c r="I1248" s="27" t="str">
        <f>IF($E1248="","",N(INDEX(资金日记账!$N$4:$S$603,170,3)))</f>
        <v/>
      </c>
      <c r="J1248" s="26" t="str">
        <f>IF($E1248="","",INDEX(资金日记账!$E$4:$E$603,170))</f>
        <v/>
      </c>
      <c r="K1248" s="26" t="str">
        <f>IF($E1248="","",INDEX(资金日记账!$F$4:$F$603,170))</f>
        <v/>
      </c>
      <c r="L1248" s="32" t="str">
        <f>IF($E1248="","",INDEX(资金日记账!$X$4:$X$603,170))</f>
        <v/>
      </c>
      <c r="M1248" s="32"/>
      <c r="N1248" s="26" t="str">
        <f>IF($E1248="","",INDEX(资金日记账!$Y$4:$Y$603,170))</f>
        <v/>
      </c>
      <c r="O1248" s="26" t="str">
        <f t="shared" si="70"/>
        <v/>
      </c>
      <c r="P1248" s="10"/>
    </row>
    <row r="1249" ht="18" customHeight="1" spans="1:16">
      <c r="A1249" s="32" t="str">
        <f t="shared" si="69"/>
        <v/>
      </c>
      <c r="B1249" s="100" t="str">
        <f>IF($E1249="","",INDEX(资金日记账!$B$4:$B$603,170))</f>
        <v/>
      </c>
      <c r="C1249" s="26" t="str">
        <f>IF($E1249="","",IF(INDEX(资金日记账!$W$4:$W$603,170)="","记-"&amp;TEXT($B1249,"YYYYMM")&amp;"-资金",INDEX(资金日记账!$W$4:$W$603,170)))</f>
        <v/>
      </c>
      <c r="D1249" s="32" t="str">
        <f>IF($E1249="","",INDEX(资金日记账!$D$4:$D$603,170))</f>
        <v/>
      </c>
      <c r="E1249" s="26" t="str">
        <f>IF(INDEX(资金日记账!$N$4:$S$603,170,4)=0,"",INDEX(资金日记账!$N$4:$S$603,170,4))</f>
        <v/>
      </c>
      <c r="F1249" s="25" t="str">
        <f>IF($E1249="","",IFERROR(INDEX(科目表!$A$4:$A$81,MATCH($E1249,科目表!$B$4:$B$81,0)),""))</f>
        <v/>
      </c>
      <c r="G1249" s="26" t="str">
        <f>IF($E1249="","",IFERROR(INDEX(科目表!$E$4:$E$81,MATCH($E1249,科目表!$B$4:$B$81,0)),""))</f>
        <v/>
      </c>
      <c r="H1249" s="27" t="str">
        <f>IF($E1249="","",N(INDEX(资金日记账!$N$4:$S$603,170,5)))</f>
        <v/>
      </c>
      <c r="I1249" s="27" t="str">
        <f>IF($E1249="","",N(INDEX(资金日记账!$N$4:$S$603,170,6)))</f>
        <v/>
      </c>
      <c r="J1249" s="26" t="str">
        <f>IF($E1249="","",INDEX(资金日记账!$E$4:$E$603,170))</f>
        <v/>
      </c>
      <c r="K1249" s="26" t="str">
        <f>IF($E1249="","",INDEX(资金日记账!$F$4:$F$603,170))</f>
        <v/>
      </c>
      <c r="L1249" s="32" t="str">
        <f>IF($E1249="","",INDEX(资金日记账!$X$4:$X$603,170))</f>
        <v/>
      </c>
      <c r="M1249" s="32"/>
      <c r="N1249" s="26" t="str">
        <f>IF($E1249="","",INDEX(资金日记账!$Y$4:$Y$603,170))</f>
        <v/>
      </c>
      <c r="O1249" s="26" t="str">
        <f t="shared" si="70"/>
        <v/>
      </c>
      <c r="P1249" s="10"/>
    </row>
    <row r="1250" ht="18" customHeight="1" spans="1:16">
      <c r="A1250" s="32" t="str">
        <f t="shared" si="69"/>
        <v/>
      </c>
      <c r="B1250" s="100" t="str">
        <f>IF($E1250="","",INDEX(资金日记账!$B$4:$B$603,171))</f>
        <v/>
      </c>
      <c r="C1250" s="26" t="str">
        <f>IF($E1250="","",IF(INDEX(资金日记账!$W$4:$W$603,171)="","记-"&amp;TEXT($B1250,"YYYYMM")&amp;"-资金",INDEX(资金日记账!$W$4:$W$603,171)))</f>
        <v/>
      </c>
      <c r="D1250" s="32" t="str">
        <f>IF($E1250="","",INDEX(资金日记账!$D$4:$D$603,171))</f>
        <v/>
      </c>
      <c r="E1250" s="26" t="str">
        <f>IF(INDEX(资金日记账!$N$4:$S$603,171,1)=0,"",INDEX(资金日记账!$N$4:$S$603,171,1))</f>
        <v/>
      </c>
      <c r="F1250" s="25" t="str">
        <f>IF($E1250="","",IFERROR(INDEX(科目表!$A$4:$A$81,MATCH($E1250,科目表!$B$4:$B$81,0)),""))</f>
        <v/>
      </c>
      <c r="G1250" s="26" t="str">
        <f>IF($E1250="","",IFERROR(INDEX(科目表!$E$4:$E$81,MATCH($E1250,科目表!$B$4:$B$81,0)),""))</f>
        <v/>
      </c>
      <c r="H1250" s="27" t="str">
        <f>IF($E1250="","",N(INDEX(资金日记账!$N$4:$S$603,171,2)))</f>
        <v/>
      </c>
      <c r="I1250" s="27" t="str">
        <f>IF($E1250="","",N(INDEX(资金日记账!$N$4:$S$603,171,3)))</f>
        <v/>
      </c>
      <c r="J1250" s="26" t="str">
        <f>IF($E1250="","",INDEX(资金日记账!$E$4:$E$603,171))</f>
        <v/>
      </c>
      <c r="K1250" s="26" t="str">
        <f>IF($E1250="","",INDEX(资金日记账!$F$4:$F$603,171))</f>
        <v/>
      </c>
      <c r="L1250" s="32" t="str">
        <f>IF($E1250="","",INDEX(资金日记账!$X$4:$X$603,171))</f>
        <v/>
      </c>
      <c r="M1250" s="32"/>
      <c r="N1250" s="26" t="str">
        <f>IF($E1250="","",INDEX(资金日记账!$Y$4:$Y$603,171))</f>
        <v/>
      </c>
      <c r="O1250" s="26" t="str">
        <f t="shared" si="70"/>
        <v/>
      </c>
      <c r="P1250" s="10"/>
    </row>
    <row r="1251" ht="18" customHeight="1" spans="1:16">
      <c r="A1251" s="32" t="str">
        <f t="shared" si="69"/>
        <v/>
      </c>
      <c r="B1251" s="100" t="str">
        <f>IF($E1251="","",INDEX(资金日记账!$B$4:$B$603,171))</f>
        <v/>
      </c>
      <c r="C1251" s="26" t="str">
        <f>IF($E1251="","",IF(INDEX(资金日记账!$W$4:$W$603,171)="","记-"&amp;TEXT($B1251,"YYYYMM")&amp;"-资金",INDEX(资金日记账!$W$4:$W$603,171)))</f>
        <v/>
      </c>
      <c r="D1251" s="32" t="str">
        <f>IF($E1251="","",INDEX(资金日记账!$D$4:$D$603,171))</f>
        <v/>
      </c>
      <c r="E1251" s="26" t="str">
        <f>IF(INDEX(资金日记账!$N$4:$S$603,171,4)=0,"",INDEX(资金日记账!$N$4:$S$603,171,4))</f>
        <v/>
      </c>
      <c r="F1251" s="25" t="str">
        <f>IF($E1251="","",IFERROR(INDEX(科目表!$A$4:$A$81,MATCH($E1251,科目表!$B$4:$B$81,0)),""))</f>
        <v/>
      </c>
      <c r="G1251" s="26" t="str">
        <f>IF($E1251="","",IFERROR(INDEX(科目表!$E$4:$E$81,MATCH($E1251,科目表!$B$4:$B$81,0)),""))</f>
        <v/>
      </c>
      <c r="H1251" s="27" t="str">
        <f>IF($E1251="","",N(INDEX(资金日记账!$N$4:$S$603,171,5)))</f>
        <v/>
      </c>
      <c r="I1251" s="27" t="str">
        <f>IF($E1251="","",N(INDEX(资金日记账!$N$4:$S$603,171,6)))</f>
        <v/>
      </c>
      <c r="J1251" s="26" t="str">
        <f>IF($E1251="","",INDEX(资金日记账!$E$4:$E$603,171))</f>
        <v/>
      </c>
      <c r="K1251" s="26" t="str">
        <f>IF($E1251="","",INDEX(资金日记账!$F$4:$F$603,171))</f>
        <v/>
      </c>
      <c r="L1251" s="32" t="str">
        <f>IF($E1251="","",INDEX(资金日记账!$X$4:$X$603,171))</f>
        <v/>
      </c>
      <c r="M1251" s="32"/>
      <c r="N1251" s="26" t="str">
        <f>IF($E1251="","",INDEX(资金日记账!$Y$4:$Y$603,171))</f>
        <v/>
      </c>
      <c r="O1251" s="26" t="str">
        <f t="shared" si="70"/>
        <v/>
      </c>
      <c r="P1251" s="10"/>
    </row>
    <row r="1252" ht="18" customHeight="1" spans="1:16">
      <c r="A1252" s="32" t="str">
        <f t="shared" si="69"/>
        <v/>
      </c>
      <c r="B1252" s="100" t="str">
        <f>IF($E1252="","",INDEX(资金日记账!$B$4:$B$603,172))</f>
        <v/>
      </c>
      <c r="C1252" s="26" t="str">
        <f>IF($E1252="","",IF(INDEX(资金日记账!$W$4:$W$603,172)="","记-"&amp;TEXT($B1252,"YYYYMM")&amp;"-资金",INDEX(资金日记账!$W$4:$W$603,172)))</f>
        <v/>
      </c>
      <c r="D1252" s="32" t="str">
        <f>IF($E1252="","",INDEX(资金日记账!$D$4:$D$603,172))</f>
        <v/>
      </c>
      <c r="E1252" s="26" t="str">
        <f>IF(INDEX(资金日记账!$N$4:$S$603,172,1)=0,"",INDEX(资金日记账!$N$4:$S$603,172,1))</f>
        <v/>
      </c>
      <c r="F1252" s="25" t="str">
        <f>IF($E1252="","",IFERROR(INDEX(科目表!$A$4:$A$81,MATCH($E1252,科目表!$B$4:$B$81,0)),""))</f>
        <v/>
      </c>
      <c r="G1252" s="26" t="str">
        <f>IF($E1252="","",IFERROR(INDEX(科目表!$E$4:$E$81,MATCH($E1252,科目表!$B$4:$B$81,0)),""))</f>
        <v/>
      </c>
      <c r="H1252" s="27" t="str">
        <f>IF($E1252="","",N(INDEX(资金日记账!$N$4:$S$603,172,2)))</f>
        <v/>
      </c>
      <c r="I1252" s="27" t="str">
        <f>IF($E1252="","",N(INDEX(资金日记账!$N$4:$S$603,172,3)))</f>
        <v/>
      </c>
      <c r="J1252" s="26" t="str">
        <f>IF($E1252="","",INDEX(资金日记账!$E$4:$E$603,172))</f>
        <v/>
      </c>
      <c r="K1252" s="26" t="str">
        <f>IF($E1252="","",INDEX(资金日记账!$F$4:$F$603,172))</f>
        <v/>
      </c>
      <c r="L1252" s="32" t="str">
        <f>IF($E1252="","",INDEX(资金日记账!$X$4:$X$603,172))</f>
        <v/>
      </c>
      <c r="M1252" s="32"/>
      <c r="N1252" s="26" t="str">
        <f>IF($E1252="","",INDEX(资金日记账!$Y$4:$Y$603,172))</f>
        <v/>
      </c>
      <c r="O1252" s="26" t="str">
        <f t="shared" si="70"/>
        <v/>
      </c>
      <c r="P1252" s="10"/>
    </row>
    <row r="1253" ht="18" customHeight="1" spans="1:16">
      <c r="A1253" s="32" t="str">
        <f t="shared" si="69"/>
        <v/>
      </c>
      <c r="B1253" s="100" t="str">
        <f>IF($E1253="","",INDEX(资金日记账!$B$4:$B$603,172))</f>
        <v/>
      </c>
      <c r="C1253" s="26" t="str">
        <f>IF($E1253="","",IF(INDEX(资金日记账!$W$4:$W$603,172)="","记-"&amp;TEXT($B1253,"YYYYMM")&amp;"-资金",INDEX(资金日记账!$W$4:$W$603,172)))</f>
        <v/>
      </c>
      <c r="D1253" s="32" t="str">
        <f>IF($E1253="","",INDEX(资金日记账!$D$4:$D$603,172))</f>
        <v/>
      </c>
      <c r="E1253" s="26" t="str">
        <f>IF(INDEX(资金日记账!$N$4:$S$603,172,4)=0,"",INDEX(资金日记账!$N$4:$S$603,172,4))</f>
        <v/>
      </c>
      <c r="F1253" s="25" t="str">
        <f>IF($E1253="","",IFERROR(INDEX(科目表!$A$4:$A$81,MATCH($E1253,科目表!$B$4:$B$81,0)),""))</f>
        <v/>
      </c>
      <c r="G1253" s="26" t="str">
        <f>IF($E1253="","",IFERROR(INDEX(科目表!$E$4:$E$81,MATCH($E1253,科目表!$B$4:$B$81,0)),""))</f>
        <v/>
      </c>
      <c r="H1253" s="27" t="str">
        <f>IF($E1253="","",N(INDEX(资金日记账!$N$4:$S$603,172,5)))</f>
        <v/>
      </c>
      <c r="I1253" s="27" t="str">
        <f>IF($E1253="","",N(INDEX(资金日记账!$N$4:$S$603,172,6)))</f>
        <v/>
      </c>
      <c r="J1253" s="26" t="str">
        <f>IF($E1253="","",INDEX(资金日记账!$E$4:$E$603,172))</f>
        <v/>
      </c>
      <c r="K1253" s="26" t="str">
        <f>IF($E1253="","",INDEX(资金日记账!$F$4:$F$603,172))</f>
        <v/>
      </c>
      <c r="L1253" s="32" t="str">
        <f>IF($E1253="","",INDEX(资金日记账!$X$4:$X$603,172))</f>
        <v/>
      </c>
      <c r="M1253" s="32"/>
      <c r="N1253" s="26" t="str">
        <f>IF($E1253="","",INDEX(资金日记账!$Y$4:$Y$603,172))</f>
        <v/>
      </c>
      <c r="O1253" s="26" t="str">
        <f t="shared" si="70"/>
        <v/>
      </c>
      <c r="P1253" s="10"/>
    </row>
    <row r="1254" ht="18" customHeight="1" spans="1:16">
      <c r="A1254" s="32" t="str">
        <f t="shared" si="69"/>
        <v/>
      </c>
      <c r="B1254" s="100" t="str">
        <f>IF($E1254="","",INDEX(资金日记账!$B$4:$B$603,173))</f>
        <v/>
      </c>
      <c r="C1254" s="26" t="str">
        <f>IF($E1254="","",IF(INDEX(资金日记账!$W$4:$W$603,173)="","记-"&amp;TEXT($B1254,"YYYYMM")&amp;"-资金",INDEX(资金日记账!$W$4:$W$603,173)))</f>
        <v/>
      </c>
      <c r="D1254" s="32" t="str">
        <f>IF($E1254="","",INDEX(资金日记账!$D$4:$D$603,173))</f>
        <v/>
      </c>
      <c r="E1254" s="26" t="str">
        <f>IF(INDEX(资金日记账!$N$4:$S$603,173,1)=0,"",INDEX(资金日记账!$N$4:$S$603,173,1))</f>
        <v/>
      </c>
      <c r="F1254" s="25" t="str">
        <f>IF($E1254="","",IFERROR(INDEX(科目表!$A$4:$A$81,MATCH($E1254,科目表!$B$4:$B$81,0)),""))</f>
        <v/>
      </c>
      <c r="G1254" s="26" t="str">
        <f>IF($E1254="","",IFERROR(INDEX(科目表!$E$4:$E$81,MATCH($E1254,科目表!$B$4:$B$81,0)),""))</f>
        <v/>
      </c>
      <c r="H1254" s="27" t="str">
        <f>IF($E1254="","",N(INDEX(资金日记账!$N$4:$S$603,173,2)))</f>
        <v/>
      </c>
      <c r="I1254" s="27" t="str">
        <f>IF($E1254="","",N(INDEX(资金日记账!$N$4:$S$603,173,3)))</f>
        <v/>
      </c>
      <c r="J1254" s="26" t="str">
        <f>IF($E1254="","",INDEX(资金日记账!$E$4:$E$603,173))</f>
        <v/>
      </c>
      <c r="K1254" s="26" t="str">
        <f>IF($E1254="","",INDEX(资金日记账!$F$4:$F$603,173))</f>
        <v/>
      </c>
      <c r="L1254" s="32" t="str">
        <f>IF($E1254="","",INDEX(资金日记账!$X$4:$X$603,173))</f>
        <v/>
      </c>
      <c r="M1254" s="32"/>
      <c r="N1254" s="26" t="str">
        <f>IF($E1254="","",INDEX(资金日记账!$Y$4:$Y$603,173))</f>
        <v/>
      </c>
      <c r="O1254" s="26" t="str">
        <f t="shared" si="70"/>
        <v/>
      </c>
      <c r="P1254" s="10"/>
    </row>
    <row r="1255" ht="18" customHeight="1" spans="1:16">
      <c r="A1255" s="32" t="str">
        <f t="shared" si="69"/>
        <v/>
      </c>
      <c r="B1255" s="100" t="str">
        <f>IF($E1255="","",INDEX(资金日记账!$B$4:$B$603,173))</f>
        <v/>
      </c>
      <c r="C1255" s="26" t="str">
        <f>IF($E1255="","",IF(INDEX(资金日记账!$W$4:$W$603,173)="","记-"&amp;TEXT($B1255,"YYYYMM")&amp;"-资金",INDEX(资金日记账!$W$4:$W$603,173)))</f>
        <v/>
      </c>
      <c r="D1255" s="32" t="str">
        <f>IF($E1255="","",INDEX(资金日记账!$D$4:$D$603,173))</f>
        <v/>
      </c>
      <c r="E1255" s="26" t="str">
        <f>IF(INDEX(资金日记账!$N$4:$S$603,173,4)=0,"",INDEX(资金日记账!$N$4:$S$603,173,4))</f>
        <v/>
      </c>
      <c r="F1255" s="25" t="str">
        <f>IF($E1255="","",IFERROR(INDEX(科目表!$A$4:$A$81,MATCH($E1255,科目表!$B$4:$B$81,0)),""))</f>
        <v/>
      </c>
      <c r="G1255" s="26" t="str">
        <f>IF($E1255="","",IFERROR(INDEX(科目表!$E$4:$E$81,MATCH($E1255,科目表!$B$4:$B$81,0)),""))</f>
        <v/>
      </c>
      <c r="H1255" s="27" t="str">
        <f>IF($E1255="","",N(INDEX(资金日记账!$N$4:$S$603,173,5)))</f>
        <v/>
      </c>
      <c r="I1255" s="27" t="str">
        <f>IF($E1255="","",N(INDEX(资金日记账!$N$4:$S$603,173,6)))</f>
        <v/>
      </c>
      <c r="J1255" s="26" t="str">
        <f>IF($E1255="","",INDEX(资金日记账!$E$4:$E$603,173))</f>
        <v/>
      </c>
      <c r="K1255" s="26" t="str">
        <f>IF($E1255="","",INDEX(资金日记账!$F$4:$F$603,173))</f>
        <v/>
      </c>
      <c r="L1255" s="32" t="str">
        <f>IF($E1255="","",INDEX(资金日记账!$X$4:$X$603,173))</f>
        <v/>
      </c>
      <c r="M1255" s="32"/>
      <c r="N1255" s="26" t="str">
        <f>IF($E1255="","",INDEX(资金日记账!$Y$4:$Y$603,173))</f>
        <v/>
      </c>
      <c r="O1255" s="26" t="str">
        <f t="shared" si="70"/>
        <v/>
      </c>
      <c r="P1255" s="10"/>
    </row>
    <row r="1256" ht="18" customHeight="1" spans="1:16">
      <c r="A1256" s="32" t="str">
        <f t="shared" si="69"/>
        <v/>
      </c>
      <c r="B1256" s="100" t="str">
        <f>IF($E1256="","",INDEX(资金日记账!$B$4:$B$603,174))</f>
        <v/>
      </c>
      <c r="C1256" s="26" t="str">
        <f>IF($E1256="","",IF(INDEX(资金日记账!$W$4:$W$603,174)="","记-"&amp;TEXT($B1256,"YYYYMM")&amp;"-资金",INDEX(资金日记账!$W$4:$W$603,174)))</f>
        <v/>
      </c>
      <c r="D1256" s="32" t="str">
        <f>IF($E1256="","",INDEX(资金日记账!$D$4:$D$603,174))</f>
        <v/>
      </c>
      <c r="E1256" s="26" t="str">
        <f>IF(INDEX(资金日记账!$N$4:$S$603,174,1)=0,"",INDEX(资金日记账!$N$4:$S$603,174,1))</f>
        <v/>
      </c>
      <c r="F1256" s="25" t="str">
        <f>IF($E1256="","",IFERROR(INDEX(科目表!$A$4:$A$81,MATCH($E1256,科目表!$B$4:$B$81,0)),""))</f>
        <v/>
      </c>
      <c r="G1256" s="26" t="str">
        <f>IF($E1256="","",IFERROR(INDEX(科目表!$E$4:$E$81,MATCH($E1256,科目表!$B$4:$B$81,0)),""))</f>
        <v/>
      </c>
      <c r="H1256" s="27" t="str">
        <f>IF($E1256="","",N(INDEX(资金日记账!$N$4:$S$603,174,2)))</f>
        <v/>
      </c>
      <c r="I1256" s="27" t="str">
        <f>IF($E1256="","",N(INDEX(资金日记账!$N$4:$S$603,174,3)))</f>
        <v/>
      </c>
      <c r="J1256" s="26" t="str">
        <f>IF($E1256="","",INDEX(资金日记账!$E$4:$E$603,174))</f>
        <v/>
      </c>
      <c r="K1256" s="26" t="str">
        <f>IF($E1256="","",INDEX(资金日记账!$F$4:$F$603,174))</f>
        <v/>
      </c>
      <c r="L1256" s="32" t="str">
        <f>IF($E1256="","",INDEX(资金日记账!$X$4:$X$603,174))</f>
        <v/>
      </c>
      <c r="M1256" s="32"/>
      <c r="N1256" s="26" t="str">
        <f>IF($E1256="","",INDEX(资金日记账!$Y$4:$Y$603,174))</f>
        <v/>
      </c>
      <c r="O1256" s="26" t="str">
        <f t="shared" si="70"/>
        <v/>
      </c>
      <c r="P1256" s="10"/>
    </row>
    <row r="1257" ht="18" customHeight="1" spans="1:16">
      <c r="A1257" s="32" t="str">
        <f t="shared" si="69"/>
        <v/>
      </c>
      <c r="B1257" s="100" t="str">
        <f>IF($E1257="","",INDEX(资金日记账!$B$4:$B$603,174))</f>
        <v/>
      </c>
      <c r="C1257" s="26" t="str">
        <f>IF($E1257="","",IF(INDEX(资金日记账!$W$4:$W$603,174)="","记-"&amp;TEXT($B1257,"YYYYMM")&amp;"-资金",INDEX(资金日记账!$W$4:$W$603,174)))</f>
        <v/>
      </c>
      <c r="D1257" s="32" t="str">
        <f>IF($E1257="","",INDEX(资金日记账!$D$4:$D$603,174))</f>
        <v/>
      </c>
      <c r="E1257" s="26" t="str">
        <f>IF(INDEX(资金日记账!$N$4:$S$603,174,4)=0,"",INDEX(资金日记账!$N$4:$S$603,174,4))</f>
        <v/>
      </c>
      <c r="F1257" s="25" t="str">
        <f>IF($E1257="","",IFERROR(INDEX(科目表!$A$4:$A$81,MATCH($E1257,科目表!$B$4:$B$81,0)),""))</f>
        <v/>
      </c>
      <c r="G1257" s="26" t="str">
        <f>IF($E1257="","",IFERROR(INDEX(科目表!$E$4:$E$81,MATCH($E1257,科目表!$B$4:$B$81,0)),""))</f>
        <v/>
      </c>
      <c r="H1257" s="27" t="str">
        <f>IF($E1257="","",N(INDEX(资金日记账!$N$4:$S$603,174,5)))</f>
        <v/>
      </c>
      <c r="I1257" s="27" t="str">
        <f>IF($E1257="","",N(INDEX(资金日记账!$N$4:$S$603,174,6)))</f>
        <v/>
      </c>
      <c r="J1257" s="26" t="str">
        <f>IF($E1257="","",INDEX(资金日记账!$E$4:$E$603,174))</f>
        <v/>
      </c>
      <c r="K1257" s="26" t="str">
        <f>IF($E1257="","",INDEX(资金日记账!$F$4:$F$603,174))</f>
        <v/>
      </c>
      <c r="L1257" s="32" t="str">
        <f>IF($E1257="","",INDEX(资金日记账!$X$4:$X$603,174))</f>
        <v/>
      </c>
      <c r="M1257" s="32"/>
      <c r="N1257" s="26" t="str">
        <f>IF($E1257="","",INDEX(资金日记账!$Y$4:$Y$603,174))</f>
        <v/>
      </c>
      <c r="O1257" s="26" t="str">
        <f t="shared" si="70"/>
        <v/>
      </c>
      <c r="P1257" s="10"/>
    </row>
    <row r="1258" ht="18" customHeight="1" spans="1:16">
      <c r="A1258" s="32" t="str">
        <f t="shared" si="69"/>
        <v/>
      </c>
      <c r="B1258" s="100" t="str">
        <f>IF($E1258="","",INDEX(资金日记账!$B$4:$B$603,175))</f>
        <v/>
      </c>
      <c r="C1258" s="26" t="str">
        <f>IF($E1258="","",IF(INDEX(资金日记账!$W$4:$W$603,175)="","记-"&amp;TEXT($B1258,"YYYYMM")&amp;"-资金",INDEX(资金日记账!$W$4:$W$603,175)))</f>
        <v/>
      </c>
      <c r="D1258" s="32" t="str">
        <f>IF($E1258="","",INDEX(资金日记账!$D$4:$D$603,175))</f>
        <v/>
      </c>
      <c r="E1258" s="26" t="str">
        <f>IF(INDEX(资金日记账!$N$4:$S$603,175,1)=0,"",INDEX(资金日记账!$N$4:$S$603,175,1))</f>
        <v/>
      </c>
      <c r="F1258" s="25" t="str">
        <f>IF($E1258="","",IFERROR(INDEX(科目表!$A$4:$A$81,MATCH($E1258,科目表!$B$4:$B$81,0)),""))</f>
        <v/>
      </c>
      <c r="G1258" s="26" t="str">
        <f>IF($E1258="","",IFERROR(INDEX(科目表!$E$4:$E$81,MATCH($E1258,科目表!$B$4:$B$81,0)),""))</f>
        <v/>
      </c>
      <c r="H1258" s="27" t="str">
        <f>IF($E1258="","",N(INDEX(资金日记账!$N$4:$S$603,175,2)))</f>
        <v/>
      </c>
      <c r="I1258" s="27" t="str">
        <f>IF($E1258="","",N(INDEX(资金日记账!$N$4:$S$603,175,3)))</f>
        <v/>
      </c>
      <c r="J1258" s="26" t="str">
        <f>IF($E1258="","",INDEX(资金日记账!$E$4:$E$603,175))</f>
        <v/>
      </c>
      <c r="K1258" s="26" t="str">
        <f>IF($E1258="","",INDEX(资金日记账!$F$4:$F$603,175))</f>
        <v/>
      </c>
      <c r="L1258" s="32" t="str">
        <f>IF($E1258="","",INDEX(资金日记账!$X$4:$X$603,175))</f>
        <v/>
      </c>
      <c r="M1258" s="32"/>
      <c r="N1258" s="26" t="str">
        <f>IF($E1258="","",INDEX(资金日记账!$Y$4:$Y$603,175))</f>
        <v/>
      </c>
      <c r="O1258" s="26" t="str">
        <f t="shared" si="70"/>
        <v/>
      </c>
      <c r="P1258" s="10"/>
    </row>
    <row r="1259" ht="18" customHeight="1" spans="1:16">
      <c r="A1259" s="32" t="str">
        <f t="shared" si="69"/>
        <v/>
      </c>
      <c r="B1259" s="100" t="str">
        <f>IF($E1259="","",INDEX(资金日记账!$B$4:$B$603,175))</f>
        <v/>
      </c>
      <c r="C1259" s="26" t="str">
        <f>IF($E1259="","",IF(INDEX(资金日记账!$W$4:$W$603,175)="","记-"&amp;TEXT($B1259,"YYYYMM")&amp;"-资金",INDEX(资金日记账!$W$4:$W$603,175)))</f>
        <v/>
      </c>
      <c r="D1259" s="32" t="str">
        <f>IF($E1259="","",INDEX(资金日记账!$D$4:$D$603,175))</f>
        <v/>
      </c>
      <c r="E1259" s="26" t="str">
        <f>IF(INDEX(资金日记账!$N$4:$S$603,175,4)=0,"",INDEX(资金日记账!$N$4:$S$603,175,4))</f>
        <v/>
      </c>
      <c r="F1259" s="25" t="str">
        <f>IF($E1259="","",IFERROR(INDEX(科目表!$A$4:$A$81,MATCH($E1259,科目表!$B$4:$B$81,0)),""))</f>
        <v/>
      </c>
      <c r="G1259" s="26" t="str">
        <f>IF($E1259="","",IFERROR(INDEX(科目表!$E$4:$E$81,MATCH($E1259,科目表!$B$4:$B$81,0)),""))</f>
        <v/>
      </c>
      <c r="H1259" s="27" t="str">
        <f>IF($E1259="","",N(INDEX(资金日记账!$N$4:$S$603,175,5)))</f>
        <v/>
      </c>
      <c r="I1259" s="27" t="str">
        <f>IF($E1259="","",N(INDEX(资金日记账!$N$4:$S$603,175,6)))</f>
        <v/>
      </c>
      <c r="J1259" s="26" t="str">
        <f>IF($E1259="","",INDEX(资金日记账!$E$4:$E$603,175))</f>
        <v/>
      </c>
      <c r="K1259" s="26" t="str">
        <f>IF($E1259="","",INDEX(资金日记账!$F$4:$F$603,175))</f>
        <v/>
      </c>
      <c r="L1259" s="32" t="str">
        <f>IF($E1259="","",INDEX(资金日记账!$X$4:$X$603,175))</f>
        <v/>
      </c>
      <c r="M1259" s="32"/>
      <c r="N1259" s="26" t="str">
        <f>IF($E1259="","",INDEX(资金日记账!$Y$4:$Y$603,175))</f>
        <v/>
      </c>
      <c r="O1259" s="26" t="str">
        <f t="shared" si="70"/>
        <v/>
      </c>
      <c r="P1259" s="10"/>
    </row>
    <row r="1260" ht="18" customHeight="1" spans="1:16">
      <c r="A1260" s="32" t="str">
        <f t="shared" si="69"/>
        <v/>
      </c>
      <c r="B1260" s="100" t="str">
        <f>IF($E1260="","",INDEX(资金日记账!$B$4:$B$603,176))</f>
        <v/>
      </c>
      <c r="C1260" s="26" t="str">
        <f>IF($E1260="","",IF(INDEX(资金日记账!$W$4:$W$603,176)="","记-"&amp;TEXT($B1260,"YYYYMM")&amp;"-资金",INDEX(资金日记账!$W$4:$W$603,176)))</f>
        <v/>
      </c>
      <c r="D1260" s="32" t="str">
        <f>IF($E1260="","",INDEX(资金日记账!$D$4:$D$603,176))</f>
        <v/>
      </c>
      <c r="E1260" s="26" t="str">
        <f>IF(INDEX(资金日记账!$N$4:$S$603,176,1)=0,"",INDEX(资金日记账!$N$4:$S$603,176,1))</f>
        <v/>
      </c>
      <c r="F1260" s="25" t="str">
        <f>IF($E1260="","",IFERROR(INDEX(科目表!$A$4:$A$81,MATCH($E1260,科目表!$B$4:$B$81,0)),""))</f>
        <v/>
      </c>
      <c r="G1260" s="26" t="str">
        <f>IF($E1260="","",IFERROR(INDEX(科目表!$E$4:$E$81,MATCH($E1260,科目表!$B$4:$B$81,0)),""))</f>
        <v/>
      </c>
      <c r="H1260" s="27" t="str">
        <f>IF($E1260="","",N(INDEX(资金日记账!$N$4:$S$603,176,2)))</f>
        <v/>
      </c>
      <c r="I1260" s="27" t="str">
        <f>IF($E1260="","",N(INDEX(资金日记账!$N$4:$S$603,176,3)))</f>
        <v/>
      </c>
      <c r="J1260" s="26" t="str">
        <f>IF($E1260="","",INDEX(资金日记账!$E$4:$E$603,176))</f>
        <v/>
      </c>
      <c r="K1260" s="26" t="str">
        <f>IF($E1260="","",INDEX(资金日记账!$F$4:$F$603,176))</f>
        <v/>
      </c>
      <c r="L1260" s="32" t="str">
        <f>IF($E1260="","",INDEX(资金日记账!$X$4:$X$603,176))</f>
        <v/>
      </c>
      <c r="M1260" s="32"/>
      <c r="N1260" s="26" t="str">
        <f>IF($E1260="","",INDEX(资金日记账!$Y$4:$Y$603,176))</f>
        <v/>
      </c>
      <c r="O1260" s="26" t="str">
        <f t="shared" si="70"/>
        <v/>
      </c>
      <c r="P1260" s="10"/>
    </row>
    <row r="1261" ht="18" customHeight="1" spans="1:16">
      <c r="A1261" s="32" t="str">
        <f t="shared" si="69"/>
        <v/>
      </c>
      <c r="B1261" s="100" t="str">
        <f>IF($E1261="","",INDEX(资金日记账!$B$4:$B$603,176))</f>
        <v/>
      </c>
      <c r="C1261" s="26" t="str">
        <f>IF($E1261="","",IF(INDEX(资金日记账!$W$4:$W$603,176)="","记-"&amp;TEXT($B1261,"YYYYMM")&amp;"-资金",INDEX(资金日记账!$W$4:$W$603,176)))</f>
        <v/>
      </c>
      <c r="D1261" s="32" t="str">
        <f>IF($E1261="","",INDEX(资金日记账!$D$4:$D$603,176))</f>
        <v/>
      </c>
      <c r="E1261" s="26" t="str">
        <f>IF(INDEX(资金日记账!$N$4:$S$603,176,4)=0,"",INDEX(资金日记账!$N$4:$S$603,176,4))</f>
        <v/>
      </c>
      <c r="F1261" s="25" t="str">
        <f>IF($E1261="","",IFERROR(INDEX(科目表!$A$4:$A$81,MATCH($E1261,科目表!$B$4:$B$81,0)),""))</f>
        <v/>
      </c>
      <c r="G1261" s="26" t="str">
        <f>IF($E1261="","",IFERROR(INDEX(科目表!$E$4:$E$81,MATCH($E1261,科目表!$B$4:$B$81,0)),""))</f>
        <v/>
      </c>
      <c r="H1261" s="27" t="str">
        <f>IF($E1261="","",N(INDEX(资金日记账!$N$4:$S$603,176,5)))</f>
        <v/>
      </c>
      <c r="I1261" s="27" t="str">
        <f>IF($E1261="","",N(INDEX(资金日记账!$N$4:$S$603,176,6)))</f>
        <v/>
      </c>
      <c r="J1261" s="26" t="str">
        <f>IF($E1261="","",INDEX(资金日记账!$E$4:$E$603,176))</f>
        <v/>
      </c>
      <c r="K1261" s="26" t="str">
        <f>IF($E1261="","",INDEX(资金日记账!$F$4:$F$603,176))</f>
        <v/>
      </c>
      <c r="L1261" s="32" t="str">
        <f>IF($E1261="","",INDEX(资金日记账!$X$4:$X$603,176))</f>
        <v/>
      </c>
      <c r="M1261" s="32"/>
      <c r="N1261" s="26" t="str">
        <f>IF($E1261="","",INDEX(资金日记账!$Y$4:$Y$603,176))</f>
        <v/>
      </c>
      <c r="O1261" s="26" t="str">
        <f t="shared" si="70"/>
        <v/>
      </c>
      <c r="P1261" s="10"/>
    </row>
    <row r="1262" ht="18" customHeight="1" spans="1:16">
      <c r="A1262" s="32" t="str">
        <f t="shared" si="69"/>
        <v/>
      </c>
      <c r="B1262" s="100" t="str">
        <f>IF($E1262="","",INDEX(资金日记账!$B$4:$B$603,177))</f>
        <v/>
      </c>
      <c r="C1262" s="26" t="str">
        <f>IF($E1262="","",IF(INDEX(资金日记账!$W$4:$W$603,177)="","记-"&amp;TEXT($B1262,"YYYYMM")&amp;"-资金",INDEX(资金日记账!$W$4:$W$603,177)))</f>
        <v/>
      </c>
      <c r="D1262" s="32" t="str">
        <f>IF($E1262="","",INDEX(资金日记账!$D$4:$D$603,177))</f>
        <v/>
      </c>
      <c r="E1262" s="26" t="str">
        <f>IF(INDEX(资金日记账!$N$4:$S$603,177,1)=0,"",INDEX(资金日记账!$N$4:$S$603,177,1))</f>
        <v/>
      </c>
      <c r="F1262" s="25" t="str">
        <f>IF($E1262="","",IFERROR(INDEX(科目表!$A$4:$A$81,MATCH($E1262,科目表!$B$4:$B$81,0)),""))</f>
        <v/>
      </c>
      <c r="G1262" s="26" t="str">
        <f>IF($E1262="","",IFERROR(INDEX(科目表!$E$4:$E$81,MATCH($E1262,科目表!$B$4:$B$81,0)),""))</f>
        <v/>
      </c>
      <c r="H1262" s="27" t="str">
        <f>IF($E1262="","",N(INDEX(资金日记账!$N$4:$S$603,177,2)))</f>
        <v/>
      </c>
      <c r="I1262" s="27" t="str">
        <f>IF($E1262="","",N(INDEX(资金日记账!$N$4:$S$603,177,3)))</f>
        <v/>
      </c>
      <c r="J1262" s="26" t="str">
        <f>IF($E1262="","",INDEX(资金日记账!$E$4:$E$603,177))</f>
        <v/>
      </c>
      <c r="K1262" s="26" t="str">
        <f>IF($E1262="","",INDEX(资金日记账!$F$4:$F$603,177))</f>
        <v/>
      </c>
      <c r="L1262" s="32" t="str">
        <f>IF($E1262="","",INDEX(资金日记账!$X$4:$X$603,177))</f>
        <v/>
      </c>
      <c r="M1262" s="32"/>
      <c r="N1262" s="26" t="str">
        <f>IF($E1262="","",INDEX(资金日记账!$Y$4:$Y$603,177))</f>
        <v/>
      </c>
      <c r="O1262" s="26" t="str">
        <f t="shared" si="70"/>
        <v/>
      </c>
      <c r="P1262" s="10"/>
    </row>
    <row r="1263" ht="18" customHeight="1" spans="1:16">
      <c r="A1263" s="32" t="str">
        <f t="shared" si="69"/>
        <v/>
      </c>
      <c r="B1263" s="100" t="str">
        <f>IF($E1263="","",INDEX(资金日记账!$B$4:$B$603,177))</f>
        <v/>
      </c>
      <c r="C1263" s="26" t="str">
        <f>IF($E1263="","",IF(INDEX(资金日记账!$W$4:$W$603,177)="","记-"&amp;TEXT($B1263,"YYYYMM")&amp;"-资金",INDEX(资金日记账!$W$4:$W$603,177)))</f>
        <v/>
      </c>
      <c r="D1263" s="32" t="str">
        <f>IF($E1263="","",INDEX(资金日记账!$D$4:$D$603,177))</f>
        <v/>
      </c>
      <c r="E1263" s="26" t="str">
        <f>IF(INDEX(资金日记账!$N$4:$S$603,177,4)=0,"",INDEX(资金日记账!$N$4:$S$603,177,4))</f>
        <v/>
      </c>
      <c r="F1263" s="25" t="str">
        <f>IF($E1263="","",IFERROR(INDEX(科目表!$A$4:$A$81,MATCH($E1263,科目表!$B$4:$B$81,0)),""))</f>
        <v/>
      </c>
      <c r="G1263" s="26" t="str">
        <f>IF($E1263="","",IFERROR(INDEX(科目表!$E$4:$E$81,MATCH($E1263,科目表!$B$4:$B$81,0)),""))</f>
        <v/>
      </c>
      <c r="H1263" s="27" t="str">
        <f>IF($E1263="","",N(INDEX(资金日记账!$N$4:$S$603,177,5)))</f>
        <v/>
      </c>
      <c r="I1263" s="27" t="str">
        <f>IF($E1263="","",N(INDEX(资金日记账!$N$4:$S$603,177,6)))</f>
        <v/>
      </c>
      <c r="J1263" s="26" t="str">
        <f>IF($E1263="","",INDEX(资金日记账!$E$4:$E$603,177))</f>
        <v/>
      </c>
      <c r="K1263" s="26" t="str">
        <f>IF($E1263="","",INDEX(资金日记账!$F$4:$F$603,177))</f>
        <v/>
      </c>
      <c r="L1263" s="32" t="str">
        <f>IF($E1263="","",INDEX(资金日记账!$X$4:$X$603,177))</f>
        <v/>
      </c>
      <c r="M1263" s="32"/>
      <c r="N1263" s="26" t="str">
        <f>IF($E1263="","",INDEX(资金日记账!$Y$4:$Y$603,177))</f>
        <v/>
      </c>
      <c r="O1263" s="26" t="str">
        <f t="shared" si="70"/>
        <v/>
      </c>
      <c r="P1263" s="10"/>
    </row>
    <row r="1264" ht="18" customHeight="1" spans="1:16">
      <c r="A1264" s="32" t="str">
        <f t="shared" si="69"/>
        <v/>
      </c>
      <c r="B1264" s="100" t="str">
        <f>IF($E1264="","",INDEX(资金日记账!$B$4:$B$603,178))</f>
        <v/>
      </c>
      <c r="C1264" s="26" t="str">
        <f>IF($E1264="","",IF(INDEX(资金日记账!$W$4:$W$603,178)="","记-"&amp;TEXT($B1264,"YYYYMM")&amp;"-资金",INDEX(资金日记账!$W$4:$W$603,178)))</f>
        <v/>
      </c>
      <c r="D1264" s="32" t="str">
        <f>IF($E1264="","",INDEX(资金日记账!$D$4:$D$603,178))</f>
        <v/>
      </c>
      <c r="E1264" s="26" t="str">
        <f>IF(INDEX(资金日记账!$N$4:$S$603,178,1)=0,"",INDEX(资金日记账!$N$4:$S$603,178,1))</f>
        <v/>
      </c>
      <c r="F1264" s="25" t="str">
        <f>IF($E1264="","",IFERROR(INDEX(科目表!$A$4:$A$81,MATCH($E1264,科目表!$B$4:$B$81,0)),""))</f>
        <v/>
      </c>
      <c r="G1264" s="26" t="str">
        <f>IF($E1264="","",IFERROR(INDEX(科目表!$E$4:$E$81,MATCH($E1264,科目表!$B$4:$B$81,0)),""))</f>
        <v/>
      </c>
      <c r="H1264" s="27" t="str">
        <f>IF($E1264="","",N(INDEX(资金日记账!$N$4:$S$603,178,2)))</f>
        <v/>
      </c>
      <c r="I1264" s="27" t="str">
        <f>IF($E1264="","",N(INDEX(资金日记账!$N$4:$S$603,178,3)))</f>
        <v/>
      </c>
      <c r="J1264" s="26" t="str">
        <f>IF($E1264="","",INDEX(资金日记账!$E$4:$E$603,178))</f>
        <v/>
      </c>
      <c r="K1264" s="26" t="str">
        <f>IF($E1264="","",INDEX(资金日记账!$F$4:$F$603,178))</f>
        <v/>
      </c>
      <c r="L1264" s="32" t="str">
        <f>IF($E1264="","",INDEX(资金日记账!$X$4:$X$603,178))</f>
        <v/>
      </c>
      <c r="M1264" s="32"/>
      <c r="N1264" s="26" t="str">
        <f>IF($E1264="","",INDEX(资金日记账!$Y$4:$Y$603,178))</f>
        <v/>
      </c>
      <c r="O1264" s="26" t="str">
        <f t="shared" si="70"/>
        <v/>
      </c>
      <c r="P1264" s="10"/>
    </row>
    <row r="1265" ht="18" customHeight="1" spans="1:16">
      <c r="A1265" s="32" t="str">
        <f t="shared" si="69"/>
        <v/>
      </c>
      <c r="B1265" s="100" t="str">
        <f>IF($E1265="","",INDEX(资金日记账!$B$4:$B$603,178))</f>
        <v/>
      </c>
      <c r="C1265" s="26" t="str">
        <f>IF($E1265="","",IF(INDEX(资金日记账!$W$4:$W$603,178)="","记-"&amp;TEXT($B1265,"YYYYMM")&amp;"-资金",INDEX(资金日记账!$W$4:$W$603,178)))</f>
        <v/>
      </c>
      <c r="D1265" s="32" t="str">
        <f>IF($E1265="","",INDEX(资金日记账!$D$4:$D$603,178))</f>
        <v/>
      </c>
      <c r="E1265" s="26" t="str">
        <f>IF(INDEX(资金日记账!$N$4:$S$603,178,4)=0,"",INDEX(资金日记账!$N$4:$S$603,178,4))</f>
        <v/>
      </c>
      <c r="F1265" s="25" t="str">
        <f>IF($E1265="","",IFERROR(INDEX(科目表!$A$4:$A$81,MATCH($E1265,科目表!$B$4:$B$81,0)),""))</f>
        <v/>
      </c>
      <c r="G1265" s="26" t="str">
        <f>IF($E1265="","",IFERROR(INDEX(科目表!$E$4:$E$81,MATCH($E1265,科目表!$B$4:$B$81,0)),""))</f>
        <v/>
      </c>
      <c r="H1265" s="27" t="str">
        <f>IF($E1265="","",N(INDEX(资金日记账!$N$4:$S$603,178,5)))</f>
        <v/>
      </c>
      <c r="I1265" s="27" t="str">
        <f>IF($E1265="","",N(INDEX(资金日记账!$N$4:$S$603,178,6)))</f>
        <v/>
      </c>
      <c r="J1265" s="26" t="str">
        <f>IF($E1265="","",INDEX(资金日记账!$E$4:$E$603,178))</f>
        <v/>
      </c>
      <c r="K1265" s="26" t="str">
        <f>IF($E1265="","",INDEX(资金日记账!$F$4:$F$603,178))</f>
        <v/>
      </c>
      <c r="L1265" s="32" t="str">
        <f>IF($E1265="","",INDEX(资金日记账!$X$4:$X$603,178))</f>
        <v/>
      </c>
      <c r="M1265" s="32"/>
      <c r="N1265" s="26" t="str">
        <f>IF($E1265="","",INDEX(资金日记账!$Y$4:$Y$603,178))</f>
        <v/>
      </c>
      <c r="O1265" s="26" t="str">
        <f t="shared" si="70"/>
        <v/>
      </c>
      <c r="P1265" s="10"/>
    </row>
    <row r="1266" ht="18" customHeight="1" spans="1:16">
      <c r="A1266" s="32" t="str">
        <f t="shared" si="69"/>
        <v/>
      </c>
      <c r="B1266" s="100" t="str">
        <f>IF($E1266="","",INDEX(资金日记账!$B$4:$B$603,179))</f>
        <v/>
      </c>
      <c r="C1266" s="26" t="str">
        <f>IF($E1266="","",IF(INDEX(资金日记账!$W$4:$W$603,179)="","记-"&amp;TEXT($B1266,"YYYYMM")&amp;"-资金",INDEX(资金日记账!$W$4:$W$603,179)))</f>
        <v/>
      </c>
      <c r="D1266" s="32" t="str">
        <f>IF($E1266="","",INDEX(资金日记账!$D$4:$D$603,179))</f>
        <v/>
      </c>
      <c r="E1266" s="26" t="str">
        <f>IF(INDEX(资金日记账!$N$4:$S$603,179,1)=0,"",INDEX(资金日记账!$N$4:$S$603,179,1))</f>
        <v/>
      </c>
      <c r="F1266" s="25" t="str">
        <f>IF($E1266="","",IFERROR(INDEX(科目表!$A$4:$A$81,MATCH($E1266,科目表!$B$4:$B$81,0)),""))</f>
        <v/>
      </c>
      <c r="G1266" s="26" t="str">
        <f>IF($E1266="","",IFERROR(INDEX(科目表!$E$4:$E$81,MATCH($E1266,科目表!$B$4:$B$81,0)),""))</f>
        <v/>
      </c>
      <c r="H1266" s="27" t="str">
        <f>IF($E1266="","",N(INDEX(资金日记账!$N$4:$S$603,179,2)))</f>
        <v/>
      </c>
      <c r="I1266" s="27" t="str">
        <f>IF($E1266="","",N(INDEX(资金日记账!$N$4:$S$603,179,3)))</f>
        <v/>
      </c>
      <c r="J1266" s="26" t="str">
        <f>IF($E1266="","",INDEX(资金日记账!$E$4:$E$603,179))</f>
        <v/>
      </c>
      <c r="K1266" s="26" t="str">
        <f>IF($E1266="","",INDEX(资金日记账!$F$4:$F$603,179))</f>
        <v/>
      </c>
      <c r="L1266" s="32" t="str">
        <f>IF($E1266="","",INDEX(资金日记账!$X$4:$X$603,179))</f>
        <v/>
      </c>
      <c r="M1266" s="32"/>
      <c r="N1266" s="26" t="str">
        <f>IF($E1266="","",INDEX(资金日记账!$Y$4:$Y$603,179))</f>
        <v/>
      </c>
      <c r="O1266" s="26" t="str">
        <f t="shared" si="70"/>
        <v/>
      </c>
      <c r="P1266" s="10"/>
    </row>
    <row r="1267" ht="18" customHeight="1" spans="1:16">
      <c r="A1267" s="32" t="str">
        <f t="shared" si="69"/>
        <v/>
      </c>
      <c r="B1267" s="100" t="str">
        <f>IF($E1267="","",INDEX(资金日记账!$B$4:$B$603,179))</f>
        <v/>
      </c>
      <c r="C1267" s="26" t="str">
        <f>IF($E1267="","",IF(INDEX(资金日记账!$W$4:$W$603,179)="","记-"&amp;TEXT($B1267,"YYYYMM")&amp;"-资金",INDEX(资金日记账!$W$4:$W$603,179)))</f>
        <v/>
      </c>
      <c r="D1267" s="32" t="str">
        <f>IF($E1267="","",INDEX(资金日记账!$D$4:$D$603,179))</f>
        <v/>
      </c>
      <c r="E1267" s="26" t="str">
        <f>IF(INDEX(资金日记账!$N$4:$S$603,179,4)=0,"",INDEX(资金日记账!$N$4:$S$603,179,4))</f>
        <v/>
      </c>
      <c r="F1267" s="25" t="str">
        <f>IF($E1267="","",IFERROR(INDEX(科目表!$A$4:$A$81,MATCH($E1267,科目表!$B$4:$B$81,0)),""))</f>
        <v/>
      </c>
      <c r="G1267" s="26" t="str">
        <f>IF($E1267="","",IFERROR(INDEX(科目表!$E$4:$E$81,MATCH($E1267,科目表!$B$4:$B$81,0)),""))</f>
        <v/>
      </c>
      <c r="H1267" s="27" t="str">
        <f>IF($E1267="","",N(INDEX(资金日记账!$N$4:$S$603,179,5)))</f>
        <v/>
      </c>
      <c r="I1267" s="27" t="str">
        <f>IF($E1267="","",N(INDEX(资金日记账!$N$4:$S$603,179,6)))</f>
        <v/>
      </c>
      <c r="J1267" s="26" t="str">
        <f>IF($E1267="","",INDEX(资金日记账!$E$4:$E$603,179))</f>
        <v/>
      </c>
      <c r="K1267" s="26" t="str">
        <f>IF($E1267="","",INDEX(资金日记账!$F$4:$F$603,179))</f>
        <v/>
      </c>
      <c r="L1267" s="32" t="str">
        <f>IF($E1267="","",INDEX(资金日记账!$X$4:$X$603,179))</f>
        <v/>
      </c>
      <c r="M1267" s="32"/>
      <c r="N1267" s="26" t="str">
        <f>IF($E1267="","",INDEX(资金日记账!$Y$4:$Y$603,179))</f>
        <v/>
      </c>
      <c r="O1267" s="26" t="str">
        <f t="shared" si="70"/>
        <v/>
      </c>
      <c r="P1267" s="10"/>
    </row>
    <row r="1268" ht="18" customHeight="1" spans="1:16">
      <c r="A1268" s="32" t="str">
        <f t="shared" si="69"/>
        <v/>
      </c>
      <c r="B1268" s="100" t="str">
        <f>IF($E1268="","",INDEX(资金日记账!$B$4:$B$603,180))</f>
        <v/>
      </c>
      <c r="C1268" s="26" t="str">
        <f>IF($E1268="","",IF(INDEX(资金日记账!$W$4:$W$603,180)="","记-"&amp;TEXT($B1268,"YYYYMM")&amp;"-资金",INDEX(资金日记账!$W$4:$W$603,180)))</f>
        <v/>
      </c>
      <c r="D1268" s="32" t="str">
        <f>IF($E1268="","",INDEX(资金日记账!$D$4:$D$603,180))</f>
        <v/>
      </c>
      <c r="E1268" s="26" t="str">
        <f>IF(INDEX(资金日记账!$N$4:$S$603,180,1)=0,"",INDEX(资金日记账!$N$4:$S$603,180,1))</f>
        <v/>
      </c>
      <c r="F1268" s="25" t="str">
        <f>IF($E1268="","",IFERROR(INDEX(科目表!$A$4:$A$81,MATCH($E1268,科目表!$B$4:$B$81,0)),""))</f>
        <v/>
      </c>
      <c r="G1268" s="26" t="str">
        <f>IF($E1268="","",IFERROR(INDEX(科目表!$E$4:$E$81,MATCH($E1268,科目表!$B$4:$B$81,0)),""))</f>
        <v/>
      </c>
      <c r="H1268" s="27" t="str">
        <f>IF($E1268="","",N(INDEX(资金日记账!$N$4:$S$603,180,2)))</f>
        <v/>
      </c>
      <c r="I1268" s="27" t="str">
        <f>IF($E1268="","",N(INDEX(资金日记账!$N$4:$S$603,180,3)))</f>
        <v/>
      </c>
      <c r="J1268" s="26" t="str">
        <f>IF($E1268="","",INDEX(资金日记账!$E$4:$E$603,180))</f>
        <v/>
      </c>
      <c r="K1268" s="26" t="str">
        <f>IF($E1268="","",INDEX(资金日记账!$F$4:$F$603,180))</f>
        <v/>
      </c>
      <c r="L1268" s="32" t="str">
        <f>IF($E1268="","",INDEX(资金日记账!$X$4:$X$603,180))</f>
        <v/>
      </c>
      <c r="M1268" s="32"/>
      <c r="N1268" s="26" t="str">
        <f>IF($E1268="","",INDEX(资金日记账!$Y$4:$Y$603,180))</f>
        <v/>
      </c>
      <c r="O1268" s="26" t="str">
        <f t="shared" si="70"/>
        <v/>
      </c>
      <c r="P1268" s="10"/>
    </row>
    <row r="1269" ht="18" customHeight="1" spans="1:16">
      <c r="A1269" s="32" t="str">
        <f t="shared" si="69"/>
        <v/>
      </c>
      <c r="B1269" s="100" t="str">
        <f>IF($E1269="","",INDEX(资金日记账!$B$4:$B$603,180))</f>
        <v/>
      </c>
      <c r="C1269" s="26" t="str">
        <f>IF($E1269="","",IF(INDEX(资金日记账!$W$4:$W$603,180)="","记-"&amp;TEXT($B1269,"YYYYMM")&amp;"-资金",INDEX(资金日记账!$W$4:$W$603,180)))</f>
        <v/>
      </c>
      <c r="D1269" s="32" t="str">
        <f>IF($E1269="","",INDEX(资金日记账!$D$4:$D$603,180))</f>
        <v/>
      </c>
      <c r="E1269" s="26" t="str">
        <f>IF(INDEX(资金日记账!$N$4:$S$603,180,4)=0,"",INDEX(资金日记账!$N$4:$S$603,180,4))</f>
        <v/>
      </c>
      <c r="F1269" s="25" t="str">
        <f>IF($E1269="","",IFERROR(INDEX(科目表!$A$4:$A$81,MATCH($E1269,科目表!$B$4:$B$81,0)),""))</f>
        <v/>
      </c>
      <c r="G1269" s="26" t="str">
        <f>IF($E1269="","",IFERROR(INDEX(科目表!$E$4:$E$81,MATCH($E1269,科目表!$B$4:$B$81,0)),""))</f>
        <v/>
      </c>
      <c r="H1269" s="27" t="str">
        <f>IF($E1269="","",N(INDEX(资金日记账!$N$4:$S$603,180,5)))</f>
        <v/>
      </c>
      <c r="I1269" s="27" t="str">
        <f>IF($E1269="","",N(INDEX(资金日记账!$N$4:$S$603,180,6)))</f>
        <v/>
      </c>
      <c r="J1269" s="26" t="str">
        <f>IF($E1269="","",INDEX(资金日记账!$E$4:$E$603,180))</f>
        <v/>
      </c>
      <c r="K1269" s="26" t="str">
        <f>IF($E1269="","",INDEX(资金日记账!$F$4:$F$603,180))</f>
        <v/>
      </c>
      <c r="L1269" s="32" t="str">
        <f>IF($E1269="","",INDEX(资金日记账!$X$4:$X$603,180))</f>
        <v/>
      </c>
      <c r="M1269" s="32"/>
      <c r="N1269" s="26" t="str">
        <f>IF($E1269="","",INDEX(资金日记账!$Y$4:$Y$603,180))</f>
        <v/>
      </c>
      <c r="O1269" s="26" t="str">
        <f t="shared" si="70"/>
        <v/>
      </c>
      <c r="P1269" s="10"/>
    </row>
    <row r="1270" ht="18" customHeight="1" spans="1:16">
      <c r="A1270" s="32" t="str">
        <f t="shared" si="69"/>
        <v/>
      </c>
      <c r="B1270" s="100" t="str">
        <f>IF($E1270="","",INDEX(资金日记账!$B$4:$B$603,181))</f>
        <v/>
      </c>
      <c r="C1270" s="26" t="str">
        <f>IF($E1270="","",IF(INDEX(资金日记账!$W$4:$W$603,181)="","记-"&amp;TEXT($B1270,"YYYYMM")&amp;"-资金",INDEX(资金日记账!$W$4:$W$603,181)))</f>
        <v/>
      </c>
      <c r="D1270" s="32" t="str">
        <f>IF($E1270="","",INDEX(资金日记账!$D$4:$D$603,181))</f>
        <v/>
      </c>
      <c r="E1270" s="26" t="str">
        <f>IF(INDEX(资金日记账!$N$4:$S$603,181,1)=0,"",INDEX(资金日记账!$N$4:$S$603,181,1))</f>
        <v/>
      </c>
      <c r="F1270" s="25" t="str">
        <f>IF($E1270="","",IFERROR(INDEX(科目表!$A$4:$A$81,MATCH($E1270,科目表!$B$4:$B$81,0)),""))</f>
        <v/>
      </c>
      <c r="G1270" s="26" t="str">
        <f>IF($E1270="","",IFERROR(INDEX(科目表!$E$4:$E$81,MATCH($E1270,科目表!$B$4:$B$81,0)),""))</f>
        <v/>
      </c>
      <c r="H1270" s="27" t="str">
        <f>IF($E1270="","",N(INDEX(资金日记账!$N$4:$S$603,181,2)))</f>
        <v/>
      </c>
      <c r="I1270" s="27" t="str">
        <f>IF($E1270="","",N(INDEX(资金日记账!$N$4:$S$603,181,3)))</f>
        <v/>
      </c>
      <c r="J1270" s="26" t="str">
        <f>IF($E1270="","",INDEX(资金日记账!$E$4:$E$603,181))</f>
        <v/>
      </c>
      <c r="K1270" s="26" t="str">
        <f>IF($E1270="","",INDEX(资金日记账!$F$4:$F$603,181))</f>
        <v/>
      </c>
      <c r="L1270" s="32" t="str">
        <f>IF($E1270="","",INDEX(资金日记账!$X$4:$X$603,181))</f>
        <v/>
      </c>
      <c r="M1270" s="32"/>
      <c r="N1270" s="26" t="str">
        <f>IF($E1270="","",INDEX(资金日记账!$Y$4:$Y$603,181))</f>
        <v/>
      </c>
      <c r="O1270" s="26" t="str">
        <f t="shared" si="70"/>
        <v/>
      </c>
      <c r="P1270" s="10"/>
    </row>
    <row r="1271" ht="18" customHeight="1" spans="1:16">
      <c r="A1271" s="32" t="str">
        <f t="shared" si="69"/>
        <v/>
      </c>
      <c r="B1271" s="100" t="str">
        <f>IF($E1271="","",INDEX(资金日记账!$B$4:$B$603,181))</f>
        <v/>
      </c>
      <c r="C1271" s="26" t="str">
        <f>IF($E1271="","",IF(INDEX(资金日记账!$W$4:$W$603,181)="","记-"&amp;TEXT($B1271,"YYYYMM")&amp;"-资金",INDEX(资金日记账!$W$4:$W$603,181)))</f>
        <v/>
      </c>
      <c r="D1271" s="32" t="str">
        <f>IF($E1271="","",INDEX(资金日记账!$D$4:$D$603,181))</f>
        <v/>
      </c>
      <c r="E1271" s="26" t="str">
        <f>IF(INDEX(资金日记账!$N$4:$S$603,181,4)=0,"",INDEX(资金日记账!$N$4:$S$603,181,4))</f>
        <v/>
      </c>
      <c r="F1271" s="25" t="str">
        <f>IF($E1271="","",IFERROR(INDEX(科目表!$A$4:$A$81,MATCH($E1271,科目表!$B$4:$B$81,0)),""))</f>
        <v/>
      </c>
      <c r="G1271" s="26" t="str">
        <f>IF($E1271="","",IFERROR(INDEX(科目表!$E$4:$E$81,MATCH($E1271,科目表!$B$4:$B$81,0)),""))</f>
        <v/>
      </c>
      <c r="H1271" s="27" t="str">
        <f>IF($E1271="","",N(INDEX(资金日记账!$N$4:$S$603,181,5)))</f>
        <v/>
      </c>
      <c r="I1271" s="27" t="str">
        <f>IF($E1271="","",N(INDEX(资金日记账!$N$4:$S$603,181,6)))</f>
        <v/>
      </c>
      <c r="J1271" s="26" t="str">
        <f>IF($E1271="","",INDEX(资金日记账!$E$4:$E$603,181))</f>
        <v/>
      </c>
      <c r="K1271" s="26" t="str">
        <f>IF($E1271="","",INDEX(资金日记账!$F$4:$F$603,181))</f>
        <v/>
      </c>
      <c r="L1271" s="32" t="str">
        <f>IF($E1271="","",INDEX(资金日记账!$X$4:$X$603,181))</f>
        <v/>
      </c>
      <c r="M1271" s="32"/>
      <c r="N1271" s="26" t="str">
        <f>IF($E1271="","",INDEX(资金日记账!$Y$4:$Y$603,181))</f>
        <v/>
      </c>
      <c r="O1271" s="26" t="str">
        <f t="shared" si="70"/>
        <v/>
      </c>
      <c r="P1271" s="10"/>
    </row>
    <row r="1272" ht="18" customHeight="1" spans="1:16">
      <c r="A1272" s="32" t="str">
        <f t="shared" si="69"/>
        <v/>
      </c>
      <c r="B1272" s="100" t="str">
        <f>IF($E1272="","",INDEX(资金日记账!$B$4:$B$603,182))</f>
        <v/>
      </c>
      <c r="C1272" s="26" t="str">
        <f>IF($E1272="","",IF(INDEX(资金日记账!$W$4:$W$603,182)="","记-"&amp;TEXT($B1272,"YYYYMM")&amp;"-资金",INDEX(资金日记账!$W$4:$W$603,182)))</f>
        <v/>
      </c>
      <c r="D1272" s="32" t="str">
        <f>IF($E1272="","",INDEX(资金日记账!$D$4:$D$603,182))</f>
        <v/>
      </c>
      <c r="E1272" s="26" t="str">
        <f>IF(INDEX(资金日记账!$N$4:$S$603,182,1)=0,"",INDEX(资金日记账!$N$4:$S$603,182,1))</f>
        <v/>
      </c>
      <c r="F1272" s="25" t="str">
        <f>IF($E1272="","",IFERROR(INDEX(科目表!$A$4:$A$81,MATCH($E1272,科目表!$B$4:$B$81,0)),""))</f>
        <v/>
      </c>
      <c r="G1272" s="26" t="str">
        <f>IF($E1272="","",IFERROR(INDEX(科目表!$E$4:$E$81,MATCH($E1272,科目表!$B$4:$B$81,0)),""))</f>
        <v/>
      </c>
      <c r="H1272" s="27" t="str">
        <f>IF($E1272="","",N(INDEX(资金日记账!$N$4:$S$603,182,2)))</f>
        <v/>
      </c>
      <c r="I1272" s="27" t="str">
        <f>IF($E1272="","",N(INDEX(资金日记账!$N$4:$S$603,182,3)))</f>
        <v/>
      </c>
      <c r="J1272" s="26" t="str">
        <f>IF($E1272="","",INDEX(资金日记账!$E$4:$E$603,182))</f>
        <v/>
      </c>
      <c r="K1272" s="26" t="str">
        <f>IF($E1272="","",INDEX(资金日记账!$F$4:$F$603,182))</f>
        <v/>
      </c>
      <c r="L1272" s="32" t="str">
        <f>IF($E1272="","",INDEX(资金日记账!$X$4:$X$603,182))</f>
        <v/>
      </c>
      <c r="M1272" s="32"/>
      <c r="N1272" s="26" t="str">
        <f>IF($E1272="","",INDEX(资金日记账!$Y$4:$Y$603,182))</f>
        <v/>
      </c>
      <c r="O1272" s="26" t="str">
        <f t="shared" si="70"/>
        <v/>
      </c>
      <c r="P1272" s="10"/>
    </row>
    <row r="1273" ht="18" customHeight="1" spans="1:16">
      <c r="A1273" s="32" t="str">
        <f t="shared" si="69"/>
        <v/>
      </c>
      <c r="B1273" s="100" t="str">
        <f>IF($E1273="","",INDEX(资金日记账!$B$4:$B$603,182))</f>
        <v/>
      </c>
      <c r="C1273" s="26" t="str">
        <f>IF($E1273="","",IF(INDEX(资金日记账!$W$4:$W$603,182)="","记-"&amp;TEXT($B1273,"YYYYMM")&amp;"-资金",INDEX(资金日记账!$W$4:$W$603,182)))</f>
        <v/>
      </c>
      <c r="D1273" s="32" t="str">
        <f>IF($E1273="","",INDEX(资金日记账!$D$4:$D$603,182))</f>
        <v/>
      </c>
      <c r="E1273" s="26" t="str">
        <f>IF(INDEX(资金日记账!$N$4:$S$603,182,4)=0,"",INDEX(资金日记账!$N$4:$S$603,182,4))</f>
        <v/>
      </c>
      <c r="F1273" s="25" t="str">
        <f>IF($E1273="","",IFERROR(INDEX(科目表!$A$4:$A$81,MATCH($E1273,科目表!$B$4:$B$81,0)),""))</f>
        <v/>
      </c>
      <c r="G1273" s="26" t="str">
        <f>IF($E1273="","",IFERROR(INDEX(科目表!$E$4:$E$81,MATCH($E1273,科目表!$B$4:$B$81,0)),""))</f>
        <v/>
      </c>
      <c r="H1273" s="27" t="str">
        <f>IF($E1273="","",N(INDEX(资金日记账!$N$4:$S$603,182,5)))</f>
        <v/>
      </c>
      <c r="I1273" s="27" t="str">
        <f>IF($E1273="","",N(INDEX(资金日记账!$N$4:$S$603,182,6)))</f>
        <v/>
      </c>
      <c r="J1273" s="26" t="str">
        <f>IF($E1273="","",INDEX(资金日记账!$E$4:$E$603,182))</f>
        <v/>
      </c>
      <c r="K1273" s="26" t="str">
        <f>IF($E1273="","",INDEX(资金日记账!$F$4:$F$603,182))</f>
        <v/>
      </c>
      <c r="L1273" s="32" t="str">
        <f>IF($E1273="","",INDEX(资金日记账!$X$4:$X$603,182))</f>
        <v/>
      </c>
      <c r="M1273" s="32"/>
      <c r="N1273" s="26" t="str">
        <f>IF($E1273="","",INDEX(资金日记账!$Y$4:$Y$603,182))</f>
        <v/>
      </c>
      <c r="O1273" s="26" t="str">
        <f t="shared" si="70"/>
        <v/>
      </c>
      <c r="P1273" s="10"/>
    </row>
    <row r="1274" ht="18" customHeight="1" spans="1:16">
      <c r="A1274" s="32" t="str">
        <f t="shared" si="69"/>
        <v/>
      </c>
      <c r="B1274" s="100" t="str">
        <f>IF($E1274="","",INDEX(资金日记账!$B$4:$B$603,183))</f>
        <v/>
      </c>
      <c r="C1274" s="26" t="str">
        <f>IF($E1274="","",IF(INDEX(资金日记账!$W$4:$W$603,183)="","记-"&amp;TEXT($B1274,"YYYYMM")&amp;"-资金",INDEX(资金日记账!$W$4:$W$603,183)))</f>
        <v/>
      </c>
      <c r="D1274" s="32" t="str">
        <f>IF($E1274="","",INDEX(资金日记账!$D$4:$D$603,183))</f>
        <v/>
      </c>
      <c r="E1274" s="26" t="str">
        <f>IF(INDEX(资金日记账!$N$4:$S$603,183,1)=0,"",INDEX(资金日记账!$N$4:$S$603,183,1))</f>
        <v/>
      </c>
      <c r="F1274" s="25" t="str">
        <f>IF($E1274="","",IFERROR(INDEX(科目表!$A$4:$A$81,MATCH($E1274,科目表!$B$4:$B$81,0)),""))</f>
        <v/>
      </c>
      <c r="G1274" s="26" t="str">
        <f>IF($E1274="","",IFERROR(INDEX(科目表!$E$4:$E$81,MATCH($E1274,科目表!$B$4:$B$81,0)),""))</f>
        <v/>
      </c>
      <c r="H1274" s="27" t="str">
        <f>IF($E1274="","",N(INDEX(资金日记账!$N$4:$S$603,183,2)))</f>
        <v/>
      </c>
      <c r="I1274" s="27" t="str">
        <f>IF($E1274="","",N(INDEX(资金日记账!$N$4:$S$603,183,3)))</f>
        <v/>
      </c>
      <c r="J1274" s="26" t="str">
        <f>IF($E1274="","",INDEX(资金日记账!$E$4:$E$603,183))</f>
        <v/>
      </c>
      <c r="K1274" s="26" t="str">
        <f>IF($E1274="","",INDEX(资金日记账!$F$4:$F$603,183))</f>
        <v/>
      </c>
      <c r="L1274" s="32" t="str">
        <f>IF($E1274="","",INDEX(资金日记账!$X$4:$X$603,183))</f>
        <v/>
      </c>
      <c r="M1274" s="32"/>
      <c r="N1274" s="26" t="str">
        <f>IF($E1274="","",INDEX(资金日记账!$Y$4:$Y$603,183))</f>
        <v/>
      </c>
      <c r="O1274" s="26" t="str">
        <f t="shared" si="70"/>
        <v/>
      </c>
      <c r="P1274" s="10"/>
    </row>
    <row r="1275" ht="18" customHeight="1" spans="1:16">
      <c r="A1275" s="32" t="str">
        <f t="shared" si="69"/>
        <v/>
      </c>
      <c r="B1275" s="100" t="str">
        <f>IF($E1275="","",INDEX(资金日记账!$B$4:$B$603,183))</f>
        <v/>
      </c>
      <c r="C1275" s="26" t="str">
        <f>IF($E1275="","",IF(INDEX(资金日记账!$W$4:$W$603,183)="","记-"&amp;TEXT($B1275,"YYYYMM")&amp;"-资金",INDEX(资金日记账!$W$4:$W$603,183)))</f>
        <v/>
      </c>
      <c r="D1275" s="32" t="str">
        <f>IF($E1275="","",INDEX(资金日记账!$D$4:$D$603,183))</f>
        <v/>
      </c>
      <c r="E1275" s="26" t="str">
        <f>IF(INDEX(资金日记账!$N$4:$S$603,183,4)=0,"",INDEX(资金日记账!$N$4:$S$603,183,4))</f>
        <v/>
      </c>
      <c r="F1275" s="25" t="str">
        <f>IF($E1275="","",IFERROR(INDEX(科目表!$A$4:$A$81,MATCH($E1275,科目表!$B$4:$B$81,0)),""))</f>
        <v/>
      </c>
      <c r="G1275" s="26" t="str">
        <f>IF($E1275="","",IFERROR(INDEX(科目表!$E$4:$E$81,MATCH($E1275,科目表!$B$4:$B$81,0)),""))</f>
        <v/>
      </c>
      <c r="H1275" s="27" t="str">
        <f>IF($E1275="","",N(INDEX(资金日记账!$N$4:$S$603,183,5)))</f>
        <v/>
      </c>
      <c r="I1275" s="27" t="str">
        <f>IF($E1275="","",N(INDEX(资金日记账!$N$4:$S$603,183,6)))</f>
        <v/>
      </c>
      <c r="J1275" s="26" t="str">
        <f>IF($E1275="","",INDEX(资金日记账!$E$4:$E$603,183))</f>
        <v/>
      </c>
      <c r="K1275" s="26" t="str">
        <f>IF($E1275="","",INDEX(资金日记账!$F$4:$F$603,183))</f>
        <v/>
      </c>
      <c r="L1275" s="32" t="str">
        <f>IF($E1275="","",INDEX(资金日记账!$X$4:$X$603,183))</f>
        <v/>
      </c>
      <c r="M1275" s="32"/>
      <c r="N1275" s="26" t="str">
        <f>IF($E1275="","",INDEX(资金日记账!$Y$4:$Y$603,183))</f>
        <v/>
      </c>
      <c r="O1275" s="26" t="str">
        <f t="shared" si="70"/>
        <v/>
      </c>
      <c r="P1275" s="10"/>
    </row>
    <row r="1276" ht="18" customHeight="1" spans="1:16">
      <c r="A1276" s="32" t="str">
        <f t="shared" si="69"/>
        <v/>
      </c>
      <c r="B1276" s="100" t="str">
        <f>IF($E1276="","",INDEX(资金日记账!$B$4:$B$603,184))</f>
        <v/>
      </c>
      <c r="C1276" s="26" t="str">
        <f>IF($E1276="","",IF(INDEX(资金日记账!$W$4:$W$603,184)="","记-"&amp;TEXT($B1276,"YYYYMM")&amp;"-资金",INDEX(资金日记账!$W$4:$W$603,184)))</f>
        <v/>
      </c>
      <c r="D1276" s="32" t="str">
        <f>IF($E1276="","",INDEX(资金日记账!$D$4:$D$603,184))</f>
        <v/>
      </c>
      <c r="E1276" s="26" t="str">
        <f>IF(INDEX(资金日记账!$N$4:$S$603,184,1)=0,"",INDEX(资金日记账!$N$4:$S$603,184,1))</f>
        <v/>
      </c>
      <c r="F1276" s="25" t="str">
        <f>IF($E1276="","",IFERROR(INDEX(科目表!$A$4:$A$81,MATCH($E1276,科目表!$B$4:$B$81,0)),""))</f>
        <v/>
      </c>
      <c r="G1276" s="26" t="str">
        <f>IF($E1276="","",IFERROR(INDEX(科目表!$E$4:$E$81,MATCH($E1276,科目表!$B$4:$B$81,0)),""))</f>
        <v/>
      </c>
      <c r="H1276" s="27" t="str">
        <f>IF($E1276="","",N(INDEX(资金日记账!$N$4:$S$603,184,2)))</f>
        <v/>
      </c>
      <c r="I1276" s="27" t="str">
        <f>IF($E1276="","",N(INDEX(资金日记账!$N$4:$S$603,184,3)))</f>
        <v/>
      </c>
      <c r="J1276" s="26" t="str">
        <f>IF($E1276="","",INDEX(资金日记账!$E$4:$E$603,184))</f>
        <v/>
      </c>
      <c r="K1276" s="26" t="str">
        <f>IF($E1276="","",INDEX(资金日记账!$F$4:$F$603,184))</f>
        <v/>
      </c>
      <c r="L1276" s="32" t="str">
        <f>IF($E1276="","",INDEX(资金日记账!$X$4:$X$603,184))</f>
        <v/>
      </c>
      <c r="M1276" s="32"/>
      <c r="N1276" s="26" t="str">
        <f>IF($E1276="","",INDEX(资金日记账!$Y$4:$Y$603,184))</f>
        <v/>
      </c>
      <c r="O1276" s="26" t="str">
        <f t="shared" si="70"/>
        <v/>
      </c>
      <c r="P1276" s="10"/>
    </row>
    <row r="1277" ht="18" customHeight="1" spans="1:16">
      <c r="A1277" s="32" t="str">
        <f t="shared" si="69"/>
        <v/>
      </c>
      <c r="B1277" s="100" t="str">
        <f>IF($E1277="","",INDEX(资金日记账!$B$4:$B$603,184))</f>
        <v/>
      </c>
      <c r="C1277" s="26" t="str">
        <f>IF($E1277="","",IF(INDEX(资金日记账!$W$4:$W$603,184)="","记-"&amp;TEXT($B1277,"YYYYMM")&amp;"-资金",INDEX(资金日记账!$W$4:$W$603,184)))</f>
        <v/>
      </c>
      <c r="D1277" s="32" t="str">
        <f>IF($E1277="","",INDEX(资金日记账!$D$4:$D$603,184))</f>
        <v/>
      </c>
      <c r="E1277" s="26" t="str">
        <f>IF(INDEX(资金日记账!$N$4:$S$603,184,4)=0,"",INDEX(资金日记账!$N$4:$S$603,184,4))</f>
        <v/>
      </c>
      <c r="F1277" s="25" t="str">
        <f>IF($E1277="","",IFERROR(INDEX(科目表!$A$4:$A$81,MATCH($E1277,科目表!$B$4:$B$81,0)),""))</f>
        <v/>
      </c>
      <c r="G1277" s="26" t="str">
        <f>IF($E1277="","",IFERROR(INDEX(科目表!$E$4:$E$81,MATCH($E1277,科目表!$B$4:$B$81,0)),""))</f>
        <v/>
      </c>
      <c r="H1277" s="27" t="str">
        <f>IF($E1277="","",N(INDEX(资金日记账!$N$4:$S$603,184,5)))</f>
        <v/>
      </c>
      <c r="I1277" s="27" t="str">
        <f>IF($E1277="","",N(INDEX(资金日记账!$N$4:$S$603,184,6)))</f>
        <v/>
      </c>
      <c r="J1277" s="26" t="str">
        <f>IF($E1277="","",INDEX(资金日记账!$E$4:$E$603,184))</f>
        <v/>
      </c>
      <c r="K1277" s="26" t="str">
        <f>IF($E1277="","",INDEX(资金日记账!$F$4:$F$603,184))</f>
        <v/>
      </c>
      <c r="L1277" s="32" t="str">
        <f>IF($E1277="","",INDEX(资金日记账!$X$4:$X$603,184))</f>
        <v/>
      </c>
      <c r="M1277" s="32"/>
      <c r="N1277" s="26" t="str">
        <f>IF($E1277="","",INDEX(资金日记账!$Y$4:$Y$603,184))</f>
        <v/>
      </c>
      <c r="O1277" s="26" t="str">
        <f t="shared" si="70"/>
        <v/>
      </c>
      <c r="P1277" s="10"/>
    </row>
    <row r="1278" ht="18" customHeight="1" spans="1:16">
      <c r="A1278" s="32" t="str">
        <f t="shared" si="69"/>
        <v/>
      </c>
      <c r="B1278" s="100" t="str">
        <f>IF($E1278="","",INDEX(资金日记账!$B$4:$B$603,185))</f>
        <v/>
      </c>
      <c r="C1278" s="26" t="str">
        <f>IF($E1278="","",IF(INDEX(资金日记账!$W$4:$W$603,185)="","记-"&amp;TEXT($B1278,"YYYYMM")&amp;"-资金",INDEX(资金日记账!$W$4:$W$603,185)))</f>
        <v/>
      </c>
      <c r="D1278" s="32" t="str">
        <f>IF($E1278="","",INDEX(资金日记账!$D$4:$D$603,185))</f>
        <v/>
      </c>
      <c r="E1278" s="26" t="str">
        <f>IF(INDEX(资金日记账!$N$4:$S$603,185,1)=0,"",INDEX(资金日记账!$N$4:$S$603,185,1))</f>
        <v/>
      </c>
      <c r="F1278" s="25" t="str">
        <f>IF($E1278="","",IFERROR(INDEX(科目表!$A$4:$A$81,MATCH($E1278,科目表!$B$4:$B$81,0)),""))</f>
        <v/>
      </c>
      <c r="G1278" s="26" t="str">
        <f>IF($E1278="","",IFERROR(INDEX(科目表!$E$4:$E$81,MATCH($E1278,科目表!$B$4:$B$81,0)),""))</f>
        <v/>
      </c>
      <c r="H1278" s="27" t="str">
        <f>IF($E1278="","",N(INDEX(资金日记账!$N$4:$S$603,185,2)))</f>
        <v/>
      </c>
      <c r="I1278" s="27" t="str">
        <f>IF($E1278="","",N(INDEX(资金日记账!$N$4:$S$603,185,3)))</f>
        <v/>
      </c>
      <c r="J1278" s="26" t="str">
        <f>IF($E1278="","",INDEX(资金日记账!$E$4:$E$603,185))</f>
        <v/>
      </c>
      <c r="K1278" s="26" t="str">
        <f>IF($E1278="","",INDEX(资金日记账!$F$4:$F$603,185))</f>
        <v/>
      </c>
      <c r="L1278" s="32" t="str">
        <f>IF($E1278="","",INDEX(资金日记账!$X$4:$X$603,185))</f>
        <v/>
      </c>
      <c r="M1278" s="32"/>
      <c r="N1278" s="26" t="str">
        <f>IF($E1278="","",INDEX(资金日记账!$Y$4:$Y$603,185))</f>
        <v/>
      </c>
      <c r="O1278" s="26" t="str">
        <f t="shared" si="70"/>
        <v/>
      </c>
      <c r="P1278" s="10"/>
    </row>
    <row r="1279" ht="18" customHeight="1" spans="1:16">
      <c r="A1279" s="32" t="str">
        <f t="shared" si="69"/>
        <v/>
      </c>
      <c r="B1279" s="100" t="str">
        <f>IF($E1279="","",INDEX(资金日记账!$B$4:$B$603,185))</f>
        <v/>
      </c>
      <c r="C1279" s="26" t="str">
        <f>IF($E1279="","",IF(INDEX(资金日记账!$W$4:$W$603,185)="","记-"&amp;TEXT($B1279,"YYYYMM")&amp;"-资金",INDEX(资金日记账!$W$4:$W$603,185)))</f>
        <v/>
      </c>
      <c r="D1279" s="32" t="str">
        <f>IF($E1279="","",INDEX(资金日记账!$D$4:$D$603,185))</f>
        <v/>
      </c>
      <c r="E1279" s="26" t="str">
        <f>IF(INDEX(资金日记账!$N$4:$S$603,185,4)=0,"",INDEX(资金日记账!$N$4:$S$603,185,4))</f>
        <v/>
      </c>
      <c r="F1279" s="25" t="str">
        <f>IF($E1279="","",IFERROR(INDEX(科目表!$A$4:$A$81,MATCH($E1279,科目表!$B$4:$B$81,0)),""))</f>
        <v/>
      </c>
      <c r="G1279" s="26" t="str">
        <f>IF($E1279="","",IFERROR(INDEX(科目表!$E$4:$E$81,MATCH($E1279,科目表!$B$4:$B$81,0)),""))</f>
        <v/>
      </c>
      <c r="H1279" s="27" t="str">
        <f>IF($E1279="","",N(INDEX(资金日记账!$N$4:$S$603,185,5)))</f>
        <v/>
      </c>
      <c r="I1279" s="27" t="str">
        <f>IF($E1279="","",N(INDEX(资金日记账!$N$4:$S$603,185,6)))</f>
        <v/>
      </c>
      <c r="J1279" s="26" t="str">
        <f>IF($E1279="","",INDEX(资金日记账!$E$4:$E$603,185))</f>
        <v/>
      </c>
      <c r="K1279" s="26" t="str">
        <f>IF($E1279="","",INDEX(资金日记账!$F$4:$F$603,185))</f>
        <v/>
      </c>
      <c r="L1279" s="32" t="str">
        <f>IF($E1279="","",INDEX(资金日记账!$X$4:$X$603,185))</f>
        <v/>
      </c>
      <c r="M1279" s="32"/>
      <c r="N1279" s="26" t="str">
        <f>IF($E1279="","",INDEX(资金日记账!$Y$4:$Y$603,185))</f>
        <v/>
      </c>
      <c r="O1279" s="26" t="str">
        <f t="shared" si="70"/>
        <v/>
      </c>
      <c r="P1279" s="10"/>
    </row>
    <row r="1280" ht="18" customHeight="1" spans="1:16">
      <c r="A1280" s="32" t="str">
        <f t="shared" si="69"/>
        <v/>
      </c>
      <c r="B1280" s="100" t="str">
        <f>IF($E1280="","",INDEX(资金日记账!$B$4:$B$603,186))</f>
        <v/>
      </c>
      <c r="C1280" s="26" t="str">
        <f>IF($E1280="","",IF(INDEX(资金日记账!$W$4:$W$603,186)="","记-"&amp;TEXT($B1280,"YYYYMM")&amp;"-资金",INDEX(资金日记账!$W$4:$W$603,186)))</f>
        <v/>
      </c>
      <c r="D1280" s="32" t="str">
        <f>IF($E1280="","",INDEX(资金日记账!$D$4:$D$603,186))</f>
        <v/>
      </c>
      <c r="E1280" s="26" t="str">
        <f>IF(INDEX(资金日记账!$N$4:$S$603,186,1)=0,"",INDEX(资金日记账!$N$4:$S$603,186,1))</f>
        <v/>
      </c>
      <c r="F1280" s="25" t="str">
        <f>IF($E1280="","",IFERROR(INDEX(科目表!$A$4:$A$81,MATCH($E1280,科目表!$B$4:$B$81,0)),""))</f>
        <v/>
      </c>
      <c r="G1280" s="26" t="str">
        <f>IF($E1280="","",IFERROR(INDEX(科目表!$E$4:$E$81,MATCH($E1280,科目表!$B$4:$B$81,0)),""))</f>
        <v/>
      </c>
      <c r="H1280" s="27" t="str">
        <f>IF($E1280="","",N(INDEX(资金日记账!$N$4:$S$603,186,2)))</f>
        <v/>
      </c>
      <c r="I1280" s="27" t="str">
        <f>IF($E1280="","",N(INDEX(资金日记账!$N$4:$S$603,186,3)))</f>
        <v/>
      </c>
      <c r="J1280" s="26" t="str">
        <f>IF($E1280="","",INDEX(资金日记账!$E$4:$E$603,186))</f>
        <v/>
      </c>
      <c r="K1280" s="26" t="str">
        <f>IF($E1280="","",INDEX(资金日记账!$F$4:$F$603,186))</f>
        <v/>
      </c>
      <c r="L1280" s="32" t="str">
        <f>IF($E1280="","",INDEX(资金日记账!$X$4:$X$603,186))</f>
        <v/>
      </c>
      <c r="M1280" s="32"/>
      <c r="N1280" s="26" t="str">
        <f>IF($E1280="","",INDEX(资金日记账!$Y$4:$Y$603,186))</f>
        <v/>
      </c>
      <c r="O1280" s="26" t="str">
        <f t="shared" si="70"/>
        <v/>
      </c>
      <c r="P1280" s="10"/>
    </row>
    <row r="1281" ht="18" customHeight="1" spans="1:16">
      <c r="A1281" s="32" t="str">
        <f t="shared" si="69"/>
        <v/>
      </c>
      <c r="B1281" s="100" t="str">
        <f>IF($E1281="","",INDEX(资金日记账!$B$4:$B$603,186))</f>
        <v/>
      </c>
      <c r="C1281" s="26" t="str">
        <f>IF($E1281="","",IF(INDEX(资金日记账!$W$4:$W$603,186)="","记-"&amp;TEXT($B1281,"YYYYMM")&amp;"-资金",INDEX(资金日记账!$W$4:$W$603,186)))</f>
        <v/>
      </c>
      <c r="D1281" s="32" t="str">
        <f>IF($E1281="","",INDEX(资金日记账!$D$4:$D$603,186))</f>
        <v/>
      </c>
      <c r="E1281" s="26" t="str">
        <f>IF(INDEX(资金日记账!$N$4:$S$603,186,4)=0,"",INDEX(资金日记账!$N$4:$S$603,186,4))</f>
        <v/>
      </c>
      <c r="F1281" s="25" t="str">
        <f>IF($E1281="","",IFERROR(INDEX(科目表!$A$4:$A$81,MATCH($E1281,科目表!$B$4:$B$81,0)),""))</f>
        <v/>
      </c>
      <c r="G1281" s="26" t="str">
        <f>IF($E1281="","",IFERROR(INDEX(科目表!$E$4:$E$81,MATCH($E1281,科目表!$B$4:$B$81,0)),""))</f>
        <v/>
      </c>
      <c r="H1281" s="27" t="str">
        <f>IF($E1281="","",N(INDEX(资金日记账!$N$4:$S$603,186,5)))</f>
        <v/>
      </c>
      <c r="I1281" s="27" t="str">
        <f>IF($E1281="","",N(INDEX(资金日记账!$N$4:$S$603,186,6)))</f>
        <v/>
      </c>
      <c r="J1281" s="26" t="str">
        <f>IF($E1281="","",INDEX(资金日记账!$E$4:$E$603,186))</f>
        <v/>
      </c>
      <c r="K1281" s="26" t="str">
        <f>IF($E1281="","",INDEX(资金日记账!$F$4:$F$603,186))</f>
        <v/>
      </c>
      <c r="L1281" s="32" t="str">
        <f>IF($E1281="","",INDEX(资金日记账!$X$4:$X$603,186))</f>
        <v/>
      </c>
      <c r="M1281" s="32"/>
      <c r="N1281" s="26" t="str">
        <f>IF($E1281="","",INDEX(资金日记账!$Y$4:$Y$603,186))</f>
        <v/>
      </c>
      <c r="O1281" s="26" t="str">
        <f t="shared" si="70"/>
        <v/>
      </c>
      <c r="P1281" s="10"/>
    </row>
    <row r="1282" ht="18" customHeight="1" spans="1:16">
      <c r="A1282" s="32" t="str">
        <f t="shared" si="69"/>
        <v/>
      </c>
      <c r="B1282" s="100" t="str">
        <f>IF($E1282="","",INDEX(资金日记账!$B$4:$B$603,187))</f>
        <v/>
      </c>
      <c r="C1282" s="26" t="str">
        <f>IF($E1282="","",IF(INDEX(资金日记账!$W$4:$W$603,187)="","记-"&amp;TEXT($B1282,"YYYYMM")&amp;"-资金",INDEX(资金日记账!$W$4:$W$603,187)))</f>
        <v/>
      </c>
      <c r="D1282" s="32" t="str">
        <f>IF($E1282="","",INDEX(资金日记账!$D$4:$D$603,187))</f>
        <v/>
      </c>
      <c r="E1282" s="26" t="str">
        <f>IF(INDEX(资金日记账!$N$4:$S$603,187,1)=0,"",INDEX(资金日记账!$N$4:$S$603,187,1))</f>
        <v/>
      </c>
      <c r="F1282" s="25" t="str">
        <f>IF($E1282="","",IFERROR(INDEX(科目表!$A$4:$A$81,MATCH($E1282,科目表!$B$4:$B$81,0)),""))</f>
        <v/>
      </c>
      <c r="G1282" s="26" t="str">
        <f>IF($E1282="","",IFERROR(INDEX(科目表!$E$4:$E$81,MATCH($E1282,科目表!$B$4:$B$81,0)),""))</f>
        <v/>
      </c>
      <c r="H1282" s="27" t="str">
        <f>IF($E1282="","",N(INDEX(资金日记账!$N$4:$S$603,187,2)))</f>
        <v/>
      </c>
      <c r="I1282" s="27" t="str">
        <f>IF($E1282="","",N(INDEX(资金日记账!$N$4:$S$603,187,3)))</f>
        <v/>
      </c>
      <c r="J1282" s="26" t="str">
        <f>IF($E1282="","",INDEX(资金日记账!$E$4:$E$603,187))</f>
        <v/>
      </c>
      <c r="K1282" s="26" t="str">
        <f>IF($E1282="","",INDEX(资金日记账!$F$4:$F$603,187))</f>
        <v/>
      </c>
      <c r="L1282" s="32" t="str">
        <f>IF($E1282="","",INDEX(资金日记账!$X$4:$X$603,187))</f>
        <v/>
      </c>
      <c r="M1282" s="32"/>
      <c r="N1282" s="26" t="str">
        <f>IF($E1282="","",INDEX(资金日记账!$Y$4:$Y$603,187))</f>
        <v/>
      </c>
      <c r="O1282" s="26" t="str">
        <f t="shared" si="70"/>
        <v/>
      </c>
      <c r="P1282" s="10"/>
    </row>
    <row r="1283" ht="18" customHeight="1" spans="1:16">
      <c r="A1283" s="32" t="str">
        <f t="shared" si="69"/>
        <v/>
      </c>
      <c r="B1283" s="100" t="str">
        <f>IF($E1283="","",INDEX(资金日记账!$B$4:$B$603,187))</f>
        <v/>
      </c>
      <c r="C1283" s="26" t="str">
        <f>IF($E1283="","",IF(INDEX(资金日记账!$W$4:$W$603,187)="","记-"&amp;TEXT($B1283,"YYYYMM")&amp;"-资金",INDEX(资金日记账!$W$4:$W$603,187)))</f>
        <v/>
      </c>
      <c r="D1283" s="32" t="str">
        <f>IF($E1283="","",INDEX(资金日记账!$D$4:$D$603,187))</f>
        <v/>
      </c>
      <c r="E1283" s="26" t="str">
        <f>IF(INDEX(资金日记账!$N$4:$S$603,187,4)=0,"",INDEX(资金日记账!$N$4:$S$603,187,4))</f>
        <v/>
      </c>
      <c r="F1283" s="25" t="str">
        <f>IF($E1283="","",IFERROR(INDEX(科目表!$A$4:$A$81,MATCH($E1283,科目表!$B$4:$B$81,0)),""))</f>
        <v/>
      </c>
      <c r="G1283" s="26" t="str">
        <f>IF($E1283="","",IFERROR(INDEX(科目表!$E$4:$E$81,MATCH($E1283,科目表!$B$4:$B$81,0)),""))</f>
        <v/>
      </c>
      <c r="H1283" s="27" t="str">
        <f>IF($E1283="","",N(INDEX(资金日记账!$N$4:$S$603,187,5)))</f>
        <v/>
      </c>
      <c r="I1283" s="27" t="str">
        <f>IF($E1283="","",N(INDEX(资金日记账!$N$4:$S$603,187,6)))</f>
        <v/>
      </c>
      <c r="J1283" s="26" t="str">
        <f>IF($E1283="","",INDEX(资金日记账!$E$4:$E$603,187))</f>
        <v/>
      </c>
      <c r="K1283" s="26" t="str">
        <f>IF($E1283="","",INDEX(资金日记账!$F$4:$F$603,187))</f>
        <v/>
      </c>
      <c r="L1283" s="32" t="str">
        <f>IF($E1283="","",INDEX(资金日记账!$X$4:$X$603,187))</f>
        <v/>
      </c>
      <c r="M1283" s="32"/>
      <c r="N1283" s="26" t="str">
        <f>IF($E1283="","",INDEX(资金日记账!$Y$4:$Y$603,187))</f>
        <v/>
      </c>
      <c r="O1283" s="26" t="str">
        <f t="shared" si="70"/>
        <v/>
      </c>
      <c r="P1283" s="10"/>
    </row>
    <row r="1284" ht="18" customHeight="1" spans="1:16">
      <c r="A1284" s="32" t="str">
        <f t="shared" ref="A1284:A1347" si="71">IF($E1284="","",ROW()-3)</f>
        <v/>
      </c>
      <c r="B1284" s="100" t="str">
        <f>IF($E1284="","",INDEX(资金日记账!$B$4:$B$603,188))</f>
        <v/>
      </c>
      <c r="C1284" s="26" t="str">
        <f>IF($E1284="","",IF(INDEX(资金日记账!$W$4:$W$603,188)="","记-"&amp;TEXT($B1284,"YYYYMM")&amp;"-资金",INDEX(资金日记账!$W$4:$W$603,188)))</f>
        <v/>
      </c>
      <c r="D1284" s="32" t="str">
        <f>IF($E1284="","",INDEX(资金日记账!$D$4:$D$603,188))</f>
        <v/>
      </c>
      <c r="E1284" s="26" t="str">
        <f>IF(INDEX(资金日记账!$N$4:$S$603,188,1)=0,"",INDEX(资金日记账!$N$4:$S$603,188,1))</f>
        <v/>
      </c>
      <c r="F1284" s="25" t="str">
        <f>IF($E1284="","",IFERROR(INDEX(科目表!$A$4:$A$81,MATCH($E1284,科目表!$B$4:$B$81,0)),""))</f>
        <v/>
      </c>
      <c r="G1284" s="26" t="str">
        <f>IF($E1284="","",IFERROR(INDEX(科目表!$E$4:$E$81,MATCH($E1284,科目表!$B$4:$B$81,0)),""))</f>
        <v/>
      </c>
      <c r="H1284" s="27" t="str">
        <f>IF($E1284="","",N(INDEX(资金日记账!$N$4:$S$603,188,2)))</f>
        <v/>
      </c>
      <c r="I1284" s="27" t="str">
        <f>IF($E1284="","",N(INDEX(资金日记账!$N$4:$S$603,188,3)))</f>
        <v/>
      </c>
      <c r="J1284" s="26" t="str">
        <f>IF($E1284="","",INDEX(资金日记账!$E$4:$E$603,188))</f>
        <v/>
      </c>
      <c r="K1284" s="26" t="str">
        <f>IF($E1284="","",INDEX(资金日记账!$F$4:$F$603,188))</f>
        <v/>
      </c>
      <c r="L1284" s="32" t="str">
        <f>IF($E1284="","",INDEX(资金日记账!$X$4:$X$603,188))</f>
        <v/>
      </c>
      <c r="M1284" s="32"/>
      <c r="N1284" s="26" t="str">
        <f>IF($E1284="","",INDEX(资金日记账!$Y$4:$Y$603,188))</f>
        <v/>
      </c>
      <c r="O1284" s="26" t="str">
        <f t="shared" si="70"/>
        <v/>
      </c>
      <c r="P1284" s="10"/>
    </row>
    <row r="1285" ht="18" customHeight="1" spans="1:16">
      <c r="A1285" s="32" t="str">
        <f t="shared" si="71"/>
        <v/>
      </c>
      <c r="B1285" s="100" t="str">
        <f>IF($E1285="","",INDEX(资金日记账!$B$4:$B$603,188))</f>
        <v/>
      </c>
      <c r="C1285" s="26" t="str">
        <f>IF($E1285="","",IF(INDEX(资金日记账!$W$4:$W$603,188)="","记-"&amp;TEXT($B1285,"YYYYMM")&amp;"-资金",INDEX(资金日记账!$W$4:$W$603,188)))</f>
        <v/>
      </c>
      <c r="D1285" s="32" t="str">
        <f>IF($E1285="","",INDEX(资金日记账!$D$4:$D$603,188))</f>
        <v/>
      </c>
      <c r="E1285" s="26" t="str">
        <f>IF(INDEX(资金日记账!$N$4:$S$603,188,4)=0,"",INDEX(资金日记账!$N$4:$S$603,188,4))</f>
        <v/>
      </c>
      <c r="F1285" s="25" t="str">
        <f>IF($E1285="","",IFERROR(INDEX(科目表!$A$4:$A$81,MATCH($E1285,科目表!$B$4:$B$81,0)),""))</f>
        <v/>
      </c>
      <c r="G1285" s="26" t="str">
        <f>IF($E1285="","",IFERROR(INDEX(科目表!$E$4:$E$81,MATCH($E1285,科目表!$B$4:$B$81,0)),""))</f>
        <v/>
      </c>
      <c r="H1285" s="27" t="str">
        <f>IF($E1285="","",N(INDEX(资金日记账!$N$4:$S$603,188,5)))</f>
        <v/>
      </c>
      <c r="I1285" s="27" t="str">
        <f>IF($E1285="","",N(INDEX(资金日记账!$N$4:$S$603,188,6)))</f>
        <v/>
      </c>
      <c r="J1285" s="26" t="str">
        <f>IF($E1285="","",INDEX(资金日记账!$E$4:$E$603,188))</f>
        <v/>
      </c>
      <c r="K1285" s="26" t="str">
        <f>IF($E1285="","",INDEX(资金日记账!$F$4:$F$603,188))</f>
        <v/>
      </c>
      <c r="L1285" s="32" t="str">
        <f>IF($E1285="","",INDEX(资金日记账!$X$4:$X$603,188))</f>
        <v/>
      </c>
      <c r="M1285" s="32"/>
      <c r="N1285" s="26" t="str">
        <f>IF($E1285="","",INDEX(资金日记账!$Y$4:$Y$603,188))</f>
        <v/>
      </c>
      <c r="O1285" s="26" t="str">
        <f t="shared" si="70"/>
        <v/>
      </c>
      <c r="P1285" s="10"/>
    </row>
    <row r="1286" ht="18" customHeight="1" spans="1:16">
      <c r="A1286" s="32" t="str">
        <f t="shared" si="71"/>
        <v/>
      </c>
      <c r="B1286" s="100" t="str">
        <f>IF($E1286="","",INDEX(资金日记账!$B$4:$B$603,189))</f>
        <v/>
      </c>
      <c r="C1286" s="26" t="str">
        <f>IF($E1286="","",IF(INDEX(资金日记账!$W$4:$W$603,189)="","记-"&amp;TEXT($B1286,"YYYYMM")&amp;"-资金",INDEX(资金日记账!$W$4:$W$603,189)))</f>
        <v/>
      </c>
      <c r="D1286" s="32" t="str">
        <f>IF($E1286="","",INDEX(资金日记账!$D$4:$D$603,189))</f>
        <v/>
      </c>
      <c r="E1286" s="26" t="str">
        <f>IF(INDEX(资金日记账!$N$4:$S$603,189,1)=0,"",INDEX(资金日记账!$N$4:$S$603,189,1))</f>
        <v/>
      </c>
      <c r="F1286" s="25" t="str">
        <f>IF($E1286="","",IFERROR(INDEX(科目表!$A$4:$A$81,MATCH($E1286,科目表!$B$4:$B$81,0)),""))</f>
        <v/>
      </c>
      <c r="G1286" s="26" t="str">
        <f>IF($E1286="","",IFERROR(INDEX(科目表!$E$4:$E$81,MATCH($E1286,科目表!$B$4:$B$81,0)),""))</f>
        <v/>
      </c>
      <c r="H1286" s="27" t="str">
        <f>IF($E1286="","",N(INDEX(资金日记账!$N$4:$S$603,189,2)))</f>
        <v/>
      </c>
      <c r="I1286" s="27" t="str">
        <f>IF($E1286="","",N(INDEX(资金日记账!$N$4:$S$603,189,3)))</f>
        <v/>
      </c>
      <c r="J1286" s="26" t="str">
        <f>IF($E1286="","",INDEX(资金日记账!$E$4:$E$603,189))</f>
        <v/>
      </c>
      <c r="K1286" s="26" t="str">
        <f>IF($E1286="","",INDEX(资金日记账!$F$4:$F$603,189))</f>
        <v/>
      </c>
      <c r="L1286" s="32" t="str">
        <f>IF($E1286="","",INDEX(资金日记账!$X$4:$X$603,189))</f>
        <v/>
      </c>
      <c r="M1286" s="32"/>
      <c r="N1286" s="26" t="str">
        <f>IF($E1286="","",INDEX(资金日记账!$Y$4:$Y$603,189))</f>
        <v/>
      </c>
      <c r="O1286" s="26" t="str">
        <f t="shared" si="70"/>
        <v/>
      </c>
      <c r="P1286" s="10"/>
    </row>
    <row r="1287" ht="18" customHeight="1" spans="1:16">
      <c r="A1287" s="32" t="str">
        <f t="shared" si="71"/>
        <v/>
      </c>
      <c r="B1287" s="100" t="str">
        <f>IF($E1287="","",INDEX(资金日记账!$B$4:$B$603,189))</f>
        <v/>
      </c>
      <c r="C1287" s="26" t="str">
        <f>IF($E1287="","",IF(INDEX(资金日记账!$W$4:$W$603,189)="","记-"&amp;TEXT($B1287,"YYYYMM")&amp;"-资金",INDEX(资金日记账!$W$4:$W$603,189)))</f>
        <v/>
      </c>
      <c r="D1287" s="32" t="str">
        <f>IF($E1287="","",INDEX(资金日记账!$D$4:$D$603,189))</f>
        <v/>
      </c>
      <c r="E1287" s="26" t="str">
        <f>IF(INDEX(资金日记账!$N$4:$S$603,189,4)=0,"",INDEX(资金日记账!$N$4:$S$603,189,4))</f>
        <v/>
      </c>
      <c r="F1287" s="25" t="str">
        <f>IF($E1287="","",IFERROR(INDEX(科目表!$A$4:$A$81,MATCH($E1287,科目表!$B$4:$B$81,0)),""))</f>
        <v/>
      </c>
      <c r="G1287" s="26" t="str">
        <f>IF($E1287="","",IFERROR(INDEX(科目表!$E$4:$E$81,MATCH($E1287,科目表!$B$4:$B$81,0)),""))</f>
        <v/>
      </c>
      <c r="H1287" s="27" t="str">
        <f>IF($E1287="","",N(INDEX(资金日记账!$N$4:$S$603,189,5)))</f>
        <v/>
      </c>
      <c r="I1287" s="27" t="str">
        <f>IF($E1287="","",N(INDEX(资金日记账!$N$4:$S$603,189,6)))</f>
        <v/>
      </c>
      <c r="J1287" s="26" t="str">
        <f>IF($E1287="","",INDEX(资金日记账!$E$4:$E$603,189))</f>
        <v/>
      </c>
      <c r="K1287" s="26" t="str">
        <f>IF($E1287="","",INDEX(资金日记账!$F$4:$F$603,189))</f>
        <v/>
      </c>
      <c r="L1287" s="32" t="str">
        <f>IF($E1287="","",INDEX(资金日记账!$X$4:$X$603,189))</f>
        <v/>
      </c>
      <c r="M1287" s="32"/>
      <c r="N1287" s="26" t="str">
        <f>IF($E1287="","",INDEX(资金日记账!$Y$4:$Y$603,189))</f>
        <v/>
      </c>
      <c r="O1287" s="26" t="str">
        <f t="shared" si="70"/>
        <v/>
      </c>
      <c r="P1287" s="10"/>
    </row>
    <row r="1288" ht="18" customHeight="1" spans="1:16">
      <c r="A1288" s="32" t="str">
        <f t="shared" si="71"/>
        <v/>
      </c>
      <c r="B1288" s="100" t="str">
        <f>IF($E1288="","",INDEX(资金日记账!$B$4:$B$603,190))</f>
        <v/>
      </c>
      <c r="C1288" s="26" t="str">
        <f>IF($E1288="","",IF(INDEX(资金日记账!$W$4:$W$603,190)="","记-"&amp;TEXT($B1288,"YYYYMM")&amp;"-资金",INDEX(资金日记账!$W$4:$W$603,190)))</f>
        <v/>
      </c>
      <c r="D1288" s="32" t="str">
        <f>IF($E1288="","",INDEX(资金日记账!$D$4:$D$603,190))</f>
        <v/>
      </c>
      <c r="E1288" s="26" t="str">
        <f>IF(INDEX(资金日记账!$N$4:$S$603,190,1)=0,"",INDEX(资金日记账!$N$4:$S$603,190,1))</f>
        <v/>
      </c>
      <c r="F1288" s="25" t="str">
        <f>IF($E1288="","",IFERROR(INDEX(科目表!$A$4:$A$81,MATCH($E1288,科目表!$B$4:$B$81,0)),""))</f>
        <v/>
      </c>
      <c r="G1288" s="26" t="str">
        <f>IF($E1288="","",IFERROR(INDEX(科目表!$E$4:$E$81,MATCH($E1288,科目表!$B$4:$B$81,0)),""))</f>
        <v/>
      </c>
      <c r="H1288" s="27" t="str">
        <f>IF($E1288="","",N(INDEX(资金日记账!$N$4:$S$603,190,2)))</f>
        <v/>
      </c>
      <c r="I1288" s="27" t="str">
        <f>IF($E1288="","",N(INDEX(资金日记账!$N$4:$S$603,190,3)))</f>
        <v/>
      </c>
      <c r="J1288" s="26" t="str">
        <f>IF($E1288="","",INDEX(资金日记账!$E$4:$E$603,190))</f>
        <v/>
      </c>
      <c r="K1288" s="26" t="str">
        <f>IF($E1288="","",INDEX(资金日记账!$F$4:$F$603,190))</f>
        <v/>
      </c>
      <c r="L1288" s="32" t="str">
        <f>IF($E1288="","",INDEX(资金日记账!$X$4:$X$603,190))</f>
        <v/>
      </c>
      <c r="M1288" s="32"/>
      <c r="N1288" s="26" t="str">
        <f>IF($E1288="","",INDEX(资金日记账!$Y$4:$Y$603,190))</f>
        <v/>
      </c>
      <c r="O1288" s="26" t="str">
        <f t="shared" si="70"/>
        <v/>
      </c>
      <c r="P1288" s="10"/>
    </row>
    <row r="1289" ht="18" customHeight="1" spans="1:16">
      <c r="A1289" s="32" t="str">
        <f t="shared" si="71"/>
        <v/>
      </c>
      <c r="B1289" s="100" t="str">
        <f>IF($E1289="","",INDEX(资金日记账!$B$4:$B$603,190))</f>
        <v/>
      </c>
      <c r="C1289" s="26" t="str">
        <f>IF($E1289="","",IF(INDEX(资金日记账!$W$4:$W$603,190)="","记-"&amp;TEXT($B1289,"YYYYMM")&amp;"-资金",INDEX(资金日记账!$W$4:$W$603,190)))</f>
        <v/>
      </c>
      <c r="D1289" s="32" t="str">
        <f>IF($E1289="","",INDEX(资金日记账!$D$4:$D$603,190))</f>
        <v/>
      </c>
      <c r="E1289" s="26" t="str">
        <f>IF(INDEX(资金日记账!$N$4:$S$603,190,4)=0,"",INDEX(资金日记账!$N$4:$S$603,190,4))</f>
        <v/>
      </c>
      <c r="F1289" s="25" t="str">
        <f>IF($E1289="","",IFERROR(INDEX(科目表!$A$4:$A$81,MATCH($E1289,科目表!$B$4:$B$81,0)),""))</f>
        <v/>
      </c>
      <c r="G1289" s="26" t="str">
        <f>IF($E1289="","",IFERROR(INDEX(科目表!$E$4:$E$81,MATCH($E1289,科目表!$B$4:$B$81,0)),""))</f>
        <v/>
      </c>
      <c r="H1289" s="27" t="str">
        <f>IF($E1289="","",N(INDEX(资金日记账!$N$4:$S$603,190,5)))</f>
        <v/>
      </c>
      <c r="I1289" s="27" t="str">
        <f>IF($E1289="","",N(INDEX(资金日记账!$N$4:$S$603,190,6)))</f>
        <v/>
      </c>
      <c r="J1289" s="26" t="str">
        <f>IF($E1289="","",INDEX(资金日记账!$E$4:$E$603,190))</f>
        <v/>
      </c>
      <c r="K1289" s="26" t="str">
        <f>IF($E1289="","",INDEX(资金日记账!$F$4:$F$603,190))</f>
        <v/>
      </c>
      <c r="L1289" s="32" t="str">
        <f>IF($E1289="","",INDEX(资金日记账!$X$4:$X$603,190))</f>
        <v/>
      </c>
      <c r="M1289" s="32"/>
      <c r="N1289" s="26" t="str">
        <f>IF($E1289="","",INDEX(资金日记账!$Y$4:$Y$603,190))</f>
        <v/>
      </c>
      <c r="O1289" s="26" t="str">
        <f t="shared" si="70"/>
        <v/>
      </c>
      <c r="P1289" s="10"/>
    </row>
    <row r="1290" ht="18" customHeight="1" spans="1:16">
      <c r="A1290" s="32" t="str">
        <f t="shared" si="71"/>
        <v/>
      </c>
      <c r="B1290" s="100" t="str">
        <f>IF($E1290="","",INDEX(资金日记账!$B$4:$B$603,191))</f>
        <v/>
      </c>
      <c r="C1290" s="26" t="str">
        <f>IF($E1290="","",IF(INDEX(资金日记账!$W$4:$W$603,191)="","记-"&amp;TEXT($B1290,"YYYYMM")&amp;"-资金",INDEX(资金日记账!$W$4:$W$603,191)))</f>
        <v/>
      </c>
      <c r="D1290" s="32" t="str">
        <f>IF($E1290="","",INDEX(资金日记账!$D$4:$D$603,191))</f>
        <v/>
      </c>
      <c r="E1290" s="26" t="str">
        <f>IF(INDEX(资金日记账!$N$4:$S$603,191,1)=0,"",INDEX(资金日记账!$N$4:$S$603,191,1))</f>
        <v/>
      </c>
      <c r="F1290" s="25" t="str">
        <f>IF($E1290="","",IFERROR(INDEX(科目表!$A$4:$A$81,MATCH($E1290,科目表!$B$4:$B$81,0)),""))</f>
        <v/>
      </c>
      <c r="G1290" s="26" t="str">
        <f>IF($E1290="","",IFERROR(INDEX(科目表!$E$4:$E$81,MATCH($E1290,科目表!$B$4:$B$81,0)),""))</f>
        <v/>
      </c>
      <c r="H1290" s="27" t="str">
        <f>IF($E1290="","",N(INDEX(资金日记账!$N$4:$S$603,191,2)))</f>
        <v/>
      </c>
      <c r="I1290" s="27" t="str">
        <f>IF($E1290="","",N(INDEX(资金日记账!$N$4:$S$603,191,3)))</f>
        <v/>
      </c>
      <c r="J1290" s="26" t="str">
        <f>IF($E1290="","",INDEX(资金日记账!$E$4:$E$603,191))</f>
        <v/>
      </c>
      <c r="K1290" s="26" t="str">
        <f>IF($E1290="","",INDEX(资金日记账!$F$4:$F$603,191))</f>
        <v/>
      </c>
      <c r="L1290" s="32" t="str">
        <f>IF($E1290="","",INDEX(资金日记账!$X$4:$X$603,191))</f>
        <v/>
      </c>
      <c r="M1290" s="32"/>
      <c r="N1290" s="26" t="str">
        <f>IF($E1290="","",INDEX(资金日记账!$Y$4:$Y$603,191))</f>
        <v/>
      </c>
      <c r="O1290" s="26" t="str">
        <f t="shared" si="70"/>
        <v/>
      </c>
      <c r="P1290" s="10"/>
    </row>
    <row r="1291" ht="18" customHeight="1" spans="1:16">
      <c r="A1291" s="32" t="str">
        <f t="shared" si="71"/>
        <v/>
      </c>
      <c r="B1291" s="100" t="str">
        <f>IF($E1291="","",INDEX(资金日记账!$B$4:$B$603,191))</f>
        <v/>
      </c>
      <c r="C1291" s="26" t="str">
        <f>IF($E1291="","",IF(INDEX(资金日记账!$W$4:$W$603,191)="","记-"&amp;TEXT($B1291,"YYYYMM")&amp;"-资金",INDEX(资金日记账!$W$4:$W$603,191)))</f>
        <v/>
      </c>
      <c r="D1291" s="32" t="str">
        <f>IF($E1291="","",INDEX(资金日记账!$D$4:$D$603,191))</f>
        <v/>
      </c>
      <c r="E1291" s="26" t="str">
        <f>IF(INDEX(资金日记账!$N$4:$S$603,191,4)=0,"",INDEX(资金日记账!$N$4:$S$603,191,4))</f>
        <v/>
      </c>
      <c r="F1291" s="25" t="str">
        <f>IF($E1291="","",IFERROR(INDEX(科目表!$A$4:$A$81,MATCH($E1291,科目表!$B$4:$B$81,0)),""))</f>
        <v/>
      </c>
      <c r="G1291" s="26" t="str">
        <f>IF($E1291="","",IFERROR(INDEX(科目表!$E$4:$E$81,MATCH($E1291,科目表!$B$4:$B$81,0)),""))</f>
        <v/>
      </c>
      <c r="H1291" s="27" t="str">
        <f>IF($E1291="","",N(INDEX(资金日记账!$N$4:$S$603,191,5)))</f>
        <v/>
      </c>
      <c r="I1291" s="27" t="str">
        <f>IF($E1291="","",N(INDEX(资金日记账!$N$4:$S$603,191,6)))</f>
        <v/>
      </c>
      <c r="J1291" s="26" t="str">
        <f>IF($E1291="","",INDEX(资金日记账!$E$4:$E$603,191))</f>
        <v/>
      </c>
      <c r="K1291" s="26" t="str">
        <f>IF($E1291="","",INDEX(资金日记账!$F$4:$F$603,191))</f>
        <v/>
      </c>
      <c r="L1291" s="32" t="str">
        <f>IF($E1291="","",INDEX(资金日记账!$X$4:$X$603,191))</f>
        <v/>
      </c>
      <c r="M1291" s="32"/>
      <c r="N1291" s="26" t="str">
        <f>IF($E1291="","",INDEX(资金日记账!$Y$4:$Y$603,191))</f>
        <v/>
      </c>
      <c r="O1291" s="26" t="str">
        <f t="shared" si="70"/>
        <v/>
      </c>
      <c r="P1291" s="10"/>
    </row>
    <row r="1292" ht="18" customHeight="1" spans="1:16">
      <c r="A1292" s="32" t="str">
        <f t="shared" si="71"/>
        <v/>
      </c>
      <c r="B1292" s="100" t="str">
        <f>IF($E1292="","",INDEX(资金日记账!$B$4:$B$603,192))</f>
        <v/>
      </c>
      <c r="C1292" s="26" t="str">
        <f>IF($E1292="","",IF(INDEX(资金日记账!$W$4:$W$603,192)="","记-"&amp;TEXT($B1292,"YYYYMM")&amp;"-资金",INDEX(资金日记账!$W$4:$W$603,192)))</f>
        <v/>
      </c>
      <c r="D1292" s="32" t="str">
        <f>IF($E1292="","",INDEX(资金日记账!$D$4:$D$603,192))</f>
        <v/>
      </c>
      <c r="E1292" s="26" t="str">
        <f>IF(INDEX(资金日记账!$N$4:$S$603,192,1)=0,"",INDEX(资金日记账!$N$4:$S$603,192,1))</f>
        <v/>
      </c>
      <c r="F1292" s="25" t="str">
        <f>IF($E1292="","",IFERROR(INDEX(科目表!$A$4:$A$81,MATCH($E1292,科目表!$B$4:$B$81,0)),""))</f>
        <v/>
      </c>
      <c r="G1292" s="26" t="str">
        <f>IF($E1292="","",IFERROR(INDEX(科目表!$E$4:$E$81,MATCH($E1292,科目表!$B$4:$B$81,0)),""))</f>
        <v/>
      </c>
      <c r="H1292" s="27" t="str">
        <f>IF($E1292="","",N(INDEX(资金日记账!$N$4:$S$603,192,2)))</f>
        <v/>
      </c>
      <c r="I1292" s="27" t="str">
        <f>IF($E1292="","",N(INDEX(资金日记账!$N$4:$S$603,192,3)))</f>
        <v/>
      </c>
      <c r="J1292" s="26" t="str">
        <f>IF($E1292="","",INDEX(资金日记账!$E$4:$E$603,192))</f>
        <v/>
      </c>
      <c r="K1292" s="26" t="str">
        <f>IF($E1292="","",INDEX(资金日记账!$F$4:$F$603,192))</f>
        <v/>
      </c>
      <c r="L1292" s="32" t="str">
        <f>IF($E1292="","",INDEX(资金日记账!$X$4:$X$603,192))</f>
        <v/>
      </c>
      <c r="M1292" s="32"/>
      <c r="N1292" s="26" t="str">
        <f>IF($E1292="","",INDEX(资金日记账!$Y$4:$Y$603,192))</f>
        <v/>
      </c>
      <c r="O1292" s="26" t="str">
        <f t="shared" si="70"/>
        <v/>
      </c>
      <c r="P1292" s="10"/>
    </row>
    <row r="1293" ht="18" customHeight="1" spans="1:16">
      <c r="A1293" s="32" t="str">
        <f t="shared" si="71"/>
        <v/>
      </c>
      <c r="B1293" s="100" t="str">
        <f>IF($E1293="","",INDEX(资金日记账!$B$4:$B$603,192))</f>
        <v/>
      </c>
      <c r="C1293" s="26" t="str">
        <f>IF($E1293="","",IF(INDEX(资金日记账!$W$4:$W$603,192)="","记-"&amp;TEXT($B1293,"YYYYMM")&amp;"-资金",INDEX(资金日记账!$W$4:$W$603,192)))</f>
        <v/>
      </c>
      <c r="D1293" s="32" t="str">
        <f>IF($E1293="","",INDEX(资金日记账!$D$4:$D$603,192))</f>
        <v/>
      </c>
      <c r="E1293" s="26" t="str">
        <f>IF(INDEX(资金日记账!$N$4:$S$603,192,4)=0,"",INDEX(资金日记账!$N$4:$S$603,192,4))</f>
        <v/>
      </c>
      <c r="F1293" s="25" t="str">
        <f>IF($E1293="","",IFERROR(INDEX(科目表!$A$4:$A$81,MATCH($E1293,科目表!$B$4:$B$81,0)),""))</f>
        <v/>
      </c>
      <c r="G1293" s="26" t="str">
        <f>IF($E1293="","",IFERROR(INDEX(科目表!$E$4:$E$81,MATCH($E1293,科目表!$B$4:$B$81,0)),""))</f>
        <v/>
      </c>
      <c r="H1293" s="27" t="str">
        <f>IF($E1293="","",N(INDEX(资金日记账!$N$4:$S$603,192,5)))</f>
        <v/>
      </c>
      <c r="I1293" s="27" t="str">
        <f>IF($E1293="","",N(INDEX(资金日记账!$N$4:$S$603,192,6)))</f>
        <v/>
      </c>
      <c r="J1293" s="26" t="str">
        <f>IF($E1293="","",INDEX(资金日记账!$E$4:$E$603,192))</f>
        <v/>
      </c>
      <c r="K1293" s="26" t="str">
        <f>IF($E1293="","",INDEX(资金日记账!$F$4:$F$603,192))</f>
        <v/>
      </c>
      <c r="L1293" s="32" t="str">
        <f>IF($E1293="","",INDEX(资金日记账!$X$4:$X$603,192))</f>
        <v/>
      </c>
      <c r="M1293" s="32"/>
      <c r="N1293" s="26" t="str">
        <f>IF($E1293="","",INDEX(资金日记账!$Y$4:$Y$603,192))</f>
        <v/>
      </c>
      <c r="O1293" s="26" t="str">
        <f t="shared" si="70"/>
        <v/>
      </c>
      <c r="P1293" s="10"/>
    </row>
    <row r="1294" ht="18" customHeight="1" spans="1:16">
      <c r="A1294" s="32" t="str">
        <f t="shared" si="71"/>
        <v/>
      </c>
      <c r="B1294" s="100" t="str">
        <f>IF($E1294="","",INDEX(资金日记账!$B$4:$B$603,193))</f>
        <v/>
      </c>
      <c r="C1294" s="26" t="str">
        <f>IF($E1294="","",IF(INDEX(资金日记账!$W$4:$W$603,193)="","记-"&amp;TEXT($B1294,"YYYYMM")&amp;"-资金",INDEX(资金日记账!$W$4:$W$603,193)))</f>
        <v/>
      </c>
      <c r="D1294" s="32" t="str">
        <f>IF($E1294="","",INDEX(资金日记账!$D$4:$D$603,193))</f>
        <v/>
      </c>
      <c r="E1294" s="26" t="str">
        <f>IF(INDEX(资金日记账!$N$4:$S$603,193,1)=0,"",INDEX(资金日记账!$N$4:$S$603,193,1))</f>
        <v/>
      </c>
      <c r="F1294" s="25" t="str">
        <f>IF($E1294="","",IFERROR(INDEX(科目表!$A$4:$A$81,MATCH($E1294,科目表!$B$4:$B$81,0)),""))</f>
        <v/>
      </c>
      <c r="G1294" s="26" t="str">
        <f>IF($E1294="","",IFERROR(INDEX(科目表!$E$4:$E$81,MATCH($E1294,科目表!$B$4:$B$81,0)),""))</f>
        <v/>
      </c>
      <c r="H1294" s="27" t="str">
        <f>IF($E1294="","",N(INDEX(资金日记账!$N$4:$S$603,193,2)))</f>
        <v/>
      </c>
      <c r="I1294" s="27" t="str">
        <f>IF($E1294="","",N(INDEX(资金日记账!$N$4:$S$603,193,3)))</f>
        <v/>
      </c>
      <c r="J1294" s="26" t="str">
        <f>IF($E1294="","",INDEX(资金日记账!$E$4:$E$603,193))</f>
        <v/>
      </c>
      <c r="K1294" s="26" t="str">
        <f>IF($E1294="","",INDEX(资金日记账!$F$4:$F$603,193))</f>
        <v/>
      </c>
      <c r="L1294" s="32" t="str">
        <f>IF($E1294="","",INDEX(资金日记账!$X$4:$X$603,193))</f>
        <v/>
      </c>
      <c r="M1294" s="32"/>
      <c r="N1294" s="26" t="str">
        <f>IF($E1294="","",INDEX(资金日记账!$Y$4:$Y$603,193))</f>
        <v/>
      </c>
      <c r="O1294" s="26" t="str">
        <f t="shared" ref="O1294:O1357" si="72">IF($E1294="","","自动B")</f>
        <v/>
      </c>
      <c r="P1294" s="10"/>
    </row>
    <row r="1295" ht="18" customHeight="1" spans="1:16">
      <c r="A1295" s="32" t="str">
        <f t="shared" si="71"/>
        <v/>
      </c>
      <c r="B1295" s="100" t="str">
        <f>IF($E1295="","",INDEX(资金日记账!$B$4:$B$603,193))</f>
        <v/>
      </c>
      <c r="C1295" s="26" t="str">
        <f>IF($E1295="","",IF(INDEX(资金日记账!$W$4:$W$603,193)="","记-"&amp;TEXT($B1295,"YYYYMM")&amp;"-资金",INDEX(资金日记账!$W$4:$W$603,193)))</f>
        <v/>
      </c>
      <c r="D1295" s="32" t="str">
        <f>IF($E1295="","",INDEX(资金日记账!$D$4:$D$603,193))</f>
        <v/>
      </c>
      <c r="E1295" s="26" t="str">
        <f>IF(INDEX(资金日记账!$N$4:$S$603,193,4)=0,"",INDEX(资金日记账!$N$4:$S$603,193,4))</f>
        <v/>
      </c>
      <c r="F1295" s="25" t="str">
        <f>IF($E1295="","",IFERROR(INDEX(科目表!$A$4:$A$81,MATCH($E1295,科目表!$B$4:$B$81,0)),""))</f>
        <v/>
      </c>
      <c r="G1295" s="26" t="str">
        <f>IF($E1295="","",IFERROR(INDEX(科目表!$E$4:$E$81,MATCH($E1295,科目表!$B$4:$B$81,0)),""))</f>
        <v/>
      </c>
      <c r="H1295" s="27" t="str">
        <f>IF($E1295="","",N(INDEX(资金日记账!$N$4:$S$603,193,5)))</f>
        <v/>
      </c>
      <c r="I1295" s="27" t="str">
        <f>IF($E1295="","",N(INDEX(资金日记账!$N$4:$S$603,193,6)))</f>
        <v/>
      </c>
      <c r="J1295" s="26" t="str">
        <f>IF($E1295="","",INDEX(资金日记账!$E$4:$E$603,193))</f>
        <v/>
      </c>
      <c r="K1295" s="26" t="str">
        <f>IF($E1295="","",INDEX(资金日记账!$F$4:$F$603,193))</f>
        <v/>
      </c>
      <c r="L1295" s="32" t="str">
        <f>IF($E1295="","",INDEX(资金日记账!$X$4:$X$603,193))</f>
        <v/>
      </c>
      <c r="M1295" s="32"/>
      <c r="N1295" s="26" t="str">
        <f>IF($E1295="","",INDEX(资金日记账!$Y$4:$Y$603,193))</f>
        <v/>
      </c>
      <c r="O1295" s="26" t="str">
        <f t="shared" si="72"/>
        <v/>
      </c>
      <c r="P1295" s="10"/>
    </row>
    <row r="1296" ht="18" customHeight="1" spans="1:16">
      <c r="A1296" s="32" t="str">
        <f t="shared" si="71"/>
        <v/>
      </c>
      <c r="B1296" s="100" t="str">
        <f>IF($E1296="","",INDEX(资金日记账!$B$4:$B$603,194))</f>
        <v/>
      </c>
      <c r="C1296" s="26" t="str">
        <f>IF($E1296="","",IF(INDEX(资金日记账!$W$4:$W$603,194)="","记-"&amp;TEXT($B1296,"YYYYMM")&amp;"-资金",INDEX(资金日记账!$W$4:$W$603,194)))</f>
        <v/>
      </c>
      <c r="D1296" s="32" t="str">
        <f>IF($E1296="","",INDEX(资金日记账!$D$4:$D$603,194))</f>
        <v/>
      </c>
      <c r="E1296" s="26" t="str">
        <f>IF(INDEX(资金日记账!$N$4:$S$603,194,1)=0,"",INDEX(资金日记账!$N$4:$S$603,194,1))</f>
        <v/>
      </c>
      <c r="F1296" s="25" t="str">
        <f>IF($E1296="","",IFERROR(INDEX(科目表!$A$4:$A$81,MATCH($E1296,科目表!$B$4:$B$81,0)),""))</f>
        <v/>
      </c>
      <c r="G1296" s="26" t="str">
        <f>IF($E1296="","",IFERROR(INDEX(科目表!$E$4:$E$81,MATCH($E1296,科目表!$B$4:$B$81,0)),""))</f>
        <v/>
      </c>
      <c r="H1296" s="27" t="str">
        <f>IF($E1296="","",N(INDEX(资金日记账!$N$4:$S$603,194,2)))</f>
        <v/>
      </c>
      <c r="I1296" s="27" t="str">
        <f>IF($E1296="","",N(INDEX(资金日记账!$N$4:$S$603,194,3)))</f>
        <v/>
      </c>
      <c r="J1296" s="26" t="str">
        <f>IF($E1296="","",INDEX(资金日记账!$E$4:$E$603,194))</f>
        <v/>
      </c>
      <c r="K1296" s="26" t="str">
        <f>IF($E1296="","",INDEX(资金日记账!$F$4:$F$603,194))</f>
        <v/>
      </c>
      <c r="L1296" s="32" t="str">
        <f>IF($E1296="","",INDEX(资金日记账!$X$4:$X$603,194))</f>
        <v/>
      </c>
      <c r="M1296" s="32"/>
      <c r="N1296" s="26" t="str">
        <f>IF($E1296="","",INDEX(资金日记账!$Y$4:$Y$603,194))</f>
        <v/>
      </c>
      <c r="O1296" s="26" t="str">
        <f t="shared" si="72"/>
        <v/>
      </c>
      <c r="P1296" s="10"/>
    </row>
    <row r="1297" ht="18" customHeight="1" spans="1:16">
      <c r="A1297" s="32" t="str">
        <f t="shared" si="71"/>
        <v/>
      </c>
      <c r="B1297" s="100" t="str">
        <f>IF($E1297="","",INDEX(资金日记账!$B$4:$B$603,194))</f>
        <v/>
      </c>
      <c r="C1297" s="26" t="str">
        <f>IF($E1297="","",IF(INDEX(资金日记账!$W$4:$W$603,194)="","记-"&amp;TEXT($B1297,"YYYYMM")&amp;"-资金",INDEX(资金日记账!$W$4:$W$603,194)))</f>
        <v/>
      </c>
      <c r="D1297" s="32" t="str">
        <f>IF($E1297="","",INDEX(资金日记账!$D$4:$D$603,194))</f>
        <v/>
      </c>
      <c r="E1297" s="26" t="str">
        <f>IF(INDEX(资金日记账!$N$4:$S$603,194,4)=0,"",INDEX(资金日记账!$N$4:$S$603,194,4))</f>
        <v/>
      </c>
      <c r="F1297" s="25" t="str">
        <f>IF($E1297="","",IFERROR(INDEX(科目表!$A$4:$A$81,MATCH($E1297,科目表!$B$4:$B$81,0)),""))</f>
        <v/>
      </c>
      <c r="G1297" s="26" t="str">
        <f>IF($E1297="","",IFERROR(INDEX(科目表!$E$4:$E$81,MATCH($E1297,科目表!$B$4:$B$81,0)),""))</f>
        <v/>
      </c>
      <c r="H1297" s="27" t="str">
        <f>IF($E1297="","",N(INDEX(资金日记账!$N$4:$S$603,194,5)))</f>
        <v/>
      </c>
      <c r="I1297" s="27" t="str">
        <f>IF($E1297="","",N(INDEX(资金日记账!$N$4:$S$603,194,6)))</f>
        <v/>
      </c>
      <c r="J1297" s="26" t="str">
        <f>IF($E1297="","",INDEX(资金日记账!$E$4:$E$603,194))</f>
        <v/>
      </c>
      <c r="K1297" s="26" t="str">
        <f>IF($E1297="","",INDEX(资金日记账!$F$4:$F$603,194))</f>
        <v/>
      </c>
      <c r="L1297" s="32" t="str">
        <f>IF($E1297="","",INDEX(资金日记账!$X$4:$X$603,194))</f>
        <v/>
      </c>
      <c r="M1297" s="32"/>
      <c r="N1297" s="26" t="str">
        <f>IF($E1297="","",INDEX(资金日记账!$Y$4:$Y$603,194))</f>
        <v/>
      </c>
      <c r="O1297" s="26" t="str">
        <f t="shared" si="72"/>
        <v/>
      </c>
      <c r="P1297" s="10"/>
    </row>
    <row r="1298" ht="18" customHeight="1" spans="1:16">
      <c r="A1298" s="32" t="str">
        <f t="shared" si="71"/>
        <v/>
      </c>
      <c r="B1298" s="100" t="str">
        <f>IF($E1298="","",INDEX(资金日记账!$B$4:$B$603,195))</f>
        <v/>
      </c>
      <c r="C1298" s="26" t="str">
        <f>IF($E1298="","",IF(INDEX(资金日记账!$W$4:$W$603,195)="","记-"&amp;TEXT($B1298,"YYYYMM")&amp;"-资金",INDEX(资金日记账!$W$4:$W$603,195)))</f>
        <v/>
      </c>
      <c r="D1298" s="32" t="str">
        <f>IF($E1298="","",INDEX(资金日记账!$D$4:$D$603,195))</f>
        <v/>
      </c>
      <c r="E1298" s="26" t="str">
        <f>IF(INDEX(资金日记账!$N$4:$S$603,195,1)=0,"",INDEX(资金日记账!$N$4:$S$603,195,1))</f>
        <v/>
      </c>
      <c r="F1298" s="25" t="str">
        <f>IF($E1298="","",IFERROR(INDEX(科目表!$A$4:$A$81,MATCH($E1298,科目表!$B$4:$B$81,0)),""))</f>
        <v/>
      </c>
      <c r="G1298" s="26" t="str">
        <f>IF($E1298="","",IFERROR(INDEX(科目表!$E$4:$E$81,MATCH($E1298,科目表!$B$4:$B$81,0)),""))</f>
        <v/>
      </c>
      <c r="H1298" s="27" t="str">
        <f>IF($E1298="","",N(INDEX(资金日记账!$N$4:$S$603,195,2)))</f>
        <v/>
      </c>
      <c r="I1298" s="27" t="str">
        <f>IF($E1298="","",N(INDEX(资金日记账!$N$4:$S$603,195,3)))</f>
        <v/>
      </c>
      <c r="J1298" s="26" t="str">
        <f>IF($E1298="","",INDEX(资金日记账!$E$4:$E$603,195))</f>
        <v/>
      </c>
      <c r="K1298" s="26" t="str">
        <f>IF($E1298="","",INDEX(资金日记账!$F$4:$F$603,195))</f>
        <v/>
      </c>
      <c r="L1298" s="32" t="str">
        <f>IF($E1298="","",INDEX(资金日记账!$X$4:$X$603,195))</f>
        <v/>
      </c>
      <c r="M1298" s="32"/>
      <c r="N1298" s="26" t="str">
        <f>IF($E1298="","",INDEX(资金日记账!$Y$4:$Y$603,195))</f>
        <v/>
      </c>
      <c r="O1298" s="26" t="str">
        <f t="shared" si="72"/>
        <v/>
      </c>
      <c r="P1298" s="10"/>
    </row>
    <row r="1299" ht="18" customHeight="1" spans="1:16">
      <c r="A1299" s="32" t="str">
        <f t="shared" si="71"/>
        <v/>
      </c>
      <c r="B1299" s="100" t="str">
        <f>IF($E1299="","",INDEX(资金日记账!$B$4:$B$603,195))</f>
        <v/>
      </c>
      <c r="C1299" s="26" t="str">
        <f>IF($E1299="","",IF(INDEX(资金日记账!$W$4:$W$603,195)="","记-"&amp;TEXT($B1299,"YYYYMM")&amp;"-资金",INDEX(资金日记账!$W$4:$W$603,195)))</f>
        <v/>
      </c>
      <c r="D1299" s="32" t="str">
        <f>IF($E1299="","",INDEX(资金日记账!$D$4:$D$603,195))</f>
        <v/>
      </c>
      <c r="E1299" s="26" t="str">
        <f>IF(INDEX(资金日记账!$N$4:$S$603,195,4)=0,"",INDEX(资金日记账!$N$4:$S$603,195,4))</f>
        <v/>
      </c>
      <c r="F1299" s="25" t="str">
        <f>IF($E1299="","",IFERROR(INDEX(科目表!$A$4:$A$81,MATCH($E1299,科目表!$B$4:$B$81,0)),""))</f>
        <v/>
      </c>
      <c r="G1299" s="26" t="str">
        <f>IF($E1299="","",IFERROR(INDEX(科目表!$E$4:$E$81,MATCH($E1299,科目表!$B$4:$B$81,0)),""))</f>
        <v/>
      </c>
      <c r="H1299" s="27" t="str">
        <f>IF($E1299="","",N(INDEX(资金日记账!$N$4:$S$603,195,5)))</f>
        <v/>
      </c>
      <c r="I1299" s="27" t="str">
        <f>IF($E1299="","",N(INDEX(资金日记账!$N$4:$S$603,195,6)))</f>
        <v/>
      </c>
      <c r="J1299" s="26" t="str">
        <f>IF($E1299="","",INDEX(资金日记账!$E$4:$E$603,195))</f>
        <v/>
      </c>
      <c r="K1299" s="26" t="str">
        <f>IF($E1299="","",INDEX(资金日记账!$F$4:$F$603,195))</f>
        <v/>
      </c>
      <c r="L1299" s="32" t="str">
        <f>IF($E1299="","",INDEX(资金日记账!$X$4:$X$603,195))</f>
        <v/>
      </c>
      <c r="M1299" s="32"/>
      <c r="N1299" s="26" t="str">
        <f>IF($E1299="","",INDEX(资金日记账!$Y$4:$Y$603,195))</f>
        <v/>
      </c>
      <c r="O1299" s="26" t="str">
        <f t="shared" si="72"/>
        <v/>
      </c>
      <c r="P1299" s="10"/>
    </row>
    <row r="1300" ht="18" customHeight="1" spans="1:16">
      <c r="A1300" s="32" t="str">
        <f t="shared" si="71"/>
        <v/>
      </c>
      <c r="B1300" s="100" t="str">
        <f>IF($E1300="","",INDEX(资金日记账!$B$4:$B$603,196))</f>
        <v/>
      </c>
      <c r="C1300" s="26" t="str">
        <f>IF($E1300="","",IF(INDEX(资金日记账!$W$4:$W$603,196)="","记-"&amp;TEXT($B1300,"YYYYMM")&amp;"-资金",INDEX(资金日记账!$W$4:$W$603,196)))</f>
        <v/>
      </c>
      <c r="D1300" s="32" t="str">
        <f>IF($E1300="","",INDEX(资金日记账!$D$4:$D$603,196))</f>
        <v/>
      </c>
      <c r="E1300" s="26" t="str">
        <f>IF(INDEX(资金日记账!$N$4:$S$603,196,1)=0,"",INDEX(资金日记账!$N$4:$S$603,196,1))</f>
        <v/>
      </c>
      <c r="F1300" s="25" t="str">
        <f>IF($E1300="","",IFERROR(INDEX(科目表!$A$4:$A$81,MATCH($E1300,科目表!$B$4:$B$81,0)),""))</f>
        <v/>
      </c>
      <c r="G1300" s="26" t="str">
        <f>IF($E1300="","",IFERROR(INDEX(科目表!$E$4:$E$81,MATCH($E1300,科目表!$B$4:$B$81,0)),""))</f>
        <v/>
      </c>
      <c r="H1300" s="27" t="str">
        <f>IF($E1300="","",N(INDEX(资金日记账!$N$4:$S$603,196,2)))</f>
        <v/>
      </c>
      <c r="I1300" s="27" t="str">
        <f>IF($E1300="","",N(INDEX(资金日记账!$N$4:$S$603,196,3)))</f>
        <v/>
      </c>
      <c r="J1300" s="26" t="str">
        <f>IF($E1300="","",INDEX(资金日记账!$E$4:$E$603,196))</f>
        <v/>
      </c>
      <c r="K1300" s="26" t="str">
        <f>IF($E1300="","",INDEX(资金日记账!$F$4:$F$603,196))</f>
        <v/>
      </c>
      <c r="L1300" s="32" t="str">
        <f>IF($E1300="","",INDEX(资金日记账!$X$4:$X$603,196))</f>
        <v/>
      </c>
      <c r="M1300" s="32"/>
      <c r="N1300" s="26" t="str">
        <f>IF($E1300="","",INDEX(资金日记账!$Y$4:$Y$603,196))</f>
        <v/>
      </c>
      <c r="O1300" s="26" t="str">
        <f t="shared" si="72"/>
        <v/>
      </c>
      <c r="P1300" s="10"/>
    </row>
    <row r="1301" ht="18" customHeight="1" spans="1:16">
      <c r="A1301" s="32" t="str">
        <f t="shared" si="71"/>
        <v/>
      </c>
      <c r="B1301" s="100" t="str">
        <f>IF($E1301="","",INDEX(资金日记账!$B$4:$B$603,196))</f>
        <v/>
      </c>
      <c r="C1301" s="26" t="str">
        <f>IF($E1301="","",IF(INDEX(资金日记账!$W$4:$W$603,196)="","记-"&amp;TEXT($B1301,"YYYYMM")&amp;"-资金",INDEX(资金日记账!$W$4:$W$603,196)))</f>
        <v/>
      </c>
      <c r="D1301" s="32" t="str">
        <f>IF($E1301="","",INDEX(资金日记账!$D$4:$D$603,196))</f>
        <v/>
      </c>
      <c r="E1301" s="26" t="str">
        <f>IF(INDEX(资金日记账!$N$4:$S$603,196,4)=0,"",INDEX(资金日记账!$N$4:$S$603,196,4))</f>
        <v/>
      </c>
      <c r="F1301" s="25" t="str">
        <f>IF($E1301="","",IFERROR(INDEX(科目表!$A$4:$A$81,MATCH($E1301,科目表!$B$4:$B$81,0)),""))</f>
        <v/>
      </c>
      <c r="G1301" s="26" t="str">
        <f>IF($E1301="","",IFERROR(INDEX(科目表!$E$4:$E$81,MATCH($E1301,科目表!$B$4:$B$81,0)),""))</f>
        <v/>
      </c>
      <c r="H1301" s="27" t="str">
        <f>IF($E1301="","",N(INDEX(资金日记账!$N$4:$S$603,196,5)))</f>
        <v/>
      </c>
      <c r="I1301" s="27" t="str">
        <f>IF($E1301="","",N(INDEX(资金日记账!$N$4:$S$603,196,6)))</f>
        <v/>
      </c>
      <c r="J1301" s="26" t="str">
        <f>IF($E1301="","",INDEX(资金日记账!$E$4:$E$603,196))</f>
        <v/>
      </c>
      <c r="K1301" s="26" t="str">
        <f>IF($E1301="","",INDEX(资金日记账!$F$4:$F$603,196))</f>
        <v/>
      </c>
      <c r="L1301" s="32" t="str">
        <f>IF($E1301="","",INDEX(资金日记账!$X$4:$X$603,196))</f>
        <v/>
      </c>
      <c r="M1301" s="32"/>
      <c r="N1301" s="26" t="str">
        <f>IF($E1301="","",INDEX(资金日记账!$Y$4:$Y$603,196))</f>
        <v/>
      </c>
      <c r="O1301" s="26" t="str">
        <f t="shared" si="72"/>
        <v/>
      </c>
      <c r="P1301" s="10"/>
    </row>
    <row r="1302" ht="18" customHeight="1" spans="1:16">
      <c r="A1302" s="32" t="str">
        <f t="shared" si="71"/>
        <v/>
      </c>
      <c r="B1302" s="100" t="str">
        <f>IF($E1302="","",INDEX(资金日记账!$B$4:$B$603,197))</f>
        <v/>
      </c>
      <c r="C1302" s="26" t="str">
        <f>IF($E1302="","",IF(INDEX(资金日记账!$W$4:$W$603,197)="","记-"&amp;TEXT($B1302,"YYYYMM")&amp;"-资金",INDEX(资金日记账!$W$4:$W$603,197)))</f>
        <v/>
      </c>
      <c r="D1302" s="32" t="str">
        <f>IF($E1302="","",INDEX(资金日记账!$D$4:$D$603,197))</f>
        <v/>
      </c>
      <c r="E1302" s="26" t="str">
        <f>IF(INDEX(资金日记账!$N$4:$S$603,197,1)=0,"",INDEX(资金日记账!$N$4:$S$603,197,1))</f>
        <v/>
      </c>
      <c r="F1302" s="25" t="str">
        <f>IF($E1302="","",IFERROR(INDEX(科目表!$A$4:$A$81,MATCH($E1302,科目表!$B$4:$B$81,0)),""))</f>
        <v/>
      </c>
      <c r="G1302" s="26" t="str">
        <f>IF($E1302="","",IFERROR(INDEX(科目表!$E$4:$E$81,MATCH($E1302,科目表!$B$4:$B$81,0)),""))</f>
        <v/>
      </c>
      <c r="H1302" s="27" t="str">
        <f>IF($E1302="","",N(INDEX(资金日记账!$N$4:$S$603,197,2)))</f>
        <v/>
      </c>
      <c r="I1302" s="27" t="str">
        <f>IF($E1302="","",N(INDEX(资金日记账!$N$4:$S$603,197,3)))</f>
        <v/>
      </c>
      <c r="J1302" s="26" t="str">
        <f>IF($E1302="","",INDEX(资金日记账!$E$4:$E$603,197))</f>
        <v/>
      </c>
      <c r="K1302" s="26" t="str">
        <f>IF($E1302="","",INDEX(资金日记账!$F$4:$F$603,197))</f>
        <v/>
      </c>
      <c r="L1302" s="32" t="str">
        <f>IF($E1302="","",INDEX(资金日记账!$X$4:$X$603,197))</f>
        <v/>
      </c>
      <c r="M1302" s="32"/>
      <c r="N1302" s="26" t="str">
        <f>IF($E1302="","",INDEX(资金日记账!$Y$4:$Y$603,197))</f>
        <v/>
      </c>
      <c r="O1302" s="26" t="str">
        <f t="shared" si="72"/>
        <v/>
      </c>
      <c r="P1302" s="10"/>
    </row>
    <row r="1303" ht="18" customHeight="1" spans="1:16">
      <c r="A1303" s="32" t="str">
        <f t="shared" si="71"/>
        <v/>
      </c>
      <c r="B1303" s="100" t="str">
        <f>IF($E1303="","",INDEX(资金日记账!$B$4:$B$603,197))</f>
        <v/>
      </c>
      <c r="C1303" s="26" t="str">
        <f>IF($E1303="","",IF(INDEX(资金日记账!$W$4:$W$603,197)="","记-"&amp;TEXT($B1303,"YYYYMM")&amp;"-资金",INDEX(资金日记账!$W$4:$W$603,197)))</f>
        <v/>
      </c>
      <c r="D1303" s="32" t="str">
        <f>IF($E1303="","",INDEX(资金日记账!$D$4:$D$603,197))</f>
        <v/>
      </c>
      <c r="E1303" s="26" t="str">
        <f>IF(INDEX(资金日记账!$N$4:$S$603,197,4)=0,"",INDEX(资金日记账!$N$4:$S$603,197,4))</f>
        <v/>
      </c>
      <c r="F1303" s="25" t="str">
        <f>IF($E1303="","",IFERROR(INDEX(科目表!$A$4:$A$81,MATCH($E1303,科目表!$B$4:$B$81,0)),""))</f>
        <v/>
      </c>
      <c r="G1303" s="26" t="str">
        <f>IF($E1303="","",IFERROR(INDEX(科目表!$E$4:$E$81,MATCH($E1303,科目表!$B$4:$B$81,0)),""))</f>
        <v/>
      </c>
      <c r="H1303" s="27" t="str">
        <f>IF($E1303="","",N(INDEX(资金日记账!$N$4:$S$603,197,5)))</f>
        <v/>
      </c>
      <c r="I1303" s="27" t="str">
        <f>IF($E1303="","",N(INDEX(资金日记账!$N$4:$S$603,197,6)))</f>
        <v/>
      </c>
      <c r="J1303" s="26" t="str">
        <f>IF($E1303="","",INDEX(资金日记账!$E$4:$E$603,197))</f>
        <v/>
      </c>
      <c r="K1303" s="26" t="str">
        <f>IF($E1303="","",INDEX(资金日记账!$F$4:$F$603,197))</f>
        <v/>
      </c>
      <c r="L1303" s="32" t="str">
        <f>IF($E1303="","",INDEX(资金日记账!$X$4:$X$603,197))</f>
        <v/>
      </c>
      <c r="M1303" s="32"/>
      <c r="N1303" s="26" t="str">
        <f>IF($E1303="","",INDEX(资金日记账!$Y$4:$Y$603,197))</f>
        <v/>
      </c>
      <c r="O1303" s="26" t="str">
        <f t="shared" si="72"/>
        <v/>
      </c>
      <c r="P1303" s="10"/>
    </row>
    <row r="1304" ht="18" customHeight="1" spans="1:16">
      <c r="A1304" s="32" t="str">
        <f t="shared" si="71"/>
        <v/>
      </c>
      <c r="B1304" s="100" t="str">
        <f>IF($E1304="","",INDEX(资金日记账!$B$4:$B$603,198))</f>
        <v/>
      </c>
      <c r="C1304" s="26" t="str">
        <f>IF($E1304="","",IF(INDEX(资金日记账!$W$4:$W$603,198)="","记-"&amp;TEXT($B1304,"YYYYMM")&amp;"-资金",INDEX(资金日记账!$W$4:$W$603,198)))</f>
        <v/>
      </c>
      <c r="D1304" s="32" t="str">
        <f>IF($E1304="","",INDEX(资金日记账!$D$4:$D$603,198))</f>
        <v/>
      </c>
      <c r="E1304" s="26" t="str">
        <f>IF(INDEX(资金日记账!$N$4:$S$603,198,1)=0,"",INDEX(资金日记账!$N$4:$S$603,198,1))</f>
        <v/>
      </c>
      <c r="F1304" s="25" t="str">
        <f>IF($E1304="","",IFERROR(INDEX(科目表!$A$4:$A$81,MATCH($E1304,科目表!$B$4:$B$81,0)),""))</f>
        <v/>
      </c>
      <c r="G1304" s="26" t="str">
        <f>IF($E1304="","",IFERROR(INDEX(科目表!$E$4:$E$81,MATCH($E1304,科目表!$B$4:$B$81,0)),""))</f>
        <v/>
      </c>
      <c r="H1304" s="27" t="str">
        <f>IF($E1304="","",N(INDEX(资金日记账!$N$4:$S$603,198,2)))</f>
        <v/>
      </c>
      <c r="I1304" s="27" t="str">
        <f>IF($E1304="","",N(INDEX(资金日记账!$N$4:$S$603,198,3)))</f>
        <v/>
      </c>
      <c r="J1304" s="26" t="str">
        <f>IF($E1304="","",INDEX(资金日记账!$E$4:$E$603,198))</f>
        <v/>
      </c>
      <c r="K1304" s="26" t="str">
        <f>IF($E1304="","",INDEX(资金日记账!$F$4:$F$603,198))</f>
        <v/>
      </c>
      <c r="L1304" s="32" t="str">
        <f>IF($E1304="","",INDEX(资金日记账!$X$4:$X$603,198))</f>
        <v/>
      </c>
      <c r="M1304" s="32"/>
      <c r="N1304" s="26" t="str">
        <f>IF($E1304="","",INDEX(资金日记账!$Y$4:$Y$603,198))</f>
        <v/>
      </c>
      <c r="O1304" s="26" t="str">
        <f t="shared" si="72"/>
        <v/>
      </c>
      <c r="P1304" s="10"/>
    </row>
    <row r="1305" ht="18" customHeight="1" spans="1:16">
      <c r="A1305" s="32" t="str">
        <f t="shared" si="71"/>
        <v/>
      </c>
      <c r="B1305" s="100" t="str">
        <f>IF($E1305="","",INDEX(资金日记账!$B$4:$B$603,198))</f>
        <v/>
      </c>
      <c r="C1305" s="26" t="str">
        <f>IF($E1305="","",IF(INDEX(资金日记账!$W$4:$W$603,198)="","记-"&amp;TEXT($B1305,"YYYYMM")&amp;"-资金",INDEX(资金日记账!$W$4:$W$603,198)))</f>
        <v/>
      </c>
      <c r="D1305" s="32" t="str">
        <f>IF($E1305="","",INDEX(资金日记账!$D$4:$D$603,198))</f>
        <v/>
      </c>
      <c r="E1305" s="26" t="str">
        <f>IF(INDEX(资金日记账!$N$4:$S$603,198,4)=0,"",INDEX(资金日记账!$N$4:$S$603,198,4))</f>
        <v/>
      </c>
      <c r="F1305" s="25" t="str">
        <f>IF($E1305="","",IFERROR(INDEX(科目表!$A$4:$A$81,MATCH($E1305,科目表!$B$4:$B$81,0)),""))</f>
        <v/>
      </c>
      <c r="G1305" s="26" t="str">
        <f>IF($E1305="","",IFERROR(INDEX(科目表!$E$4:$E$81,MATCH($E1305,科目表!$B$4:$B$81,0)),""))</f>
        <v/>
      </c>
      <c r="H1305" s="27" t="str">
        <f>IF($E1305="","",N(INDEX(资金日记账!$N$4:$S$603,198,5)))</f>
        <v/>
      </c>
      <c r="I1305" s="27" t="str">
        <f>IF($E1305="","",N(INDEX(资金日记账!$N$4:$S$603,198,6)))</f>
        <v/>
      </c>
      <c r="J1305" s="26" t="str">
        <f>IF($E1305="","",INDEX(资金日记账!$E$4:$E$603,198))</f>
        <v/>
      </c>
      <c r="K1305" s="26" t="str">
        <f>IF($E1305="","",INDEX(资金日记账!$F$4:$F$603,198))</f>
        <v/>
      </c>
      <c r="L1305" s="32" t="str">
        <f>IF($E1305="","",INDEX(资金日记账!$X$4:$X$603,198))</f>
        <v/>
      </c>
      <c r="M1305" s="32"/>
      <c r="N1305" s="26" t="str">
        <f>IF($E1305="","",INDEX(资金日记账!$Y$4:$Y$603,198))</f>
        <v/>
      </c>
      <c r="O1305" s="26" t="str">
        <f t="shared" si="72"/>
        <v/>
      </c>
      <c r="P1305" s="10"/>
    </row>
    <row r="1306" ht="18" customHeight="1" spans="1:16">
      <c r="A1306" s="32" t="str">
        <f t="shared" si="71"/>
        <v/>
      </c>
      <c r="B1306" s="100" t="str">
        <f>IF($E1306="","",INDEX(资金日记账!$B$4:$B$603,199))</f>
        <v/>
      </c>
      <c r="C1306" s="26" t="str">
        <f>IF($E1306="","",IF(INDEX(资金日记账!$W$4:$W$603,199)="","记-"&amp;TEXT($B1306,"YYYYMM")&amp;"-资金",INDEX(资金日记账!$W$4:$W$603,199)))</f>
        <v/>
      </c>
      <c r="D1306" s="32" t="str">
        <f>IF($E1306="","",INDEX(资金日记账!$D$4:$D$603,199))</f>
        <v/>
      </c>
      <c r="E1306" s="26" t="str">
        <f>IF(INDEX(资金日记账!$N$4:$S$603,199,1)=0,"",INDEX(资金日记账!$N$4:$S$603,199,1))</f>
        <v/>
      </c>
      <c r="F1306" s="25" t="str">
        <f>IF($E1306="","",IFERROR(INDEX(科目表!$A$4:$A$81,MATCH($E1306,科目表!$B$4:$B$81,0)),""))</f>
        <v/>
      </c>
      <c r="G1306" s="26" t="str">
        <f>IF($E1306="","",IFERROR(INDEX(科目表!$E$4:$E$81,MATCH($E1306,科目表!$B$4:$B$81,0)),""))</f>
        <v/>
      </c>
      <c r="H1306" s="27" t="str">
        <f>IF($E1306="","",N(INDEX(资金日记账!$N$4:$S$603,199,2)))</f>
        <v/>
      </c>
      <c r="I1306" s="27" t="str">
        <f>IF($E1306="","",N(INDEX(资金日记账!$N$4:$S$603,199,3)))</f>
        <v/>
      </c>
      <c r="J1306" s="26" t="str">
        <f>IF($E1306="","",INDEX(资金日记账!$E$4:$E$603,199))</f>
        <v/>
      </c>
      <c r="K1306" s="26" t="str">
        <f>IF($E1306="","",INDEX(资金日记账!$F$4:$F$603,199))</f>
        <v/>
      </c>
      <c r="L1306" s="32" t="str">
        <f>IF($E1306="","",INDEX(资金日记账!$X$4:$X$603,199))</f>
        <v/>
      </c>
      <c r="M1306" s="32"/>
      <c r="N1306" s="26" t="str">
        <f>IF($E1306="","",INDEX(资金日记账!$Y$4:$Y$603,199))</f>
        <v/>
      </c>
      <c r="O1306" s="26" t="str">
        <f t="shared" si="72"/>
        <v/>
      </c>
      <c r="P1306" s="10"/>
    </row>
    <row r="1307" ht="18" customHeight="1" spans="1:16">
      <c r="A1307" s="32" t="str">
        <f t="shared" si="71"/>
        <v/>
      </c>
      <c r="B1307" s="100" t="str">
        <f>IF($E1307="","",INDEX(资金日记账!$B$4:$B$603,199))</f>
        <v/>
      </c>
      <c r="C1307" s="26" t="str">
        <f>IF($E1307="","",IF(INDEX(资金日记账!$W$4:$W$603,199)="","记-"&amp;TEXT($B1307,"YYYYMM")&amp;"-资金",INDEX(资金日记账!$W$4:$W$603,199)))</f>
        <v/>
      </c>
      <c r="D1307" s="32" t="str">
        <f>IF($E1307="","",INDEX(资金日记账!$D$4:$D$603,199))</f>
        <v/>
      </c>
      <c r="E1307" s="26" t="str">
        <f>IF(INDEX(资金日记账!$N$4:$S$603,199,4)=0,"",INDEX(资金日记账!$N$4:$S$603,199,4))</f>
        <v/>
      </c>
      <c r="F1307" s="25" t="str">
        <f>IF($E1307="","",IFERROR(INDEX(科目表!$A$4:$A$81,MATCH($E1307,科目表!$B$4:$B$81,0)),""))</f>
        <v/>
      </c>
      <c r="G1307" s="26" t="str">
        <f>IF($E1307="","",IFERROR(INDEX(科目表!$E$4:$E$81,MATCH($E1307,科目表!$B$4:$B$81,0)),""))</f>
        <v/>
      </c>
      <c r="H1307" s="27" t="str">
        <f>IF($E1307="","",N(INDEX(资金日记账!$N$4:$S$603,199,5)))</f>
        <v/>
      </c>
      <c r="I1307" s="27" t="str">
        <f>IF($E1307="","",N(INDEX(资金日记账!$N$4:$S$603,199,6)))</f>
        <v/>
      </c>
      <c r="J1307" s="26" t="str">
        <f>IF($E1307="","",INDEX(资金日记账!$E$4:$E$603,199))</f>
        <v/>
      </c>
      <c r="K1307" s="26" t="str">
        <f>IF($E1307="","",INDEX(资金日记账!$F$4:$F$603,199))</f>
        <v/>
      </c>
      <c r="L1307" s="32" t="str">
        <f>IF($E1307="","",INDEX(资金日记账!$X$4:$X$603,199))</f>
        <v/>
      </c>
      <c r="M1307" s="32"/>
      <c r="N1307" s="26" t="str">
        <f>IF($E1307="","",INDEX(资金日记账!$Y$4:$Y$603,199))</f>
        <v/>
      </c>
      <c r="O1307" s="26" t="str">
        <f t="shared" si="72"/>
        <v/>
      </c>
      <c r="P1307" s="10"/>
    </row>
    <row r="1308" ht="18" customHeight="1" spans="1:16">
      <c r="A1308" s="32" t="str">
        <f t="shared" si="71"/>
        <v/>
      </c>
      <c r="B1308" s="100" t="str">
        <f>IF($E1308="","",INDEX(资金日记账!$B$4:$B$603,200))</f>
        <v/>
      </c>
      <c r="C1308" s="26" t="str">
        <f>IF($E1308="","",IF(INDEX(资金日记账!$W$4:$W$603,200)="","记-"&amp;TEXT($B1308,"YYYYMM")&amp;"-资金",INDEX(资金日记账!$W$4:$W$603,200)))</f>
        <v/>
      </c>
      <c r="D1308" s="32" t="str">
        <f>IF($E1308="","",INDEX(资金日记账!$D$4:$D$603,200))</f>
        <v/>
      </c>
      <c r="E1308" s="26" t="str">
        <f>IF(INDEX(资金日记账!$N$4:$S$603,200,1)=0,"",INDEX(资金日记账!$N$4:$S$603,200,1))</f>
        <v/>
      </c>
      <c r="F1308" s="25" t="str">
        <f>IF($E1308="","",IFERROR(INDEX(科目表!$A$4:$A$81,MATCH($E1308,科目表!$B$4:$B$81,0)),""))</f>
        <v/>
      </c>
      <c r="G1308" s="26" t="str">
        <f>IF($E1308="","",IFERROR(INDEX(科目表!$E$4:$E$81,MATCH($E1308,科目表!$B$4:$B$81,0)),""))</f>
        <v/>
      </c>
      <c r="H1308" s="27" t="str">
        <f>IF($E1308="","",N(INDEX(资金日记账!$N$4:$S$603,200,2)))</f>
        <v/>
      </c>
      <c r="I1308" s="27" t="str">
        <f>IF($E1308="","",N(INDEX(资金日记账!$N$4:$S$603,200,3)))</f>
        <v/>
      </c>
      <c r="J1308" s="26" t="str">
        <f>IF($E1308="","",INDEX(资金日记账!$E$4:$E$603,200))</f>
        <v/>
      </c>
      <c r="K1308" s="26" t="str">
        <f>IF($E1308="","",INDEX(资金日记账!$F$4:$F$603,200))</f>
        <v/>
      </c>
      <c r="L1308" s="32" t="str">
        <f>IF($E1308="","",INDEX(资金日记账!$X$4:$X$603,200))</f>
        <v/>
      </c>
      <c r="M1308" s="32"/>
      <c r="N1308" s="26" t="str">
        <f>IF($E1308="","",INDEX(资金日记账!$Y$4:$Y$603,200))</f>
        <v/>
      </c>
      <c r="O1308" s="26" t="str">
        <f t="shared" si="72"/>
        <v/>
      </c>
      <c r="P1308" s="10"/>
    </row>
    <row r="1309" ht="18" customHeight="1" spans="1:16">
      <c r="A1309" s="32" t="str">
        <f t="shared" si="71"/>
        <v/>
      </c>
      <c r="B1309" s="100" t="str">
        <f>IF($E1309="","",INDEX(资金日记账!$B$4:$B$603,200))</f>
        <v/>
      </c>
      <c r="C1309" s="26" t="str">
        <f>IF($E1309="","",IF(INDEX(资金日记账!$W$4:$W$603,200)="","记-"&amp;TEXT($B1309,"YYYYMM")&amp;"-资金",INDEX(资金日记账!$W$4:$W$603,200)))</f>
        <v/>
      </c>
      <c r="D1309" s="32" t="str">
        <f>IF($E1309="","",INDEX(资金日记账!$D$4:$D$603,200))</f>
        <v/>
      </c>
      <c r="E1309" s="26" t="str">
        <f>IF(INDEX(资金日记账!$N$4:$S$603,200,4)=0,"",INDEX(资金日记账!$N$4:$S$603,200,4))</f>
        <v/>
      </c>
      <c r="F1309" s="25" t="str">
        <f>IF($E1309="","",IFERROR(INDEX(科目表!$A$4:$A$81,MATCH($E1309,科目表!$B$4:$B$81,0)),""))</f>
        <v/>
      </c>
      <c r="G1309" s="26" t="str">
        <f>IF($E1309="","",IFERROR(INDEX(科目表!$E$4:$E$81,MATCH($E1309,科目表!$B$4:$B$81,0)),""))</f>
        <v/>
      </c>
      <c r="H1309" s="27" t="str">
        <f>IF($E1309="","",N(INDEX(资金日记账!$N$4:$S$603,200,5)))</f>
        <v/>
      </c>
      <c r="I1309" s="27" t="str">
        <f>IF($E1309="","",N(INDEX(资金日记账!$N$4:$S$603,200,6)))</f>
        <v/>
      </c>
      <c r="J1309" s="26" t="str">
        <f>IF($E1309="","",INDEX(资金日记账!$E$4:$E$603,200))</f>
        <v/>
      </c>
      <c r="K1309" s="26" t="str">
        <f>IF($E1309="","",INDEX(资金日记账!$F$4:$F$603,200))</f>
        <v/>
      </c>
      <c r="L1309" s="32" t="str">
        <f>IF($E1309="","",INDEX(资金日记账!$X$4:$X$603,200))</f>
        <v/>
      </c>
      <c r="M1309" s="32"/>
      <c r="N1309" s="26" t="str">
        <f>IF($E1309="","",INDEX(资金日记账!$Y$4:$Y$603,200))</f>
        <v/>
      </c>
      <c r="O1309" s="26" t="str">
        <f t="shared" si="72"/>
        <v/>
      </c>
      <c r="P1309" s="10"/>
    </row>
    <row r="1310" ht="18" customHeight="1" spans="1:16">
      <c r="A1310" s="32" t="str">
        <f t="shared" si="71"/>
        <v/>
      </c>
      <c r="B1310" s="100" t="str">
        <f>IF($E1310="","",INDEX(资金日记账!$B$4:$B$603,201))</f>
        <v/>
      </c>
      <c r="C1310" s="26" t="str">
        <f>IF($E1310="","",IF(INDEX(资金日记账!$W$4:$W$603,201)="","记-"&amp;TEXT($B1310,"YYYYMM")&amp;"-资金",INDEX(资金日记账!$W$4:$W$603,201)))</f>
        <v/>
      </c>
      <c r="D1310" s="32" t="str">
        <f>IF($E1310="","",INDEX(资金日记账!$D$4:$D$603,201))</f>
        <v/>
      </c>
      <c r="E1310" s="26" t="str">
        <f>IF(INDEX(资金日记账!$N$4:$S$603,201,1)=0,"",INDEX(资金日记账!$N$4:$S$603,201,1))</f>
        <v/>
      </c>
      <c r="F1310" s="25" t="str">
        <f>IF($E1310="","",IFERROR(INDEX(科目表!$A$4:$A$81,MATCH($E1310,科目表!$B$4:$B$81,0)),""))</f>
        <v/>
      </c>
      <c r="G1310" s="26" t="str">
        <f>IF($E1310="","",IFERROR(INDEX(科目表!$E$4:$E$81,MATCH($E1310,科目表!$B$4:$B$81,0)),""))</f>
        <v/>
      </c>
      <c r="H1310" s="27" t="str">
        <f>IF($E1310="","",N(INDEX(资金日记账!$N$4:$S$603,201,2)))</f>
        <v/>
      </c>
      <c r="I1310" s="27" t="str">
        <f>IF($E1310="","",N(INDEX(资金日记账!$N$4:$S$603,201,3)))</f>
        <v/>
      </c>
      <c r="J1310" s="26" t="str">
        <f>IF($E1310="","",INDEX(资金日记账!$E$4:$E$603,201))</f>
        <v/>
      </c>
      <c r="K1310" s="26" t="str">
        <f>IF($E1310="","",INDEX(资金日记账!$F$4:$F$603,201))</f>
        <v/>
      </c>
      <c r="L1310" s="32" t="str">
        <f>IF($E1310="","",INDEX(资金日记账!$X$4:$X$603,201))</f>
        <v/>
      </c>
      <c r="M1310" s="32"/>
      <c r="N1310" s="26" t="str">
        <f>IF($E1310="","",INDEX(资金日记账!$Y$4:$Y$603,201))</f>
        <v/>
      </c>
      <c r="O1310" s="26" t="str">
        <f t="shared" si="72"/>
        <v/>
      </c>
      <c r="P1310" s="10"/>
    </row>
    <row r="1311" ht="18" customHeight="1" spans="1:16">
      <c r="A1311" s="32" t="str">
        <f t="shared" si="71"/>
        <v/>
      </c>
      <c r="B1311" s="100" t="str">
        <f>IF($E1311="","",INDEX(资金日记账!$B$4:$B$603,201))</f>
        <v/>
      </c>
      <c r="C1311" s="26" t="str">
        <f>IF($E1311="","",IF(INDEX(资金日记账!$W$4:$W$603,201)="","记-"&amp;TEXT($B1311,"YYYYMM")&amp;"-资金",INDEX(资金日记账!$W$4:$W$603,201)))</f>
        <v/>
      </c>
      <c r="D1311" s="32" t="str">
        <f>IF($E1311="","",INDEX(资金日记账!$D$4:$D$603,201))</f>
        <v/>
      </c>
      <c r="E1311" s="26" t="str">
        <f>IF(INDEX(资金日记账!$N$4:$S$603,201,4)=0,"",INDEX(资金日记账!$N$4:$S$603,201,4))</f>
        <v/>
      </c>
      <c r="F1311" s="25" t="str">
        <f>IF($E1311="","",IFERROR(INDEX(科目表!$A$4:$A$81,MATCH($E1311,科目表!$B$4:$B$81,0)),""))</f>
        <v/>
      </c>
      <c r="G1311" s="26" t="str">
        <f>IF($E1311="","",IFERROR(INDEX(科目表!$E$4:$E$81,MATCH($E1311,科目表!$B$4:$B$81,0)),""))</f>
        <v/>
      </c>
      <c r="H1311" s="27" t="str">
        <f>IF($E1311="","",N(INDEX(资金日记账!$N$4:$S$603,201,5)))</f>
        <v/>
      </c>
      <c r="I1311" s="27" t="str">
        <f>IF($E1311="","",N(INDEX(资金日记账!$N$4:$S$603,201,6)))</f>
        <v/>
      </c>
      <c r="J1311" s="26" t="str">
        <f>IF($E1311="","",INDEX(资金日记账!$E$4:$E$603,201))</f>
        <v/>
      </c>
      <c r="K1311" s="26" t="str">
        <f>IF($E1311="","",INDEX(资金日记账!$F$4:$F$603,201))</f>
        <v/>
      </c>
      <c r="L1311" s="32" t="str">
        <f>IF($E1311="","",INDEX(资金日记账!$X$4:$X$603,201))</f>
        <v/>
      </c>
      <c r="M1311" s="32"/>
      <c r="N1311" s="26" t="str">
        <f>IF($E1311="","",INDEX(资金日记账!$Y$4:$Y$603,201))</f>
        <v/>
      </c>
      <c r="O1311" s="26" t="str">
        <f t="shared" si="72"/>
        <v/>
      </c>
      <c r="P1311" s="10"/>
    </row>
    <row r="1312" ht="18" customHeight="1" spans="1:16">
      <c r="A1312" s="32" t="str">
        <f t="shared" si="71"/>
        <v/>
      </c>
      <c r="B1312" s="100" t="str">
        <f>IF($E1312="","",INDEX(资金日记账!$B$4:$B$603,202))</f>
        <v/>
      </c>
      <c r="C1312" s="26" t="str">
        <f>IF($E1312="","",IF(INDEX(资金日记账!$W$4:$W$603,202)="","记-"&amp;TEXT($B1312,"YYYYMM")&amp;"-资金",INDEX(资金日记账!$W$4:$W$603,202)))</f>
        <v/>
      </c>
      <c r="D1312" s="32" t="str">
        <f>IF($E1312="","",INDEX(资金日记账!$D$4:$D$603,202))</f>
        <v/>
      </c>
      <c r="E1312" s="26" t="str">
        <f>IF(INDEX(资金日记账!$N$4:$S$603,202,1)=0,"",INDEX(资金日记账!$N$4:$S$603,202,1))</f>
        <v/>
      </c>
      <c r="F1312" s="25" t="str">
        <f>IF($E1312="","",IFERROR(INDEX(科目表!$A$4:$A$81,MATCH($E1312,科目表!$B$4:$B$81,0)),""))</f>
        <v/>
      </c>
      <c r="G1312" s="26" t="str">
        <f>IF($E1312="","",IFERROR(INDEX(科目表!$E$4:$E$81,MATCH($E1312,科目表!$B$4:$B$81,0)),""))</f>
        <v/>
      </c>
      <c r="H1312" s="27" t="str">
        <f>IF($E1312="","",N(INDEX(资金日记账!$N$4:$S$603,202,2)))</f>
        <v/>
      </c>
      <c r="I1312" s="27" t="str">
        <f>IF($E1312="","",N(INDEX(资金日记账!$N$4:$S$603,202,3)))</f>
        <v/>
      </c>
      <c r="J1312" s="26" t="str">
        <f>IF($E1312="","",INDEX(资金日记账!$E$4:$E$603,202))</f>
        <v/>
      </c>
      <c r="K1312" s="26" t="str">
        <f>IF($E1312="","",INDEX(资金日记账!$F$4:$F$603,202))</f>
        <v/>
      </c>
      <c r="L1312" s="32" t="str">
        <f>IF($E1312="","",INDEX(资金日记账!$X$4:$X$603,202))</f>
        <v/>
      </c>
      <c r="M1312" s="32"/>
      <c r="N1312" s="26" t="str">
        <f>IF($E1312="","",INDEX(资金日记账!$Y$4:$Y$603,202))</f>
        <v/>
      </c>
      <c r="O1312" s="26" t="str">
        <f t="shared" si="72"/>
        <v/>
      </c>
      <c r="P1312" s="10"/>
    </row>
    <row r="1313" ht="18" customHeight="1" spans="1:16">
      <c r="A1313" s="32" t="str">
        <f t="shared" si="71"/>
        <v/>
      </c>
      <c r="B1313" s="100" t="str">
        <f>IF($E1313="","",INDEX(资金日记账!$B$4:$B$603,202))</f>
        <v/>
      </c>
      <c r="C1313" s="26" t="str">
        <f>IF($E1313="","",IF(INDEX(资金日记账!$W$4:$W$603,202)="","记-"&amp;TEXT($B1313,"YYYYMM")&amp;"-资金",INDEX(资金日记账!$W$4:$W$603,202)))</f>
        <v/>
      </c>
      <c r="D1313" s="32" t="str">
        <f>IF($E1313="","",INDEX(资金日记账!$D$4:$D$603,202))</f>
        <v/>
      </c>
      <c r="E1313" s="26" t="str">
        <f>IF(INDEX(资金日记账!$N$4:$S$603,202,4)=0,"",INDEX(资金日记账!$N$4:$S$603,202,4))</f>
        <v/>
      </c>
      <c r="F1313" s="25" t="str">
        <f>IF($E1313="","",IFERROR(INDEX(科目表!$A$4:$A$81,MATCH($E1313,科目表!$B$4:$B$81,0)),""))</f>
        <v/>
      </c>
      <c r="G1313" s="26" t="str">
        <f>IF($E1313="","",IFERROR(INDEX(科目表!$E$4:$E$81,MATCH($E1313,科目表!$B$4:$B$81,0)),""))</f>
        <v/>
      </c>
      <c r="H1313" s="27" t="str">
        <f>IF($E1313="","",N(INDEX(资金日记账!$N$4:$S$603,202,5)))</f>
        <v/>
      </c>
      <c r="I1313" s="27" t="str">
        <f>IF($E1313="","",N(INDEX(资金日记账!$N$4:$S$603,202,6)))</f>
        <v/>
      </c>
      <c r="J1313" s="26" t="str">
        <f>IF($E1313="","",INDEX(资金日记账!$E$4:$E$603,202))</f>
        <v/>
      </c>
      <c r="K1313" s="26" t="str">
        <f>IF($E1313="","",INDEX(资金日记账!$F$4:$F$603,202))</f>
        <v/>
      </c>
      <c r="L1313" s="32" t="str">
        <f>IF($E1313="","",INDEX(资金日记账!$X$4:$X$603,202))</f>
        <v/>
      </c>
      <c r="M1313" s="32"/>
      <c r="N1313" s="26" t="str">
        <f>IF($E1313="","",INDEX(资金日记账!$Y$4:$Y$603,202))</f>
        <v/>
      </c>
      <c r="O1313" s="26" t="str">
        <f t="shared" si="72"/>
        <v/>
      </c>
      <c r="P1313" s="10"/>
    </row>
    <row r="1314" ht="18" customHeight="1" spans="1:16">
      <c r="A1314" s="32" t="str">
        <f t="shared" si="71"/>
        <v/>
      </c>
      <c r="B1314" s="100" t="str">
        <f>IF($E1314="","",INDEX(资金日记账!$B$4:$B$603,203))</f>
        <v/>
      </c>
      <c r="C1314" s="26" t="str">
        <f>IF($E1314="","",IF(INDEX(资金日记账!$W$4:$W$603,203)="","记-"&amp;TEXT($B1314,"YYYYMM")&amp;"-资金",INDEX(资金日记账!$W$4:$W$603,203)))</f>
        <v/>
      </c>
      <c r="D1314" s="32" t="str">
        <f>IF($E1314="","",INDEX(资金日记账!$D$4:$D$603,203))</f>
        <v/>
      </c>
      <c r="E1314" s="26" t="str">
        <f>IF(INDEX(资金日记账!$N$4:$S$603,203,1)=0,"",INDEX(资金日记账!$N$4:$S$603,203,1))</f>
        <v/>
      </c>
      <c r="F1314" s="25" t="str">
        <f>IF($E1314="","",IFERROR(INDEX(科目表!$A$4:$A$81,MATCH($E1314,科目表!$B$4:$B$81,0)),""))</f>
        <v/>
      </c>
      <c r="G1314" s="26" t="str">
        <f>IF($E1314="","",IFERROR(INDEX(科目表!$E$4:$E$81,MATCH($E1314,科目表!$B$4:$B$81,0)),""))</f>
        <v/>
      </c>
      <c r="H1314" s="27" t="str">
        <f>IF($E1314="","",N(INDEX(资金日记账!$N$4:$S$603,203,2)))</f>
        <v/>
      </c>
      <c r="I1314" s="27" t="str">
        <f>IF($E1314="","",N(INDEX(资金日记账!$N$4:$S$603,203,3)))</f>
        <v/>
      </c>
      <c r="J1314" s="26" t="str">
        <f>IF($E1314="","",INDEX(资金日记账!$E$4:$E$603,203))</f>
        <v/>
      </c>
      <c r="K1314" s="26" t="str">
        <f>IF($E1314="","",INDEX(资金日记账!$F$4:$F$603,203))</f>
        <v/>
      </c>
      <c r="L1314" s="32" t="str">
        <f>IF($E1314="","",INDEX(资金日记账!$X$4:$X$603,203))</f>
        <v/>
      </c>
      <c r="M1314" s="32"/>
      <c r="N1314" s="26" t="str">
        <f>IF($E1314="","",INDEX(资金日记账!$Y$4:$Y$603,203))</f>
        <v/>
      </c>
      <c r="O1314" s="26" t="str">
        <f t="shared" si="72"/>
        <v/>
      </c>
      <c r="P1314" s="10"/>
    </row>
    <row r="1315" ht="18" customHeight="1" spans="1:16">
      <c r="A1315" s="32" t="str">
        <f t="shared" si="71"/>
        <v/>
      </c>
      <c r="B1315" s="100" t="str">
        <f>IF($E1315="","",INDEX(资金日记账!$B$4:$B$603,203))</f>
        <v/>
      </c>
      <c r="C1315" s="26" t="str">
        <f>IF($E1315="","",IF(INDEX(资金日记账!$W$4:$W$603,203)="","记-"&amp;TEXT($B1315,"YYYYMM")&amp;"-资金",INDEX(资金日记账!$W$4:$W$603,203)))</f>
        <v/>
      </c>
      <c r="D1315" s="32" t="str">
        <f>IF($E1315="","",INDEX(资金日记账!$D$4:$D$603,203))</f>
        <v/>
      </c>
      <c r="E1315" s="26" t="str">
        <f>IF(INDEX(资金日记账!$N$4:$S$603,203,4)=0,"",INDEX(资金日记账!$N$4:$S$603,203,4))</f>
        <v/>
      </c>
      <c r="F1315" s="25" t="str">
        <f>IF($E1315="","",IFERROR(INDEX(科目表!$A$4:$A$81,MATCH($E1315,科目表!$B$4:$B$81,0)),""))</f>
        <v/>
      </c>
      <c r="G1315" s="26" t="str">
        <f>IF($E1315="","",IFERROR(INDEX(科目表!$E$4:$E$81,MATCH($E1315,科目表!$B$4:$B$81,0)),""))</f>
        <v/>
      </c>
      <c r="H1315" s="27" t="str">
        <f>IF($E1315="","",N(INDEX(资金日记账!$N$4:$S$603,203,5)))</f>
        <v/>
      </c>
      <c r="I1315" s="27" t="str">
        <f>IF($E1315="","",N(INDEX(资金日记账!$N$4:$S$603,203,6)))</f>
        <v/>
      </c>
      <c r="J1315" s="26" t="str">
        <f>IF($E1315="","",INDEX(资金日记账!$E$4:$E$603,203))</f>
        <v/>
      </c>
      <c r="K1315" s="26" t="str">
        <f>IF($E1315="","",INDEX(资金日记账!$F$4:$F$603,203))</f>
        <v/>
      </c>
      <c r="L1315" s="32" t="str">
        <f>IF($E1315="","",INDEX(资金日记账!$X$4:$X$603,203))</f>
        <v/>
      </c>
      <c r="M1315" s="32"/>
      <c r="N1315" s="26" t="str">
        <f>IF($E1315="","",INDEX(资金日记账!$Y$4:$Y$603,203))</f>
        <v/>
      </c>
      <c r="O1315" s="26" t="str">
        <f t="shared" si="72"/>
        <v/>
      </c>
      <c r="P1315" s="10"/>
    </row>
    <row r="1316" ht="18" customHeight="1" spans="1:16">
      <c r="A1316" s="32" t="str">
        <f t="shared" si="71"/>
        <v/>
      </c>
      <c r="B1316" s="100" t="str">
        <f>IF($E1316="","",INDEX(资金日记账!$B$4:$B$603,204))</f>
        <v/>
      </c>
      <c r="C1316" s="26" t="str">
        <f>IF($E1316="","",IF(INDEX(资金日记账!$W$4:$W$603,204)="","记-"&amp;TEXT($B1316,"YYYYMM")&amp;"-资金",INDEX(资金日记账!$W$4:$W$603,204)))</f>
        <v/>
      </c>
      <c r="D1316" s="32" t="str">
        <f>IF($E1316="","",INDEX(资金日记账!$D$4:$D$603,204))</f>
        <v/>
      </c>
      <c r="E1316" s="26" t="str">
        <f>IF(INDEX(资金日记账!$N$4:$S$603,204,1)=0,"",INDEX(资金日记账!$N$4:$S$603,204,1))</f>
        <v/>
      </c>
      <c r="F1316" s="25" t="str">
        <f>IF($E1316="","",IFERROR(INDEX(科目表!$A$4:$A$81,MATCH($E1316,科目表!$B$4:$B$81,0)),""))</f>
        <v/>
      </c>
      <c r="G1316" s="26" t="str">
        <f>IF($E1316="","",IFERROR(INDEX(科目表!$E$4:$E$81,MATCH($E1316,科目表!$B$4:$B$81,0)),""))</f>
        <v/>
      </c>
      <c r="H1316" s="27" t="str">
        <f>IF($E1316="","",N(INDEX(资金日记账!$N$4:$S$603,204,2)))</f>
        <v/>
      </c>
      <c r="I1316" s="27" t="str">
        <f>IF($E1316="","",N(INDEX(资金日记账!$N$4:$S$603,204,3)))</f>
        <v/>
      </c>
      <c r="J1316" s="26" t="str">
        <f>IF($E1316="","",INDEX(资金日记账!$E$4:$E$603,204))</f>
        <v/>
      </c>
      <c r="K1316" s="26" t="str">
        <f>IF($E1316="","",INDEX(资金日记账!$F$4:$F$603,204))</f>
        <v/>
      </c>
      <c r="L1316" s="32" t="str">
        <f>IF($E1316="","",INDEX(资金日记账!$X$4:$X$603,204))</f>
        <v/>
      </c>
      <c r="M1316" s="32"/>
      <c r="N1316" s="26" t="str">
        <f>IF($E1316="","",INDEX(资金日记账!$Y$4:$Y$603,204))</f>
        <v/>
      </c>
      <c r="O1316" s="26" t="str">
        <f t="shared" si="72"/>
        <v/>
      </c>
      <c r="P1316" s="10"/>
    </row>
    <row r="1317" ht="18" customHeight="1" spans="1:16">
      <c r="A1317" s="32" t="str">
        <f t="shared" si="71"/>
        <v/>
      </c>
      <c r="B1317" s="100" t="str">
        <f>IF($E1317="","",INDEX(资金日记账!$B$4:$B$603,204))</f>
        <v/>
      </c>
      <c r="C1317" s="26" t="str">
        <f>IF($E1317="","",IF(INDEX(资金日记账!$W$4:$W$603,204)="","记-"&amp;TEXT($B1317,"YYYYMM")&amp;"-资金",INDEX(资金日记账!$W$4:$W$603,204)))</f>
        <v/>
      </c>
      <c r="D1317" s="32" t="str">
        <f>IF($E1317="","",INDEX(资金日记账!$D$4:$D$603,204))</f>
        <v/>
      </c>
      <c r="E1317" s="26" t="str">
        <f>IF(INDEX(资金日记账!$N$4:$S$603,204,4)=0,"",INDEX(资金日记账!$N$4:$S$603,204,4))</f>
        <v/>
      </c>
      <c r="F1317" s="25" t="str">
        <f>IF($E1317="","",IFERROR(INDEX(科目表!$A$4:$A$81,MATCH($E1317,科目表!$B$4:$B$81,0)),""))</f>
        <v/>
      </c>
      <c r="G1317" s="26" t="str">
        <f>IF($E1317="","",IFERROR(INDEX(科目表!$E$4:$E$81,MATCH($E1317,科目表!$B$4:$B$81,0)),""))</f>
        <v/>
      </c>
      <c r="H1317" s="27" t="str">
        <f>IF($E1317="","",N(INDEX(资金日记账!$N$4:$S$603,204,5)))</f>
        <v/>
      </c>
      <c r="I1317" s="27" t="str">
        <f>IF($E1317="","",N(INDEX(资金日记账!$N$4:$S$603,204,6)))</f>
        <v/>
      </c>
      <c r="J1317" s="26" t="str">
        <f>IF($E1317="","",INDEX(资金日记账!$E$4:$E$603,204))</f>
        <v/>
      </c>
      <c r="K1317" s="26" t="str">
        <f>IF($E1317="","",INDEX(资金日记账!$F$4:$F$603,204))</f>
        <v/>
      </c>
      <c r="L1317" s="32" t="str">
        <f>IF($E1317="","",INDEX(资金日记账!$X$4:$X$603,204))</f>
        <v/>
      </c>
      <c r="M1317" s="32"/>
      <c r="N1317" s="26" t="str">
        <f>IF($E1317="","",INDEX(资金日记账!$Y$4:$Y$603,204))</f>
        <v/>
      </c>
      <c r="O1317" s="26" t="str">
        <f t="shared" si="72"/>
        <v/>
      </c>
      <c r="P1317" s="10"/>
    </row>
    <row r="1318" ht="18" customHeight="1" spans="1:16">
      <c r="A1318" s="32" t="str">
        <f t="shared" si="71"/>
        <v/>
      </c>
      <c r="B1318" s="100" t="str">
        <f>IF($E1318="","",INDEX(资金日记账!$B$4:$B$603,205))</f>
        <v/>
      </c>
      <c r="C1318" s="26" t="str">
        <f>IF($E1318="","",IF(INDEX(资金日记账!$W$4:$W$603,205)="","记-"&amp;TEXT($B1318,"YYYYMM")&amp;"-资金",INDEX(资金日记账!$W$4:$W$603,205)))</f>
        <v/>
      </c>
      <c r="D1318" s="32" t="str">
        <f>IF($E1318="","",INDEX(资金日记账!$D$4:$D$603,205))</f>
        <v/>
      </c>
      <c r="E1318" s="26" t="str">
        <f>IF(INDEX(资金日记账!$N$4:$S$603,205,1)=0,"",INDEX(资金日记账!$N$4:$S$603,205,1))</f>
        <v/>
      </c>
      <c r="F1318" s="25" t="str">
        <f>IF($E1318="","",IFERROR(INDEX(科目表!$A$4:$A$81,MATCH($E1318,科目表!$B$4:$B$81,0)),""))</f>
        <v/>
      </c>
      <c r="G1318" s="26" t="str">
        <f>IF($E1318="","",IFERROR(INDEX(科目表!$E$4:$E$81,MATCH($E1318,科目表!$B$4:$B$81,0)),""))</f>
        <v/>
      </c>
      <c r="H1318" s="27" t="str">
        <f>IF($E1318="","",N(INDEX(资金日记账!$N$4:$S$603,205,2)))</f>
        <v/>
      </c>
      <c r="I1318" s="27" t="str">
        <f>IF($E1318="","",N(INDEX(资金日记账!$N$4:$S$603,205,3)))</f>
        <v/>
      </c>
      <c r="J1318" s="26" t="str">
        <f>IF($E1318="","",INDEX(资金日记账!$E$4:$E$603,205))</f>
        <v/>
      </c>
      <c r="K1318" s="26" t="str">
        <f>IF($E1318="","",INDEX(资金日记账!$F$4:$F$603,205))</f>
        <v/>
      </c>
      <c r="L1318" s="32" t="str">
        <f>IF($E1318="","",INDEX(资金日记账!$X$4:$X$603,205))</f>
        <v/>
      </c>
      <c r="M1318" s="32"/>
      <c r="N1318" s="26" t="str">
        <f>IF($E1318="","",INDEX(资金日记账!$Y$4:$Y$603,205))</f>
        <v/>
      </c>
      <c r="O1318" s="26" t="str">
        <f t="shared" si="72"/>
        <v/>
      </c>
      <c r="P1318" s="10"/>
    </row>
    <row r="1319" ht="18" customHeight="1" spans="1:16">
      <c r="A1319" s="32" t="str">
        <f t="shared" si="71"/>
        <v/>
      </c>
      <c r="B1319" s="100" t="str">
        <f>IF($E1319="","",INDEX(资金日记账!$B$4:$B$603,205))</f>
        <v/>
      </c>
      <c r="C1319" s="26" t="str">
        <f>IF($E1319="","",IF(INDEX(资金日记账!$W$4:$W$603,205)="","记-"&amp;TEXT($B1319,"YYYYMM")&amp;"-资金",INDEX(资金日记账!$W$4:$W$603,205)))</f>
        <v/>
      </c>
      <c r="D1319" s="32" t="str">
        <f>IF($E1319="","",INDEX(资金日记账!$D$4:$D$603,205))</f>
        <v/>
      </c>
      <c r="E1319" s="26" t="str">
        <f>IF(INDEX(资金日记账!$N$4:$S$603,205,4)=0,"",INDEX(资金日记账!$N$4:$S$603,205,4))</f>
        <v/>
      </c>
      <c r="F1319" s="25" t="str">
        <f>IF($E1319="","",IFERROR(INDEX(科目表!$A$4:$A$81,MATCH($E1319,科目表!$B$4:$B$81,0)),""))</f>
        <v/>
      </c>
      <c r="G1319" s="26" t="str">
        <f>IF($E1319="","",IFERROR(INDEX(科目表!$E$4:$E$81,MATCH($E1319,科目表!$B$4:$B$81,0)),""))</f>
        <v/>
      </c>
      <c r="H1319" s="27" t="str">
        <f>IF($E1319="","",N(INDEX(资金日记账!$N$4:$S$603,205,5)))</f>
        <v/>
      </c>
      <c r="I1319" s="27" t="str">
        <f>IF($E1319="","",N(INDEX(资金日记账!$N$4:$S$603,205,6)))</f>
        <v/>
      </c>
      <c r="J1319" s="26" t="str">
        <f>IF($E1319="","",INDEX(资金日记账!$E$4:$E$603,205))</f>
        <v/>
      </c>
      <c r="K1319" s="26" t="str">
        <f>IF($E1319="","",INDEX(资金日记账!$F$4:$F$603,205))</f>
        <v/>
      </c>
      <c r="L1319" s="32" t="str">
        <f>IF($E1319="","",INDEX(资金日记账!$X$4:$X$603,205))</f>
        <v/>
      </c>
      <c r="M1319" s="32"/>
      <c r="N1319" s="26" t="str">
        <f>IF($E1319="","",INDEX(资金日记账!$Y$4:$Y$603,205))</f>
        <v/>
      </c>
      <c r="O1319" s="26" t="str">
        <f t="shared" si="72"/>
        <v/>
      </c>
      <c r="P1319" s="10"/>
    </row>
    <row r="1320" ht="18" customHeight="1" spans="1:16">
      <c r="A1320" s="32" t="str">
        <f t="shared" si="71"/>
        <v/>
      </c>
      <c r="B1320" s="100" t="str">
        <f>IF($E1320="","",INDEX(资金日记账!$B$4:$B$603,206))</f>
        <v/>
      </c>
      <c r="C1320" s="26" t="str">
        <f>IF($E1320="","",IF(INDEX(资金日记账!$W$4:$W$603,206)="","记-"&amp;TEXT($B1320,"YYYYMM")&amp;"-资金",INDEX(资金日记账!$W$4:$W$603,206)))</f>
        <v/>
      </c>
      <c r="D1320" s="32" t="str">
        <f>IF($E1320="","",INDEX(资金日记账!$D$4:$D$603,206))</f>
        <v/>
      </c>
      <c r="E1320" s="26" t="str">
        <f>IF(INDEX(资金日记账!$N$4:$S$603,206,1)=0,"",INDEX(资金日记账!$N$4:$S$603,206,1))</f>
        <v/>
      </c>
      <c r="F1320" s="25" t="str">
        <f>IF($E1320="","",IFERROR(INDEX(科目表!$A$4:$A$81,MATCH($E1320,科目表!$B$4:$B$81,0)),""))</f>
        <v/>
      </c>
      <c r="G1320" s="26" t="str">
        <f>IF($E1320="","",IFERROR(INDEX(科目表!$E$4:$E$81,MATCH($E1320,科目表!$B$4:$B$81,0)),""))</f>
        <v/>
      </c>
      <c r="H1320" s="27" t="str">
        <f>IF($E1320="","",N(INDEX(资金日记账!$N$4:$S$603,206,2)))</f>
        <v/>
      </c>
      <c r="I1320" s="27" t="str">
        <f>IF($E1320="","",N(INDEX(资金日记账!$N$4:$S$603,206,3)))</f>
        <v/>
      </c>
      <c r="J1320" s="26" t="str">
        <f>IF($E1320="","",INDEX(资金日记账!$E$4:$E$603,206))</f>
        <v/>
      </c>
      <c r="K1320" s="26" t="str">
        <f>IF($E1320="","",INDEX(资金日记账!$F$4:$F$603,206))</f>
        <v/>
      </c>
      <c r="L1320" s="32" t="str">
        <f>IF($E1320="","",INDEX(资金日记账!$X$4:$X$603,206))</f>
        <v/>
      </c>
      <c r="M1320" s="32"/>
      <c r="N1320" s="26" t="str">
        <f>IF($E1320="","",INDEX(资金日记账!$Y$4:$Y$603,206))</f>
        <v/>
      </c>
      <c r="O1320" s="26" t="str">
        <f t="shared" si="72"/>
        <v/>
      </c>
      <c r="P1320" s="10"/>
    </row>
    <row r="1321" ht="18" customHeight="1" spans="1:16">
      <c r="A1321" s="32" t="str">
        <f t="shared" si="71"/>
        <v/>
      </c>
      <c r="B1321" s="100" t="str">
        <f>IF($E1321="","",INDEX(资金日记账!$B$4:$B$603,206))</f>
        <v/>
      </c>
      <c r="C1321" s="26" t="str">
        <f>IF($E1321="","",IF(INDEX(资金日记账!$W$4:$W$603,206)="","记-"&amp;TEXT($B1321,"YYYYMM")&amp;"-资金",INDEX(资金日记账!$W$4:$W$603,206)))</f>
        <v/>
      </c>
      <c r="D1321" s="32" t="str">
        <f>IF($E1321="","",INDEX(资金日记账!$D$4:$D$603,206))</f>
        <v/>
      </c>
      <c r="E1321" s="26" t="str">
        <f>IF(INDEX(资金日记账!$N$4:$S$603,206,4)=0,"",INDEX(资金日记账!$N$4:$S$603,206,4))</f>
        <v/>
      </c>
      <c r="F1321" s="25" t="str">
        <f>IF($E1321="","",IFERROR(INDEX(科目表!$A$4:$A$81,MATCH($E1321,科目表!$B$4:$B$81,0)),""))</f>
        <v/>
      </c>
      <c r="G1321" s="26" t="str">
        <f>IF($E1321="","",IFERROR(INDEX(科目表!$E$4:$E$81,MATCH($E1321,科目表!$B$4:$B$81,0)),""))</f>
        <v/>
      </c>
      <c r="H1321" s="27" t="str">
        <f>IF($E1321="","",N(INDEX(资金日记账!$N$4:$S$603,206,5)))</f>
        <v/>
      </c>
      <c r="I1321" s="27" t="str">
        <f>IF($E1321="","",N(INDEX(资金日记账!$N$4:$S$603,206,6)))</f>
        <v/>
      </c>
      <c r="J1321" s="26" t="str">
        <f>IF($E1321="","",INDEX(资金日记账!$E$4:$E$603,206))</f>
        <v/>
      </c>
      <c r="K1321" s="26" t="str">
        <f>IF($E1321="","",INDEX(资金日记账!$F$4:$F$603,206))</f>
        <v/>
      </c>
      <c r="L1321" s="32" t="str">
        <f>IF($E1321="","",INDEX(资金日记账!$X$4:$X$603,206))</f>
        <v/>
      </c>
      <c r="M1321" s="32"/>
      <c r="N1321" s="26" t="str">
        <f>IF($E1321="","",INDEX(资金日记账!$Y$4:$Y$603,206))</f>
        <v/>
      </c>
      <c r="O1321" s="26" t="str">
        <f t="shared" si="72"/>
        <v/>
      </c>
      <c r="P1321" s="10"/>
    </row>
    <row r="1322" ht="18" customHeight="1" spans="1:16">
      <c r="A1322" s="32" t="str">
        <f t="shared" si="71"/>
        <v/>
      </c>
      <c r="B1322" s="100" t="str">
        <f>IF($E1322="","",INDEX(资金日记账!$B$4:$B$603,207))</f>
        <v/>
      </c>
      <c r="C1322" s="26" t="str">
        <f>IF($E1322="","",IF(INDEX(资金日记账!$W$4:$W$603,207)="","记-"&amp;TEXT($B1322,"YYYYMM")&amp;"-资金",INDEX(资金日记账!$W$4:$W$603,207)))</f>
        <v/>
      </c>
      <c r="D1322" s="32" t="str">
        <f>IF($E1322="","",INDEX(资金日记账!$D$4:$D$603,207))</f>
        <v/>
      </c>
      <c r="E1322" s="26" t="str">
        <f>IF(INDEX(资金日记账!$N$4:$S$603,207,1)=0,"",INDEX(资金日记账!$N$4:$S$603,207,1))</f>
        <v/>
      </c>
      <c r="F1322" s="25" t="str">
        <f>IF($E1322="","",IFERROR(INDEX(科目表!$A$4:$A$81,MATCH($E1322,科目表!$B$4:$B$81,0)),""))</f>
        <v/>
      </c>
      <c r="G1322" s="26" t="str">
        <f>IF($E1322="","",IFERROR(INDEX(科目表!$E$4:$E$81,MATCH($E1322,科目表!$B$4:$B$81,0)),""))</f>
        <v/>
      </c>
      <c r="H1322" s="27" t="str">
        <f>IF($E1322="","",N(INDEX(资金日记账!$N$4:$S$603,207,2)))</f>
        <v/>
      </c>
      <c r="I1322" s="27" t="str">
        <f>IF($E1322="","",N(INDEX(资金日记账!$N$4:$S$603,207,3)))</f>
        <v/>
      </c>
      <c r="J1322" s="26" t="str">
        <f>IF($E1322="","",INDEX(资金日记账!$E$4:$E$603,207))</f>
        <v/>
      </c>
      <c r="K1322" s="26" t="str">
        <f>IF($E1322="","",INDEX(资金日记账!$F$4:$F$603,207))</f>
        <v/>
      </c>
      <c r="L1322" s="32" t="str">
        <f>IF($E1322="","",INDEX(资金日记账!$X$4:$X$603,207))</f>
        <v/>
      </c>
      <c r="M1322" s="32"/>
      <c r="N1322" s="26" t="str">
        <f>IF($E1322="","",INDEX(资金日记账!$Y$4:$Y$603,207))</f>
        <v/>
      </c>
      <c r="O1322" s="26" t="str">
        <f t="shared" si="72"/>
        <v/>
      </c>
      <c r="P1322" s="10"/>
    </row>
    <row r="1323" ht="18" customHeight="1" spans="1:16">
      <c r="A1323" s="32" t="str">
        <f t="shared" si="71"/>
        <v/>
      </c>
      <c r="B1323" s="100" t="str">
        <f>IF($E1323="","",INDEX(资金日记账!$B$4:$B$603,207))</f>
        <v/>
      </c>
      <c r="C1323" s="26" t="str">
        <f>IF($E1323="","",IF(INDEX(资金日记账!$W$4:$W$603,207)="","记-"&amp;TEXT($B1323,"YYYYMM")&amp;"-资金",INDEX(资金日记账!$W$4:$W$603,207)))</f>
        <v/>
      </c>
      <c r="D1323" s="32" t="str">
        <f>IF($E1323="","",INDEX(资金日记账!$D$4:$D$603,207))</f>
        <v/>
      </c>
      <c r="E1323" s="26" t="str">
        <f>IF(INDEX(资金日记账!$N$4:$S$603,207,4)=0,"",INDEX(资金日记账!$N$4:$S$603,207,4))</f>
        <v/>
      </c>
      <c r="F1323" s="25" t="str">
        <f>IF($E1323="","",IFERROR(INDEX(科目表!$A$4:$A$81,MATCH($E1323,科目表!$B$4:$B$81,0)),""))</f>
        <v/>
      </c>
      <c r="G1323" s="26" t="str">
        <f>IF($E1323="","",IFERROR(INDEX(科目表!$E$4:$E$81,MATCH($E1323,科目表!$B$4:$B$81,0)),""))</f>
        <v/>
      </c>
      <c r="H1323" s="27" t="str">
        <f>IF($E1323="","",N(INDEX(资金日记账!$N$4:$S$603,207,5)))</f>
        <v/>
      </c>
      <c r="I1323" s="27" t="str">
        <f>IF($E1323="","",N(INDEX(资金日记账!$N$4:$S$603,207,6)))</f>
        <v/>
      </c>
      <c r="J1323" s="26" t="str">
        <f>IF($E1323="","",INDEX(资金日记账!$E$4:$E$603,207))</f>
        <v/>
      </c>
      <c r="K1323" s="26" t="str">
        <f>IF($E1323="","",INDEX(资金日记账!$F$4:$F$603,207))</f>
        <v/>
      </c>
      <c r="L1323" s="32" t="str">
        <f>IF($E1323="","",INDEX(资金日记账!$X$4:$X$603,207))</f>
        <v/>
      </c>
      <c r="M1323" s="32"/>
      <c r="N1323" s="26" t="str">
        <f>IF($E1323="","",INDEX(资金日记账!$Y$4:$Y$603,207))</f>
        <v/>
      </c>
      <c r="O1323" s="26" t="str">
        <f t="shared" si="72"/>
        <v/>
      </c>
      <c r="P1323" s="10"/>
    </row>
    <row r="1324" ht="18" customHeight="1" spans="1:16">
      <c r="A1324" s="32" t="str">
        <f t="shared" si="71"/>
        <v/>
      </c>
      <c r="B1324" s="100" t="str">
        <f>IF($E1324="","",INDEX(资金日记账!$B$4:$B$603,208))</f>
        <v/>
      </c>
      <c r="C1324" s="26" t="str">
        <f>IF($E1324="","",IF(INDEX(资金日记账!$W$4:$W$603,208)="","记-"&amp;TEXT($B1324,"YYYYMM")&amp;"-资金",INDEX(资金日记账!$W$4:$W$603,208)))</f>
        <v/>
      </c>
      <c r="D1324" s="32" t="str">
        <f>IF($E1324="","",INDEX(资金日记账!$D$4:$D$603,208))</f>
        <v/>
      </c>
      <c r="E1324" s="26" t="str">
        <f>IF(INDEX(资金日记账!$N$4:$S$603,208,1)=0,"",INDEX(资金日记账!$N$4:$S$603,208,1))</f>
        <v/>
      </c>
      <c r="F1324" s="25" t="str">
        <f>IF($E1324="","",IFERROR(INDEX(科目表!$A$4:$A$81,MATCH($E1324,科目表!$B$4:$B$81,0)),""))</f>
        <v/>
      </c>
      <c r="G1324" s="26" t="str">
        <f>IF($E1324="","",IFERROR(INDEX(科目表!$E$4:$E$81,MATCH($E1324,科目表!$B$4:$B$81,0)),""))</f>
        <v/>
      </c>
      <c r="H1324" s="27" t="str">
        <f>IF($E1324="","",N(INDEX(资金日记账!$N$4:$S$603,208,2)))</f>
        <v/>
      </c>
      <c r="I1324" s="27" t="str">
        <f>IF($E1324="","",N(INDEX(资金日记账!$N$4:$S$603,208,3)))</f>
        <v/>
      </c>
      <c r="J1324" s="26" t="str">
        <f>IF($E1324="","",INDEX(资金日记账!$E$4:$E$603,208))</f>
        <v/>
      </c>
      <c r="K1324" s="26" t="str">
        <f>IF($E1324="","",INDEX(资金日记账!$F$4:$F$603,208))</f>
        <v/>
      </c>
      <c r="L1324" s="32" t="str">
        <f>IF($E1324="","",INDEX(资金日记账!$X$4:$X$603,208))</f>
        <v/>
      </c>
      <c r="M1324" s="32"/>
      <c r="N1324" s="26" t="str">
        <f>IF($E1324="","",INDEX(资金日记账!$Y$4:$Y$603,208))</f>
        <v/>
      </c>
      <c r="O1324" s="26" t="str">
        <f t="shared" si="72"/>
        <v/>
      </c>
      <c r="P1324" s="10"/>
    </row>
    <row r="1325" ht="18" customHeight="1" spans="1:16">
      <c r="A1325" s="32" t="str">
        <f t="shared" si="71"/>
        <v/>
      </c>
      <c r="B1325" s="100" t="str">
        <f>IF($E1325="","",INDEX(资金日记账!$B$4:$B$603,208))</f>
        <v/>
      </c>
      <c r="C1325" s="26" t="str">
        <f>IF($E1325="","",IF(INDEX(资金日记账!$W$4:$W$603,208)="","记-"&amp;TEXT($B1325,"YYYYMM")&amp;"-资金",INDEX(资金日记账!$W$4:$W$603,208)))</f>
        <v/>
      </c>
      <c r="D1325" s="32" t="str">
        <f>IF($E1325="","",INDEX(资金日记账!$D$4:$D$603,208))</f>
        <v/>
      </c>
      <c r="E1325" s="26" t="str">
        <f>IF(INDEX(资金日记账!$N$4:$S$603,208,4)=0,"",INDEX(资金日记账!$N$4:$S$603,208,4))</f>
        <v/>
      </c>
      <c r="F1325" s="25" t="str">
        <f>IF($E1325="","",IFERROR(INDEX(科目表!$A$4:$A$81,MATCH($E1325,科目表!$B$4:$B$81,0)),""))</f>
        <v/>
      </c>
      <c r="G1325" s="26" t="str">
        <f>IF($E1325="","",IFERROR(INDEX(科目表!$E$4:$E$81,MATCH($E1325,科目表!$B$4:$B$81,0)),""))</f>
        <v/>
      </c>
      <c r="H1325" s="27" t="str">
        <f>IF($E1325="","",N(INDEX(资金日记账!$N$4:$S$603,208,5)))</f>
        <v/>
      </c>
      <c r="I1325" s="27" t="str">
        <f>IF($E1325="","",N(INDEX(资金日记账!$N$4:$S$603,208,6)))</f>
        <v/>
      </c>
      <c r="J1325" s="26" t="str">
        <f>IF($E1325="","",INDEX(资金日记账!$E$4:$E$603,208))</f>
        <v/>
      </c>
      <c r="K1325" s="26" t="str">
        <f>IF($E1325="","",INDEX(资金日记账!$F$4:$F$603,208))</f>
        <v/>
      </c>
      <c r="L1325" s="32" t="str">
        <f>IF($E1325="","",INDEX(资金日记账!$X$4:$X$603,208))</f>
        <v/>
      </c>
      <c r="M1325" s="32"/>
      <c r="N1325" s="26" t="str">
        <f>IF($E1325="","",INDEX(资金日记账!$Y$4:$Y$603,208))</f>
        <v/>
      </c>
      <c r="O1325" s="26" t="str">
        <f t="shared" si="72"/>
        <v/>
      </c>
      <c r="P1325" s="10"/>
    </row>
    <row r="1326" ht="18" customHeight="1" spans="1:16">
      <c r="A1326" s="32" t="str">
        <f t="shared" si="71"/>
        <v/>
      </c>
      <c r="B1326" s="100" t="str">
        <f>IF($E1326="","",INDEX(资金日记账!$B$4:$B$603,209))</f>
        <v/>
      </c>
      <c r="C1326" s="26" t="str">
        <f>IF($E1326="","",IF(INDEX(资金日记账!$W$4:$W$603,209)="","记-"&amp;TEXT($B1326,"YYYYMM")&amp;"-资金",INDEX(资金日记账!$W$4:$W$603,209)))</f>
        <v/>
      </c>
      <c r="D1326" s="32" t="str">
        <f>IF($E1326="","",INDEX(资金日记账!$D$4:$D$603,209))</f>
        <v/>
      </c>
      <c r="E1326" s="26" t="str">
        <f>IF(INDEX(资金日记账!$N$4:$S$603,209,1)=0,"",INDEX(资金日记账!$N$4:$S$603,209,1))</f>
        <v/>
      </c>
      <c r="F1326" s="25" t="str">
        <f>IF($E1326="","",IFERROR(INDEX(科目表!$A$4:$A$81,MATCH($E1326,科目表!$B$4:$B$81,0)),""))</f>
        <v/>
      </c>
      <c r="G1326" s="26" t="str">
        <f>IF($E1326="","",IFERROR(INDEX(科目表!$E$4:$E$81,MATCH($E1326,科目表!$B$4:$B$81,0)),""))</f>
        <v/>
      </c>
      <c r="H1326" s="27" t="str">
        <f>IF($E1326="","",N(INDEX(资金日记账!$N$4:$S$603,209,2)))</f>
        <v/>
      </c>
      <c r="I1326" s="27" t="str">
        <f>IF($E1326="","",N(INDEX(资金日记账!$N$4:$S$603,209,3)))</f>
        <v/>
      </c>
      <c r="J1326" s="26" t="str">
        <f>IF($E1326="","",INDEX(资金日记账!$E$4:$E$603,209))</f>
        <v/>
      </c>
      <c r="K1326" s="26" t="str">
        <f>IF($E1326="","",INDEX(资金日记账!$F$4:$F$603,209))</f>
        <v/>
      </c>
      <c r="L1326" s="32" t="str">
        <f>IF($E1326="","",INDEX(资金日记账!$X$4:$X$603,209))</f>
        <v/>
      </c>
      <c r="M1326" s="32"/>
      <c r="N1326" s="26" t="str">
        <f>IF($E1326="","",INDEX(资金日记账!$Y$4:$Y$603,209))</f>
        <v/>
      </c>
      <c r="O1326" s="26" t="str">
        <f t="shared" si="72"/>
        <v/>
      </c>
      <c r="P1326" s="10"/>
    </row>
    <row r="1327" ht="18" customHeight="1" spans="1:16">
      <c r="A1327" s="32" t="str">
        <f t="shared" si="71"/>
        <v/>
      </c>
      <c r="B1327" s="100" t="str">
        <f>IF($E1327="","",INDEX(资金日记账!$B$4:$B$603,209))</f>
        <v/>
      </c>
      <c r="C1327" s="26" t="str">
        <f>IF($E1327="","",IF(INDEX(资金日记账!$W$4:$W$603,209)="","记-"&amp;TEXT($B1327,"YYYYMM")&amp;"-资金",INDEX(资金日记账!$W$4:$W$603,209)))</f>
        <v/>
      </c>
      <c r="D1327" s="32" t="str">
        <f>IF($E1327="","",INDEX(资金日记账!$D$4:$D$603,209))</f>
        <v/>
      </c>
      <c r="E1327" s="26" t="str">
        <f>IF(INDEX(资金日记账!$N$4:$S$603,209,4)=0,"",INDEX(资金日记账!$N$4:$S$603,209,4))</f>
        <v/>
      </c>
      <c r="F1327" s="25" t="str">
        <f>IF($E1327="","",IFERROR(INDEX(科目表!$A$4:$A$81,MATCH($E1327,科目表!$B$4:$B$81,0)),""))</f>
        <v/>
      </c>
      <c r="G1327" s="26" t="str">
        <f>IF($E1327="","",IFERROR(INDEX(科目表!$E$4:$E$81,MATCH($E1327,科目表!$B$4:$B$81,0)),""))</f>
        <v/>
      </c>
      <c r="H1327" s="27" t="str">
        <f>IF($E1327="","",N(INDEX(资金日记账!$N$4:$S$603,209,5)))</f>
        <v/>
      </c>
      <c r="I1327" s="27" t="str">
        <f>IF($E1327="","",N(INDEX(资金日记账!$N$4:$S$603,209,6)))</f>
        <v/>
      </c>
      <c r="J1327" s="26" t="str">
        <f>IF($E1327="","",INDEX(资金日记账!$E$4:$E$603,209))</f>
        <v/>
      </c>
      <c r="K1327" s="26" t="str">
        <f>IF($E1327="","",INDEX(资金日记账!$F$4:$F$603,209))</f>
        <v/>
      </c>
      <c r="L1327" s="32" t="str">
        <f>IF($E1327="","",INDEX(资金日记账!$X$4:$X$603,209))</f>
        <v/>
      </c>
      <c r="M1327" s="32"/>
      <c r="N1327" s="26" t="str">
        <f>IF($E1327="","",INDEX(资金日记账!$Y$4:$Y$603,209))</f>
        <v/>
      </c>
      <c r="O1327" s="26" t="str">
        <f t="shared" si="72"/>
        <v/>
      </c>
      <c r="P1327" s="10"/>
    </row>
    <row r="1328" ht="18" customHeight="1" spans="1:16">
      <c r="A1328" s="32" t="str">
        <f t="shared" si="71"/>
        <v/>
      </c>
      <c r="B1328" s="100" t="str">
        <f>IF($E1328="","",INDEX(资金日记账!$B$4:$B$603,210))</f>
        <v/>
      </c>
      <c r="C1328" s="26" t="str">
        <f>IF($E1328="","",IF(INDEX(资金日记账!$W$4:$W$603,210)="","记-"&amp;TEXT($B1328,"YYYYMM")&amp;"-资金",INDEX(资金日记账!$W$4:$W$603,210)))</f>
        <v/>
      </c>
      <c r="D1328" s="32" t="str">
        <f>IF($E1328="","",INDEX(资金日记账!$D$4:$D$603,210))</f>
        <v/>
      </c>
      <c r="E1328" s="26" t="str">
        <f>IF(INDEX(资金日记账!$N$4:$S$603,210,1)=0,"",INDEX(资金日记账!$N$4:$S$603,210,1))</f>
        <v/>
      </c>
      <c r="F1328" s="25" t="str">
        <f>IF($E1328="","",IFERROR(INDEX(科目表!$A$4:$A$81,MATCH($E1328,科目表!$B$4:$B$81,0)),""))</f>
        <v/>
      </c>
      <c r="G1328" s="26" t="str">
        <f>IF($E1328="","",IFERROR(INDEX(科目表!$E$4:$E$81,MATCH($E1328,科目表!$B$4:$B$81,0)),""))</f>
        <v/>
      </c>
      <c r="H1328" s="27" t="str">
        <f>IF($E1328="","",N(INDEX(资金日记账!$N$4:$S$603,210,2)))</f>
        <v/>
      </c>
      <c r="I1328" s="27" t="str">
        <f>IF($E1328="","",N(INDEX(资金日记账!$N$4:$S$603,210,3)))</f>
        <v/>
      </c>
      <c r="J1328" s="26" t="str">
        <f>IF($E1328="","",INDEX(资金日记账!$E$4:$E$603,210))</f>
        <v/>
      </c>
      <c r="K1328" s="26" t="str">
        <f>IF($E1328="","",INDEX(资金日记账!$F$4:$F$603,210))</f>
        <v/>
      </c>
      <c r="L1328" s="32" t="str">
        <f>IF($E1328="","",INDEX(资金日记账!$X$4:$X$603,210))</f>
        <v/>
      </c>
      <c r="M1328" s="32"/>
      <c r="N1328" s="26" t="str">
        <f>IF($E1328="","",INDEX(资金日记账!$Y$4:$Y$603,210))</f>
        <v/>
      </c>
      <c r="O1328" s="26" t="str">
        <f t="shared" si="72"/>
        <v/>
      </c>
      <c r="P1328" s="10"/>
    </row>
    <row r="1329" ht="18" customHeight="1" spans="1:16">
      <c r="A1329" s="32" t="str">
        <f t="shared" si="71"/>
        <v/>
      </c>
      <c r="B1329" s="100" t="str">
        <f>IF($E1329="","",INDEX(资金日记账!$B$4:$B$603,210))</f>
        <v/>
      </c>
      <c r="C1329" s="26" t="str">
        <f>IF($E1329="","",IF(INDEX(资金日记账!$W$4:$W$603,210)="","记-"&amp;TEXT($B1329,"YYYYMM")&amp;"-资金",INDEX(资金日记账!$W$4:$W$603,210)))</f>
        <v/>
      </c>
      <c r="D1329" s="32" t="str">
        <f>IF($E1329="","",INDEX(资金日记账!$D$4:$D$603,210))</f>
        <v/>
      </c>
      <c r="E1329" s="26" t="str">
        <f>IF(INDEX(资金日记账!$N$4:$S$603,210,4)=0,"",INDEX(资金日记账!$N$4:$S$603,210,4))</f>
        <v/>
      </c>
      <c r="F1329" s="25" t="str">
        <f>IF($E1329="","",IFERROR(INDEX(科目表!$A$4:$A$81,MATCH($E1329,科目表!$B$4:$B$81,0)),""))</f>
        <v/>
      </c>
      <c r="G1329" s="26" t="str">
        <f>IF($E1329="","",IFERROR(INDEX(科目表!$E$4:$E$81,MATCH($E1329,科目表!$B$4:$B$81,0)),""))</f>
        <v/>
      </c>
      <c r="H1329" s="27" t="str">
        <f>IF($E1329="","",N(INDEX(资金日记账!$N$4:$S$603,210,5)))</f>
        <v/>
      </c>
      <c r="I1329" s="27" t="str">
        <f>IF($E1329="","",N(INDEX(资金日记账!$N$4:$S$603,210,6)))</f>
        <v/>
      </c>
      <c r="J1329" s="26" t="str">
        <f>IF($E1329="","",INDEX(资金日记账!$E$4:$E$603,210))</f>
        <v/>
      </c>
      <c r="K1329" s="26" t="str">
        <f>IF($E1329="","",INDEX(资金日记账!$F$4:$F$603,210))</f>
        <v/>
      </c>
      <c r="L1329" s="32" t="str">
        <f>IF($E1329="","",INDEX(资金日记账!$X$4:$X$603,210))</f>
        <v/>
      </c>
      <c r="M1329" s="32"/>
      <c r="N1329" s="26" t="str">
        <f>IF($E1329="","",INDEX(资金日记账!$Y$4:$Y$603,210))</f>
        <v/>
      </c>
      <c r="O1329" s="26" t="str">
        <f t="shared" si="72"/>
        <v/>
      </c>
      <c r="P1329" s="10"/>
    </row>
    <row r="1330" ht="18" customHeight="1" spans="1:16">
      <c r="A1330" s="32" t="str">
        <f t="shared" si="71"/>
        <v/>
      </c>
      <c r="B1330" s="100" t="str">
        <f>IF($E1330="","",INDEX(资金日记账!$B$4:$B$603,211))</f>
        <v/>
      </c>
      <c r="C1330" s="26" t="str">
        <f>IF($E1330="","",IF(INDEX(资金日记账!$W$4:$W$603,211)="","记-"&amp;TEXT($B1330,"YYYYMM")&amp;"-资金",INDEX(资金日记账!$W$4:$W$603,211)))</f>
        <v/>
      </c>
      <c r="D1330" s="32" t="str">
        <f>IF($E1330="","",INDEX(资金日记账!$D$4:$D$603,211))</f>
        <v/>
      </c>
      <c r="E1330" s="26" t="str">
        <f>IF(INDEX(资金日记账!$N$4:$S$603,211,1)=0,"",INDEX(资金日记账!$N$4:$S$603,211,1))</f>
        <v/>
      </c>
      <c r="F1330" s="25" t="str">
        <f>IF($E1330="","",IFERROR(INDEX(科目表!$A$4:$A$81,MATCH($E1330,科目表!$B$4:$B$81,0)),""))</f>
        <v/>
      </c>
      <c r="G1330" s="26" t="str">
        <f>IF($E1330="","",IFERROR(INDEX(科目表!$E$4:$E$81,MATCH($E1330,科目表!$B$4:$B$81,0)),""))</f>
        <v/>
      </c>
      <c r="H1330" s="27" t="str">
        <f>IF($E1330="","",N(INDEX(资金日记账!$N$4:$S$603,211,2)))</f>
        <v/>
      </c>
      <c r="I1330" s="27" t="str">
        <f>IF($E1330="","",N(INDEX(资金日记账!$N$4:$S$603,211,3)))</f>
        <v/>
      </c>
      <c r="J1330" s="26" t="str">
        <f>IF($E1330="","",INDEX(资金日记账!$E$4:$E$603,211))</f>
        <v/>
      </c>
      <c r="K1330" s="26" t="str">
        <f>IF($E1330="","",INDEX(资金日记账!$F$4:$F$603,211))</f>
        <v/>
      </c>
      <c r="L1330" s="32" t="str">
        <f>IF($E1330="","",INDEX(资金日记账!$X$4:$X$603,211))</f>
        <v/>
      </c>
      <c r="M1330" s="32"/>
      <c r="N1330" s="26" t="str">
        <f>IF($E1330="","",INDEX(资金日记账!$Y$4:$Y$603,211))</f>
        <v/>
      </c>
      <c r="O1330" s="26" t="str">
        <f t="shared" si="72"/>
        <v/>
      </c>
      <c r="P1330" s="10"/>
    </row>
    <row r="1331" ht="18" customHeight="1" spans="1:16">
      <c r="A1331" s="32" t="str">
        <f t="shared" si="71"/>
        <v/>
      </c>
      <c r="B1331" s="100" t="str">
        <f>IF($E1331="","",INDEX(资金日记账!$B$4:$B$603,211))</f>
        <v/>
      </c>
      <c r="C1331" s="26" t="str">
        <f>IF($E1331="","",IF(INDEX(资金日记账!$W$4:$W$603,211)="","记-"&amp;TEXT($B1331,"YYYYMM")&amp;"-资金",INDEX(资金日记账!$W$4:$W$603,211)))</f>
        <v/>
      </c>
      <c r="D1331" s="32" t="str">
        <f>IF($E1331="","",INDEX(资金日记账!$D$4:$D$603,211))</f>
        <v/>
      </c>
      <c r="E1331" s="26" t="str">
        <f>IF(INDEX(资金日记账!$N$4:$S$603,211,4)=0,"",INDEX(资金日记账!$N$4:$S$603,211,4))</f>
        <v/>
      </c>
      <c r="F1331" s="25" t="str">
        <f>IF($E1331="","",IFERROR(INDEX(科目表!$A$4:$A$81,MATCH($E1331,科目表!$B$4:$B$81,0)),""))</f>
        <v/>
      </c>
      <c r="G1331" s="26" t="str">
        <f>IF($E1331="","",IFERROR(INDEX(科目表!$E$4:$E$81,MATCH($E1331,科目表!$B$4:$B$81,0)),""))</f>
        <v/>
      </c>
      <c r="H1331" s="27" t="str">
        <f>IF($E1331="","",N(INDEX(资金日记账!$N$4:$S$603,211,5)))</f>
        <v/>
      </c>
      <c r="I1331" s="27" t="str">
        <f>IF($E1331="","",N(INDEX(资金日记账!$N$4:$S$603,211,6)))</f>
        <v/>
      </c>
      <c r="J1331" s="26" t="str">
        <f>IF($E1331="","",INDEX(资金日记账!$E$4:$E$603,211))</f>
        <v/>
      </c>
      <c r="K1331" s="26" t="str">
        <f>IF($E1331="","",INDEX(资金日记账!$F$4:$F$603,211))</f>
        <v/>
      </c>
      <c r="L1331" s="32" t="str">
        <f>IF($E1331="","",INDEX(资金日记账!$X$4:$X$603,211))</f>
        <v/>
      </c>
      <c r="M1331" s="32"/>
      <c r="N1331" s="26" t="str">
        <f>IF($E1331="","",INDEX(资金日记账!$Y$4:$Y$603,211))</f>
        <v/>
      </c>
      <c r="O1331" s="26" t="str">
        <f t="shared" si="72"/>
        <v/>
      </c>
      <c r="P1331" s="10"/>
    </row>
    <row r="1332" ht="18" customHeight="1" spans="1:16">
      <c r="A1332" s="32" t="str">
        <f t="shared" si="71"/>
        <v/>
      </c>
      <c r="B1332" s="100" t="str">
        <f>IF($E1332="","",INDEX(资金日记账!$B$4:$B$603,212))</f>
        <v/>
      </c>
      <c r="C1332" s="26" t="str">
        <f>IF($E1332="","",IF(INDEX(资金日记账!$W$4:$W$603,212)="","记-"&amp;TEXT($B1332,"YYYYMM")&amp;"-资金",INDEX(资金日记账!$W$4:$W$603,212)))</f>
        <v/>
      </c>
      <c r="D1332" s="32" t="str">
        <f>IF($E1332="","",INDEX(资金日记账!$D$4:$D$603,212))</f>
        <v/>
      </c>
      <c r="E1332" s="26" t="str">
        <f>IF(INDEX(资金日记账!$N$4:$S$603,212,1)=0,"",INDEX(资金日记账!$N$4:$S$603,212,1))</f>
        <v/>
      </c>
      <c r="F1332" s="25" t="str">
        <f>IF($E1332="","",IFERROR(INDEX(科目表!$A$4:$A$81,MATCH($E1332,科目表!$B$4:$B$81,0)),""))</f>
        <v/>
      </c>
      <c r="G1332" s="26" t="str">
        <f>IF($E1332="","",IFERROR(INDEX(科目表!$E$4:$E$81,MATCH($E1332,科目表!$B$4:$B$81,0)),""))</f>
        <v/>
      </c>
      <c r="H1332" s="27" t="str">
        <f>IF($E1332="","",N(INDEX(资金日记账!$N$4:$S$603,212,2)))</f>
        <v/>
      </c>
      <c r="I1332" s="27" t="str">
        <f>IF($E1332="","",N(INDEX(资金日记账!$N$4:$S$603,212,3)))</f>
        <v/>
      </c>
      <c r="J1332" s="26" t="str">
        <f>IF($E1332="","",INDEX(资金日记账!$E$4:$E$603,212))</f>
        <v/>
      </c>
      <c r="K1332" s="26" t="str">
        <f>IF($E1332="","",INDEX(资金日记账!$F$4:$F$603,212))</f>
        <v/>
      </c>
      <c r="L1332" s="32" t="str">
        <f>IF($E1332="","",INDEX(资金日记账!$X$4:$X$603,212))</f>
        <v/>
      </c>
      <c r="M1332" s="32"/>
      <c r="N1332" s="26" t="str">
        <f>IF($E1332="","",INDEX(资金日记账!$Y$4:$Y$603,212))</f>
        <v/>
      </c>
      <c r="O1332" s="26" t="str">
        <f t="shared" si="72"/>
        <v/>
      </c>
      <c r="P1332" s="10"/>
    </row>
    <row r="1333" ht="18" customHeight="1" spans="1:16">
      <c r="A1333" s="32" t="str">
        <f t="shared" si="71"/>
        <v/>
      </c>
      <c r="B1333" s="100" t="str">
        <f>IF($E1333="","",INDEX(资金日记账!$B$4:$B$603,212))</f>
        <v/>
      </c>
      <c r="C1333" s="26" t="str">
        <f>IF($E1333="","",IF(INDEX(资金日记账!$W$4:$W$603,212)="","记-"&amp;TEXT($B1333,"YYYYMM")&amp;"-资金",INDEX(资金日记账!$W$4:$W$603,212)))</f>
        <v/>
      </c>
      <c r="D1333" s="32" t="str">
        <f>IF($E1333="","",INDEX(资金日记账!$D$4:$D$603,212))</f>
        <v/>
      </c>
      <c r="E1333" s="26" t="str">
        <f>IF(INDEX(资金日记账!$N$4:$S$603,212,4)=0,"",INDEX(资金日记账!$N$4:$S$603,212,4))</f>
        <v/>
      </c>
      <c r="F1333" s="25" t="str">
        <f>IF($E1333="","",IFERROR(INDEX(科目表!$A$4:$A$81,MATCH($E1333,科目表!$B$4:$B$81,0)),""))</f>
        <v/>
      </c>
      <c r="G1333" s="26" t="str">
        <f>IF($E1333="","",IFERROR(INDEX(科目表!$E$4:$E$81,MATCH($E1333,科目表!$B$4:$B$81,0)),""))</f>
        <v/>
      </c>
      <c r="H1333" s="27" t="str">
        <f>IF($E1333="","",N(INDEX(资金日记账!$N$4:$S$603,212,5)))</f>
        <v/>
      </c>
      <c r="I1333" s="27" t="str">
        <f>IF($E1333="","",N(INDEX(资金日记账!$N$4:$S$603,212,6)))</f>
        <v/>
      </c>
      <c r="J1333" s="26" t="str">
        <f>IF($E1333="","",INDEX(资金日记账!$E$4:$E$603,212))</f>
        <v/>
      </c>
      <c r="K1333" s="26" t="str">
        <f>IF($E1333="","",INDEX(资金日记账!$F$4:$F$603,212))</f>
        <v/>
      </c>
      <c r="L1333" s="32" t="str">
        <f>IF($E1333="","",INDEX(资金日记账!$X$4:$X$603,212))</f>
        <v/>
      </c>
      <c r="M1333" s="32"/>
      <c r="N1333" s="26" t="str">
        <f>IF($E1333="","",INDEX(资金日记账!$Y$4:$Y$603,212))</f>
        <v/>
      </c>
      <c r="O1333" s="26" t="str">
        <f t="shared" si="72"/>
        <v/>
      </c>
      <c r="P1333" s="10"/>
    </row>
    <row r="1334" ht="18" customHeight="1" spans="1:16">
      <c r="A1334" s="32" t="str">
        <f t="shared" si="71"/>
        <v/>
      </c>
      <c r="B1334" s="100" t="str">
        <f>IF($E1334="","",INDEX(资金日记账!$B$4:$B$603,213))</f>
        <v/>
      </c>
      <c r="C1334" s="26" t="str">
        <f>IF($E1334="","",IF(INDEX(资金日记账!$W$4:$W$603,213)="","记-"&amp;TEXT($B1334,"YYYYMM")&amp;"-资金",INDEX(资金日记账!$W$4:$W$603,213)))</f>
        <v/>
      </c>
      <c r="D1334" s="32" t="str">
        <f>IF($E1334="","",INDEX(资金日记账!$D$4:$D$603,213))</f>
        <v/>
      </c>
      <c r="E1334" s="26" t="str">
        <f>IF(INDEX(资金日记账!$N$4:$S$603,213,1)=0,"",INDEX(资金日记账!$N$4:$S$603,213,1))</f>
        <v/>
      </c>
      <c r="F1334" s="25" t="str">
        <f>IF($E1334="","",IFERROR(INDEX(科目表!$A$4:$A$81,MATCH($E1334,科目表!$B$4:$B$81,0)),""))</f>
        <v/>
      </c>
      <c r="G1334" s="26" t="str">
        <f>IF($E1334="","",IFERROR(INDEX(科目表!$E$4:$E$81,MATCH($E1334,科目表!$B$4:$B$81,0)),""))</f>
        <v/>
      </c>
      <c r="H1334" s="27" t="str">
        <f>IF($E1334="","",N(INDEX(资金日记账!$N$4:$S$603,213,2)))</f>
        <v/>
      </c>
      <c r="I1334" s="27" t="str">
        <f>IF($E1334="","",N(INDEX(资金日记账!$N$4:$S$603,213,3)))</f>
        <v/>
      </c>
      <c r="J1334" s="26" t="str">
        <f>IF($E1334="","",INDEX(资金日记账!$E$4:$E$603,213))</f>
        <v/>
      </c>
      <c r="K1334" s="26" t="str">
        <f>IF($E1334="","",INDEX(资金日记账!$F$4:$F$603,213))</f>
        <v/>
      </c>
      <c r="L1334" s="32" t="str">
        <f>IF($E1334="","",INDEX(资金日记账!$X$4:$X$603,213))</f>
        <v/>
      </c>
      <c r="M1334" s="32"/>
      <c r="N1334" s="26" t="str">
        <f>IF($E1334="","",INDEX(资金日记账!$Y$4:$Y$603,213))</f>
        <v/>
      </c>
      <c r="O1334" s="26" t="str">
        <f t="shared" si="72"/>
        <v/>
      </c>
      <c r="P1334" s="10"/>
    </row>
    <row r="1335" ht="18" customHeight="1" spans="1:16">
      <c r="A1335" s="32" t="str">
        <f t="shared" si="71"/>
        <v/>
      </c>
      <c r="B1335" s="100" t="str">
        <f>IF($E1335="","",INDEX(资金日记账!$B$4:$B$603,213))</f>
        <v/>
      </c>
      <c r="C1335" s="26" t="str">
        <f>IF($E1335="","",IF(INDEX(资金日记账!$W$4:$W$603,213)="","记-"&amp;TEXT($B1335,"YYYYMM")&amp;"-资金",INDEX(资金日记账!$W$4:$W$603,213)))</f>
        <v/>
      </c>
      <c r="D1335" s="32" t="str">
        <f>IF($E1335="","",INDEX(资金日记账!$D$4:$D$603,213))</f>
        <v/>
      </c>
      <c r="E1335" s="26" t="str">
        <f>IF(INDEX(资金日记账!$N$4:$S$603,213,4)=0,"",INDEX(资金日记账!$N$4:$S$603,213,4))</f>
        <v/>
      </c>
      <c r="F1335" s="25" t="str">
        <f>IF($E1335="","",IFERROR(INDEX(科目表!$A$4:$A$81,MATCH($E1335,科目表!$B$4:$B$81,0)),""))</f>
        <v/>
      </c>
      <c r="G1335" s="26" t="str">
        <f>IF($E1335="","",IFERROR(INDEX(科目表!$E$4:$E$81,MATCH($E1335,科目表!$B$4:$B$81,0)),""))</f>
        <v/>
      </c>
      <c r="H1335" s="27" t="str">
        <f>IF($E1335="","",N(INDEX(资金日记账!$N$4:$S$603,213,5)))</f>
        <v/>
      </c>
      <c r="I1335" s="27" t="str">
        <f>IF($E1335="","",N(INDEX(资金日记账!$N$4:$S$603,213,6)))</f>
        <v/>
      </c>
      <c r="J1335" s="26" t="str">
        <f>IF($E1335="","",INDEX(资金日记账!$E$4:$E$603,213))</f>
        <v/>
      </c>
      <c r="K1335" s="26" t="str">
        <f>IF($E1335="","",INDEX(资金日记账!$F$4:$F$603,213))</f>
        <v/>
      </c>
      <c r="L1335" s="32" t="str">
        <f>IF($E1335="","",INDEX(资金日记账!$X$4:$X$603,213))</f>
        <v/>
      </c>
      <c r="M1335" s="32"/>
      <c r="N1335" s="26" t="str">
        <f>IF($E1335="","",INDEX(资金日记账!$Y$4:$Y$603,213))</f>
        <v/>
      </c>
      <c r="O1335" s="26" t="str">
        <f t="shared" si="72"/>
        <v/>
      </c>
      <c r="P1335" s="10"/>
    </row>
    <row r="1336" ht="18" customHeight="1" spans="1:16">
      <c r="A1336" s="32" t="str">
        <f t="shared" si="71"/>
        <v/>
      </c>
      <c r="B1336" s="100" t="str">
        <f>IF($E1336="","",INDEX(资金日记账!$B$4:$B$603,214))</f>
        <v/>
      </c>
      <c r="C1336" s="26" t="str">
        <f>IF($E1336="","",IF(INDEX(资金日记账!$W$4:$W$603,214)="","记-"&amp;TEXT($B1336,"YYYYMM")&amp;"-资金",INDEX(资金日记账!$W$4:$W$603,214)))</f>
        <v/>
      </c>
      <c r="D1336" s="32" t="str">
        <f>IF($E1336="","",INDEX(资金日记账!$D$4:$D$603,214))</f>
        <v/>
      </c>
      <c r="E1336" s="26" t="str">
        <f>IF(INDEX(资金日记账!$N$4:$S$603,214,1)=0,"",INDEX(资金日记账!$N$4:$S$603,214,1))</f>
        <v/>
      </c>
      <c r="F1336" s="25" t="str">
        <f>IF($E1336="","",IFERROR(INDEX(科目表!$A$4:$A$81,MATCH($E1336,科目表!$B$4:$B$81,0)),""))</f>
        <v/>
      </c>
      <c r="G1336" s="26" t="str">
        <f>IF($E1336="","",IFERROR(INDEX(科目表!$E$4:$E$81,MATCH($E1336,科目表!$B$4:$B$81,0)),""))</f>
        <v/>
      </c>
      <c r="H1336" s="27" t="str">
        <f>IF($E1336="","",N(INDEX(资金日记账!$N$4:$S$603,214,2)))</f>
        <v/>
      </c>
      <c r="I1336" s="27" t="str">
        <f>IF($E1336="","",N(INDEX(资金日记账!$N$4:$S$603,214,3)))</f>
        <v/>
      </c>
      <c r="J1336" s="26" t="str">
        <f>IF($E1336="","",INDEX(资金日记账!$E$4:$E$603,214))</f>
        <v/>
      </c>
      <c r="K1336" s="26" t="str">
        <f>IF($E1336="","",INDEX(资金日记账!$F$4:$F$603,214))</f>
        <v/>
      </c>
      <c r="L1336" s="32" t="str">
        <f>IF($E1336="","",INDEX(资金日记账!$X$4:$X$603,214))</f>
        <v/>
      </c>
      <c r="M1336" s="32"/>
      <c r="N1336" s="26" t="str">
        <f>IF($E1336="","",INDEX(资金日记账!$Y$4:$Y$603,214))</f>
        <v/>
      </c>
      <c r="O1336" s="26" t="str">
        <f t="shared" si="72"/>
        <v/>
      </c>
      <c r="P1336" s="10"/>
    </row>
    <row r="1337" ht="18" customHeight="1" spans="1:16">
      <c r="A1337" s="32" t="str">
        <f t="shared" si="71"/>
        <v/>
      </c>
      <c r="B1337" s="100" t="str">
        <f>IF($E1337="","",INDEX(资金日记账!$B$4:$B$603,214))</f>
        <v/>
      </c>
      <c r="C1337" s="26" t="str">
        <f>IF($E1337="","",IF(INDEX(资金日记账!$W$4:$W$603,214)="","记-"&amp;TEXT($B1337,"YYYYMM")&amp;"-资金",INDEX(资金日记账!$W$4:$W$603,214)))</f>
        <v/>
      </c>
      <c r="D1337" s="32" t="str">
        <f>IF($E1337="","",INDEX(资金日记账!$D$4:$D$603,214))</f>
        <v/>
      </c>
      <c r="E1337" s="26" t="str">
        <f>IF(INDEX(资金日记账!$N$4:$S$603,214,4)=0,"",INDEX(资金日记账!$N$4:$S$603,214,4))</f>
        <v/>
      </c>
      <c r="F1337" s="25" t="str">
        <f>IF($E1337="","",IFERROR(INDEX(科目表!$A$4:$A$81,MATCH($E1337,科目表!$B$4:$B$81,0)),""))</f>
        <v/>
      </c>
      <c r="G1337" s="26" t="str">
        <f>IF($E1337="","",IFERROR(INDEX(科目表!$E$4:$E$81,MATCH($E1337,科目表!$B$4:$B$81,0)),""))</f>
        <v/>
      </c>
      <c r="H1337" s="27" t="str">
        <f>IF($E1337="","",N(INDEX(资金日记账!$N$4:$S$603,214,5)))</f>
        <v/>
      </c>
      <c r="I1337" s="27" t="str">
        <f>IF($E1337="","",N(INDEX(资金日记账!$N$4:$S$603,214,6)))</f>
        <v/>
      </c>
      <c r="J1337" s="26" t="str">
        <f>IF($E1337="","",INDEX(资金日记账!$E$4:$E$603,214))</f>
        <v/>
      </c>
      <c r="K1337" s="26" t="str">
        <f>IF($E1337="","",INDEX(资金日记账!$F$4:$F$603,214))</f>
        <v/>
      </c>
      <c r="L1337" s="32" t="str">
        <f>IF($E1337="","",INDEX(资金日记账!$X$4:$X$603,214))</f>
        <v/>
      </c>
      <c r="M1337" s="32"/>
      <c r="N1337" s="26" t="str">
        <f>IF($E1337="","",INDEX(资金日记账!$Y$4:$Y$603,214))</f>
        <v/>
      </c>
      <c r="O1337" s="26" t="str">
        <f t="shared" si="72"/>
        <v/>
      </c>
      <c r="P1337" s="10"/>
    </row>
    <row r="1338" ht="18" customHeight="1" spans="1:16">
      <c r="A1338" s="32" t="str">
        <f t="shared" si="71"/>
        <v/>
      </c>
      <c r="B1338" s="100" t="str">
        <f>IF($E1338="","",INDEX(资金日记账!$B$4:$B$603,215))</f>
        <v/>
      </c>
      <c r="C1338" s="26" t="str">
        <f>IF($E1338="","",IF(INDEX(资金日记账!$W$4:$W$603,215)="","记-"&amp;TEXT($B1338,"YYYYMM")&amp;"-资金",INDEX(资金日记账!$W$4:$W$603,215)))</f>
        <v/>
      </c>
      <c r="D1338" s="32" t="str">
        <f>IF($E1338="","",INDEX(资金日记账!$D$4:$D$603,215))</f>
        <v/>
      </c>
      <c r="E1338" s="26" t="str">
        <f>IF(INDEX(资金日记账!$N$4:$S$603,215,1)=0,"",INDEX(资金日记账!$N$4:$S$603,215,1))</f>
        <v/>
      </c>
      <c r="F1338" s="25" t="str">
        <f>IF($E1338="","",IFERROR(INDEX(科目表!$A$4:$A$81,MATCH($E1338,科目表!$B$4:$B$81,0)),""))</f>
        <v/>
      </c>
      <c r="G1338" s="26" t="str">
        <f>IF($E1338="","",IFERROR(INDEX(科目表!$E$4:$E$81,MATCH($E1338,科目表!$B$4:$B$81,0)),""))</f>
        <v/>
      </c>
      <c r="H1338" s="27" t="str">
        <f>IF($E1338="","",N(INDEX(资金日记账!$N$4:$S$603,215,2)))</f>
        <v/>
      </c>
      <c r="I1338" s="27" t="str">
        <f>IF($E1338="","",N(INDEX(资金日记账!$N$4:$S$603,215,3)))</f>
        <v/>
      </c>
      <c r="J1338" s="26" t="str">
        <f>IF($E1338="","",INDEX(资金日记账!$E$4:$E$603,215))</f>
        <v/>
      </c>
      <c r="K1338" s="26" t="str">
        <f>IF($E1338="","",INDEX(资金日记账!$F$4:$F$603,215))</f>
        <v/>
      </c>
      <c r="L1338" s="32" t="str">
        <f>IF($E1338="","",INDEX(资金日记账!$X$4:$X$603,215))</f>
        <v/>
      </c>
      <c r="M1338" s="32"/>
      <c r="N1338" s="26" t="str">
        <f>IF($E1338="","",INDEX(资金日记账!$Y$4:$Y$603,215))</f>
        <v/>
      </c>
      <c r="O1338" s="26" t="str">
        <f t="shared" si="72"/>
        <v/>
      </c>
      <c r="P1338" s="10"/>
    </row>
    <row r="1339" ht="18" customHeight="1" spans="1:16">
      <c r="A1339" s="32" t="str">
        <f t="shared" si="71"/>
        <v/>
      </c>
      <c r="B1339" s="100" t="str">
        <f>IF($E1339="","",INDEX(资金日记账!$B$4:$B$603,215))</f>
        <v/>
      </c>
      <c r="C1339" s="26" t="str">
        <f>IF($E1339="","",IF(INDEX(资金日记账!$W$4:$W$603,215)="","记-"&amp;TEXT($B1339,"YYYYMM")&amp;"-资金",INDEX(资金日记账!$W$4:$W$603,215)))</f>
        <v/>
      </c>
      <c r="D1339" s="32" t="str">
        <f>IF($E1339="","",INDEX(资金日记账!$D$4:$D$603,215))</f>
        <v/>
      </c>
      <c r="E1339" s="26" t="str">
        <f>IF(INDEX(资金日记账!$N$4:$S$603,215,4)=0,"",INDEX(资金日记账!$N$4:$S$603,215,4))</f>
        <v/>
      </c>
      <c r="F1339" s="25" t="str">
        <f>IF($E1339="","",IFERROR(INDEX(科目表!$A$4:$A$81,MATCH($E1339,科目表!$B$4:$B$81,0)),""))</f>
        <v/>
      </c>
      <c r="G1339" s="26" t="str">
        <f>IF($E1339="","",IFERROR(INDEX(科目表!$E$4:$E$81,MATCH($E1339,科目表!$B$4:$B$81,0)),""))</f>
        <v/>
      </c>
      <c r="H1339" s="27" t="str">
        <f>IF($E1339="","",N(INDEX(资金日记账!$N$4:$S$603,215,5)))</f>
        <v/>
      </c>
      <c r="I1339" s="27" t="str">
        <f>IF($E1339="","",N(INDEX(资金日记账!$N$4:$S$603,215,6)))</f>
        <v/>
      </c>
      <c r="J1339" s="26" t="str">
        <f>IF($E1339="","",INDEX(资金日记账!$E$4:$E$603,215))</f>
        <v/>
      </c>
      <c r="K1339" s="26" t="str">
        <f>IF($E1339="","",INDEX(资金日记账!$F$4:$F$603,215))</f>
        <v/>
      </c>
      <c r="L1339" s="32" t="str">
        <f>IF($E1339="","",INDEX(资金日记账!$X$4:$X$603,215))</f>
        <v/>
      </c>
      <c r="M1339" s="32"/>
      <c r="N1339" s="26" t="str">
        <f>IF($E1339="","",INDEX(资金日记账!$Y$4:$Y$603,215))</f>
        <v/>
      </c>
      <c r="O1339" s="26" t="str">
        <f t="shared" si="72"/>
        <v/>
      </c>
      <c r="P1339" s="10"/>
    </row>
    <row r="1340" ht="18" customHeight="1" spans="1:16">
      <c r="A1340" s="32" t="str">
        <f t="shared" si="71"/>
        <v/>
      </c>
      <c r="B1340" s="100" t="str">
        <f>IF($E1340="","",INDEX(资金日记账!$B$4:$B$603,216))</f>
        <v/>
      </c>
      <c r="C1340" s="26" t="str">
        <f>IF($E1340="","",IF(INDEX(资金日记账!$W$4:$W$603,216)="","记-"&amp;TEXT($B1340,"YYYYMM")&amp;"-资金",INDEX(资金日记账!$W$4:$W$603,216)))</f>
        <v/>
      </c>
      <c r="D1340" s="32" t="str">
        <f>IF($E1340="","",INDEX(资金日记账!$D$4:$D$603,216))</f>
        <v/>
      </c>
      <c r="E1340" s="26" t="str">
        <f>IF(INDEX(资金日记账!$N$4:$S$603,216,1)=0,"",INDEX(资金日记账!$N$4:$S$603,216,1))</f>
        <v/>
      </c>
      <c r="F1340" s="25" t="str">
        <f>IF($E1340="","",IFERROR(INDEX(科目表!$A$4:$A$81,MATCH($E1340,科目表!$B$4:$B$81,0)),""))</f>
        <v/>
      </c>
      <c r="G1340" s="26" t="str">
        <f>IF($E1340="","",IFERROR(INDEX(科目表!$E$4:$E$81,MATCH($E1340,科目表!$B$4:$B$81,0)),""))</f>
        <v/>
      </c>
      <c r="H1340" s="27" t="str">
        <f>IF($E1340="","",N(INDEX(资金日记账!$N$4:$S$603,216,2)))</f>
        <v/>
      </c>
      <c r="I1340" s="27" t="str">
        <f>IF($E1340="","",N(INDEX(资金日记账!$N$4:$S$603,216,3)))</f>
        <v/>
      </c>
      <c r="J1340" s="26" t="str">
        <f>IF($E1340="","",INDEX(资金日记账!$E$4:$E$603,216))</f>
        <v/>
      </c>
      <c r="K1340" s="26" t="str">
        <f>IF($E1340="","",INDEX(资金日记账!$F$4:$F$603,216))</f>
        <v/>
      </c>
      <c r="L1340" s="32" t="str">
        <f>IF($E1340="","",INDEX(资金日记账!$X$4:$X$603,216))</f>
        <v/>
      </c>
      <c r="M1340" s="32"/>
      <c r="N1340" s="26" t="str">
        <f>IF($E1340="","",INDEX(资金日记账!$Y$4:$Y$603,216))</f>
        <v/>
      </c>
      <c r="O1340" s="26" t="str">
        <f t="shared" si="72"/>
        <v/>
      </c>
      <c r="P1340" s="10"/>
    </row>
    <row r="1341" ht="18" customHeight="1" spans="1:16">
      <c r="A1341" s="32" t="str">
        <f t="shared" si="71"/>
        <v/>
      </c>
      <c r="B1341" s="100" t="str">
        <f>IF($E1341="","",INDEX(资金日记账!$B$4:$B$603,216))</f>
        <v/>
      </c>
      <c r="C1341" s="26" t="str">
        <f>IF($E1341="","",IF(INDEX(资金日记账!$W$4:$W$603,216)="","记-"&amp;TEXT($B1341,"YYYYMM")&amp;"-资金",INDEX(资金日记账!$W$4:$W$603,216)))</f>
        <v/>
      </c>
      <c r="D1341" s="32" t="str">
        <f>IF($E1341="","",INDEX(资金日记账!$D$4:$D$603,216))</f>
        <v/>
      </c>
      <c r="E1341" s="26" t="str">
        <f>IF(INDEX(资金日记账!$N$4:$S$603,216,4)=0,"",INDEX(资金日记账!$N$4:$S$603,216,4))</f>
        <v/>
      </c>
      <c r="F1341" s="25" t="str">
        <f>IF($E1341="","",IFERROR(INDEX(科目表!$A$4:$A$81,MATCH($E1341,科目表!$B$4:$B$81,0)),""))</f>
        <v/>
      </c>
      <c r="G1341" s="26" t="str">
        <f>IF($E1341="","",IFERROR(INDEX(科目表!$E$4:$E$81,MATCH($E1341,科目表!$B$4:$B$81,0)),""))</f>
        <v/>
      </c>
      <c r="H1341" s="27" t="str">
        <f>IF($E1341="","",N(INDEX(资金日记账!$N$4:$S$603,216,5)))</f>
        <v/>
      </c>
      <c r="I1341" s="27" t="str">
        <f>IF($E1341="","",N(INDEX(资金日记账!$N$4:$S$603,216,6)))</f>
        <v/>
      </c>
      <c r="J1341" s="26" t="str">
        <f>IF($E1341="","",INDEX(资金日记账!$E$4:$E$603,216))</f>
        <v/>
      </c>
      <c r="K1341" s="26" t="str">
        <f>IF($E1341="","",INDEX(资金日记账!$F$4:$F$603,216))</f>
        <v/>
      </c>
      <c r="L1341" s="32" t="str">
        <f>IF($E1341="","",INDEX(资金日记账!$X$4:$X$603,216))</f>
        <v/>
      </c>
      <c r="M1341" s="32"/>
      <c r="N1341" s="26" t="str">
        <f>IF($E1341="","",INDEX(资金日记账!$Y$4:$Y$603,216))</f>
        <v/>
      </c>
      <c r="O1341" s="26" t="str">
        <f t="shared" si="72"/>
        <v/>
      </c>
      <c r="P1341" s="10"/>
    </row>
    <row r="1342" ht="18" customHeight="1" spans="1:16">
      <c r="A1342" s="32" t="str">
        <f t="shared" si="71"/>
        <v/>
      </c>
      <c r="B1342" s="100" t="str">
        <f>IF($E1342="","",INDEX(资金日记账!$B$4:$B$603,217))</f>
        <v/>
      </c>
      <c r="C1342" s="26" t="str">
        <f>IF($E1342="","",IF(INDEX(资金日记账!$W$4:$W$603,217)="","记-"&amp;TEXT($B1342,"YYYYMM")&amp;"-资金",INDEX(资金日记账!$W$4:$W$603,217)))</f>
        <v/>
      </c>
      <c r="D1342" s="32" t="str">
        <f>IF($E1342="","",INDEX(资金日记账!$D$4:$D$603,217))</f>
        <v/>
      </c>
      <c r="E1342" s="26" t="str">
        <f>IF(INDEX(资金日记账!$N$4:$S$603,217,1)=0,"",INDEX(资金日记账!$N$4:$S$603,217,1))</f>
        <v/>
      </c>
      <c r="F1342" s="25" t="str">
        <f>IF($E1342="","",IFERROR(INDEX(科目表!$A$4:$A$81,MATCH($E1342,科目表!$B$4:$B$81,0)),""))</f>
        <v/>
      </c>
      <c r="G1342" s="26" t="str">
        <f>IF($E1342="","",IFERROR(INDEX(科目表!$E$4:$E$81,MATCH($E1342,科目表!$B$4:$B$81,0)),""))</f>
        <v/>
      </c>
      <c r="H1342" s="27" t="str">
        <f>IF($E1342="","",N(INDEX(资金日记账!$N$4:$S$603,217,2)))</f>
        <v/>
      </c>
      <c r="I1342" s="27" t="str">
        <f>IF($E1342="","",N(INDEX(资金日记账!$N$4:$S$603,217,3)))</f>
        <v/>
      </c>
      <c r="J1342" s="26" t="str">
        <f>IF($E1342="","",INDEX(资金日记账!$E$4:$E$603,217))</f>
        <v/>
      </c>
      <c r="K1342" s="26" t="str">
        <f>IF($E1342="","",INDEX(资金日记账!$F$4:$F$603,217))</f>
        <v/>
      </c>
      <c r="L1342" s="32" t="str">
        <f>IF($E1342="","",INDEX(资金日记账!$X$4:$X$603,217))</f>
        <v/>
      </c>
      <c r="M1342" s="32"/>
      <c r="N1342" s="26" t="str">
        <f>IF($E1342="","",INDEX(资金日记账!$Y$4:$Y$603,217))</f>
        <v/>
      </c>
      <c r="O1342" s="26" t="str">
        <f t="shared" si="72"/>
        <v/>
      </c>
      <c r="P1342" s="10"/>
    </row>
    <row r="1343" ht="18" customHeight="1" spans="1:16">
      <c r="A1343" s="32" t="str">
        <f t="shared" si="71"/>
        <v/>
      </c>
      <c r="B1343" s="100" t="str">
        <f>IF($E1343="","",INDEX(资金日记账!$B$4:$B$603,217))</f>
        <v/>
      </c>
      <c r="C1343" s="26" t="str">
        <f>IF($E1343="","",IF(INDEX(资金日记账!$W$4:$W$603,217)="","记-"&amp;TEXT($B1343,"YYYYMM")&amp;"-资金",INDEX(资金日记账!$W$4:$W$603,217)))</f>
        <v/>
      </c>
      <c r="D1343" s="32" t="str">
        <f>IF($E1343="","",INDEX(资金日记账!$D$4:$D$603,217))</f>
        <v/>
      </c>
      <c r="E1343" s="26" t="str">
        <f>IF(INDEX(资金日记账!$N$4:$S$603,217,4)=0,"",INDEX(资金日记账!$N$4:$S$603,217,4))</f>
        <v/>
      </c>
      <c r="F1343" s="25" t="str">
        <f>IF($E1343="","",IFERROR(INDEX(科目表!$A$4:$A$81,MATCH($E1343,科目表!$B$4:$B$81,0)),""))</f>
        <v/>
      </c>
      <c r="G1343" s="26" t="str">
        <f>IF($E1343="","",IFERROR(INDEX(科目表!$E$4:$E$81,MATCH($E1343,科目表!$B$4:$B$81,0)),""))</f>
        <v/>
      </c>
      <c r="H1343" s="27" t="str">
        <f>IF($E1343="","",N(INDEX(资金日记账!$N$4:$S$603,217,5)))</f>
        <v/>
      </c>
      <c r="I1343" s="27" t="str">
        <f>IF($E1343="","",N(INDEX(资金日记账!$N$4:$S$603,217,6)))</f>
        <v/>
      </c>
      <c r="J1343" s="26" t="str">
        <f>IF($E1343="","",INDEX(资金日记账!$E$4:$E$603,217))</f>
        <v/>
      </c>
      <c r="K1343" s="26" t="str">
        <f>IF($E1343="","",INDEX(资金日记账!$F$4:$F$603,217))</f>
        <v/>
      </c>
      <c r="L1343" s="32" t="str">
        <f>IF($E1343="","",INDEX(资金日记账!$X$4:$X$603,217))</f>
        <v/>
      </c>
      <c r="M1343" s="32"/>
      <c r="N1343" s="26" t="str">
        <f>IF($E1343="","",INDEX(资金日记账!$Y$4:$Y$603,217))</f>
        <v/>
      </c>
      <c r="O1343" s="26" t="str">
        <f t="shared" si="72"/>
        <v/>
      </c>
      <c r="P1343" s="10"/>
    </row>
    <row r="1344" ht="18" customHeight="1" spans="1:16">
      <c r="A1344" s="32" t="str">
        <f t="shared" si="71"/>
        <v/>
      </c>
      <c r="B1344" s="100" t="str">
        <f>IF($E1344="","",INDEX(资金日记账!$B$4:$B$603,218))</f>
        <v/>
      </c>
      <c r="C1344" s="26" t="str">
        <f>IF($E1344="","",IF(INDEX(资金日记账!$W$4:$W$603,218)="","记-"&amp;TEXT($B1344,"YYYYMM")&amp;"-资金",INDEX(资金日记账!$W$4:$W$603,218)))</f>
        <v/>
      </c>
      <c r="D1344" s="32" t="str">
        <f>IF($E1344="","",INDEX(资金日记账!$D$4:$D$603,218))</f>
        <v/>
      </c>
      <c r="E1344" s="26" t="str">
        <f>IF(INDEX(资金日记账!$N$4:$S$603,218,1)=0,"",INDEX(资金日记账!$N$4:$S$603,218,1))</f>
        <v/>
      </c>
      <c r="F1344" s="25" t="str">
        <f>IF($E1344="","",IFERROR(INDEX(科目表!$A$4:$A$81,MATCH($E1344,科目表!$B$4:$B$81,0)),""))</f>
        <v/>
      </c>
      <c r="G1344" s="26" t="str">
        <f>IF($E1344="","",IFERROR(INDEX(科目表!$E$4:$E$81,MATCH($E1344,科目表!$B$4:$B$81,0)),""))</f>
        <v/>
      </c>
      <c r="H1344" s="27" t="str">
        <f>IF($E1344="","",N(INDEX(资金日记账!$N$4:$S$603,218,2)))</f>
        <v/>
      </c>
      <c r="I1344" s="27" t="str">
        <f>IF($E1344="","",N(INDEX(资金日记账!$N$4:$S$603,218,3)))</f>
        <v/>
      </c>
      <c r="J1344" s="26" t="str">
        <f>IF($E1344="","",INDEX(资金日记账!$E$4:$E$603,218))</f>
        <v/>
      </c>
      <c r="K1344" s="26" t="str">
        <f>IF($E1344="","",INDEX(资金日记账!$F$4:$F$603,218))</f>
        <v/>
      </c>
      <c r="L1344" s="32" t="str">
        <f>IF($E1344="","",INDEX(资金日记账!$X$4:$X$603,218))</f>
        <v/>
      </c>
      <c r="M1344" s="32"/>
      <c r="N1344" s="26" t="str">
        <f>IF($E1344="","",INDEX(资金日记账!$Y$4:$Y$603,218))</f>
        <v/>
      </c>
      <c r="O1344" s="26" t="str">
        <f t="shared" si="72"/>
        <v/>
      </c>
      <c r="P1344" s="10"/>
    </row>
    <row r="1345" ht="18" customHeight="1" spans="1:16">
      <c r="A1345" s="32" t="str">
        <f t="shared" si="71"/>
        <v/>
      </c>
      <c r="B1345" s="100" t="str">
        <f>IF($E1345="","",INDEX(资金日记账!$B$4:$B$603,218))</f>
        <v/>
      </c>
      <c r="C1345" s="26" t="str">
        <f>IF($E1345="","",IF(INDEX(资金日记账!$W$4:$W$603,218)="","记-"&amp;TEXT($B1345,"YYYYMM")&amp;"-资金",INDEX(资金日记账!$W$4:$W$603,218)))</f>
        <v/>
      </c>
      <c r="D1345" s="32" t="str">
        <f>IF($E1345="","",INDEX(资金日记账!$D$4:$D$603,218))</f>
        <v/>
      </c>
      <c r="E1345" s="26" t="str">
        <f>IF(INDEX(资金日记账!$N$4:$S$603,218,4)=0,"",INDEX(资金日记账!$N$4:$S$603,218,4))</f>
        <v/>
      </c>
      <c r="F1345" s="25" t="str">
        <f>IF($E1345="","",IFERROR(INDEX(科目表!$A$4:$A$81,MATCH($E1345,科目表!$B$4:$B$81,0)),""))</f>
        <v/>
      </c>
      <c r="G1345" s="26" t="str">
        <f>IF($E1345="","",IFERROR(INDEX(科目表!$E$4:$E$81,MATCH($E1345,科目表!$B$4:$B$81,0)),""))</f>
        <v/>
      </c>
      <c r="H1345" s="27" t="str">
        <f>IF($E1345="","",N(INDEX(资金日记账!$N$4:$S$603,218,5)))</f>
        <v/>
      </c>
      <c r="I1345" s="27" t="str">
        <f>IF($E1345="","",N(INDEX(资金日记账!$N$4:$S$603,218,6)))</f>
        <v/>
      </c>
      <c r="J1345" s="26" t="str">
        <f>IF($E1345="","",INDEX(资金日记账!$E$4:$E$603,218))</f>
        <v/>
      </c>
      <c r="K1345" s="26" t="str">
        <f>IF($E1345="","",INDEX(资金日记账!$F$4:$F$603,218))</f>
        <v/>
      </c>
      <c r="L1345" s="32" t="str">
        <f>IF($E1345="","",INDEX(资金日记账!$X$4:$X$603,218))</f>
        <v/>
      </c>
      <c r="M1345" s="32"/>
      <c r="N1345" s="26" t="str">
        <f>IF($E1345="","",INDEX(资金日记账!$Y$4:$Y$603,218))</f>
        <v/>
      </c>
      <c r="O1345" s="26" t="str">
        <f t="shared" si="72"/>
        <v/>
      </c>
      <c r="P1345" s="10"/>
    </row>
    <row r="1346" ht="18" customHeight="1" spans="1:16">
      <c r="A1346" s="32" t="str">
        <f t="shared" si="71"/>
        <v/>
      </c>
      <c r="B1346" s="100" t="str">
        <f>IF($E1346="","",INDEX(资金日记账!$B$4:$B$603,219))</f>
        <v/>
      </c>
      <c r="C1346" s="26" t="str">
        <f>IF($E1346="","",IF(INDEX(资金日记账!$W$4:$W$603,219)="","记-"&amp;TEXT($B1346,"YYYYMM")&amp;"-资金",INDEX(资金日记账!$W$4:$W$603,219)))</f>
        <v/>
      </c>
      <c r="D1346" s="32" t="str">
        <f>IF($E1346="","",INDEX(资金日记账!$D$4:$D$603,219))</f>
        <v/>
      </c>
      <c r="E1346" s="26" t="str">
        <f>IF(INDEX(资金日记账!$N$4:$S$603,219,1)=0,"",INDEX(资金日记账!$N$4:$S$603,219,1))</f>
        <v/>
      </c>
      <c r="F1346" s="25" t="str">
        <f>IF($E1346="","",IFERROR(INDEX(科目表!$A$4:$A$81,MATCH($E1346,科目表!$B$4:$B$81,0)),""))</f>
        <v/>
      </c>
      <c r="G1346" s="26" t="str">
        <f>IF($E1346="","",IFERROR(INDEX(科目表!$E$4:$E$81,MATCH($E1346,科目表!$B$4:$B$81,0)),""))</f>
        <v/>
      </c>
      <c r="H1346" s="27" t="str">
        <f>IF($E1346="","",N(INDEX(资金日记账!$N$4:$S$603,219,2)))</f>
        <v/>
      </c>
      <c r="I1346" s="27" t="str">
        <f>IF($E1346="","",N(INDEX(资金日记账!$N$4:$S$603,219,3)))</f>
        <v/>
      </c>
      <c r="J1346" s="26" t="str">
        <f>IF($E1346="","",INDEX(资金日记账!$E$4:$E$603,219))</f>
        <v/>
      </c>
      <c r="K1346" s="26" t="str">
        <f>IF($E1346="","",INDEX(资金日记账!$F$4:$F$603,219))</f>
        <v/>
      </c>
      <c r="L1346" s="32" t="str">
        <f>IF($E1346="","",INDEX(资金日记账!$X$4:$X$603,219))</f>
        <v/>
      </c>
      <c r="M1346" s="32"/>
      <c r="N1346" s="26" t="str">
        <f>IF($E1346="","",INDEX(资金日记账!$Y$4:$Y$603,219))</f>
        <v/>
      </c>
      <c r="O1346" s="26" t="str">
        <f t="shared" si="72"/>
        <v/>
      </c>
      <c r="P1346" s="10"/>
    </row>
    <row r="1347" ht="18" customHeight="1" spans="1:16">
      <c r="A1347" s="32" t="str">
        <f t="shared" si="71"/>
        <v/>
      </c>
      <c r="B1347" s="100" t="str">
        <f>IF($E1347="","",INDEX(资金日记账!$B$4:$B$603,219))</f>
        <v/>
      </c>
      <c r="C1347" s="26" t="str">
        <f>IF($E1347="","",IF(INDEX(资金日记账!$W$4:$W$603,219)="","记-"&amp;TEXT($B1347,"YYYYMM")&amp;"-资金",INDEX(资金日记账!$W$4:$W$603,219)))</f>
        <v/>
      </c>
      <c r="D1347" s="32" t="str">
        <f>IF($E1347="","",INDEX(资金日记账!$D$4:$D$603,219))</f>
        <v/>
      </c>
      <c r="E1347" s="26" t="str">
        <f>IF(INDEX(资金日记账!$N$4:$S$603,219,4)=0,"",INDEX(资金日记账!$N$4:$S$603,219,4))</f>
        <v/>
      </c>
      <c r="F1347" s="25" t="str">
        <f>IF($E1347="","",IFERROR(INDEX(科目表!$A$4:$A$81,MATCH($E1347,科目表!$B$4:$B$81,0)),""))</f>
        <v/>
      </c>
      <c r="G1347" s="26" t="str">
        <f>IF($E1347="","",IFERROR(INDEX(科目表!$E$4:$E$81,MATCH($E1347,科目表!$B$4:$B$81,0)),""))</f>
        <v/>
      </c>
      <c r="H1347" s="27" t="str">
        <f>IF($E1347="","",N(INDEX(资金日记账!$N$4:$S$603,219,5)))</f>
        <v/>
      </c>
      <c r="I1347" s="27" t="str">
        <f>IF($E1347="","",N(INDEX(资金日记账!$N$4:$S$603,219,6)))</f>
        <v/>
      </c>
      <c r="J1347" s="26" t="str">
        <f>IF($E1347="","",INDEX(资金日记账!$E$4:$E$603,219))</f>
        <v/>
      </c>
      <c r="K1347" s="26" t="str">
        <f>IF($E1347="","",INDEX(资金日记账!$F$4:$F$603,219))</f>
        <v/>
      </c>
      <c r="L1347" s="32" t="str">
        <f>IF($E1347="","",INDEX(资金日记账!$X$4:$X$603,219))</f>
        <v/>
      </c>
      <c r="M1347" s="32"/>
      <c r="N1347" s="26" t="str">
        <f>IF($E1347="","",INDEX(资金日记账!$Y$4:$Y$603,219))</f>
        <v/>
      </c>
      <c r="O1347" s="26" t="str">
        <f t="shared" si="72"/>
        <v/>
      </c>
      <c r="P1347" s="10"/>
    </row>
    <row r="1348" ht="18" customHeight="1" spans="1:16">
      <c r="A1348" s="32" t="str">
        <f t="shared" ref="A1348:A1411" si="73">IF($E1348="","",ROW()-3)</f>
        <v/>
      </c>
      <c r="B1348" s="100" t="str">
        <f>IF($E1348="","",INDEX(资金日记账!$B$4:$B$603,220))</f>
        <v/>
      </c>
      <c r="C1348" s="26" t="str">
        <f>IF($E1348="","",IF(INDEX(资金日记账!$W$4:$W$603,220)="","记-"&amp;TEXT($B1348,"YYYYMM")&amp;"-资金",INDEX(资金日记账!$W$4:$W$603,220)))</f>
        <v/>
      </c>
      <c r="D1348" s="32" t="str">
        <f>IF($E1348="","",INDEX(资金日记账!$D$4:$D$603,220))</f>
        <v/>
      </c>
      <c r="E1348" s="26" t="str">
        <f>IF(INDEX(资金日记账!$N$4:$S$603,220,1)=0,"",INDEX(资金日记账!$N$4:$S$603,220,1))</f>
        <v/>
      </c>
      <c r="F1348" s="25" t="str">
        <f>IF($E1348="","",IFERROR(INDEX(科目表!$A$4:$A$81,MATCH($E1348,科目表!$B$4:$B$81,0)),""))</f>
        <v/>
      </c>
      <c r="G1348" s="26" t="str">
        <f>IF($E1348="","",IFERROR(INDEX(科目表!$E$4:$E$81,MATCH($E1348,科目表!$B$4:$B$81,0)),""))</f>
        <v/>
      </c>
      <c r="H1348" s="27" t="str">
        <f>IF($E1348="","",N(INDEX(资金日记账!$N$4:$S$603,220,2)))</f>
        <v/>
      </c>
      <c r="I1348" s="27" t="str">
        <f>IF($E1348="","",N(INDEX(资金日记账!$N$4:$S$603,220,3)))</f>
        <v/>
      </c>
      <c r="J1348" s="26" t="str">
        <f>IF($E1348="","",INDEX(资金日记账!$E$4:$E$603,220))</f>
        <v/>
      </c>
      <c r="K1348" s="26" t="str">
        <f>IF($E1348="","",INDEX(资金日记账!$F$4:$F$603,220))</f>
        <v/>
      </c>
      <c r="L1348" s="32" t="str">
        <f>IF($E1348="","",INDEX(资金日记账!$X$4:$X$603,220))</f>
        <v/>
      </c>
      <c r="M1348" s="32"/>
      <c r="N1348" s="26" t="str">
        <f>IF($E1348="","",INDEX(资金日记账!$Y$4:$Y$603,220))</f>
        <v/>
      </c>
      <c r="O1348" s="26" t="str">
        <f t="shared" si="72"/>
        <v/>
      </c>
      <c r="P1348" s="10"/>
    </row>
    <row r="1349" ht="18" customHeight="1" spans="1:16">
      <c r="A1349" s="32" t="str">
        <f t="shared" si="73"/>
        <v/>
      </c>
      <c r="B1349" s="100" t="str">
        <f>IF($E1349="","",INDEX(资金日记账!$B$4:$B$603,220))</f>
        <v/>
      </c>
      <c r="C1349" s="26" t="str">
        <f>IF($E1349="","",IF(INDEX(资金日记账!$W$4:$W$603,220)="","记-"&amp;TEXT($B1349,"YYYYMM")&amp;"-资金",INDEX(资金日记账!$W$4:$W$603,220)))</f>
        <v/>
      </c>
      <c r="D1349" s="32" t="str">
        <f>IF($E1349="","",INDEX(资金日记账!$D$4:$D$603,220))</f>
        <v/>
      </c>
      <c r="E1349" s="26" t="str">
        <f>IF(INDEX(资金日记账!$N$4:$S$603,220,4)=0,"",INDEX(资金日记账!$N$4:$S$603,220,4))</f>
        <v/>
      </c>
      <c r="F1349" s="25" t="str">
        <f>IF($E1349="","",IFERROR(INDEX(科目表!$A$4:$A$81,MATCH($E1349,科目表!$B$4:$B$81,0)),""))</f>
        <v/>
      </c>
      <c r="G1349" s="26" t="str">
        <f>IF($E1349="","",IFERROR(INDEX(科目表!$E$4:$E$81,MATCH($E1349,科目表!$B$4:$B$81,0)),""))</f>
        <v/>
      </c>
      <c r="H1349" s="27" t="str">
        <f>IF($E1349="","",N(INDEX(资金日记账!$N$4:$S$603,220,5)))</f>
        <v/>
      </c>
      <c r="I1349" s="27" t="str">
        <f>IF($E1349="","",N(INDEX(资金日记账!$N$4:$S$603,220,6)))</f>
        <v/>
      </c>
      <c r="J1349" s="26" t="str">
        <f>IF($E1349="","",INDEX(资金日记账!$E$4:$E$603,220))</f>
        <v/>
      </c>
      <c r="K1349" s="26" t="str">
        <f>IF($E1349="","",INDEX(资金日记账!$F$4:$F$603,220))</f>
        <v/>
      </c>
      <c r="L1349" s="32" t="str">
        <f>IF($E1349="","",INDEX(资金日记账!$X$4:$X$603,220))</f>
        <v/>
      </c>
      <c r="M1349" s="32"/>
      <c r="N1349" s="26" t="str">
        <f>IF($E1349="","",INDEX(资金日记账!$Y$4:$Y$603,220))</f>
        <v/>
      </c>
      <c r="O1349" s="26" t="str">
        <f t="shared" si="72"/>
        <v/>
      </c>
      <c r="P1349" s="10"/>
    </row>
    <row r="1350" ht="18" customHeight="1" spans="1:16">
      <c r="A1350" s="32" t="str">
        <f t="shared" si="73"/>
        <v/>
      </c>
      <c r="B1350" s="100" t="str">
        <f>IF($E1350="","",INDEX(资金日记账!$B$4:$B$603,221))</f>
        <v/>
      </c>
      <c r="C1350" s="26" t="str">
        <f>IF($E1350="","",IF(INDEX(资金日记账!$W$4:$W$603,221)="","记-"&amp;TEXT($B1350,"YYYYMM")&amp;"-资金",INDEX(资金日记账!$W$4:$W$603,221)))</f>
        <v/>
      </c>
      <c r="D1350" s="32" t="str">
        <f>IF($E1350="","",INDEX(资金日记账!$D$4:$D$603,221))</f>
        <v/>
      </c>
      <c r="E1350" s="26" t="str">
        <f>IF(INDEX(资金日记账!$N$4:$S$603,221,1)=0,"",INDEX(资金日记账!$N$4:$S$603,221,1))</f>
        <v/>
      </c>
      <c r="F1350" s="25" t="str">
        <f>IF($E1350="","",IFERROR(INDEX(科目表!$A$4:$A$81,MATCH($E1350,科目表!$B$4:$B$81,0)),""))</f>
        <v/>
      </c>
      <c r="G1350" s="26" t="str">
        <f>IF($E1350="","",IFERROR(INDEX(科目表!$E$4:$E$81,MATCH($E1350,科目表!$B$4:$B$81,0)),""))</f>
        <v/>
      </c>
      <c r="H1350" s="27" t="str">
        <f>IF($E1350="","",N(INDEX(资金日记账!$N$4:$S$603,221,2)))</f>
        <v/>
      </c>
      <c r="I1350" s="27" t="str">
        <f>IF($E1350="","",N(INDEX(资金日记账!$N$4:$S$603,221,3)))</f>
        <v/>
      </c>
      <c r="J1350" s="26" t="str">
        <f>IF($E1350="","",INDEX(资金日记账!$E$4:$E$603,221))</f>
        <v/>
      </c>
      <c r="K1350" s="26" t="str">
        <f>IF($E1350="","",INDEX(资金日记账!$F$4:$F$603,221))</f>
        <v/>
      </c>
      <c r="L1350" s="32" t="str">
        <f>IF($E1350="","",INDEX(资金日记账!$X$4:$X$603,221))</f>
        <v/>
      </c>
      <c r="M1350" s="32"/>
      <c r="N1350" s="26" t="str">
        <f>IF($E1350="","",INDEX(资金日记账!$Y$4:$Y$603,221))</f>
        <v/>
      </c>
      <c r="O1350" s="26" t="str">
        <f t="shared" si="72"/>
        <v/>
      </c>
      <c r="P1350" s="10"/>
    </row>
    <row r="1351" ht="18" customHeight="1" spans="1:16">
      <c r="A1351" s="32" t="str">
        <f t="shared" si="73"/>
        <v/>
      </c>
      <c r="B1351" s="100" t="str">
        <f>IF($E1351="","",INDEX(资金日记账!$B$4:$B$603,221))</f>
        <v/>
      </c>
      <c r="C1351" s="26" t="str">
        <f>IF($E1351="","",IF(INDEX(资金日记账!$W$4:$W$603,221)="","记-"&amp;TEXT($B1351,"YYYYMM")&amp;"-资金",INDEX(资金日记账!$W$4:$W$603,221)))</f>
        <v/>
      </c>
      <c r="D1351" s="32" t="str">
        <f>IF($E1351="","",INDEX(资金日记账!$D$4:$D$603,221))</f>
        <v/>
      </c>
      <c r="E1351" s="26" t="str">
        <f>IF(INDEX(资金日记账!$N$4:$S$603,221,4)=0,"",INDEX(资金日记账!$N$4:$S$603,221,4))</f>
        <v/>
      </c>
      <c r="F1351" s="25" t="str">
        <f>IF($E1351="","",IFERROR(INDEX(科目表!$A$4:$A$81,MATCH($E1351,科目表!$B$4:$B$81,0)),""))</f>
        <v/>
      </c>
      <c r="G1351" s="26" t="str">
        <f>IF($E1351="","",IFERROR(INDEX(科目表!$E$4:$E$81,MATCH($E1351,科目表!$B$4:$B$81,0)),""))</f>
        <v/>
      </c>
      <c r="H1351" s="27" t="str">
        <f>IF($E1351="","",N(INDEX(资金日记账!$N$4:$S$603,221,5)))</f>
        <v/>
      </c>
      <c r="I1351" s="27" t="str">
        <f>IF($E1351="","",N(INDEX(资金日记账!$N$4:$S$603,221,6)))</f>
        <v/>
      </c>
      <c r="J1351" s="26" t="str">
        <f>IF($E1351="","",INDEX(资金日记账!$E$4:$E$603,221))</f>
        <v/>
      </c>
      <c r="K1351" s="26" t="str">
        <f>IF($E1351="","",INDEX(资金日记账!$F$4:$F$603,221))</f>
        <v/>
      </c>
      <c r="L1351" s="32" t="str">
        <f>IF($E1351="","",INDEX(资金日记账!$X$4:$X$603,221))</f>
        <v/>
      </c>
      <c r="M1351" s="32"/>
      <c r="N1351" s="26" t="str">
        <f>IF($E1351="","",INDEX(资金日记账!$Y$4:$Y$603,221))</f>
        <v/>
      </c>
      <c r="O1351" s="26" t="str">
        <f t="shared" si="72"/>
        <v/>
      </c>
      <c r="P1351" s="10"/>
    </row>
    <row r="1352" ht="18" customHeight="1" spans="1:16">
      <c r="A1352" s="32" t="str">
        <f t="shared" si="73"/>
        <v/>
      </c>
      <c r="B1352" s="100" t="str">
        <f>IF($E1352="","",INDEX(资金日记账!$B$4:$B$603,222))</f>
        <v/>
      </c>
      <c r="C1352" s="26" t="str">
        <f>IF($E1352="","",IF(INDEX(资金日记账!$W$4:$W$603,222)="","记-"&amp;TEXT($B1352,"YYYYMM")&amp;"-资金",INDEX(资金日记账!$W$4:$W$603,222)))</f>
        <v/>
      </c>
      <c r="D1352" s="32" t="str">
        <f>IF($E1352="","",INDEX(资金日记账!$D$4:$D$603,222))</f>
        <v/>
      </c>
      <c r="E1352" s="26" t="str">
        <f>IF(INDEX(资金日记账!$N$4:$S$603,222,1)=0,"",INDEX(资金日记账!$N$4:$S$603,222,1))</f>
        <v/>
      </c>
      <c r="F1352" s="25" t="str">
        <f>IF($E1352="","",IFERROR(INDEX(科目表!$A$4:$A$81,MATCH($E1352,科目表!$B$4:$B$81,0)),""))</f>
        <v/>
      </c>
      <c r="G1352" s="26" t="str">
        <f>IF($E1352="","",IFERROR(INDEX(科目表!$E$4:$E$81,MATCH($E1352,科目表!$B$4:$B$81,0)),""))</f>
        <v/>
      </c>
      <c r="H1352" s="27" t="str">
        <f>IF($E1352="","",N(INDEX(资金日记账!$N$4:$S$603,222,2)))</f>
        <v/>
      </c>
      <c r="I1352" s="27" t="str">
        <f>IF($E1352="","",N(INDEX(资金日记账!$N$4:$S$603,222,3)))</f>
        <v/>
      </c>
      <c r="J1352" s="26" t="str">
        <f>IF($E1352="","",INDEX(资金日记账!$E$4:$E$603,222))</f>
        <v/>
      </c>
      <c r="K1352" s="26" t="str">
        <f>IF($E1352="","",INDEX(资金日记账!$F$4:$F$603,222))</f>
        <v/>
      </c>
      <c r="L1352" s="32" t="str">
        <f>IF($E1352="","",INDEX(资金日记账!$X$4:$X$603,222))</f>
        <v/>
      </c>
      <c r="M1352" s="32"/>
      <c r="N1352" s="26" t="str">
        <f>IF($E1352="","",INDEX(资金日记账!$Y$4:$Y$603,222))</f>
        <v/>
      </c>
      <c r="O1352" s="26" t="str">
        <f t="shared" si="72"/>
        <v/>
      </c>
      <c r="P1352" s="10"/>
    </row>
    <row r="1353" ht="18" customHeight="1" spans="1:16">
      <c r="A1353" s="32" t="str">
        <f t="shared" si="73"/>
        <v/>
      </c>
      <c r="B1353" s="100" t="str">
        <f>IF($E1353="","",INDEX(资金日记账!$B$4:$B$603,222))</f>
        <v/>
      </c>
      <c r="C1353" s="26" t="str">
        <f>IF($E1353="","",IF(INDEX(资金日记账!$W$4:$W$603,222)="","记-"&amp;TEXT($B1353,"YYYYMM")&amp;"-资金",INDEX(资金日记账!$W$4:$W$603,222)))</f>
        <v/>
      </c>
      <c r="D1353" s="32" t="str">
        <f>IF($E1353="","",INDEX(资金日记账!$D$4:$D$603,222))</f>
        <v/>
      </c>
      <c r="E1353" s="26" t="str">
        <f>IF(INDEX(资金日记账!$N$4:$S$603,222,4)=0,"",INDEX(资金日记账!$N$4:$S$603,222,4))</f>
        <v/>
      </c>
      <c r="F1353" s="25" t="str">
        <f>IF($E1353="","",IFERROR(INDEX(科目表!$A$4:$A$81,MATCH($E1353,科目表!$B$4:$B$81,0)),""))</f>
        <v/>
      </c>
      <c r="G1353" s="26" t="str">
        <f>IF($E1353="","",IFERROR(INDEX(科目表!$E$4:$E$81,MATCH($E1353,科目表!$B$4:$B$81,0)),""))</f>
        <v/>
      </c>
      <c r="H1353" s="27" t="str">
        <f>IF($E1353="","",N(INDEX(资金日记账!$N$4:$S$603,222,5)))</f>
        <v/>
      </c>
      <c r="I1353" s="27" t="str">
        <f>IF($E1353="","",N(INDEX(资金日记账!$N$4:$S$603,222,6)))</f>
        <v/>
      </c>
      <c r="J1353" s="26" t="str">
        <f>IF($E1353="","",INDEX(资金日记账!$E$4:$E$603,222))</f>
        <v/>
      </c>
      <c r="K1353" s="26" t="str">
        <f>IF($E1353="","",INDEX(资金日记账!$F$4:$F$603,222))</f>
        <v/>
      </c>
      <c r="L1353" s="32" t="str">
        <f>IF($E1353="","",INDEX(资金日记账!$X$4:$X$603,222))</f>
        <v/>
      </c>
      <c r="M1353" s="32"/>
      <c r="N1353" s="26" t="str">
        <f>IF($E1353="","",INDEX(资金日记账!$Y$4:$Y$603,222))</f>
        <v/>
      </c>
      <c r="O1353" s="26" t="str">
        <f t="shared" si="72"/>
        <v/>
      </c>
      <c r="P1353" s="10"/>
    </row>
    <row r="1354" ht="18" customHeight="1" spans="1:16">
      <c r="A1354" s="32" t="str">
        <f t="shared" si="73"/>
        <v/>
      </c>
      <c r="B1354" s="100" t="str">
        <f>IF($E1354="","",INDEX(资金日记账!$B$4:$B$603,223))</f>
        <v/>
      </c>
      <c r="C1354" s="26" t="str">
        <f>IF($E1354="","",IF(INDEX(资金日记账!$W$4:$W$603,223)="","记-"&amp;TEXT($B1354,"YYYYMM")&amp;"-资金",INDEX(资金日记账!$W$4:$W$603,223)))</f>
        <v/>
      </c>
      <c r="D1354" s="32" t="str">
        <f>IF($E1354="","",INDEX(资金日记账!$D$4:$D$603,223))</f>
        <v/>
      </c>
      <c r="E1354" s="26" t="str">
        <f>IF(INDEX(资金日记账!$N$4:$S$603,223,1)=0,"",INDEX(资金日记账!$N$4:$S$603,223,1))</f>
        <v/>
      </c>
      <c r="F1354" s="25" t="str">
        <f>IF($E1354="","",IFERROR(INDEX(科目表!$A$4:$A$81,MATCH($E1354,科目表!$B$4:$B$81,0)),""))</f>
        <v/>
      </c>
      <c r="G1354" s="26" t="str">
        <f>IF($E1354="","",IFERROR(INDEX(科目表!$E$4:$E$81,MATCH($E1354,科目表!$B$4:$B$81,0)),""))</f>
        <v/>
      </c>
      <c r="H1354" s="27" t="str">
        <f>IF($E1354="","",N(INDEX(资金日记账!$N$4:$S$603,223,2)))</f>
        <v/>
      </c>
      <c r="I1354" s="27" t="str">
        <f>IF($E1354="","",N(INDEX(资金日记账!$N$4:$S$603,223,3)))</f>
        <v/>
      </c>
      <c r="J1354" s="26" t="str">
        <f>IF($E1354="","",INDEX(资金日记账!$E$4:$E$603,223))</f>
        <v/>
      </c>
      <c r="K1354" s="26" t="str">
        <f>IF($E1354="","",INDEX(资金日记账!$F$4:$F$603,223))</f>
        <v/>
      </c>
      <c r="L1354" s="32" t="str">
        <f>IF($E1354="","",INDEX(资金日记账!$X$4:$X$603,223))</f>
        <v/>
      </c>
      <c r="M1354" s="32"/>
      <c r="N1354" s="26" t="str">
        <f>IF($E1354="","",INDEX(资金日记账!$Y$4:$Y$603,223))</f>
        <v/>
      </c>
      <c r="O1354" s="26" t="str">
        <f t="shared" si="72"/>
        <v/>
      </c>
      <c r="P1354" s="10"/>
    </row>
    <row r="1355" ht="18" customHeight="1" spans="1:16">
      <c r="A1355" s="32" t="str">
        <f t="shared" si="73"/>
        <v/>
      </c>
      <c r="B1355" s="100" t="str">
        <f>IF($E1355="","",INDEX(资金日记账!$B$4:$B$603,223))</f>
        <v/>
      </c>
      <c r="C1355" s="26" t="str">
        <f>IF($E1355="","",IF(INDEX(资金日记账!$W$4:$W$603,223)="","记-"&amp;TEXT($B1355,"YYYYMM")&amp;"-资金",INDEX(资金日记账!$W$4:$W$603,223)))</f>
        <v/>
      </c>
      <c r="D1355" s="32" t="str">
        <f>IF($E1355="","",INDEX(资金日记账!$D$4:$D$603,223))</f>
        <v/>
      </c>
      <c r="E1355" s="26" t="str">
        <f>IF(INDEX(资金日记账!$N$4:$S$603,223,4)=0,"",INDEX(资金日记账!$N$4:$S$603,223,4))</f>
        <v/>
      </c>
      <c r="F1355" s="25" t="str">
        <f>IF($E1355="","",IFERROR(INDEX(科目表!$A$4:$A$81,MATCH($E1355,科目表!$B$4:$B$81,0)),""))</f>
        <v/>
      </c>
      <c r="G1355" s="26" t="str">
        <f>IF($E1355="","",IFERROR(INDEX(科目表!$E$4:$E$81,MATCH($E1355,科目表!$B$4:$B$81,0)),""))</f>
        <v/>
      </c>
      <c r="H1355" s="27" t="str">
        <f>IF($E1355="","",N(INDEX(资金日记账!$N$4:$S$603,223,5)))</f>
        <v/>
      </c>
      <c r="I1355" s="27" t="str">
        <f>IF($E1355="","",N(INDEX(资金日记账!$N$4:$S$603,223,6)))</f>
        <v/>
      </c>
      <c r="J1355" s="26" t="str">
        <f>IF($E1355="","",INDEX(资金日记账!$E$4:$E$603,223))</f>
        <v/>
      </c>
      <c r="K1355" s="26" t="str">
        <f>IF($E1355="","",INDEX(资金日记账!$F$4:$F$603,223))</f>
        <v/>
      </c>
      <c r="L1355" s="32" t="str">
        <f>IF($E1355="","",INDEX(资金日记账!$X$4:$X$603,223))</f>
        <v/>
      </c>
      <c r="M1355" s="32"/>
      <c r="N1355" s="26" t="str">
        <f>IF($E1355="","",INDEX(资金日记账!$Y$4:$Y$603,223))</f>
        <v/>
      </c>
      <c r="O1355" s="26" t="str">
        <f t="shared" si="72"/>
        <v/>
      </c>
      <c r="P1355" s="10"/>
    </row>
    <row r="1356" ht="18" customHeight="1" spans="1:16">
      <c r="A1356" s="32" t="str">
        <f t="shared" si="73"/>
        <v/>
      </c>
      <c r="B1356" s="100" t="str">
        <f>IF($E1356="","",INDEX(资金日记账!$B$4:$B$603,224))</f>
        <v/>
      </c>
      <c r="C1356" s="26" t="str">
        <f>IF($E1356="","",IF(INDEX(资金日记账!$W$4:$W$603,224)="","记-"&amp;TEXT($B1356,"YYYYMM")&amp;"-资金",INDEX(资金日记账!$W$4:$W$603,224)))</f>
        <v/>
      </c>
      <c r="D1356" s="32" t="str">
        <f>IF($E1356="","",INDEX(资金日记账!$D$4:$D$603,224))</f>
        <v/>
      </c>
      <c r="E1356" s="26" t="str">
        <f>IF(INDEX(资金日记账!$N$4:$S$603,224,1)=0,"",INDEX(资金日记账!$N$4:$S$603,224,1))</f>
        <v/>
      </c>
      <c r="F1356" s="25" t="str">
        <f>IF($E1356="","",IFERROR(INDEX(科目表!$A$4:$A$81,MATCH($E1356,科目表!$B$4:$B$81,0)),""))</f>
        <v/>
      </c>
      <c r="G1356" s="26" t="str">
        <f>IF($E1356="","",IFERROR(INDEX(科目表!$E$4:$E$81,MATCH($E1356,科目表!$B$4:$B$81,0)),""))</f>
        <v/>
      </c>
      <c r="H1356" s="27" t="str">
        <f>IF($E1356="","",N(INDEX(资金日记账!$N$4:$S$603,224,2)))</f>
        <v/>
      </c>
      <c r="I1356" s="27" t="str">
        <f>IF($E1356="","",N(INDEX(资金日记账!$N$4:$S$603,224,3)))</f>
        <v/>
      </c>
      <c r="J1356" s="26" t="str">
        <f>IF($E1356="","",INDEX(资金日记账!$E$4:$E$603,224))</f>
        <v/>
      </c>
      <c r="K1356" s="26" t="str">
        <f>IF($E1356="","",INDEX(资金日记账!$F$4:$F$603,224))</f>
        <v/>
      </c>
      <c r="L1356" s="32" t="str">
        <f>IF($E1356="","",INDEX(资金日记账!$X$4:$X$603,224))</f>
        <v/>
      </c>
      <c r="M1356" s="32"/>
      <c r="N1356" s="26" t="str">
        <f>IF($E1356="","",INDEX(资金日记账!$Y$4:$Y$603,224))</f>
        <v/>
      </c>
      <c r="O1356" s="26" t="str">
        <f t="shared" si="72"/>
        <v/>
      </c>
      <c r="P1356" s="10"/>
    </row>
    <row r="1357" ht="18" customHeight="1" spans="1:16">
      <c r="A1357" s="32" t="str">
        <f t="shared" si="73"/>
        <v/>
      </c>
      <c r="B1357" s="100" t="str">
        <f>IF($E1357="","",INDEX(资金日记账!$B$4:$B$603,224))</f>
        <v/>
      </c>
      <c r="C1357" s="26" t="str">
        <f>IF($E1357="","",IF(INDEX(资金日记账!$W$4:$W$603,224)="","记-"&amp;TEXT($B1357,"YYYYMM")&amp;"-资金",INDEX(资金日记账!$W$4:$W$603,224)))</f>
        <v/>
      </c>
      <c r="D1357" s="32" t="str">
        <f>IF($E1357="","",INDEX(资金日记账!$D$4:$D$603,224))</f>
        <v/>
      </c>
      <c r="E1357" s="26" t="str">
        <f>IF(INDEX(资金日记账!$N$4:$S$603,224,4)=0,"",INDEX(资金日记账!$N$4:$S$603,224,4))</f>
        <v/>
      </c>
      <c r="F1357" s="25" t="str">
        <f>IF($E1357="","",IFERROR(INDEX(科目表!$A$4:$A$81,MATCH($E1357,科目表!$B$4:$B$81,0)),""))</f>
        <v/>
      </c>
      <c r="G1357" s="26" t="str">
        <f>IF($E1357="","",IFERROR(INDEX(科目表!$E$4:$E$81,MATCH($E1357,科目表!$B$4:$B$81,0)),""))</f>
        <v/>
      </c>
      <c r="H1357" s="27" t="str">
        <f>IF($E1357="","",N(INDEX(资金日记账!$N$4:$S$603,224,5)))</f>
        <v/>
      </c>
      <c r="I1357" s="27" t="str">
        <f>IF($E1357="","",N(INDEX(资金日记账!$N$4:$S$603,224,6)))</f>
        <v/>
      </c>
      <c r="J1357" s="26" t="str">
        <f>IF($E1357="","",INDEX(资金日记账!$E$4:$E$603,224))</f>
        <v/>
      </c>
      <c r="K1357" s="26" t="str">
        <f>IF($E1357="","",INDEX(资金日记账!$F$4:$F$603,224))</f>
        <v/>
      </c>
      <c r="L1357" s="32" t="str">
        <f>IF($E1357="","",INDEX(资金日记账!$X$4:$X$603,224))</f>
        <v/>
      </c>
      <c r="M1357" s="32"/>
      <c r="N1357" s="26" t="str">
        <f>IF($E1357="","",INDEX(资金日记账!$Y$4:$Y$603,224))</f>
        <v/>
      </c>
      <c r="O1357" s="26" t="str">
        <f t="shared" si="72"/>
        <v/>
      </c>
      <c r="P1357" s="10"/>
    </row>
    <row r="1358" ht="18" customHeight="1" spans="1:16">
      <c r="A1358" s="32" t="str">
        <f t="shared" si="73"/>
        <v/>
      </c>
      <c r="B1358" s="100" t="str">
        <f>IF($E1358="","",INDEX(资金日记账!$B$4:$B$603,225))</f>
        <v/>
      </c>
      <c r="C1358" s="26" t="str">
        <f>IF($E1358="","",IF(INDEX(资金日记账!$W$4:$W$603,225)="","记-"&amp;TEXT($B1358,"YYYYMM")&amp;"-资金",INDEX(资金日记账!$W$4:$W$603,225)))</f>
        <v/>
      </c>
      <c r="D1358" s="32" t="str">
        <f>IF($E1358="","",INDEX(资金日记账!$D$4:$D$603,225))</f>
        <v/>
      </c>
      <c r="E1358" s="26" t="str">
        <f>IF(INDEX(资金日记账!$N$4:$S$603,225,1)=0,"",INDEX(资金日记账!$N$4:$S$603,225,1))</f>
        <v/>
      </c>
      <c r="F1358" s="25" t="str">
        <f>IF($E1358="","",IFERROR(INDEX(科目表!$A$4:$A$81,MATCH($E1358,科目表!$B$4:$B$81,0)),""))</f>
        <v/>
      </c>
      <c r="G1358" s="26" t="str">
        <f>IF($E1358="","",IFERROR(INDEX(科目表!$E$4:$E$81,MATCH($E1358,科目表!$B$4:$B$81,0)),""))</f>
        <v/>
      </c>
      <c r="H1358" s="27" t="str">
        <f>IF($E1358="","",N(INDEX(资金日记账!$N$4:$S$603,225,2)))</f>
        <v/>
      </c>
      <c r="I1358" s="27" t="str">
        <f>IF($E1358="","",N(INDEX(资金日记账!$N$4:$S$603,225,3)))</f>
        <v/>
      </c>
      <c r="J1358" s="26" t="str">
        <f>IF($E1358="","",INDEX(资金日记账!$E$4:$E$603,225))</f>
        <v/>
      </c>
      <c r="K1358" s="26" t="str">
        <f>IF($E1358="","",INDEX(资金日记账!$F$4:$F$603,225))</f>
        <v/>
      </c>
      <c r="L1358" s="32" t="str">
        <f>IF($E1358="","",INDEX(资金日记账!$X$4:$X$603,225))</f>
        <v/>
      </c>
      <c r="M1358" s="32"/>
      <c r="N1358" s="26" t="str">
        <f>IF($E1358="","",INDEX(资金日记账!$Y$4:$Y$603,225))</f>
        <v/>
      </c>
      <c r="O1358" s="26" t="str">
        <f t="shared" ref="O1358:O1421" si="74">IF($E1358="","","自动B")</f>
        <v/>
      </c>
      <c r="P1358" s="10"/>
    </row>
    <row r="1359" ht="18" customHeight="1" spans="1:16">
      <c r="A1359" s="32" t="str">
        <f t="shared" si="73"/>
        <v/>
      </c>
      <c r="B1359" s="100" t="str">
        <f>IF($E1359="","",INDEX(资金日记账!$B$4:$B$603,225))</f>
        <v/>
      </c>
      <c r="C1359" s="26" t="str">
        <f>IF($E1359="","",IF(INDEX(资金日记账!$W$4:$W$603,225)="","记-"&amp;TEXT($B1359,"YYYYMM")&amp;"-资金",INDEX(资金日记账!$W$4:$W$603,225)))</f>
        <v/>
      </c>
      <c r="D1359" s="32" t="str">
        <f>IF($E1359="","",INDEX(资金日记账!$D$4:$D$603,225))</f>
        <v/>
      </c>
      <c r="E1359" s="26" t="str">
        <f>IF(INDEX(资金日记账!$N$4:$S$603,225,4)=0,"",INDEX(资金日记账!$N$4:$S$603,225,4))</f>
        <v/>
      </c>
      <c r="F1359" s="25" t="str">
        <f>IF($E1359="","",IFERROR(INDEX(科目表!$A$4:$A$81,MATCH($E1359,科目表!$B$4:$B$81,0)),""))</f>
        <v/>
      </c>
      <c r="G1359" s="26" t="str">
        <f>IF($E1359="","",IFERROR(INDEX(科目表!$E$4:$E$81,MATCH($E1359,科目表!$B$4:$B$81,0)),""))</f>
        <v/>
      </c>
      <c r="H1359" s="27" t="str">
        <f>IF($E1359="","",N(INDEX(资金日记账!$N$4:$S$603,225,5)))</f>
        <v/>
      </c>
      <c r="I1359" s="27" t="str">
        <f>IF($E1359="","",N(INDEX(资金日记账!$N$4:$S$603,225,6)))</f>
        <v/>
      </c>
      <c r="J1359" s="26" t="str">
        <f>IF($E1359="","",INDEX(资金日记账!$E$4:$E$603,225))</f>
        <v/>
      </c>
      <c r="K1359" s="26" t="str">
        <f>IF($E1359="","",INDEX(资金日记账!$F$4:$F$603,225))</f>
        <v/>
      </c>
      <c r="L1359" s="32" t="str">
        <f>IF($E1359="","",INDEX(资金日记账!$X$4:$X$603,225))</f>
        <v/>
      </c>
      <c r="M1359" s="32"/>
      <c r="N1359" s="26" t="str">
        <f>IF($E1359="","",INDEX(资金日记账!$Y$4:$Y$603,225))</f>
        <v/>
      </c>
      <c r="O1359" s="26" t="str">
        <f t="shared" si="74"/>
        <v/>
      </c>
      <c r="P1359" s="10"/>
    </row>
    <row r="1360" ht="18" customHeight="1" spans="1:16">
      <c r="A1360" s="32" t="str">
        <f t="shared" si="73"/>
        <v/>
      </c>
      <c r="B1360" s="100" t="str">
        <f>IF($E1360="","",INDEX(资金日记账!$B$4:$B$603,226))</f>
        <v/>
      </c>
      <c r="C1360" s="26" t="str">
        <f>IF($E1360="","",IF(INDEX(资金日记账!$W$4:$W$603,226)="","记-"&amp;TEXT($B1360,"YYYYMM")&amp;"-资金",INDEX(资金日记账!$W$4:$W$603,226)))</f>
        <v/>
      </c>
      <c r="D1360" s="32" t="str">
        <f>IF($E1360="","",INDEX(资金日记账!$D$4:$D$603,226))</f>
        <v/>
      </c>
      <c r="E1360" s="26" t="str">
        <f>IF(INDEX(资金日记账!$N$4:$S$603,226,1)=0,"",INDEX(资金日记账!$N$4:$S$603,226,1))</f>
        <v/>
      </c>
      <c r="F1360" s="25" t="str">
        <f>IF($E1360="","",IFERROR(INDEX(科目表!$A$4:$A$81,MATCH($E1360,科目表!$B$4:$B$81,0)),""))</f>
        <v/>
      </c>
      <c r="G1360" s="26" t="str">
        <f>IF($E1360="","",IFERROR(INDEX(科目表!$E$4:$E$81,MATCH($E1360,科目表!$B$4:$B$81,0)),""))</f>
        <v/>
      </c>
      <c r="H1360" s="27" t="str">
        <f>IF($E1360="","",N(INDEX(资金日记账!$N$4:$S$603,226,2)))</f>
        <v/>
      </c>
      <c r="I1360" s="27" t="str">
        <f>IF($E1360="","",N(INDEX(资金日记账!$N$4:$S$603,226,3)))</f>
        <v/>
      </c>
      <c r="J1360" s="26" t="str">
        <f>IF($E1360="","",INDEX(资金日记账!$E$4:$E$603,226))</f>
        <v/>
      </c>
      <c r="K1360" s="26" t="str">
        <f>IF($E1360="","",INDEX(资金日记账!$F$4:$F$603,226))</f>
        <v/>
      </c>
      <c r="L1360" s="32" t="str">
        <f>IF($E1360="","",INDEX(资金日记账!$X$4:$X$603,226))</f>
        <v/>
      </c>
      <c r="M1360" s="32"/>
      <c r="N1360" s="26" t="str">
        <f>IF($E1360="","",INDEX(资金日记账!$Y$4:$Y$603,226))</f>
        <v/>
      </c>
      <c r="O1360" s="26" t="str">
        <f t="shared" si="74"/>
        <v/>
      </c>
      <c r="P1360" s="10"/>
    </row>
    <row r="1361" ht="18" customHeight="1" spans="1:16">
      <c r="A1361" s="32" t="str">
        <f t="shared" si="73"/>
        <v/>
      </c>
      <c r="B1361" s="100" t="str">
        <f>IF($E1361="","",INDEX(资金日记账!$B$4:$B$603,226))</f>
        <v/>
      </c>
      <c r="C1361" s="26" t="str">
        <f>IF($E1361="","",IF(INDEX(资金日记账!$W$4:$W$603,226)="","记-"&amp;TEXT($B1361,"YYYYMM")&amp;"-资金",INDEX(资金日记账!$W$4:$W$603,226)))</f>
        <v/>
      </c>
      <c r="D1361" s="32" t="str">
        <f>IF($E1361="","",INDEX(资金日记账!$D$4:$D$603,226))</f>
        <v/>
      </c>
      <c r="E1361" s="26" t="str">
        <f>IF(INDEX(资金日记账!$N$4:$S$603,226,4)=0,"",INDEX(资金日记账!$N$4:$S$603,226,4))</f>
        <v/>
      </c>
      <c r="F1361" s="25" t="str">
        <f>IF($E1361="","",IFERROR(INDEX(科目表!$A$4:$A$81,MATCH($E1361,科目表!$B$4:$B$81,0)),""))</f>
        <v/>
      </c>
      <c r="G1361" s="26" t="str">
        <f>IF($E1361="","",IFERROR(INDEX(科目表!$E$4:$E$81,MATCH($E1361,科目表!$B$4:$B$81,0)),""))</f>
        <v/>
      </c>
      <c r="H1361" s="27" t="str">
        <f>IF($E1361="","",N(INDEX(资金日记账!$N$4:$S$603,226,5)))</f>
        <v/>
      </c>
      <c r="I1361" s="27" t="str">
        <f>IF($E1361="","",N(INDEX(资金日记账!$N$4:$S$603,226,6)))</f>
        <v/>
      </c>
      <c r="J1361" s="26" t="str">
        <f>IF($E1361="","",INDEX(资金日记账!$E$4:$E$603,226))</f>
        <v/>
      </c>
      <c r="K1361" s="26" t="str">
        <f>IF($E1361="","",INDEX(资金日记账!$F$4:$F$603,226))</f>
        <v/>
      </c>
      <c r="L1361" s="32" t="str">
        <f>IF($E1361="","",INDEX(资金日记账!$X$4:$X$603,226))</f>
        <v/>
      </c>
      <c r="M1361" s="32"/>
      <c r="N1361" s="26" t="str">
        <f>IF($E1361="","",INDEX(资金日记账!$Y$4:$Y$603,226))</f>
        <v/>
      </c>
      <c r="O1361" s="26" t="str">
        <f t="shared" si="74"/>
        <v/>
      </c>
      <c r="P1361" s="10"/>
    </row>
    <row r="1362" ht="18" customHeight="1" spans="1:16">
      <c r="A1362" s="32" t="str">
        <f t="shared" si="73"/>
        <v/>
      </c>
      <c r="B1362" s="100" t="str">
        <f>IF($E1362="","",INDEX(资金日记账!$B$4:$B$603,227))</f>
        <v/>
      </c>
      <c r="C1362" s="26" t="str">
        <f>IF($E1362="","",IF(INDEX(资金日记账!$W$4:$W$603,227)="","记-"&amp;TEXT($B1362,"YYYYMM")&amp;"-资金",INDEX(资金日记账!$W$4:$W$603,227)))</f>
        <v/>
      </c>
      <c r="D1362" s="32" t="str">
        <f>IF($E1362="","",INDEX(资金日记账!$D$4:$D$603,227))</f>
        <v/>
      </c>
      <c r="E1362" s="26" t="str">
        <f>IF(INDEX(资金日记账!$N$4:$S$603,227,1)=0,"",INDEX(资金日记账!$N$4:$S$603,227,1))</f>
        <v/>
      </c>
      <c r="F1362" s="25" t="str">
        <f>IF($E1362="","",IFERROR(INDEX(科目表!$A$4:$A$81,MATCH($E1362,科目表!$B$4:$B$81,0)),""))</f>
        <v/>
      </c>
      <c r="G1362" s="26" t="str">
        <f>IF($E1362="","",IFERROR(INDEX(科目表!$E$4:$E$81,MATCH($E1362,科目表!$B$4:$B$81,0)),""))</f>
        <v/>
      </c>
      <c r="H1362" s="27" t="str">
        <f>IF($E1362="","",N(INDEX(资金日记账!$N$4:$S$603,227,2)))</f>
        <v/>
      </c>
      <c r="I1362" s="27" t="str">
        <f>IF($E1362="","",N(INDEX(资金日记账!$N$4:$S$603,227,3)))</f>
        <v/>
      </c>
      <c r="J1362" s="26" t="str">
        <f>IF($E1362="","",INDEX(资金日记账!$E$4:$E$603,227))</f>
        <v/>
      </c>
      <c r="K1362" s="26" t="str">
        <f>IF($E1362="","",INDEX(资金日记账!$F$4:$F$603,227))</f>
        <v/>
      </c>
      <c r="L1362" s="32" t="str">
        <f>IF($E1362="","",INDEX(资金日记账!$X$4:$X$603,227))</f>
        <v/>
      </c>
      <c r="M1362" s="32"/>
      <c r="N1362" s="26" t="str">
        <f>IF($E1362="","",INDEX(资金日记账!$Y$4:$Y$603,227))</f>
        <v/>
      </c>
      <c r="O1362" s="26" t="str">
        <f t="shared" si="74"/>
        <v/>
      </c>
      <c r="P1362" s="10"/>
    </row>
    <row r="1363" ht="18" customHeight="1" spans="1:16">
      <c r="A1363" s="32" t="str">
        <f t="shared" si="73"/>
        <v/>
      </c>
      <c r="B1363" s="100" t="str">
        <f>IF($E1363="","",INDEX(资金日记账!$B$4:$B$603,227))</f>
        <v/>
      </c>
      <c r="C1363" s="26" t="str">
        <f>IF($E1363="","",IF(INDEX(资金日记账!$W$4:$W$603,227)="","记-"&amp;TEXT($B1363,"YYYYMM")&amp;"-资金",INDEX(资金日记账!$W$4:$W$603,227)))</f>
        <v/>
      </c>
      <c r="D1363" s="32" t="str">
        <f>IF($E1363="","",INDEX(资金日记账!$D$4:$D$603,227))</f>
        <v/>
      </c>
      <c r="E1363" s="26" t="str">
        <f>IF(INDEX(资金日记账!$N$4:$S$603,227,4)=0,"",INDEX(资金日记账!$N$4:$S$603,227,4))</f>
        <v/>
      </c>
      <c r="F1363" s="25" t="str">
        <f>IF($E1363="","",IFERROR(INDEX(科目表!$A$4:$A$81,MATCH($E1363,科目表!$B$4:$B$81,0)),""))</f>
        <v/>
      </c>
      <c r="G1363" s="26" t="str">
        <f>IF($E1363="","",IFERROR(INDEX(科目表!$E$4:$E$81,MATCH($E1363,科目表!$B$4:$B$81,0)),""))</f>
        <v/>
      </c>
      <c r="H1363" s="27" t="str">
        <f>IF($E1363="","",N(INDEX(资金日记账!$N$4:$S$603,227,5)))</f>
        <v/>
      </c>
      <c r="I1363" s="27" t="str">
        <f>IF($E1363="","",N(INDEX(资金日记账!$N$4:$S$603,227,6)))</f>
        <v/>
      </c>
      <c r="J1363" s="26" t="str">
        <f>IF($E1363="","",INDEX(资金日记账!$E$4:$E$603,227))</f>
        <v/>
      </c>
      <c r="K1363" s="26" t="str">
        <f>IF($E1363="","",INDEX(资金日记账!$F$4:$F$603,227))</f>
        <v/>
      </c>
      <c r="L1363" s="32" t="str">
        <f>IF($E1363="","",INDEX(资金日记账!$X$4:$X$603,227))</f>
        <v/>
      </c>
      <c r="M1363" s="32"/>
      <c r="N1363" s="26" t="str">
        <f>IF($E1363="","",INDEX(资金日记账!$Y$4:$Y$603,227))</f>
        <v/>
      </c>
      <c r="O1363" s="26" t="str">
        <f t="shared" si="74"/>
        <v/>
      </c>
      <c r="P1363" s="10"/>
    </row>
    <row r="1364" ht="18" customHeight="1" spans="1:16">
      <c r="A1364" s="32" t="str">
        <f t="shared" si="73"/>
        <v/>
      </c>
      <c r="B1364" s="100" t="str">
        <f>IF($E1364="","",INDEX(资金日记账!$B$4:$B$603,228))</f>
        <v/>
      </c>
      <c r="C1364" s="26" t="str">
        <f>IF($E1364="","",IF(INDEX(资金日记账!$W$4:$W$603,228)="","记-"&amp;TEXT($B1364,"YYYYMM")&amp;"-资金",INDEX(资金日记账!$W$4:$W$603,228)))</f>
        <v/>
      </c>
      <c r="D1364" s="32" t="str">
        <f>IF($E1364="","",INDEX(资金日记账!$D$4:$D$603,228))</f>
        <v/>
      </c>
      <c r="E1364" s="26" t="str">
        <f>IF(INDEX(资金日记账!$N$4:$S$603,228,1)=0,"",INDEX(资金日记账!$N$4:$S$603,228,1))</f>
        <v/>
      </c>
      <c r="F1364" s="25" t="str">
        <f>IF($E1364="","",IFERROR(INDEX(科目表!$A$4:$A$81,MATCH($E1364,科目表!$B$4:$B$81,0)),""))</f>
        <v/>
      </c>
      <c r="G1364" s="26" t="str">
        <f>IF($E1364="","",IFERROR(INDEX(科目表!$E$4:$E$81,MATCH($E1364,科目表!$B$4:$B$81,0)),""))</f>
        <v/>
      </c>
      <c r="H1364" s="27" t="str">
        <f>IF($E1364="","",N(INDEX(资金日记账!$N$4:$S$603,228,2)))</f>
        <v/>
      </c>
      <c r="I1364" s="27" t="str">
        <f>IF($E1364="","",N(INDEX(资金日记账!$N$4:$S$603,228,3)))</f>
        <v/>
      </c>
      <c r="J1364" s="26" t="str">
        <f>IF($E1364="","",INDEX(资金日记账!$E$4:$E$603,228))</f>
        <v/>
      </c>
      <c r="K1364" s="26" t="str">
        <f>IF($E1364="","",INDEX(资金日记账!$F$4:$F$603,228))</f>
        <v/>
      </c>
      <c r="L1364" s="32" t="str">
        <f>IF($E1364="","",INDEX(资金日记账!$X$4:$X$603,228))</f>
        <v/>
      </c>
      <c r="M1364" s="32"/>
      <c r="N1364" s="26" t="str">
        <f>IF($E1364="","",INDEX(资金日记账!$Y$4:$Y$603,228))</f>
        <v/>
      </c>
      <c r="O1364" s="26" t="str">
        <f t="shared" si="74"/>
        <v/>
      </c>
      <c r="P1364" s="10"/>
    </row>
    <row r="1365" ht="18" customHeight="1" spans="1:16">
      <c r="A1365" s="32" t="str">
        <f t="shared" si="73"/>
        <v/>
      </c>
      <c r="B1365" s="100" t="str">
        <f>IF($E1365="","",INDEX(资金日记账!$B$4:$B$603,228))</f>
        <v/>
      </c>
      <c r="C1365" s="26" t="str">
        <f>IF($E1365="","",IF(INDEX(资金日记账!$W$4:$W$603,228)="","记-"&amp;TEXT($B1365,"YYYYMM")&amp;"-资金",INDEX(资金日记账!$W$4:$W$603,228)))</f>
        <v/>
      </c>
      <c r="D1365" s="32" t="str">
        <f>IF($E1365="","",INDEX(资金日记账!$D$4:$D$603,228))</f>
        <v/>
      </c>
      <c r="E1365" s="26" t="str">
        <f>IF(INDEX(资金日记账!$N$4:$S$603,228,4)=0,"",INDEX(资金日记账!$N$4:$S$603,228,4))</f>
        <v/>
      </c>
      <c r="F1365" s="25" t="str">
        <f>IF($E1365="","",IFERROR(INDEX(科目表!$A$4:$A$81,MATCH($E1365,科目表!$B$4:$B$81,0)),""))</f>
        <v/>
      </c>
      <c r="G1365" s="26" t="str">
        <f>IF($E1365="","",IFERROR(INDEX(科目表!$E$4:$E$81,MATCH($E1365,科目表!$B$4:$B$81,0)),""))</f>
        <v/>
      </c>
      <c r="H1365" s="27" t="str">
        <f>IF($E1365="","",N(INDEX(资金日记账!$N$4:$S$603,228,5)))</f>
        <v/>
      </c>
      <c r="I1365" s="27" t="str">
        <f>IF($E1365="","",N(INDEX(资金日记账!$N$4:$S$603,228,6)))</f>
        <v/>
      </c>
      <c r="J1365" s="26" t="str">
        <f>IF($E1365="","",INDEX(资金日记账!$E$4:$E$603,228))</f>
        <v/>
      </c>
      <c r="K1365" s="26" t="str">
        <f>IF($E1365="","",INDEX(资金日记账!$F$4:$F$603,228))</f>
        <v/>
      </c>
      <c r="L1365" s="32" t="str">
        <f>IF($E1365="","",INDEX(资金日记账!$X$4:$X$603,228))</f>
        <v/>
      </c>
      <c r="M1365" s="32"/>
      <c r="N1365" s="26" t="str">
        <f>IF($E1365="","",INDEX(资金日记账!$Y$4:$Y$603,228))</f>
        <v/>
      </c>
      <c r="O1365" s="26" t="str">
        <f t="shared" si="74"/>
        <v/>
      </c>
      <c r="P1365" s="10"/>
    </row>
    <row r="1366" ht="18" customHeight="1" spans="1:16">
      <c r="A1366" s="32" t="str">
        <f t="shared" si="73"/>
        <v/>
      </c>
      <c r="B1366" s="100" t="str">
        <f>IF($E1366="","",INDEX(资金日记账!$B$4:$B$603,229))</f>
        <v/>
      </c>
      <c r="C1366" s="26" t="str">
        <f>IF($E1366="","",IF(INDEX(资金日记账!$W$4:$W$603,229)="","记-"&amp;TEXT($B1366,"YYYYMM")&amp;"-资金",INDEX(资金日记账!$W$4:$W$603,229)))</f>
        <v/>
      </c>
      <c r="D1366" s="32" t="str">
        <f>IF($E1366="","",INDEX(资金日记账!$D$4:$D$603,229))</f>
        <v/>
      </c>
      <c r="E1366" s="26" t="str">
        <f>IF(INDEX(资金日记账!$N$4:$S$603,229,1)=0,"",INDEX(资金日记账!$N$4:$S$603,229,1))</f>
        <v/>
      </c>
      <c r="F1366" s="25" t="str">
        <f>IF($E1366="","",IFERROR(INDEX(科目表!$A$4:$A$81,MATCH($E1366,科目表!$B$4:$B$81,0)),""))</f>
        <v/>
      </c>
      <c r="G1366" s="26" t="str">
        <f>IF($E1366="","",IFERROR(INDEX(科目表!$E$4:$E$81,MATCH($E1366,科目表!$B$4:$B$81,0)),""))</f>
        <v/>
      </c>
      <c r="H1366" s="27" t="str">
        <f>IF($E1366="","",N(INDEX(资金日记账!$N$4:$S$603,229,2)))</f>
        <v/>
      </c>
      <c r="I1366" s="27" t="str">
        <f>IF($E1366="","",N(INDEX(资金日记账!$N$4:$S$603,229,3)))</f>
        <v/>
      </c>
      <c r="J1366" s="26" t="str">
        <f>IF($E1366="","",INDEX(资金日记账!$E$4:$E$603,229))</f>
        <v/>
      </c>
      <c r="K1366" s="26" t="str">
        <f>IF($E1366="","",INDEX(资金日记账!$F$4:$F$603,229))</f>
        <v/>
      </c>
      <c r="L1366" s="32" t="str">
        <f>IF($E1366="","",INDEX(资金日记账!$X$4:$X$603,229))</f>
        <v/>
      </c>
      <c r="M1366" s="32"/>
      <c r="N1366" s="26" t="str">
        <f>IF($E1366="","",INDEX(资金日记账!$Y$4:$Y$603,229))</f>
        <v/>
      </c>
      <c r="O1366" s="26" t="str">
        <f t="shared" si="74"/>
        <v/>
      </c>
      <c r="P1366" s="10"/>
    </row>
    <row r="1367" ht="18" customHeight="1" spans="1:16">
      <c r="A1367" s="32" t="str">
        <f t="shared" si="73"/>
        <v/>
      </c>
      <c r="B1367" s="100" t="str">
        <f>IF($E1367="","",INDEX(资金日记账!$B$4:$B$603,229))</f>
        <v/>
      </c>
      <c r="C1367" s="26" t="str">
        <f>IF($E1367="","",IF(INDEX(资金日记账!$W$4:$W$603,229)="","记-"&amp;TEXT($B1367,"YYYYMM")&amp;"-资金",INDEX(资金日记账!$W$4:$W$603,229)))</f>
        <v/>
      </c>
      <c r="D1367" s="32" t="str">
        <f>IF($E1367="","",INDEX(资金日记账!$D$4:$D$603,229))</f>
        <v/>
      </c>
      <c r="E1367" s="26" t="str">
        <f>IF(INDEX(资金日记账!$N$4:$S$603,229,4)=0,"",INDEX(资金日记账!$N$4:$S$603,229,4))</f>
        <v/>
      </c>
      <c r="F1367" s="25" t="str">
        <f>IF($E1367="","",IFERROR(INDEX(科目表!$A$4:$A$81,MATCH($E1367,科目表!$B$4:$B$81,0)),""))</f>
        <v/>
      </c>
      <c r="G1367" s="26" t="str">
        <f>IF($E1367="","",IFERROR(INDEX(科目表!$E$4:$E$81,MATCH($E1367,科目表!$B$4:$B$81,0)),""))</f>
        <v/>
      </c>
      <c r="H1367" s="27" t="str">
        <f>IF($E1367="","",N(INDEX(资金日记账!$N$4:$S$603,229,5)))</f>
        <v/>
      </c>
      <c r="I1367" s="27" t="str">
        <f>IF($E1367="","",N(INDEX(资金日记账!$N$4:$S$603,229,6)))</f>
        <v/>
      </c>
      <c r="J1367" s="26" t="str">
        <f>IF($E1367="","",INDEX(资金日记账!$E$4:$E$603,229))</f>
        <v/>
      </c>
      <c r="K1367" s="26" t="str">
        <f>IF($E1367="","",INDEX(资金日记账!$F$4:$F$603,229))</f>
        <v/>
      </c>
      <c r="L1367" s="32" t="str">
        <f>IF($E1367="","",INDEX(资金日记账!$X$4:$X$603,229))</f>
        <v/>
      </c>
      <c r="M1367" s="32"/>
      <c r="N1367" s="26" t="str">
        <f>IF($E1367="","",INDEX(资金日记账!$Y$4:$Y$603,229))</f>
        <v/>
      </c>
      <c r="O1367" s="26" t="str">
        <f t="shared" si="74"/>
        <v/>
      </c>
      <c r="P1367" s="10"/>
    </row>
    <row r="1368" ht="18" customHeight="1" spans="1:16">
      <c r="A1368" s="32" t="str">
        <f t="shared" si="73"/>
        <v/>
      </c>
      <c r="B1368" s="100" t="str">
        <f>IF($E1368="","",INDEX(资金日记账!$B$4:$B$603,230))</f>
        <v/>
      </c>
      <c r="C1368" s="26" t="str">
        <f>IF($E1368="","",IF(INDEX(资金日记账!$W$4:$W$603,230)="","记-"&amp;TEXT($B1368,"YYYYMM")&amp;"-资金",INDEX(资金日记账!$W$4:$W$603,230)))</f>
        <v/>
      </c>
      <c r="D1368" s="32" t="str">
        <f>IF($E1368="","",INDEX(资金日记账!$D$4:$D$603,230))</f>
        <v/>
      </c>
      <c r="E1368" s="26" t="str">
        <f>IF(INDEX(资金日记账!$N$4:$S$603,230,1)=0,"",INDEX(资金日记账!$N$4:$S$603,230,1))</f>
        <v/>
      </c>
      <c r="F1368" s="25" t="str">
        <f>IF($E1368="","",IFERROR(INDEX(科目表!$A$4:$A$81,MATCH($E1368,科目表!$B$4:$B$81,0)),""))</f>
        <v/>
      </c>
      <c r="G1368" s="26" t="str">
        <f>IF($E1368="","",IFERROR(INDEX(科目表!$E$4:$E$81,MATCH($E1368,科目表!$B$4:$B$81,0)),""))</f>
        <v/>
      </c>
      <c r="H1368" s="27" t="str">
        <f>IF($E1368="","",N(INDEX(资金日记账!$N$4:$S$603,230,2)))</f>
        <v/>
      </c>
      <c r="I1368" s="27" t="str">
        <f>IF($E1368="","",N(INDEX(资金日记账!$N$4:$S$603,230,3)))</f>
        <v/>
      </c>
      <c r="J1368" s="26" t="str">
        <f>IF($E1368="","",INDEX(资金日记账!$E$4:$E$603,230))</f>
        <v/>
      </c>
      <c r="K1368" s="26" t="str">
        <f>IF($E1368="","",INDEX(资金日记账!$F$4:$F$603,230))</f>
        <v/>
      </c>
      <c r="L1368" s="32" t="str">
        <f>IF($E1368="","",INDEX(资金日记账!$X$4:$X$603,230))</f>
        <v/>
      </c>
      <c r="M1368" s="32"/>
      <c r="N1368" s="26" t="str">
        <f>IF($E1368="","",INDEX(资金日记账!$Y$4:$Y$603,230))</f>
        <v/>
      </c>
      <c r="O1368" s="26" t="str">
        <f t="shared" si="74"/>
        <v/>
      </c>
      <c r="P1368" s="10"/>
    </row>
    <row r="1369" ht="18" customHeight="1" spans="1:16">
      <c r="A1369" s="32" t="str">
        <f t="shared" si="73"/>
        <v/>
      </c>
      <c r="B1369" s="100" t="str">
        <f>IF($E1369="","",INDEX(资金日记账!$B$4:$B$603,230))</f>
        <v/>
      </c>
      <c r="C1369" s="26" t="str">
        <f>IF($E1369="","",IF(INDEX(资金日记账!$W$4:$W$603,230)="","记-"&amp;TEXT($B1369,"YYYYMM")&amp;"-资金",INDEX(资金日记账!$W$4:$W$603,230)))</f>
        <v/>
      </c>
      <c r="D1369" s="32" t="str">
        <f>IF($E1369="","",INDEX(资金日记账!$D$4:$D$603,230))</f>
        <v/>
      </c>
      <c r="E1369" s="26" t="str">
        <f>IF(INDEX(资金日记账!$N$4:$S$603,230,4)=0,"",INDEX(资金日记账!$N$4:$S$603,230,4))</f>
        <v/>
      </c>
      <c r="F1369" s="25" t="str">
        <f>IF($E1369="","",IFERROR(INDEX(科目表!$A$4:$A$81,MATCH($E1369,科目表!$B$4:$B$81,0)),""))</f>
        <v/>
      </c>
      <c r="G1369" s="26" t="str">
        <f>IF($E1369="","",IFERROR(INDEX(科目表!$E$4:$E$81,MATCH($E1369,科目表!$B$4:$B$81,0)),""))</f>
        <v/>
      </c>
      <c r="H1369" s="27" t="str">
        <f>IF($E1369="","",N(INDEX(资金日记账!$N$4:$S$603,230,5)))</f>
        <v/>
      </c>
      <c r="I1369" s="27" t="str">
        <f>IF($E1369="","",N(INDEX(资金日记账!$N$4:$S$603,230,6)))</f>
        <v/>
      </c>
      <c r="J1369" s="26" t="str">
        <f>IF($E1369="","",INDEX(资金日记账!$E$4:$E$603,230))</f>
        <v/>
      </c>
      <c r="K1369" s="26" t="str">
        <f>IF($E1369="","",INDEX(资金日记账!$F$4:$F$603,230))</f>
        <v/>
      </c>
      <c r="L1369" s="32" t="str">
        <f>IF($E1369="","",INDEX(资金日记账!$X$4:$X$603,230))</f>
        <v/>
      </c>
      <c r="M1369" s="32"/>
      <c r="N1369" s="26" t="str">
        <f>IF($E1369="","",INDEX(资金日记账!$Y$4:$Y$603,230))</f>
        <v/>
      </c>
      <c r="O1369" s="26" t="str">
        <f t="shared" si="74"/>
        <v/>
      </c>
      <c r="P1369" s="10"/>
    </row>
    <row r="1370" ht="18" customHeight="1" spans="1:16">
      <c r="A1370" s="32" t="str">
        <f t="shared" si="73"/>
        <v/>
      </c>
      <c r="B1370" s="100" t="str">
        <f>IF($E1370="","",INDEX(资金日记账!$B$4:$B$603,231))</f>
        <v/>
      </c>
      <c r="C1370" s="26" t="str">
        <f>IF($E1370="","",IF(INDEX(资金日记账!$W$4:$W$603,231)="","记-"&amp;TEXT($B1370,"YYYYMM")&amp;"-资金",INDEX(资金日记账!$W$4:$W$603,231)))</f>
        <v/>
      </c>
      <c r="D1370" s="32" t="str">
        <f>IF($E1370="","",INDEX(资金日记账!$D$4:$D$603,231))</f>
        <v/>
      </c>
      <c r="E1370" s="26" t="str">
        <f>IF(INDEX(资金日记账!$N$4:$S$603,231,1)=0,"",INDEX(资金日记账!$N$4:$S$603,231,1))</f>
        <v/>
      </c>
      <c r="F1370" s="25" t="str">
        <f>IF($E1370="","",IFERROR(INDEX(科目表!$A$4:$A$81,MATCH($E1370,科目表!$B$4:$B$81,0)),""))</f>
        <v/>
      </c>
      <c r="G1370" s="26" t="str">
        <f>IF($E1370="","",IFERROR(INDEX(科目表!$E$4:$E$81,MATCH($E1370,科目表!$B$4:$B$81,0)),""))</f>
        <v/>
      </c>
      <c r="H1370" s="27" t="str">
        <f>IF($E1370="","",N(INDEX(资金日记账!$N$4:$S$603,231,2)))</f>
        <v/>
      </c>
      <c r="I1370" s="27" t="str">
        <f>IF($E1370="","",N(INDEX(资金日记账!$N$4:$S$603,231,3)))</f>
        <v/>
      </c>
      <c r="J1370" s="26" t="str">
        <f>IF($E1370="","",INDEX(资金日记账!$E$4:$E$603,231))</f>
        <v/>
      </c>
      <c r="K1370" s="26" t="str">
        <f>IF($E1370="","",INDEX(资金日记账!$F$4:$F$603,231))</f>
        <v/>
      </c>
      <c r="L1370" s="32" t="str">
        <f>IF($E1370="","",INDEX(资金日记账!$X$4:$X$603,231))</f>
        <v/>
      </c>
      <c r="M1370" s="32"/>
      <c r="N1370" s="26" t="str">
        <f>IF($E1370="","",INDEX(资金日记账!$Y$4:$Y$603,231))</f>
        <v/>
      </c>
      <c r="O1370" s="26" t="str">
        <f t="shared" si="74"/>
        <v/>
      </c>
      <c r="P1370" s="10"/>
    </row>
    <row r="1371" ht="18" customHeight="1" spans="1:16">
      <c r="A1371" s="32" t="str">
        <f t="shared" si="73"/>
        <v/>
      </c>
      <c r="B1371" s="100" t="str">
        <f>IF($E1371="","",INDEX(资金日记账!$B$4:$B$603,231))</f>
        <v/>
      </c>
      <c r="C1371" s="26" t="str">
        <f>IF($E1371="","",IF(INDEX(资金日记账!$W$4:$W$603,231)="","记-"&amp;TEXT($B1371,"YYYYMM")&amp;"-资金",INDEX(资金日记账!$W$4:$W$603,231)))</f>
        <v/>
      </c>
      <c r="D1371" s="32" t="str">
        <f>IF($E1371="","",INDEX(资金日记账!$D$4:$D$603,231))</f>
        <v/>
      </c>
      <c r="E1371" s="26" t="str">
        <f>IF(INDEX(资金日记账!$N$4:$S$603,231,4)=0,"",INDEX(资金日记账!$N$4:$S$603,231,4))</f>
        <v/>
      </c>
      <c r="F1371" s="25" t="str">
        <f>IF($E1371="","",IFERROR(INDEX(科目表!$A$4:$A$81,MATCH($E1371,科目表!$B$4:$B$81,0)),""))</f>
        <v/>
      </c>
      <c r="G1371" s="26" t="str">
        <f>IF($E1371="","",IFERROR(INDEX(科目表!$E$4:$E$81,MATCH($E1371,科目表!$B$4:$B$81,0)),""))</f>
        <v/>
      </c>
      <c r="H1371" s="27" t="str">
        <f>IF($E1371="","",N(INDEX(资金日记账!$N$4:$S$603,231,5)))</f>
        <v/>
      </c>
      <c r="I1371" s="27" t="str">
        <f>IF($E1371="","",N(INDEX(资金日记账!$N$4:$S$603,231,6)))</f>
        <v/>
      </c>
      <c r="J1371" s="26" t="str">
        <f>IF($E1371="","",INDEX(资金日记账!$E$4:$E$603,231))</f>
        <v/>
      </c>
      <c r="K1371" s="26" t="str">
        <f>IF($E1371="","",INDEX(资金日记账!$F$4:$F$603,231))</f>
        <v/>
      </c>
      <c r="L1371" s="32" t="str">
        <f>IF($E1371="","",INDEX(资金日记账!$X$4:$X$603,231))</f>
        <v/>
      </c>
      <c r="M1371" s="32"/>
      <c r="N1371" s="26" t="str">
        <f>IF($E1371="","",INDEX(资金日记账!$Y$4:$Y$603,231))</f>
        <v/>
      </c>
      <c r="O1371" s="26" t="str">
        <f t="shared" si="74"/>
        <v/>
      </c>
      <c r="P1371" s="10"/>
    </row>
    <row r="1372" ht="18" customHeight="1" spans="1:16">
      <c r="A1372" s="32" t="str">
        <f t="shared" si="73"/>
        <v/>
      </c>
      <c r="B1372" s="100" t="str">
        <f>IF($E1372="","",INDEX(资金日记账!$B$4:$B$603,232))</f>
        <v/>
      </c>
      <c r="C1372" s="26" t="str">
        <f>IF($E1372="","",IF(INDEX(资金日记账!$W$4:$W$603,232)="","记-"&amp;TEXT($B1372,"YYYYMM")&amp;"-资金",INDEX(资金日记账!$W$4:$W$603,232)))</f>
        <v/>
      </c>
      <c r="D1372" s="32" t="str">
        <f>IF($E1372="","",INDEX(资金日记账!$D$4:$D$603,232))</f>
        <v/>
      </c>
      <c r="E1372" s="26" t="str">
        <f>IF(INDEX(资金日记账!$N$4:$S$603,232,1)=0,"",INDEX(资金日记账!$N$4:$S$603,232,1))</f>
        <v/>
      </c>
      <c r="F1372" s="25" t="str">
        <f>IF($E1372="","",IFERROR(INDEX(科目表!$A$4:$A$81,MATCH($E1372,科目表!$B$4:$B$81,0)),""))</f>
        <v/>
      </c>
      <c r="G1372" s="26" t="str">
        <f>IF($E1372="","",IFERROR(INDEX(科目表!$E$4:$E$81,MATCH($E1372,科目表!$B$4:$B$81,0)),""))</f>
        <v/>
      </c>
      <c r="H1372" s="27" t="str">
        <f>IF($E1372="","",N(INDEX(资金日记账!$N$4:$S$603,232,2)))</f>
        <v/>
      </c>
      <c r="I1372" s="27" t="str">
        <f>IF($E1372="","",N(INDEX(资金日记账!$N$4:$S$603,232,3)))</f>
        <v/>
      </c>
      <c r="J1372" s="26" t="str">
        <f>IF($E1372="","",INDEX(资金日记账!$E$4:$E$603,232))</f>
        <v/>
      </c>
      <c r="K1372" s="26" t="str">
        <f>IF($E1372="","",INDEX(资金日记账!$F$4:$F$603,232))</f>
        <v/>
      </c>
      <c r="L1372" s="32" t="str">
        <f>IF($E1372="","",INDEX(资金日记账!$X$4:$X$603,232))</f>
        <v/>
      </c>
      <c r="M1372" s="32"/>
      <c r="N1372" s="26" t="str">
        <f>IF($E1372="","",INDEX(资金日记账!$Y$4:$Y$603,232))</f>
        <v/>
      </c>
      <c r="O1372" s="26" t="str">
        <f t="shared" si="74"/>
        <v/>
      </c>
      <c r="P1372" s="10"/>
    </row>
    <row r="1373" ht="18" customHeight="1" spans="1:16">
      <c r="A1373" s="32" t="str">
        <f t="shared" si="73"/>
        <v/>
      </c>
      <c r="B1373" s="100" t="str">
        <f>IF($E1373="","",INDEX(资金日记账!$B$4:$B$603,232))</f>
        <v/>
      </c>
      <c r="C1373" s="26" t="str">
        <f>IF($E1373="","",IF(INDEX(资金日记账!$W$4:$W$603,232)="","记-"&amp;TEXT($B1373,"YYYYMM")&amp;"-资金",INDEX(资金日记账!$W$4:$W$603,232)))</f>
        <v/>
      </c>
      <c r="D1373" s="32" t="str">
        <f>IF($E1373="","",INDEX(资金日记账!$D$4:$D$603,232))</f>
        <v/>
      </c>
      <c r="E1373" s="26" t="str">
        <f>IF(INDEX(资金日记账!$N$4:$S$603,232,4)=0,"",INDEX(资金日记账!$N$4:$S$603,232,4))</f>
        <v/>
      </c>
      <c r="F1373" s="25" t="str">
        <f>IF($E1373="","",IFERROR(INDEX(科目表!$A$4:$A$81,MATCH($E1373,科目表!$B$4:$B$81,0)),""))</f>
        <v/>
      </c>
      <c r="G1373" s="26" t="str">
        <f>IF($E1373="","",IFERROR(INDEX(科目表!$E$4:$E$81,MATCH($E1373,科目表!$B$4:$B$81,0)),""))</f>
        <v/>
      </c>
      <c r="H1373" s="27" t="str">
        <f>IF($E1373="","",N(INDEX(资金日记账!$N$4:$S$603,232,5)))</f>
        <v/>
      </c>
      <c r="I1373" s="27" t="str">
        <f>IF($E1373="","",N(INDEX(资金日记账!$N$4:$S$603,232,6)))</f>
        <v/>
      </c>
      <c r="J1373" s="26" t="str">
        <f>IF($E1373="","",INDEX(资金日记账!$E$4:$E$603,232))</f>
        <v/>
      </c>
      <c r="K1373" s="26" t="str">
        <f>IF($E1373="","",INDEX(资金日记账!$F$4:$F$603,232))</f>
        <v/>
      </c>
      <c r="L1373" s="32" t="str">
        <f>IF($E1373="","",INDEX(资金日记账!$X$4:$X$603,232))</f>
        <v/>
      </c>
      <c r="M1373" s="32"/>
      <c r="N1373" s="26" t="str">
        <f>IF($E1373="","",INDEX(资金日记账!$Y$4:$Y$603,232))</f>
        <v/>
      </c>
      <c r="O1373" s="26" t="str">
        <f t="shared" si="74"/>
        <v/>
      </c>
      <c r="P1373" s="10"/>
    </row>
    <row r="1374" ht="18" customHeight="1" spans="1:16">
      <c r="A1374" s="32" t="str">
        <f t="shared" si="73"/>
        <v/>
      </c>
      <c r="B1374" s="100" t="str">
        <f>IF($E1374="","",INDEX(资金日记账!$B$4:$B$603,233))</f>
        <v/>
      </c>
      <c r="C1374" s="26" t="str">
        <f>IF($E1374="","",IF(INDEX(资金日记账!$W$4:$W$603,233)="","记-"&amp;TEXT($B1374,"YYYYMM")&amp;"-资金",INDEX(资金日记账!$W$4:$W$603,233)))</f>
        <v/>
      </c>
      <c r="D1374" s="32" t="str">
        <f>IF($E1374="","",INDEX(资金日记账!$D$4:$D$603,233))</f>
        <v/>
      </c>
      <c r="E1374" s="26" t="str">
        <f>IF(INDEX(资金日记账!$N$4:$S$603,233,1)=0,"",INDEX(资金日记账!$N$4:$S$603,233,1))</f>
        <v/>
      </c>
      <c r="F1374" s="25" t="str">
        <f>IF($E1374="","",IFERROR(INDEX(科目表!$A$4:$A$81,MATCH($E1374,科目表!$B$4:$B$81,0)),""))</f>
        <v/>
      </c>
      <c r="G1374" s="26" t="str">
        <f>IF($E1374="","",IFERROR(INDEX(科目表!$E$4:$E$81,MATCH($E1374,科目表!$B$4:$B$81,0)),""))</f>
        <v/>
      </c>
      <c r="H1374" s="27" t="str">
        <f>IF($E1374="","",N(INDEX(资金日记账!$N$4:$S$603,233,2)))</f>
        <v/>
      </c>
      <c r="I1374" s="27" t="str">
        <f>IF($E1374="","",N(INDEX(资金日记账!$N$4:$S$603,233,3)))</f>
        <v/>
      </c>
      <c r="J1374" s="26" t="str">
        <f>IF($E1374="","",INDEX(资金日记账!$E$4:$E$603,233))</f>
        <v/>
      </c>
      <c r="K1374" s="26" t="str">
        <f>IF($E1374="","",INDEX(资金日记账!$F$4:$F$603,233))</f>
        <v/>
      </c>
      <c r="L1374" s="32" t="str">
        <f>IF($E1374="","",INDEX(资金日记账!$X$4:$X$603,233))</f>
        <v/>
      </c>
      <c r="M1374" s="32"/>
      <c r="N1374" s="26" t="str">
        <f>IF($E1374="","",INDEX(资金日记账!$Y$4:$Y$603,233))</f>
        <v/>
      </c>
      <c r="O1374" s="26" t="str">
        <f t="shared" si="74"/>
        <v/>
      </c>
      <c r="P1374" s="10"/>
    </row>
    <row r="1375" ht="18" customHeight="1" spans="1:16">
      <c r="A1375" s="32" t="str">
        <f t="shared" si="73"/>
        <v/>
      </c>
      <c r="B1375" s="100" t="str">
        <f>IF($E1375="","",INDEX(资金日记账!$B$4:$B$603,233))</f>
        <v/>
      </c>
      <c r="C1375" s="26" t="str">
        <f>IF($E1375="","",IF(INDEX(资金日记账!$W$4:$W$603,233)="","记-"&amp;TEXT($B1375,"YYYYMM")&amp;"-资金",INDEX(资金日记账!$W$4:$W$603,233)))</f>
        <v/>
      </c>
      <c r="D1375" s="32" t="str">
        <f>IF($E1375="","",INDEX(资金日记账!$D$4:$D$603,233))</f>
        <v/>
      </c>
      <c r="E1375" s="26" t="str">
        <f>IF(INDEX(资金日记账!$N$4:$S$603,233,4)=0,"",INDEX(资金日记账!$N$4:$S$603,233,4))</f>
        <v/>
      </c>
      <c r="F1375" s="25" t="str">
        <f>IF($E1375="","",IFERROR(INDEX(科目表!$A$4:$A$81,MATCH($E1375,科目表!$B$4:$B$81,0)),""))</f>
        <v/>
      </c>
      <c r="G1375" s="26" t="str">
        <f>IF($E1375="","",IFERROR(INDEX(科目表!$E$4:$E$81,MATCH($E1375,科目表!$B$4:$B$81,0)),""))</f>
        <v/>
      </c>
      <c r="H1375" s="27" t="str">
        <f>IF($E1375="","",N(INDEX(资金日记账!$N$4:$S$603,233,5)))</f>
        <v/>
      </c>
      <c r="I1375" s="27" t="str">
        <f>IF($E1375="","",N(INDEX(资金日记账!$N$4:$S$603,233,6)))</f>
        <v/>
      </c>
      <c r="J1375" s="26" t="str">
        <f>IF($E1375="","",INDEX(资金日记账!$E$4:$E$603,233))</f>
        <v/>
      </c>
      <c r="K1375" s="26" t="str">
        <f>IF($E1375="","",INDEX(资金日记账!$F$4:$F$603,233))</f>
        <v/>
      </c>
      <c r="L1375" s="32" t="str">
        <f>IF($E1375="","",INDEX(资金日记账!$X$4:$X$603,233))</f>
        <v/>
      </c>
      <c r="M1375" s="32"/>
      <c r="N1375" s="26" t="str">
        <f>IF($E1375="","",INDEX(资金日记账!$Y$4:$Y$603,233))</f>
        <v/>
      </c>
      <c r="O1375" s="26" t="str">
        <f t="shared" si="74"/>
        <v/>
      </c>
      <c r="P1375" s="10"/>
    </row>
    <row r="1376" ht="18" customHeight="1" spans="1:16">
      <c r="A1376" s="32" t="str">
        <f t="shared" si="73"/>
        <v/>
      </c>
      <c r="B1376" s="100" t="str">
        <f>IF($E1376="","",INDEX(资金日记账!$B$4:$B$603,234))</f>
        <v/>
      </c>
      <c r="C1376" s="26" t="str">
        <f>IF($E1376="","",IF(INDEX(资金日记账!$W$4:$W$603,234)="","记-"&amp;TEXT($B1376,"YYYYMM")&amp;"-资金",INDEX(资金日记账!$W$4:$W$603,234)))</f>
        <v/>
      </c>
      <c r="D1376" s="32" t="str">
        <f>IF($E1376="","",INDEX(资金日记账!$D$4:$D$603,234))</f>
        <v/>
      </c>
      <c r="E1376" s="26" t="str">
        <f>IF(INDEX(资金日记账!$N$4:$S$603,234,1)=0,"",INDEX(资金日记账!$N$4:$S$603,234,1))</f>
        <v/>
      </c>
      <c r="F1376" s="25" t="str">
        <f>IF($E1376="","",IFERROR(INDEX(科目表!$A$4:$A$81,MATCH($E1376,科目表!$B$4:$B$81,0)),""))</f>
        <v/>
      </c>
      <c r="G1376" s="26" t="str">
        <f>IF($E1376="","",IFERROR(INDEX(科目表!$E$4:$E$81,MATCH($E1376,科目表!$B$4:$B$81,0)),""))</f>
        <v/>
      </c>
      <c r="H1376" s="27" t="str">
        <f>IF($E1376="","",N(INDEX(资金日记账!$N$4:$S$603,234,2)))</f>
        <v/>
      </c>
      <c r="I1376" s="27" t="str">
        <f>IF($E1376="","",N(INDEX(资金日记账!$N$4:$S$603,234,3)))</f>
        <v/>
      </c>
      <c r="J1376" s="26" t="str">
        <f>IF($E1376="","",INDEX(资金日记账!$E$4:$E$603,234))</f>
        <v/>
      </c>
      <c r="K1376" s="26" t="str">
        <f>IF($E1376="","",INDEX(资金日记账!$F$4:$F$603,234))</f>
        <v/>
      </c>
      <c r="L1376" s="32" t="str">
        <f>IF($E1376="","",INDEX(资金日记账!$X$4:$X$603,234))</f>
        <v/>
      </c>
      <c r="M1376" s="32"/>
      <c r="N1376" s="26" t="str">
        <f>IF($E1376="","",INDEX(资金日记账!$Y$4:$Y$603,234))</f>
        <v/>
      </c>
      <c r="O1376" s="26" t="str">
        <f t="shared" si="74"/>
        <v/>
      </c>
      <c r="P1376" s="10"/>
    </row>
    <row r="1377" ht="18" customHeight="1" spans="1:16">
      <c r="A1377" s="32" t="str">
        <f t="shared" si="73"/>
        <v/>
      </c>
      <c r="B1377" s="100" t="str">
        <f>IF($E1377="","",INDEX(资金日记账!$B$4:$B$603,234))</f>
        <v/>
      </c>
      <c r="C1377" s="26" t="str">
        <f>IF($E1377="","",IF(INDEX(资金日记账!$W$4:$W$603,234)="","记-"&amp;TEXT($B1377,"YYYYMM")&amp;"-资金",INDEX(资金日记账!$W$4:$W$603,234)))</f>
        <v/>
      </c>
      <c r="D1377" s="32" t="str">
        <f>IF($E1377="","",INDEX(资金日记账!$D$4:$D$603,234))</f>
        <v/>
      </c>
      <c r="E1377" s="26" t="str">
        <f>IF(INDEX(资金日记账!$N$4:$S$603,234,4)=0,"",INDEX(资金日记账!$N$4:$S$603,234,4))</f>
        <v/>
      </c>
      <c r="F1377" s="25" t="str">
        <f>IF($E1377="","",IFERROR(INDEX(科目表!$A$4:$A$81,MATCH($E1377,科目表!$B$4:$B$81,0)),""))</f>
        <v/>
      </c>
      <c r="G1377" s="26" t="str">
        <f>IF($E1377="","",IFERROR(INDEX(科目表!$E$4:$E$81,MATCH($E1377,科目表!$B$4:$B$81,0)),""))</f>
        <v/>
      </c>
      <c r="H1377" s="27" t="str">
        <f>IF($E1377="","",N(INDEX(资金日记账!$N$4:$S$603,234,5)))</f>
        <v/>
      </c>
      <c r="I1377" s="27" t="str">
        <f>IF($E1377="","",N(INDEX(资金日记账!$N$4:$S$603,234,6)))</f>
        <v/>
      </c>
      <c r="J1377" s="26" t="str">
        <f>IF($E1377="","",INDEX(资金日记账!$E$4:$E$603,234))</f>
        <v/>
      </c>
      <c r="K1377" s="26" t="str">
        <f>IF($E1377="","",INDEX(资金日记账!$F$4:$F$603,234))</f>
        <v/>
      </c>
      <c r="L1377" s="32" t="str">
        <f>IF($E1377="","",INDEX(资金日记账!$X$4:$X$603,234))</f>
        <v/>
      </c>
      <c r="M1377" s="32"/>
      <c r="N1377" s="26" t="str">
        <f>IF($E1377="","",INDEX(资金日记账!$Y$4:$Y$603,234))</f>
        <v/>
      </c>
      <c r="O1377" s="26" t="str">
        <f t="shared" si="74"/>
        <v/>
      </c>
      <c r="P1377" s="10"/>
    </row>
    <row r="1378" ht="18" customHeight="1" spans="1:16">
      <c r="A1378" s="32" t="str">
        <f t="shared" si="73"/>
        <v/>
      </c>
      <c r="B1378" s="100" t="str">
        <f>IF($E1378="","",INDEX(资金日记账!$B$4:$B$603,235))</f>
        <v/>
      </c>
      <c r="C1378" s="26" t="str">
        <f>IF($E1378="","",IF(INDEX(资金日记账!$W$4:$W$603,235)="","记-"&amp;TEXT($B1378,"YYYYMM")&amp;"-资金",INDEX(资金日记账!$W$4:$W$603,235)))</f>
        <v/>
      </c>
      <c r="D1378" s="32" t="str">
        <f>IF($E1378="","",INDEX(资金日记账!$D$4:$D$603,235))</f>
        <v/>
      </c>
      <c r="E1378" s="26" t="str">
        <f>IF(INDEX(资金日记账!$N$4:$S$603,235,1)=0,"",INDEX(资金日记账!$N$4:$S$603,235,1))</f>
        <v/>
      </c>
      <c r="F1378" s="25" t="str">
        <f>IF($E1378="","",IFERROR(INDEX(科目表!$A$4:$A$81,MATCH($E1378,科目表!$B$4:$B$81,0)),""))</f>
        <v/>
      </c>
      <c r="G1378" s="26" t="str">
        <f>IF($E1378="","",IFERROR(INDEX(科目表!$E$4:$E$81,MATCH($E1378,科目表!$B$4:$B$81,0)),""))</f>
        <v/>
      </c>
      <c r="H1378" s="27" t="str">
        <f>IF($E1378="","",N(INDEX(资金日记账!$N$4:$S$603,235,2)))</f>
        <v/>
      </c>
      <c r="I1378" s="27" t="str">
        <f>IF($E1378="","",N(INDEX(资金日记账!$N$4:$S$603,235,3)))</f>
        <v/>
      </c>
      <c r="J1378" s="26" t="str">
        <f>IF($E1378="","",INDEX(资金日记账!$E$4:$E$603,235))</f>
        <v/>
      </c>
      <c r="K1378" s="26" t="str">
        <f>IF($E1378="","",INDEX(资金日记账!$F$4:$F$603,235))</f>
        <v/>
      </c>
      <c r="L1378" s="32" t="str">
        <f>IF($E1378="","",INDEX(资金日记账!$X$4:$X$603,235))</f>
        <v/>
      </c>
      <c r="M1378" s="32"/>
      <c r="N1378" s="26" t="str">
        <f>IF($E1378="","",INDEX(资金日记账!$Y$4:$Y$603,235))</f>
        <v/>
      </c>
      <c r="O1378" s="26" t="str">
        <f t="shared" si="74"/>
        <v/>
      </c>
      <c r="P1378" s="10"/>
    </row>
    <row r="1379" ht="18" customHeight="1" spans="1:16">
      <c r="A1379" s="32" t="str">
        <f t="shared" si="73"/>
        <v/>
      </c>
      <c r="B1379" s="100" t="str">
        <f>IF($E1379="","",INDEX(资金日记账!$B$4:$B$603,235))</f>
        <v/>
      </c>
      <c r="C1379" s="26" t="str">
        <f>IF($E1379="","",IF(INDEX(资金日记账!$W$4:$W$603,235)="","记-"&amp;TEXT($B1379,"YYYYMM")&amp;"-资金",INDEX(资金日记账!$W$4:$W$603,235)))</f>
        <v/>
      </c>
      <c r="D1379" s="32" t="str">
        <f>IF($E1379="","",INDEX(资金日记账!$D$4:$D$603,235))</f>
        <v/>
      </c>
      <c r="E1379" s="26" t="str">
        <f>IF(INDEX(资金日记账!$N$4:$S$603,235,4)=0,"",INDEX(资金日记账!$N$4:$S$603,235,4))</f>
        <v/>
      </c>
      <c r="F1379" s="25" t="str">
        <f>IF($E1379="","",IFERROR(INDEX(科目表!$A$4:$A$81,MATCH($E1379,科目表!$B$4:$B$81,0)),""))</f>
        <v/>
      </c>
      <c r="G1379" s="26" t="str">
        <f>IF($E1379="","",IFERROR(INDEX(科目表!$E$4:$E$81,MATCH($E1379,科目表!$B$4:$B$81,0)),""))</f>
        <v/>
      </c>
      <c r="H1379" s="27" t="str">
        <f>IF($E1379="","",N(INDEX(资金日记账!$N$4:$S$603,235,5)))</f>
        <v/>
      </c>
      <c r="I1379" s="27" t="str">
        <f>IF($E1379="","",N(INDEX(资金日记账!$N$4:$S$603,235,6)))</f>
        <v/>
      </c>
      <c r="J1379" s="26" t="str">
        <f>IF($E1379="","",INDEX(资金日记账!$E$4:$E$603,235))</f>
        <v/>
      </c>
      <c r="K1379" s="26" t="str">
        <f>IF($E1379="","",INDEX(资金日记账!$F$4:$F$603,235))</f>
        <v/>
      </c>
      <c r="L1379" s="32" t="str">
        <f>IF($E1379="","",INDEX(资金日记账!$X$4:$X$603,235))</f>
        <v/>
      </c>
      <c r="M1379" s="32"/>
      <c r="N1379" s="26" t="str">
        <f>IF($E1379="","",INDEX(资金日记账!$Y$4:$Y$603,235))</f>
        <v/>
      </c>
      <c r="O1379" s="26" t="str">
        <f t="shared" si="74"/>
        <v/>
      </c>
      <c r="P1379" s="10"/>
    </row>
    <row r="1380" ht="18" customHeight="1" spans="1:16">
      <c r="A1380" s="32" t="str">
        <f t="shared" si="73"/>
        <v/>
      </c>
      <c r="B1380" s="100" t="str">
        <f>IF($E1380="","",INDEX(资金日记账!$B$4:$B$603,236))</f>
        <v/>
      </c>
      <c r="C1380" s="26" t="str">
        <f>IF($E1380="","",IF(INDEX(资金日记账!$W$4:$W$603,236)="","记-"&amp;TEXT($B1380,"YYYYMM")&amp;"-资金",INDEX(资金日记账!$W$4:$W$603,236)))</f>
        <v/>
      </c>
      <c r="D1380" s="32" t="str">
        <f>IF($E1380="","",INDEX(资金日记账!$D$4:$D$603,236))</f>
        <v/>
      </c>
      <c r="E1380" s="26" t="str">
        <f>IF(INDEX(资金日记账!$N$4:$S$603,236,1)=0,"",INDEX(资金日记账!$N$4:$S$603,236,1))</f>
        <v/>
      </c>
      <c r="F1380" s="25" t="str">
        <f>IF($E1380="","",IFERROR(INDEX(科目表!$A$4:$A$81,MATCH($E1380,科目表!$B$4:$B$81,0)),""))</f>
        <v/>
      </c>
      <c r="G1380" s="26" t="str">
        <f>IF($E1380="","",IFERROR(INDEX(科目表!$E$4:$E$81,MATCH($E1380,科目表!$B$4:$B$81,0)),""))</f>
        <v/>
      </c>
      <c r="H1380" s="27" t="str">
        <f>IF($E1380="","",N(INDEX(资金日记账!$N$4:$S$603,236,2)))</f>
        <v/>
      </c>
      <c r="I1380" s="27" t="str">
        <f>IF($E1380="","",N(INDEX(资金日记账!$N$4:$S$603,236,3)))</f>
        <v/>
      </c>
      <c r="J1380" s="26" t="str">
        <f>IF($E1380="","",INDEX(资金日记账!$E$4:$E$603,236))</f>
        <v/>
      </c>
      <c r="K1380" s="26" t="str">
        <f>IF($E1380="","",INDEX(资金日记账!$F$4:$F$603,236))</f>
        <v/>
      </c>
      <c r="L1380" s="32" t="str">
        <f>IF($E1380="","",INDEX(资金日记账!$X$4:$X$603,236))</f>
        <v/>
      </c>
      <c r="M1380" s="32"/>
      <c r="N1380" s="26" t="str">
        <f>IF($E1380="","",INDEX(资金日记账!$Y$4:$Y$603,236))</f>
        <v/>
      </c>
      <c r="O1380" s="26" t="str">
        <f t="shared" si="74"/>
        <v/>
      </c>
      <c r="P1380" s="10"/>
    </row>
    <row r="1381" ht="18" customHeight="1" spans="1:16">
      <c r="A1381" s="32" t="str">
        <f t="shared" si="73"/>
        <v/>
      </c>
      <c r="B1381" s="100" t="str">
        <f>IF($E1381="","",INDEX(资金日记账!$B$4:$B$603,236))</f>
        <v/>
      </c>
      <c r="C1381" s="26" t="str">
        <f>IF($E1381="","",IF(INDEX(资金日记账!$W$4:$W$603,236)="","记-"&amp;TEXT($B1381,"YYYYMM")&amp;"-资金",INDEX(资金日记账!$W$4:$W$603,236)))</f>
        <v/>
      </c>
      <c r="D1381" s="32" t="str">
        <f>IF($E1381="","",INDEX(资金日记账!$D$4:$D$603,236))</f>
        <v/>
      </c>
      <c r="E1381" s="26" t="str">
        <f>IF(INDEX(资金日记账!$N$4:$S$603,236,4)=0,"",INDEX(资金日记账!$N$4:$S$603,236,4))</f>
        <v/>
      </c>
      <c r="F1381" s="25" t="str">
        <f>IF($E1381="","",IFERROR(INDEX(科目表!$A$4:$A$81,MATCH($E1381,科目表!$B$4:$B$81,0)),""))</f>
        <v/>
      </c>
      <c r="G1381" s="26" t="str">
        <f>IF($E1381="","",IFERROR(INDEX(科目表!$E$4:$E$81,MATCH($E1381,科目表!$B$4:$B$81,0)),""))</f>
        <v/>
      </c>
      <c r="H1381" s="27" t="str">
        <f>IF($E1381="","",N(INDEX(资金日记账!$N$4:$S$603,236,5)))</f>
        <v/>
      </c>
      <c r="I1381" s="27" t="str">
        <f>IF($E1381="","",N(INDEX(资金日记账!$N$4:$S$603,236,6)))</f>
        <v/>
      </c>
      <c r="J1381" s="26" t="str">
        <f>IF($E1381="","",INDEX(资金日记账!$E$4:$E$603,236))</f>
        <v/>
      </c>
      <c r="K1381" s="26" t="str">
        <f>IF($E1381="","",INDEX(资金日记账!$F$4:$F$603,236))</f>
        <v/>
      </c>
      <c r="L1381" s="32" t="str">
        <f>IF($E1381="","",INDEX(资金日记账!$X$4:$X$603,236))</f>
        <v/>
      </c>
      <c r="M1381" s="32"/>
      <c r="N1381" s="26" t="str">
        <f>IF($E1381="","",INDEX(资金日记账!$Y$4:$Y$603,236))</f>
        <v/>
      </c>
      <c r="O1381" s="26" t="str">
        <f t="shared" si="74"/>
        <v/>
      </c>
      <c r="P1381" s="10"/>
    </row>
    <row r="1382" ht="18" customHeight="1" spans="1:16">
      <c r="A1382" s="32" t="str">
        <f t="shared" si="73"/>
        <v/>
      </c>
      <c r="B1382" s="100" t="str">
        <f>IF($E1382="","",INDEX(资金日记账!$B$4:$B$603,237))</f>
        <v/>
      </c>
      <c r="C1382" s="26" t="str">
        <f>IF($E1382="","",IF(INDEX(资金日记账!$W$4:$W$603,237)="","记-"&amp;TEXT($B1382,"YYYYMM")&amp;"-资金",INDEX(资金日记账!$W$4:$W$603,237)))</f>
        <v/>
      </c>
      <c r="D1382" s="32" t="str">
        <f>IF($E1382="","",INDEX(资金日记账!$D$4:$D$603,237))</f>
        <v/>
      </c>
      <c r="E1382" s="26" t="str">
        <f>IF(INDEX(资金日记账!$N$4:$S$603,237,1)=0,"",INDEX(资金日记账!$N$4:$S$603,237,1))</f>
        <v/>
      </c>
      <c r="F1382" s="25" t="str">
        <f>IF($E1382="","",IFERROR(INDEX(科目表!$A$4:$A$81,MATCH($E1382,科目表!$B$4:$B$81,0)),""))</f>
        <v/>
      </c>
      <c r="G1382" s="26" t="str">
        <f>IF($E1382="","",IFERROR(INDEX(科目表!$E$4:$E$81,MATCH($E1382,科目表!$B$4:$B$81,0)),""))</f>
        <v/>
      </c>
      <c r="H1382" s="27" t="str">
        <f>IF($E1382="","",N(INDEX(资金日记账!$N$4:$S$603,237,2)))</f>
        <v/>
      </c>
      <c r="I1382" s="27" t="str">
        <f>IF($E1382="","",N(INDEX(资金日记账!$N$4:$S$603,237,3)))</f>
        <v/>
      </c>
      <c r="J1382" s="26" t="str">
        <f>IF($E1382="","",INDEX(资金日记账!$E$4:$E$603,237))</f>
        <v/>
      </c>
      <c r="K1382" s="26" t="str">
        <f>IF($E1382="","",INDEX(资金日记账!$F$4:$F$603,237))</f>
        <v/>
      </c>
      <c r="L1382" s="32" t="str">
        <f>IF($E1382="","",INDEX(资金日记账!$X$4:$X$603,237))</f>
        <v/>
      </c>
      <c r="M1382" s="32"/>
      <c r="N1382" s="26" t="str">
        <f>IF($E1382="","",INDEX(资金日记账!$Y$4:$Y$603,237))</f>
        <v/>
      </c>
      <c r="O1382" s="26" t="str">
        <f t="shared" si="74"/>
        <v/>
      </c>
      <c r="P1382" s="10"/>
    </row>
    <row r="1383" ht="18" customHeight="1" spans="1:16">
      <c r="A1383" s="32" t="str">
        <f t="shared" si="73"/>
        <v/>
      </c>
      <c r="B1383" s="100" t="str">
        <f>IF($E1383="","",INDEX(资金日记账!$B$4:$B$603,237))</f>
        <v/>
      </c>
      <c r="C1383" s="26" t="str">
        <f>IF($E1383="","",IF(INDEX(资金日记账!$W$4:$W$603,237)="","记-"&amp;TEXT($B1383,"YYYYMM")&amp;"-资金",INDEX(资金日记账!$W$4:$W$603,237)))</f>
        <v/>
      </c>
      <c r="D1383" s="32" t="str">
        <f>IF($E1383="","",INDEX(资金日记账!$D$4:$D$603,237))</f>
        <v/>
      </c>
      <c r="E1383" s="26" t="str">
        <f>IF(INDEX(资金日记账!$N$4:$S$603,237,4)=0,"",INDEX(资金日记账!$N$4:$S$603,237,4))</f>
        <v/>
      </c>
      <c r="F1383" s="25" t="str">
        <f>IF($E1383="","",IFERROR(INDEX(科目表!$A$4:$A$81,MATCH($E1383,科目表!$B$4:$B$81,0)),""))</f>
        <v/>
      </c>
      <c r="G1383" s="26" t="str">
        <f>IF($E1383="","",IFERROR(INDEX(科目表!$E$4:$E$81,MATCH($E1383,科目表!$B$4:$B$81,0)),""))</f>
        <v/>
      </c>
      <c r="H1383" s="27" t="str">
        <f>IF($E1383="","",N(INDEX(资金日记账!$N$4:$S$603,237,5)))</f>
        <v/>
      </c>
      <c r="I1383" s="27" t="str">
        <f>IF($E1383="","",N(INDEX(资金日记账!$N$4:$S$603,237,6)))</f>
        <v/>
      </c>
      <c r="J1383" s="26" t="str">
        <f>IF($E1383="","",INDEX(资金日记账!$E$4:$E$603,237))</f>
        <v/>
      </c>
      <c r="K1383" s="26" t="str">
        <f>IF($E1383="","",INDEX(资金日记账!$F$4:$F$603,237))</f>
        <v/>
      </c>
      <c r="L1383" s="32" t="str">
        <f>IF($E1383="","",INDEX(资金日记账!$X$4:$X$603,237))</f>
        <v/>
      </c>
      <c r="M1383" s="32"/>
      <c r="N1383" s="26" t="str">
        <f>IF($E1383="","",INDEX(资金日记账!$Y$4:$Y$603,237))</f>
        <v/>
      </c>
      <c r="O1383" s="26" t="str">
        <f t="shared" si="74"/>
        <v/>
      </c>
      <c r="P1383" s="10"/>
    </row>
    <row r="1384" ht="18" customHeight="1" spans="1:16">
      <c r="A1384" s="32" t="str">
        <f t="shared" si="73"/>
        <v/>
      </c>
      <c r="B1384" s="100" t="str">
        <f>IF($E1384="","",INDEX(资金日记账!$B$4:$B$603,238))</f>
        <v/>
      </c>
      <c r="C1384" s="26" t="str">
        <f>IF($E1384="","",IF(INDEX(资金日记账!$W$4:$W$603,238)="","记-"&amp;TEXT($B1384,"YYYYMM")&amp;"-资金",INDEX(资金日记账!$W$4:$W$603,238)))</f>
        <v/>
      </c>
      <c r="D1384" s="32" t="str">
        <f>IF($E1384="","",INDEX(资金日记账!$D$4:$D$603,238))</f>
        <v/>
      </c>
      <c r="E1384" s="26" t="str">
        <f>IF(INDEX(资金日记账!$N$4:$S$603,238,1)=0,"",INDEX(资金日记账!$N$4:$S$603,238,1))</f>
        <v/>
      </c>
      <c r="F1384" s="25" t="str">
        <f>IF($E1384="","",IFERROR(INDEX(科目表!$A$4:$A$81,MATCH($E1384,科目表!$B$4:$B$81,0)),""))</f>
        <v/>
      </c>
      <c r="G1384" s="26" t="str">
        <f>IF($E1384="","",IFERROR(INDEX(科目表!$E$4:$E$81,MATCH($E1384,科目表!$B$4:$B$81,0)),""))</f>
        <v/>
      </c>
      <c r="H1384" s="27" t="str">
        <f>IF($E1384="","",N(INDEX(资金日记账!$N$4:$S$603,238,2)))</f>
        <v/>
      </c>
      <c r="I1384" s="27" t="str">
        <f>IF($E1384="","",N(INDEX(资金日记账!$N$4:$S$603,238,3)))</f>
        <v/>
      </c>
      <c r="J1384" s="26" t="str">
        <f>IF($E1384="","",INDEX(资金日记账!$E$4:$E$603,238))</f>
        <v/>
      </c>
      <c r="K1384" s="26" t="str">
        <f>IF($E1384="","",INDEX(资金日记账!$F$4:$F$603,238))</f>
        <v/>
      </c>
      <c r="L1384" s="32" t="str">
        <f>IF($E1384="","",INDEX(资金日记账!$X$4:$X$603,238))</f>
        <v/>
      </c>
      <c r="M1384" s="32"/>
      <c r="N1384" s="26" t="str">
        <f>IF($E1384="","",INDEX(资金日记账!$Y$4:$Y$603,238))</f>
        <v/>
      </c>
      <c r="O1384" s="26" t="str">
        <f t="shared" si="74"/>
        <v/>
      </c>
      <c r="P1384" s="10"/>
    </row>
    <row r="1385" ht="18" customHeight="1" spans="1:16">
      <c r="A1385" s="32" t="str">
        <f t="shared" si="73"/>
        <v/>
      </c>
      <c r="B1385" s="100" t="str">
        <f>IF($E1385="","",INDEX(资金日记账!$B$4:$B$603,238))</f>
        <v/>
      </c>
      <c r="C1385" s="26" t="str">
        <f>IF($E1385="","",IF(INDEX(资金日记账!$W$4:$W$603,238)="","记-"&amp;TEXT($B1385,"YYYYMM")&amp;"-资金",INDEX(资金日记账!$W$4:$W$603,238)))</f>
        <v/>
      </c>
      <c r="D1385" s="32" t="str">
        <f>IF($E1385="","",INDEX(资金日记账!$D$4:$D$603,238))</f>
        <v/>
      </c>
      <c r="E1385" s="26" t="str">
        <f>IF(INDEX(资金日记账!$N$4:$S$603,238,4)=0,"",INDEX(资金日记账!$N$4:$S$603,238,4))</f>
        <v/>
      </c>
      <c r="F1385" s="25" t="str">
        <f>IF($E1385="","",IFERROR(INDEX(科目表!$A$4:$A$81,MATCH($E1385,科目表!$B$4:$B$81,0)),""))</f>
        <v/>
      </c>
      <c r="G1385" s="26" t="str">
        <f>IF($E1385="","",IFERROR(INDEX(科目表!$E$4:$E$81,MATCH($E1385,科目表!$B$4:$B$81,0)),""))</f>
        <v/>
      </c>
      <c r="H1385" s="27" t="str">
        <f>IF($E1385="","",N(INDEX(资金日记账!$N$4:$S$603,238,5)))</f>
        <v/>
      </c>
      <c r="I1385" s="27" t="str">
        <f>IF($E1385="","",N(INDEX(资金日记账!$N$4:$S$603,238,6)))</f>
        <v/>
      </c>
      <c r="J1385" s="26" t="str">
        <f>IF($E1385="","",INDEX(资金日记账!$E$4:$E$603,238))</f>
        <v/>
      </c>
      <c r="K1385" s="26" t="str">
        <f>IF($E1385="","",INDEX(资金日记账!$F$4:$F$603,238))</f>
        <v/>
      </c>
      <c r="L1385" s="32" t="str">
        <f>IF($E1385="","",INDEX(资金日记账!$X$4:$X$603,238))</f>
        <v/>
      </c>
      <c r="M1385" s="32"/>
      <c r="N1385" s="26" t="str">
        <f>IF($E1385="","",INDEX(资金日记账!$Y$4:$Y$603,238))</f>
        <v/>
      </c>
      <c r="O1385" s="26" t="str">
        <f t="shared" si="74"/>
        <v/>
      </c>
      <c r="P1385" s="10"/>
    </row>
    <row r="1386" ht="18" customHeight="1" spans="1:16">
      <c r="A1386" s="32" t="str">
        <f t="shared" si="73"/>
        <v/>
      </c>
      <c r="B1386" s="100" t="str">
        <f>IF($E1386="","",INDEX(资金日记账!$B$4:$B$603,239))</f>
        <v/>
      </c>
      <c r="C1386" s="26" t="str">
        <f>IF($E1386="","",IF(INDEX(资金日记账!$W$4:$W$603,239)="","记-"&amp;TEXT($B1386,"YYYYMM")&amp;"-资金",INDEX(资金日记账!$W$4:$W$603,239)))</f>
        <v/>
      </c>
      <c r="D1386" s="32" t="str">
        <f>IF($E1386="","",INDEX(资金日记账!$D$4:$D$603,239))</f>
        <v/>
      </c>
      <c r="E1386" s="26" t="str">
        <f>IF(INDEX(资金日记账!$N$4:$S$603,239,1)=0,"",INDEX(资金日记账!$N$4:$S$603,239,1))</f>
        <v/>
      </c>
      <c r="F1386" s="25" t="str">
        <f>IF($E1386="","",IFERROR(INDEX(科目表!$A$4:$A$81,MATCH($E1386,科目表!$B$4:$B$81,0)),""))</f>
        <v/>
      </c>
      <c r="G1386" s="26" t="str">
        <f>IF($E1386="","",IFERROR(INDEX(科目表!$E$4:$E$81,MATCH($E1386,科目表!$B$4:$B$81,0)),""))</f>
        <v/>
      </c>
      <c r="H1386" s="27" t="str">
        <f>IF($E1386="","",N(INDEX(资金日记账!$N$4:$S$603,239,2)))</f>
        <v/>
      </c>
      <c r="I1386" s="27" t="str">
        <f>IF($E1386="","",N(INDEX(资金日记账!$N$4:$S$603,239,3)))</f>
        <v/>
      </c>
      <c r="J1386" s="26" t="str">
        <f>IF($E1386="","",INDEX(资金日记账!$E$4:$E$603,239))</f>
        <v/>
      </c>
      <c r="K1386" s="26" t="str">
        <f>IF($E1386="","",INDEX(资金日记账!$F$4:$F$603,239))</f>
        <v/>
      </c>
      <c r="L1386" s="32" t="str">
        <f>IF($E1386="","",INDEX(资金日记账!$X$4:$X$603,239))</f>
        <v/>
      </c>
      <c r="M1386" s="32"/>
      <c r="N1386" s="26" t="str">
        <f>IF($E1386="","",INDEX(资金日记账!$Y$4:$Y$603,239))</f>
        <v/>
      </c>
      <c r="O1386" s="26" t="str">
        <f t="shared" si="74"/>
        <v/>
      </c>
      <c r="P1386" s="10"/>
    </row>
    <row r="1387" ht="18" customHeight="1" spans="1:16">
      <c r="A1387" s="32" t="str">
        <f t="shared" si="73"/>
        <v/>
      </c>
      <c r="B1387" s="100" t="str">
        <f>IF($E1387="","",INDEX(资金日记账!$B$4:$B$603,239))</f>
        <v/>
      </c>
      <c r="C1387" s="26" t="str">
        <f>IF($E1387="","",IF(INDEX(资金日记账!$W$4:$W$603,239)="","记-"&amp;TEXT($B1387,"YYYYMM")&amp;"-资金",INDEX(资金日记账!$W$4:$W$603,239)))</f>
        <v/>
      </c>
      <c r="D1387" s="32" t="str">
        <f>IF($E1387="","",INDEX(资金日记账!$D$4:$D$603,239))</f>
        <v/>
      </c>
      <c r="E1387" s="26" t="str">
        <f>IF(INDEX(资金日记账!$N$4:$S$603,239,4)=0,"",INDEX(资金日记账!$N$4:$S$603,239,4))</f>
        <v/>
      </c>
      <c r="F1387" s="25" t="str">
        <f>IF($E1387="","",IFERROR(INDEX(科目表!$A$4:$A$81,MATCH($E1387,科目表!$B$4:$B$81,0)),""))</f>
        <v/>
      </c>
      <c r="G1387" s="26" t="str">
        <f>IF($E1387="","",IFERROR(INDEX(科目表!$E$4:$E$81,MATCH($E1387,科目表!$B$4:$B$81,0)),""))</f>
        <v/>
      </c>
      <c r="H1387" s="27" t="str">
        <f>IF($E1387="","",N(INDEX(资金日记账!$N$4:$S$603,239,5)))</f>
        <v/>
      </c>
      <c r="I1387" s="27" t="str">
        <f>IF($E1387="","",N(INDEX(资金日记账!$N$4:$S$603,239,6)))</f>
        <v/>
      </c>
      <c r="J1387" s="26" t="str">
        <f>IF($E1387="","",INDEX(资金日记账!$E$4:$E$603,239))</f>
        <v/>
      </c>
      <c r="K1387" s="26" t="str">
        <f>IF($E1387="","",INDEX(资金日记账!$F$4:$F$603,239))</f>
        <v/>
      </c>
      <c r="L1387" s="32" t="str">
        <f>IF($E1387="","",INDEX(资金日记账!$X$4:$X$603,239))</f>
        <v/>
      </c>
      <c r="M1387" s="32"/>
      <c r="N1387" s="26" t="str">
        <f>IF($E1387="","",INDEX(资金日记账!$Y$4:$Y$603,239))</f>
        <v/>
      </c>
      <c r="O1387" s="26" t="str">
        <f t="shared" si="74"/>
        <v/>
      </c>
      <c r="P1387" s="10"/>
    </row>
    <row r="1388" ht="18" customHeight="1" spans="1:16">
      <c r="A1388" s="32" t="str">
        <f t="shared" si="73"/>
        <v/>
      </c>
      <c r="B1388" s="100" t="str">
        <f>IF($E1388="","",INDEX(资金日记账!$B$4:$B$603,240))</f>
        <v/>
      </c>
      <c r="C1388" s="26" t="str">
        <f>IF($E1388="","",IF(INDEX(资金日记账!$W$4:$W$603,240)="","记-"&amp;TEXT($B1388,"YYYYMM")&amp;"-资金",INDEX(资金日记账!$W$4:$W$603,240)))</f>
        <v/>
      </c>
      <c r="D1388" s="32" t="str">
        <f>IF($E1388="","",INDEX(资金日记账!$D$4:$D$603,240))</f>
        <v/>
      </c>
      <c r="E1388" s="26" t="str">
        <f>IF(INDEX(资金日记账!$N$4:$S$603,240,1)=0,"",INDEX(资金日记账!$N$4:$S$603,240,1))</f>
        <v/>
      </c>
      <c r="F1388" s="25" t="str">
        <f>IF($E1388="","",IFERROR(INDEX(科目表!$A$4:$A$81,MATCH($E1388,科目表!$B$4:$B$81,0)),""))</f>
        <v/>
      </c>
      <c r="G1388" s="26" t="str">
        <f>IF($E1388="","",IFERROR(INDEX(科目表!$E$4:$E$81,MATCH($E1388,科目表!$B$4:$B$81,0)),""))</f>
        <v/>
      </c>
      <c r="H1388" s="27" t="str">
        <f>IF($E1388="","",N(INDEX(资金日记账!$N$4:$S$603,240,2)))</f>
        <v/>
      </c>
      <c r="I1388" s="27" t="str">
        <f>IF($E1388="","",N(INDEX(资金日记账!$N$4:$S$603,240,3)))</f>
        <v/>
      </c>
      <c r="J1388" s="26" t="str">
        <f>IF($E1388="","",INDEX(资金日记账!$E$4:$E$603,240))</f>
        <v/>
      </c>
      <c r="K1388" s="26" t="str">
        <f>IF($E1388="","",INDEX(资金日记账!$F$4:$F$603,240))</f>
        <v/>
      </c>
      <c r="L1388" s="32" t="str">
        <f>IF($E1388="","",INDEX(资金日记账!$X$4:$X$603,240))</f>
        <v/>
      </c>
      <c r="M1388" s="32"/>
      <c r="N1388" s="26" t="str">
        <f>IF($E1388="","",INDEX(资金日记账!$Y$4:$Y$603,240))</f>
        <v/>
      </c>
      <c r="O1388" s="26" t="str">
        <f t="shared" si="74"/>
        <v/>
      </c>
      <c r="P1388" s="10"/>
    </row>
    <row r="1389" ht="18" customHeight="1" spans="1:16">
      <c r="A1389" s="32" t="str">
        <f t="shared" si="73"/>
        <v/>
      </c>
      <c r="B1389" s="100" t="str">
        <f>IF($E1389="","",INDEX(资金日记账!$B$4:$B$603,240))</f>
        <v/>
      </c>
      <c r="C1389" s="26" t="str">
        <f>IF($E1389="","",IF(INDEX(资金日记账!$W$4:$W$603,240)="","记-"&amp;TEXT($B1389,"YYYYMM")&amp;"-资金",INDEX(资金日记账!$W$4:$W$603,240)))</f>
        <v/>
      </c>
      <c r="D1389" s="32" t="str">
        <f>IF($E1389="","",INDEX(资金日记账!$D$4:$D$603,240))</f>
        <v/>
      </c>
      <c r="E1389" s="26" t="str">
        <f>IF(INDEX(资金日记账!$N$4:$S$603,240,4)=0,"",INDEX(资金日记账!$N$4:$S$603,240,4))</f>
        <v/>
      </c>
      <c r="F1389" s="25" t="str">
        <f>IF($E1389="","",IFERROR(INDEX(科目表!$A$4:$A$81,MATCH($E1389,科目表!$B$4:$B$81,0)),""))</f>
        <v/>
      </c>
      <c r="G1389" s="26" t="str">
        <f>IF($E1389="","",IFERROR(INDEX(科目表!$E$4:$E$81,MATCH($E1389,科目表!$B$4:$B$81,0)),""))</f>
        <v/>
      </c>
      <c r="H1389" s="27" t="str">
        <f>IF($E1389="","",N(INDEX(资金日记账!$N$4:$S$603,240,5)))</f>
        <v/>
      </c>
      <c r="I1389" s="27" t="str">
        <f>IF($E1389="","",N(INDEX(资金日记账!$N$4:$S$603,240,6)))</f>
        <v/>
      </c>
      <c r="J1389" s="26" t="str">
        <f>IF($E1389="","",INDEX(资金日记账!$E$4:$E$603,240))</f>
        <v/>
      </c>
      <c r="K1389" s="26" t="str">
        <f>IF($E1389="","",INDEX(资金日记账!$F$4:$F$603,240))</f>
        <v/>
      </c>
      <c r="L1389" s="32" t="str">
        <f>IF($E1389="","",INDEX(资金日记账!$X$4:$X$603,240))</f>
        <v/>
      </c>
      <c r="M1389" s="32"/>
      <c r="N1389" s="26" t="str">
        <f>IF($E1389="","",INDEX(资金日记账!$Y$4:$Y$603,240))</f>
        <v/>
      </c>
      <c r="O1389" s="26" t="str">
        <f t="shared" si="74"/>
        <v/>
      </c>
      <c r="P1389" s="10"/>
    </row>
    <row r="1390" ht="18" customHeight="1" spans="1:16">
      <c r="A1390" s="32" t="str">
        <f t="shared" si="73"/>
        <v/>
      </c>
      <c r="B1390" s="100" t="str">
        <f>IF($E1390="","",INDEX(资金日记账!$B$4:$B$603,241))</f>
        <v/>
      </c>
      <c r="C1390" s="26" t="str">
        <f>IF($E1390="","",IF(INDEX(资金日记账!$W$4:$W$603,241)="","记-"&amp;TEXT($B1390,"YYYYMM")&amp;"-资金",INDEX(资金日记账!$W$4:$W$603,241)))</f>
        <v/>
      </c>
      <c r="D1390" s="32" t="str">
        <f>IF($E1390="","",INDEX(资金日记账!$D$4:$D$603,241))</f>
        <v/>
      </c>
      <c r="E1390" s="26" t="str">
        <f>IF(INDEX(资金日记账!$N$4:$S$603,241,1)=0,"",INDEX(资金日记账!$N$4:$S$603,241,1))</f>
        <v/>
      </c>
      <c r="F1390" s="25" t="str">
        <f>IF($E1390="","",IFERROR(INDEX(科目表!$A$4:$A$81,MATCH($E1390,科目表!$B$4:$B$81,0)),""))</f>
        <v/>
      </c>
      <c r="G1390" s="26" t="str">
        <f>IF($E1390="","",IFERROR(INDEX(科目表!$E$4:$E$81,MATCH($E1390,科目表!$B$4:$B$81,0)),""))</f>
        <v/>
      </c>
      <c r="H1390" s="27" t="str">
        <f>IF($E1390="","",N(INDEX(资金日记账!$N$4:$S$603,241,2)))</f>
        <v/>
      </c>
      <c r="I1390" s="27" t="str">
        <f>IF($E1390="","",N(INDEX(资金日记账!$N$4:$S$603,241,3)))</f>
        <v/>
      </c>
      <c r="J1390" s="26" t="str">
        <f>IF($E1390="","",INDEX(资金日记账!$E$4:$E$603,241))</f>
        <v/>
      </c>
      <c r="K1390" s="26" t="str">
        <f>IF($E1390="","",INDEX(资金日记账!$F$4:$F$603,241))</f>
        <v/>
      </c>
      <c r="L1390" s="32" t="str">
        <f>IF($E1390="","",INDEX(资金日记账!$X$4:$X$603,241))</f>
        <v/>
      </c>
      <c r="M1390" s="32"/>
      <c r="N1390" s="26" t="str">
        <f>IF($E1390="","",INDEX(资金日记账!$Y$4:$Y$603,241))</f>
        <v/>
      </c>
      <c r="O1390" s="26" t="str">
        <f t="shared" si="74"/>
        <v/>
      </c>
      <c r="P1390" s="10"/>
    </row>
    <row r="1391" ht="18" customHeight="1" spans="1:16">
      <c r="A1391" s="32" t="str">
        <f t="shared" si="73"/>
        <v/>
      </c>
      <c r="B1391" s="100" t="str">
        <f>IF($E1391="","",INDEX(资金日记账!$B$4:$B$603,241))</f>
        <v/>
      </c>
      <c r="C1391" s="26" t="str">
        <f>IF($E1391="","",IF(INDEX(资金日记账!$W$4:$W$603,241)="","记-"&amp;TEXT($B1391,"YYYYMM")&amp;"-资金",INDEX(资金日记账!$W$4:$W$603,241)))</f>
        <v/>
      </c>
      <c r="D1391" s="32" t="str">
        <f>IF($E1391="","",INDEX(资金日记账!$D$4:$D$603,241))</f>
        <v/>
      </c>
      <c r="E1391" s="26" t="str">
        <f>IF(INDEX(资金日记账!$N$4:$S$603,241,4)=0,"",INDEX(资金日记账!$N$4:$S$603,241,4))</f>
        <v/>
      </c>
      <c r="F1391" s="25" t="str">
        <f>IF($E1391="","",IFERROR(INDEX(科目表!$A$4:$A$81,MATCH($E1391,科目表!$B$4:$B$81,0)),""))</f>
        <v/>
      </c>
      <c r="G1391" s="26" t="str">
        <f>IF($E1391="","",IFERROR(INDEX(科目表!$E$4:$E$81,MATCH($E1391,科目表!$B$4:$B$81,0)),""))</f>
        <v/>
      </c>
      <c r="H1391" s="27" t="str">
        <f>IF($E1391="","",N(INDEX(资金日记账!$N$4:$S$603,241,5)))</f>
        <v/>
      </c>
      <c r="I1391" s="27" t="str">
        <f>IF($E1391="","",N(INDEX(资金日记账!$N$4:$S$603,241,6)))</f>
        <v/>
      </c>
      <c r="J1391" s="26" t="str">
        <f>IF($E1391="","",INDEX(资金日记账!$E$4:$E$603,241))</f>
        <v/>
      </c>
      <c r="K1391" s="26" t="str">
        <f>IF($E1391="","",INDEX(资金日记账!$F$4:$F$603,241))</f>
        <v/>
      </c>
      <c r="L1391" s="32" t="str">
        <f>IF($E1391="","",INDEX(资金日记账!$X$4:$X$603,241))</f>
        <v/>
      </c>
      <c r="M1391" s="32"/>
      <c r="N1391" s="26" t="str">
        <f>IF($E1391="","",INDEX(资金日记账!$Y$4:$Y$603,241))</f>
        <v/>
      </c>
      <c r="O1391" s="26" t="str">
        <f t="shared" si="74"/>
        <v/>
      </c>
      <c r="P1391" s="10"/>
    </row>
    <row r="1392" ht="18" customHeight="1" spans="1:16">
      <c r="A1392" s="32" t="str">
        <f t="shared" si="73"/>
        <v/>
      </c>
      <c r="B1392" s="100" t="str">
        <f>IF($E1392="","",INDEX(资金日记账!$B$4:$B$603,242))</f>
        <v/>
      </c>
      <c r="C1392" s="26" t="str">
        <f>IF($E1392="","",IF(INDEX(资金日记账!$W$4:$W$603,242)="","记-"&amp;TEXT($B1392,"YYYYMM")&amp;"-资金",INDEX(资金日记账!$W$4:$W$603,242)))</f>
        <v/>
      </c>
      <c r="D1392" s="32" t="str">
        <f>IF($E1392="","",INDEX(资金日记账!$D$4:$D$603,242))</f>
        <v/>
      </c>
      <c r="E1392" s="26" t="str">
        <f>IF(INDEX(资金日记账!$N$4:$S$603,242,1)=0,"",INDEX(资金日记账!$N$4:$S$603,242,1))</f>
        <v/>
      </c>
      <c r="F1392" s="25" t="str">
        <f>IF($E1392="","",IFERROR(INDEX(科目表!$A$4:$A$81,MATCH($E1392,科目表!$B$4:$B$81,0)),""))</f>
        <v/>
      </c>
      <c r="G1392" s="26" t="str">
        <f>IF($E1392="","",IFERROR(INDEX(科目表!$E$4:$E$81,MATCH($E1392,科目表!$B$4:$B$81,0)),""))</f>
        <v/>
      </c>
      <c r="H1392" s="27" t="str">
        <f>IF($E1392="","",N(INDEX(资金日记账!$N$4:$S$603,242,2)))</f>
        <v/>
      </c>
      <c r="I1392" s="27" t="str">
        <f>IF($E1392="","",N(INDEX(资金日记账!$N$4:$S$603,242,3)))</f>
        <v/>
      </c>
      <c r="J1392" s="26" t="str">
        <f>IF($E1392="","",INDEX(资金日记账!$E$4:$E$603,242))</f>
        <v/>
      </c>
      <c r="K1392" s="26" t="str">
        <f>IF($E1392="","",INDEX(资金日记账!$F$4:$F$603,242))</f>
        <v/>
      </c>
      <c r="L1392" s="32" t="str">
        <f>IF($E1392="","",INDEX(资金日记账!$X$4:$X$603,242))</f>
        <v/>
      </c>
      <c r="M1392" s="32"/>
      <c r="N1392" s="26" t="str">
        <f>IF($E1392="","",INDEX(资金日记账!$Y$4:$Y$603,242))</f>
        <v/>
      </c>
      <c r="O1392" s="26" t="str">
        <f t="shared" si="74"/>
        <v/>
      </c>
      <c r="P1392" s="10"/>
    </row>
    <row r="1393" ht="18" customHeight="1" spans="1:16">
      <c r="A1393" s="32" t="str">
        <f t="shared" si="73"/>
        <v/>
      </c>
      <c r="B1393" s="100" t="str">
        <f>IF($E1393="","",INDEX(资金日记账!$B$4:$B$603,242))</f>
        <v/>
      </c>
      <c r="C1393" s="26" t="str">
        <f>IF($E1393="","",IF(INDEX(资金日记账!$W$4:$W$603,242)="","记-"&amp;TEXT($B1393,"YYYYMM")&amp;"-资金",INDEX(资金日记账!$W$4:$W$603,242)))</f>
        <v/>
      </c>
      <c r="D1393" s="32" t="str">
        <f>IF($E1393="","",INDEX(资金日记账!$D$4:$D$603,242))</f>
        <v/>
      </c>
      <c r="E1393" s="26" t="str">
        <f>IF(INDEX(资金日记账!$N$4:$S$603,242,4)=0,"",INDEX(资金日记账!$N$4:$S$603,242,4))</f>
        <v/>
      </c>
      <c r="F1393" s="25" t="str">
        <f>IF($E1393="","",IFERROR(INDEX(科目表!$A$4:$A$81,MATCH($E1393,科目表!$B$4:$B$81,0)),""))</f>
        <v/>
      </c>
      <c r="G1393" s="26" t="str">
        <f>IF($E1393="","",IFERROR(INDEX(科目表!$E$4:$E$81,MATCH($E1393,科目表!$B$4:$B$81,0)),""))</f>
        <v/>
      </c>
      <c r="H1393" s="27" t="str">
        <f>IF($E1393="","",N(INDEX(资金日记账!$N$4:$S$603,242,5)))</f>
        <v/>
      </c>
      <c r="I1393" s="27" t="str">
        <f>IF($E1393="","",N(INDEX(资金日记账!$N$4:$S$603,242,6)))</f>
        <v/>
      </c>
      <c r="J1393" s="26" t="str">
        <f>IF($E1393="","",INDEX(资金日记账!$E$4:$E$603,242))</f>
        <v/>
      </c>
      <c r="K1393" s="26" t="str">
        <f>IF($E1393="","",INDEX(资金日记账!$F$4:$F$603,242))</f>
        <v/>
      </c>
      <c r="L1393" s="32" t="str">
        <f>IF($E1393="","",INDEX(资金日记账!$X$4:$X$603,242))</f>
        <v/>
      </c>
      <c r="M1393" s="32"/>
      <c r="N1393" s="26" t="str">
        <f>IF($E1393="","",INDEX(资金日记账!$Y$4:$Y$603,242))</f>
        <v/>
      </c>
      <c r="O1393" s="26" t="str">
        <f t="shared" si="74"/>
        <v/>
      </c>
      <c r="P1393" s="10"/>
    </row>
    <row r="1394" ht="18" customHeight="1" spans="1:16">
      <c r="A1394" s="32" t="str">
        <f t="shared" si="73"/>
        <v/>
      </c>
      <c r="B1394" s="100" t="str">
        <f>IF($E1394="","",INDEX(资金日记账!$B$4:$B$603,243))</f>
        <v/>
      </c>
      <c r="C1394" s="26" t="str">
        <f>IF($E1394="","",IF(INDEX(资金日记账!$W$4:$W$603,243)="","记-"&amp;TEXT($B1394,"YYYYMM")&amp;"-资金",INDEX(资金日记账!$W$4:$W$603,243)))</f>
        <v/>
      </c>
      <c r="D1394" s="32" t="str">
        <f>IF($E1394="","",INDEX(资金日记账!$D$4:$D$603,243))</f>
        <v/>
      </c>
      <c r="E1394" s="26" t="str">
        <f>IF(INDEX(资金日记账!$N$4:$S$603,243,1)=0,"",INDEX(资金日记账!$N$4:$S$603,243,1))</f>
        <v/>
      </c>
      <c r="F1394" s="25" t="str">
        <f>IF($E1394="","",IFERROR(INDEX(科目表!$A$4:$A$81,MATCH($E1394,科目表!$B$4:$B$81,0)),""))</f>
        <v/>
      </c>
      <c r="G1394" s="26" t="str">
        <f>IF($E1394="","",IFERROR(INDEX(科目表!$E$4:$E$81,MATCH($E1394,科目表!$B$4:$B$81,0)),""))</f>
        <v/>
      </c>
      <c r="H1394" s="27" t="str">
        <f>IF($E1394="","",N(INDEX(资金日记账!$N$4:$S$603,243,2)))</f>
        <v/>
      </c>
      <c r="I1394" s="27" t="str">
        <f>IF($E1394="","",N(INDEX(资金日记账!$N$4:$S$603,243,3)))</f>
        <v/>
      </c>
      <c r="J1394" s="26" t="str">
        <f>IF($E1394="","",INDEX(资金日记账!$E$4:$E$603,243))</f>
        <v/>
      </c>
      <c r="K1394" s="26" t="str">
        <f>IF($E1394="","",INDEX(资金日记账!$F$4:$F$603,243))</f>
        <v/>
      </c>
      <c r="L1394" s="32" t="str">
        <f>IF($E1394="","",INDEX(资金日记账!$X$4:$X$603,243))</f>
        <v/>
      </c>
      <c r="M1394" s="32"/>
      <c r="N1394" s="26" t="str">
        <f>IF($E1394="","",INDEX(资金日记账!$Y$4:$Y$603,243))</f>
        <v/>
      </c>
      <c r="O1394" s="26" t="str">
        <f t="shared" si="74"/>
        <v/>
      </c>
      <c r="P1394" s="10"/>
    </row>
    <row r="1395" ht="18" customHeight="1" spans="1:16">
      <c r="A1395" s="32" t="str">
        <f t="shared" si="73"/>
        <v/>
      </c>
      <c r="B1395" s="100" t="str">
        <f>IF($E1395="","",INDEX(资金日记账!$B$4:$B$603,243))</f>
        <v/>
      </c>
      <c r="C1395" s="26" t="str">
        <f>IF($E1395="","",IF(INDEX(资金日记账!$W$4:$W$603,243)="","记-"&amp;TEXT($B1395,"YYYYMM")&amp;"-资金",INDEX(资金日记账!$W$4:$W$603,243)))</f>
        <v/>
      </c>
      <c r="D1395" s="32" t="str">
        <f>IF($E1395="","",INDEX(资金日记账!$D$4:$D$603,243))</f>
        <v/>
      </c>
      <c r="E1395" s="26" t="str">
        <f>IF(INDEX(资金日记账!$N$4:$S$603,243,4)=0,"",INDEX(资金日记账!$N$4:$S$603,243,4))</f>
        <v/>
      </c>
      <c r="F1395" s="25" t="str">
        <f>IF($E1395="","",IFERROR(INDEX(科目表!$A$4:$A$81,MATCH($E1395,科目表!$B$4:$B$81,0)),""))</f>
        <v/>
      </c>
      <c r="G1395" s="26" t="str">
        <f>IF($E1395="","",IFERROR(INDEX(科目表!$E$4:$E$81,MATCH($E1395,科目表!$B$4:$B$81,0)),""))</f>
        <v/>
      </c>
      <c r="H1395" s="27" t="str">
        <f>IF($E1395="","",N(INDEX(资金日记账!$N$4:$S$603,243,5)))</f>
        <v/>
      </c>
      <c r="I1395" s="27" t="str">
        <f>IF($E1395="","",N(INDEX(资金日记账!$N$4:$S$603,243,6)))</f>
        <v/>
      </c>
      <c r="J1395" s="26" t="str">
        <f>IF($E1395="","",INDEX(资金日记账!$E$4:$E$603,243))</f>
        <v/>
      </c>
      <c r="K1395" s="26" t="str">
        <f>IF($E1395="","",INDEX(资金日记账!$F$4:$F$603,243))</f>
        <v/>
      </c>
      <c r="L1395" s="32" t="str">
        <f>IF($E1395="","",INDEX(资金日记账!$X$4:$X$603,243))</f>
        <v/>
      </c>
      <c r="M1395" s="32"/>
      <c r="N1395" s="26" t="str">
        <f>IF($E1395="","",INDEX(资金日记账!$Y$4:$Y$603,243))</f>
        <v/>
      </c>
      <c r="O1395" s="26" t="str">
        <f t="shared" si="74"/>
        <v/>
      </c>
      <c r="P1395" s="10"/>
    </row>
    <row r="1396" ht="18" customHeight="1" spans="1:16">
      <c r="A1396" s="32" t="str">
        <f t="shared" si="73"/>
        <v/>
      </c>
      <c r="B1396" s="100" t="str">
        <f>IF($E1396="","",INDEX(资金日记账!$B$4:$B$603,244))</f>
        <v/>
      </c>
      <c r="C1396" s="26" t="str">
        <f>IF($E1396="","",IF(INDEX(资金日记账!$W$4:$W$603,244)="","记-"&amp;TEXT($B1396,"YYYYMM")&amp;"-资金",INDEX(资金日记账!$W$4:$W$603,244)))</f>
        <v/>
      </c>
      <c r="D1396" s="32" t="str">
        <f>IF($E1396="","",INDEX(资金日记账!$D$4:$D$603,244))</f>
        <v/>
      </c>
      <c r="E1396" s="26" t="str">
        <f>IF(INDEX(资金日记账!$N$4:$S$603,244,1)=0,"",INDEX(资金日记账!$N$4:$S$603,244,1))</f>
        <v/>
      </c>
      <c r="F1396" s="25" t="str">
        <f>IF($E1396="","",IFERROR(INDEX(科目表!$A$4:$A$81,MATCH($E1396,科目表!$B$4:$B$81,0)),""))</f>
        <v/>
      </c>
      <c r="G1396" s="26" t="str">
        <f>IF($E1396="","",IFERROR(INDEX(科目表!$E$4:$E$81,MATCH($E1396,科目表!$B$4:$B$81,0)),""))</f>
        <v/>
      </c>
      <c r="H1396" s="27" t="str">
        <f>IF($E1396="","",N(INDEX(资金日记账!$N$4:$S$603,244,2)))</f>
        <v/>
      </c>
      <c r="I1396" s="27" t="str">
        <f>IF($E1396="","",N(INDEX(资金日记账!$N$4:$S$603,244,3)))</f>
        <v/>
      </c>
      <c r="J1396" s="26" t="str">
        <f>IF($E1396="","",INDEX(资金日记账!$E$4:$E$603,244))</f>
        <v/>
      </c>
      <c r="K1396" s="26" t="str">
        <f>IF($E1396="","",INDEX(资金日记账!$F$4:$F$603,244))</f>
        <v/>
      </c>
      <c r="L1396" s="32" t="str">
        <f>IF($E1396="","",INDEX(资金日记账!$X$4:$X$603,244))</f>
        <v/>
      </c>
      <c r="M1396" s="32"/>
      <c r="N1396" s="26" t="str">
        <f>IF($E1396="","",INDEX(资金日记账!$Y$4:$Y$603,244))</f>
        <v/>
      </c>
      <c r="O1396" s="26" t="str">
        <f t="shared" si="74"/>
        <v/>
      </c>
      <c r="P1396" s="10"/>
    </row>
    <row r="1397" ht="18" customHeight="1" spans="1:16">
      <c r="A1397" s="32" t="str">
        <f t="shared" si="73"/>
        <v/>
      </c>
      <c r="B1397" s="100" t="str">
        <f>IF($E1397="","",INDEX(资金日记账!$B$4:$B$603,244))</f>
        <v/>
      </c>
      <c r="C1397" s="26" t="str">
        <f>IF($E1397="","",IF(INDEX(资金日记账!$W$4:$W$603,244)="","记-"&amp;TEXT($B1397,"YYYYMM")&amp;"-资金",INDEX(资金日记账!$W$4:$W$603,244)))</f>
        <v/>
      </c>
      <c r="D1397" s="32" t="str">
        <f>IF($E1397="","",INDEX(资金日记账!$D$4:$D$603,244))</f>
        <v/>
      </c>
      <c r="E1397" s="26" t="str">
        <f>IF(INDEX(资金日记账!$N$4:$S$603,244,4)=0,"",INDEX(资金日记账!$N$4:$S$603,244,4))</f>
        <v/>
      </c>
      <c r="F1397" s="25" t="str">
        <f>IF($E1397="","",IFERROR(INDEX(科目表!$A$4:$A$81,MATCH($E1397,科目表!$B$4:$B$81,0)),""))</f>
        <v/>
      </c>
      <c r="G1397" s="26" t="str">
        <f>IF($E1397="","",IFERROR(INDEX(科目表!$E$4:$E$81,MATCH($E1397,科目表!$B$4:$B$81,0)),""))</f>
        <v/>
      </c>
      <c r="H1397" s="27" t="str">
        <f>IF($E1397="","",N(INDEX(资金日记账!$N$4:$S$603,244,5)))</f>
        <v/>
      </c>
      <c r="I1397" s="27" t="str">
        <f>IF($E1397="","",N(INDEX(资金日记账!$N$4:$S$603,244,6)))</f>
        <v/>
      </c>
      <c r="J1397" s="26" t="str">
        <f>IF($E1397="","",INDEX(资金日记账!$E$4:$E$603,244))</f>
        <v/>
      </c>
      <c r="K1397" s="26" t="str">
        <f>IF($E1397="","",INDEX(资金日记账!$F$4:$F$603,244))</f>
        <v/>
      </c>
      <c r="L1397" s="32" t="str">
        <f>IF($E1397="","",INDEX(资金日记账!$X$4:$X$603,244))</f>
        <v/>
      </c>
      <c r="M1397" s="32"/>
      <c r="N1397" s="26" t="str">
        <f>IF($E1397="","",INDEX(资金日记账!$Y$4:$Y$603,244))</f>
        <v/>
      </c>
      <c r="O1397" s="26" t="str">
        <f t="shared" si="74"/>
        <v/>
      </c>
      <c r="P1397" s="10"/>
    </row>
    <row r="1398" ht="18" customHeight="1" spans="1:16">
      <c r="A1398" s="32" t="str">
        <f t="shared" si="73"/>
        <v/>
      </c>
      <c r="B1398" s="100" t="str">
        <f>IF($E1398="","",INDEX(资金日记账!$B$4:$B$603,245))</f>
        <v/>
      </c>
      <c r="C1398" s="26" t="str">
        <f>IF($E1398="","",IF(INDEX(资金日记账!$W$4:$W$603,245)="","记-"&amp;TEXT($B1398,"YYYYMM")&amp;"-资金",INDEX(资金日记账!$W$4:$W$603,245)))</f>
        <v/>
      </c>
      <c r="D1398" s="32" t="str">
        <f>IF($E1398="","",INDEX(资金日记账!$D$4:$D$603,245))</f>
        <v/>
      </c>
      <c r="E1398" s="26" t="str">
        <f>IF(INDEX(资金日记账!$N$4:$S$603,245,1)=0,"",INDEX(资金日记账!$N$4:$S$603,245,1))</f>
        <v/>
      </c>
      <c r="F1398" s="25" t="str">
        <f>IF($E1398="","",IFERROR(INDEX(科目表!$A$4:$A$81,MATCH($E1398,科目表!$B$4:$B$81,0)),""))</f>
        <v/>
      </c>
      <c r="G1398" s="26" t="str">
        <f>IF($E1398="","",IFERROR(INDEX(科目表!$E$4:$E$81,MATCH($E1398,科目表!$B$4:$B$81,0)),""))</f>
        <v/>
      </c>
      <c r="H1398" s="27" t="str">
        <f>IF($E1398="","",N(INDEX(资金日记账!$N$4:$S$603,245,2)))</f>
        <v/>
      </c>
      <c r="I1398" s="27" t="str">
        <f>IF($E1398="","",N(INDEX(资金日记账!$N$4:$S$603,245,3)))</f>
        <v/>
      </c>
      <c r="J1398" s="26" t="str">
        <f>IF($E1398="","",INDEX(资金日记账!$E$4:$E$603,245))</f>
        <v/>
      </c>
      <c r="K1398" s="26" t="str">
        <f>IF($E1398="","",INDEX(资金日记账!$F$4:$F$603,245))</f>
        <v/>
      </c>
      <c r="L1398" s="32" t="str">
        <f>IF($E1398="","",INDEX(资金日记账!$X$4:$X$603,245))</f>
        <v/>
      </c>
      <c r="M1398" s="32"/>
      <c r="N1398" s="26" t="str">
        <f>IF($E1398="","",INDEX(资金日记账!$Y$4:$Y$603,245))</f>
        <v/>
      </c>
      <c r="O1398" s="26" t="str">
        <f t="shared" si="74"/>
        <v/>
      </c>
      <c r="P1398" s="10"/>
    </row>
    <row r="1399" ht="18" customHeight="1" spans="1:16">
      <c r="A1399" s="32" t="str">
        <f t="shared" si="73"/>
        <v/>
      </c>
      <c r="B1399" s="100" t="str">
        <f>IF($E1399="","",INDEX(资金日记账!$B$4:$B$603,245))</f>
        <v/>
      </c>
      <c r="C1399" s="26" t="str">
        <f>IF($E1399="","",IF(INDEX(资金日记账!$W$4:$W$603,245)="","记-"&amp;TEXT($B1399,"YYYYMM")&amp;"-资金",INDEX(资金日记账!$W$4:$W$603,245)))</f>
        <v/>
      </c>
      <c r="D1399" s="32" t="str">
        <f>IF($E1399="","",INDEX(资金日记账!$D$4:$D$603,245))</f>
        <v/>
      </c>
      <c r="E1399" s="26" t="str">
        <f>IF(INDEX(资金日记账!$N$4:$S$603,245,4)=0,"",INDEX(资金日记账!$N$4:$S$603,245,4))</f>
        <v/>
      </c>
      <c r="F1399" s="25" t="str">
        <f>IF($E1399="","",IFERROR(INDEX(科目表!$A$4:$A$81,MATCH($E1399,科目表!$B$4:$B$81,0)),""))</f>
        <v/>
      </c>
      <c r="G1399" s="26" t="str">
        <f>IF($E1399="","",IFERROR(INDEX(科目表!$E$4:$E$81,MATCH($E1399,科目表!$B$4:$B$81,0)),""))</f>
        <v/>
      </c>
      <c r="H1399" s="27" t="str">
        <f>IF($E1399="","",N(INDEX(资金日记账!$N$4:$S$603,245,5)))</f>
        <v/>
      </c>
      <c r="I1399" s="27" t="str">
        <f>IF($E1399="","",N(INDEX(资金日记账!$N$4:$S$603,245,6)))</f>
        <v/>
      </c>
      <c r="J1399" s="26" t="str">
        <f>IF($E1399="","",INDEX(资金日记账!$E$4:$E$603,245))</f>
        <v/>
      </c>
      <c r="K1399" s="26" t="str">
        <f>IF($E1399="","",INDEX(资金日记账!$F$4:$F$603,245))</f>
        <v/>
      </c>
      <c r="L1399" s="32" t="str">
        <f>IF($E1399="","",INDEX(资金日记账!$X$4:$X$603,245))</f>
        <v/>
      </c>
      <c r="M1399" s="32"/>
      <c r="N1399" s="26" t="str">
        <f>IF($E1399="","",INDEX(资金日记账!$Y$4:$Y$603,245))</f>
        <v/>
      </c>
      <c r="O1399" s="26" t="str">
        <f t="shared" si="74"/>
        <v/>
      </c>
      <c r="P1399" s="10"/>
    </row>
    <row r="1400" ht="18" customHeight="1" spans="1:16">
      <c r="A1400" s="32" t="str">
        <f t="shared" si="73"/>
        <v/>
      </c>
      <c r="B1400" s="100" t="str">
        <f>IF($E1400="","",INDEX(资金日记账!$B$4:$B$603,246))</f>
        <v/>
      </c>
      <c r="C1400" s="26" t="str">
        <f>IF($E1400="","",IF(INDEX(资金日记账!$W$4:$W$603,246)="","记-"&amp;TEXT($B1400,"YYYYMM")&amp;"-资金",INDEX(资金日记账!$W$4:$W$603,246)))</f>
        <v/>
      </c>
      <c r="D1400" s="32" t="str">
        <f>IF($E1400="","",INDEX(资金日记账!$D$4:$D$603,246))</f>
        <v/>
      </c>
      <c r="E1400" s="26" t="str">
        <f>IF(INDEX(资金日记账!$N$4:$S$603,246,1)=0,"",INDEX(资金日记账!$N$4:$S$603,246,1))</f>
        <v/>
      </c>
      <c r="F1400" s="25" t="str">
        <f>IF($E1400="","",IFERROR(INDEX(科目表!$A$4:$A$81,MATCH($E1400,科目表!$B$4:$B$81,0)),""))</f>
        <v/>
      </c>
      <c r="G1400" s="26" t="str">
        <f>IF($E1400="","",IFERROR(INDEX(科目表!$E$4:$E$81,MATCH($E1400,科目表!$B$4:$B$81,0)),""))</f>
        <v/>
      </c>
      <c r="H1400" s="27" t="str">
        <f>IF($E1400="","",N(INDEX(资金日记账!$N$4:$S$603,246,2)))</f>
        <v/>
      </c>
      <c r="I1400" s="27" t="str">
        <f>IF($E1400="","",N(INDEX(资金日记账!$N$4:$S$603,246,3)))</f>
        <v/>
      </c>
      <c r="J1400" s="26" t="str">
        <f>IF($E1400="","",INDEX(资金日记账!$E$4:$E$603,246))</f>
        <v/>
      </c>
      <c r="K1400" s="26" t="str">
        <f>IF($E1400="","",INDEX(资金日记账!$F$4:$F$603,246))</f>
        <v/>
      </c>
      <c r="L1400" s="32" t="str">
        <f>IF($E1400="","",INDEX(资金日记账!$X$4:$X$603,246))</f>
        <v/>
      </c>
      <c r="M1400" s="32"/>
      <c r="N1400" s="26" t="str">
        <f>IF($E1400="","",INDEX(资金日记账!$Y$4:$Y$603,246))</f>
        <v/>
      </c>
      <c r="O1400" s="26" t="str">
        <f t="shared" si="74"/>
        <v/>
      </c>
      <c r="P1400" s="10"/>
    </row>
    <row r="1401" ht="18" customHeight="1" spans="1:16">
      <c r="A1401" s="32" t="str">
        <f t="shared" si="73"/>
        <v/>
      </c>
      <c r="B1401" s="100" t="str">
        <f>IF($E1401="","",INDEX(资金日记账!$B$4:$B$603,246))</f>
        <v/>
      </c>
      <c r="C1401" s="26" t="str">
        <f>IF($E1401="","",IF(INDEX(资金日记账!$W$4:$W$603,246)="","记-"&amp;TEXT($B1401,"YYYYMM")&amp;"-资金",INDEX(资金日记账!$W$4:$W$603,246)))</f>
        <v/>
      </c>
      <c r="D1401" s="32" t="str">
        <f>IF($E1401="","",INDEX(资金日记账!$D$4:$D$603,246))</f>
        <v/>
      </c>
      <c r="E1401" s="26" t="str">
        <f>IF(INDEX(资金日记账!$N$4:$S$603,246,4)=0,"",INDEX(资金日记账!$N$4:$S$603,246,4))</f>
        <v/>
      </c>
      <c r="F1401" s="25" t="str">
        <f>IF($E1401="","",IFERROR(INDEX(科目表!$A$4:$A$81,MATCH($E1401,科目表!$B$4:$B$81,0)),""))</f>
        <v/>
      </c>
      <c r="G1401" s="26" t="str">
        <f>IF($E1401="","",IFERROR(INDEX(科目表!$E$4:$E$81,MATCH($E1401,科目表!$B$4:$B$81,0)),""))</f>
        <v/>
      </c>
      <c r="H1401" s="27" t="str">
        <f>IF($E1401="","",N(INDEX(资金日记账!$N$4:$S$603,246,5)))</f>
        <v/>
      </c>
      <c r="I1401" s="27" t="str">
        <f>IF($E1401="","",N(INDEX(资金日记账!$N$4:$S$603,246,6)))</f>
        <v/>
      </c>
      <c r="J1401" s="26" t="str">
        <f>IF($E1401="","",INDEX(资金日记账!$E$4:$E$603,246))</f>
        <v/>
      </c>
      <c r="K1401" s="26" t="str">
        <f>IF($E1401="","",INDEX(资金日记账!$F$4:$F$603,246))</f>
        <v/>
      </c>
      <c r="L1401" s="32" t="str">
        <f>IF($E1401="","",INDEX(资金日记账!$X$4:$X$603,246))</f>
        <v/>
      </c>
      <c r="M1401" s="32"/>
      <c r="N1401" s="26" t="str">
        <f>IF($E1401="","",INDEX(资金日记账!$Y$4:$Y$603,246))</f>
        <v/>
      </c>
      <c r="O1401" s="26" t="str">
        <f t="shared" si="74"/>
        <v/>
      </c>
      <c r="P1401" s="10"/>
    </row>
    <row r="1402" ht="18" customHeight="1" spans="1:16">
      <c r="A1402" s="32" t="str">
        <f t="shared" si="73"/>
        <v/>
      </c>
      <c r="B1402" s="100" t="str">
        <f>IF($E1402="","",INDEX(资金日记账!$B$4:$B$603,247))</f>
        <v/>
      </c>
      <c r="C1402" s="26" t="str">
        <f>IF($E1402="","",IF(INDEX(资金日记账!$W$4:$W$603,247)="","记-"&amp;TEXT($B1402,"YYYYMM")&amp;"-资金",INDEX(资金日记账!$W$4:$W$603,247)))</f>
        <v/>
      </c>
      <c r="D1402" s="32" t="str">
        <f>IF($E1402="","",INDEX(资金日记账!$D$4:$D$603,247))</f>
        <v/>
      </c>
      <c r="E1402" s="26" t="str">
        <f>IF(INDEX(资金日记账!$N$4:$S$603,247,1)=0,"",INDEX(资金日记账!$N$4:$S$603,247,1))</f>
        <v/>
      </c>
      <c r="F1402" s="25" t="str">
        <f>IF($E1402="","",IFERROR(INDEX(科目表!$A$4:$A$81,MATCH($E1402,科目表!$B$4:$B$81,0)),""))</f>
        <v/>
      </c>
      <c r="G1402" s="26" t="str">
        <f>IF($E1402="","",IFERROR(INDEX(科目表!$E$4:$E$81,MATCH($E1402,科目表!$B$4:$B$81,0)),""))</f>
        <v/>
      </c>
      <c r="H1402" s="27" t="str">
        <f>IF($E1402="","",N(INDEX(资金日记账!$N$4:$S$603,247,2)))</f>
        <v/>
      </c>
      <c r="I1402" s="27" t="str">
        <f>IF($E1402="","",N(INDEX(资金日记账!$N$4:$S$603,247,3)))</f>
        <v/>
      </c>
      <c r="J1402" s="26" t="str">
        <f>IF($E1402="","",INDEX(资金日记账!$E$4:$E$603,247))</f>
        <v/>
      </c>
      <c r="K1402" s="26" t="str">
        <f>IF($E1402="","",INDEX(资金日记账!$F$4:$F$603,247))</f>
        <v/>
      </c>
      <c r="L1402" s="32" t="str">
        <f>IF($E1402="","",INDEX(资金日记账!$X$4:$X$603,247))</f>
        <v/>
      </c>
      <c r="M1402" s="32"/>
      <c r="N1402" s="26" t="str">
        <f>IF($E1402="","",INDEX(资金日记账!$Y$4:$Y$603,247))</f>
        <v/>
      </c>
      <c r="O1402" s="26" t="str">
        <f t="shared" si="74"/>
        <v/>
      </c>
      <c r="P1402" s="10"/>
    </row>
    <row r="1403" ht="18" customHeight="1" spans="1:16">
      <c r="A1403" s="32" t="str">
        <f t="shared" si="73"/>
        <v/>
      </c>
      <c r="B1403" s="100" t="str">
        <f>IF($E1403="","",INDEX(资金日记账!$B$4:$B$603,247))</f>
        <v/>
      </c>
      <c r="C1403" s="26" t="str">
        <f>IF($E1403="","",IF(INDEX(资金日记账!$W$4:$W$603,247)="","记-"&amp;TEXT($B1403,"YYYYMM")&amp;"-资金",INDEX(资金日记账!$W$4:$W$603,247)))</f>
        <v/>
      </c>
      <c r="D1403" s="32" t="str">
        <f>IF($E1403="","",INDEX(资金日记账!$D$4:$D$603,247))</f>
        <v/>
      </c>
      <c r="E1403" s="26" t="str">
        <f>IF(INDEX(资金日记账!$N$4:$S$603,247,4)=0,"",INDEX(资金日记账!$N$4:$S$603,247,4))</f>
        <v/>
      </c>
      <c r="F1403" s="25" t="str">
        <f>IF($E1403="","",IFERROR(INDEX(科目表!$A$4:$A$81,MATCH($E1403,科目表!$B$4:$B$81,0)),""))</f>
        <v/>
      </c>
      <c r="G1403" s="26" t="str">
        <f>IF($E1403="","",IFERROR(INDEX(科目表!$E$4:$E$81,MATCH($E1403,科目表!$B$4:$B$81,0)),""))</f>
        <v/>
      </c>
      <c r="H1403" s="27" t="str">
        <f>IF($E1403="","",N(INDEX(资金日记账!$N$4:$S$603,247,5)))</f>
        <v/>
      </c>
      <c r="I1403" s="27" t="str">
        <f>IF($E1403="","",N(INDEX(资金日记账!$N$4:$S$603,247,6)))</f>
        <v/>
      </c>
      <c r="J1403" s="26" t="str">
        <f>IF($E1403="","",INDEX(资金日记账!$E$4:$E$603,247))</f>
        <v/>
      </c>
      <c r="K1403" s="26" t="str">
        <f>IF($E1403="","",INDEX(资金日记账!$F$4:$F$603,247))</f>
        <v/>
      </c>
      <c r="L1403" s="32" t="str">
        <f>IF($E1403="","",INDEX(资金日记账!$X$4:$X$603,247))</f>
        <v/>
      </c>
      <c r="M1403" s="32"/>
      <c r="N1403" s="26" t="str">
        <f>IF($E1403="","",INDEX(资金日记账!$Y$4:$Y$603,247))</f>
        <v/>
      </c>
      <c r="O1403" s="26" t="str">
        <f t="shared" si="74"/>
        <v/>
      </c>
      <c r="P1403" s="10"/>
    </row>
    <row r="1404" ht="18" customHeight="1" spans="1:16">
      <c r="A1404" s="32" t="str">
        <f t="shared" si="73"/>
        <v/>
      </c>
      <c r="B1404" s="100" t="str">
        <f>IF($E1404="","",INDEX(资金日记账!$B$4:$B$603,248))</f>
        <v/>
      </c>
      <c r="C1404" s="26" t="str">
        <f>IF($E1404="","",IF(INDEX(资金日记账!$W$4:$W$603,248)="","记-"&amp;TEXT($B1404,"YYYYMM")&amp;"-资金",INDEX(资金日记账!$W$4:$W$603,248)))</f>
        <v/>
      </c>
      <c r="D1404" s="32" t="str">
        <f>IF($E1404="","",INDEX(资金日记账!$D$4:$D$603,248))</f>
        <v/>
      </c>
      <c r="E1404" s="26" t="str">
        <f>IF(INDEX(资金日记账!$N$4:$S$603,248,1)=0,"",INDEX(资金日记账!$N$4:$S$603,248,1))</f>
        <v/>
      </c>
      <c r="F1404" s="25" t="str">
        <f>IF($E1404="","",IFERROR(INDEX(科目表!$A$4:$A$81,MATCH($E1404,科目表!$B$4:$B$81,0)),""))</f>
        <v/>
      </c>
      <c r="G1404" s="26" t="str">
        <f>IF($E1404="","",IFERROR(INDEX(科目表!$E$4:$E$81,MATCH($E1404,科目表!$B$4:$B$81,0)),""))</f>
        <v/>
      </c>
      <c r="H1404" s="27" t="str">
        <f>IF($E1404="","",N(INDEX(资金日记账!$N$4:$S$603,248,2)))</f>
        <v/>
      </c>
      <c r="I1404" s="27" t="str">
        <f>IF($E1404="","",N(INDEX(资金日记账!$N$4:$S$603,248,3)))</f>
        <v/>
      </c>
      <c r="J1404" s="26" t="str">
        <f>IF($E1404="","",INDEX(资金日记账!$E$4:$E$603,248))</f>
        <v/>
      </c>
      <c r="K1404" s="26" t="str">
        <f>IF($E1404="","",INDEX(资金日记账!$F$4:$F$603,248))</f>
        <v/>
      </c>
      <c r="L1404" s="32" t="str">
        <f>IF($E1404="","",INDEX(资金日记账!$X$4:$X$603,248))</f>
        <v/>
      </c>
      <c r="M1404" s="32"/>
      <c r="N1404" s="26" t="str">
        <f>IF($E1404="","",INDEX(资金日记账!$Y$4:$Y$603,248))</f>
        <v/>
      </c>
      <c r="O1404" s="26" t="str">
        <f t="shared" si="74"/>
        <v/>
      </c>
      <c r="P1404" s="10"/>
    </row>
    <row r="1405" ht="18" customHeight="1" spans="1:16">
      <c r="A1405" s="32" t="str">
        <f t="shared" si="73"/>
        <v/>
      </c>
      <c r="B1405" s="100" t="str">
        <f>IF($E1405="","",INDEX(资金日记账!$B$4:$B$603,248))</f>
        <v/>
      </c>
      <c r="C1405" s="26" t="str">
        <f>IF($E1405="","",IF(INDEX(资金日记账!$W$4:$W$603,248)="","记-"&amp;TEXT($B1405,"YYYYMM")&amp;"-资金",INDEX(资金日记账!$W$4:$W$603,248)))</f>
        <v/>
      </c>
      <c r="D1405" s="32" t="str">
        <f>IF($E1405="","",INDEX(资金日记账!$D$4:$D$603,248))</f>
        <v/>
      </c>
      <c r="E1405" s="26" t="str">
        <f>IF(INDEX(资金日记账!$N$4:$S$603,248,4)=0,"",INDEX(资金日记账!$N$4:$S$603,248,4))</f>
        <v/>
      </c>
      <c r="F1405" s="25" t="str">
        <f>IF($E1405="","",IFERROR(INDEX(科目表!$A$4:$A$81,MATCH($E1405,科目表!$B$4:$B$81,0)),""))</f>
        <v/>
      </c>
      <c r="G1405" s="26" t="str">
        <f>IF($E1405="","",IFERROR(INDEX(科目表!$E$4:$E$81,MATCH($E1405,科目表!$B$4:$B$81,0)),""))</f>
        <v/>
      </c>
      <c r="H1405" s="27" t="str">
        <f>IF($E1405="","",N(INDEX(资金日记账!$N$4:$S$603,248,5)))</f>
        <v/>
      </c>
      <c r="I1405" s="27" t="str">
        <f>IF($E1405="","",N(INDEX(资金日记账!$N$4:$S$603,248,6)))</f>
        <v/>
      </c>
      <c r="J1405" s="26" t="str">
        <f>IF($E1405="","",INDEX(资金日记账!$E$4:$E$603,248))</f>
        <v/>
      </c>
      <c r="K1405" s="26" t="str">
        <f>IF($E1405="","",INDEX(资金日记账!$F$4:$F$603,248))</f>
        <v/>
      </c>
      <c r="L1405" s="32" t="str">
        <f>IF($E1405="","",INDEX(资金日记账!$X$4:$X$603,248))</f>
        <v/>
      </c>
      <c r="M1405" s="32"/>
      <c r="N1405" s="26" t="str">
        <f>IF($E1405="","",INDEX(资金日记账!$Y$4:$Y$603,248))</f>
        <v/>
      </c>
      <c r="O1405" s="26" t="str">
        <f t="shared" si="74"/>
        <v/>
      </c>
      <c r="P1405" s="10"/>
    </row>
    <row r="1406" ht="18" customHeight="1" spans="1:16">
      <c r="A1406" s="32" t="str">
        <f t="shared" si="73"/>
        <v/>
      </c>
      <c r="B1406" s="100" t="str">
        <f>IF($E1406="","",INDEX(资金日记账!$B$4:$B$603,249))</f>
        <v/>
      </c>
      <c r="C1406" s="26" t="str">
        <f>IF($E1406="","",IF(INDEX(资金日记账!$W$4:$W$603,249)="","记-"&amp;TEXT($B1406,"YYYYMM")&amp;"-资金",INDEX(资金日记账!$W$4:$W$603,249)))</f>
        <v/>
      </c>
      <c r="D1406" s="32" t="str">
        <f>IF($E1406="","",INDEX(资金日记账!$D$4:$D$603,249))</f>
        <v/>
      </c>
      <c r="E1406" s="26" t="str">
        <f>IF(INDEX(资金日记账!$N$4:$S$603,249,1)=0,"",INDEX(资金日记账!$N$4:$S$603,249,1))</f>
        <v/>
      </c>
      <c r="F1406" s="25" t="str">
        <f>IF($E1406="","",IFERROR(INDEX(科目表!$A$4:$A$81,MATCH($E1406,科目表!$B$4:$B$81,0)),""))</f>
        <v/>
      </c>
      <c r="G1406" s="26" t="str">
        <f>IF($E1406="","",IFERROR(INDEX(科目表!$E$4:$E$81,MATCH($E1406,科目表!$B$4:$B$81,0)),""))</f>
        <v/>
      </c>
      <c r="H1406" s="27" t="str">
        <f>IF($E1406="","",N(INDEX(资金日记账!$N$4:$S$603,249,2)))</f>
        <v/>
      </c>
      <c r="I1406" s="27" t="str">
        <f>IF($E1406="","",N(INDEX(资金日记账!$N$4:$S$603,249,3)))</f>
        <v/>
      </c>
      <c r="J1406" s="26" t="str">
        <f>IF($E1406="","",INDEX(资金日记账!$E$4:$E$603,249))</f>
        <v/>
      </c>
      <c r="K1406" s="26" t="str">
        <f>IF($E1406="","",INDEX(资金日记账!$F$4:$F$603,249))</f>
        <v/>
      </c>
      <c r="L1406" s="32" t="str">
        <f>IF($E1406="","",INDEX(资金日记账!$X$4:$X$603,249))</f>
        <v/>
      </c>
      <c r="M1406" s="32"/>
      <c r="N1406" s="26" t="str">
        <f>IF($E1406="","",INDEX(资金日记账!$Y$4:$Y$603,249))</f>
        <v/>
      </c>
      <c r="O1406" s="26" t="str">
        <f t="shared" si="74"/>
        <v/>
      </c>
      <c r="P1406" s="10"/>
    </row>
    <row r="1407" ht="18" customHeight="1" spans="1:16">
      <c r="A1407" s="32" t="str">
        <f t="shared" si="73"/>
        <v/>
      </c>
      <c r="B1407" s="100" t="str">
        <f>IF($E1407="","",INDEX(资金日记账!$B$4:$B$603,249))</f>
        <v/>
      </c>
      <c r="C1407" s="26" t="str">
        <f>IF($E1407="","",IF(INDEX(资金日记账!$W$4:$W$603,249)="","记-"&amp;TEXT($B1407,"YYYYMM")&amp;"-资金",INDEX(资金日记账!$W$4:$W$603,249)))</f>
        <v/>
      </c>
      <c r="D1407" s="32" t="str">
        <f>IF($E1407="","",INDEX(资金日记账!$D$4:$D$603,249))</f>
        <v/>
      </c>
      <c r="E1407" s="26" t="str">
        <f>IF(INDEX(资金日记账!$N$4:$S$603,249,4)=0,"",INDEX(资金日记账!$N$4:$S$603,249,4))</f>
        <v/>
      </c>
      <c r="F1407" s="25" t="str">
        <f>IF($E1407="","",IFERROR(INDEX(科目表!$A$4:$A$81,MATCH($E1407,科目表!$B$4:$B$81,0)),""))</f>
        <v/>
      </c>
      <c r="G1407" s="26" t="str">
        <f>IF($E1407="","",IFERROR(INDEX(科目表!$E$4:$E$81,MATCH($E1407,科目表!$B$4:$B$81,0)),""))</f>
        <v/>
      </c>
      <c r="H1407" s="27" t="str">
        <f>IF($E1407="","",N(INDEX(资金日记账!$N$4:$S$603,249,5)))</f>
        <v/>
      </c>
      <c r="I1407" s="27" t="str">
        <f>IF($E1407="","",N(INDEX(资金日记账!$N$4:$S$603,249,6)))</f>
        <v/>
      </c>
      <c r="J1407" s="26" t="str">
        <f>IF($E1407="","",INDEX(资金日记账!$E$4:$E$603,249))</f>
        <v/>
      </c>
      <c r="K1407" s="26" t="str">
        <f>IF($E1407="","",INDEX(资金日记账!$F$4:$F$603,249))</f>
        <v/>
      </c>
      <c r="L1407" s="32" t="str">
        <f>IF($E1407="","",INDEX(资金日记账!$X$4:$X$603,249))</f>
        <v/>
      </c>
      <c r="M1407" s="32"/>
      <c r="N1407" s="26" t="str">
        <f>IF($E1407="","",INDEX(资金日记账!$Y$4:$Y$603,249))</f>
        <v/>
      </c>
      <c r="O1407" s="26" t="str">
        <f t="shared" si="74"/>
        <v/>
      </c>
      <c r="P1407" s="10"/>
    </row>
    <row r="1408" ht="18" customHeight="1" spans="1:16">
      <c r="A1408" s="32" t="str">
        <f t="shared" si="73"/>
        <v/>
      </c>
      <c r="B1408" s="100" t="str">
        <f>IF($E1408="","",INDEX(资金日记账!$B$4:$B$603,250))</f>
        <v/>
      </c>
      <c r="C1408" s="26" t="str">
        <f>IF($E1408="","",IF(INDEX(资金日记账!$W$4:$W$603,250)="","记-"&amp;TEXT($B1408,"YYYYMM")&amp;"-资金",INDEX(资金日记账!$W$4:$W$603,250)))</f>
        <v/>
      </c>
      <c r="D1408" s="32" t="str">
        <f>IF($E1408="","",INDEX(资金日记账!$D$4:$D$603,250))</f>
        <v/>
      </c>
      <c r="E1408" s="26" t="str">
        <f>IF(INDEX(资金日记账!$N$4:$S$603,250,1)=0,"",INDEX(资金日记账!$N$4:$S$603,250,1))</f>
        <v/>
      </c>
      <c r="F1408" s="25" t="str">
        <f>IF($E1408="","",IFERROR(INDEX(科目表!$A$4:$A$81,MATCH($E1408,科目表!$B$4:$B$81,0)),""))</f>
        <v/>
      </c>
      <c r="G1408" s="26" t="str">
        <f>IF($E1408="","",IFERROR(INDEX(科目表!$E$4:$E$81,MATCH($E1408,科目表!$B$4:$B$81,0)),""))</f>
        <v/>
      </c>
      <c r="H1408" s="27" t="str">
        <f>IF($E1408="","",N(INDEX(资金日记账!$N$4:$S$603,250,2)))</f>
        <v/>
      </c>
      <c r="I1408" s="27" t="str">
        <f>IF($E1408="","",N(INDEX(资金日记账!$N$4:$S$603,250,3)))</f>
        <v/>
      </c>
      <c r="J1408" s="26" t="str">
        <f>IF($E1408="","",INDEX(资金日记账!$E$4:$E$603,250))</f>
        <v/>
      </c>
      <c r="K1408" s="26" t="str">
        <f>IF($E1408="","",INDEX(资金日记账!$F$4:$F$603,250))</f>
        <v/>
      </c>
      <c r="L1408" s="32" t="str">
        <f>IF($E1408="","",INDEX(资金日记账!$X$4:$X$603,250))</f>
        <v/>
      </c>
      <c r="M1408" s="32"/>
      <c r="N1408" s="26" t="str">
        <f>IF($E1408="","",INDEX(资金日记账!$Y$4:$Y$603,250))</f>
        <v/>
      </c>
      <c r="O1408" s="26" t="str">
        <f t="shared" si="74"/>
        <v/>
      </c>
      <c r="P1408" s="10"/>
    </row>
    <row r="1409" ht="18" customHeight="1" spans="1:16">
      <c r="A1409" s="32" t="str">
        <f t="shared" si="73"/>
        <v/>
      </c>
      <c r="B1409" s="100" t="str">
        <f>IF($E1409="","",INDEX(资金日记账!$B$4:$B$603,250))</f>
        <v/>
      </c>
      <c r="C1409" s="26" t="str">
        <f>IF($E1409="","",IF(INDEX(资金日记账!$W$4:$W$603,250)="","记-"&amp;TEXT($B1409,"YYYYMM")&amp;"-资金",INDEX(资金日记账!$W$4:$W$603,250)))</f>
        <v/>
      </c>
      <c r="D1409" s="32" t="str">
        <f>IF($E1409="","",INDEX(资金日记账!$D$4:$D$603,250))</f>
        <v/>
      </c>
      <c r="E1409" s="26" t="str">
        <f>IF(INDEX(资金日记账!$N$4:$S$603,250,4)=0,"",INDEX(资金日记账!$N$4:$S$603,250,4))</f>
        <v/>
      </c>
      <c r="F1409" s="25" t="str">
        <f>IF($E1409="","",IFERROR(INDEX(科目表!$A$4:$A$81,MATCH($E1409,科目表!$B$4:$B$81,0)),""))</f>
        <v/>
      </c>
      <c r="G1409" s="26" t="str">
        <f>IF($E1409="","",IFERROR(INDEX(科目表!$E$4:$E$81,MATCH($E1409,科目表!$B$4:$B$81,0)),""))</f>
        <v/>
      </c>
      <c r="H1409" s="27" t="str">
        <f>IF($E1409="","",N(INDEX(资金日记账!$N$4:$S$603,250,5)))</f>
        <v/>
      </c>
      <c r="I1409" s="27" t="str">
        <f>IF($E1409="","",N(INDEX(资金日记账!$N$4:$S$603,250,6)))</f>
        <v/>
      </c>
      <c r="J1409" s="26" t="str">
        <f>IF($E1409="","",INDEX(资金日记账!$E$4:$E$603,250))</f>
        <v/>
      </c>
      <c r="K1409" s="26" t="str">
        <f>IF($E1409="","",INDEX(资金日记账!$F$4:$F$603,250))</f>
        <v/>
      </c>
      <c r="L1409" s="32" t="str">
        <f>IF($E1409="","",INDEX(资金日记账!$X$4:$X$603,250))</f>
        <v/>
      </c>
      <c r="M1409" s="32"/>
      <c r="N1409" s="26" t="str">
        <f>IF($E1409="","",INDEX(资金日记账!$Y$4:$Y$603,250))</f>
        <v/>
      </c>
      <c r="O1409" s="26" t="str">
        <f t="shared" si="74"/>
        <v/>
      </c>
      <c r="P1409" s="10"/>
    </row>
    <row r="1410" ht="18" customHeight="1" spans="1:16">
      <c r="A1410" s="32" t="str">
        <f t="shared" si="73"/>
        <v/>
      </c>
      <c r="B1410" s="100" t="str">
        <f>IF($E1410="","",INDEX(资金日记账!$B$4:$B$603,251))</f>
        <v/>
      </c>
      <c r="C1410" s="26" t="str">
        <f>IF($E1410="","",IF(INDEX(资金日记账!$W$4:$W$603,251)="","记-"&amp;TEXT($B1410,"YYYYMM")&amp;"-资金",INDEX(资金日记账!$W$4:$W$603,251)))</f>
        <v/>
      </c>
      <c r="D1410" s="32" t="str">
        <f>IF($E1410="","",INDEX(资金日记账!$D$4:$D$603,251))</f>
        <v/>
      </c>
      <c r="E1410" s="26" t="str">
        <f>IF(INDEX(资金日记账!$N$4:$S$603,251,1)=0,"",INDEX(资金日记账!$N$4:$S$603,251,1))</f>
        <v/>
      </c>
      <c r="F1410" s="25" t="str">
        <f>IF($E1410="","",IFERROR(INDEX(科目表!$A$4:$A$81,MATCH($E1410,科目表!$B$4:$B$81,0)),""))</f>
        <v/>
      </c>
      <c r="G1410" s="26" t="str">
        <f>IF($E1410="","",IFERROR(INDEX(科目表!$E$4:$E$81,MATCH($E1410,科目表!$B$4:$B$81,0)),""))</f>
        <v/>
      </c>
      <c r="H1410" s="27" t="str">
        <f>IF($E1410="","",N(INDEX(资金日记账!$N$4:$S$603,251,2)))</f>
        <v/>
      </c>
      <c r="I1410" s="27" t="str">
        <f>IF($E1410="","",N(INDEX(资金日记账!$N$4:$S$603,251,3)))</f>
        <v/>
      </c>
      <c r="J1410" s="26" t="str">
        <f>IF($E1410="","",INDEX(资金日记账!$E$4:$E$603,251))</f>
        <v/>
      </c>
      <c r="K1410" s="26" t="str">
        <f>IF($E1410="","",INDEX(资金日记账!$F$4:$F$603,251))</f>
        <v/>
      </c>
      <c r="L1410" s="32" t="str">
        <f>IF($E1410="","",INDEX(资金日记账!$X$4:$X$603,251))</f>
        <v/>
      </c>
      <c r="M1410" s="32"/>
      <c r="N1410" s="26" t="str">
        <f>IF($E1410="","",INDEX(资金日记账!$Y$4:$Y$603,251))</f>
        <v/>
      </c>
      <c r="O1410" s="26" t="str">
        <f t="shared" si="74"/>
        <v/>
      </c>
      <c r="P1410" s="10"/>
    </row>
    <row r="1411" ht="18" customHeight="1" spans="1:16">
      <c r="A1411" s="32" t="str">
        <f t="shared" si="73"/>
        <v/>
      </c>
      <c r="B1411" s="100" t="str">
        <f>IF($E1411="","",INDEX(资金日记账!$B$4:$B$603,251))</f>
        <v/>
      </c>
      <c r="C1411" s="26" t="str">
        <f>IF($E1411="","",IF(INDEX(资金日记账!$W$4:$W$603,251)="","记-"&amp;TEXT($B1411,"YYYYMM")&amp;"-资金",INDEX(资金日记账!$W$4:$W$603,251)))</f>
        <v/>
      </c>
      <c r="D1411" s="32" t="str">
        <f>IF($E1411="","",INDEX(资金日记账!$D$4:$D$603,251))</f>
        <v/>
      </c>
      <c r="E1411" s="26" t="str">
        <f>IF(INDEX(资金日记账!$N$4:$S$603,251,4)=0,"",INDEX(资金日记账!$N$4:$S$603,251,4))</f>
        <v/>
      </c>
      <c r="F1411" s="25" t="str">
        <f>IF($E1411="","",IFERROR(INDEX(科目表!$A$4:$A$81,MATCH($E1411,科目表!$B$4:$B$81,0)),""))</f>
        <v/>
      </c>
      <c r="G1411" s="26" t="str">
        <f>IF($E1411="","",IFERROR(INDEX(科目表!$E$4:$E$81,MATCH($E1411,科目表!$B$4:$B$81,0)),""))</f>
        <v/>
      </c>
      <c r="H1411" s="27" t="str">
        <f>IF($E1411="","",N(INDEX(资金日记账!$N$4:$S$603,251,5)))</f>
        <v/>
      </c>
      <c r="I1411" s="27" t="str">
        <f>IF($E1411="","",N(INDEX(资金日记账!$N$4:$S$603,251,6)))</f>
        <v/>
      </c>
      <c r="J1411" s="26" t="str">
        <f>IF($E1411="","",INDEX(资金日记账!$E$4:$E$603,251))</f>
        <v/>
      </c>
      <c r="K1411" s="26" t="str">
        <f>IF($E1411="","",INDEX(资金日记账!$F$4:$F$603,251))</f>
        <v/>
      </c>
      <c r="L1411" s="32" t="str">
        <f>IF($E1411="","",INDEX(资金日记账!$X$4:$X$603,251))</f>
        <v/>
      </c>
      <c r="M1411" s="32"/>
      <c r="N1411" s="26" t="str">
        <f>IF($E1411="","",INDEX(资金日记账!$Y$4:$Y$603,251))</f>
        <v/>
      </c>
      <c r="O1411" s="26" t="str">
        <f t="shared" si="74"/>
        <v/>
      </c>
      <c r="P1411" s="10"/>
    </row>
    <row r="1412" ht="18" customHeight="1" spans="1:16">
      <c r="A1412" s="32" t="str">
        <f t="shared" ref="A1412:A1475" si="75">IF($E1412="","",ROW()-3)</f>
        <v/>
      </c>
      <c r="B1412" s="100" t="str">
        <f>IF($E1412="","",INDEX(资金日记账!$B$4:$B$603,252))</f>
        <v/>
      </c>
      <c r="C1412" s="26" t="str">
        <f>IF($E1412="","",IF(INDEX(资金日记账!$W$4:$W$603,252)="","记-"&amp;TEXT($B1412,"YYYYMM")&amp;"-资金",INDEX(资金日记账!$W$4:$W$603,252)))</f>
        <v/>
      </c>
      <c r="D1412" s="32" t="str">
        <f>IF($E1412="","",INDEX(资金日记账!$D$4:$D$603,252))</f>
        <v/>
      </c>
      <c r="E1412" s="26" t="str">
        <f>IF(INDEX(资金日记账!$N$4:$S$603,252,1)=0,"",INDEX(资金日记账!$N$4:$S$603,252,1))</f>
        <v/>
      </c>
      <c r="F1412" s="25" t="str">
        <f>IF($E1412="","",IFERROR(INDEX(科目表!$A$4:$A$81,MATCH($E1412,科目表!$B$4:$B$81,0)),""))</f>
        <v/>
      </c>
      <c r="G1412" s="26" t="str">
        <f>IF($E1412="","",IFERROR(INDEX(科目表!$E$4:$E$81,MATCH($E1412,科目表!$B$4:$B$81,0)),""))</f>
        <v/>
      </c>
      <c r="H1412" s="27" t="str">
        <f>IF($E1412="","",N(INDEX(资金日记账!$N$4:$S$603,252,2)))</f>
        <v/>
      </c>
      <c r="I1412" s="27" t="str">
        <f>IF($E1412="","",N(INDEX(资金日记账!$N$4:$S$603,252,3)))</f>
        <v/>
      </c>
      <c r="J1412" s="26" t="str">
        <f>IF($E1412="","",INDEX(资金日记账!$E$4:$E$603,252))</f>
        <v/>
      </c>
      <c r="K1412" s="26" t="str">
        <f>IF($E1412="","",INDEX(资金日记账!$F$4:$F$603,252))</f>
        <v/>
      </c>
      <c r="L1412" s="32" t="str">
        <f>IF($E1412="","",INDEX(资金日记账!$X$4:$X$603,252))</f>
        <v/>
      </c>
      <c r="M1412" s="32"/>
      <c r="N1412" s="26" t="str">
        <f>IF($E1412="","",INDEX(资金日记账!$Y$4:$Y$603,252))</f>
        <v/>
      </c>
      <c r="O1412" s="26" t="str">
        <f t="shared" si="74"/>
        <v/>
      </c>
      <c r="P1412" s="10"/>
    </row>
    <row r="1413" ht="18" customHeight="1" spans="1:16">
      <c r="A1413" s="32" t="str">
        <f t="shared" si="75"/>
        <v/>
      </c>
      <c r="B1413" s="100" t="str">
        <f>IF($E1413="","",INDEX(资金日记账!$B$4:$B$603,252))</f>
        <v/>
      </c>
      <c r="C1413" s="26" t="str">
        <f>IF($E1413="","",IF(INDEX(资金日记账!$W$4:$W$603,252)="","记-"&amp;TEXT($B1413,"YYYYMM")&amp;"-资金",INDEX(资金日记账!$W$4:$W$603,252)))</f>
        <v/>
      </c>
      <c r="D1413" s="32" t="str">
        <f>IF($E1413="","",INDEX(资金日记账!$D$4:$D$603,252))</f>
        <v/>
      </c>
      <c r="E1413" s="26" t="str">
        <f>IF(INDEX(资金日记账!$N$4:$S$603,252,4)=0,"",INDEX(资金日记账!$N$4:$S$603,252,4))</f>
        <v/>
      </c>
      <c r="F1413" s="25" t="str">
        <f>IF($E1413="","",IFERROR(INDEX(科目表!$A$4:$A$81,MATCH($E1413,科目表!$B$4:$B$81,0)),""))</f>
        <v/>
      </c>
      <c r="G1413" s="26" t="str">
        <f>IF($E1413="","",IFERROR(INDEX(科目表!$E$4:$E$81,MATCH($E1413,科目表!$B$4:$B$81,0)),""))</f>
        <v/>
      </c>
      <c r="H1413" s="27" t="str">
        <f>IF($E1413="","",N(INDEX(资金日记账!$N$4:$S$603,252,5)))</f>
        <v/>
      </c>
      <c r="I1413" s="27" t="str">
        <f>IF($E1413="","",N(INDEX(资金日记账!$N$4:$S$603,252,6)))</f>
        <v/>
      </c>
      <c r="J1413" s="26" t="str">
        <f>IF($E1413="","",INDEX(资金日记账!$E$4:$E$603,252))</f>
        <v/>
      </c>
      <c r="K1413" s="26" t="str">
        <f>IF($E1413="","",INDEX(资金日记账!$F$4:$F$603,252))</f>
        <v/>
      </c>
      <c r="L1413" s="32" t="str">
        <f>IF($E1413="","",INDEX(资金日记账!$X$4:$X$603,252))</f>
        <v/>
      </c>
      <c r="M1413" s="32"/>
      <c r="N1413" s="26" t="str">
        <f>IF($E1413="","",INDEX(资金日记账!$Y$4:$Y$603,252))</f>
        <v/>
      </c>
      <c r="O1413" s="26" t="str">
        <f t="shared" si="74"/>
        <v/>
      </c>
      <c r="P1413" s="10"/>
    </row>
    <row r="1414" ht="18" customHeight="1" spans="1:16">
      <c r="A1414" s="32" t="str">
        <f t="shared" si="75"/>
        <v/>
      </c>
      <c r="B1414" s="100" t="str">
        <f>IF($E1414="","",INDEX(资金日记账!$B$4:$B$603,253))</f>
        <v/>
      </c>
      <c r="C1414" s="26" t="str">
        <f>IF($E1414="","",IF(INDEX(资金日记账!$W$4:$W$603,253)="","记-"&amp;TEXT($B1414,"YYYYMM")&amp;"-资金",INDEX(资金日记账!$W$4:$W$603,253)))</f>
        <v/>
      </c>
      <c r="D1414" s="32" t="str">
        <f>IF($E1414="","",INDEX(资金日记账!$D$4:$D$603,253))</f>
        <v/>
      </c>
      <c r="E1414" s="26" t="str">
        <f>IF(INDEX(资金日记账!$N$4:$S$603,253,1)=0,"",INDEX(资金日记账!$N$4:$S$603,253,1))</f>
        <v/>
      </c>
      <c r="F1414" s="25" t="str">
        <f>IF($E1414="","",IFERROR(INDEX(科目表!$A$4:$A$81,MATCH($E1414,科目表!$B$4:$B$81,0)),""))</f>
        <v/>
      </c>
      <c r="G1414" s="26" t="str">
        <f>IF($E1414="","",IFERROR(INDEX(科目表!$E$4:$E$81,MATCH($E1414,科目表!$B$4:$B$81,0)),""))</f>
        <v/>
      </c>
      <c r="H1414" s="27" t="str">
        <f>IF($E1414="","",N(INDEX(资金日记账!$N$4:$S$603,253,2)))</f>
        <v/>
      </c>
      <c r="I1414" s="27" t="str">
        <f>IF($E1414="","",N(INDEX(资金日记账!$N$4:$S$603,253,3)))</f>
        <v/>
      </c>
      <c r="J1414" s="26" t="str">
        <f>IF($E1414="","",INDEX(资金日记账!$E$4:$E$603,253))</f>
        <v/>
      </c>
      <c r="K1414" s="26" t="str">
        <f>IF($E1414="","",INDEX(资金日记账!$F$4:$F$603,253))</f>
        <v/>
      </c>
      <c r="L1414" s="32" t="str">
        <f>IF($E1414="","",INDEX(资金日记账!$X$4:$X$603,253))</f>
        <v/>
      </c>
      <c r="M1414" s="32"/>
      <c r="N1414" s="26" t="str">
        <f>IF($E1414="","",INDEX(资金日记账!$Y$4:$Y$603,253))</f>
        <v/>
      </c>
      <c r="O1414" s="26" t="str">
        <f t="shared" si="74"/>
        <v/>
      </c>
      <c r="P1414" s="10"/>
    </row>
    <row r="1415" ht="18" customHeight="1" spans="1:16">
      <c r="A1415" s="32" t="str">
        <f t="shared" si="75"/>
        <v/>
      </c>
      <c r="B1415" s="100" t="str">
        <f>IF($E1415="","",INDEX(资金日记账!$B$4:$B$603,253))</f>
        <v/>
      </c>
      <c r="C1415" s="26" t="str">
        <f>IF($E1415="","",IF(INDEX(资金日记账!$W$4:$W$603,253)="","记-"&amp;TEXT($B1415,"YYYYMM")&amp;"-资金",INDEX(资金日记账!$W$4:$W$603,253)))</f>
        <v/>
      </c>
      <c r="D1415" s="32" t="str">
        <f>IF($E1415="","",INDEX(资金日记账!$D$4:$D$603,253))</f>
        <v/>
      </c>
      <c r="E1415" s="26" t="str">
        <f>IF(INDEX(资金日记账!$N$4:$S$603,253,4)=0,"",INDEX(资金日记账!$N$4:$S$603,253,4))</f>
        <v/>
      </c>
      <c r="F1415" s="25" t="str">
        <f>IF($E1415="","",IFERROR(INDEX(科目表!$A$4:$A$81,MATCH($E1415,科目表!$B$4:$B$81,0)),""))</f>
        <v/>
      </c>
      <c r="G1415" s="26" t="str">
        <f>IF($E1415="","",IFERROR(INDEX(科目表!$E$4:$E$81,MATCH($E1415,科目表!$B$4:$B$81,0)),""))</f>
        <v/>
      </c>
      <c r="H1415" s="27" t="str">
        <f>IF($E1415="","",N(INDEX(资金日记账!$N$4:$S$603,253,5)))</f>
        <v/>
      </c>
      <c r="I1415" s="27" t="str">
        <f>IF($E1415="","",N(INDEX(资金日记账!$N$4:$S$603,253,6)))</f>
        <v/>
      </c>
      <c r="J1415" s="26" t="str">
        <f>IF($E1415="","",INDEX(资金日记账!$E$4:$E$603,253))</f>
        <v/>
      </c>
      <c r="K1415" s="26" t="str">
        <f>IF($E1415="","",INDEX(资金日记账!$F$4:$F$603,253))</f>
        <v/>
      </c>
      <c r="L1415" s="32" t="str">
        <f>IF($E1415="","",INDEX(资金日记账!$X$4:$X$603,253))</f>
        <v/>
      </c>
      <c r="M1415" s="32"/>
      <c r="N1415" s="26" t="str">
        <f>IF($E1415="","",INDEX(资金日记账!$Y$4:$Y$603,253))</f>
        <v/>
      </c>
      <c r="O1415" s="26" t="str">
        <f t="shared" si="74"/>
        <v/>
      </c>
      <c r="P1415" s="10"/>
    </row>
    <row r="1416" ht="18" customHeight="1" spans="1:16">
      <c r="A1416" s="32" t="str">
        <f t="shared" si="75"/>
        <v/>
      </c>
      <c r="B1416" s="100" t="str">
        <f>IF($E1416="","",INDEX(资金日记账!$B$4:$B$603,254))</f>
        <v/>
      </c>
      <c r="C1416" s="26" t="str">
        <f>IF($E1416="","",IF(INDEX(资金日记账!$W$4:$W$603,254)="","记-"&amp;TEXT($B1416,"YYYYMM")&amp;"-资金",INDEX(资金日记账!$W$4:$W$603,254)))</f>
        <v/>
      </c>
      <c r="D1416" s="32" t="str">
        <f>IF($E1416="","",INDEX(资金日记账!$D$4:$D$603,254))</f>
        <v/>
      </c>
      <c r="E1416" s="26" t="str">
        <f>IF(INDEX(资金日记账!$N$4:$S$603,254,1)=0,"",INDEX(资金日记账!$N$4:$S$603,254,1))</f>
        <v/>
      </c>
      <c r="F1416" s="25" t="str">
        <f>IF($E1416="","",IFERROR(INDEX(科目表!$A$4:$A$81,MATCH($E1416,科目表!$B$4:$B$81,0)),""))</f>
        <v/>
      </c>
      <c r="G1416" s="26" t="str">
        <f>IF($E1416="","",IFERROR(INDEX(科目表!$E$4:$E$81,MATCH($E1416,科目表!$B$4:$B$81,0)),""))</f>
        <v/>
      </c>
      <c r="H1416" s="27" t="str">
        <f>IF($E1416="","",N(INDEX(资金日记账!$N$4:$S$603,254,2)))</f>
        <v/>
      </c>
      <c r="I1416" s="27" t="str">
        <f>IF($E1416="","",N(INDEX(资金日记账!$N$4:$S$603,254,3)))</f>
        <v/>
      </c>
      <c r="J1416" s="26" t="str">
        <f>IF($E1416="","",INDEX(资金日记账!$E$4:$E$603,254))</f>
        <v/>
      </c>
      <c r="K1416" s="26" t="str">
        <f>IF($E1416="","",INDEX(资金日记账!$F$4:$F$603,254))</f>
        <v/>
      </c>
      <c r="L1416" s="32" t="str">
        <f>IF($E1416="","",INDEX(资金日记账!$X$4:$X$603,254))</f>
        <v/>
      </c>
      <c r="M1416" s="32"/>
      <c r="N1416" s="26" t="str">
        <f>IF($E1416="","",INDEX(资金日记账!$Y$4:$Y$603,254))</f>
        <v/>
      </c>
      <c r="O1416" s="26" t="str">
        <f t="shared" si="74"/>
        <v/>
      </c>
      <c r="P1416" s="10"/>
    </row>
    <row r="1417" ht="18" customHeight="1" spans="1:16">
      <c r="A1417" s="32" t="str">
        <f t="shared" si="75"/>
        <v/>
      </c>
      <c r="B1417" s="100" t="str">
        <f>IF($E1417="","",INDEX(资金日记账!$B$4:$B$603,254))</f>
        <v/>
      </c>
      <c r="C1417" s="26" t="str">
        <f>IF($E1417="","",IF(INDEX(资金日记账!$W$4:$W$603,254)="","记-"&amp;TEXT($B1417,"YYYYMM")&amp;"-资金",INDEX(资金日记账!$W$4:$W$603,254)))</f>
        <v/>
      </c>
      <c r="D1417" s="32" t="str">
        <f>IF($E1417="","",INDEX(资金日记账!$D$4:$D$603,254))</f>
        <v/>
      </c>
      <c r="E1417" s="26" t="str">
        <f>IF(INDEX(资金日记账!$N$4:$S$603,254,4)=0,"",INDEX(资金日记账!$N$4:$S$603,254,4))</f>
        <v/>
      </c>
      <c r="F1417" s="25" t="str">
        <f>IF($E1417="","",IFERROR(INDEX(科目表!$A$4:$A$81,MATCH($E1417,科目表!$B$4:$B$81,0)),""))</f>
        <v/>
      </c>
      <c r="G1417" s="26" t="str">
        <f>IF($E1417="","",IFERROR(INDEX(科目表!$E$4:$E$81,MATCH($E1417,科目表!$B$4:$B$81,0)),""))</f>
        <v/>
      </c>
      <c r="H1417" s="27" t="str">
        <f>IF($E1417="","",N(INDEX(资金日记账!$N$4:$S$603,254,5)))</f>
        <v/>
      </c>
      <c r="I1417" s="27" t="str">
        <f>IF($E1417="","",N(INDEX(资金日记账!$N$4:$S$603,254,6)))</f>
        <v/>
      </c>
      <c r="J1417" s="26" t="str">
        <f>IF($E1417="","",INDEX(资金日记账!$E$4:$E$603,254))</f>
        <v/>
      </c>
      <c r="K1417" s="26" t="str">
        <f>IF($E1417="","",INDEX(资金日记账!$F$4:$F$603,254))</f>
        <v/>
      </c>
      <c r="L1417" s="32" t="str">
        <f>IF($E1417="","",INDEX(资金日记账!$X$4:$X$603,254))</f>
        <v/>
      </c>
      <c r="M1417" s="32"/>
      <c r="N1417" s="26" t="str">
        <f>IF($E1417="","",INDEX(资金日记账!$Y$4:$Y$603,254))</f>
        <v/>
      </c>
      <c r="O1417" s="26" t="str">
        <f t="shared" si="74"/>
        <v/>
      </c>
      <c r="P1417" s="10"/>
    </row>
    <row r="1418" ht="18" customHeight="1" spans="1:16">
      <c r="A1418" s="32" t="str">
        <f t="shared" si="75"/>
        <v/>
      </c>
      <c r="B1418" s="100" t="str">
        <f>IF($E1418="","",INDEX(资金日记账!$B$4:$B$603,255))</f>
        <v/>
      </c>
      <c r="C1418" s="26" t="str">
        <f>IF($E1418="","",IF(INDEX(资金日记账!$W$4:$W$603,255)="","记-"&amp;TEXT($B1418,"YYYYMM")&amp;"-资金",INDEX(资金日记账!$W$4:$W$603,255)))</f>
        <v/>
      </c>
      <c r="D1418" s="32" t="str">
        <f>IF($E1418="","",INDEX(资金日记账!$D$4:$D$603,255))</f>
        <v/>
      </c>
      <c r="E1418" s="26" t="str">
        <f>IF(INDEX(资金日记账!$N$4:$S$603,255,1)=0,"",INDEX(资金日记账!$N$4:$S$603,255,1))</f>
        <v/>
      </c>
      <c r="F1418" s="25" t="str">
        <f>IF($E1418="","",IFERROR(INDEX(科目表!$A$4:$A$81,MATCH($E1418,科目表!$B$4:$B$81,0)),""))</f>
        <v/>
      </c>
      <c r="G1418" s="26" t="str">
        <f>IF($E1418="","",IFERROR(INDEX(科目表!$E$4:$E$81,MATCH($E1418,科目表!$B$4:$B$81,0)),""))</f>
        <v/>
      </c>
      <c r="H1418" s="27" t="str">
        <f>IF($E1418="","",N(INDEX(资金日记账!$N$4:$S$603,255,2)))</f>
        <v/>
      </c>
      <c r="I1418" s="27" t="str">
        <f>IF($E1418="","",N(INDEX(资金日记账!$N$4:$S$603,255,3)))</f>
        <v/>
      </c>
      <c r="J1418" s="26" t="str">
        <f>IF($E1418="","",INDEX(资金日记账!$E$4:$E$603,255))</f>
        <v/>
      </c>
      <c r="K1418" s="26" t="str">
        <f>IF($E1418="","",INDEX(资金日记账!$F$4:$F$603,255))</f>
        <v/>
      </c>
      <c r="L1418" s="32" t="str">
        <f>IF($E1418="","",INDEX(资金日记账!$X$4:$X$603,255))</f>
        <v/>
      </c>
      <c r="M1418" s="32"/>
      <c r="N1418" s="26" t="str">
        <f>IF($E1418="","",INDEX(资金日记账!$Y$4:$Y$603,255))</f>
        <v/>
      </c>
      <c r="O1418" s="26" t="str">
        <f t="shared" si="74"/>
        <v/>
      </c>
      <c r="P1418" s="10"/>
    </row>
    <row r="1419" ht="18" customHeight="1" spans="1:16">
      <c r="A1419" s="32" t="str">
        <f t="shared" si="75"/>
        <v/>
      </c>
      <c r="B1419" s="100" t="str">
        <f>IF($E1419="","",INDEX(资金日记账!$B$4:$B$603,255))</f>
        <v/>
      </c>
      <c r="C1419" s="26" t="str">
        <f>IF($E1419="","",IF(INDEX(资金日记账!$W$4:$W$603,255)="","记-"&amp;TEXT($B1419,"YYYYMM")&amp;"-资金",INDEX(资金日记账!$W$4:$W$603,255)))</f>
        <v/>
      </c>
      <c r="D1419" s="32" t="str">
        <f>IF($E1419="","",INDEX(资金日记账!$D$4:$D$603,255))</f>
        <v/>
      </c>
      <c r="E1419" s="26" t="str">
        <f>IF(INDEX(资金日记账!$N$4:$S$603,255,4)=0,"",INDEX(资金日记账!$N$4:$S$603,255,4))</f>
        <v/>
      </c>
      <c r="F1419" s="25" t="str">
        <f>IF($E1419="","",IFERROR(INDEX(科目表!$A$4:$A$81,MATCH($E1419,科目表!$B$4:$B$81,0)),""))</f>
        <v/>
      </c>
      <c r="G1419" s="26" t="str">
        <f>IF($E1419="","",IFERROR(INDEX(科目表!$E$4:$E$81,MATCH($E1419,科目表!$B$4:$B$81,0)),""))</f>
        <v/>
      </c>
      <c r="H1419" s="27" t="str">
        <f>IF($E1419="","",N(INDEX(资金日记账!$N$4:$S$603,255,5)))</f>
        <v/>
      </c>
      <c r="I1419" s="27" t="str">
        <f>IF($E1419="","",N(INDEX(资金日记账!$N$4:$S$603,255,6)))</f>
        <v/>
      </c>
      <c r="J1419" s="26" t="str">
        <f>IF($E1419="","",INDEX(资金日记账!$E$4:$E$603,255))</f>
        <v/>
      </c>
      <c r="K1419" s="26" t="str">
        <f>IF($E1419="","",INDEX(资金日记账!$F$4:$F$603,255))</f>
        <v/>
      </c>
      <c r="L1419" s="32" t="str">
        <f>IF($E1419="","",INDEX(资金日记账!$X$4:$X$603,255))</f>
        <v/>
      </c>
      <c r="M1419" s="32"/>
      <c r="N1419" s="26" t="str">
        <f>IF($E1419="","",INDEX(资金日记账!$Y$4:$Y$603,255))</f>
        <v/>
      </c>
      <c r="O1419" s="26" t="str">
        <f t="shared" si="74"/>
        <v/>
      </c>
      <c r="P1419" s="10"/>
    </row>
    <row r="1420" ht="18" customHeight="1" spans="1:16">
      <c r="A1420" s="32" t="str">
        <f t="shared" si="75"/>
        <v/>
      </c>
      <c r="B1420" s="100" t="str">
        <f>IF($E1420="","",INDEX(资金日记账!$B$4:$B$603,256))</f>
        <v/>
      </c>
      <c r="C1420" s="26" t="str">
        <f>IF($E1420="","",IF(INDEX(资金日记账!$W$4:$W$603,256)="","记-"&amp;TEXT($B1420,"YYYYMM")&amp;"-资金",INDEX(资金日记账!$W$4:$W$603,256)))</f>
        <v/>
      </c>
      <c r="D1420" s="32" t="str">
        <f>IF($E1420="","",INDEX(资金日记账!$D$4:$D$603,256))</f>
        <v/>
      </c>
      <c r="E1420" s="26" t="str">
        <f>IF(INDEX(资金日记账!$N$4:$S$603,256,1)=0,"",INDEX(资金日记账!$N$4:$S$603,256,1))</f>
        <v/>
      </c>
      <c r="F1420" s="25" t="str">
        <f>IF($E1420="","",IFERROR(INDEX(科目表!$A$4:$A$81,MATCH($E1420,科目表!$B$4:$B$81,0)),""))</f>
        <v/>
      </c>
      <c r="G1420" s="26" t="str">
        <f>IF($E1420="","",IFERROR(INDEX(科目表!$E$4:$E$81,MATCH($E1420,科目表!$B$4:$B$81,0)),""))</f>
        <v/>
      </c>
      <c r="H1420" s="27" t="str">
        <f>IF($E1420="","",N(INDEX(资金日记账!$N$4:$S$603,256,2)))</f>
        <v/>
      </c>
      <c r="I1420" s="27" t="str">
        <f>IF($E1420="","",N(INDEX(资金日记账!$N$4:$S$603,256,3)))</f>
        <v/>
      </c>
      <c r="J1420" s="26" t="str">
        <f>IF($E1420="","",INDEX(资金日记账!$E$4:$E$603,256))</f>
        <v/>
      </c>
      <c r="K1420" s="26" t="str">
        <f>IF($E1420="","",INDEX(资金日记账!$F$4:$F$603,256))</f>
        <v/>
      </c>
      <c r="L1420" s="32" t="str">
        <f>IF($E1420="","",INDEX(资金日记账!$X$4:$X$603,256))</f>
        <v/>
      </c>
      <c r="M1420" s="32"/>
      <c r="N1420" s="26" t="str">
        <f>IF($E1420="","",INDEX(资金日记账!$Y$4:$Y$603,256))</f>
        <v/>
      </c>
      <c r="O1420" s="26" t="str">
        <f t="shared" si="74"/>
        <v/>
      </c>
      <c r="P1420" s="10"/>
    </row>
    <row r="1421" ht="18" customHeight="1" spans="1:16">
      <c r="A1421" s="32" t="str">
        <f t="shared" si="75"/>
        <v/>
      </c>
      <c r="B1421" s="100" t="str">
        <f>IF($E1421="","",INDEX(资金日记账!$B$4:$B$603,256))</f>
        <v/>
      </c>
      <c r="C1421" s="26" t="str">
        <f>IF($E1421="","",IF(INDEX(资金日记账!$W$4:$W$603,256)="","记-"&amp;TEXT($B1421,"YYYYMM")&amp;"-资金",INDEX(资金日记账!$W$4:$W$603,256)))</f>
        <v/>
      </c>
      <c r="D1421" s="32" t="str">
        <f>IF($E1421="","",INDEX(资金日记账!$D$4:$D$603,256))</f>
        <v/>
      </c>
      <c r="E1421" s="26" t="str">
        <f>IF(INDEX(资金日记账!$N$4:$S$603,256,4)=0,"",INDEX(资金日记账!$N$4:$S$603,256,4))</f>
        <v/>
      </c>
      <c r="F1421" s="25" t="str">
        <f>IF($E1421="","",IFERROR(INDEX(科目表!$A$4:$A$81,MATCH($E1421,科目表!$B$4:$B$81,0)),""))</f>
        <v/>
      </c>
      <c r="G1421" s="26" t="str">
        <f>IF($E1421="","",IFERROR(INDEX(科目表!$E$4:$E$81,MATCH($E1421,科目表!$B$4:$B$81,0)),""))</f>
        <v/>
      </c>
      <c r="H1421" s="27" t="str">
        <f>IF($E1421="","",N(INDEX(资金日记账!$N$4:$S$603,256,5)))</f>
        <v/>
      </c>
      <c r="I1421" s="27" t="str">
        <f>IF($E1421="","",N(INDEX(资金日记账!$N$4:$S$603,256,6)))</f>
        <v/>
      </c>
      <c r="J1421" s="26" t="str">
        <f>IF($E1421="","",INDEX(资金日记账!$E$4:$E$603,256))</f>
        <v/>
      </c>
      <c r="K1421" s="26" t="str">
        <f>IF($E1421="","",INDEX(资金日记账!$F$4:$F$603,256))</f>
        <v/>
      </c>
      <c r="L1421" s="32" t="str">
        <f>IF($E1421="","",INDEX(资金日记账!$X$4:$X$603,256))</f>
        <v/>
      </c>
      <c r="M1421" s="32"/>
      <c r="N1421" s="26" t="str">
        <f>IF($E1421="","",INDEX(资金日记账!$Y$4:$Y$603,256))</f>
        <v/>
      </c>
      <c r="O1421" s="26" t="str">
        <f t="shared" si="74"/>
        <v/>
      </c>
      <c r="P1421" s="10"/>
    </row>
    <row r="1422" ht="18" customHeight="1" spans="1:16">
      <c r="A1422" s="32" t="str">
        <f t="shared" si="75"/>
        <v/>
      </c>
      <c r="B1422" s="100" t="str">
        <f>IF($E1422="","",INDEX(资金日记账!$B$4:$B$603,257))</f>
        <v/>
      </c>
      <c r="C1422" s="26" t="str">
        <f>IF($E1422="","",IF(INDEX(资金日记账!$W$4:$W$603,257)="","记-"&amp;TEXT($B1422,"YYYYMM")&amp;"-资金",INDEX(资金日记账!$W$4:$W$603,257)))</f>
        <v/>
      </c>
      <c r="D1422" s="32" t="str">
        <f>IF($E1422="","",INDEX(资金日记账!$D$4:$D$603,257))</f>
        <v/>
      </c>
      <c r="E1422" s="26" t="str">
        <f>IF(INDEX(资金日记账!$N$4:$S$603,257,1)=0,"",INDEX(资金日记账!$N$4:$S$603,257,1))</f>
        <v/>
      </c>
      <c r="F1422" s="25" t="str">
        <f>IF($E1422="","",IFERROR(INDEX(科目表!$A$4:$A$81,MATCH($E1422,科目表!$B$4:$B$81,0)),""))</f>
        <v/>
      </c>
      <c r="G1422" s="26" t="str">
        <f>IF($E1422="","",IFERROR(INDEX(科目表!$E$4:$E$81,MATCH($E1422,科目表!$B$4:$B$81,0)),""))</f>
        <v/>
      </c>
      <c r="H1422" s="27" t="str">
        <f>IF($E1422="","",N(INDEX(资金日记账!$N$4:$S$603,257,2)))</f>
        <v/>
      </c>
      <c r="I1422" s="27" t="str">
        <f>IF($E1422="","",N(INDEX(资金日记账!$N$4:$S$603,257,3)))</f>
        <v/>
      </c>
      <c r="J1422" s="26" t="str">
        <f>IF($E1422="","",INDEX(资金日记账!$E$4:$E$603,257))</f>
        <v/>
      </c>
      <c r="K1422" s="26" t="str">
        <f>IF($E1422="","",INDEX(资金日记账!$F$4:$F$603,257))</f>
        <v/>
      </c>
      <c r="L1422" s="32" t="str">
        <f>IF($E1422="","",INDEX(资金日记账!$X$4:$X$603,257))</f>
        <v/>
      </c>
      <c r="M1422" s="32"/>
      <c r="N1422" s="26" t="str">
        <f>IF($E1422="","",INDEX(资金日记账!$Y$4:$Y$603,257))</f>
        <v/>
      </c>
      <c r="O1422" s="26" t="str">
        <f t="shared" ref="O1422:O1485" si="76">IF($E1422="","","自动B")</f>
        <v/>
      </c>
      <c r="P1422" s="10"/>
    </row>
    <row r="1423" ht="18" customHeight="1" spans="1:16">
      <c r="A1423" s="32" t="str">
        <f t="shared" si="75"/>
        <v/>
      </c>
      <c r="B1423" s="100" t="str">
        <f>IF($E1423="","",INDEX(资金日记账!$B$4:$B$603,257))</f>
        <v/>
      </c>
      <c r="C1423" s="26" t="str">
        <f>IF($E1423="","",IF(INDEX(资金日记账!$W$4:$W$603,257)="","记-"&amp;TEXT($B1423,"YYYYMM")&amp;"-资金",INDEX(资金日记账!$W$4:$W$603,257)))</f>
        <v/>
      </c>
      <c r="D1423" s="32" t="str">
        <f>IF($E1423="","",INDEX(资金日记账!$D$4:$D$603,257))</f>
        <v/>
      </c>
      <c r="E1423" s="26" t="str">
        <f>IF(INDEX(资金日记账!$N$4:$S$603,257,4)=0,"",INDEX(资金日记账!$N$4:$S$603,257,4))</f>
        <v/>
      </c>
      <c r="F1423" s="25" t="str">
        <f>IF($E1423="","",IFERROR(INDEX(科目表!$A$4:$A$81,MATCH($E1423,科目表!$B$4:$B$81,0)),""))</f>
        <v/>
      </c>
      <c r="G1423" s="26" t="str">
        <f>IF($E1423="","",IFERROR(INDEX(科目表!$E$4:$E$81,MATCH($E1423,科目表!$B$4:$B$81,0)),""))</f>
        <v/>
      </c>
      <c r="H1423" s="27" t="str">
        <f>IF($E1423="","",N(INDEX(资金日记账!$N$4:$S$603,257,5)))</f>
        <v/>
      </c>
      <c r="I1423" s="27" t="str">
        <f>IF($E1423="","",N(INDEX(资金日记账!$N$4:$S$603,257,6)))</f>
        <v/>
      </c>
      <c r="J1423" s="26" t="str">
        <f>IF($E1423="","",INDEX(资金日记账!$E$4:$E$603,257))</f>
        <v/>
      </c>
      <c r="K1423" s="26" t="str">
        <f>IF($E1423="","",INDEX(资金日记账!$F$4:$F$603,257))</f>
        <v/>
      </c>
      <c r="L1423" s="32" t="str">
        <f>IF($E1423="","",INDEX(资金日记账!$X$4:$X$603,257))</f>
        <v/>
      </c>
      <c r="M1423" s="32"/>
      <c r="N1423" s="26" t="str">
        <f>IF($E1423="","",INDEX(资金日记账!$Y$4:$Y$603,257))</f>
        <v/>
      </c>
      <c r="O1423" s="26" t="str">
        <f t="shared" si="76"/>
        <v/>
      </c>
      <c r="P1423" s="10"/>
    </row>
    <row r="1424" ht="18" customHeight="1" spans="1:16">
      <c r="A1424" s="32" t="str">
        <f t="shared" si="75"/>
        <v/>
      </c>
      <c r="B1424" s="100" t="str">
        <f>IF($E1424="","",INDEX(资金日记账!$B$4:$B$603,258))</f>
        <v/>
      </c>
      <c r="C1424" s="26" t="str">
        <f>IF($E1424="","",IF(INDEX(资金日记账!$W$4:$W$603,258)="","记-"&amp;TEXT($B1424,"YYYYMM")&amp;"-资金",INDEX(资金日记账!$W$4:$W$603,258)))</f>
        <v/>
      </c>
      <c r="D1424" s="32" t="str">
        <f>IF($E1424="","",INDEX(资金日记账!$D$4:$D$603,258))</f>
        <v/>
      </c>
      <c r="E1424" s="26" t="str">
        <f>IF(INDEX(资金日记账!$N$4:$S$603,258,1)=0,"",INDEX(资金日记账!$N$4:$S$603,258,1))</f>
        <v/>
      </c>
      <c r="F1424" s="25" t="str">
        <f>IF($E1424="","",IFERROR(INDEX(科目表!$A$4:$A$81,MATCH($E1424,科目表!$B$4:$B$81,0)),""))</f>
        <v/>
      </c>
      <c r="G1424" s="26" t="str">
        <f>IF($E1424="","",IFERROR(INDEX(科目表!$E$4:$E$81,MATCH($E1424,科目表!$B$4:$B$81,0)),""))</f>
        <v/>
      </c>
      <c r="H1424" s="27" t="str">
        <f>IF($E1424="","",N(INDEX(资金日记账!$N$4:$S$603,258,2)))</f>
        <v/>
      </c>
      <c r="I1424" s="27" t="str">
        <f>IF($E1424="","",N(INDEX(资金日记账!$N$4:$S$603,258,3)))</f>
        <v/>
      </c>
      <c r="J1424" s="26" t="str">
        <f>IF($E1424="","",INDEX(资金日记账!$E$4:$E$603,258))</f>
        <v/>
      </c>
      <c r="K1424" s="26" t="str">
        <f>IF($E1424="","",INDEX(资金日记账!$F$4:$F$603,258))</f>
        <v/>
      </c>
      <c r="L1424" s="32" t="str">
        <f>IF($E1424="","",INDEX(资金日记账!$X$4:$X$603,258))</f>
        <v/>
      </c>
      <c r="M1424" s="32"/>
      <c r="N1424" s="26" t="str">
        <f>IF($E1424="","",INDEX(资金日记账!$Y$4:$Y$603,258))</f>
        <v/>
      </c>
      <c r="O1424" s="26" t="str">
        <f t="shared" si="76"/>
        <v/>
      </c>
      <c r="P1424" s="10"/>
    </row>
    <row r="1425" ht="18" customHeight="1" spans="1:16">
      <c r="A1425" s="32" t="str">
        <f t="shared" si="75"/>
        <v/>
      </c>
      <c r="B1425" s="100" t="str">
        <f>IF($E1425="","",INDEX(资金日记账!$B$4:$B$603,258))</f>
        <v/>
      </c>
      <c r="C1425" s="26" t="str">
        <f>IF($E1425="","",IF(INDEX(资金日记账!$W$4:$W$603,258)="","记-"&amp;TEXT($B1425,"YYYYMM")&amp;"-资金",INDEX(资金日记账!$W$4:$W$603,258)))</f>
        <v/>
      </c>
      <c r="D1425" s="32" t="str">
        <f>IF($E1425="","",INDEX(资金日记账!$D$4:$D$603,258))</f>
        <v/>
      </c>
      <c r="E1425" s="26" t="str">
        <f>IF(INDEX(资金日记账!$N$4:$S$603,258,4)=0,"",INDEX(资金日记账!$N$4:$S$603,258,4))</f>
        <v/>
      </c>
      <c r="F1425" s="25" t="str">
        <f>IF($E1425="","",IFERROR(INDEX(科目表!$A$4:$A$81,MATCH($E1425,科目表!$B$4:$B$81,0)),""))</f>
        <v/>
      </c>
      <c r="G1425" s="26" t="str">
        <f>IF($E1425="","",IFERROR(INDEX(科目表!$E$4:$E$81,MATCH($E1425,科目表!$B$4:$B$81,0)),""))</f>
        <v/>
      </c>
      <c r="H1425" s="27" t="str">
        <f>IF($E1425="","",N(INDEX(资金日记账!$N$4:$S$603,258,5)))</f>
        <v/>
      </c>
      <c r="I1425" s="27" t="str">
        <f>IF($E1425="","",N(INDEX(资金日记账!$N$4:$S$603,258,6)))</f>
        <v/>
      </c>
      <c r="J1425" s="26" t="str">
        <f>IF($E1425="","",INDEX(资金日记账!$E$4:$E$603,258))</f>
        <v/>
      </c>
      <c r="K1425" s="26" t="str">
        <f>IF($E1425="","",INDEX(资金日记账!$F$4:$F$603,258))</f>
        <v/>
      </c>
      <c r="L1425" s="32" t="str">
        <f>IF($E1425="","",INDEX(资金日记账!$X$4:$X$603,258))</f>
        <v/>
      </c>
      <c r="M1425" s="32"/>
      <c r="N1425" s="26" t="str">
        <f>IF($E1425="","",INDEX(资金日记账!$Y$4:$Y$603,258))</f>
        <v/>
      </c>
      <c r="O1425" s="26" t="str">
        <f t="shared" si="76"/>
        <v/>
      </c>
      <c r="P1425" s="10"/>
    </row>
    <row r="1426" ht="18" customHeight="1" spans="1:16">
      <c r="A1426" s="32" t="str">
        <f t="shared" si="75"/>
        <v/>
      </c>
      <c r="B1426" s="100" t="str">
        <f>IF($E1426="","",INDEX(资金日记账!$B$4:$B$603,259))</f>
        <v/>
      </c>
      <c r="C1426" s="26" t="str">
        <f>IF($E1426="","",IF(INDEX(资金日记账!$W$4:$W$603,259)="","记-"&amp;TEXT($B1426,"YYYYMM")&amp;"-资金",INDEX(资金日记账!$W$4:$W$603,259)))</f>
        <v/>
      </c>
      <c r="D1426" s="32" t="str">
        <f>IF($E1426="","",INDEX(资金日记账!$D$4:$D$603,259))</f>
        <v/>
      </c>
      <c r="E1426" s="26" t="str">
        <f>IF(INDEX(资金日记账!$N$4:$S$603,259,1)=0,"",INDEX(资金日记账!$N$4:$S$603,259,1))</f>
        <v/>
      </c>
      <c r="F1426" s="25" t="str">
        <f>IF($E1426="","",IFERROR(INDEX(科目表!$A$4:$A$81,MATCH($E1426,科目表!$B$4:$B$81,0)),""))</f>
        <v/>
      </c>
      <c r="G1426" s="26" t="str">
        <f>IF($E1426="","",IFERROR(INDEX(科目表!$E$4:$E$81,MATCH($E1426,科目表!$B$4:$B$81,0)),""))</f>
        <v/>
      </c>
      <c r="H1426" s="27" t="str">
        <f>IF($E1426="","",N(INDEX(资金日记账!$N$4:$S$603,259,2)))</f>
        <v/>
      </c>
      <c r="I1426" s="27" t="str">
        <f>IF($E1426="","",N(INDEX(资金日记账!$N$4:$S$603,259,3)))</f>
        <v/>
      </c>
      <c r="J1426" s="26" t="str">
        <f>IF($E1426="","",INDEX(资金日记账!$E$4:$E$603,259))</f>
        <v/>
      </c>
      <c r="K1426" s="26" t="str">
        <f>IF($E1426="","",INDEX(资金日记账!$F$4:$F$603,259))</f>
        <v/>
      </c>
      <c r="L1426" s="32" t="str">
        <f>IF($E1426="","",INDEX(资金日记账!$X$4:$X$603,259))</f>
        <v/>
      </c>
      <c r="M1426" s="32"/>
      <c r="N1426" s="26" t="str">
        <f>IF($E1426="","",INDEX(资金日记账!$Y$4:$Y$603,259))</f>
        <v/>
      </c>
      <c r="O1426" s="26" t="str">
        <f t="shared" si="76"/>
        <v/>
      </c>
      <c r="P1426" s="10"/>
    </row>
    <row r="1427" ht="18" customHeight="1" spans="1:16">
      <c r="A1427" s="32" t="str">
        <f t="shared" si="75"/>
        <v/>
      </c>
      <c r="B1427" s="100" t="str">
        <f>IF($E1427="","",INDEX(资金日记账!$B$4:$B$603,259))</f>
        <v/>
      </c>
      <c r="C1427" s="26" t="str">
        <f>IF($E1427="","",IF(INDEX(资金日记账!$W$4:$W$603,259)="","记-"&amp;TEXT($B1427,"YYYYMM")&amp;"-资金",INDEX(资金日记账!$W$4:$W$603,259)))</f>
        <v/>
      </c>
      <c r="D1427" s="32" t="str">
        <f>IF($E1427="","",INDEX(资金日记账!$D$4:$D$603,259))</f>
        <v/>
      </c>
      <c r="E1427" s="26" t="str">
        <f>IF(INDEX(资金日记账!$N$4:$S$603,259,4)=0,"",INDEX(资金日记账!$N$4:$S$603,259,4))</f>
        <v/>
      </c>
      <c r="F1427" s="25" t="str">
        <f>IF($E1427="","",IFERROR(INDEX(科目表!$A$4:$A$81,MATCH($E1427,科目表!$B$4:$B$81,0)),""))</f>
        <v/>
      </c>
      <c r="G1427" s="26" t="str">
        <f>IF($E1427="","",IFERROR(INDEX(科目表!$E$4:$E$81,MATCH($E1427,科目表!$B$4:$B$81,0)),""))</f>
        <v/>
      </c>
      <c r="H1427" s="27" t="str">
        <f>IF($E1427="","",N(INDEX(资金日记账!$N$4:$S$603,259,5)))</f>
        <v/>
      </c>
      <c r="I1427" s="27" t="str">
        <f>IF($E1427="","",N(INDEX(资金日记账!$N$4:$S$603,259,6)))</f>
        <v/>
      </c>
      <c r="J1427" s="26" t="str">
        <f>IF($E1427="","",INDEX(资金日记账!$E$4:$E$603,259))</f>
        <v/>
      </c>
      <c r="K1427" s="26" t="str">
        <f>IF($E1427="","",INDEX(资金日记账!$F$4:$F$603,259))</f>
        <v/>
      </c>
      <c r="L1427" s="32" t="str">
        <f>IF($E1427="","",INDEX(资金日记账!$X$4:$X$603,259))</f>
        <v/>
      </c>
      <c r="M1427" s="32"/>
      <c r="N1427" s="26" t="str">
        <f>IF($E1427="","",INDEX(资金日记账!$Y$4:$Y$603,259))</f>
        <v/>
      </c>
      <c r="O1427" s="26" t="str">
        <f t="shared" si="76"/>
        <v/>
      </c>
      <c r="P1427" s="10"/>
    </row>
    <row r="1428" ht="18" customHeight="1" spans="1:16">
      <c r="A1428" s="32" t="str">
        <f t="shared" si="75"/>
        <v/>
      </c>
      <c r="B1428" s="100" t="str">
        <f>IF($E1428="","",INDEX(资金日记账!$B$4:$B$603,260))</f>
        <v/>
      </c>
      <c r="C1428" s="26" t="str">
        <f>IF($E1428="","",IF(INDEX(资金日记账!$W$4:$W$603,260)="","记-"&amp;TEXT($B1428,"YYYYMM")&amp;"-资金",INDEX(资金日记账!$W$4:$W$603,260)))</f>
        <v/>
      </c>
      <c r="D1428" s="32" t="str">
        <f>IF($E1428="","",INDEX(资金日记账!$D$4:$D$603,260))</f>
        <v/>
      </c>
      <c r="E1428" s="26" t="str">
        <f>IF(INDEX(资金日记账!$N$4:$S$603,260,1)=0,"",INDEX(资金日记账!$N$4:$S$603,260,1))</f>
        <v/>
      </c>
      <c r="F1428" s="25" t="str">
        <f>IF($E1428="","",IFERROR(INDEX(科目表!$A$4:$A$81,MATCH($E1428,科目表!$B$4:$B$81,0)),""))</f>
        <v/>
      </c>
      <c r="G1428" s="26" t="str">
        <f>IF($E1428="","",IFERROR(INDEX(科目表!$E$4:$E$81,MATCH($E1428,科目表!$B$4:$B$81,0)),""))</f>
        <v/>
      </c>
      <c r="H1428" s="27" t="str">
        <f>IF($E1428="","",N(INDEX(资金日记账!$N$4:$S$603,260,2)))</f>
        <v/>
      </c>
      <c r="I1428" s="27" t="str">
        <f>IF($E1428="","",N(INDEX(资金日记账!$N$4:$S$603,260,3)))</f>
        <v/>
      </c>
      <c r="J1428" s="26" t="str">
        <f>IF($E1428="","",INDEX(资金日记账!$E$4:$E$603,260))</f>
        <v/>
      </c>
      <c r="K1428" s="26" t="str">
        <f>IF($E1428="","",INDEX(资金日记账!$F$4:$F$603,260))</f>
        <v/>
      </c>
      <c r="L1428" s="32" t="str">
        <f>IF($E1428="","",INDEX(资金日记账!$X$4:$X$603,260))</f>
        <v/>
      </c>
      <c r="M1428" s="32"/>
      <c r="N1428" s="26" t="str">
        <f>IF($E1428="","",INDEX(资金日记账!$Y$4:$Y$603,260))</f>
        <v/>
      </c>
      <c r="O1428" s="26" t="str">
        <f t="shared" si="76"/>
        <v/>
      </c>
      <c r="P1428" s="10"/>
    </row>
    <row r="1429" ht="18" customHeight="1" spans="1:16">
      <c r="A1429" s="32" t="str">
        <f t="shared" si="75"/>
        <v/>
      </c>
      <c r="B1429" s="100" t="str">
        <f>IF($E1429="","",INDEX(资金日记账!$B$4:$B$603,260))</f>
        <v/>
      </c>
      <c r="C1429" s="26" t="str">
        <f>IF($E1429="","",IF(INDEX(资金日记账!$W$4:$W$603,260)="","记-"&amp;TEXT($B1429,"YYYYMM")&amp;"-资金",INDEX(资金日记账!$W$4:$W$603,260)))</f>
        <v/>
      </c>
      <c r="D1429" s="32" t="str">
        <f>IF($E1429="","",INDEX(资金日记账!$D$4:$D$603,260))</f>
        <v/>
      </c>
      <c r="E1429" s="26" t="str">
        <f>IF(INDEX(资金日记账!$N$4:$S$603,260,4)=0,"",INDEX(资金日记账!$N$4:$S$603,260,4))</f>
        <v/>
      </c>
      <c r="F1429" s="25" t="str">
        <f>IF($E1429="","",IFERROR(INDEX(科目表!$A$4:$A$81,MATCH($E1429,科目表!$B$4:$B$81,0)),""))</f>
        <v/>
      </c>
      <c r="G1429" s="26" t="str">
        <f>IF($E1429="","",IFERROR(INDEX(科目表!$E$4:$E$81,MATCH($E1429,科目表!$B$4:$B$81,0)),""))</f>
        <v/>
      </c>
      <c r="H1429" s="27" t="str">
        <f>IF($E1429="","",N(INDEX(资金日记账!$N$4:$S$603,260,5)))</f>
        <v/>
      </c>
      <c r="I1429" s="27" t="str">
        <f>IF($E1429="","",N(INDEX(资金日记账!$N$4:$S$603,260,6)))</f>
        <v/>
      </c>
      <c r="J1429" s="26" t="str">
        <f>IF($E1429="","",INDEX(资金日记账!$E$4:$E$603,260))</f>
        <v/>
      </c>
      <c r="K1429" s="26" t="str">
        <f>IF($E1429="","",INDEX(资金日记账!$F$4:$F$603,260))</f>
        <v/>
      </c>
      <c r="L1429" s="32" t="str">
        <f>IF($E1429="","",INDEX(资金日记账!$X$4:$X$603,260))</f>
        <v/>
      </c>
      <c r="M1429" s="32"/>
      <c r="N1429" s="26" t="str">
        <f>IF($E1429="","",INDEX(资金日记账!$Y$4:$Y$603,260))</f>
        <v/>
      </c>
      <c r="O1429" s="26" t="str">
        <f t="shared" si="76"/>
        <v/>
      </c>
      <c r="P1429" s="10"/>
    </row>
    <row r="1430" ht="18" customHeight="1" spans="1:16">
      <c r="A1430" s="32" t="str">
        <f t="shared" si="75"/>
        <v/>
      </c>
      <c r="B1430" s="100" t="str">
        <f>IF($E1430="","",INDEX(资金日记账!$B$4:$B$603,261))</f>
        <v/>
      </c>
      <c r="C1430" s="26" t="str">
        <f>IF($E1430="","",IF(INDEX(资金日记账!$W$4:$W$603,261)="","记-"&amp;TEXT($B1430,"YYYYMM")&amp;"-资金",INDEX(资金日记账!$W$4:$W$603,261)))</f>
        <v/>
      </c>
      <c r="D1430" s="32" t="str">
        <f>IF($E1430="","",INDEX(资金日记账!$D$4:$D$603,261))</f>
        <v/>
      </c>
      <c r="E1430" s="26" t="str">
        <f>IF(INDEX(资金日记账!$N$4:$S$603,261,1)=0,"",INDEX(资金日记账!$N$4:$S$603,261,1))</f>
        <v/>
      </c>
      <c r="F1430" s="25" t="str">
        <f>IF($E1430="","",IFERROR(INDEX(科目表!$A$4:$A$81,MATCH($E1430,科目表!$B$4:$B$81,0)),""))</f>
        <v/>
      </c>
      <c r="G1430" s="26" t="str">
        <f>IF($E1430="","",IFERROR(INDEX(科目表!$E$4:$E$81,MATCH($E1430,科目表!$B$4:$B$81,0)),""))</f>
        <v/>
      </c>
      <c r="H1430" s="27" t="str">
        <f>IF($E1430="","",N(INDEX(资金日记账!$N$4:$S$603,261,2)))</f>
        <v/>
      </c>
      <c r="I1430" s="27" t="str">
        <f>IF($E1430="","",N(INDEX(资金日记账!$N$4:$S$603,261,3)))</f>
        <v/>
      </c>
      <c r="J1430" s="26" t="str">
        <f>IF($E1430="","",INDEX(资金日记账!$E$4:$E$603,261))</f>
        <v/>
      </c>
      <c r="K1430" s="26" t="str">
        <f>IF($E1430="","",INDEX(资金日记账!$F$4:$F$603,261))</f>
        <v/>
      </c>
      <c r="L1430" s="32" t="str">
        <f>IF($E1430="","",INDEX(资金日记账!$X$4:$X$603,261))</f>
        <v/>
      </c>
      <c r="M1430" s="32"/>
      <c r="N1430" s="26" t="str">
        <f>IF($E1430="","",INDEX(资金日记账!$Y$4:$Y$603,261))</f>
        <v/>
      </c>
      <c r="O1430" s="26" t="str">
        <f t="shared" si="76"/>
        <v/>
      </c>
      <c r="P1430" s="10"/>
    </row>
    <row r="1431" ht="18" customHeight="1" spans="1:16">
      <c r="A1431" s="32" t="str">
        <f t="shared" si="75"/>
        <v/>
      </c>
      <c r="B1431" s="100" t="str">
        <f>IF($E1431="","",INDEX(资金日记账!$B$4:$B$603,261))</f>
        <v/>
      </c>
      <c r="C1431" s="26" t="str">
        <f>IF($E1431="","",IF(INDEX(资金日记账!$W$4:$W$603,261)="","记-"&amp;TEXT($B1431,"YYYYMM")&amp;"-资金",INDEX(资金日记账!$W$4:$W$603,261)))</f>
        <v/>
      </c>
      <c r="D1431" s="32" t="str">
        <f>IF($E1431="","",INDEX(资金日记账!$D$4:$D$603,261))</f>
        <v/>
      </c>
      <c r="E1431" s="26" t="str">
        <f>IF(INDEX(资金日记账!$N$4:$S$603,261,4)=0,"",INDEX(资金日记账!$N$4:$S$603,261,4))</f>
        <v/>
      </c>
      <c r="F1431" s="25" t="str">
        <f>IF($E1431="","",IFERROR(INDEX(科目表!$A$4:$A$81,MATCH($E1431,科目表!$B$4:$B$81,0)),""))</f>
        <v/>
      </c>
      <c r="G1431" s="26" t="str">
        <f>IF($E1431="","",IFERROR(INDEX(科目表!$E$4:$E$81,MATCH($E1431,科目表!$B$4:$B$81,0)),""))</f>
        <v/>
      </c>
      <c r="H1431" s="27" t="str">
        <f>IF($E1431="","",N(INDEX(资金日记账!$N$4:$S$603,261,5)))</f>
        <v/>
      </c>
      <c r="I1431" s="27" t="str">
        <f>IF($E1431="","",N(INDEX(资金日记账!$N$4:$S$603,261,6)))</f>
        <v/>
      </c>
      <c r="J1431" s="26" t="str">
        <f>IF($E1431="","",INDEX(资金日记账!$E$4:$E$603,261))</f>
        <v/>
      </c>
      <c r="K1431" s="26" t="str">
        <f>IF($E1431="","",INDEX(资金日记账!$F$4:$F$603,261))</f>
        <v/>
      </c>
      <c r="L1431" s="32" t="str">
        <f>IF($E1431="","",INDEX(资金日记账!$X$4:$X$603,261))</f>
        <v/>
      </c>
      <c r="M1431" s="32"/>
      <c r="N1431" s="26" t="str">
        <f>IF($E1431="","",INDEX(资金日记账!$Y$4:$Y$603,261))</f>
        <v/>
      </c>
      <c r="O1431" s="26" t="str">
        <f t="shared" si="76"/>
        <v/>
      </c>
      <c r="P1431" s="10"/>
    </row>
    <row r="1432" ht="18" customHeight="1" spans="1:16">
      <c r="A1432" s="32" t="str">
        <f t="shared" si="75"/>
        <v/>
      </c>
      <c r="B1432" s="100" t="str">
        <f>IF($E1432="","",INDEX(资金日记账!$B$4:$B$603,262))</f>
        <v/>
      </c>
      <c r="C1432" s="26" t="str">
        <f>IF($E1432="","",IF(INDEX(资金日记账!$W$4:$W$603,262)="","记-"&amp;TEXT($B1432,"YYYYMM")&amp;"-资金",INDEX(资金日记账!$W$4:$W$603,262)))</f>
        <v/>
      </c>
      <c r="D1432" s="32" t="str">
        <f>IF($E1432="","",INDEX(资金日记账!$D$4:$D$603,262))</f>
        <v/>
      </c>
      <c r="E1432" s="26" t="str">
        <f>IF(INDEX(资金日记账!$N$4:$S$603,262,1)=0,"",INDEX(资金日记账!$N$4:$S$603,262,1))</f>
        <v/>
      </c>
      <c r="F1432" s="25" t="str">
        <f>IF($E1432="","",IFERROR(INDEX(科目表!$A$4:$A$81,MATCH($E1432,科目表!$B$4:$B$81,0)),""))</f>
        <v/>
      </c>
      <c r="G1432" s="26" t="str">
        <f>IF($E1432="","",IFERROR(INDEX(科目表!$E$4:$E$81,MATCH($E1432,科目表!$B$4:$B$81,0)),""))</f>
        <v/>
      </c>
      <c r="H1432" s="27" t="str">
        <f>IF($E1432="","",N(INDEX(资金日记账!$N$4:$S$603,262,2)))</f>
        <v/>
      </c>
      <c r="I1432" s="27" t="str">
        <f>IF($E1432="","",N(INDEX(资金日记账!$N$4:$S$603,262,3)))</f>
        <v/>
      </c>
      <c r="J1432" s="26" t="str">
        <f>IF($E1432="","",INDEX(资金日记账!$E$4:$E$603,262))</f>
        <v/>
      </c>
      <c r="K1432" s="26" t="str">
        <f>IF($E1432="","",INDEX(资金日记账!$F$4:$F$603,262))</f>
        <v/>
      </c>
      <c r="L1432" s="32" t="str">
        <f>IF($E1432="","",INDEX(资金日记账!$X$4:$X$603,262))</f>
        <v/>
      </c>
      <c r="M1432" s="32"/>
      <c r="N1432" s="26" t="str">
        <f>IF($E1432="","",INDEX(资金日记账!$Y$4:$Y$603,262))</f>
        <v/>
      </c>
      <c r="O1432" s="26" t="str">
        <f t="shared" si="76"/>
        <v/>
      </c>
      <c r="P1432" s="10"/>
    </row>
    <row r="1433" ht="18" customHeight="1" spans="1:16">
      <c r="A1433" s="32" t="str">
        <f t="shared" si="75"/>
        <v/>
      </c>
      <c r="B1433" s="100" t="str">
        <f>IF($E1433="","",INDEX(资金日记账!$B$4:$B$603,262))</f>
        <v/>
      </c>
      <c r="C1433" s="26" t="str">
        <f>IF($E1433="","",IF(INDEX(资金日记账!$W$4:$W$603,262)="","记-"&amp;TEXT($B1433,"YYYYMM")&amp;"-资金",INDEX(资金日记账!$W$4:$W$603,262)))</f>
        <v/>
      </c>
      <c r="D1433" s="32" t="str">
        <f>IF($E1433="","",INDEX(资金日记账!$D$4:$D$603,262))</f>
        <v/>
      </c>
      <c r="E1433" s="26" t="str">
        <f>IF(INDEX(资金日记账!$N$4:$S$603,262,4)=0,"",INDEX(资金日记账!$N$4:$S$603,262,4))</f>
        <v/>
      </c>
      <c r="F1433" s="25" t="str">
        <f>IF($E1433="","",IFERROR(INDEX(科目表!$A$4:$A$81,MATCH($E1433,科目表!$B$4:$B$81,0)),""))</f>
        <v/>
      </c>
      <c r="G1433" s="26" t="str">
        <f>IF($E1433="","",IFERROR(INDEX(科目表!$E$4:$E$81,MATCH($E1433,科目表!$B$4:$B$81,0)),""))</f>
        <v/>
      </c>
      <c r="H1433" s="27" t="str">
        <f>IF($E1433="","",N(INDEX(资金日记账!$N$4:$S$603,262,5)))</f>
        <v/>
      </c>
      <c r="I1433" s="27" t="str">
        <f>IF($E1433="","",N(INDEX(资金日记账!$N$4:$S$603,262,6)))</f>
        <v/>
      </c>
      <c r="J1433" s="26" t="str">
        <f>IF($E1433="","",INDEX(资金日记账!$E$4:$E$603,262))</f>
        <v/>
      </c>
      <c r="K1433" s="26" t="str">
        <f>IF($E1433="","",INDEX(资金日记账!$F$4:$F$603,262))</f>
        <v/>
      </c>
      <c r="L1433" s="32" t="str">
        <f>IF($E1433="","",INDEX(资金日记账!$X$4:$X$603,262))</f>
        <v/>
      </c>
      <c r="M1433" s="32"/>
      <c r="N1433" s="26" t="str">
        <f>IF($E1433="","",INDEX(资金日记账!$Y$4:$Y$603,262))</f>
        <v/>
      </c>
      <c r="O1433" s="26" t="str">
        <f t="shared" si="76"/>
        <v/>
      </c>
      <c r="P1433" s="10"/>
    </row>
    <row r="1434" ht="18" customHeight="1" spans="1:16">
      <c r="A1434" s="32" t="str">
        <f t="shared" si="75"/>
        <v/>
      </c>
      <c r="B1434" s="100" t="str">
        <f>IF($E1434="","",INDEX(资金日记账!$B$4:$B$603,263))</f>
        <v/>
      </c>
      <c r="C1434" s="26" t="str">
        <f>IF($E1434="","",IF(INDEX(资金日记账!$W$4:$W$603,263)="","记-"&amp;TEXT($B1434,"YYYYMM")&amp;"-资金",INDEX(资金日记账!$W$4:$W$603,263)))</f>
        <v/>
      </c>
      <c r="D1434" s="32" t="str">
        <f>IF($E1434="","",INDEX(资金日记账!$D$4:$D$603,263))</f>
        <v/>
      </c>
      <c r="E1434" s="26" t="str">
        <f>IF(INDEX(资金日记账!$N$4:$S$603,263,1)=0,"",INDEX(资金日记账!$N$4:$S$603,263,1))</f>
        <v/>
      </c>
      <c r="F1434" s="25" t="str">
        <f>IF($E1434="","",IFERROR(INDEX(科目表!$A$4:$A$81,MATCH($E1434,科目表!$B$4:$B$81,0)),""))</f>
        <v/>
      </c>
      <c r="G1434" s="26" t="str">
        <f>IF($E1434="","",IFERROR(INDEX(科目表!$E$4:$E$81,MATCH($E1434,科目表!$B$4:$B$81,0)),""))</f>
        <v/>
      </c>
      <c r="H1434" s="27" t="str">
        <f>IF($E1434="","",N(INDEX(资金日记账!$N$4:$S$603,263,2)))</f>
        <v/>
      </c>
      <c r="I1434" s="27" t="str">
        <f>IF($E1434="","",N(INDEX(资金日记账!$N$4:$S$603,263,3)))</f>
        <v/>
      </c>
      <c r="J1434" s="26" t="str">
        <f>IF($E1434="","",INDEX(资金日记账!$E$4:$E$603,263))</f>
        <v/>
      </c>
      <c r="K1434" s="26" t="str">
        <f>IF($E1434="","",INDEX(资金日记账!$F$4:$F$603,263))</f>
        <v/>
      </c>
      <c r="L1434" s="32" t="str">
        <f>IF($E1434="","",INDEX(资金日记账!$X$4:$X$603,263))</f>
        <v/>
      </c>
      <c r="M1434" s="32"/>
      <c r="N1434" s="26" t="str">
        <f>IF($E1434="","",INDEX(资金日记账!$Y$4:$Y$603,263))</f>
        <v/>
      </c>
      <c r="O1434" s="26" t="str">
        <f t="shared" si="76"/>
        <v/>
      </c>
      <c r="P1434" s="10"/>
    </row>
    <row r="1435" ht="18" customHeight="1" spans="1:16">
      <c r="A1435" s="32" t="str">
        <f t="shared" si="75"/>
        <v/>
      </c>
      <c r="B1435" s="100" t="str">
        <f>IF($E1435="","",INDEX(资金日记账!$B$4:$B$603,263))</f>
        <v/>
      </c>
      <c r="C1435" s="26" t="str">
        <f>IF($E1435="","",IF(INDEX(资金日记账!$W$4:$W$603,263)="","记-"&amp;TEXT($B1435,"YYYYMM")&amp;"-资金",INDEX(资金日记账!$W$4:$W$603,263)))</f>
        <v/>
      </c>
      <c r="D1435" s="32" t="str">
        <f>IF($E1435="","",INDEX(资金日记账!$D$4:$D$603,263))</f>
        <v/>
      </c>
      <c r="E1435" s="26" t="str">
        <f>IF(INDEX(资金日记账!$N$4:$S$603,263,4)=0,"",INDEX(资金日记账!$N$4:$S$603,263,4))</f>
        <v/>
      </c>
      <c r="F1435" s="25" t="str">
        <f>IF($E1435="","",IFERROR(INDEX(科目表!$A$4:$A$81,MATCH($E1435,科目表!$B$4:$B$81,0)),""))</f>
        <v/>
      </c>
      <c r="G1435" s="26" t="str">
        <f>IF($E1435="","",IFERROR(INDEX(科目表!$E$4:$E$81,MATCH($E1435,科目表!$B$4:$B$81,0)),""))</f>
        <v/>
      </c>
      <c r="H1435" s="27" t="str">
        <f>IF($E1435="","",N(INDEX(资金日记账!$N$4:$S$603,263,5)))</f>
        <v/>
      </c>
      <c r="I1435" s="27" t="str">
        <f>IF($E1435="","",N(INDEX(资金日记账!$N$4:$S$603,263,6)))</f>
        <v/>
      </c>
      <c r="J1435" s="26" t="str">
        <f>IF($E1435="","",INDEX(资金日记账!$E$4:$E$603,263))</f>
        <v/>
      </c>
      <c r="K1435" s="26" t="str">
        <f>IF($E1435="","",INDEX(资金日记账!$F$4:$F$603,263))</f>
        <v/>
      </c>
      <c r="L1435" s="32" t="str">
        <f>IF($E1435="","",INDEX(资金日记账!$X$4:$X$603,263))</f>
        <v/>
      </c>
      <c r="M1435" s="32"/>
      <c r="N1435" s="26" t="str">
        <f>IF($E1435="","",INDEX(资金日记账!$Y$4:$Y$603,263))</f>
        <v/>
      </c>
      <c r="O1435" s="26" t="str">
        <f t="shared" si="76"/>
        <v/>
      </c>
      <c r="P1435" s="10"/>
    </row>
    <row r="1436" ht="18" customHeight="1" spans="1:16">
      <c r="A1436" s="32" t="str">
        <f t="shared" si="75"/>
        <v/>
      </c>
      <c r="B1436" s="100" t="str">
        <f>IF($E1436="","",INDEX(资金日记账!$B$4:$B$603,264))</f>
        <v/>
      </c>
      <c r="C1436" s="26" t="str">
        <f>IF($E1436="","",IF(INDEX(资金日记账!$W$4:$W$603,264)="","记-"&amp;TEXT($B1436,"YYYYMM")&amp;"-资金",INDEX(资金日记账!$W$4:$W$603,264)))</f>
        <v/>
      </c>
      <c r="D1436" s="32" t="str">
        <f>IF($E1436="","",INDEX(资金日记账!$D$4:$D$603,264))</f>
        <v/>
      </c>
      <c r="E1436" s="26" t="str">
        <f>IF(INDEX(资金日记账!$N$4:$S$603,264,1)=0,"",INDEX(资金日记账!$N$4:$S$603,264,1))</f>
        <v/>
      </c>
      <c r="F1436" s="25" t="str">
        <f>IF($E1436="","",IFERROR(INDEX(科目表!$A$4:$A$81,MATCH($E1436,科目表!$B$4:$B$81,0)),""))</f>
        <v/>
      </c>
      <c r="G1436" s="26" t="str">
        <f>IF($E1436="","",IFERROR(INDEX(科目表!$E$4:$E$81,MATCH($E1436,科目表!$B$4:$B$81,0)),""))</f>
        <v/>
      </c>
      <c r="H1436" s="27" t="str">
        <f>IF($E1436="","",N(INDEX(资金日记账!$N$4:$S$603,264,2)))</f>
        <v/>
      </c>
      <c r="I1436" s="27" t="str">
        <f>IF($E1436="","",N(INDEX(资金日记账!$N$4:$S$603,264,3)))</f>
        <v/>
      </c>
      <c r="J1436" s="26" t="str">
        <f>IF($E1436="","",INDEX(资金日记账!$E$4:$E$603,264))</f>
        <v/>
      </c>
      <c r="K1436" s="26" t="str">
        <f>IF($E1436="","",INDEX(资金日记账!$F$4:$F$603,264))</f>
        <v/>
      </c>
      <c r="L1436" s="32" t="str">
        <f>IF($E1436="","",INDEX(资金日记账!$X$4:$X$603,264))</f>
        <v/>
      </c>
      <c r="M1436" s="32"/>
      <c r="N1436" s="26" t="str">
        <f>IF($E1436="","",INDEX(资金日记账!$Y$4:$Y$603,264))</f>
        <v/>
      </c>
      <c r="O1436" s="26" t="str">
        <f t="shared" si="76"/>
        <v/>
      </c>
      <c r="P1436" s="10"/>
    </row>
    <row r="1437" ht="18" customHeight="1" spans="1:16">
      <c r="A1437" s="32" t="str">
        <f t="shared" si="75"/>
        <v/>
      </c>
      <c r="B1437" s="100" t="str">
        <f>IF($E1437="","",INDEX(资金日记账!$B$4:$B$603,264))</f>
        <v/>
      </c>
      <c r="C1437" s="26" t="str">
        <f>IF($E1437="","",IF(INDEX(资金日记账!$W$4:$W$603,264)="","记-"&amp;TEXT($B1437,"YYYYMM")&amp;"-资金",INDEX(资金日记账!$W$4:$W$603,264)))</f>
        <v/>
      </c>
      <c r="D1437" s="32" t="str">
        <f>IF($E1437="","",INDEX(资金日记账!$D$4:$D$603,264))</f>
        <v/>
      </c>
      <c r="E1437" s="26" t="str">
        <f>IF(INDEX(资金日记账!$N$4:$S$603,264,4)=0,"",INDEX(资金日记账!$N$4:$S$603,264,4))</f>
        <v/>
      </c>
      <c r="F1437" s="25" t="str">
        <f>IF($E1437="","",IFERROR(INDEX(科目表!$A$4:$A$81,MATCH($E1437,科目表!$B$4:$B$81,0)),""))</f>
        <v/>
      </c>
      <c r="G1437" s="26" t="str">
        <f>IF($E1437="","",IFERROR(INDEX(科目表!$E$4:$E$81,MATCH($E1437,科目表!$B$4:$B$81,0)),""))</f>
        <v/>
      </c>
      <c r="H1437" s="27" t="str">
        <f>IF($E1437="","",N(INDEX(资金日记账!$N$4:$S$603,264,5)))</f>
        <v/>
      </c>
      <c r="I1437" s="27" t="str">
        <f>IF($E1437="","",N(INDEX(资金日记账!$N$4:$S$603,264,6)))</f>
        <v/>
      </c>
      <c r="J1437" s="26" t="str">
        <f>IF($E1437="","",INDEX(资金日记账!$E$4:$E$603,264))</f>
        <v/>
      </c>
      <c r="K1437" s="26" t="str">
        <f>IF($E1437="","",INDEX(资金日记账!$F$4:$F$603,264))</f>
        <v/>
      </c>
      <c r="L1437" s="32" t="str">
        <f>IF($E1437="","",INDEX(资金日记账!$X$4:$X$603,264))</f>
        <v/>
      </c>
      <c r="M1437" s="32"/>
      <c r="N1437" s="26" t="str">
        <f>IF($E1437="","",INDEX(资金日记账!$Y$4:$Y$603,264))</f>
        <v/>
      </c>
      <c r="O1437" s="26" t="str">
        <f t="shared" si="76"/>
        <v/>
      </c>
      <c r="P1437" s="10"/>
    </row>
    <row r="1438" ht="18" customHeight="1" spans="1:16">
      <c r="A1438" s="32" t="str">
        <f t="shared" si="75"/>
        <v/>
      </c>
      <c r="B1438" s="100" t="str">
        <f>IF($E1438="","",INDEX(资金日记账!$B$4:$B$603,265))</f>
        <v/>
      </c>
      <c r="C1438" s="26" t="str">
        <f>IF($E1438="","",IF(INDEX(资金日记账!$W$4:$W$603,265)="","记-"&amp;TEXT($B1438,"YYYYMM")&amp;"-资金",INDEX(资金日记账!$W$4:$W$603,265)))</f>
        <v/>
      </c>
      <c r="D1438" s="32" t="str">
        <f>IF($E1438="","",INDEX(资金日记账!$D$4:$D$603,265))</f>
        <v/>
      </c>
      <c r="E1438" s="26" t="str">
        <f>IF(INDEX(资金日记账!$N$4:$S$603,265,1)=0,"",INDEX(资金日记账!$N$4:$S$603,265,1))</f>
        <v/>
      </c>
      <c r="F1438" s="25" t="str">
        <f>IF($E1438="","",IFERROR(INDEX(科目表!$A$4:$A$81,MATCH($E1438,科目表!$B$4:$B$81,0)),""))</f>
        <v/>
      </c>
      <c r="G1438" s="26" t="str">
        <f>IF($E1438="","",IFERROR(INDEX(科目表!$E$4:$E$81,MATCH($E1438,科目表!$B$4:$B$81,0)),""))</f>
        <v/>
      </c>
      <c r="H1438" s="27" t="str">
        <f>IF($E1438="","",N(INDEX(资金日记账!$N$4:$S$603,265,2)))</f>
        <v/>
      </c>
      <c r="I1438" s="27" t="str">
        <f>IF($E1438="","",N(INDEX(资金日记账!$N$4:$S$603,265,3)))</f>
        <v/>
      </c>
      <c r="J1438" s="26" t="str">
        <f>IF($E1438="","",INDEX(资金日记账!$E$4:$E$603,265))</f>
        <v/>
      </c>
      <c r="K1438" s="26" t="str">
        <f>IF($E1438="","",INDEX(资金日记账!$F$4:$F$603,265))</f>
        <v/>
      </c>
      <c r="L1438" s="32" t="str">
        <f>IF($E1438="","",INDEX(资金日记账!$X$4:$X$603,265))</f>
        <v/>
      </c>
      <c r="M1438" s="32"/>
      <c r="N1438" s="26" t="str">
        <f>IF($E1438="","",INDEX(资金日记账!$Y$4:$Y$603,265))</f>
        <v/>
      </c>
      <c r="O1438" s="26" t="str">
        <f t="shared" si="76"/>
        <v/>
      </c>
      <c r="P1438" s="10"/>
    </row>
    <row r="1439" ht="18" customHeight="1" spans="1:16">
      <c r="A1439" s="32" t="str">
        <f t="shared" si="75"/>
        <v/>
      </c>
      <c r="B1439" s="100" t="str">
        <f>IF($E1439="","",INDEX(资金日记账!$B$4:$B$603,265))</f>
        <v/>
      </c>
      <c r="C1439" s="26" t="str">
        <f>IF($E1439="","",IF(INDEX(资金日记账!$W$4:$W$603,265)="","记-"&amp;TEXT($B1439,"YYYYMM")&amp;"-资金",INDEX(资金日记账!$W$4:$W$603,265)))</f>
        <v/>
      </c>
      <c r="D1439" s="32" t="str">
        <f>IF($E1439="","",INDEX(资金日记账!$D$4:$D$603,265))</f>
        <v/>
      </c>
      <c r="E1439" s="26" t="str">
        <f>IF(INDEX(资金日记账!$N$4:$S$603,265,4)=0,"",INDEX(资金日记账!$N$4:$S$603,265,4))</f>
        <v/>
      </c>
      <c r="F1439" s="25" t="str">
        <f>IF($E1439="","",IFERROR(INDEX(科目表!$A$4:$A$81,MATCH($E1439,科目表!$B$4:$B$81,0)),""))</f>
        <v/>
      </c>
      <c r="G1439" s="26" t="str">
        <f>IF($E1439="","",IFERROR(INDEX(科目表!$E$4:$E$81,MATCH($E1439,科目表!$B$4:$B$81,0)),""))</f>
        <v/>
      </c>
      <c r="H1439" s="27" t="str">
        <f>IF($E1439="","",N(INDEX(资金日记账!$N$4:$S$603,265,5)))</f>
        <v/>
      </c>
      <c r="I1439" s="27" t="str">
        <f>IF($E1439="","",N(INDEX(资金日记账!$N$4:$S$603,265,6)))</f>
        <v/>
      </c>
      <c r="J1439" s="26" t="str">
        <f>IF($E1439="","",INDEX(资金日记账!$E$4:$E$603,265))</f>
        <v/>
      </c>
      <c r="K1439" s="26" t="str">
        <f>IF($E1439="","",INDEX(资金日记账!$F$4:$F$603,265))</f>
        <v/>
      </c>
      <c r="L1439" s="32" t="str">
        <f>IF($E1439="","",INDEX(资金日记账!$X$4:$X$603,265))</f>
        <v/>
      </c>
      <c r="M1439" s="32"/>
      <c r="N1439" s="26" t="str">
        <f>IF($E1439="","",INDEX(资金日记账!$Y$4:$Y$603,265))</f>
        <v/>
      </c>
      <c r="O1439" s="26" t="str">
        <f t="shared" si="76"/>
        <v/>
      </c>
      <c r="P1439" s="10"/>
    </row>
    <row r="1440" ht="18" customHeight="1" spans="1:16">
      <c r="A1440" s="32" t="str">
        <f t="shared" si="75"/>
        <v/>
      </c>
      <c r="B1440" s="100" t="str">
        <f>IF($E1440="","",INDEX(资金日记账!$B$4:$B$603,266))</f>
        <v/>
      </c>
      <c r="C1440" s="26" t="str">
        <f>IF($E1440="","",IF(INDEX(资金日记账!$W$4:$W$603,266)="","记-"&amp;TEXT($B1440,"YYYYMM")&amp;"-资金",INDEX(资金日记账!$W$4:$W$603,266)))</f>
        <v/>
      </c>
      <c r="D1440" s="32" t="str">
        <f>IF($E1440="","",INDEX(资金日记账!$D$4:$D$603,266))</f>
        <v/>
      </c>
      <c r="E1440" s="26" t="str">
        <f>IF(INDEX(资金日记账!$N$4:$S$603,266,1)=0,"",INDEX(资金日记账!$N$4:$S$603,266,1))</f>
        <v/>
      </c>
      <c r="F1440" s="25" t="str">
        <f>IF($E1440="","",IFERROR(INDEX(科目表!$A$4:$A$81,MATCH($E1440,科目表!$B$4:$B$81,0)),""))</f>
        <v/>
      </c>
      <c r="G1440" s="26" t="str">
        <f>IF($E1440="","",IFERROR(INDEX(科目表!$E$4:$E$81,MATCH($E1440,科目表!$B$4:$B$81,0)),""))</f>
        <v/>
      </c>
      <c r="H1440" s="27" t="str">
        <f>IF($E1440="","",N(INDEX(资金日记账!$N$4:$S$603,266,2)))</f>
        <v/>
      </c>
      <c r="I1440" s="27" t="str">
        <f>IF($E1440="","",N(INDEX(资金日记账!$N$4:$S$603,266,3)))</f>
        <v/>
      </c>
      <c r="J1440" s="26" t="str">
        <f>IF($E1440="","",INDEX(资金日记账!$E$4:$E$603,266))</f>
        <v/>
      </c>
      <c r="K1440" s="26" t="str">
        <f>IF($E1440="","",INDEX(资金日记账!$F$4:$F$603,266))</f>
        <v/>
      </c>
      <c r="L1440" s="32" t="str">
        <f>IF($E1440="","",INDEX(资金日记账!$X$4:$X$603,266))</f>
        <v/>
      </c>
      <c r="M1440" s="32"/>
      <c r="N1440" s="26" t="str">
        <f>IF($E1440="","",INDEX(资金日记账!$Y$4:$Y$603,266))</f>
        <v/>
      </c>
      <c r="O1440" s="26" t="str">
        <f t="shared" si="76"/>
        <v/>
      </c>
      <c r="P1440" s="10"/>
    </row>
    <row r="1441" ht="18" customHeight="1" spans="1:16">
      <c r="A1441" s="32" t="str">
        <f t="shared" si="75"/>
        <v/>
      </c>
      <c r="B1441" s="100" t="str">
        <f>IF($E1441="","",INDEX(资金日记账!$B$4:$B$603,266))</f>
        <v/>
      </c>
      <c r="C1441" s="26" t="str">
        <f>IF($E1441="","",IF(INDEX(资金日记账!$W$4:$W$603,266)="","记-"&amp;TEXT($B1441,"YYYYMM")&amp;"-资金",INDEX(资金日记账!$W$4:$W$603,266)))</f>
        <v/>
      </c>
      <c r="D1441" s="32" t="str">
        <f>IF($E1441="","",INDEX(资金日记账!$D$4:$D$603,266))</f>
        <v/>
      </c>
      <c r="E1441" s="26" t="str">
        <f>IF(INDEX(资金日记账!$N$4:$S$603,266,4)=0,"",INDEX(资金日记账!$N$4:$S$603,266,4))</f>
        <v/>
      </c>
      <c r="F1441" s="25" t="str">
        <f>IF($E1441="","",IFERROR(INDEX(科目表!$A$4:$A$81,MATCH($E1441,科目表!$B$4:$B$81,0)),""))</f>
        <v/>
      </c>
      <c r="G1441" s="26" t="str">
        <f>IF($E1441="","",IFERROR(INDEX(科目表!$E$4:$E$81,MATCH($E1441,科目表!$B$4:$B$81,0)),""))</f>
        <v/>
      </c>
      <c r="H1441" s="27" t="str">
        <f>IF($E1441="","",N(INDEX(资金日记账!$N$4:$S$603,266,5)))</f>
        <v/>
      </c>
      <c r="I1441" s="27" t="str">
        <f>IF($E1441="","",N(INDEX(资金日记账!$N$4:$S$603,266,6)))</f>
        <v/>
      </c>
      <c r="J1441" s="26" t="str">
        <f>IF($E1441="","",INDEX(资金日记账!$E$4:$E$603,266))</f>
        <v/>
      </c>
      <c r="K1441" s="26" t="str">
        <f>IF($E1441="","",INDEX(资金日记账!$F$4:$F$603,266))</f>
        <v/>
      </c>
      <c r="L1441" s="32" t="str">
        <f>IF($E1441="","",INDEX(资金日记账!$X$4:$X$603,266))</f>
        <v/>
      </c>
      <c r="M1441" s="32"/>
      <c r="N1441" s="26" t="str">
        <f>IF($E1441="","",INDEX(资金日记账!$Y$4:$Y$603,266))</f>
        <v/>
      </c>
      <c r="O1441" s="26" t="str">
        <f t="shared" si="76"/>
        <v/>
      </c>
      <c r="P1441" s="10"/>
    </row>
    <row r="1442" ht="18" customHeight="1" spans="1:16">
      <c r="A1442" s="32" t="str">
        <f t="shared" si="75"/>
        <v/>
      </c>
      <c r="B1442" s="100" t="str">
        <f>IF($E1442="","",INDEX(资金日记账!$B$4:$B$603,267))</f>
        <v/>
      </c>
      <c r="C1442" s="26" t="str">
        <f>IF($E1442="","",IF(INDEX(资金日记账!$W$4:$W$603,267)="","记-"&amp;TEXT($B1442,"YYYYMM")&amp;"-资金",INDEX(资金日记账!$W$4:$W$603,267)))</f>
        <v/>
      </c>
      <c r="D1442" s="32" t="str">
        <f>IF($E1442="","",INDEX(资金日记账!$D$4:$D$603,267))</f>
        <v/>
      </c>
      <c r="E1442" s="26" t="str">
        <f>IF(INDEX(资金日记账!$N$4:$S$603,267,1)=0,"",INDEX(资金日记账!$N$4:$S$603,267,1))</f>
        <v/>
      </c>
      <c r="F1442" s="25" t="str">
        <f>IF($E1442="","",IFERROR(INDEX(科目表!$A$4:$A$81,MATCH($E1442,科目表!$B$4:$B$81,0)),""))</f>
        <v/>
      </c>
      <c r="G1442" s="26" t="str">
        <f>IF($E1442="","",IFERROR(INDEX(科目表!$E$4:$E$81,MATCH($E1442,科目表!$B$4:$B$81,0)),""))</f>
        <v/>
      </c>
      <c r="H1442" s="27" t="str">
        <f>IF($E1442="","",N(INDEX(资金日记账!$N$4:$S$603,267,2)))</f>
        <v/>
      </c>
      <c r="I1442" s="27" t="str">
        <f>IF($E1442="","",N(INDEX(资金日记账!$N$4:$S$603,267,3)))</f>
        <v/>
      </c>
      <c r="J1442" s="26" t="str">
        <f>IF($E1442="","",INDEX(资金日记账!$E$4:$E$603,267))</f>
        <v/>
      </c>
      <c r="K1442" s="26" t="str">
        <f>IF($E1442="","",INDEX(资金日记账!$F$4:$F$603,267))</f>
        <v/>
      </c>
      <c r="L1442" s="32" t="str">
        <f>IF($E1442="","",INDEX(资金日记账!$X$4:$X$603,267))</f>
        <v/>
      </c>
      <c r="M1442" s="32"/>
      <c r="N1442" s="26" t="str">
        <f>IF($E1442="","",INDEX(资金日记账!$Y$4:$Y$603,267))</f>
        <v/>
      </c>
      <c r="O1442" s="26" t="str">
        <f t="shared" si="76"/>
        <v/>
      </c>
      <c r="P1442" s="10"/>
    </row>
    <row r="1443" ht="18" customHeight="1" spans="1:16">
      <c r="A1443" s="32" t="str">
        <f t="shared" si="75"/>
        <v/>
      </c>
      <c r="B1443" s="100" t="str">
        <f>IF($E1443="","",INDEX(资金日记账!$B$4:$B$603,267))</f>
        <v/>
      </c>
      <c r="C1443" s="26" t="str">
        <f>IF($E1443="","",IF(INDEX(资金日记账!$W$4:$W$603,267)="","记-"&amp;TEXT($B1443,"YYYYMM")&amp;"-资金",INDEX(资金日记账!$W$4:$W$603,267)))</f>
        <v/>
      </c>
      <c r="D1443" s="32" t="str">
        <f>IF($E1443="","",INDEX(资金日记账!$D$4:$D$603,267))</f>
        <v/>
      </c>
      <c r="E1443" s="26" t="str">
        <f>IF(INDEX(资金日记账!$N$4:$S$603,267,4)=0,"",INDEX(资金日记账!$N$4:$S$603,267,4))</f>
        <v/>
      </c>
      <c r="F1443" s="25" t="str">
        <f>IF($E1443="","",IFERROR(INDEX(科目表!$A$4:$A$81,MATCH($E1443,科目表!$B$4:$B$81,0)),""))</f>
        <v/>
      </c>
      <c r="G1443" s="26" t="str">
        <f>IF($E1443="","",IFERROR(INDEX(科目表!$E$4:$E$81,MATCH($E1443,科目表!$B$4:$B$81,0)),""))</f>
        <v/>
      </c>
      <c r="H1443" s="27" t="str">
        <f>IF($E1443="","",N(INDEX(资金日记账!$N$4:$S$603,267,5)))</f>
        <v/>
      </c>
      <c r="I1443" s="27" t="str">
        <f>IF($E1443="","",N(INDEX(资金日记账!$N$4:$S$603,267,6)))</f>
        <v/>
      </c>
      <c r="J1443" s="26" t="str">
        <f>IF($E1443="","",INDEX(资金日记账!$E$4:$E$603,267))</f>
        <v/>
      </c>
      <c r="K1443" s="26" t="str">
        <f>IF($E1443="","",INDEX(资金日记账!$F$4:$F$603,267))</f>
        <v/>
      </c>
      <c r="L1443" s="32" t="str">
        <f>IF($E1443="","",INDEX(资金日记账!$X$4:$X$603,267))</f>
        <v/>
      </c>
      <c r="M1443" s="32"/>
      <c r="N1443" s="26" t="str">
        <f>IF($E1443="","",INDEX(资金日记账!$Y$4:$Y$603,267))</f>
        <v/>
      </c>
      <c r="O1443" s="26" t="str">
        <f t="shared" si="76"/>
        <v/>
      </c>
      <c r="P1443" s="10"/>
    </row>
    <row r="1444" ht="18" customHeight="1" spans="1:16">
      <c r="A1444" s="32" t="str">
        <f t="shared" si="75"/>
        <v/>
      </c>
      <c r="B1444" s="100" t="str">
        <f>IF($E1444="","",INDEX(资金日记账!$B$4:$B$603,268))</f>
        <v/>
      </c>
      <c r="C1444" s="26" t="str">
        <f>IF($E1444="","",IF(INDEX(资金日记账!$W$4:$W$603,268)="","记-"&amp;TEXT($B1444,"YYYYMM")&amp;"-资金",INDEX(资金日记账!$W$4:$W$603,268)))</f>
        <v/>
      </c>
      <c r="D1444" s="32" t="str">
        <f>IF($E1444="","",INDEX(资金日记账!$D$4:$D$603,268))</f>
        <v/>
      </c>
      <c r="E1444" s="26" t="str">
        <f>IF(INDEX(资金日记账!$N$4:$S$603,268,1)=0,"",INDEX(资金日记账!$N$4:$S$603,268,1))</f>
        <v/>
      </c>
      <c r="F1444" s="25" t="str">
        <f>IF($E1444="","",IFERROR(INDEX(科目表!$A$4:$A$81,MATCH($E1444,科目表!$B$4:$B$81,0)),""))</f>
        <v/>
      </c>
      <c r="G1444" s="26" t="str">
        <f>IF($E1444="","",IFERROR(INDEX(科目表!$E$4:$E$81,MATCH($E1444,科目表!$B$4:$B$81,0)),""))</f>
        <v/>
      </c>
      <c r="H1444" s="27" t="str">
        <f>IF($E1444="","",N(INDEX(资金日记账!$N$4:$S$603,268,2)))</f>
        <v/>
      </c>
      <c r="I1444" s="27" t="str">
        <f>IF($E1444="","",N(INDEX(资金日记账!$N$4:$S$603,268,3)))</f>
        <v/>
      </c>
      <c r="J1444" s="26" t="str">
        <f>IF($E1444="","",INDEX(资金日记账!$E$4:$E$603,268))</f>
        <v/>
      </c>
      <c r="K1444" s="26" t="str">
        <f>IF($E1444="","",INDEX(资金日记账!$F$4:$F$603,268))</f>
        <v/>
      </c>
      <c r="L1444" s="32" t="str">
        <f>IF($E1444="","",INDEX(资金日记账!$X$4:$X$603,268))</f>
        <v/>
      </c>
      <c r="M1444" s="32"/>
      <c r="N1444" s="26" t="str">
        <f>IF($E1444="","",INDEX(资金日记账!$Y$4:$Y$603,268))</f>
        <v/>
      </c>
      <c r="O1444" s="26" t="str">
        <f t="shared" si="76"/>
        <v/>
      </c>
      <c r="P1444" s="10"/>
    </row>
    <row r="1445" ht="18" customHeight="1" spans="1:16">
      <c r="A1445" s="32" t="str">
        <f t="shared" si="75"/>
        <v/>
      </c>
      <c r="B1445" s="100" t="str">
        <f>IF($E1445="","",INDEX(资金日记账!$B$4:$B$603,268))</f>
        <v/>
      </c>
      <c r="C1445" s="26" t="str">
        <f>IF($E1445="","",IF(INDEX(资金日记账!$W$4:$W$603,268)="","记-"&amp;TEXT($B1445,"YYYYMM")&amp;"-资金",INDEX(资金日记账!$W$4:$W$603,268)))</f>
        <v/>
      </c>
      <c r="D1445" s="32" t="str">
        <f>IF($E1445="","",INDEX(资金日记账!$D$4:$D$603,268))</f>
        <v/>
      </c>
      <c r="E1445" s="26" t="str">
        <f>IF(INDEX(资金日记账!$N$4:$S$603,268,4)=0,"",INDEX(资金日记账!$N$4:$S$603,268,4))</f>
        <v/>
      </c>
      <c r="F1445" s="25" t="str">
        <f>IF($E1445="","",IFERROR(INDEX(科目表!$A$4:$A$81,MATCH($E1445,科目表!$B$4:$B$81,0)),""))</f>
        <v/>
      </c>
      <c r="G1445" s="26" t="str">
        <f>IF($E1445="","",IFERROR(INDEX(科目表!$E$4:$E$81,MATCH($E1445,科目表!$B$4:$B$81,0)),""))</f>
        <v/>
      </c>
      <c r="H1445" s="27" t="str">
        <f>IF($E1445="","",N(INDEX(资金日记账!$N$4:$S$603,268,5)))</f>
        <v/>
      </c>
      <c r="I1445" s="27" t="str">
        <f>IF($E1445="","",N(INDEX(资金日记账!$N$4:$S$603,268,6)))</f>
        <v/>
      </c>
      <c r="J1445" s="26" t="str">
        <f>IF($E1445="","",INDEX(资金日记账!$E$4:$E$603,268))</f>
        <v/>
      </c>
      <c r="K1445" s="26" t="str">
        <f>IF($E1445="","",INDEX(资金日记账!$F$4:$F$603,268))</f>
        <v/>
      </c>
      <c r="L1445" s="32" t="str">
        <f>IF($E1445="","",INDEX(资金日记账!$X$4:$X$603,268))</f>
        <v/>
      </c>
      <c r="M1445" s="32"/>
      <c r="N1445" s="26" t="str">
        <f>IF($E1445="","",INDEX(资金日记账!$Y$4:$Y$603,268))</f>
        <v/>
      </c>
      <c r="O1445" s="26" t="str">
        <f t="shared" si="76"/>
        <v/>
      </c>
      <c r="P1445" s="10"/>
    </row>
    <row r="1446" ht="18" customHeight="1" spans="1:16">
      <c r="A1446" s="32" t="str">
        <f t="shared" si="75"/>
        <v/>
      </c>
      <c r="B1446" s="100" t="str">
        <f>IF($E1446="","",INDEX(资金日记账!$B$4:$B$603,269))</f>
        <v/>
      </c>
      <c r="C1446" s="26" t="str">
        <f>IF($E1446="","",IF(INDEX(资金日记账!$W$4:$W$603,269)="","记-"&amp;TEXT($B1446,"YYYYMM")&amp;"-资金",INDEX(资金日记账!$W$4:$W$603,269)))</f>
        <v/>
      </c>
      <c r="D1446" s="32" t="str">
        <f>IF($E1446="","",INDEX(资金日记账!$D$4:$D$603,269))</f>
        <v/>
      </c>
      <c r="E1446" s="26" t="str">
        <f>IF(INDEX(资金日记账!$N$4:$S$603,269,1)=0,"",INDEX(资金日记账!$N$4:$S$603,269,1))</f>
        <v/>
      </c>
      <c r="F1446" s="25" t="str">
        <f>IF($E1446="","",IFERROR(INDEX(科目表!$A$4:$A$81,MATCH($E1446,科目表!$B$4:$B$81,0)),""))</f>
        <v/>
      </c>
      <c r="G1446" s="26" t="str">
        <f>IF($E1446="","",IFERROR(INDEX(科目表!$E$4:$E$81,MATCH($E1446,科目表!$B$4:$B$81,0)),""))</f>
        <v/>
      </c>
      <c r="H1446" s="27" t="str">
        <f>IF($E1446="","",N(INDEX(资金日记账!$N$4:$S$603,269,2)))</f>
        <v/>
      </c>
      <c r="I1446" s="27" t="str">
        <f>IF($E1446="","",N(INDEX(资金日记账!$N$4:$S$603,269,3)))</f>
        <v/>
      </c>
      <c r="J1446" s="26" t="str">
        <f>IF($E1446="","",INDEX(资金日记账!$E$4:$E$603,269))</f>
        <v/>
      </c>
      <c r="K1446" s="26" t="str">
        <f>IF($E1446="","",INDEX(资金日记账!$F$4:$F$603,269))</f>
        <v/>
      </c>
      <c r="L1446" s="32" t="str">
        <f>IF($E1446="","",INDEX(资金日记账!$X$4:$X$603,269))</f>
        <v/>
      </c>
      <c r="M1446" s="32"/>
      <c r="N1446" s="26" t="str">
        <f>IF($E1446="","",INDEX(资金日记账!$Y$4:$Y$603,269))</f>
        <v/>
      </c>
      <c r="O1446" s="26" t="str">
        <f t="shared" si="76"/>
        <v/>
      </c>
      <c r="P1446" s="10"/>
    </row>
    <row r="1447" ht="18" customHeight="1" spans="1:16">
      <c r="A1447" s="32" t="str">
        <f t="shared" si="75"/>
        <v/>
      </c>
      <c r="B1447" s="100" t="str">
        <f>IF($E1447="","",INDEX(资金日记账!$B$4:$B$603,269))</f>
        <v/>
      </c>
      <c r="C1447" s="26" t="str">
        <f>IF($E1447="","",IF(INDEX(资金日记账!$W$4:$W$603,269)="","记-"&amp;TEXT($B1447,"YYYYMM")&amp;"-资金",INDEX(资金日记账!$W$4:$W$603,269)))</f>
        <v/>
      </c>
      <c r="D1447" s="32" t="str">
        <f>IF($E1447="","",INDEX(资金日记账!$D$4:$D$603,269))</f>
        <v/>
      </c>
      <c r="E1447" s="26" t="str">
        <f>IF(INDEX(资金日记账!$N$4:$S$603,269,4)=0,"",INDEX(资金日记账!$N$4:$S$603,269,4))</f>
        <v/>
      </c>
      <c r="F1447" s="25" t="str">
        <f>IF($E1447="","",IFERROR(INDEX(科目表!$A$4:$A$81,MATCH($E1447,科目表!$B$4:$B$81,0)),""))</f>
        <v/>
      </c>
      <c r="G1447" s="26" t="str">
        <f>IF($E1447="","",IFERROR(INDEX(科目表!$E$4:$E$81,MATCH($E1447,科目表!$B$4:$B$81,0)),""))</f>
        <v/>
      </c>
      <c r="H1447" s="27" t="str">
        <f>IF($E1447="","",N(INDEX(资金日记账!$N$4:$S$603,269,5)))</f>
        <v/>
      </c>
      <c r="I1447" s="27" t="str">
        <f>IF($E1447="","",N(INDEX(资金日记账!$N$4:$S$603,269,6)))</f>
        <v/>
      </c>
      <c r="J1447" s="26" t="str">
        <f>IF($E1447="","",INDEX(资金日记账!$E$4:$E$603,269))</f>
        <v/>
      </c>
      <c r="K1447" s="26" t="str">
        <f>IF($E1447="","",INDEX(资金日记账!$F$4:$F$603,269))</f>
        <v/>
      </c>
      <c r="L1447" s="32" t="str">
        <f>IF($E1447="","",INDEX(资金日记账!$X$4:$X$603,269))</f>
        <v/>
      </c>
      <c r="M1447" s="32"/>
      <c r="N1447" s="26" t="str">
        <f>IF($E1447="","",INDEX(资金日记账!$Y$4:$Y$603,269))</f>
        <v/>
      </c>
      <c r="O1447" s="26" t="str">
        <f t="shared" si="76"/>
        <v/>
      </c>
      <c r="P1447" s="10"/>
    </row>
    <row r="1448" ht="18" customHeight="1" spans="1:16">
      <c r="A1448" s="32" t="str">
        <f t="shared" si="75"/>
        <v/>
      </c>
      <c r="B1448" s="100" t="str">
        <f>IF($E1448="","",INDEX(资金日记账!$B$4:$B$603,270))</f>
        <v/>
      </c>
      <c r="C1448" s="26" t="str">
        <f>IF($E1448="","",IF(INDEX(资金日记账!$W$4:$W$603,270)="","记-"&amp;TEXT($B1448,"YYYYMM")&amp;"-资金",INDEX(资金日记账!$W$4:$W$603,270)))</f>
        <v/>
      </c>
      <c r="D1448" s="32" t="str">
        <f>IF($E1448="","",INDEX(资金日记账!$D$4:$D$603,270))</f>
        <v/>
      </c>
      <c r="E1448" s="26" t="str">
        <f>IF(INDEX(资金日记账!$N$4:$S$603,270,1)=0,"",INDEX(资金日记账!$N$4:$S$603,270,1))</f>
        <v/>
      </c>
      <c r="F1448" s="25" t="str">
        <f>IF($E1448="","",IFERROR(INDEX(科目表!$A$4:$A$81,MATCH($E1448,科目表!$B$4:$B$81,0)),""))</f>
        <v/>
      </c>
      <c r="G1448" s="26" t="str">
        <f>IF($E1448="","",IFERROR(INDEX(科目表!$E$4:$E$81,MATCH($E1448,科目表!$B$4:$B$81,0)),""))</f>
        <v/>
      </c>
      <c r="H1448" s="27" t="str">
        <f>IF($E1448="","",N(INDEX(资金日记账!$N$4:$S$603,270,2)))</f>
        <v/>
      </c>
      <c r="I1448" s="27" t="str">
        <f>IF($E1448="","",N(INDEX(资金日记账!$N$4:$S$603,270,3)))</f>
        <v/>
      </c>
      <c r="J1448" s="26" t="str">
        <f>IF($E1448="","",INDEX(资金日记账!$E$4:$E$603,270))</f>
        <v/>
      </c>
      <c r="K1448" s="26" t="str">
        <f>IF($E1448="","",INDEX(资金日记账!$F$4:$F$603,270))</f>
        <v/>
      </c>
      <c r="L1448" s="32" t="str">
        <f>IF($E1448="","",INDEX(资金日记账!$X$4:$X$603,270))</f>
        <v/>
      </c>
      <c r="M1448" s="32"/>
      <c r="N1448" s="26" t="str">
        <f>IF($E1448="","",INDEX(资金日记账!$Y$4:$Y$603,270))</f>
        <v/>
      </c>
      <c r="O1448" s="26" t="str">
        <f t="shared" si="76"/>
        <v/>
      </c>
      <c r="P1448" s="10"/>
    </row>
    <row r="1449" ht="18" customHeight="1" spans="1:16">
      <c r="A1449" s="32" t="str">
        <f t="shared" si="75"/>
        <v/>
      </c>
      <c r="B1449" s="100" t="str">
        <f>IF($E1449="","",INDEX(资金日记账!$B$4:$B$603,270))</f>
        <v/>
      </c>
      <c r="C1449" s="26" t="str">
        <f>IF($E1449="","",IF(INDEX(资金日记账!$W$4:$W$603,270)="","记-"&amp;TEXT($B1449,"YYYYMM")&amp;"-资金",INDEX(资金日记账!$W$4:$W$603,270)))</f>
        <v/>
      </c>
      <c r="D1449" s="32" t="str">
        <f>IF($E1449="","",INDEX(资金日记账!$D$4:$D$603,270))</f>
        <v/>
      </c>
      <c r="E1449" s="26" t="str">
        <f>IF(INDEX(资金日记账!$N$4:$S$603,270,4)=0,"",INDEX(资金日记账!$N$4:$S$603,270,4))</f>
        <v/>
      </c>
      <c r="F1449" s="25" t="str">
        <f>IF($E1449="","",IFERROR(INDEX(科目表!$A$4:$A$81,MATCH($E1449,科目表!$B$4:$B$81,0)),""))</f>
        <v/>
      </c>
      <c r="G1449" s="26" t="str">
        <f>IF($E1449="","",IFERROR(INDEX(科目表!$E$4:$E$81,MATCH($E1449,科目表!$B$4:$B$81,0)),""))</f>
        <v/>
      </c>
      <c r="H1449" s="27" t="str">
        <f>IF($E1449="","",N(INDEX(资金日记账!$N$4:$S$603,270,5)))</f>
        <v/>
      </c>
      <c r="I1449" s="27" t="str">
        <f>IF($E1449="","",N(INDEX(资金日记账!$N$4:$S$603,270,6)))</f>
        <v/>
      </c>
      <c r="J1449" s="26" t="str">
        <f>IF($E1449="","",INDEX(资金日记账!$E$4:$E$603,270))</f>
        <v/>
      </c>
      <c r="K1449" s="26" t="str">
        <f>IF($E1449="","",INDEX(资金日记账!$F$4:$F$603,270))</f>
        <v/>
      </c>
      <c r="L1449" s="32" t="str">
        <f>IF($E1449="","",INDEX(资金日记账!$X$4:$X$603,270))</f>
        <v/>
      </c>
      <c r="M1449" s="32"/>
      <c r="N1449" s="26" t="str">
        <f>IF($E1449="","",INDEX(资金日记账!$Y$4:$Y$603,270))</f>
        <v/>
      </c>
      <c r="O1449" s="26" t="str">
        <f t="shared" si="76"/>
        <v/>
      </c>
      <c r="P1449" s="10"/>
    </row>
    <row r="1450" ht="18" customHeight="1" spans="1:16">
      <c r="A1450" s="32" t="str">
        <f t="shared" si="75"/>
        <v/>
      </c>
      <c r="B1450" s="100" t="str">
        <f>IF($E1450="","",INDEX(资金日记账!$B$4:$B$603,271))</f>
        <v/>
      </c>
      <c r="C1450" s="26" t="str">
        <f>IF($E1450="","",IF(INDEX(资金日记账!$W$4:$W$603,271)="","记-"&amp;TEXT($B1450,"YYYYMM")&amp;"-资金",INDEX(资金日记账!$W$4:$W$603,271)))</f>
        <v/>
      </c>
      <c r="D1450" s="32" t="str">
        <f>IF($E1450="","",INDEX(资金日记账!$D$4:$D$603,271))</f>
        <v/>
      </c>
      <c r="E1450" s="26" t="str">
        <f>IF(INDEX(资金日记账!$N$4:$S$603,271,1)=0,"",INDEX(资金日记账!$N$4:$S$603,271,1))</f>
        <v/>
      </c>
      <c r="F1450" s="25" t="str">
        <f>IF($E1450="","",IFERROR(INDEX(科目表!$A$4:$A$81,MATCH($E1450,科目表!$B$4:$B$81,0)),""))</f>
        <v/>
      </c>
      <c r="G1450" s="26" t="str">
        <f>IF($E1450="","",IFERROR(INDEX(科目表!$E$4:$E$81,MATCH($E1450,科目表!$B$4:$B$81,0)),""))</f>
        <v/>
      </c>
      <c r="H1450" s="27" t="str">
        <f>IF($E1450="","",N(INDEX(资金日记账!$N$4:$S$603,271,2)))</f>
        <v/>
      </c>
      <c r="I1450" s="27" t="str">
        <f>IF($E1450="","",N(INDEX(资金日记账!$N$4:$S$603,271,3)))</f>
        <v/>
      </c>
      <c r="J1450" s="26" t="str">
        <f>IF($E1450="","",INDEX(资金日记账!$E$4:$E$603,271))</f>
        <v/>
      </c>
      <c r="K1450" s="26" t="str">
        <f>IF($E1450="","",INDEX(资金日记账!$F$4:$F$603,271))</f>
        <v/>
      </c>
      <c r="L1450" s="32" t="str">
        <f>IF($E1450="","",INDEX(资金日记账!$X$4:$X$603,271))</f>
        <v/>
      </c>
      <c r="M1450" s="32"/>
      <c r="N1450" s="26" t="str">
        <f>IF($E1450="","",INDEX(资金日记账!$Y$4:$Y$603,271))</f>
        <v/>
      </c>
      <c r="O1450" s="26" t="str">
        <f t="shared" si="76"/>
        <v/>
      </c>
      <c r="P1450" s="10"/>
    </row>
    <row r="1451" ht="18" customHeight="1" spans="1:16">
      <c r="A1451" s="32" t="str">
        <f t="shared" si="75"/>
        <v/>
      </c>
      <c r="B1451" s="100" t="str">
        <f>IF($E1451="","",INDEX(资金日记账!$B$4:$B$603,271))</f>
        <v/>
      </c>
      <c r="C1451" s="26" t="str">
        <f>IF($E1451="","",IF(INDEX(资金日记账!$W$4:$W$603,271)="","记-"&amp;TEXT($B1451,"YYYYMM")&amp;"-资金",INDEX(资金日记账!$W$4:$W$603,271)))</f>
        <v/>
      </c>
      <c r="D1451" s="32" t="str">
        <f>IF($E1451="","",INDEX(资金日记账!$D$4:$D$603,271))</f>
        <v/>
      </c>
      <c r="E1451" s="26" t="str">
        <f>IF(INDEX(资金日记账!$N$4:$S$603,271,4)=0,"",INDEX(资金日记账!$N$4:$S$603,271,4))</f>
        <v/>
      </c>
      <c r="F1451" s="25" t="str">
        <f>IF($E1451="","",IFERROR(INDEX(科目表!$A$4:$A$81,MATCH($E1451,科目表!$B$4:$B$81,0)),""))</f>
        <v/>
      </c>
      <c r="G1451" s="26" t="str">
        <f>IF($E1451="","",IFERROR(INDEX(科目表!$E$4:$E$81,MATCH($E1451,科目表!$B$4:$B$81,0)),""))</f>
        <v/>
      </c>
      <c r="H1451" s="27" t="str">
        <f>IF($E1451="","",N(INDEX(资金日记账!$N$4:$S$603,271,5)))</f>
        <v/>
      </c>
      <c r="I1451" s="27" t="str">
        <f>IF($E1451="","",N(INDEX(资金日记账!$N$4:$S$603,271,6)))</f>
        <v/>
      </c>
      <c r="J1451" s="26" t="str">
        <f>IF($E1451="","",INDEX(资金日记账!$E$4:$E$603,271))</f>
        <v/>
      </c>
      <c r="K1451" s="26" t="str">
        <f>IF($E1451="","",INDEX(资金日记账!$F$4:$F$603,271))</f>
        <v/>
      </c>
      <c r="L1451" s="32" t="str">
        <f>IF($E1451="","",INDEX(资金日记账!$X$4:$X$603,271))</f>
        <v/>
      </c>
      <c r="M1451" s="32"/>
      <c r="N1451" s="26" t="str">
        <f>IF($E1451="","",INDEX(资金日记账!$Y$4:$Y$603,271))</f>
        <v/>
      </c>
      <c r="O1451" s="26" t="str">
        <f t="shared" si="76"/>
        <v/>
      </c>
      <c r="P1451" s="10"/>
    </row>
    <row r="1452" ht="18" customHeight="1" spans="1:16">
      <c r="A1452" s="32" t="str">
        <f t="shared" si="75"/>
        <v/>
      </c>
      <c r="B1452" s="100" t="str">
        <f>IF($E1452="","",INDEX(资金日记账!$B$4:$B$603,272))</f>
        <v/>
      </c>
      <c r="C1452" s="26" t="str">
        <f>IF($E1452="","",IF(INDEX(资金日记账!$W$4:$W$603,272)="","记-"&amp;TEXT($B1452,"YYYYMM")&amp;"-资金",INDEX(资金日记账!$W$4:$W$603,272)))</f>
        <v/>
      </c>
      <c r="D1452" s="32" t="str">
        <f>IF($E1452="","",INDEX(资金日记账!$D$4:$D$603,272))</f>
        <v/>
      </c>
      <c r="E1452" s="26" t="str">
        <f>IF(INDEX(资金日记账!$N$4:$S$603,272,1)=0,"",INDEX(资金日记账!$N$4:$S$603,272,1))</f>
        <v/>
      </c>
      <c r="F1452" s="25" t="str">
        <f>IF($E1452="","",IFERROR(INDEX(科目表!$A$4:$A$81,MATCH($E1452,科目表!$B$4:$B$81,0)),""))</f>
        <v/>
      </c>
      <c r="G1452" s="26" t="str">
        <f>IF($E1452="","",IFERROR(INDEX(科目表!$E$4:$E$81,MATCH($E1452,科目表!$B$4:$B$81,0)),""))</f>
        <v/>
      </c>
      <c r="H1452" s="27" t="str">
        <f>IF($E1452="","",N(INDEX(资金日记账!$N$4:$S$603,272,2)))</f>
        <v/>
      </c>
      <c r="I1452" s="27" t="str">
        <f>IF($E1452="","",N(INDEX(资金日记账!$N$4:$S$603,272,3)))</f>
        <v/>
      </c>
      <c r="J1452" s="26" t="str">
        <f>IF($E1452="","",INDEX(资金日记账!$E$4:$E$603,272))</f>
        <v/>
      </c>
      <c r="K1452" s="26" t="str">
        <f>IF($E1452="","",INDEX(资金日记账!$F$4:$F$603,272))</f>
        <v/>
      </c>
      <c r="L1452" s="32" t="str">
        <f>IF($E1452="","",INDEX(资金日记账!$X$4:$X$603,272))</f>
        <v/>
      </c>
      <c r="M1452" s="32"/>
      <c r="N1452" s="26" t="str">
        <f>IF($E1452="","",INDEX(资金日记账!$Y$4:$Y$603,272))</f>
        <v/>
      </c>
      <c r="O1452" s="26" t="str">
        <f t="shared" si="76"/>
        <v/>
      </c>
      <c r="P1452" s="10"/>
    </row>
    <row r="1453" ht="18" customHeight="1" spans="1:16">
      <c r="A1453" s="32" t="str">
        <f t="shared" si="75"/>
        <v/>
      </c>
      <c r="B1453" s="100" t="str">
        <f>IF($E1453="","",INDEX(资金日记账!$B$4:$B$603,272))</f>
        <v/>
      </c>
      <c r="C1453" s="26" t="str">
        <f>IF($E1453="","",IF(INDEX(资金日记账!$W$4:$W$603,272)="","记-"&amp;TEXT($B1453,"YYYYMM")&amp;"-资金",INDEX(资金日记账!$W$4:$W$603,272)))</f>
        <v/>
      </c>
      <c r="D1453" s="32" t="str">
        <f>IF($E1453="","",INDEX(资金日记账!$D$4:$D$603,272))</f>
        <v/>
      </c>
      <c r="E1453" s="26" t="str">
        <f>IF(INDEX(资金日记账!$N$4:$S$603,272,4)=0,"",INDEX(资金日记账!$N$4:$S$603,272,4))</f>
        <v/>
      </c>
      <c r="F1453" s="25" t="str">
        <f>IF($E1453="","",IFERROR(INDEX(科目表!$A$4:$A$81,MATCH($E1453,科目表!$B$4:$B$81,0)),""))</f>
        <v/>
      </c>
      <c r="G1453" s="26" t="str">
        <f>IF($E1453="","",IFERROR(INDEX(科目表!$E$4:$E$81,MATCH($E1453,科目表!$B$4:$B$81,0)),""))</f>
        <v/>
      </c>
      <c r="H1453" s="27" t="str">
        <f>IF($E1453="","",N(INDEX(资金日记账!$N$4:$S$603,272,5)))</f>
        <v/>
      </c>
      <c r="I1453" s="27" t="str">
        <f>IF($E1453="","",N(INDEX(资金日记账!$N$4:$S$603,272,6)))</f>
        <v/>
      </c>
      <c r="J1453" s="26" t="str">
        <f>IF($E1453="","",INDEX(资金日记账!$E$4:$E$603,272))</f>
        <v/>
      </c>
      <c r="K1453" s="26" t="str">
        <f>IF($E1453="","",INDEX(资金日记账!$F$4:$F$603,272))</f>
        <v/>
      </c>
      <c r="L1453" s="32" t="str">
        <f>IF($E1453="","",INDEX(资金日记账!$X$4:$X$603,272))</f>
        <v/>
      </c>
      <c r="M1453" s="32"/>
      <c r="N1453" s="26" t="str">
        <f>IF($E1453="","",INDEX(资金日记账!$Y$4:$Y$603,272))</f>
        <v/>
      </c>
      <c r="O1453" s="26" t="str">
        <f t="shared" si="76"/>
        <v/>
      </c>
      <c r="P1453" s="10"/>
    </row>
    <row r="1454" ht="18" customHeight="1" spans="1:16">
      <c r="A1454" s="32" t="str">
        <f t="shared" si="75"/>
        <v/>
      </c>
      <c r="B1454" s="100" t="str">
        <f>IF($E1454="","",INDEX(资金日记账!$B$4:$B$603,273))</f>
        <v/>
      </c>
      <c r="C1454" s="26" t="str">
        <f>IF($E1454="","",IF(INDEX(资金日记账!$W$4:$W$603,273)="","记-"&amp;TEXT($B1454,"YYYYMM")&amp;"-资金",INDEX(资金日记账!$W$4:$W$603,273)))</f>
        <v/>
      </c>
      <c r="D1454" s="32" t="str">
        <f>IF($E1454="","",INDEX(资金日记账!$D$4:$D$603,273))</f>
        <v/>
      </c>
      <c r="E1454" s="26" t="str">
        <f>IF(INDEX(资金日记账!$N$4:$S$603,273,1)=0,"",INDEX(资金日记账!$N$4:$S$603,273,1))</f>
        <v/>
      </c>
      <c r="F1454" s="25" t="str">
        <f>IF($E1454="","",IFERROR(INDEX(科目表!$A$4:$A$81,MATCH($E1454,科目表!$B$4:$B$81,0)),""))</f>
        <v/>
      </c>
      <c r="G1454" s="26" t="str">
        <f>IF($E1454="","",IFERROR(INDEX(科目表!$E$4:$E$81,MATCH($E1454,科目表!$B$4:$B$81,0)),""))</f>
        <v/>
      </c>
      <c r="H1454" s="27" t="str">
        <f>IF($E1454="","",N(INDEX(资金日记账!$N$4:$S$603,273,2)))</f>
        <v/>
      </c>
      <c r="I1454" s="27" t="str">
        <f>IF($E1454="","",N(INDEX(资金日记账!$N$4:$S$603,273,3)))</f>
        <v/>
      </c>
      <c r="J1454" s="26" t="str">
        <f>IF($E1454="","",INDEX(资金日记账!$E$4:$E$603,273))</f>
        <v/>
      </c>
      <c r="K1454" s="26" t="str">
        <f>IF($E1454="","",INDEX(资金日记账!$F$4:$F$603,273))</f>
        <v/>
      </c>
      <c r="L1454" s="32" t="str">
        <f>IF($E1454="","",INDEX(资金日记账!$X$4:$X$603,273))</f>
        <v/>
      </c>
      <c r="M1454" s="32"/>
      <c r="N1454" s="26" t="str">
        <f>IF($E1454="","",INDEX(资金日记账!$Y$4:$Y$603,273))</f>
        <v/>
      </c>
      <c r="O1454" s="26" t="str">
        <f t="shared" si="76"/>
        <v/>
      </c>
      <c r="P1454" s="10"/>
    </row>
    <row r="1455" ht="18" customHeight="1" spans="1:16">
      <c r="A1455" s="32" t="str">
        <f t="shared" si="75"/>
        <v/>
      </c>
      <c r="B1455" s="100" t="str">
        <f>IF($E1455="","",INDEX(资金日记账!$B$4:$B$603,273))</f>
        <v/>
      </c>
      <c r="C1455" s="26" t="str">
        <f>IF($E1455="","",IF(INDEX(资金日记账!$W$4:$W$603,273)="","记-"&amp;TEXT($B1455,"YYYYMM")&amp;"-资金",INDEX(资金日记账!$W$4:$W$603,273)))</f>
        <v/>
      </c>
      <c r="D1455" s="32" t="str">
        <f>IF($E1455="","",INDEX(资金日记账!$D$4:$D$603,273))</f>
        <v/>
      </c>
      <c r="E1455" s="26" t="str">
        <f>IF(INDEX(资金日记账!$N$4:$S$603,273,4)=0,"",INDEX(资金日记账!$N$4:$S$603,273,4))</f>
        <v/>
      </c>
      <c r="F1455" s="25" t="str">
        <f>IF($E1455="","",IFERROR(INDEX(科目表!$A$4:$A$81,MATCH($E1455,科目表!$B$4:$B$81,0)),""))</f>
        <v/>
      </c>
      <c r="G1455" s="26" t="str">
        <f>IF($E1455="","",IFERROR(INDEX(科目表!$E$4:$E$81,MATCH($E1455,科目表!$B$4:$B$81,0)),""))</f>
        <v/>
      </c>
      <c r="H1455" s="27" t="str">
        <f>IF($E1455="","",N(INDEX(资金日记账!$N$4:$S$603,273,5)))</f>
        <v/>
      </c>
      <c r="I1455" s="27" t="str">
        <f>IF($E1455="","",N(INDEX(资金日记账!$N$4:$S$603,273,6)))</f>
        <v/>
      </c>
      <c r="J1455" s="26" t="str">
        <f>IF($E1455="","",INDEX(资金日记账!$E$4:$E$603,273))</f>
        <v/>
      </c>
      <c r="K1455" s="26" t="str">
        <f>IF($E1455="","",INDEX(资金日记账!$F$4:$F$603,273))</f>
        <v/>
      </c>
      <c r="L1455" s="32" t="str">
        <f>IF($E1455="","",INDEX(资金日记账!$X$4:$X$603,273))</f>
        <v/>
      </c>
      <c r="M1455" s="32"/>
      <c r="N1455" s="26" t="str">
        <f>IF($E1455="","",INDEX(资金日记账!$Y$4:$Y$603,273))</f>
        <v/>
      </c>
      <c r="O1455" s="26" t="str">
        <f t="shared" si="76"/>
        <v/>
      </c>
      <c r="P1455" s="10"/>
    </row>
    <row r="1456" ht="18" customHeight="1" spans="1:16">
      <c r="A1456" s="32" t="str">
        <f t="shared" si="75"/>
        <v/>
      </c>
      <c r="B1456" s="100" t="str">
        <f>IF($E1456="","",INDEX(资金日记账!$B$4:$B$603,274))</f>
        <v/>
      </c>
      <c r="C1456" s="26" t="str">
        <f>IF($E1456="","",IF(INDEX(资金日记账!$W$4:$W$603,274)="","记-"&amp;TEXT($B1456,"YYYYMM")&amp;"-资金",INDEX(资金日记账!$W$4:$W$603,274)))</f>
        <v/>
      </c>
      <c r="D1456" s="32" t="str">
        <f>IF($E1456="","",INDEX(资金日记账!$D$4:$D$603,274))</f>
        <v/>
      </c>
      <c r="E1456" s="26" t="str">
        <f>IF(INDEX(资金日记账!$N$4:$S$603,274,1)=0,"",INDEX(资金日记账!$N$4:$S$603,274,1))</f>
        <v/>
      </c>
      <c r="F1456" s="25" t="str">
        <f>IF($E1456="","",IFERROR(INDEX(科目表!$A$4:$A$81,MATCH($E1456,科目表!$B$4:$B$81,0)),""))</f>
        <v/>
      </c>
      <c r="G1456" s="26" t="str">
        <f>IF($E1456="","",IFERROR(INDEX(科目表!$E$4:$E$81,MATCH($E1456,科目表!$B$4:$B$81,0)),""))</f>
        <v/>
      </c>
      <c r="H1456" s="27" t="str">
        <f>IF($E1456="","",N(INDEX(资金日记账!$N$4:$S$603,274,2)))</f>
        <v/>
      </c>
      <c r="I1456" s="27" t="str">
        <f>IF($E1456="","",N(INDEX(资金日记账!$N$4:$S$603,274,3)))</f>
        <v/>
      </c>
      <c r="J1456" s="26" t="str">
        <f>IF($E1456="","",INDEX(资金日记账!$E$4:$E$603,274))</f>
        <v/>
      </c>
      <c r="K1456" s="26" t="str">
        <f>IF($E1456="","",INDEX(资金日记账!$F$4:$F$603,274))</f>
        <v/>
      </c>
      <c r="L1456" s="32" t="str">
        <f>IF($E1456="","",INDEX(资金日记账!$X$4:$X$603,274))</f>
        <v/>
      </c>
      <c r="M1456" s="32"/>
      <c r="N1456" s="26" t="str">
        <f>IF($E1456="","",INDEX(资金日记账!$Y$4:$Y$603,274))</f>
        <v/>
      </c>
      <c r="O1456" s="26" t="str">
        <f t="shared" si="76"/>
        <v/>
      </c>
      <c r="P1456" s="10"/>
    </row>
    <row r="1457" ht="18" customHeight="1" spans="1:16">
      <c r="A1457" s="32" t="str">
        <f t="shared" si="75"/>
        <v/>
      </c>
      <c r="B1457" s="100" t="str">
        <f>IF($E1457="","",INDEX(资金日记账!$B$4:$B$603,274))</f>
        <v/>
      </c>
      <c r="C1457" s="26" t="str">
        <f>IF($E1457="","",IF(INDEX(资金日记账!$W$4:$W$603,274)="","记-"&amp;TEXT($B1457,"YYYYMM")&amp;"-资金",INDEX(资金日记账!$W$4:$W$603,274)))</f>
        <v/>
      </c>
      <c r="D1457" s="32" t="str">
        <f>IF($E1457="","",INDEX(资金日记账!$D$4:$D$603,274))</f>
        <v/>
      </c>
      <c r="E1457" s="26" t="str">
        <f>IF(INDEX(资金日记账!$N$4:$S$603,274,4)=0,"",INDEX(资金日记账!$N$4:$S$603,274,4))</f>
        <v/>
      </c>
      <c r="F1457" s="25" t="str">
        <f>IF($E1457="","",IFERROR(INDEX(科目表!$A$4:$A$81,MATCH($E1457,科目表!$B$4:$B$81,0)),""))</f>
        <v/>
      </c>
      <c r="G1457" s="26" t="str">
        <f>IF($E1457="","",IFERROR(INDEX(科目表!$E$4:$E$81,MATCH($E1457,科目表!$B$4:$B$81,0)),""))</f>
        <v/>
      </c>
      <c r="H1457" s="27" t="str">
        <f>IF($E1457="","",N(INDEX(资金日记账!$N$4:$S$603,274,5)))</f>
        <v/>
      </c>
      <c r="I1457" s="27" t="str">
        <f>IF($E1457="","",N(INDEX(资金日记账!$N$4:$S$603,274,6)))</f>
        <v/>
      </c>
      <c r="J1457" s="26" t="str">
        <f>IF($E1457="","",INDEX(资金日记账!$E$4:$E$603,274))</f>
        <v/>
      </c>
      <c r="K1457" s="26" t="str">
        <f>IF($E1457="","",INDEX(资金日记账!$F$4:$F$603,274))</f>
        <v/>
      </c>
      <c r="L1457" s="32" t="str">
        <f>IF($E1457="","",INDEX(资金日记账!$X$4:$X$603,274))</f>
        <v/>
      </c>
      <c r="M1457" s="32"/>
      <c r="N1457" s="26" t="str">
        <f>IF($E1457="","",INDEX(资金日记账!$Y$4:$Y$603,274))</f>
        <v/>
      </c>
      <c r="O1457" s="26" t="str">
        <f t="shared" si="76"/>
        <v/>
      </c>
      <c r="P1457" s="10"/>
    </row>
    <row r="1458" ht="18" customHeight="1" spans="1:16">
      <c r="A1458" s="32" t="str">
        <f t="shared" si="75"/>
        <v/>
      </c>
      <c r="B1458" s="100" t="str">
        <f>IF($E1458="","",INDEX(资金日记账!$B$4:$B$603,275))</f>
        <v/>
      </c>
      <c r="C1458" s="26" t="str">
        <f>IF($E1458="","",IF(INDEX(资金日记账!$W$4:$W$603,275)="","记-"&amp;TEXT($B1458,"YYYYMM")&amp;"-资金",INDEX(资金日记账!$W$4:$W$603,275)))</f>
        <v/>
      </c>
      <c r="D1458" s="32" t="str">
        <f>IF($E1458="","",INDEX(资金日记账!$D$4:$D$603,275))</f>
        <v/>
      </c>
      <c r="E1458" s="26" t="str">
        <f>IF(INDEX(资金日记账!$N$4:$S$603,275,1)=0,"",INDEX(资金日记账!$N$4:$S$603,275,1))</f>
        <v/>
      </c>
      <c r="F1458" s="25" t="str">
        <f>IF($E1458="","",IFERROR(INDEX(科目表!$A$4:$A$81,MATCH($E1458,科目表!$B$4:$B$81,0)),""))</f>
        <v/>
      </c>
      <c r="G1458" s="26" t="str">
        <f>IF($E1458="","",IFERROR(INDEX(科目表!$E$4:$E$81,MATCH($E1458,科目表!$B$4:$B$81,0)),""))</f>
        <v/>
      </c>
      <c r="H1458" s="27" t="str">
        <f>IF($E1458="","",N(INDEX(资金日记账!$N$4:$S$603,275,2)))</f>
        <v/>
      </c>
      <c r="I1458" s="27" t="str">
        <f>IF($E1458="","",N(INDEX(资金日记账!$N$4:$S$603,275,3)))</f>
        <v/>
      </c>
      <c r="J1458" s="26" t="str">
        <f>IF($E1458="","",INDEX(资金日记账!$E$4:$E$603,275))</f>
        <v/>
      </c>
      <c r="K1458" s="26" t="str">
        <f>IF($E1458="","",INDEX(资金日记账!$F$4:$F$603,275))</f>
        <v/>
      </c>
      <c r="L1458" s="32" t="str">
        <f>IF($E1458="","",INDEX(资金日记账!$X$4:$X$603,275))</f>
        <v/>
      </c>
      <c r="M1458" s="32"/>
      <c r="N1458" s="26" t="str">
        <f>IF($E1458="","",INDEX(资金日记账!$Y$4:$Y$603,275))</f>
        <v/>
      </c>
      <c r="O1458" s="26" t="str">
        <f t="shared" si="76"/>
        <v/>
      </c>
      <c r="P1458" s="10"/>
    </row>
    <row r="1459" ht="18" customHeight="1" spans="1:16">
      <c r="A1459" s="32" t="str">
        <f t="shared" si="75"/>
        <v/>
      </c>
      <c r="B1459" s="100" t="str">
        <f>IF($E1459="","",INDEX(资金日记账!$B$4:$B$603,275))</f>
        <v/>
      </c>
      <c r="C1459" s="26" t="str">
        <f>IF($E1459="","",IF(INDEX(资金日记账!$W$4:$W$603,275)="","记-"&amp;TEXT($B1459,"YYYYMM")&amp;"-资金",INDEX(资金日记账!$W$4:$W$603,275)))</f>
        <v/>
      </c>
      <c r="D1459" s="32" t="str">
        <f>IF($E1459="","",INDEX(资金日记账!$D$4:$D$603,275))</f>
        <v/>
      </c>
      <c r="E1459" s="26" t="str">
        <f>IF(INDEX(资金日记账!$N$4:$S$603,275,4)=0,"",INDEX(资金日记账!$N$4:$S$603,275,4))</f>
        <v/>
      </c>
      <c r="F1459" s="25" t="str">
        <f>IF($E1459="","",IFERROR(INDEX(科目表!$A$4:$A$81,MATCH($E1459,科目表!$B$4:$B$81,0)),""))</f>
        <v/>
      </c>
      <c r="G1459" s="26" t="str">
        <f>IF($E1459="","",IFERROR(INDEX(科目表!$E$4:$E$81,MATCH($E1459,科目表!$B$4:$B$81,0)),""))</f>
        <v/>
      </c>
      <c r="H1459" s="27" t="str">
        <f>IF($E1459="","",N(INDEX(资金日记账!$N$4:$S$603,275,5)))</f>
        <v/>
      </c>
      <c r="I1459" s="27" t="str">
        <f>IF($E1459="","",N(INDEX(资金日记账!$N$4:$S$603,275,6)))</f>
        <v/>
      </c>
      <c r="J1459" s="26" t="str">
        <f>IF($E1459="","",INDEX(资金日记账!$E$4:$E$603,275))</f>
        <v/>
      </c>
      <c r="K1459" s="26" t="str">
        <f>IF($E1459="","",INDEX(资金日记账!$F$4:$F$603,275))</f>
        <v/>
      </c>
      <c r="L1459" s="32" t="str">
        <f>IF($E1459="","",INDEX(资金日记账!$X$4:$X$603,275))</f>
        <v/>
      </c>
      <c r="M1459" s="32"/>
      <c r="N1459" s="26" t="str">
        <f>IF($E1459="","",INDEX(资金日记账!$Y$4:$Y$603,275))</f>
        <v/>
      </c>
      <c r="O1459" s="26" t="str">
        <f t="shared" si="76"/>
        <v/>
      </c>
      <c r="P1459" s="10"/>
    </row>
    <row r="1460" ht="18" customHeight="1" spans="1:16">
      <c r="A1460" s="32" t="str">
        <f t="shared" si="75"/>
        <v/>
      </c>
      <c r="B1460" s="100" t="str">
        <f>IF($E1460="","",INDEX(资金日记账!$B$4:$B$603,276))</f>
        <v/>
      </c>
      <c r="C1460" s="26" t="str">
        <f>IF($E1460="","",IF(INDEX(资金日记账!$W$4:$W$603,276)="","记-"&amp;TEXT($B1460,"YYYYMM")&amp;"-资金",INDEX(资金日记账!$W$4:$W$603,276)))</f>
        <v/>
      </c>
      <c r="D1460" s="32" t="str">
        <f>IF($E1460="","",INDEX(资金日记账!$D$4:$D$603,276))</f>
        <v/>
      </c>
      <c r="E1460" s="26" t="str">
        <f>IF(INDEX(资金日记账!$N$4:$S$603,276,1)=0,"",INDEX(资金日记账!$N$4:$S$603,276,1))</f>
        <v/>
      </c>
      <c r="F1460" s="25" t="str">
        <f>IF($E1460="","",IFERROR(INDEX(科目表!$A$4:$A$81,MATCH($E1460,科目表!$B$4:$B$81,0)),""))</f>
        <v/>
      </c>
      <c r="G1460" s="26" t="str">
        <f>IF($E1460="","",IFERROR(INDEX(科目表!$E$4:$E$81,MATCH($E1460,科目表!$B$4:$B$81,0)),""))</f>
        <v/>
      </c>
      <c r="H1460" s="27" t="str">
        <f>IF($E1460="","",N(INDEX(资金日记账!$N$4:$S$603,276,2)))</f>
        <v/>
      </c>
      <c r="I1460" s="27" t="str">
        <f>IF($E1460="","",N(INDEX(资金日记账!$N$4:$S$603,276,3)))</f>
        <v/>
      </c>
      <c r="J1460" s="26" t="str">
        <f>IF($E1460="","",INDEX(资金日记账!$E$4:$E$603,276))</f>
        <v/>
      </c>
      <c r="K1460" s="26" t="str">
        <f>IF($E1460="","",INDEX(资金日记账!$F$4:$F$603,276))</f>
        <v/>
      </c>
      <c r="L1460" s="32" t="str">
        <f>IF($E1460="","",INDEX(资金日记账!$X$4:$X$603,276))</f>
        <v/>
      </c>
      <c r="M1460" s="32"/>
      <c r="N1460" s="26" t="str">
        <f>IF($E1460="","",INDEX(资金日记账!$Y$4:$Y$603,276))</f>
        <v/>
      </c>
      <c r="O1460" s="26" t="str">
        <f t="shared" si="76"/>
        <v/>
      </c>
      <c r="P1460" s="10"/>
    </row>
    <row r="1461" ht="18" customHeight="1" spans="1:16">
      <c r="A1461" s="32" t="str">
        <f t="shared" si="75"/>
        <v/>
      </c>
      <c r="B1461" s="100" t="str">
        <f>IF($E1461="","",INDEX(资金日记账!$B$4:$B$603,276))</f>
        <v/>
      </c>
      <c r="C1461" s="26" t="str">
        <f>IF($E1461="","",IF(INDEX(资金日记账!$W$4:$W$603,276)="","记-"&amp;TEXT($B1461,"YYYYMM")&amp;"-资金",INDEX(资金日记账!$W$4:$W$603,276)))</f>
        <v/>
      </c>
      <c r="D1461" s="32" t="str">
        <f>IF($E1461="","",INDEX(资金日记账!$D$4:$D$603,276))</f>
        <v/>
      </c>
      <c r="E1461" s="26" t="str">
        <f>IF(INDEX(资金日记账!$N$4:$S$603,276,4)=0,"",INDEX(资金日记账!$N$4:$S$603,276,4))</f>
        <v/>
      </c>
      <c r="F1461" s="25" t="str">
        <f>IF($E1461="","",IFERROR(INDEX(科目表!$A$4:$A$81,MATCH($E1461,科目表!$B$4:$B$81,0)),""))</f>
        <v/>
      </c>
      <c r="G1461" s="26" t="str">
        <f>IF($E1461="","",IFERROR(INDEX(科目表!$E$4:$E$81,MATCH($E1461,科目表!$B$4:$B$81,0)),""))</f>
        <v/>
      </c>
      <c r="H1461" s="27" t="str">
        <f>IF($E1461="","",N(INDEX(资金日记账!$N$4:$S$603,276,5)))</f>
        <v/>
      </c>
      <c r="I1461" s="27" t="str">
        <f>IF($E1461="","",N(INDEX(资金日记账!$N$4:$S$603,276,6)))</f>
        <v/>
      </c>
      <c r="J1461" s="26" t="str">
        <f>IF($E1461="","",INDEX(资金日记账!$E$4:$E$603,276))</f>
        <v/>
      </c>
      <c r="K1461" s="26" t="str">
        <f>IF($E1461="","",INDEX(资金日记账!$F$4:$F$603,276))</f>
        <v/>
      </c>
      <c r="L1461" s="32" t="str">
        <f>IF($E1461="","",INDEX(资金日记账!$X$4:$X$603,276))</f>
        <v/>
      </c>
      <c r="M1461" s="32"/>
      <c r="N1461" s="26" t="str">
        <f>IF($E1461="","",INDEX(资金日记账!$Y$4:$Y$603,276))</f>
        <v/>
      </c>
      <c r="O1461" s="26" t="str">
        <f t="shared" si="76"/>
        <v/>
      </c>
      <c r="P1461" s="10"/>
    </row>
    <row r="1462" ht="18" customHeight="1" spans="1:16">
      <c r="A1462" s="32" t="str">
        <f t="shared" si="75"/>
        <v/>
      </c>
      <c r="B1462" s="100" t="str">
        <f>IF($E1462="","",INDEX(资金日记账!$B$4:$B$603,277))</f>
        <v/>
      </c>
      <c r="C1462" s="26" t="str">
        <f>IF($E1462="","",IF(INDEX(资金日记账!$W$4:$W$603,277)="","记-"&amp;TEXT($B1462,"YYYYMM")&amp;"-资金",INDEX(资金日记账!$W$4:$W$603,277)))</f>
        <v/>
      </c>
      <c r="D1462" s="32" t="str">
        <f>IF($E1462="","",INDEX(资金日记账!$D$4:$D$603,277))</f>
        <v/>
      </c>
      <c r="E1462" s="26" t="str">
        <f>IF(INDEX(资金日记账!$N$4:$S$603,277,1)=0,"",INDEX(资金日记账!$N$4:$S$603,277,1))</f>
        <v/>
      </c>
      <c r="F1462" s="25" t="str">
        <f>IF($E1462="","",IFERROR(INDEX(科目表!$A$4:$A$81,MATCH($E1462,科目表!$B$4:$B$81,0)),""))</f>
        <v/>
      </c>
      <c r="G1462" s="26" t="str">
        <f>IF($E1462="","",IFERROR(INDEX(科目表!$E$4:$E$81,MATCH($E1462,科目表!$B$4:$B$81,0)),""))</f>
        <v/>
      </c>
      <c r="H1462" s="27" t="str">
        <f>IF($E1462="","",N(INDEX(资金日记账!$N$4:$S$603,277,2)))</f>
        <v/>
      </c>
      <c r="I1462" s="27" t="str">
        <f>IF($E1462="","",N(INDEX(资金日记账!$N$4:$S$603,277,3)))</f>
        <v/>
      </c>
      <c r="J1462" s="26" t="str">
        <f>IF($E1462="","",INDEX(资金日记账!$E$4:$E$603,277))</f>
        <v/>
      </c>
      <c r="K1462" s="26" t="str">
        <f>IF($E1462="","",INDEX(资金日记账!$F$4:$F$603,277))</f>
        <v/>
      </c>
      <c r="L1462" s="32" t="str">
        <f>IF($E1462="","",INDEX(资金日记账!$X$4:$X$603,277))</f>
        <v/>
      </c>
      <c r="M1462" s="32"/>
      <c r="N1462" s="26" t="str">
        <f>IF($E1462="","",INDEX(资金日记账!$Y$4:$Y$603,277))</f>
        <v/>
      </c>
      <c r="O1462" s="26" t="str">
        <f t="shared" si="76"/>
        <v/>
      </c>
      <c r="P1462" s="10"/>
    </row>
    <row r="1463" ht="18" customHeight="1" spans="1:16">
      <c r="A1463" s="32" t="str">
        <f t="shared" si="75"/>
        <v/>
      </c>
      <c r="B1463" s="100" t="str">
        <f>IF($E1463="","",INDEX(资金日记账!$B$4:$B$603,277))</f>
        <v/>
      </c>
      <c r="C1463" s="26" t="str">
        <f>IF($E1463="","",IF(INDEX(资金日记账!$W$4:$W$603,277)="","记-"&amp;TEXT($B1463,"YYYYMM")&amp;"-资金",INDEX(资金日记账!$W$4:$W$603,277)))</f>
        <v/>
      </c>
      <c r="D1463" s="32" t="str">
        <f>IF($E1463="","",INDEX(资金日记账!$D$4:$D$603,277))</f>
        <v/>
      </c>
      <c r="E1463" s="26" t="str">
        <f>IF(INDEX(资金日记账!$N$4:$S$603,277,4)=0,"",INDEX(资金日记账!$N$4:$S$603,277,4))</f>
        <v/>
      </c>
      <c r="F1463" s="25" t="str">
        <f>IF($E1463="","",IFERROR(INDEX(科目表!$A$4:$A$81,MATCH($E1463,科目表!$B$4:$B$81,0)),""))</f>
        <v/>
      </c>
      <c r="G1463" s="26" t="str">
        <f>IF($E1463="","",IFERROR(INDEX(科目表!$E$4:$E$81,MATCH($E1463,科目表!$B$4:$B$81,0)),""))</f>
        <v/>
      </c>
      <c r="H1463" s="27" t="str">
        <f>IF($E1463="","",N(INDEX(资金日记账!$N$4:$S$603,277,5)))</f>
        <v/>
      </c>
      <c r="I1463" s="27" t="str">
        <f>IF($E1463="","",N(INDEX(资金日记账!$N$4:$S$603,277,6)))</f>
        <v/>
      </c>
      <c r="J1463" s="26" t="str">
        <f>IF($E1463="","",INDEX(资金日记账!$E$4:$E$603,277))</f>
        <v/>
      </c>
      <c r="K1463" s="26" t="str">
        <f>IF($E1463="","",INDEX(资金日记账!$F$4:$F$603,277))</f>
        <v/>
      </c>
      <c r="L1463" s="32" t="str">
        <f>IF($E1463="","",INDEX(资金日记账!$X$4:$X$603,277))</f>
        <v/>
      </c>
      <c r="M1463" s="32"/>
      <c r="N1463" s="26" t="str">
        <f>IF($E1463="","",INDEX(资金日记账!$Y$4:$Y$603,277))</f>
        <v/>
      </c>
      <c r="O1463" s="26" t="str">
        <f t="shared" si="76"/>
        <v/>
      </c>
      <c r="P1463" s="10"/>
    </row>
    <row r="1464" ht="18" customHeight="1" spans="1:16">
      <c r="A1464" s="32" t="str">
        <f t="shared" si="75"/>
        <v/>
      </c>
      <c r="B1464" s="100" t="str">
        <f>IF($E1464="","",INDEX(资金日记账!$B$4:$B$603,278))</f>
        <v/>
      </c>
      <c r="C1464" s="26" t="str">
        <f>IF($E1464="","",IF(INDEX(资金日记账!$W$4:$W$603,278)="","记-"&amp;TEXT($B1464,"YYYYMM")&amp;"-资金",INDEX(资金日记账!$W$4:$W$603,278)))</f>
        <v/>
      </c>
      <c r="D1464" s="32" t="str">
        <f>IF($E1464="","",INDEX(资金日记账!$D$4:$D$603,278))</f>
        <v/>
      </c>
      <c r="E1464" s="26" t="str">
        <f>IF(INDEX(资金日记账!$N$4:$S$603,278,1)=0,"",INDEX(资金日记账!$N$4:$S$603,278,1))</f>
        <v/>
      </c>
      <c r="F1464" s="25" t="str">
        <f>IF($E1464="","",IFERROR(INDEX(科目表!$A$4:$A$81,MATCH($E1464,科目表!$B$4:$B$81,0)),""))</f>
        <v/>
      </c>
      <c r="G1464" s="26" t="str">
        <f>IF($E1464="","",IFERROR(INDEX(科目表!$E$4:$E$81,MATCH($E1464,科目表!$B$4:$B$81,0)),""))</f>
        <v/>
      </c>
      <c r="H1464" s="27" t="str">
        <f>IF($E1464="","",N(INDEX(资金日记账!$N$4:$S$603,278,2)))</f>
        <v/>
      </c>
      <c r="I1464" s="27" t="str">
        <f>IF($E1464="","",N(INDEX(资金日记账!$N$4:$S$603,278,3)))</f>
        <v/>
      </c>
      <c r="J1464" s="26" t="str">
        <f>IF($E1464="","",INDEX(资金日记账!$E$4:$E$603,278))</f>
        <v/>
      </c>
      <c r="K1464" s="26" t="str">
        <f>IF($E1464="","",INDEX(资金日记账!$F$4:$F$603,278))</f>
        <v/>
      </c>
      <c r="L1464" s="32" t="str">
        <f>IF($E1464="","",INDEX(资金日记账!$X$4:$X$603,278))</f>
        <v/>
      </c>
      <c r="M1464" s="32"/>
      <c r="N1464" s="26" t="str">
        <f>IF($E1464="","",INDEX(资金日记账!$Y$4:$Y$603,278))</f>
        <v/>
      </c>
      <c r="O1464" s="26" t="str">
        <f t="shared" si="76"/>
        <v/>
      </c>
      <c r="P1464" s="10"/>
    </row>
    <row r="1465" ht="18" customHeight="1" spans="1:16">
      <c r="A1465" s="32" t="str">
        <f t="shared" si="75"/>
        <v/>
      </c>
      <c r="B1465" s="100" t="str">
        <f>IF($E1465="","",INDEX(资金日记账!$B$4:$B$603,278))</f>
        <v/>
      </c>
      <c r="C1465" s="26" t="str">
        <f>IF($E1465="","",IF(INDEX(资金日记账!$W$4:$W$603,278)="","记-"&amp;TEXT($B1465,"YYYYMM")&amp;"-资金",INDEX(资金日记账!$W$4:$W$603,278)))</f>
        <v/>
      </c>
      <c r="D1465" s="32" t="str">
        <f>IF($E1465="","",INDEX(资金日记账!$D$4:$D$603,278))</f>
        <v/>
      </c>
      <c r="E1465" s="26" t="str">
        <f>IF(INDEX(资金日记账!$N$4:$S$603,278,4)=0,"",INDEX(资金日记账!$N$4:$S$603,278,4))</f>
        <v/>
      </c>
      <c r="F1465" s="25" t="str">
        <f>IF($E1465="","",IFERROR(INDEX(科目表!$A$4:$A$81,MATCH($E1465,科目表!$B$4:$B$81,0)),""))</f>
        <v/>
      </c>
      <c r="G1465" s="26" t="str">
        <f>IF($E1465="","",IFERROR(INDEX(科目表!$E$4:$E$81,MATCH($E1465,科目表!$B$4:$B$81,0)),""))</f>
        <v/>
      </c>
      <c r="H1465" s="27" t="str">
        <f>IF($E1465="","",N(INDEX(资金日记账!$N$4:$S$603,278,5)))</f>
        <v/>
      </c>
      <c r="I1465" s="27" t="str">
        <f>IF($E1465="","",N(INDEX(资金日记账!$N$4:$S$603,278,6)))</f>
        <v/>
      </c>
      <c r="J1465" s="26" t="str">
        <f>IF($E1465="","",INDEX(资金日记账!$E$4:$E$603,278))</f>
        <v/>
      </c>
      <c r="K1465" s="26" t="str">
        <f>IF($E1465="","",INDEX(资金日记账!$F$4:$F$603,278))</f>
        <v/>
      </c>
      <c r="L1465" s="32" t="str">
        <f>IF($E1465="","",INDEX(资金日记账!$X$4:$X$603,278))</f>
        <v/>
      </c>
      <c r="M1465" s="32"/>
      <c r="N1465" s="26" t="str">
        <f>IF($E1465="","",INDEX(资金日记账!$Y$4:$Y$603,278))</f>
        <v/>
      </c>
      <c r="O1465" s="26" t="str">
        <f t="shared" si="76"/>
        <v/>
      </c>
      <c r="P1465" s="10"/>
    </row>
    <row r="1466" ht="18" customHeight="1" spans="1:16">
      <c r="A1466" s="32" t="str">
        <f t="shared" si="75"/>
        <v/>
      </c>
      <c r="B1466" s="100" t="str">
        <f>IF($E1466="","",INDEX(资金日记账!$B$4:$B$603,279))</f>
        <v/>
      </c>
      <c r="C1466" s="26" t="str">
        <f>IF($E1466="","",IF(INDEX(资金日记账!$W$4:$W$603,279)="","记-"&amp;TEXT($B1466,"YYYYMM")&amp;"-资金",INDEX(资金日记账!$W$4:$W$603,279)))</f>
        <v/>
      </c>
      <c r="D1466" s="32" t="str">
        <f>IF($E1466="","",INDEX(资金日记账!$D$4:$D$603,279))</f>
        <v/>
      </c>
      <c r="E1466" s="26" t="str">
        <f>IF(INDEX(资金日记账!$N$4:$S$603,279,1)=0,"",INDEX(资金日记账!$N$4:$S$603,279,1))</f>
        <v/>
      </c>
      <c r="F1466" s="25" t="str">
        <f>IF($E1466="","",IFERROR(INDEX(科目表!$A$4:$A$81,MATCH($E1466,科目表!$B$4:$B$81,0)),""))</f>
        <v/>
      </c>
      <c r="G1466" s="26" t="str">
        <f>IF($E1466="","",IFERROR(INDEX(科目表!$E$4:$E$81,MATCH($E1466,科目表!$B$4:$B$81,0)),""))</f>
        <v/>
      </c>
      <c r="H1466" s="27" t="str">
        <f>IF($E1466="","",N(INDEX(资金日记账!$N$4:$S$603,279,2)))</f>
        <v/>
      </c>
      <c r="I1466" s="27" t="str">
        <f>IF($E1466="","",N(INDEX(资金日记账!$N$4:$S$603,279,3)))</f>
        <v/>
      </c>
      <c r="J1466" s="26" t="str">
        <f>IF($E1466="","",INDEX(资金日记账!$E$4:$E$603,279))</f>
        <v/>
      </c>
      <c r="K1466" s="26" t="str">
        <f>IF($E1466="","",INDEX(资金日记账!$F$4:$F$603,279))</f>
        <v/>
      </c>
      <c r="L1466" s="32" t="str">
        <f>IF($E1466="","",INDEX(资金日记账!$X$4:$X$603,279))</f>
        <v/>
      </c>
      <c r="M1466" s="32"/>
      <c r="N1466" s="26" t="str">
        <f>IF($E1466="","",INDEX(资金日记账!$Y$4:$Y$603,279))</f>
        <v/>
      </c>
      <c r="O1466" s="26" t="str">
        <f t="shared" si="76"/>
        <v/>
      </c>
      <c r="P1466" s="10"/>
    </row>
    <row r="1467" ht="18" customHeight="1" spans="1:16">
      <c r="A1467" s="32" t="str">
        <f t="shared" si="75"/>
        <v/>
      </c>
      <c r="B1467" s="100" t="str">
        <f>IF($E1467="","",INDEX(资金日记账!$B$4:$B$603,279))</f>
        <v/>
      </c>
      <c r="C1467" s="26" t="str">
        <f>IF($E1467="","",IF(INDEX(资金日记账!$W$4:$W$603,279)="","记-"&amp;TEXT($B1467,"YYYYMM")&amp;"-资金",INDEX(资金日记账!$W$4:$W$603,279)))</f>
        <v/>
      </c>
      <c r="D1467" s="32" t="str">
        <f>IF($E1467="","",INDEX(资金日记账!$D$4:$D$603,279))</f>
        <v/>
      </c>
      <c r="E1467" s="26" t="str">
        <f>IF(INDEX(资金日记账!$N$4:$S$603,279,4)=0,"",INDEX(资金日记账!$N$4:$S$603,279,4))</f>
        <v/>
      </c>
      <c r="F1467" s="25" t="str">
        <f>IF($E1467="","",IFERROR(INDEX(科目表!$A$4:$A$81,MATCH($E1467,科目表!$B$4:$B$81,0)),""))</f>
        <v/>
      </c>
      <c r="G1467" s="26" t="str">
        <f>IF($E1467="","",IFERROR(INDEX(科目表!$E$4:$E$81,MATCH($E1467,科目表!$B$4:$B$81,0)),""))</f>
        <v/>
      </c>
      <c r="H1467" s="27" t="str">
        <f>IF($E1467="","",N(INDEX(资金日记账!$N$4:$S$603,279,5)))</f>
        <v/>
      </c>
      <c r="I1467" s="27" t="str">
        <f>IF($E1467="","",N(INDEX(资金日记账!$N$4:$S$603,279,6)))</f>
        <v/>
      </c>
      <c r="J1467" s="26" t="str">
        <f>IF($E1467="","",INDEX(资金日记账!$E$4:$E$603,279))</f>
        <v/>
      </c>
      <c r="K1467" s="26" t="str">
        <f>IF($E1467="","",INDEX(资金日记账!$F$4:$F$603,279))</f>
        <v/>
      </c>
      <c r="L1467" s="32" t="str">
        <f>IF($E1467="","",INDEX(资金日记账!$X$4:$X$603,279))</f>
        <v/>
      </c>
      <c r="M1467" s="32"/>
      <c r="N1467" s="26" t="str">
        <f>IF($E1467="","",INDEX(资金日记账!$Y$4:$Y$603,279))</f>
        <v/>
      </c>
      <c r="O1467" s="26" t="str">
        <f t="shared" si="76"/>
        <v/>
      </c>
      <c r="P1467" s="10"/>
    </row>
    <row r="1468" ht="18" customHeight="1" spans="1:16">
      <c r="A1468" s="32" t="str">
        <f t="shared" si="75"/>
        <v/>
      </c>
      <c r="B1468" s="100" t="str">
        <f>IF($E1468="","",INDEX(资金日记账!$B$4:$B$603,280))</f>
        <v/>
      </c>
      <c r="C1468" s="26" t="str">
        <f>IF($E1468="","",IF(INDEX(资金日记账!$W$4:$W$603,280)="","记-"&amp;TEXT($B1468,"YYYYMM")&amp;"-资金",INDEX(资金日记账!$W$4:$W$603,280)))</f>
        <v/>
      </c>
      <c r="D1468" s="32" t="str">
        <f>IF($E1468="","",INDEX(资金日记账!$D$4:$D$603,280))</f>
        <v/>
      </c>
      <c r="E1468" s="26" t="str">
        <f>IF(INDEX(资金日记账!$N$4:$S$603,280,1)=0,"",INDEX(资金日记账!$N$4:$S$603,280,1))</f>
        <v/>
      </c>
      <c r="F1468" s="25" t="str">
        <f>IF($E1468="","",IFERROR(INDEX(科目表!$A$4:$A$81,MATCH($E1468,科目表!$B$4:$B$81,0)),""))</f>
        <v/>
      </c>
      <c r="G1468" s="26" t="str">
        <f>IF($E1468="","",IFERROR(INDEX(科目表!$E$4:$E$81,MATCH($E1468,科目表!$B$4:$B$81,0)),""))</f>
        <v/>
      </c>
      <c r="H1468" s="27" t="str">
        <f>IF($E1468="","",N(INDEX(资金日记账!$N$4:$S$603,280,2)))</f>
        <v/>
      </c>
      <c r="I1468" s="27" t="str">
        <f>IF($E1468="","",N(INDEX(资金日记账!$N$4:$S$603,280,3)))</f>
        <v/>
      </c>
      <c r="J1468" s="26" t="str">
        <f>IF($E1468="","",INDEX(资金日记账!$E$4:$E$603,280))</f>
        <v/>
      </c>
      <c r="K1468" s="26" t="str">
        <f>IF($E1468="","",INDEX(资金日记账!$F$4:$F$603,280))</f>
        <v/>
      </c>
      <c r="L1468" s="32" t="str">
        <f>IF($E1468="","",INDEX(资金日记账!$X$4:$X$603,280))</f>
        <v/>
      </c>
      <c r="M1468" s="32"/>
      <c r="N1468" s="26" t="str">
        <f>IF($E1468="","",INDEX(资金日记账!$Y$4:$Y$603,280))</f>
        <v/>
      </c>
      <c r="O1468" s="26" t="str">
        <f t="shared" si="76"/>
        <v/>
      </c>
      <c r="P1468" s="10"/>
    </row>
    <row r="1469" ht="18" customHeight="1" spans="1:16">
      <c r="A1469" s="32" t="str">
        <f t="shared" si="75"/>
        <v/>
      </c>
      <c r="B1469" s="100" t="str">
        <f>IF($E1469="","",INDEX(资金日记账!$B$4:$B$603,280))</f>
        <v/>
      </c>
      <c r="C1469" s="26" t="str">
        <f>IF($E1469="","",IF(INDEX(资金日记账!$W$4:$W$603,280)="","记-"&amp;TEXT($B1469,"YYYYMM")&amp;"-资金",INDEX(资金日记账!$W$4:$W$603,280)))</f>
        <v/>
      </c>
      <c r="D1469" s="32" t="str">
        <f>IF($E1469="","",INDEX(资金日记账!$D$4:$D$603,280))</f>
        <v/>
      </c>
      <c r="E1469" s="26" t="str">
        <f>IF(INDEX(资金日记账!$N$4:$S$603,280,4)=0,"",INDEX(资金日记账!$N$4:$S$603,280,4))</f>
        <v/>
      </c>
      <c r="F1469" s="25" t="str">
        <f>IF($E1469="","",IFERROR(INDEX(科目表!$A$4:$A$81,MATCH($E1469,科目表!$B$4:$B$81,0)),""))</f>
        <v/>
      </c>
      <c r="G1469" s="26" t="str">
        <f>IF($E1469="","",IFERROR(INDEX(科目表!$E$4:$E$81,MATCH($E1469,科目表!$B$4:$B$81,0)),""))</f>
        <v/>
      </c>
      <c r="H1469" s="27" t="str">
        <f>IF($E1469="","",N(INDEX(资金日记账!$N$4:$S$603,280,5)))</f>
        <v/>
      </c>
      <c r="I1469" s="27" t="str">
        <f>IF($E1469="","",N(INDEX(资金日记账!$N$4:$S$603,280,6)))</f>
        <v/>
      </c>
      <c r="J1469" s="26" t="str">
        <f>IF($E1469="","",INDEX(资金日记账!$E$4:$E$603,280))</f>
        <v/>
      </c>
      <c r="K1469" s="26" t="str">
        <f>IF($E1469="","",INDEX(资金日记账!$F$4:$F$603,280))</f>
        <v/>
      </c>
      <c r="L1469" s="32" t="str">
        <f>IF($E1469="","",INDEX(资金日记账!$X$4:$X$603,280))</f>
        <v/>
      </c>
      <c r="M1469" s="32"/>
      <c r="N1469" s="26" t="str">
        <f>IF($E1469="","",INDEX(资金日记账!$Y$4:$Y$603,280))</f>
        <v/>
      </c>
      <c r="O1469" s="26" t="str">
        <f t="shared" si="76"/>
        <v/>
      </c>
      <c r="P1469" s="10"/>
    </row>
    <row r="1470" ht="18" customHeight="1" spans="1:16">
      <c r="A1470" s="32" t="str">
        <f t="shared" si="75"/>
        <v/>
      </c>
      <c r="B1470" s="100" t="str">
        <f>IF($E1470="","",INDEX(资金日记账!$B$4:$B$603,281))</f>
        <v/>
      </c>
      <c r="C1470" s="26" t="str">
        <f>IF($E1470="","",IF(INDEX(资金日记账!$W$4:$W$603,281)="","记-"&amp;TEXT($B1470,"YYYYMM")&amp;"-资金",INDEX(资金日记账!$W$4:$W$603,281)))</f>
        <v/>
      </c>
      <c r="D1470" s="32" t="str">
        <f>IF($E1470="","",INDEX(资金日记账!$D$4:$D$603,281))</f>
        <v/>
      </c>
      <c r="E1470" s="26" t="str">
        <f>IF(INDEX(资金日记账!$N$4:$S$603,281,1)=0,"",INDEX(资金日记账!$N$4:$S$603,281,1))</f>
        <v/>
      </c>
      <c r="F1470" s="25" t="str">
        <f>IF($E1470="","",IFERROR(INDEX(科目表!$A$4:$A$81,MATCH($E1470,科目表!$B$4:$B$81,0)),""))</f>
        <v/>
      </c>
      <c r="G1470" s="26" t="str">
        <f>IF($E1470="","",IFERROR(INDEX(科目表!$E$4:$E$81,MATCH($E1470,科目表!$B$4:$B$81,0)),""))</f>
        <v/>
      </c>
      <c r="H1470" s="27" t="str">
        <f>IF($E1470="","",N(INDEX(资金日记账!$N$4:$S$603,281,2)))</f>
        <v/>
      </c>
      <c r="I1470" s="27" t="str">
        <f>IF($E1470="","",N(INDEX(资金日记账!$N$4:$S$603,281,3)))</f>
        <v/>
      </c>
      <c r="J1470" s="26" t="str">
        <f>IF($E1470="","",INDEX(资金日记账!$E$4:$E$603,281))</f>
        <v/>
      </c>
      <c r="K1470" s="26" t="str">
        <f>IF($E1470="","",INDEX(资金日记账!$F$4:$F$603,281))</f>
        <v/>
      </c>
      <c r="L1470" s="32" t="str">
        <f>IF($E1470="","",INDEX(资金日记账!$X$4:$X$603,281))</f>
        <v/>
      </c>
      <c r="M1470" s="32"/>
      <c r="N1470" s="26" t="str">
        <f>IF($E1470="","",INDEX(资金日记账!$Y$4:$Y$603,281))</f>
        <v/>
      </c>
      <c r="O1470" s="26" t="str">
        <f t="shared" si="76"/>
        <v/>
      </c>
      <c r="P1470" s="10"/>
    </row>
    <row r="1471" ht="18" customHeight="1" spans="1:16">
      <c r="A1471" s="32" t="str">
        <f t="shared" si="75"/>
        <v/>
      </c>
      <c r="B1471" s="100" t="str">
        <f>IF($E1471="","",INDEX(资金日记账!$B$4:$B$603,281))</f>
        <v/>
      </c>
      <c r="C1471" s="26" t="str">
        <f>IF($E1471="","",IF(INDEX(资金日记账!$W$4:$W$603,281)="","记-"&amp;TEXT($B1471,"YYYYMM")&amp;"-资金",INDEX(资金日记账!$W$4:$W$603,281)))</f>
        <v/>
      </c>
      <c r="D1471" s="32" t="str">
        <f>IF($E1471="","",INDEX(资金日记账!$D$4:$D$603,281))</f>
        <v/>
      </c>
      <c r="E1471" s="26" t="str">
        <f>IF(INDEX(资金日记账!$N$4:$S$603,281,4)=0,"",INDEX(资金日记账!$N$4:$S$603,281,4))</f>
        <v/>
      </c>
      <c r="F1471" s="25" t="str">
        <f>IF($E1471="","",IFERROR(INDEX(科目表!$A$4:$A$81,MATCH($E1471,科目表!$B$4:$B$81,0)),""))</f>
        <v/>
      </c>
      <c r="G1471" s="26" t="str">
        <f>IF($E1471="","",IFERROR(INDEX(科目表!$E$4:$E$81,MATCH($E1471,科目表!$B$4:$B$81,0)),""))</f>
        <v/>
      </c>
      <c r="H1471" s="27" t="str">
        <f>IF($E1471="","",N(INDEX(资金日记账!$N$4:$S$603,281,5)))</f>
        <v/>
      </c>
      <c r="I1471" s="27" t="str">
        <f>IF($E1471="","",N(INDEX(资金日记账!$N$4:$S$603,281,6)))</f>
        <v/>
      </c>
      <c r="J1471" s="26" t="str">
        <f>IF($E1471="","",INDEX(资金日记账!$E$4:$E$603,281))</f>
        <v/>
      </c>
      <c r="K1471" s="26" t="str">
        <f>IF($E1471="","",INDEX(资金日记账!$F$4:$F$603,281))</f>
        <v/>
      </c>
      <c r="L1471" s="32" t="str">
        <f>IF($E1471="","",INDEX(资金日记账!$X$4:$X$603,281))</f>
        <v/>
      </c>
      <c r="M1471" s="32"/>
      <c r="N1471" s="26" t="str">
        <f>IF($E1471="","",INDEX(资金日记账!$Y$4:$Y$603,281))</f>
        <v/>
      </c>
      <c r="O1471" s="26" t="str">
        <f t="shared" si="76"/>
        <v/>
      </c>
      <c r="P1471" s="10"/>
    </row>
    <row r="1472" ht="18" customHeight="1" spans="1:16">
      <c r="A1472" s="32" t="str">
        <f t="shared" si="75"/>
        <v/>
      </c>
      <c r="B1472" s="100" t="str">
        <f>IF($E1472="","",INDEX(资金日记账!$B$4:$B$603,282))</f>
        <v/>
      </c>
      <c r="C1472" s="26" t="str">
        <f>IF($E1472="","",IF(INDEX(资金日记账!$W$4:$W$603,282)="","记-"&amp;TEXT($B1472,"YYYYMM")&amp;"-资金",INDEX(资金日记账!$W$4:$W$603,282)))</f>
        <v/>
      </c>
      <c r="D1472" s="32" t="str">
        <f>IF($E1472="","",INDEX(资金日记账!$D$4:$D$603,282))</f>
        <v/>
      </c>
      <c r="E1472" s="26" t="str">
        <f>IF(INDEX(资金日记账!$N$4:$S$603,282,1)=0,"",INDEX(资金日记账!$N$4:$S$603,282,1))</f>
        <v/>
      </c>
      <c r="F1472" s="25" t="str">
        <f>IF($E1472="","",IFERROR(INDEX(科目表!$A$4:$A$81,MATCH($E1472,科目表!$B$4:$B$81,0)),""))</f>
        <v/>
      </c>
      <c r="G1472" s="26" t="str">
        <f>IF($E1472="","",IFERROR(INDEX(科目表!$E$4:$E$81,MATCH($E1472,科目表!$B$4:$B$81,0)),""))</f>
        <v/>
      </c>
      <c r="H1472" s="27" t="str">
        <f>IF($E1472="","",N(INDEX(资金日记账!$N$4:$S$603,282,2)))</f>
        <v/>
      </c>
      <c r="I1472" s="27" t="str">
        <f>IF($E1472="","",N(INDEX(资金日记账!$N$4:$S$603,282,3)))</f>
        <v/>
      </c>
      <c r="J1472" s="26" t="str">
        <f>IF($E1472="","",INDEX(资金日记账!$E$4:$E$603,282))</f>
        <v/>
      </c>
      <c r="K1472" s="26" t="str">
        <f>IF($E1472="","",INDEX(资金日记账!$F$4:$F$603,282))</f>
        <v/>
      </c>
      <c r="L1472" s="32" t="str">
        <f>IF($E1472="","",INDEX(资金日记账!$X$4:$X$603,282))</f>
        <v/>
      </c>
      <c r="M1472" s="32"/>
      <c r="N1472" s="26" t="str">
        <f>IF($E1472="","",INDEX(资金日记账!$Y$4:$Y$603,282))</f>
        <v/>
      </c>
      <c r="O1472" s="26" t="str">
        <f t="shared" si="76"/>
        <v/>
      </c>
      <c r="P1472" s="10"/>
    </row>
    <row r="1473" ht="18" customHeight="1" spans="1:16">
      <c r="A1473" s="32" t="str">
        <f t="shared" si="75"/>
        <v/>
      </c>
      <c r="B1473" s="100" t="str">
        <f>IF($E1473="","",INDEX(资金日记账!$B$4:$B$603,282))</f>
        <v/>
      </c>
      <c r="C1473" s="26" t="str">
        <f>IF($E1473="","",IF(INDEX(资金日记账!$W$4:$W$603,282)="","记-"&amp;TEXT($B1473,"YYYYMM")&amp;"-资金",INDEX(资金日记账!$W$4:$W$603,282)))</f>
        <v/>
      </c>
      <c r="D1473" s="32" t="str">
        <f>IF($E1473="","",INDEX(资金日记账!$D$4:$D$603,282))</f>
        <v/>
      </c>
      <c r="E1473" s="26" t="str">
        <f>IF(INDEX(资金日记账!$N$4:$S$603,282,4)=0,"",INDEX(资金日记账!$N$4:$S$603,282,4))</f>
        <v/>
      </c>
      <c r="F1473" s="25" t="str">
        <f>IF($E1473="","",IFERROR(INDEX(科目表!$A$4:$A$81,MATCH($E1473,科目表!$B$4:$B$81,0)),""))</f>
        <v/>
      </c>
      <c r="G1473" s="26" t="str">
        <f>IF($E1473="","",IFERROR(INDEX(科目表!$E$4:$E$81,MATCH($E1473,科目表!$B$4:$B$81,0)),""))</f>
        <v/>
      </c>
      <c r="H1473" s="27" t="str">
        <f>IF($E1473="","",N(INDEX(资金日记账!$N$4:$S$603,282,5)))</f>
        <v/>
      </c>
      <c r="I1473" s="27" t="str">
        <f>IF($E1473="","",N(INDEX(资金日记账!$N$4:$S$603,282,6)))</f>
        <v/>
      </c>
      <c r="J1473" s="26" t="str">
        <f>IF($E1473="","",INDEX(资金日记账!$E$4:$E$603,282))</f>
        <v/>
      </c>
      <c r="K1473" s="26" t="str">
        <f>IF($E1473="","",INDEX(资金日记账!$F$4:$F$603,282))</f>
        <v/>
      </c>
      <c r="L1473" s="32" t="str">
        <f>IF($E1473="","",INDEX(资金日记账!$X$4:$X$603,282))</f>
        <v/>
      </c>
      <c r="M1473" s="32"/>
      <c r="N1473" s="26" t="str">
        <f>IF($E1473="","",INDEX(资金日记账!$Y$4:$Y$603,282))</f>
        <v/>
      </c>
      <c r="O1473" s="26" t="str">
        <f t="shared" si="76"/>
        <v/>
      </c>
      <c r="P1473" s="10"/>
    </row>
    <row r="1474" ht="18" customHeight="1" spans="1:16">
      <c r="A1474" s="32" t="str">
        <f t="shared" si="75"/>
        <v/>
      </c>
      <c r="B1474" s="100" t="str">
        <f>IF($E1474="","",INDEX(资金日记账!$B$4:$B$603,283))</f>
        <v/>
      </c>
      <c r="C1474" s="26" t="str">
        <f>IF($E1474="","",IF(INDEX(资金日记账!$W$4:$W$603,283)="","记-"&amp;TEXT($B1474,"YYYYMM")&amp;"-资金",INDEX(资金日记账!$W$4:$W$603,283)))</f>
        <v/>
      </c>
      <c r="D1474" s="32" t="str">
        <f>IF($E1474="","",INDEX(资金日记账!$D$4:$D$603,283))</f>
        <v/>
      </c>
      <c r="E1474" s="26" t="str">
        <f>IF(INDEX(资金日记账!$N$4:$S$603,283,1)=0,"",INDEX(资金日记账!$N$4:$S$603,283,1))</f>
        <v/>
      </c>
      <c r="F1474" s="25" t="str">
        <f>IF($E1474="","",IFERROR(INDEX(科目表!$A$4:$A$81,MATCH($E1474,科目表!$B$4:$B$81,0)),""))</f>
        <v/>
      </c>
      <c r="G1474" s="26" t="str">
        <f>IF($E1474="","",IFERROR(INDEX(科目表!$E$4:$E$81,MATCH($E1474,科目表!$B$4:$B$81,0)),""))</f>
        <v/>
      </c>
      <c r="H1474" s="27" t="str">
        <f>IF($E1474="","",N(INDEX(资金日记账!$N$4:$S$603,283,2)))</f>
        <v/>
      </c>
      <c r="I1474" s="27" t="str">
        <f>IF($E1474="","",N(INDEX(资金日记账!$N$4:$S$603,283,3)))</f>
        <v/>
      </c>
      <c r="J1474" s="26" t="str">
        <f>IF($E1474="","",INDEX(资金日记账!$E$4:$E$603,283))</f>
        <v/>
      </c>
      <c r="K1474" s="26" t="str">
        <f>IF($E1474="","",INDEX(资金日记账!$F$4:$F$603,283))</f>
        <v/>
      </c>
      <c r="L1474" s="32" t="str">
        <f>IF($E1474="","",INDEX(资金日记账!$X$4:$X$603,283))</f>
        <v/>
      </c>
      <c r="M1474" s="32"/>
      <c r="N1474" s="26" t="str">
        <f>IF($E1474="","",INDEX(资金日记账!$Y$4:$Y$603,283))</f>
        <v/>
      </c>
      <c r="O1474" s="26" t="str">
        <f t="shared" si="76"/>
        <v/>
      </c>
      <c r="P1474" s="10"/>
    </row>
    <row r="1475" ht="18" customHeight="1" spans="1:16">
      <c r="A1475" s="32" t="str">
        <f t="shared" si="75"/>
        <v/>
      </c>
      <c r="B1475" s="100" t="str">
        <f>IF($E1475="","",INDEX(资金日记账!$B$4:$B$603,283))</f>
        <v/>
      </c>
      <c r="C1475" s="26" t="str">
        <f>IF($E1475="","",IF(INDEX(资金日记账!$W$4:$W$603,283)="","记-"&amp;TEXT($B1475,"YYYYMM")&amp;"-资金",INDEX(资金日记账!$W$4:$W$603,283)))</f>
        <v/>
      </c>
      <c r="D1475" s="32" t="str">
        <f>IF($E1475="","",INDEX(资金日记账!$D$4:$D$603,283))</f>
        <v/>
      </c>
      <c r="E1475" s="26" t="str">
        <f>IF(INDEX(资金日记账!$N$4:$S$603,283,4)=0,"",INDEX(资金日记账!$N$4:$S$603,283,4))</f>
        <v/>
      </c>
      <c r="F1475" s="25" t="str">
        <f>IF($E1475="","",IFERROR(INDEX(科目表!$A$4:$A$81,MATCH($E1475,科目表!$B$4:$B$81,0)),""))</f>
        <v/>
      </c>
      <c r="G1475" s="26" t="str">
        <f>IF($E1475="","",IFERROR(INDEX(科目表!$E$4:$E$81,MATCH($E1475,科目表!$B$4:$B$81,0)),""))</f>
        <v/>
      </c>
      <c r="H1475" s="27" t="str">
        <f>IF($E1475="","",N(INDEX(资金日记账!$N$4:$S$603,283,5)))</f>
        <v/>
      </c>
      <c r="I1475" s="27" t="str">
        <f>IF($E1475="","",N(INDEX(资金日记账!$N$4:$S$603,283,6)))</f>
        <v/>
      </c>
      <c r="J1475" s="26" t="str">
        <f>IF($E1475="","",INDEX(资金日记账!$E$4:$E$603,283))</f>
        <v/>
      </c>
      <c r="K1475" s="26" t="str">
        <f>IF($E1475="","",INDEX(资金日记账!$F$4:$F$603,283))</f>
        <v/>
      </c>
      <c r="L1475" s="32" t="str">
        <f>IF($E1475="","",INDEX(资金日记账!$X$4:$X$603,283))</f>
        <v/>
      </c>
      <c r="M1475" s="32"/>
      <c r="N1475" s="26" t="str">
        <f>IF($E1475="","",INDEX(资金日记账!$Y$4:$Y$603,283))</f>
        <v/>
      </c>
      <c r="O1475" s="26" t="str">
        <f t="shared" si="76"/>
        <v/>
      </c>
      <c r="P1475" s="10"/>
    </row>
    <row r="1476" ht="18" customHeight="1" spans="1:16">
      <c r="A1476" s="32" t="str">
        <f t="shared" ref="A1476:A1539" si="77">IF($E1476="","",ROW()-3)</f>
        <v/>
      </c>
      <c r="B1476" s="100" t="str">
        <f>IF($E1476="","",INDEX(资金日记账!$B$4:$B$603,284))</f>
        <v/>
      </c>
      <c r="C1476" s="26" t="str">
        <f>IF($E1476="","",IF(INDEX(资金日记账!$W$4:$W$603,284)="","记-"&amp;TEXT($B1476,"YYYYMM")&amp;"-资金",INDEX(资金日记账!$W$4:$W$603,284)))</f>
        <v/>
      </c>
      <c r="D1476" s="32" t="str">
        <f>IF($E1476="","",INDEX(资金日记账!$D$4:$D$603,284))</f>
        <v/>
      </c>
      <c r="E1476" s="26" t="str">
        <f>IF(INDEX(资金日记账!$N$4:$S$603,284,1)=0,"",INDEX(资金日记账!$N$4:$S$603,284,1))</f>
        <v/>
      </c>
      <c r="F1476" s="25" t="str">
        <f>IF($E1476="","",IFERROR(INDEX(科目表!$A$4:$A$81,MATCH($E1476,科目表!$B$4:$B$81,0)),""))</f>
        <v/>
      </c>
      <c r="G1476" s="26" t="str">
        <f>IF($E1476="","",IFERROR(INDEX(科目表!$E$4:$E$81,MATCH($E1476,科目表!$B$4:$B$81,0)),""))</f>
        <v/>
      </c>
      <c r="H1476" s="27" t="str">
        <f>IF($E1476="","",N(INDEX(资金日记账!$N$4:$S$603,284,2)))</f>
        <v/>
      </c>
      <c r="I1476" s="27" t="str">
        <f>IF($E1476="","",N(INDEX(资金日记账!$N$4:$S$603,284,3)))</f>
        <v/>
      </c>
      <c r="J1476" s="26" t="str">
        <f>IF($E1476="","",INDEX(资金日记账!$E$4:$E$603,284))</f>
        <v/>
      </c>
      <c r="K1476" s="26" t="str">
        <f>IF($E1476="","",INDEX(资金日记账!$F$4:$F$603,284))</f>
        <v/>
      </c>
      <c r="L1476" s="32" t="str">
        <f>IF($E1476="","",INDEX(资金日记账!$X$4:$X$603,284))</f>
        <v/>
      </c>
      <c r="M1476" s="32"/>
      <c r="N1476" s="26" t="str">
        <f>IF($E1476="","",INDEX(资金日记账!$Y$4:$Y$603,284))</f>
        <v/>
      </c>
      <c r="O1476" s="26" t="str">
        <f t="shared" si="76"/>
        <v/>
      </c>
      <c r="P1476" s="10"/>
    </row>
    <row r="1477" ht="18" customHeight="1" spans="1:16">
      <c r="A1477" s="32" t="str">
        <f t="shared" si="77"/>
        <v/>
      </c>
      <c r="B1477" s="100" t="str">
        <f>IF($E1477="","",INDEX(资金日记账!$B$4:$B$603,284))</f>
        <v/>
      </c>
      <c r="C1477" s="26" t="str">
        <f>IF($E1477="","",IF(INDEX(资金日记账!$W$4:$W$603,284)="","记-"&amp;TEXT($B1477,"YYYYMM")&amp;"-资金",INDEX(资金日记账!$W$4:$W$603,284)))</f>
        <v/>
      </c>
      <c r="D1477" s="32" t="str">
        <f>IF($E1477="","",INDEX(资金日记账!$D$4:$D$603,284))</f>
        <v/>
      </c>
      <c r="E1477" s="26" t="str">
        <f>IF(INDEX(资金日记账!$N$4:$S$603,284,4)=0,"",INDEX(资金日记账!$N$4:$S$603,284,4))</f>
        <v/>
      </c>
      <c r="F1477" s="25" t="str">
        <f>IF($E1477="","",IFERROR(INDEX(科目表!$A$4:$A$81,MATCH($E1477,科目表!$B$4:$B$81,0)),""))</f>
        <v/>
      </c>
      <c r="G1477" s="26" t="str">
        <f>IF($E1477="","",IFERROR(INDEX(科目表!$E$4:$E$81,MATCH($E1477,科目表!$B$4:$B$81,0)),""))</f>
        <v/>
      </c>
      <c r="H1477" s="27" t="str">
        <f>IF($E1477="","",N(INDEX(资金日记账!$N$4:$S$603,284,5)))</f>
        <v/>
      </c>
      <c r="I1477" s="27" t="str">
        <f>IF($E1477="","",N(INDEX(资金日记账!$N$4:$S$603,284,6)))</f>
        <v/>
      </c>
      <c r="J1477" s="26" t="str">
        <f>IF($E1477="","",INDEX(资金日记账!$E$4:$E$603,284))</f>
        <v/>
      </c>
      <c r="K1477" s="26" t="str">
        <f>IF($E1477="","",INDEX(资金日记账!$F$4:$F$603,284))</f>
        <v/>
      </c>
      <c r="L1477" s="32" t="str">
        <f>IF($E1477="","",INDEX(资金日记账!$X$4:$X$603,284))</f>
        <v/>
      </c>
      <c r="M1477" s="32"/>
      <c r="N1477" s="26" t="str">
        <f>IF($E1477="","",INDEX(资金日记账!$Y$4:$Y$603,284))</f>
        <v/>
      </c>
      <c r="O1477" s="26" t="str">
        <f t="shared" si="76"/>
        <v/>
      </c>
      <c r="P1477" s="10"/>
    </row>
    <row r="1478" ht="18" customHeight="1" spans="1:16">
      <c r="A1478" s="32" t="str">
        <f t="shared" si="77"/>
        <v/>
      </c>
      <c r="B1478" s="100" t="str">
        <f>IF($E1478="","",INDEX(资金日记账!$B$4:$B$603,285))</f>
        <v/>
      </c>
      <c r="C1478" s="26" t="str">
        <f>IF($E1478="","",IF(INDEX(资金日记账!$W$4:$W$603,285)="","记-"&amp;TEXT($B1478,"YYYYMM")&amp;"-资金",INDEX(资金日记账!$W$4:$W$603,285)))</f>
        <v/>
      </c>
      <c r="D1478" s="32" t="str">
        <f>IF($E1478="","",INDEX(资金日记账!$D$4:$D$603,285))</f>
        <v/>
      </c>
      <c r="E1478" s="26" t="str">
        <f>IF(INDEX(资金日记账!$N$4:$S$603,285,1)=0,"",INDEX(资金日记账!$N$4:$S$603,285,1))</f>
        <v/>
      </c>
      <c r="F1478" s="25" t="str">
        <f>IF($E1478="","",IFERROR(INDEX(科目表!$A$4:$A$81,MATCH($E1478,科目表!$B$4:$B$81,0)),""))</f>
        <v/>
      </c>
      <c r="G1478" s="26" t="str">
        <f>IF($E1478="","",IFERROR(INDEX(科目表!$E$4:$E$81,MATCH($E1478,科目表!$B$4:$B$81,0)),""))</f>
        <v/>
      </c>
      <c r="H1478" s="27" t="str">
        <f>IF($E1478="","",N(INDEX(资金日记账!$N$4:$S$603,285,2)))</f>
        <v/>
      </c>
      <c r="I1478" s="27" t="str">
        <f>IF($E1478="","",N(INDEX(资金日记账!$N$4:$S$603,285,3)))</f>
        <v/>
      </c>
      <c r="J1478" s="26" t="str">
        <f>IF($E1478="","",INDEX(资金日记账!$E$4:$E$603,285))</f>
        <v/>
      </c>
      <c r="K1478" s="26" t="str">
        <f>IF($E1478="","",INDEX(资金日记账!$F$4:$F$603,285))</f>
        <v/>
      </c>
      <c r="L1478" s="32" t="str">
        <f>IF($E1478="","",INDEX(资金日记账!$X$4:$X$603,285))</f>
        <v/>
      </c>
      <c r="M1478" s="32"/>
      <c r="N1478" s="26" t="str">
        <f>IF($E1478="","",INDEX(资金日记账!$Y$4:$Y$603,285))</f>
        <v/>
      </c>
      <c r="O1478" s="26" t="str">
        <f t="shared" si="76"/>
        <v/>
      </c>
      <c r="P1478" s="10"/>
    </row>
    <row r="1479" ht="18" customHeight="1" spans="1:16">
      <c r="A1479" s="32" t="str">
        <f t="shared" si="77"/>
        <v/>
      </c>
      <c r="B1479" s="100" t="str">
        <f>IF($E1479="","",INDEX(资金日记账!$B$4:$B$603,285))</f>
        <v/>
      </c>
      <c r="C1479" s="26" t="str">
        <f>IF($E1479="","",IF(INDEX(资金日记账!$W$4:$W$603,285)="","记-"&amp;TEXT($B1479,"YYYYMM")&amp;"-资金",INDEX(资金日记账!$W$4:$W$603,285)))</f>
        <v/>
      </c>
      <c r="D1479" s="32" t="str">
        <f>IF($E1479="","",INDEX(资金日记账!$D$4:$D$603,285))</f>
        <v/>
      </c>
      <c r="E1479" s="26" t="str">
        <f>IF(INDEX(资金日记账!$N$4:$S$603,285,4)=0,"",INDEX(资金日记账!$N$4:$S$603,285,4))</f>
        <v/>
      </c>
      <c r="F1479" s="25" t="str">
        <f>IF($E1479="","",IFERROR(INDEX(科目表!$A$4:$A$81,MATCH($E1479,科目表!$B$4:$B$81,0)),""))</f>
        <v/>
      </c>
      <c r="G1479" s="26" t="str">
        <f>IF($E1479="","",IFERROR(INDEX(科目表!$E$4:$E$81,MATCH($E1479,科目表!$B$4:$B$81,0)),""))</f>
        <v/>
      </c>
      <c r="H1479" s="27" t="str">
        <f>IF($E1479="","",N(INDEX(资金日记账!$N$4:$S$603,285,5)))</f>
        <v/>
      </c>
      <c r="I1479" s="27" t="str">
        <f>IF($E1479="","",N(INDEX(资金日记账!$N$4:$S$603,285,6)))</f>
        <v/>
      </c>
      <c r="J1479" s="26" t="str">
        <f>IF($E1479="","",INDEX(资金日记账!$E$4:$E$603,285))</f>
        <v/>
      </c>
      <c r="K1479" s="26" t="str">
        <f>IF($E1479="","",INDEX(资金日记账!$F$4:$F$603,285))</f>
        <v/>
      </c>
      <c r="L1479" s="32" t="str">
        <f>IF($E1479="","",INDEX(资金日记账!$X$4:$X$603,285))</f>
        <v/>
      </c>
      <c r="M1479" s="32"/>
      <c r="N1479" s="26" t="str">
        <f>IF($E1479="","",INDEX(资金日记账!$Y$4:$Y$603,285))</f>
        <v/>
      </c>
      <c r="O1479" s="26" t="str">
        <f t="shared" si="76"/>
        <v/>
      </c>
      <c r="P1479" s="10"/>
    </row>
    <row r="1480" ht="18" customHeight="1" spans="1:16">
      <c r="A1480" s="32" t="str">
        <f t="shared" si="77"/>
        <v/>
      </c>
      <c r="B1480" s="100" t="str">
        <f>IF($E1480="","",INDEX(资金日记账!$B$4:$B$603,286))</f>
        <v/>
      </c>
      <c r="C1480" s="26" t="str">
        <f>IF($E1480="","",IF(INDEX(资金日记账!$W$4:$W$603,286)="","记-"&amp;TEXT($B1480,"YYYYMM")&amp;"-资金",INDEX(资金日记账!$W$4:$W$603,286)))</f>
        <v/>
      </c>
      <c r="D1480" s="32" t="str">
        <f>IF($E1480="","",INDEX(资金日记账!$D$4:$D$603,286))</f>
        <v/>
      </c>
      <c r="E1480" s="26" t="str">
        <f>IF(INDEX(资金日记账!$N$4:$S$603,286,1)=0,"",INDEX(资金日记账!$N$4:$S$603,286,1))</f>
        <v/>
      </c>
      <c r="F1480" s="25" t="str">
        <f>IF($E1480="","",IFERROR(INDEX(科目表!$A$4:$A$81,MATCH($E1480,科目表!$B$4:$B$81,0)),""))</f>
        <v/>
      </c>
      <c r="G1480" s="26" t="str">
        <f>IF($E1480="","",IFERROR(INDEX(科目表!$E$4:$E$81,MATCH($E1480,科目表!$B$4:$B$81,0)),""))</f>
        <v/>
      </c>
      <c r="H1480" s="27" t="str">
        <f>IF($E1480="","",N(INDEX(资金日记账!$N$4:$S$603,286,2)))</f>
        <v/>
      </c>
      <c r="I1480" s="27" t="str">
        <f>IF($E1480="","",N(INDEX(资金日记账!$N$4:$S$603,286,3)))</f>
        <v/>
      </c>
      <c r="J1480" s="26" t="str">
        <f>IF($E1480="","",INDEX(资金日记账!$E$4:$E$603,286))</f>
        <v/>
      </c>
      <c r="K1480" s="26" t="str">
        <f>IF($E1480="","",INDEX(资金日记账!$F$4:$F$603,286))</f>
        <v/>
      </c>
      <c r="L1480" s="32" t="str">
        <f>IF($E1480="","",INDEX(资金日记账!$X$4:$X$603,286))</f>
        <v/>
      </c>
      <c r="M1480" s="32"/>
      <c r="N1480" s="26" t="str">
        <f>IF($E1480="","",INDEX(资金日记账!$Y$4:$Y$603,286))</f>
        <v/>
      </c>
      <c r="O1480" s="26" t="str">
        <f t="shared" si="76"/>
        <v/>
      </c>
      <c r="P1480" s="10"/>
    </row>
    <row r="1481" ht="18" customHeight="1" spans="1:16">
      <c r="A1481" s="32" t="str">
        <f t="shared" si="77"/>
        <v/>
      </c>
      <c r="B1481" s="100" t="str">
        <f>IF($E1481="","",INDEX(资金日记账!$B$4:$B$603,286))</f>
        <v/>
      </c>
      <c r="C1481" s="26" t="str">
        <f>IF($E1481="","",IF(INDEX(资金日记账!$W$4:$W$603,286)="","记-"&amp;TEXT($B1481,"YYYYMM")&amp;"-资金",INDEX(资金日记账!$W$4:$W$603,286)))</f>
        <v/>
      </c>
      <c r="D1481" s="32" t="str">
        <f>IF($E1481="","",INDEX(资金日记账!$D$4:$D$603,286))</f>
        <v/>
      </c>
      <c r="E1481" s="26" t="str">
        <f>IF(INDEX(资金日记账!$N$4:$S$603,286,4)=0,"",INDEX(资金日记账!$N$4:$S$603,286,4))</f>
        <v/>
      </c>
      <c r="F1481" s="25" t="str">
        <f>IF($E1481="","",IFERROR(INDEX(科目表!$A$4:$A$81,MATCH($E1481,科目表!$B$4:$B$81,0)),""))</f>
        <v/>
      </c>
      <c r="G1481" s="26" t="str">
        <f>IF($E1481="","",IFERROR(INDEX(科目表!$E$4:$E$81,MATCH($E1481,科目表!$B$4:$B$81,0)),""))</f>
        <v/>
      </c>
      <c r="H1481" s="27" t="str">
        <f>IF($E1481="","",N(INDEX(资金日记账!$N$4:$S$603,286,5)))</f>
        <v/>
      </c>
      <c r="I1481" s="27" t="str">
        <f>IF($E1481="","",N(INDEX(资金日记账!$N$4:$S$603,286,6)))</f>
        <v/>
      </c>
      <c r="J1481" s="26" t="str">
        <f>IF($E1481="","",INDEX(资金日记账!$E$4:$E$603,286))</f>
        <v/>
      </c>
      <c r="K1481" s="26" t="str">
        <f>IF($E1481="","",INDEX(资金日记账!$F$4:$F$603,286))</f>
        <v/>
      </c>
      <c r="L1481" s="32" t="str">
        <f>IF($E1481="","",INDEX(资金日记账!$X$4:$X$603,286))</f>
        <v/>
      </c>
      <c r="M1481" s="32"/>
      <c r="N1481" s="26" t="str">
        <f>IF($E1481="","",INDEX(资金日记账!$Y$4:$Y$603,286))</f>
        <v/>
      </c>
      <c r="O1481" s="26" t="str">
        <f t="shared" si="76"/>
        <v/>
      </c>
      <c r="P1481" s="10"/>
    </row>
    <row r="1482" ht="18" customHeight="1" spans="1:16">
      <c r="A1482" s="32" t="str">
        <f t="shared" si="77"/>
        <v/>
      </c>
      <c r="B1482" s="100" t="str">
        <f>IF($E1482="","",INDEX(资金日记账!$B$4:$B$603,287))</f>
        <v/>
      </c>
      <c r="C1482" s="26" t="str">
        <f>IF($E1482="","",IF(INDEX(资金日记账!$W$4:$W$603,287)="","记-"&amp;TEXT($B1482,"YYYYMM")&amp;"-资金",INDEX(资金日记账!$W$4:$W$603,287)))</f>
        <v/>
      </c>
      <c r="D1482" s="32" t="str">
        <f>IF($E1482="","",INDEX(资金日记账!$D$4:$D$603,287))</f>
        <v/>
      </c>
      <c r="E1482" s="26" t="str">
        <f>IF(INDEX(资金日记账!$N$4:$S$603,287,1)=0,"",INDEX(资金日记账!$N$4:$S$603,287,1))</f>
        <v/>
      </c>
      <c r="F1482" s="25" t="str">
        <f>IF($E1482="","",IFERROR(INDEX(科目表!$A$4:$A$81,MATCH($E1482,科目表!$B$4:$B$81,0)),""))</f>
        <v/>
      </c>
      <c r="G1482" s="26" t="str">
        <f>IF($E1482="","",IFERROR(INDEX(科目表!$E$4:$E$81,MATCH($E1482,科目表!$B$4:$B$81,0)),""))</f>
        <v/>
      </c>
      <c r="H1482" s="27" t="str">
        <f>IF($E1482="","",N(INDEX(资金日记账!$N$4:$S$603,287,2)))</f>
        <v/>
      </c>
      <c r="I1482" s="27" t="str">
        <f>IF($E1482="","",N(INDEX(资金日记账!$N$4:$S$603,287,3)))</f>
        <v/>
      </c>
      <c r="J1482" s="26" t="str">
        <f>IF($E1482="","",INDEX(资金日记账!$E$4:$E$603,287))</f>
        <v/>
      </c>
      <c r="K1482" s="26" t="str">
        <f>IF($E1482="","",INDEX(资金日记账!$F$4:$F$603,287))</f>
        <v/>
      </c>
      <c r="L1482" s="32" t="str">
        <f>IF($E1482="","",INDEX(资金日记账!$X$4:$X$603,287))</f>
        <v/>
      </c>
      <c r="M1482" s="32"/>
      <c r="N1482" s="26" t="str">
        <f>IF($E1482="","",INDEX(资金日记账!$Y$4:$Y$603,287))</f>
        <v/>
      </c>
      <c r="O1482" s="26" t="str">
        <f t="shared" si="76"/>
        <v/>
      </c>
      <c r="P1482" s="10"/>
    </row>
    <row r="1483" ht="18" customHeight="1" spans="1:16">
      <c r="A1483" s="32" t="str">
        <f t="shared" si="77"/>
        <v/>
      </c>
      <c r="B1483" s="100" t="str">
        <f>IF($E1483="","",INDEX(资金日记账!$B$4:$B$603,287))</f>
        <v/>
      </c>
      <c r="C1483" s="26" t="str">
        <f>IF($E1483="","",IF(INDEX(资金日记账!$W$4:$W$603,287)="","记-"&amp;TEXT($B1483,"YYYYMM")&amp;"-资金",INDEX(资金日记账!$W$4:$W$603,287)))</f>
        <v/>
      </c>
      <c r="D1483" s="32" t="str">
        <f>IF($E1483="","",INDEX(资金日记账!$D$4:$D$603,287))</f>
        <v/>
      </c>
      <c r="E1483" s="26" t="str">
        <f>IF(INDEX(资金日记账!$N$4:$S$603,287,4)=0,"",INDEX(资金日记账!$N$4:$S$603,287,4))</f>
        <v/>
      </c>
      <c r="F1483" s="25" t="str">
        <f>IF($E1483="","",IFERROR(INDEX(科目表!$A$4:$A$81,MATCH($E1483,科目表!$B$4:$B$81,0)),""))</f>
        <v/>
      </c>
      <c r="G1483" s="26" t="str">
        <f>IF($E1483="","",IFERROR(INDEX(科目表!$E$4:$E$81,MATCH($E1483,科目表!$B$4:$B$81,0)),""))</f>
        <v/>
      </c>
      <c r="H1483" s="27" t="str">
        <f>IF($E1483="","",N(INDEX(资金日记账!$N$4:$S$603,287,5)))</f>
        <v/>
      </c>
      <c r="I1483" s="27" t="str">
        <f>IF($E1483="","",N(INDEX(资金日记账!$N$4:$S$603,287,6)))</f>
        <v/>
      </c>
      <c r="J1483" s="26" t="str">
        <f>IF($E1483="","",INDEX(资金日记账!$E$4:$E$603,287))</f>
        <v/>
      </c>
      <c r="K1483" s="26" t="str">
        <f>IF($E1483="","",INDEX(资金日记账!$F$4:$F$603,287))</f>
        <v/>
      </c>
      <c r="L1483" s="32" t="str">
        <f>IF($E1483="","",INDEX(资金日记账!$X$4:$X$603,287))</f>
        <v/>
      </c>
      <c r="M1483" s="32"/>
      <c r="N1483" s="26" t="str">
        <f>IF($E1483="","",INDEX(资金日记账!$Y$4:$Y$603,287))</f>
        <v/>
      </c>
      <c r="O1483" s="26" t="str">
        <f t="shared" si="76"/>
        <v/>
      </c>
      <c r="P1483" s="10"/>
    </row>
    <row r="1484" ht="18" customHeight="1" spans="1:16">
      <c r="A1484" s="32" t="str">
        <f t="shared" si="77"/>
        <v/>
      </c>
      <c r="B1484" s="100" t="str">
        <f>IF($E1484="","",INDEX(资金日记账!$B$4:$B$603,288))</f>
        <v/>
      </c>
      <c r="C1484" s="26" t="str">
        <f>IF($E1484="","",IF(INDEX(资金日记账!$W$4:$W$603,288)="","记-"&amp;TEXT($B1484,"YYYYMM")&amp;"-资金",INDEX(资金日记账!$W$4:$W$603,288)))</f>
        <v/>
      </c>
      <c r="D1484" s="32" t="str">
        <f>IF($E1484="","",INDEX(资金日记账!$D$4:$D$603,288))</f>
        <v/>
      </c>
      <c r="E1484" s="26" t="str">
        <f>IF(INDEX(资金日记账!$N$4:$S$603,288,1)=0,"",INDEX(资金日记账!$N$4:$S$603,288,1))</f>
        <v/>
      </c>
      <c r="F1484" s="25" t="str">
        <f>IF($E1484="","",IFERROR(INDEX(科目表!$A$4:$A$81,MATCH($E1484,科目表!$B$4:$B$81,0)),""))</f>
        <v/>
      </c>
      <c r="G1484" s="26" t="str">
        <f>IF($E1484="","",IFERROR(INDEX(科目表!$E$4:$E$81,MATCH($E1484,科目表!$B$4:$B$81,0)),""))</f>
        <v/>
      </c>
      <c r="H1484" s="27" t="str">
        <f>IF($E1484="","",N(INDEX(资金日记账!$N$4:$S$603,288,2)))</f>
        <v/>
      </c>
      <c r="I1484" s="27" t="str">
        <f>IF($E1484="","",N(INDEX(资金日记账!$N$4:$S$603,288,3)))</f>
        <v/>
      </c>
      <c r="J1484" s="26" t="str">
        <f>IF($E1484="","",INDEX(资金日记账!$E$4:$E$603,288))</f>
        <v/>
      </c>
      <c r="K1484" s="26" t="str">
        <f>IF($E1484="","",INDEX(资金日记账!$F$4:$F$603,288))</f>
        <v/>
      </c>
      <c r="L1484" s="32" t="str">
        <f>IF($E1484="","",INDEX(资金日记账!$X$4:$X$603,288))</f>
        <v/>
      </c>
      <c r="M1484" s="32"/>
      <c r="N1484" s="26" t="str">
        <f>IF($E1484="","",INDEX(资金日记账!$Y$4:$Y$603,288))</f>
        <v/>
      </c>
      <c r="O1484" s="26" t="str">
        <f t="shared" si="76"/>
        <v/>
      </c>
      <c r="P1484" s="10"/>
    </row>
    <row r="1485" ht="18" customHeight="1" spans="1:16">
      <c r="A1485" s="32" t="str">
        <f t="shared" si="77"/>
        <v/>
      </c>
      <c r="B1485" s="100" t="str">
        <f>IF($E1485="","",INDEX(资金日记账!$B$4:$B$603,288))</f>
        <v/>
      </c>
      <c r="C1485" s="26" t="str">
        <f>IF($E1485="","",IF(INDEX(资金日记账!$W$4:$W$603,288)="","记-"&amp;TEXT($B1485,"YYYYMM")&amp;"-资金",INDEX(资金日记账!$W$4:$W$603,288)))</f>
        <v/>
      </c>
      <c r="D1485" s="32" t="str">
        <f>IF($E1485="","",INDEX(资金日记账!$D$4:$D$603,288))</f>
        <v/>
      </c>
      <c r="E1485" s="26" t="str">
        <f>IF(INDEX(资金日记账!$N$4:$S$603,288,4)=0,"",INDEX(资金日记账!$N$4:$S$603,288,4))</f>
        <v/>
      </c>
      <c r="F1485" s="25" t="str">
        <f>IF($E1485="","",IFERROR(INDEX(科目表!$A$4:$A$81,MATCH($E1485,科目表!$B$4:$B$81,0)),""))</f>
        <v/>
      </c>
      <c r="G1485" s="26" t="str">
        <f>IF($E1485="","",IFERROR(INDEX(科目表!$E$4:$E$81,MATCH($E1485,科目表!$B$4:$B$81,0)),""))</f>
        <v/>
      </c>
      <c r="H1485" s="27" t="str">
        <f>IF($E1485="","",N(INDEX(资金日记账!$N$4:$S$603,288,5)))</f>
        <v/>
      </c>
      <c r="I1485" s="27" t="str">
        <f>IF($E1485="","",N(INDEX(资金日记账!$N$4:$S$603,288,6)))</f>
        <v/>
      </c>
      <c r="J1485" s="26" t="str">
        <f>IF($E1485="","",INDEX(资金日记账!$E$4:$E$603,288))</f>
        <v/>
      </c>
      <c r="K1485" s="26" t="str">
        <f>IF($E1485="","",INDEX(资金日记账!$F$4:$F$603,288))</f>
        <v/>
      </c>
      <c r="L1485" s="32" t="str">
        <f>IF($E1485="","",INDEX(资金日记账!$X$4:$X$603,288))</f>
        <v/>
      </c>
      <c r="M1485" s="32"/>
      <c r="N1485" s="26" t="str">
        <f>IF($E1485="","",INDEX(资金日记账!$Y$4:$Y$603,288))</f>
        <v/>
      </c>
      <c r="O1485" s="26" t="str">
        <f t="shared" si="76"/>
        <v/>
      </c>
      <c r="P1485" s="10"/>
    </row>
    <row r="1486" ht="18" customHeight="1" spans="1:16">
      <c r="A1486" s="32" t="str">
        <f t="shared" si="77"/>
        <v/>
      </c>
      <c r="B1486" s="100" t="str">
        <f>IF($E1486="","",INDEX(资金日记账!$B$4:$B$603,289))</f>
        <v/>
      </c>
      <c r="C1486" s="26" t="str">
        <f>IF($E1486="","",IF(INDEX(资金日记账!$W$4:$W$603,289)="","记-"&amp;TEXT($B1486,"YYYYMM")&amp;"-资金",INDEX(资金日记账!$W$4:$W$603,289)))</f>
        <v/>
      </c>
      <c r="D1486" s="32" t="str">
        <f>IF($E1486="","",INDEX(资金日记账!$D$4:$D$603,289))</f>
        <v/>
      </c>
      <c r="E1486" s="26" t="str">
        <f>IF(INDEX(资金日记账!$N$4:$S$603,289,1)=0,"",INDEX(资金日记账!$N$4:$S$603,289,1))</f>
        <v/>
      </c>
      <c r="F1486" s="25" t="str">
        <f>IF($E1486="","",IFERROR(INDEX(科目表!$A$4:$A$81,MATCH($E1486,科目表!$B$4:$B$81,0)),""))</f>
        <v/>
      </c>
      <c r="G1486" s="26" t="str">
        <f>IF($E1486="","",IFERROR(INDEX(科目表!$E$4:$E$81,MATCH($E1486,科目表!$B$4:$B$81,0)),""))</f>
        <v/>
      </c>
      <c r="H1486" s="27" t="str">
        <f>IF($E1486="","",N(INDEX(资金日记账!$N$4:$S$603,289,2)))</f>
        <v/>
      </c>
      <c r="I1486" s="27" t="str">
        <f>IF($E1486="","",N(INDEX(资金日记账!$N$4:$S$603,289,3)))</f>
        <v/>
      </c>
      <c r="J1486" s="26" t="str">
        <f>IF($E1486="","",INDEX(资金日记账!$E$4:$E$603,289))</f>
        <v/>
      </c>
      <c r="K1486" s="26" t="str">
        <f>IF($E1486="","",INDEX(资金日记账!$F$4:$F$603,289))</f>
        <v/>
      </c>
      <c r="L1486" s="32" t="str">
        <f>IF($E1486="","",INDEX(资金日记账!$X$4:$X$603,289))</f>
        <v/>
      </c>
      <c r="M1486" s="32"/>
      <c r="N1486" s="26" t="str">
        <f>IF($E1486="","",INDEX(资金日记账!$Y$4:$Y$603,289))</f>
        <v/>
      </c>
      <c r="O1486" s="26" t="str">
        <f t="shared" ref="O1486:O1549" si="78">IF($E1486="","","自动B")</f>
        <v/>
      </c>
      <c r="P1486" s="10"/>
    </row>
    <row r="1487" ht="18" customHeight="1" spans="1:16">
      <c r="A1487" s="32" t="str">
        <f t="shared" si="77"/>
        <v/>
      </c>
      <c r="B1487" s="100" t="str">
        <f>IF($E1487="","",INDEX(资金日记账!$B$4:$B$603,289))</f>
        <v/>
      </c>
      <c r="C1487" s="26" t="str">
        <f>IF($E1487="","",IF(INDEX(资金日记账!$W$4:$W$603,289)="","记-"&amp;TEXT($B1487,"YYYYMM")&amp;"-资金",INDEX(资金日记账!$W$4:$W$603,289)))</f>
        <v/>
      </c>
      <c r="D1487" s="32" t="str">
        <f>IF($E1487="","",INDEX(资金日记账!$D$4:$D$603,289))</f>
        <v/>
      </c>
      <c r="E1487" s="26" t="str">
        <f>IF(INDEX(资金日记账!$N$4:$S$603,289,4)=0,"",INDEX(资金日记账!$N$4:$S$603,289,4))</f>
        <v/>
      </c>
      <c r="F1487" s="25" t="str">
        <f>IF($E1487="","",IFERROR(INDEX(科目表!$A$4:$A$81,MATCH($E1487,科目表!$B$4:$B$81,0)),""))</f>
        <v/>
      </c>
      <c r="G1487" s="26" t="str">
        <f>IF($E1487="","",IFERROR(INDEX(科目表!$E$4:$E$81,MATCH($E1487,科目表!$B$4:$B$81,0)),""))</f>
        <v/>
      </c>
      <c r="H1487" s="27" t="str">
        <f>IF($E1487="","",N(INDEX(资金日记账!$N$4:$S$603,289,5)))</f>
        <v/>
      </c>
      <c r="I1487" s="27" t="str">
        <f>IF($E1487="","",N(INDEX(资金日记账!$N$4:$S$603,289,6)))</f>
        <v/>
      </c>
      <c r="J1487" s="26" t="str">
        <f>IF($E1487="","",INDEX(资金日记账!$E$4:$E$603,289))</f>
        <v/>
      </c>
      <c r="K1487" s="26" t="str">
        <f>IF($E1487="","",INDEX(资金日记账!$F$4:$F$603,289))</f>
        <v/>
      </c>
      <c r="L1487" s="32" t="str">
        <f>IF($E1487="","",INDEX(资金日记账!$X$4:$X$603,289))</f>
        <v/>
      </c>
      <c r="M1487" s="32"/>
      <c r="N1487" s="26" t="str">
        <f>IF($E1487="","",INDEX(资金日记账!$Y$4:$Y$603,289))</f>
        <v/>
      </c>
      <c r="O1487" s="26" t="str">
        <f t="shared" si="78"/>
        <v/>
      </c>
      <c r="P1487" s="10"/>
    </row>
    <row r="1488" ht="18" customHeight="1" spans="1:16">
      <c r="A1488" s="32" t="str">
        <f t="shared" si="77"/>
        <v/>
      </c>
      <c r="B1488" s="100" t="str">
        <f>IF($E1488="","",INDEX(资金日记账!$B$4:$B$603,290))</f>
        <v/>
      </c>
      <c r="C1488" s="26" t="str">
        <f>IF($E1488="","",IF(INDEX(资金日记账!$W$4:$W$603,290)="","记-"&amp;TEXT($B1488,"YYYYMM")&amp;"-资金",INDEX(资金日记账!$W$4:$W$603,290)))</f>
        <v/>
      </c>
      <c r="D1488" s="32" t="str">
        <f>IF($E1488="","",INDEX(资金日记账!$D$4:$D$603,290))</f>
        <v/>
      </c>
      <c r="E1488" s="26" t="str">
        <f>IF(INDEX(资金日记账!$N$4:$S$603,290,1)=0,"",INDEX(资金日记账!$N$4:$S$603,290,1))</f>
        <v/>
      </c>
      <c r="F1488" s="25" t="str">
        <f>IF($E1488="","",IFERROR(INDEX(科目表!$A$4:$A$81,MATCH($E1488,科目表!$B$4:$B$81,0)),""))</f>
        <v/>
      </c>
      <c r="G1488" s="26" t="str">
        <f>IF($E1488="","",IFERROR(INDEX(科目表!$E$4:$E$81,MATCH($E1488,科目表!$B$4:$B$81,0)),""))</f>
        <v/>
      </c>
      <c r="H1488" s="27" t="str">
        <f>IF($E1488="","",N(INDEX(资金日记账!$N$4:$S$603,290,2)))</f>
        <v/>
      </c>
      <c r="I1488" s="27" t="str">
        <f>IF($E1488="","",N(INDEX(资金日记账!$N$4:$S$603,290,3)))</f>
        <v/>
      </c>
      <c r="J1488" s="26" t="str">
        <f>IF($E1488="","",INDEX(资金日记账!$E$4:$E$603,290))</f>
        <v/>
      </c>
      <c r="K1488" s="26" t="str">
        <f>IF($E1488="","",INDEX(资金日记账!$F$4:$F$603,290))</f>
        <v/>
      </c>
      <c r="L1488" s="32" t="str">
        <f>IF($E1488="","",INDEX(资金日记账!$X$4:$X$603,290))</f>
        <v/>
      </c>
      <c r="M1488" s="32"/>
      <c r="N1488" s="26" t="str">
        <f>IF($E1488="","",INDEX(资金日记账!$Y$4:$Y$603,290))</f>
        <v/>
      </c>
      <c r="O1488" s="26" t="str">
        <f t="shared" si="78"/>
        <v/>
      </c>
      <c r="P1488" s="10"/>
    </row>
    <row r="1489" ht="18" customHeight="1" spans="1:16">
      <c r="A1489" s="32" t="str">
        <f t="shared" si="77"/>
        <v/>
      </c>
      <c r="B1489" s="100" t="str">
        <f>IF($E1489="","",INDEX(资金日记账!$B$4:$B$603,290))</f>
        <v/>
      </c>
      <c r="C1489" s="26" t="str">
        <f>IF($E1489="","",IF(INDEX(资金日记账!$W$4:$W$603,290)="","记-"&amp;TEXT($B1489,"YYYYMM")&amp;"-资金",INDEX(资金日记账!$W$4:$W$603,290)))</f>
        <v/>
      </c>
      <c r="D1489" s="32" t="str">
        <f>IF($E1489="","",INDEX(资金日记账!$D$4:$D$603,290))</f>
        <v/>
      </c>
      <c r="E1489" s="26" t="str">
        <f>IF(INDEX(资金日记账!$N$4:$S$603,290,4)=0,"",INDEX(资金日记账!$N$4:$S$603,290,4))</f>
        <v/>
      </c>
      <c r="F1489" s="25" t="str">
        <f>IF($E1489="","",IFERROR(INDEX(科目表!$A$4:$A$81,MATCH($E1489,科目表!$B$4:$B$81,0)),""))</f>
        <v/>
      </c>
      <c r="G1489" s="26" t="str">
        <f>IF($E1489="","",IFERROR(INDEX(科目表!$E$4:$E$81,MATCH($E1489,科目表!$B$4:$B$81,0)),""))</f>
        <v/>
      </c>
      <c r="H1489" s="27" t="str">
        <f>IF($E1489="","",N(INDEX(资金日记账!$N$4:$S$603,290,5)))</f>
        <v/>
      </c>
      <c r="I1489" s="27" t="str">
        <f>IF($E1489="","",N(INDEX(资金日记账!$N$4:$S$603,290,6)))</f>
        <v/>
      </c>
      <c r="J1489" s="26" t="str">
        <f>IF($E1489="","",INDEX(资金日记账!$E$4:$E$603,290))</f>
        <v/>
      </c>
      <c r="K1489" s="26" t="str">
        <f>IF($E1489="","",INDEX(资金日记账!$F$4:$F$603,290))</f>
        <v/>
      </c>
      <c r="L1489" s="32" t="str">
        <f>IF($E1489="","",INDEX(资金日记账!$X$4:$X$603,290))</f>
        <v/>
      </c>
      <c r="M1489" s="32"/>
      <c r="N1489" s="26" t="str">
        <f>IF($E1489="","",INDEX(资金日记账!$Y$4:$Y$603,290))</f>
        <v/>
      </c>
      <c r="O1489" s="26" t="str">
        <f t="shared" si="78"/>
        <v/>
      </c>
      <c r="P1489" s="10"/>
    </row>
    <row r="1490" ht="18" customHeight="1" spans="1:16">
      <c r="A1490" s="32" t="str">
        <f t="shared" si="77"/>
        <v/>
      </c>
      <c r="B1490" s="100" t="str">
        <f>IF($E1490="","",INDEX(资金日记账!$B$4:$B$603,291))</f>
        <v/>
      </c>
      <c r="C1490" s="26" t="str">
        <f>IF($E1490="","",IF(INDEX(资金日记账!$W$4:$W$603,291)="","记-"&amp;TEXT($B1490,"YYYYMM")&amp;"-资金",INDEX(资金日记账!$W$4:$W$603,291)))</f>
        <v/>
      </c>
      <c r="D1490" s="32" t="str">
        <f>IF($E1490="","",INDEX(资金日记账!$D$4:$D$603,291))</f>
        <v/>
      </c>
      <c r="E1490" s="26" t="str">
        <f>IF(INDEX(资金日记账!$N$4:$S$603,291,1)=0,"",INDEX(资金日记账!$N$4:$S$603,291,1))</f>
        <v/>
      </c>
      <c r="F1490" s="25" t="str">
        <f>IF($E1490="","",IFERROR(INDEX(科目表!$A$4:$A$81,MATCH($E1490,科目表!$B$4:$B$81,0)),""))</f>
        <v/>
      </c>
      <c r="G1490" s="26" t="str">
        <f>IF($E1490="","",IFERROR(INDEX(科目表!$E$4:$E$81,MATCH($E1490,科目表!$B$4:$B$81,0)),""))</f>
        <v/>
      </c>
      <c r="H1490" s="27" t="str">
        <f>IF($E1490="","",N(INDEX(资金日记账!$N$4:$S$603,291,2)))</f>
        <v/>
      </c>
      <c r="I1490" s="27" t="str">
        <f>IF($E1490="","",N(INDEX(资金日记账!$N$4:$S$603,291,3)))</f>
        <v/>
      </c>
      <c r="J1490" s="26" t="str">
        <f>IF($E1490="","",INDEX(资金日记账!$E$4:$E$603,291))</f>
        <v/>
      </c>
      <c r="K1490" s="26" t="str">
        <f>IF($E1490="","",INDEX(资金日记账!$F$4:$F$603,291))</f>
        <v/>
      </c>
      <c r="L1490" s="32" t="str">
        <f>IF($E1490="","",INDEX(资金日记账!$X$4:$X$603,291))</f>
        <v/>
      </c>
      <c r="M1490" s="32"/>
      <c r="N1490" s="26" t="str">
        <f>IF($E1490="","",INDEX(资金日记账!$Y$4:$Y$603,291))</f>
        <v/>
      </c>
      <c r="O1490" s="26" t="str">
        <f t="shared" si="78"/>
        <v/>
      </c>
      <c r="P1490" s="10"/>
    </row>
    <row r="1491" ht="18" customHeight="1" spans="1:16">
      <c r="A1491" s="32" t="str">
        <f t="shared" si="77"/>
        <v/>
      </c>
      <c r="B1491" s="100" t="str">
        <f>IF($E1491="","",INDEX(资金日记账!$B$4:$B$603,291))</f>
        <v/>
      </c>
      <c r="C1491" s="26" t="str">
        <f>IF($E1491="","",IF(INDEX(资金日记账!$W$4:$W$603,291)="","记-"&amp;TEXT($B1491,"YYYYMM")&amp;"-资金",INDEX(资金日记账!$W$4:$W$603,291)))</f>
        <v/>
      </c>
      <c r="D1491" s="32" t="str">
        <f>IF($E1491="","",INDEX(资金日记账!$D$4:$D$603,291))</f>
        <v/>
      </c>
      <c r="E1491" s="26" t="str">
        <f>IF(INDEX(资金日记账!$N$4:$S$603,291,4)=0,"",INDEX(资金日记账!$N$4:$S$603,291,4))</f>
        <v/>
      </c>
      <c r="F1491" s="25" t="str">
        <f>IF($E1491="","",IFERROR(INDEX(科目表!$A$4:$A$81,MATCH($E1491,科目表!$B$4:$B$81,0)),""))</f>
        <v/>
      </c>
      <c r="G1491" s="26" t="str">
        <f>IF($E1491="","",IFERROR(INDEX(科目表!$E$4:$E$81,MATCH($E1491,科目表!$B$4:$B$81,0)),""))</f>
        <v/>
      </c>
      <c r="H1491" s="27" t="str">
        <f>IF($E1491="","",N(INDEX(资金日记账!$N$4:$S$603,291,5)))</f>
        <v/>
      </c>
      <c r="I1491" s="27" t="str">
        <f>IF($E1491="","",N(INDEX(资金日记账!$N$4:$S$603,291,6)))</f>
        <v/>
      </c>
      <c r="J1491" s="26" t="str">
        <f>IF($E1491="","",INDEX(资金日记账!$E$4:$E$603,291))</f>
        <v/>
      </c>
      <c r="K1491" s="26" t="str">
        <f>IF($E1491="","",INDEX(资金日记账!$F$4:$F$603,291))</f>
        <v/>
      </c>
      <c r="L1491" s="32" t="str">
        <f>IF($E1491="","",INDEX(资金日记账!$X$4:$X$603,291))</f>
        <v/>
      </c>
      <c r="M1491" s="32"/>
      <c r="N1491" s="26" t="str">
        <f>IF($E1491="","",INDEX(资金日记账!$Y$4:$Y$603,291))</f>
        <v/>
      </c>
      <c r="O1491" s="26" t="str">
        <f t="shared" si="78"/>
        <v/>
      </c>
      <c r="P1491" s="10"/>
    </row>
    <row r="1492" ht="18" customHeight="1" spans="1:16">
      <c r="A1492" s="32" t="str">
        <f t="shared" si="77"/>
        <v/>
      </c>
      <c r="B1492" s="100" t="str">
        <f>IF($E1492="","",INDEX(资金日记账!$B$4:$B$603,292))</f>
        <v/>
      </c>
      <c r="C1492" s="26" t="str">
        <f>IF($E1492="","",IF(INDEX(资金日记账!$W$4:$W$603,292)="","记-"&amp;TEXT($B1492,"YYYYMM")&amp;"-资金",INDEX(资金日记账!$W$4:$W$603,292)))</f>
        <v/>
      </c>
      <c r="D1492" s="32" t="str">
        <f>IF($E1492="","",INDEX(资金日记账!$D$4:$D$603,292))</f>
        <v/>
      </c>
      <c r="E1492" s="26" t="str">
        <f>IF(INDEX(资金日记账!$N$4:$S$603,292,1)=0,"",INDEX(资金日记账!$N$4:$S$603,292,1))</f>
        <v/>
      </c>
      <c r="F1492" s="25" t="str">
        <f>IF($E1492="","",IFERROR(INDEX(科目表!$A$4:$A$81,MATCH($E1492,科目表!$B$4:$B$81,0)),""))</f>
        <v/>
      </c>
      <c r="G1492" s="26" t="str">
        <f>IF($E1492="","",IFERROR(INDEX(科目表!$E$4:$E$81,MATCH($E1492,科目表!$B$4:$B$81,0)),""))</f>
        <v/>
      </c>
      <c r="H1492" s="27" t="str">
        <f>IF($E1492="","",N(INDEX(资金日记账!$N$4:$S$603,292,2)))</f>
        <v/>
      </c>
      <c r="I1492" s="27" t="str">
        <f>IF($E1492="","",N(INDEX(资金日记账!$N$4:$S$603,292,3)))</f>
        <v/>
      </c>
      <c r="J1492" s="26" t="str">
        <f>IF($E1492="","",INDEX(资金日记账!$E$4:$E$603,292))</f>
        <v/>
      </c>
      <c r="K1492" s="26" t="str">
        <f>IF($E1492="","",INDEX(资金日记账!$F$4:$F$603,292))</f>
        <v/>
      </c>
      <c r="L1492" s="32" t="str">
        <f>IF($E1492="","",INDEX(资金日记账!$X$4:$X$603,292))</f>
        <v/>
      </c>
      <c r="M1492" s="32"/>
      <c r="N1492" s="26" t="str">
        <f>IF($E1492="","",INDEX(资金日记账!$Y$4:$Y$603,292))</f>
        <v/>
      </c>
      <c r="O1492" s="26" t="str">
        <f t="shared" si="78"/>
        <v/>
      </c>
      <c r="P1492" s="10"/>
    </row>
    <row r="1493" ht="18" customHeight="1" spans="1:16">
      <c r="A1493" s="32" t="str">
        <f t="shared" si="77"/>
        <v/>
      </c>
      <c r="B1493" s="100" t="str">
        <f>IF($E1493="","",INDEX(资金日记账!$B$4:$B$603,292))</f>
        <v/>
      </c>
      <c r="C1493" s="26" t="str">
        <f>IF($E1493="","",IF(INDEX(资金日记账!$W$4:$W$603,292)="","记-"&amp;TEXT($B1493,"YYYYMM")&amp;"-资金",INDEX(资金日记账!$W$4:$W$603,292)))</f>
        <v/>
      </c>
      <c r="D1493" s="32" t="str">
        <f>IF($E1493="","",INDEX(资金日记账!$D$4:$D$603,292))</f>
        <v/>
      </c>
      <c r="E1493" s="26" t="str">
        <f>IF(INDEX(资金日记账!$N$4:$S$603,292,4)=0,"",INDEX(资金日记账!$N$4:$S$603,292,4))</f>
        <v/>
      </c>
      <c r="F1493" s="25" t="str">
        <f>IF($E1493="","",IFERROR(INDEX(科目表!$A$4:$A$81,MATCH($E1493,科目表!$B$4:$B$81,0)),""))</f>
        <v/>
      </c>
      <c r="G1493" s="26" t="str">
        <f>IF($E1493="","",IFERROR(INDEX(科目表!$E$4:$E$81,MATCH($E1493,科目表!$B$4:$B$81,0)),""))</f>
        <v/>
      </c>
      <c r="H1493" s="27" t="str">
        <f>IF($E1493="","",N(INDEX(资金日记账!$N$4:$S$603,292,5)))</f>
        <v/>
      </c>
      <c r="I1493" s="27" t="str">
        <f>IF($E1493="","",N(INDEX(资金日记账!$N$4:$S$603,292,6)))</f>
        <v/>
      </c>
      <c r="J1493" s="26" t="str">
        <f>IF($E1493="","",INDEX(资金日记账!$E$4:$E$603,292))</f>
        <v/>
      </c>
      <c r="K1493" s="26" t="str">
        <f>IF($E1493="","",INDEX(资金日记账!$F$4:$F$603,292))</f>
        <v/>
      </c>
      <c r="L1493" s="32" t="str">
        <f>IF($E1493="","",INDEX(资金日记账!$X$4:$X$603,292))</f>
        <v/>
      </c>
      <c r="M1493" s="32"/>
      <c r="N1493" s="26" t="str">
        <f>IF($E1493="","",INDEX(资金日记账!$Y$4:$Y$603,292))</f>
        <v/>
      </c>
      <c r="O1493" s="26" t="str">
        <f t="shared" si="78"/>
        <v/>
      </c>
      <c r="P1493" s="10"/>
    </row>
    <row r="1494" ht="18" customHeight="1" spans="1:16">
      <c r="A1494" s="32" t="str">
        <f t="shared" si="77"/>
        <v/>
      </c>
      <c r="B1494" s="100" t="str">
        <f>IF($E1494="","",INDEX(资金日记账!$B$4:$B$603,293))</f>
        <v/>
      </c>
      <c r="C1494" s="26" t="str">
        <f>IF($E1494="","",IF(INDEX(资金日记账!$W$4:$W$603,293)="","记-"&amp;TEXT($B1494,"YYYYMM")&amp;"-资金",INDEX(资金日记账!$W$4:$W$603,293)))</f>
        <v/>
      </c>
      <c r="D1494" s="32" t="str">
        <f>IF($E1494="","",INDEX(资金日记账!$D$4:$D$603,293))</f>
        <v/>
      </c>
      <c r="E1494" s="26" t="str">
        <f>IF(INDEX(资金日记账!$N$4:$S$603,293,1)=0,"",INDEX(资金日记账!$N$4:$S$603,293,1))</f>
        <v/>
      </c>
      <c r="F1494" s="25" t="str">
        <f>IF($E1494="","",IFERROR(INDEX(科目表!$A$4:$A$81,MATCH($E1494,科目表!$B$4:$B$81,0)),""))</f>
        <v/>
      </c>
      <c r="G1494" s="26" t="str">
        <f>IF($E1494="","",IFERROR(INDEX(科目表!$E$4:$E$81,MATCH($E1494,科目表!$B$4:$B$81,0)),""))</f>
        <v/>
      </c>
      <c r="H1494" s="27" t="str">
        <f>IF($E1494="","",N(INDEX(资金日记账!$N$4:$S$603,293,2)))</f>
        <v/>
      </c>
      <c r="I1494" s="27" t="str">
        <f>IF($E1494="","",N(INDEX(资金日记账!$N$4:$S$603,293,3)))</f>
        <v/>
      </c>
      <c r="J1494" s="26" t="str">
        <f>IF($E1494="","",INDEX(资金日记账!$E$4:$E$603,293))</f>
        <v/>
      </c>
      <c r="K1494" s="26" t="str">
        <f>IF($E1494="","",INDEX(资金日记账!$F$4:$F$603,293))</f>
        <v/>
      </c>
      <c r="L1494" s="32" t="str">
        <f>IF($E1494="","",INDEX(资金日记账!$X$4:$X$603,293))</f>
        <v/>
      </c>
      <c r="M1494" s="32"/>
      <c r="N1494" s="26" t="str">
        <f>IF($E1494="","",INDEX(资金日记账!$Y$4:$Y$603,293))</f>
        <v/>
      </c>
      <c r="O1494" s="26" t="str">
        <f t="shared" si="78"/>
        <v/>
      </c>
      <c r="P1494" s="10"/>
    </row>
    <row r="1495" ht="18" customHeight="1" spans="1:16">
      <c r="A1495" s="32" t="str">
        <f t="shared" si="77"/>
        <v/>
      </c>
      <c r="B1495" s="100" t="str">
        <f>IF($E1495="","",INDEX(资金日记账!$B$4:$B$603,293))</f>
        <v/>
      </c>
      <c r="C1495" s="26" t="str">
        <f>IF($E1495="","",IF(INDEX(资金日记账!$W$4:$W$603,293)="","记-"&amp;TEXT($B1495,"YYYYMM")&amp;"-资金",INDEX(资金日记账!$W$4:$W$603,293)))</f>
        <v/>
      </c>
      <c r="D1495" s="32" t="str">
        <f>IF($E1495="","",INDEX(资金日记账!$D$4:$D$603,293))</f>
        <v/>
      </c>
      <c r="E1495" s="26" t="str">
        <f>IF(INDEX(资金日记账!$N$4:$S$603,293,4)=0,"",INDEX(资金日记账!$N$4:$S$603,293,4))</f>
        <v/>
      </c>
      <c r="F1495" s="25" t="str">
        <f>IF($E1495="","",IFERROR(INDEX(科目表!$A$4:$A$81,MATCH($E1495,科目表!$B$4:$B$81,0)),""))</f>
        <v/>
      </c>
      <c r="G1495" s="26" t="str">
        <f>IF($E1495="","",IFERROR(INDEX(科目表!$E$4:$E$81,MATCH($E1495,科目表!$B$4:$B$81,0)),""))</f>
        <v/>
      </c>
      <c r="H1495" s="27" t="str">
        <f>IF($E1495="","",N(INDEX(资金日记账!$N$4:$S$603,293,5)))</f>
        <v/>
      </c>
      <c r="I1495" s="27" t="str">
        <f>IF($E1495="","",N(INDEX(资金日记账!$N$4:$S$603,293,6)))</f>
        <v/>
      </c>
      <c r="J1495" s="26" t="str">
        <f>IF($E1495="","",INDEX(资金日记账!$E$4:$E$603,293))</f>
        <v/>
      </c>
      <c r="K1495" s="26" t="str">
        <f>IF($E1495="","",INDEX(资金日记账!$F$4:$F$603,293))</f>
        <v/>
      </c>
      <c r="L1495" s="32" t="str">
        <f>IF($E1495="","",INDEX(资金日记账!$X$4:$X$603,293))</f>
        <v/>
      </c>
      <c r="M1495" s="32"/>
      <c r="N1495" s="26" t="str">
        <f>IF($E1495="","",INDEX(资金日记账!$Y$4:$Y$603,293))</f>
        <v/>
      </c>
      <c r="O1495" s="26" t="str">
        <f t="shared" si="78"/>
        <v/>
      </c>
      <c r="P1495" s="10"/>
    </row>
    <row r="1496" ht="18" customHeight="1" spans="1:16">
      <c r="A1496" s="32" t="str">
        <f t="shared" si="77"/>
        <v/>
      </c>
      <c r="B1496" s="100" t="str">
        <f>IF($E1496="","",INDEX(资金日记账!$B$4:$B$603,294))</f>
        <v/>
      </c>
      <c r="C1496" s="26" t="str">
        <f>IF($E1496="","",IF(INDEX(资金日记账!$W$4:$W$603,294)="","记-"&amp;TEXT($B1496,"YYYYMM")&amp;"-资金",INDEX(资金日记账!$W$4:$W$603,294)))</f>
        <v/>
      </c>
      <c r="D1496" s="32" t="str">
        <f>IF($E1496="","",INDEX(资金日记账!$D$4:$D$603,294))</f>
        <v/>
      </c>
      <c r="E1496" s="26" t="str">
        <f>IF(INDEX(资金日记账!$N$4:$S$603,294,1)=0,"",INDEX(资金日记账!$N$4:$S$603,294,1))</f>
        <v/>
      </c>
      <c r="F1496" s="25" t="str">
        <f>IF($E1496="","",IFERROR(INDEX(科目表!$A$4:$A$81,MATCH($E1496,科目表!$B$4:$B$81,0)),""))</f>
        <v/>
      </c>
      <c r="G1496" s="26" t="str">
        <f>IF($E1496="","",IFERROR(INDEX(科目表!$E$4:$E$81,MATCH($E1496,科目表!$B$4:$B$81,0)),""))</f>
        <v/>
      </c>
      <c r="H1496" s="27" t="str">
        <f>IF($E1496="","",N(INDEX(资金日记账!$N$4:$S$603,294,2)))</f>
        <v/>
      </c>
      <c r="I1496" s="27" t="str">
        <f>IF($E1496="","",N(INDEX(资金日记账!$N$4:$S$603,294,3)))</f>
        <v/>
      </c>
      <c r="J1496" s="26" t="str">
        <f>IF($E1496="","",INDEX(资金日记账!$E$4:$E$603,294))</f>
        <v/>
      </c>
      <c r="K1496" s="26" t="str">
        <f>IF($E1496="","",INDEX(资金日记账!$F$4:$F$603,294))</f>
        <v/>
      </c>
      <c r="L1496" s="32" t="str">
        <f>IF($E1496="","",INDEX(资金日记账!$X$4:$X$603,294))</f>
        <v/>
      </c>
      <c r="M1496" s="32"/>
      <c r="N1496" s="26" t="str">
        <f>IF($E1496="","",INDEX(资金日记账!$Y$4:$Y$603,294))</f>
        <v/>
      </c>
      <c r="O1496" s="26" t="str">
        <f t="shared" si="78"/>
        <v/>
      </c>
      <c r="P1496" s="10"/>
    </row>
    <row r="1497" ht="18" customHeight="1" spans="1:16">
      <c r="A1497" s="32" t="str">
        <f t="shared" si="77"/>
        <v/>
      </c>
      <c r="B1497" s="100" t="str">
        <f>IF($E1497="","",INDEX(资金日记账!$B$4:$B$603,294))</f>
        <v/>
      </c>
      <c r="C1497" s="26" t="str">
        <f>IF($E1497="","",IF(INDEX(资金日记账!$W$4:$W$603,294)="","记-"&amp;TEXT($B1497,"YYYYMM")&amp;"-资金",INDEX(资金日记账!$W$4:$W$603,294)))</f>
        <v/>
      </c>
      <c r="D1497" s="32" t="str">
        <f>IF($E1497="","",INDEX(资金日记账!$D$4:$D$603,294))</f>
        <v/>
      </c>
      <c r="E1497" s="26" t="str">
        <f>IF(INDEX(资金日记账!$N$4:$S$603,294,4)=0,"",INDEX(资金日记账!$N$4:$S$603,294,4))</f>
        <v/>
      </c>
      <c r="F1497" s="25" t="str">
        <f>IF($E1497="","",IFERROR(INDEX(科目表!$A$4:$A$81,MATCH($E1497,科目表!$B$4:$B$81,0)),""))</f>
        <v/>
      </c>
      <c r="G1497" s="26" t="str">
        <f>IF($E1497="","",IFERROR(INDEX(科目表!$E$4:$E$81,MATCH($E1497,科目表!$B$4:$B$81,0)),""))</f>
        <v/>
      </c>
      <c r="H1497" s="27" t="str">
        <f>IF($E1497="","",N(INDEX(资金日记账!$N$4:$S$603,294,5)))</f>
        <v/>
      </c>
      <c r="I1497" s="27" t="str">
        <f>IF($E1497="","",N(INDEX(资金日记账!$N$4:$S$603,294,6)))</f>
        <v/>
      </c>
      <c r="J1497" s="26" t="str">
        <f>IF($E1497="","",INDEX(资金日记账!$E$4:$E$603,294))</f>
        <v/>
      </c>
      <c r="K1497" s="26" t="str">
        <f>IF($E1497="","",INDEX(资金日记账!$F$4:$F$603,294))</f>
        <v/>
      </c>
      <c r="L1497" s="32" t="str">
        <f>IF($E1497="","",INDEX(资金日记账!$X$4:$X$603,294))</f>
        <v/>
      </c>
      <c r="M1497" s="32"/>
      <c r="N1497" s="26" t="str">
        <f>IF($E1497="","",INDEX(资金日记账!$Y$4:$Y$603,294))</f>
        <v/>
      </c>
      <c r="O1497" s="26" t="str">
        <f t="shared" si="78"/>
        <v/>
      </c>
      <c r="P1497" s="10"/>
    </row>
    <row r="1498" ht="18" customHeight="1" spans="1:16">
      <c r="A1498" s="32" t="str">
        <f t="shared" si="77"/>
        <v/>
      </c>
      <c r="B1498" s="100" t="str">
        <f>IF($E1498="","",INDEX(资金日记账!$B$4:$B$603,295))</f>
        <v/>
      </c>
      <c r="C1498" s="26" t="str">
        <f>IF($E1498="","",IF(INDEX(资金日记账!$W$4:$W$603,295)="","记-"&amp;TEXT($B1498,"YYYYMM")&amp;"-资金",INDEX(资金日记账!$W$4:$W$603,295)))</f>
        <v/>
      </c>
      <c r="D1498" s="32" t="str">
        <f>IF($E1498="","",INDEX(资金日记账!$D$4:$D$603,295))</f>
        <v/>
      </c>
      <c r="E1498" s="26" t="str">
        <f>IF(INDEX(资金日记账!$N$4:$S$603,295,1)=0,"",INDEX(资金日记账!$N$4:$S$603,295,1))</f>
        <v/>
      </c>
      <c r="F1498" s="25" t="str">
        <f>IF($E1498="","",IFERROR(INDEX(科目表!$A$4:$A$81,MATCH($E1498,科目表!$B$4:$B$81,0)),""))</f>
        <v/>
      </c>
      <c r="G1498" s="26" t="str">
        <f>IF($E1498="","",IFERROR(INDEX(科目表!$E$4:$E$81,MATCH($E1498,科目表!$B$4:$B$81,0)),""))</f>
        <v/>
      </c>
      <c r="H1498" s="27" t="str">
        <f>IF($E1498="","",N(INDEX(资金日记账!$N$4:$S$603,295,2)))</f>
        <v/>
      </c>
      <c r="I1498" s="27" t="str">
        <f>IF($E1498="","",N(INDEX(资金日记账!$N$4:$S$603,295,3)))</f>
        <v/>
      </c>
      <c r="J1498" s="26" t="str">
        <f>IF($E1498="","",INDEX(资金日记账!$E$4:$E$603,295))</f>
        <v/>
      </c>
      <c r="K1498" s="26" t="str">
        <f>IF($E1498="","",INDEX(资金日记账!$F$4:$F$603,295))</f>
        <v/>
      </c>
      <c r="L1498" s="32" t="str">
        <f>IF($E1498="","",INDEX(资金日记账!$X$4:$X$603,295))</f>
        <v/>
      </c>
      <c r="M1498" s="32"/>
      <c r="N1498" s="26" t="str">
        <f>IF($E1498="","",INDEX(资金日记账!$Y$4:$Y$603,295))</f>
        <v/>
      </c>
      <c r="O1498" s="26" t="str">
        <f t="shared" si="78"/>
        <v/>
      </c>
      <c r="P1498" s="10"/>
    </row>
    <row r="1499" ht="18" customHeight="1" spans="1:16">
      <c r="A1499" s="32" t="str">
        <f t="shared" si="77"/>
        <v/>
      </c>
      <c r="B1499" s="100" t="str">
        <f>IF($E1499="","",INDEX(资金日记账!$B$4:$B$603,295))</f>
        <v/>
      </c>
      <c r="C1499" s="26" t="str">
        <f>IF($E1499="","",IF(INDEX(资金日记账!$W$4:$W$603,295)="","记-"&amp;TEXT($B1499,"YYYYMM")&amp;"-资金",INDEX(资金日记账!$W$4:$W$603,295)))</f>
        <v/>
      </c>
      <c r="D1499" s="32" t="str">
        <f>IF($E1499="","",INDEX(资金日记账!$D$4:$D$603,295))</f>
        <v/>
      </c>
      <c r="E1499" s="26" t="str">
        <f>IF(INDEX(资金日记账!$N$4:$S$603,295,4)=0,"",INDEX(资金日记账!$N$4:$S$603,295,4))</f>
        <v/>
      </c>
      <c r="F1499" s="25" t="str">
        <f>IF($E1499="","",IFERROR(INDEX(科目表!$A$4:$A$81,MATCH($E1499,科目表!$B$4:$B$81,0)),""))</f>
        <v/>
      </c>
      <c r="G1499" s="26" t="str">
        <f>IF($E1499="","",IFERROR(INDEX(科目表!$E$4:$E$81,MATCH($E1499,科目表!$B$4:$B$81,0)),""))</f>
        <v/>
      </c>
      <c r="H1499" s="27" t="str">
        <f>IF($E1499="","",N(INDEX(资金日记账!$N$4:$S$603,295,5)))</f>
        <v/>
      </c>
      <c r="I1499" s="27" t="str">
        <f>IF($E1499="","",N(INDEX(资金日记账!$N$4:$S$603,295,6)))</f>
        <v/>
      </c>
      <c r="J1499" s="26" t="str">
        <f>IF($E1499="","",INDEX(资金日记账!$E$4:$E$603,295))</f>
        <v/>
      </c>
      <c r="K1499" s="26" t="str">
        <f>IF($E1499="","",INDEX(资金日记账!$F$4:$F$603,295))</f>
        <v/>
      </c>
      <c r="L1499" s="32" t="str">
        <f>IF($E1499="","",INDEX(资金日记账!$X$4:$X$603,295))</f>
        <v/>
      </c>
      <c r="M1499" s="32"/>
      <c r="N1499" s="26" t="str">
        <f>IF($E1499="","",INDEX(资金日记账!$Y$4:$Y$603,295))</f>
        <v/>
      </c>
      <c r="O1499" s="26" t="str">
        <f t="shared" si="78"/>
        <v/>
      </c>
      <c r="P1499" s="10"/>
    </row>
    <row r="1500" ht="18" customHeight="1" spans="1:16">
      <c r="A1500" s="32" t="str">
        <f t="shared" si="77"/>
        <v/>
      </c>
      <c r="B1500" s="100" t="str">
        <f>IF($E1500="","",INDEX(资金日记账!$B$4:$B$603,296))</f>
        <v/>
      </c>
      <c r="C1500" s="26" t="str">
        <f>IF($E1500="","",IF(INDEX(资金日记账!$W$4:$W$603,296)="","记-"&amp;TEXT($B1500,"YYYYMM")&amp;"-资金",INDEX(资金日记账!$W$4:$W$603,296)))</f>
        <v/>
      </c>
      <c r="D1500" s="32" t="str">
        <f>IF($E1500="","",INDEX(资金日记账!$D$4:$D$603,296))</f>
        <v/>
      </c>
      <c r="E1500" s="26" t="str">
        <f>IF(INDEX(资金日记账!$N$4:$S$603,296,1)=0,"",INDEX(资金日记账!$N$4:$S$603,296,1))</f>
        <v/>
      </c>
      <c r="F1500" s="25" t="str">
        <f>IF($E1500="","",IFERROR(INDEX(科目表!$A$4:$A$81,MATCH($E1500,科目表!$B$4:$B$81,0)),""))</f>
        <v/>
      </c>
      <c r="G1500" s="26" t="str">
        <f>IF($E1500="","",IFERROR(INDEX(科目表!$E$4:$E$81,MATCH($E1500,科目表!$B$4:$B$81,0)),""))</f>
        <v/>
      </c>
      <c r="H1500" s="27" t="str">
        <f>IF($E1500="","",N(INDEX(资金日记账!$N$4:$S$603,296,2)))</f>
        <v/>
      </c>
      <c r="I1500" s="27" t="str">
        <f>IF($E1500="","",N(INDEX(资金日记账!$N$4:$S$603,296,3)))</f>
        <v/>
      </c>
      <c r="J1500" s="26" t="str">
        <f>IF($E1500="","",INDEX(资金日记账!$E$4:$E$603,296))</f>
        <v/>
      </c>
      <c r="K1500" s="26" t="str">
        <f>IF($E1500="","",INDEX(资金日记账!$F$4:$F$603,296))</f>
        <v/>
      </c>
      <c r="L1500" s="32" t="str">
        <f>IF($E1500="","",INDEX(资金日记账!$X$4:$X$603,296))</f>
        <v/>
      </c>
      <c r="M1500" s="32"/>
      <c r="N1500" s="26" t="str">
        <f>IF($E1500="","",INDEX(资金日记账!$Y$4:$Y$603,296))</f>
        <v/>
      </c>
      <c r="O1500" s="26" t="str">
        <f t="shared" si="78"/>
        <v/>
      </c>
      <c r="P1500" s="10"/>
    </row>
    <row r="1501" ht="18" customHeight="1" spans="1:16">
      <c r="A1501" s="32" t="str">
        <f t="shared" si="77"/>
        <v/>
      </c>
      <c r="B1501" s="100" t="str">
        <f>IF($E1501="","",INDEX(资金日记账!$B$4:$B$603,296))</f>
        <v/>
      </c>
      <c r="C1501" s="26" t="str">
        <f>IF($E1501="","",IF(INDEX(资金日记账!$W$4:$W$603,296)="","记-"&amp;TEXT($B1501,"YYYYMM")&amp;"-资金",INDEX(资金日记账!$W$4:$W$603,296)))</f>
        <v/>
      </c>
      <c r="D1501" s="32" t="str">
        <f>IF($E1501="","",INDEX(资金日记账!$D$4:$D$603,296))</f>
        <v/>
      </c>
      <c r="E1501" s="26" t="str">
        <f>IF(INDEX(资金日记账!$N$4:$S$603,296,4)=0,"",INDEX(资金日记账!$N$4:$S$603,296,4))</f>
        <v/>
      </c>
      <c r="F1501" s="25" t="str">
        <f>IF($E1501="","",IFERROR(INDEX(科目表!$A$4:$A$81,MATCH($E1501,科目表!$B$4:$B$81,0)),""))</f>
        <v/>
      </c>
      <c r="G1501" s="26" t="str">
        <f>IF($E1501="","",IFERROR(INDEX(科目表!$E$4:$E$81,MATCH($E1501,科目表!$B$4:$B$81,0)),""))</f>
        <v/>
      </c>
      <c r="H1501" s="27" t="str">
        <f>IF($E1501="","",N(INDEX(资金日记账!$N$4:$S$603,296,5)))</f>
        <v/>
      </c>
      <c r="I1501" s="27" t="str">
        <f>IF($E1501="","",N(INDEX(资金日记账!$N$4:$S$603,296,6)))</f>
        <v/>
      </c>
      <c r="J1501" s="26" t="str">
        <f>IF($E1501="","",INDEX(资金日记账!$E$4:$E$603,296))</f>
        <v/>
      </c>
      <c r="K1501" s="26" t="str">
        <f>IF($E1501="","",INDEX(资金日记账!$F$4:$F$603,296))</f>
        <v/>
      </c>
      <c r="L1501" s="32" t="str">
        <f>IF($E1501="","",INDEX(资金日记账!$X$4:$X$603,296))</f>
        <v/>
      </c>
      <c r="M1501" s="32"/>
      <c r="N1501" s="26" t="str">
        <f>IF($E1501="","",INDEX(资金日记账!$Y$4:$Y$603,296))</f>
        <v/>
      </c>
      <c r="O1501" s="26" t="str">
        <f t="shared" si="78"/>
        <v/>
      </c>
      <c r="P1501" s="10"/>
    </row>
    <row r="1502" ht="18" customHeight="1" spans="1:16">
      <c r="A1502" s="32" t="str">
        <f t="shared" si="77"/>
        <v/>
      </c>
      <c r="B1502" s="100" t="str">
        <f>IF($E1502="","",INDEX(资金日记账!$B$4:$B$603,297))</f>
        <v/>
      </c>
      <c r="C1502" s="26" t="str">
        <f>IF($E1502="","",IF(INDEX(资金日记账!$W$4:$W$603,297)="","记-"&amp;TEXT($B1502,"YYYYMM")&amp;"-资金",INDEX(资金日记账!$W$4:$W$603,297)))</f>
        <v/>
      </c>
      <c r="D1502" s="32" t="str">
        <f>IF($E1502="","",INDEX(资金日记账!$D$4:$D$603,297))</f>
        <v/>
      </c>
      <c r="E1502" s="26" t="str">
        <f>IF(INDEX(资金日记账!$N$4:$S$603,297,1)=0,"",INDEX(资金日记账!$N$4:$S$603,297,1))</f>
        <v/>
      </c>
      <c r="F1502" s="25" t="str">
        <f>IF($E1502="","",IFERROR(INDEX(科目表!$A$4:$A$81,MATCH($E1502,科目表!$B$4:$B$81,0)),""))</f>
        <v/>
      </c>
      <c r="G1502" s="26" t="str">
        <f>IF($E1502="","",IFERROR(INDEX(科目表!$E$4:$E$81,MATCH($E1502,科目表!$B$4:$B$81,0)),""))</f>
        <v/>
      </c>
      <c r="H1502" s="27" t="str">
        <f>IF($E1502="","",N(INDEX(资金日记账!$N$4:$S$603,297,2)))</f>
        <v/>
      </c>
      <c r="I1502" s="27" t="str">
        <f>IF($E1502="","",N(INDEX(资金日记账!$N$4:$S$603,297,3)))</f>
        <v/>
      </c>
      <c r="J1502" s="26" t="str">
        <f>IF($E1502="","",INDEX(资金日记账!$E$4:$E$603,297))</f>
        <v/>
      </c>
      <c r="K1502" s="26" t="str">
        <f>IF($E1502="","",INDEX(资金日记账!$F$4:$F$603,297))</f>
        <v/>
      </c>
      <c r="L1502" s="32" t="str">
        <f>IF($E1502="","",INDEX(资金日记账!$X$4:$X$603,297))</f>
        <v/>
      </c>
      <c r="M1502" s="32"/>
      <c r="N1502" s="26" t="str">
        <f>IF($E1502="","",INDEX(资金日记账!$Y$4:$Y$603,297))</f>
        <v/>
      </c>
      <c r="O1502" s="26" t="str">
        <f t="shared" si="78"/>
        <v/>
      </c>
      <c r="P1502" s="10"/>
    </row>
    <row r="1503" ht="18" customHeight="1" spans="1:16">
      <c r="A1503" s="32" t="str">
        <f t="shared" si="77"/>
        <v/>
      </c>
      <c r="B1503" s="100" t="str">
        <f>IF($E1503="","",INDEX(资金日记账!$B$4:$B$603,297))</f>
        <v/>
      </c>
      <c r="C1503" s="26" t="str">
        <f>IF($E1503="","",IF(INDEX(资金日记账!$W$4:$W$603,297)="","记-"&amp;TEXT($B1503,"YYYYMM")&amp;"-资金",INDEX(资金日记账!$W$4:$W$603,297)))</f>
        <v/>
      </c>
      <c r="D1503" s="32" t="str">
        <f>IF($E1503="","",INDEX(资金日记账!$D$4:$D$603,297))</f>
        <v/>
      </c>
      <c r="E1503" s="26" t="str">
        <f>IF(INDEX(资金日记账!$N$4:$S$603,297,4)=0,"",INDEX(资金日记账!$N$4:$S$603,297,4))</f>
        <v/>
      </c>
      <c r="F1503" s="25" t="str">
        <f>IF($E1503="","",IFERROR(INDEX(科目表!$A$4:$A$81,MATCH($E1503,科目表!$B$4:$B$81,0)),""))</f>
        <v/>
      </c>
      <c r="G1503" s="26" t="str">
        <f>IF($E1503="","",IFERROR(INDEX(科目表!$E$4:$E$81,MATCH($E1503,科目表!$B$4:$B$81,0)),""))</f>
        <v/>
      </c>
      <c r="H1503" s="27" t="str">
        <f>IF($E1503="","",N(INDEX(资金日记账!$N$4:$S$603,297,5)))</f>
        <v/>
      </c>
      <c r="I1503" s="27" t="str">
        <f>IF($E1503="","",N(INDEX(资金日记账!$N$4:$S$603,297,6)))</f>
        <v/>
      </c>
      <c r="J1503" s="26" t="str">
        <f>IF($E1503="","",INDEX(资金日记账!$E$4:$E$603,297))</f>
        <v/>
      </c>
      <c r="K1503" s="26" t="str">
        <f>IF($E1503="","",INDEX(资金日记账!$F$4:$F$603,297))</f>
        <v/>
      </c>
      <c r="L1503" s="32" t="str">
        <f>IF($E1503="","",INDEX(资金日记账!$X$4:$X$603,297))</f>
        <v/>
      </c>
      <c r="M1503" s="32"/>
      <c r="N1503" s="26" t="str">
        <f>IF($E1503="","",INDEX(资金日记账!$Y$4:$Y$603,297))</f>
        <v/>
      </c>
      <c r="O1503" s="26" t="str">
        <f t="shared" si="78"/>
        <v/>
      </c>
      <c r="P1503" s="10"/>
    </row>
    <row r="1504" ht="18" customHeight="1" spans="1:16">
      <c r="A1504" s="32" t="str">
        <f t="shared" si="77"/>
        <v/>
      </c>
      <c r="B1504" s="100" t="str">
        <f>IF($E1504="","",INDEX(资金日记账!$B$4:$B$603,298))</f>
        <v/>
      </c>
      <c r="C1504" s="26" t="str">
        <f>IF($E1504="","",IF(INDEX(资金日记账!$W$4:$W$603,298)="","记-"&amp;TEXT($B1504,"YYYYMM")&amp;"-资金",INDEX(资金日记账!$W$4:$W$603,298)))</f>
        <v/>
      </c>
      <c r="D1504" s="32" t="str">
        <f>IF($E1504="","",INDEX(资金日记账!$D$4:$D$603,298))</f>
        <v/>
      </c>
      <c r="E1504" s="26" t="str">
        <f>IF(INDEX(资金日记账!$N$4:$S$603,298,1)=0,"",INDEX(资金日记账!$N$4:$S$603,298,1))</f>
        <v/>
      </c>
      <c r="F1504" s="25" t="str">
        <f>IF($E1504="","",IFERROR(INDEX(科目表!$A$4:$A$81,MATCH($E1504,科目表!$B$4:$B$81,0)),""))</f>
        <v/>
      </c>
      <c r="G1504" s="26" t="str">
        <f>IF($E1504="","",IFERROR(INDEX(科目表!$E$4:$E$81,MATCH($E1504,科目表!$B$4:$B$81,0)),""))</f>
        <v/>
      </c>
      <c r="H1504" s="27" t="str">
        <f>IF($E1504="","",N(INDEX(资金日记账!$N$4:$S$603,298,2)))</f>
        <v/>
      </c>
      <c r="I1504" s="27" t="str">
        <f>IF($E1504="","",N(INDEX(资金日记账!$N$4:$S$603,298,3)))</f>
        <v/>
      </c>
      <c r="J1504" s="26" t="str">
        <f>IF($E1504="","",INDEX(资金日记账!$E$4:$E$603,298))</f>
        <v/>
      </c>
      <c r="K1504" s="26" t="str">
        <f>IF($E1504="","",INDEX(资金日记账!$F$4:$F$603,298))</f>
        <v/>
      </c>
      <c r="L1504" s="32" t="str">
        <f>IF($E1504="","",INDEX(资金日记账!$X$4:$X$603,298))</f>
        <v/>
      </c>
      <c r="M1504" s="32"/>
      <c r="N1504" s="26" t="str">
        <f>IF($E1504="","",INDEX(资金日记账!$Y$4:$Y$603,298))</f>
        <v/>
      </c>
      <c r="O1504" s="26" t="str">
        <f t="shared" si="78"/>
        <v/>
      </c>
      <c r="P1504" s="10"/>
    </row>
    <row r="1505" ht="18" customHeight="1" spans="1:16">
      <c r="A1505" s="32" t="str">
        <f t="shared" si="77"/>
        <v/>
      </c>
      <c r="B1505" s="100" t="str">
        <f>IF($E1505="","",INDEX(资金日记账!$B$4:$B$603,298))</f>
        <v/>
      </c>
      <c r="C1505" s="26" t="str">
        <f>IF($E1505="","",IF(INDEX(资金日记账!$W$4:$W$603,298)="","记-"&amp;TEXT($B1505,"YYYYMM")&amp;"-资金",INDEX(资金日记账!$W$4:$W$603,298)))</f>
        <v/>
      </c>
      <c r="D1505" s="32" t="str">
        <f>IF($E1505="","",INDEX(资金日记账!$D$4:$D$603,298))</f>
        <v/>
      </c>
      <c r="E1505" s="26" t="str">
        <f>IF(INDEX(资金日记账!$N$4:$S$603,298,4)=0,"",INDEX(资金日记账!$N$4:$S$603,298,4))</f>
        <v/>
      </c>
      <c r="F1505" s="25" t="str">
        <f>IF($E1505="","",IFERROR(INDEX(科目表!$A$4:$A$81,MATCH($E1505,科目表!$B$4:$B$81,0)),""))</f>
        <v/>
      </c>
      <c r="G1505" s="26" t="str">
        <f>IF($E1505="","",IFERROR(INDEX(科目表!$E$4:$E$81,MATCH($E1505,科目表!$B$4:$B$81,0)),""))</f>
        <v/>
      </c>
      <c r="H1505" s="27" t="str">
        <f>IF($E1505="","",N(INDEX(资金日记账!$N$4:$S$603,298,5)))</f>
        <v/>
      </c>
      <c r="I1505" s="27" t="str">
        <f>IF($E1505="","",N(INDEX(资金日记账!$N$4:$S$603,298,6)))</f>
        <v/>
      </c>
      <c r="J1505" s="26" t="str">
        <f>IF($E1505="","",INDEX(资金日记账!$E$4:$E$603,298))</f>
        <v/>
      </c>
      <c r="K1505" s="26" t="str">
        <f>IF($E1505="","",INDEX(资金日记账!$F$4:$F$603,298))</f>
        <v/>
      </c>
      <c r="L1505" s="32" t="str">
        <f>IF($E1505="","",INDEX(资金日记账!$X$4:$X$603,298))</f>
        <v/>
      </c>
      <c r="M1505" s="32"/>
      <c r="N1505" s="26" t="str">
        <f>IF($E1505="","",INDEX(资金日记账!$Y$4:$Y$603,298))</f>
        <v/>
      </c>
      <c r="O1505" s="26" t="str">
        <f t="shared" si="78"/>
        <v/>
      </c>
      <c r="P1505" s="10"/>
    </row>
    <row r="1506" ht="18" customHeight="1" spans="1:16">
      <c r="A1506" s="32" t="str">
        <f t="shared" si="77"/>
        <v/>
      </c>
      <c r="B1506" s="100" t="str">
        <f>IF($E1506="","",INDEX(资金日记账!$B$4:$B$603,299))</f>
        <v/>
      </c>
      <c r="C1506" s="26" t="str">
        <f>IF($E1506="","",IF(INDEX(资金日记账!$W$4:$W$603,299)="","记-"&amp;TEXT($B1506,"YYYYMM")&amp;"-资金",INDEX(资金日记账!$W$4:$W$603,299)))</f>
        <v/>
      </c>
      <c r="D1506" s="32" t="str">
        <f>IF($E1506="","",INDEX(资金日记账!$D$4:$D$603,299))</f>
        <v/>
      </c>
      <c r="E1506" s="26" t="str">
        <f>IF(INDEX(资金日记账!$N$4:$S$603,299,1)=0,"",INDEX(资金日记账!$N$4:$S$603,299,1))</f>
        <v/>
      </c>
      <c r="F1506" s="25" t="str">
        <f>IF($E1506="","",IFERROR(INDEX(科目表!$A$4:$A$81,MATCH($E1506,科目表!$B$4:$B$81,0)),""))</f>
        <v/>
      </c>
      <c r="G1506" s="26" t="str">
        <f>IF($E1506="","",IFERROR(INDEX(科目表!$E$4:$E$81,MATCH($E1506,科目表!$B$4:$B$81,0)),""))</f>
        <v/>
      </c>
      <c r="H1506" s="27" t="str">
        <f>IF($E1506="","",N(INDEX(资金日记账!$N$4:$S$603,299,2)))</f>
        <v/>
      </c>
      <c r="I1506" s="27" t="str">
        <f>IF($E1506="","",N(INDEX(资金日记账!$N$4:$S$603,299,3)))</f>
        <v/>
      </c>
      <c r="J1506" s="26" t="str">
        <f>IF($E1506="","",INDEX(资金日记账!$E$4:$E$603,299))</f>
        <v/>
      </c>
      <c r="K1506" s="26" t="str">
        <f>IF($E1506="","",INDEX(资金日记账!$F$4:$F$603,299))</f>
        <v/>
      </c>
      <c r="L1506" s="32" t="str">
        <f>IF($E1506="","",INDEX(资金日记账!$X$4:$X$603,299))</f>
        <v/>
      </c>
      <c r="M1506" s="32"/>
      <c r="N1506" s="26" t="str">
        <f>IF($E1506="","",INDEX(资金日记账!$Y$4:$Y$603,299))</f>
        <v/>
      </c>
      <c r="O1506" s="26" t="str">
        <f t="shared" si="78"/>
        <v/>
      </c>
      <c r="P1506" s="10"/>
    </row>
    <row r="1507" ht="18" customHeight="1" spans="1:16">
      <c r="A1507" s="32" t="str">
        <f t="shared" si="77"/>
        <v/>
      </c>
      <c r="B1507" s="100" t="str">
        <f>IF($E1507="","",INDEX(资金日记账!$B$4:$B$603,299))</f>
        <v/>
      </c>
      <c r="C1507" s="26" t="str">
        <f>IF($E1507="","",IF(INDEX(资金日记账!$W$4:$W$603,299)="","记-"&amp;TEXT($B1507,"YYYYMM")&amp;"-资金",INDEX(资金日记账!$W$4:$W$603,299)))</f>
        <v/>
      </c>
      <c r="D1507" s="32" t="str">
        <f>IF($E1507="","",INDEX(资金日记账!$D$4:$D$603,299))</f>
        <v/>
      </c>
      <c r="E1507" s="26" t="str">
        <f>IF(INDEX(资金日记账!$N$4:$S$603,299,4)=0,"",INDEX(资金日记账!$N$4:$S$603,299,4))</f>
        <v/>
      </c>
      <c r="F1507" s="25" t="str">
        <f>IF($E1507="","",IFERROR(INDEX(科目表!$A$4:$A$81,MATCH($E1507,科目表!$B$4:$B$81,0)),""))</f>
        <v/>
      </c>
      <c r="G1507" s="26" t="str">
        <f>IF($E1507="","",IFERROR(INDEX(科目表!$E$4:$E$81,MATCH($E1507,科目表!$B$4:$B$81,0)),""))</f>
        <v/>
      </c>
      <c r="H1507" s="27" t="str">
        <f>IF($E1507="","",N(INDEX(资金日记账!$N$4:$S$603,299,5)))</f>
        <v/>
      </c>
      <c r="I1507" s="27" t="str">
        <f>IF($E1507="","",N(INDEX(资金日记账!$N$4:$S$603,299,6)))</f>
        <v/>
      </c>
      <c r="J1507" s="26" t="str">
        <f>IF($E1507="","",INDEX(资金日记账!$E$4:$E$603,299))</f>
        <v/>
      </c>
      <c r="K1507" s="26" t="str">
        <f>IF($E1507="","",INDEX(资金日记账!$F$4:$F$603,299))</f>
        <v/>
      </c>
      <c r="L1507" s="32" t="str">
        <f>IF($E1507="","",INDEX(资金日记账!$X$4:$X$603,299))</f>
        <v/>
      </c>
      <c r="M1507" s="32"/>
      <c r="N1507" s="26" t="str">
        <f>IF($E1507="","",INDEX(资金日记账!$Y$4:$Y$603,299))</f>
        <v/>
      </c>
      <c r="O1507" s="26" t="str">
        <f t="shared" si="78"/>
        <v/>
      </c>
      <c r="P1507" s="10"/>
    </row>
    <row r="1508" ht="18" customHeight="1" spans="1:16">
      <c r="A1508" s="32" t="str">
        <f t="shared" si="77"/>
        <v/>
      </c>
      <c r="B1508" s="100" t="str">
        <f>IF($E1508="","",INDEX(资金日记账!$B$4:$B$603,300))</f>
        <v/>
      </c>
      <c r="C1508" s="26" t="str">
        <f>IF($E1508="","",IF(INDEX(资金日记账!$W$4:$W$603,300)="","记-"&amp;TEXT($B1508,"YYYYMM")&amp;"-资金",INDEX(资金日记账!$W$4:$W$603,300)))</f>
        <v/>
      </c>
      <c r="D1508" s="32" t="str">
        <f>IF($E1508="","",INDEX(资金日记账!$D$4:$D$603,300))</f>
        <v/>
      </c>
      <c r="E1508" s="26" t="str">
        <f>IF(INDEX(资金日记账!$N$4:$S$603,300,1)=0,"",INDEX(资金日记账!$N$4:$S$603,300,1))</f>
        <v/>
      </c>
      <c r="F1508" s="25" t="str">
        <f>IF($E1508="","",IFERROR(INDEX(科目表!$A$4:$A$81,MATCH($E1508,科目表!$B$4:$B$81,0)),""))</f>
        <v/>
      </c>
      <c r="G1508" s="26" t="str">
        <f>IF($E1508="","",IFERROR(INDEX(科目表!$E$4:$E$81,MATCH($E1508,科目表!$B$4:$B$81,0)),""))</f>
        <v/>
      </c>
      <c r="H1508" s="27" t="str">
        <f>IF($E1508="","",N(INDEX(资金日记账!$N$4:$S$603,300,2)))</f>
        <v/>
      </c>
      <c r="I1508" s="27" t="str">
        <f>IF($E1508="","",N(INDEX(资金日记账!$N$4:$S$603,300,3)))</f>
        <v/>
      </c>
      <c r="J1508" s="26" t="str">
        <f>IF($E1508="","",INDEX(资金日记账!$E$4:$E$603,300))</f>
        <v/>
      </c>
      <c r="K1508" s="26" t="str">
        <f>IF($E1508="","",INDEX(资金日记账!$F$4:$F$603,300))</f>
        <v/>
      </c>
      <c r="L1508" s="32" t="str">
        <f>IF($E1508="","",INDEX(资金日记账!$X$4:$X$603,300))</f>
        <v/>
      </c>
      <c r="M1508" s="32"/>
      <c r="N1508" s="26" t="str">
        <f>IF($E1508="","",INDEX(资金日记账!$Y$4:$Y$603,300))</f>
        <v/>
      </c>
      <c r="O1508" s="26" t="str">
        <f t="shared" si="78"/>
        <v/>
      </c>
      <c r="P1508" s="10"/>
    </row>
    <row r="1509" ht="18" customHeight="1" spans="1:16">
      <c r="A1509" s="32" t="str">
        <f t="shared" si="77"/>
        <v/>
      </c>
      <c r="B1509" s="100" t="str">
        <f>IF($E1509="","",INDEX(资金日记账!$B$4:$B$603,300))</f>
        <v/>
      </c>
      <c r="C1509" s="26" t="str">
        <f>IF($E1509="","",IF(INDEX(资金日记账!$W$4:$W$603,300)="","记-"&amp;TEXT($B1509,"YYYYMM")&amp;"-资金",INDEX(资金日记账!$W$4:$W$603,300)))</f>
        <v/>
      </c>
      <c r="D1509" s="32" t="str">
        <f>IF($E1509="","",INDEX(资金日记账!$D$4:$D$603,300))</f>
        <v/>
      </c>
      <c r="E1509" s="26" t="str">
        <f>IF(INDEX(资金日记账!$N$4:$S$603,300,4)=0,"",INDEX(资金日记账!$N$4:$S$603,300,4))</f>
        <v/>
      </c>
      <c r="F1509" s="25" t="str">
        <f>IF($E1509="","",IFERROR(INDEX(科目表!$A$4:$A$81,MATCH($E1509,科目表!$B$4:$B$81,0)),""))</f>
        <v/>
      </c>
      <c r="G1509" s="26" t="str">
        <f>IF($E1509="","",IFERROR(INDEX(科目表!$E$4:$E$81,MATCH($E1509,科目表!$B$4:$B$81,0)),""))</f>
        <v/>
      </c>
      <c r="H1509" s="27" t="str">
        <f>IF($E1509="","",N(INDEX(资金日记账!$N$4:$S$603,300,5)))</f>
        <v/>
      </c>
      <c r="I1509" s="27" t="str">
        <f>IF($E1509="","",N(INDEX(资金日记账!$N$4:$S$603,300,6)))</f>
        <v/>
      </c>
      <c r="J1509" s="26" t="str">
        <f>IF($E1509="","",INDEX(资金日记账!$E$4:$E$603,300))</f>
        <v/>
      </c>
      <c r="K1509" s="26" t="str">
        <f>IF($E1509="","",INDEX(资金日记账!$F$4:$F$603,300))</f>
        <v/>
      </c>
      <c r="L1509" s="32" t="str">
        <f>IF($E1509="","",INDEX(资金日记账!$X$4:$X$603,300))</f>
        <v/>
      </c>
      <c r="M1509" s="32"/>
      <c r="N1509" s="26" t="str">
        <f>IF($E1509="","",INDEX(资金日记账!$Y$4:$Y$603,300))</f>
        <v/>
      </c>
      <c r="O1509" s="26" t="str">
        <f t="shared" si="78"/>
        <v/>
      </c>
      <c r="P1509" s="10"/>
    </row>
    <row r="1510" ht="18" customHeight="1" spans="1:16">
      <c r="A1510" s="32" t="str">
        <f t="shared" si="77"/>
        <v/>
      </c>
      <c r="B1510" s="100" t="str">
        <f>IF($E1510="","",INDEX(资金日记账!$B$4:$B$603,301))</f>
        <v/>
      </c>
      <c r="C1510" s="26" t="str">
        <f>IF($E1510="","",IF(INDEX(资金日记账!$W$4:$W$603,301)="","记-"&amp;TEXT($B1510,"YYYYMM")&amp;"-资金",INDEX(资金日记账!$W$4:$W$603,301)))</f>
        <v/>
      </c>
      <c r="D1510" s="32" t="str">
        <f>IF($E1510="","",INDEX(资金日记账!$D$4:$D$603,301))</f>
        <v/>
      </c>
      <c r="E1510" s="26" t="str">
        <f>IF(INDEX(资金日记账!$N$4:$S$603,301,1)=0,"",INDEX(资金日记账!$N$4:$S$603,301,1))</f>
        <v/>
      </c>
      <c r="F1510" s="25" t="str">
        <f>IF($E1510="","",IFERROR(INDEX(科目表!$A$4:$A$81,MATCH($E1510,科目表!$B$4:$B$81,0)),""))</f>
        <v/>
      </c>
      <c r="G1510" s="26" t="str">
        <f>IF($E1510="","",IFERROR(INDEX(科目表!$E$4:$E$81,MATCH($E1510,科目表!$B$4:$B$81,0)),""))</f>
        <v/>
      </c>
      <c r="H1510" s="27" t="str">
        <f>IF($E1510="","",N(INDEX(资金日记账!$N$4:$S$603,301,2)))</f>
        <v/>
      </c>
      <c r="I1510" s="27" t="str">
        <f>IF($E1510="","",N(INDEX(资金日记账!$N$4:$S$603,301,3)))</f>
        <v/>
      </c>
      <c r="J1510" s="26" t="str">
        <f>IF($E1510="","",INDEX(资金日记账!$E$4:$E$603,301))</f>
        <v/>
      </c>
      <c r="K1510" s="26" t="str">
        <f>IF($E1510="","",INDEX(资金日记账!$F$4:$F$603,301))</f>
        <v/>
      </c>
      <c r="L1510" s="32" t="str">
        <f>IF($E1510="","",INDEX(资金日记账!$X$4:$X$603,301))</f>
        <v/>
      </c>
      <c r="M1510" s="32"/>
      <c r="N1510" s="26" t="str">
        <f>IF($E1510="","",INDEX(资金日记账!$Y$4:$Y$603,301))</f>
        <v/>
      </c>
      <c r="O1510" s="26" t="str">
        <f t="shared" si="78"/>
        <v/>
      </c>
      <c r="P1510" s="10"/>
    </row>
    <row r="1511" ht="18" customHeight="1" spans="1:16">
      <c r="A1511" s="32" t="str">
        <f t="shared" si="77"/>
        <v/>
      </c>
      <c r="B1511" s="100" t="str">
        <f>IF($E1511="","",INDEX(资金日记账!$B$4:$B$603,301))</f>
        <v/>
      </c>
      <c r="C1511" s="26" t="str">
        <f>IF($E1511="","",IF(INDEX(资金日记账!$W$4:$W$603,301)="","记-"&amp;TEXT($B1511,"YYYYMM")&amp;"-资金",INDEX(资金日记账!$W$4:$W$603,301)))</f>
        <v/>
      </c>
      <c r="D1511" s="32" t="str">
        <f>IF($E1511="","",INDEX(资金日记账!$D$4:$D$603,301))</f>
        <v/>
      </c>
      <c r="E1511" s="26" t="str">
        <f>IF(INDEX(资金日记账!$N$4:$S$603,301,4)=0,"",INDEX(资金日记账!$N$4:$S$603,301,4))</f>
        <v/>
      </c>
      <c r="F1511" s="25" t="str">
        <f>IF($E1511="","",IFERROR(INDEX(科目表!$A$4:$A$81,MATCH($E1511,科目表!$B$4:$B$81,0)),""))</f>
        <v/>
      </c>
      <c r="G1511" s="26" t="str">
        <f>IF($E1511="","",IFERROR(INDEX(科目表!$E$4:$E$81,MATCH($E1511,科目表!$B$4:$B$81,0)),""))</f>
        <v/>
      </c>
      <c r="H1511" s="27" t="str">
        <f>IF($E1511="","",N(INDEX(资金日记账!$N$4:$S$603,301,5)))</f>
        <v/>
      </c>
      <c r="I1511" s="27" t="str">
        <f>IF($E1511="","",N(INDEX(资金日记账!$N$4:$S$603,301,6)))</f>
        <v/>
      </c>
      <c r="J1511" s="26" t="str">
        <f>IF($E1511="","",INDEX(资金日记账!$E$4:$E$603,301))</f>
        <v/>
      </c>
      <c r="K1511" s="26" t="str">
        <f>IF($E1511="","",INDEX(资金日记账!$F$4:$F$603,301))</f>
        <v/>
      </c>
      <c r="L1511" s="32" t="str">
        <f>IF($E1511="","",INDEX(资金日记账!$X$4:$X$603,301))</f>
        <v/>
      </c>
      <c r="M1511" s="32"/>
      <c r="N1511" s="26" t="str">
        <f>IF($E1511="","",INDEX(资金日记账!$Y$4:$Y$603,301))</f>
        <v/>
      </c>
      <c r="O1511" s="26" t="str">
        <f t="shared" si="78"/>
        <v/>
      </c>
      <c r="P1511" s="10"/>
    </row>
    <row r="1512" ht="18" customHeight="1" spans="1:16">
      <c r="A1512" s="32" t="str">
        <f t="shared" si="77"/>
        <v/>
      </c>
      <c r="B1512" s="100" t="str">
        <f>IF($E1512="","",INDEX(资金日记账!$B$4:$B$603,302))</f>
        <v/>
      </c>
      <c r="C1512" s="26" t="str">
        <f>IF($E1512="","",IF(INDEX(资金日记账!$W$4:$W$603,302)="","记-"&amp;TEXT($B1512,"YYYYMM")&amp;"-资金",INDEX(资金日记账!$W$4:$W$603,302)))</f>
        <v/>
      </c>
      <c r="D1512" s="32" t="str">
        <f>IF($E1512="","",INDEX(资金日记账!$D$4:$D$603,302))</f>
        <v/>
      </c>
      <c r="E1512" s="26" t="str">
        <f>IF(INDEX(资金日记账!$N$4:$S$603,302,1)=0,"",INDEX(资金日记账!$N$4:$S$603,302,1))</f>
        <v/>
      </c>
      <c r="F1512" s="25" t="str">
        <f>IF($E1512="","",IFERROR(INDEX(科目表!$A$4:$A$81,MATCH($E1512,科目表!$B$4:$B$81,0)),""))</f>
        <v/>
      </c>
      <c r="G1512" s="26" t="str">
        <f>IF($E1512="","",IFERROR(INDEX(科目表!$E$4:$E$81,MATCH($E1512,科目表!$B$4:$B$81,0)),""))</f>
        <v/>
      </c>
      <c r="H1512" s="27" t="str">
        <f>IF($E1512="","",N(INDEX(资金日记账!$N$4:$S$603,302,2)))</f>
        <v/>
      </c>
      <c r="I1512" s="27" t="str">
        <f>IF($E1512="","",N(INDEX(资金日记账!$N$4:$S$603,302,3)))</f>
        <v/>
      </c>
      <c r="J1512" s="26" t="str">
        <f>IF($E1512="","",INDEX(资金日记账!$E$4:$E$603,302))</f>
        <v/>
      </c>
      <c r="K1512" s="26" t="str">
        <f>IF($E1512="","",INDEX(资金日记账!$F$4:$F$603,302))</f>
        <v/>
      </c>
      <c r="L1512" s="32" t="str">
        <f>IF($E1512="","",INDEX(资金日记账!$X$4:$X$603,302))</f>
        <v/>
      </c>
      <c r="M1512" s="32"/>
      <c r="N1512" s="26" t="str">
        <f>IF($E1512="","",INDEX(资金日记账!$Y$4:$Y$603,302))</f>
        <v/>
      </c>
      <c r="O1512" s="26" t="str">
        <f t="shared" si="78"/>
        <v/>
      </c>
      <c r="P1512" s="10"/>
    </row>
    <row r="1513" ht="18" customHeight="1" spans="1:16">
      <c r="A1513" s="32" t="str">
        <f t="shared" si="77"/>
        <v/>
      </c>
      <c r="B1513" s="100" t="str">
        <f>IF($E1513="","",INDEX(资金日记账!$B$4:$B$603,302))</f>
        <v/>
      </c>
      <c r="C1513" s="26" t="str">
        <f>IF($E1513="","",IF(INDEX(资金日记账!$W$4:$W$603,302)="","记-"&amp;TEXT($B1513,"YYYYMM")&amp;"-资金",INDEX(资金日记账!$W$4:$W$603,302)))</f>
        <v/>
      </c>
      <c r="D1513" s="32" t="str">
        <f>IF($E1513="","",INDEX(资金日记账!$D$4:$D$603,302))</f>
        <v/>
      </c>
      <c r="E1513" s="26" t="str">
        <f>IF(INDEX(资金日记账!$N$4:$S$603,302,4)=0,"",INDEX(资金日记账!$N$4:$S$603,302,4))</f>
        <v/>
      </c>
      <c r="F1513" s="25" t="str">
        <f>IF($E1513="","",IFERROR(INDEX(科目表!$A$4:$A$81,MATCH($E1513,科目表!$B$4:$B$81,0)),""))</f>
        <v/>
      </c>
      <c r="G1513" s="26" t="str">
        <f>IF($E1513="","",IFERROR(INDEX(科目表!$E$4:$E$81,MATCH($E1513,科目表!$B$4:$B$81,0)),""))</f>
        <v/>
      </c>
      <c r="H1513" s="27" t="str">
        <f>IF($E1513="","",N(INDEX(资金日记账!$N$4:$S$603,302,5)))</f>
        <v/>
      </c>
      <c r="I1513" s="27" t="str">
        <f>IF($E1513="","",N(INDEX(资金日记账!$N$4:$S$603,302,6)))</f>
        <v/>
      </c>
      <c r="J1513" s="26" t="str">
        <f>IF($E1513="","",INDEX(资金日记账!$E$4:$E$603,302))</f>
        <v/>
      </c>
      <c r="K1513" s="26" t="str">
        <f>IF($E1513="","",INDEX(资金日记账!$F$4:$F$603,302))</f>
        <v/>
      </c>
      <c r="L1513" s="32" t="str">
        <f>IF($E1513="","",INDEX(资金日记账!$X$4:$X$603,302))</f>
        <v/>
      </c>
      <c r="M1513" s="32"/>
      <c r="N1513" s="26" t="str">
        <f>IF($E1513="","",INDEX(资金日记账!$Y$4:$Y$603,302))</f>
        <v/>
      </c>
      <c r="O1513" s="26" t="str">
        <f t="shared" si="78"/>
        <v/>
      </c>
      <c r="P1513" s="10"/>
    </row>
    <row r="1514" ht="18" customHeight="1" spans="1:16">
      <c r="A1514" s="32" t="str">
        <f t="shared" si="77"/>
        <v/>
      </c>
      <c r="B1514" s="100" t="str">
        <f>IF($E1514="","",INDEX(资金日记账!$B$4:$B$603,303))</f>
        <v/>
      </c>
      <c r="C1514" s="26" t="str">
        <f>IF($E1514="","",IF(INDEX(资金日记账!$W$4:$W$603,303)="","记-"&amp;TEXT($B1514,"YYYYMM")&amp;"-资金",INDEX(资金日记账!$W$4:$W$603,303)))</f>
        <v/>
      </c>
      <c r="D1514" s="32" t="str">
        <f>IF($E1514="","",INDEX(资金日记账!$D$4:$D$603,303))</f>
        <v/>
      </c>
      <c r="E1514" s="26" t="str">
        <f>IF(INDEX(资金日记账!$N$4:$S$603,303,1)=0,"",INDEX(资金日记账!$N$4:$S$603,303,1))</f>
        <v/>
      </c>
      <c r="F1514" s="25" t="str">
        <f>IF($E1514="","",IFERROR(INDEX(科目表!$A$4:$A$81,MATCH($E1514,科目表!$B$4:$B$81,0)),""))</f>
        <v/>
      </c>
      <c r="G1514" s="26" t="str">
        <f>IF($E1514="","",IFERROR(INDEX(科目表!$E$4:$E$81,MATCH($E1514,科目表!$B$4:$B$81,0)),""))</f>
        <v/>
      </c>
      <c r="H1514" s="27" t="str">
        <f>IF($E1514="","",N(INDEX(资金日记账!$N$4:$S$603,303,2)))</f>
        <v/>
      </c>
      <c r="I1514" s="27" t="str">
        <f>IF($E1514="","",N(INDEX(资金日记账!$N$4:$S$603,303,3)))</f>
        <v/>
      </c>
      <c r="J1514" s="26" t="str">
        <f>IF($E1514="","",INDEX(资金日记账!$E$4:$E$603,303))</f>
        <v/>
      </c>
      <c r="K1514" s="26" t="str">
        <f>IF($E1514="","",INDEX(资金日记账!$F$4:$F$603,303))</f>
        <v/>
      </c>
      <c r="L1514" s="32" t="str">
        <f>IF($E1514="","",INDEX(资金日记账!$X$4:$X$603,303))</f>
        <v/>
      </c>
      <c r="M1514" s="32"/>
      <c r="N1514" s="26" t="str">
        <f>IF($E1514="","",INDEX(资金日记账!$Y$4:$Y$603,303))</f>
        <v/>
      </c>
      <c r="O1514" s="26" t="str">
        <f t="shared" si="78"/>
        <v/>
      </c>
      <c r="P1514" s="10"/>
    </row>
    <row r="1515" ht="18" customHeight="1" spans="1:16">
      <c r="A1515" s="32" t="str">
        <f t="shared" si="77"/>
        <v/>
      </c>
      <c r="B1515" s="100" t="str">
        <f>IF($E1515="","",INDEX(资金日记账!$B$4:$B$603,303))</f>
        <v/>
      </c>
      <c r="C1515" s="26" t="str">
        <f>IF($E1515="","",IF(INDEX(资金日记账!$W$4:$W$603,303)="","记-"&amp;TEXT($B1515,"YYYYMM")&amp;"-资金",INDEX(资金日记账!$W$4:$W$603,303)))</f>
        <v/>
      </c>
      <c r="D1515" s="32" t="str">
        <f>IF($E1515="","",INDEX(资金日记账!$D$4:$D$603,303))</f>
        <v/>
      </c>
      <c r="E1515" s="26" t="str">
        <f>IF(INDEX(资金日记账!$N$4:$S$603,303,4)=0,"",INDEX(资金日记账!$N$4:$S$603,303,4))</f>
        <v/>
      </c>
      <c r="F1515" s="25" t="str">
        <f>IF($E1515="","",IFERROR(INDEX(科目表!$A$4:$A$81,MATCH($E1515,科目表!$B$4:$B$81,0)),""))</f>
        <v/>
      </c>
      <c r="G1515" s="26" t="str">
        <f>IF($E1515="","",IFERROR(INDEX(科目表!$E$4:$E$81,MATCH($E1515,科目表!$B$4:$B$81,0)),""))</f>
        <v/>
      </c>
      <c r="H1515" s="27" t="str">
        <f>IF($E1515="","",N(INDEX(资金日记账!$N$4:$S$603,303,5)))</f>
        <v/>
      </c>
      <c r="I1515" s="27" t="str">
        <f>IF($E1515="","",N(INDEX(资金日记账!$N$4:$S$603,303,6)))</f>
        <v/>
      </c>
      <c r="J1515" s="26" t="str">
        <f>IF($E1515="","",INDEX(资金日记账!$E$4:$E$603,303))</f>
        <v/>
      </c>
      <c r="K1515" s="26" t="str">
        <f>IF($E1515="","",INDEX(资金日记账!$F$4:$F$603,303))</f>
        <v/>
      </c>
      <c r="L1515" s="32" t="str">
        <f>IF($E1515="","",INDEX(资金日记账!$X$4:$X$603,303))</f>
        <v/>
      </c>
      <c r="M1515" s="32"/>
      <c r="N1515" s="26" t="str">
        <f>IF($E1515="","",INDEX(资金日记账!$Y$4:$Y$603,303))</f>
        <v/>
      </c>
      <c r="O1515" s="26" t="str">
        <f t="shared" si="78"/>
        <v/>
      </c>
      <c r="P1515" s="10"/>
    </row>
    <row r="1516" ht="18" customHeight="1" spans="1:16">
      <c r="A1516" s="32" t="str">
        <f t="shared" si="77"/>
        <v/>
      </c>
      <c r="B1516" s="100" t="str">
        <f>IF($E1516="","",INDEX(资金日记账!$B$4:$B$603,304))</f>
        <v/>
      </c>
      <c r="C1516" s="26" t="str">
        <f>IF($E1516="","",IF(INDEX(资金日记账!$W$4:$W$603,304)="","记-"&amp;TEXT($B1516,"YYYYMM")&amp;"-资金",INDEX(资金日记账!$W$4:$W$603,304)))</f>
        <v/>
      </c>
      <c r="D1516" s="32" t="str">
        <f>IF($E1516="","",INDEX(资金日记账!$D$4:$D$603,304))</f>
        <v/>
      </c>
      <c r="E1516" s="26" t="str">
        <f>IF(INDEX(资金日记账!$N$4:$S$603,304,1)=0,"",INDEX(资金日记账!$N$4:$S$603,304,1))</f>
        <v/>
      </c>
      <c r="F1516" s="25" t="str">
        <f>IF($E1516="","",IFERROR(INDEX(科目表!$A$4:$A$81,MATCH($E1516,科目表!$B$4:$B$81,0)),""))</f>
        <v/>
      </c>
      <c r="G1516" s="26" t="str">
        <f>IF($E1516="","",IFERROR(INDEX(科目表!$E$4:$E$81,MATCH($E1516,科目表!$B$4:$B$81,0)),""))</f>
        <v/>
      </c>
      <c r="H1516" s="27" t="str">
        <f>IF($E1516="","",N(INDEX(资金日记账!$N$4:$S$603,304,2)))</f>
        <v/>
      </c>
      <c r="I1516" s="27" t="str">
        <f>IF($E1516="","",N(INDEX(资金日记账!$N$4:$S$603,304,3)))</f>
        <v/>
      </c>
      <c r="J1516" s="26" t="str">
        <f>IF($E1516="","",INDEX(资金日记账!$E$4:$E$603,304))</f>
        <v/>
      </c>
      <c r="K1516" s="26" t="str">
        <f>IF($E1516="","",INDEX(资金日记账!$F$4:$F$603,304))</f>
        <v/>
      </c>
      <c r="L1516" s="32" t="str">
        <f>IF($E1516="","",INDEX(资金日记账!$X$4:$X$603,304))</f>
        <v/>
      </c>
      <c r="M1516" s="32"/>
      <c r="N1516" s="26" t="str">
        <f>IF($E1516="","",INDEX(资金日记账!$Y$4:$Y$603,304))</f>
        <v/>
      </c>
      <c r="O1516" s="26" t="str">
        <f t="shared" si="78"/>
        <v/>
      </c>
      <c r="P1516" s="10"/>
    </row>
    <row r="1517" ht="18" customHeight="1" spans="1:16">
      <c r="A1517" s="32" t="str">
        <f t="shared" si="77"/>
        <v/>
      </c>
      <c r="B1517" s="100" t="str">
        <f>IF($E1517="","",INDEX(资金日记账!$B$4:$B$603,304))</f>
        <v/>
      </c>
      <c r="C1517" s="26" t="str">
        <f>IF($E1517="","",IF(INDEX(资金日记账!$W$4:$W$603,304)="","记-"&amp;TEXT($B1517,"YYYYMM")&amp;"-资金",INDEX(资金日记账!$W$4:$W$603,304)))</f>
        <v/>
      </c>
      <c r="D1517" s="32" t="str">
        <f>IF($E1517="","",INDEX(资金日记账!$D$4:$D$603,304))</f>
        <v/>
      </c>
      <c r="E1517" s="26" t="str">
        <f>IF(INDEX(资金日记账!$N$4:$S$603,304,4)=0,"",INDEX(资金日记账!$N$4:$S$603,304,4))</f>
        <v/>
      </c>
      <c r="F1517" s="25" t="str">
        <f>IF($E1517="","",IFERROR(INDEX(科目表!$A$4:$A$81,MATCH($E1517,科目表!$B$4:$B$81,0)),""))</f>
        <v/>
      </c>
      <c r="G1517" s="26" t="str">
        <f>IF($E1517="","",IFERROR(INDEX(科目表!$E$4:$E$81,MATCH($E1517,科目表!$B$4:$B$81,0)),""))</f>
        <v/>
      </c>
      <c r="H1517" s="27" t="str">
        <f>IF($E1517="","",N(INDEX(资金日记账!$N$4:$S$603,304,5)))</f>
        <v/>
      </c>
      <c r="I1517" s="27" t="str">
        <f>IF($E1517="","",N(INDEX(资金日记账!$N$4:$S$603,304,6)))</f>
        <v/>
      </c>
      <c r="J1517" s="26" t="str">
        <f>IF($E1517="","",INDEX(资金日记账!$E$4:$E$603,304))</f>
        <v/>
      </c>
      <c r="K1517" s="26" t="str">
        <f>IF($E1517="","",INDEX(资金日记账!$F$4:$F$603,304))</f>
        <v/>
      </c>
      <c r="L1517" s="32" t="str">
        <f>IF($E1517="","",INDEX(资金日记账!$X$4:$X$603,304))</f>
        <v/>
      </c>
      <c r="M1517" s="32"/>
      <c r="N1517" s="26" t="str">
        <f>IF($E1517="","",INDEX(资金日记账!$Y$4:$Y$603,304))</f>
        <v/>
      </c>
      <c r="O1517" s="26" t="str">
        <f t="shared" si="78"/>
        <v/>
      </c>
      <c r="P1517" s="10"/>
    </row>
    <row r="1518" ht="18" customHeight="1" spans="1:16">
      <c r="A1518" s="32" t="str">
        <f t="shared" si="77"/>
        <v/>
      </c>
      <c r="B1518" s="100" t="str">
        <f>IF($E1518="","",INDEX(资金日记账!$B$4:$B$603,305))</f>
        <v/>
      </c>
      <c r="C1518" s="26" t="str">
        <f>IF($E1518="","",IF(INDEX(资金日记账!$W$4:$W$603,305)="","记-"&amp;TEXT($B1518,"YYYYMM")&amp;"-资金",INDEX(资金日记账!$W$4:$W$603,305)))</f>
        <v/>
      </c>
      <c r="D1518" s="32" t="str">
        <f>IF($E1518="","",INDEX(资金日记账!$D$4:$D$603,305))</f>
        <v/>
      </c>
      <c r="E1518" s="26" t="str">
        <f>IF(INDEX(资金日记账!$N$4:$S$603,305,1)=0,"",INDEX(资金日记账!$N$4:$S$603,305,1))</f>
        <v/>
      </c>
      <c r="F1518" s="25" t="str">
        <f>IF($E1518="","",IFERROR(INDEX(科目表!$A$4:$A$81,MATCH($E1518,科目表!$B$4:$B$81,0)),""))</f>
        <v/>
      </c>
      <c r="G1518" s="26" t="str">
        <f>IF($E1518="","",IFERROR(INDEX(科目表!$E$4:$E$81,MATCH($E1518,科目表!$B$4:$B$81,0)),""))</f>
        <v/>
      </c>
      <c r="H1518" s="27" t="str">
        <f>IF($E1518="","",N(INDEX(资金日记账!$N$4:$S$603,305,2)))</f>
        <v/>
      </c>
      <c r="I1518" s="27" t="str">
        <f>IF($E1518="","",N(INDEX(资金日记账!$N$4:$S$603,305,3)))</f>
        <v/>
      </c>
      <c r="J1518" s="26" t="str">
        <f>IF($E1518="","",INDEX(资金日记账!$E$4:$E$603,305))</f>
        <v/>
      </c>
      <c r="K1518" s="26" t="str">
        <f>IF($E1518="","",INDEX(资金日记账!$F$4:$F$603,305))</f>
        <v/>
      </c>
      <c r="L1518" s="32" t="str">
        <f>IF($E1518="","",INDEX(资金日记账!$X$4:$X$603,305))</f>
        <v/>
      </c>
      <c r="M1518" s="32"/>
      <c r="N1518" s="26" t="str">
        <f>IF($E1518="","",INDEX(资金日记账!$Y$4:$Y$603,305))</f>
        <v/>
      </c>
      <c r="O1518" s="26" t="str">
        <f t="shared" si="78"/>
        <v/>
      </c>
      <c r="P1518" s="10"/>
    </row>
    <row r="1519" ht="18" customHeight="1" spans="1:16">
      <c r="A1519" s="32" t="str">
        <f t="shared" si="77"/>
        <v/>
      </c>
      <c r="B1519" s="100" t="str">
        <f>IF($E1519="","",INDEX(资金日记账!$B$4:$B$603,305))</f>
        <v/>
      </c>
      <c r="C1519" s="26" t="str">
        <f>IF($E1519="","",IF(INDEX(资金日记账!$W$4:$W$603,305)="","记-"&amp;TEXT($B1519,"YYYYMM")&amp;"-资金",INDEX(资金日记账!$W$4:$W$603,305)))</f>
        <v/>
      </c>
      <c r="D1519" s="32" t="str">
        <f>IF($E1519="","",INDEX(资金日记账!$D$4:$D$603,305))</f>
        <v/>
      </c>
      <c r="E1519" s="26" t="str">
        <f>IF(INDEX(资金日记账!$N$4:$S$603,305,4)=0,"",INDEX(资金日记账!$N$4:$S$603,305,4))</f>
        <v/>
      </c>
      <c r="F1519" s="25" t="str">
        <f>IF($E1519="","",IFERROR(INDEX(科目表!$A$4:$A$81,MATCH($E1519,科目表!$B$4:$B$81,0)),""))</f>
        <v/>
      </c>
      <c r="G1519" s="26" t="str">
        <f>IF($E1519="","",IFERROR(INDEX(科目表!$E$4:$E$81,MATCH($E1519,科目表!$B$4:$B$81,0)),""))</f>
        <v/>
      </c>
      <c r="H1519" s="27" t="str">
        <f>IF($E1519="","",N(INDEX(资金日记账!$N$4:$S$603,305,5)))</f>
        <v/>
      </c>
      <c r="I1519" s="27" t="str">
        <f>IF($E1519="","",N(INDEX(资金日记账!$N$4:$S$603,305,6)))</f>
        <v/>
      </c>
      <c r="J1519" s="26" t="str">
        <f>IF($E1519="","",INDEX(资金日记账!$E$4:$E$603,305))</f>
        <v/>
      </c>
      <c r="K1519" s="26" t="str">
        <f>IF($E1519="","",INDEX(资金日记账!$F$4:$F$603,305))</f>
        <v/>
      </c>
      <c r="L1519" s="32" t="str">
        <f>IF($E1519="","",INDEX(资金日记账!$X$4:$X$603,305))</f>
        <v/>
      </c>
      <c r="M1519" s="32"/>
      <c r="N1519" s="26" t="str">
        <f>IF($E1519="","",INDEX(资金日记账!$Y$4:$Y$603,305))</f>
        <v/>
      </c>
      <c r="O1519" s="26" t="str">
        <f t="shared" si="78"/>
        <v/>
      </c>
      <c r="P1519" s="10"/>
    </row>
    <row r="1520" ht="18" customHeight="1" spans="1:16">
      <c r="A1520" s="32" t="str">
        <f t="shared" si="77"/>
        <v/>
      </c>
      <c r="B1520" s="100" t="str">
        <f>IF($E1520="","",INDEX(资金日记账!$B$4:$B$603,306))</f>
        <v/>
      </c>
      <c r="C1520" s="26" t="str">
        <f>IF($E1520="","",IF(INDEX(资金日记账!$W$4:$W$603,306)="","记-"&amp;TEXT($B1520,"YYYYMM")&amp;"-资金",INDEX(资金日记账!$W$4:$W$603,306)))</f>
        <v/>
      </c>
      <c r="D1520" s="32" t="str">
        <f>IF($E1520="","",INDEX(资金日记账!$D$4:$D$603,306))</f>
        <v/>
      </c>
      <c r="E1520" s="26" t="str">
        <f>IF(INDEX(资金日记账!$N$4:$S$603,306,1)=0,"",INDEX(资金日记账!$N$4:$S$603,306,1))</f>
        <v/>
      </c>
      <c r="F1520" s="25" t="str">
        <f>IF($E1520="","",IFERROR(INDEX(科目表!$A$4:$A$81,MATCH($E1520,科目表!$B$4:$B$81,0)),""))</f>
        <v/>
      </c>
      <c r="G1520" s="26" t="str">
        <f>IF($E1520="","",IFERROR(INDEX(科目表!$E$4:$E$81,MATCH($E1520,科目表!$B$4:$B$81,0)),""))</f>
        <v/>
      </c>
      <c r="H1520" s="27" t="str">
        <f>IF($E1520="","",N(INDEX(资金日记账!$N$4:$S$603,306,2)))</f>
        <v/>
      </c>
      <c r="I1520" s="27" t="str">
        <f>IF($E1520="","",N(INDEX(资金日记账!$N$4:$S$603,306,3)))</f>
        <v/>
      </c>
      <c r="J1520" s="26" t="str">
        <f>IF($E1520="","",INDEX(资金日记账!$E$4:$E$603,306))</f>
        <v/>
      </c>
      <c r="K1520" s="26" t="str">
        <f>IF($E1520="","",INDEX(资金日记账!$F$4:$F$603,306))</f>
        <v/>
      </c>
      <c r="L1520" s="32" t="str">
        <f>IF($E1520="","",INDEX(资金日记账!$X$4:$X$603,306))</f>
        <v/>
      </c>
      <c r="M1520" s="32"/>
      <c r="N1520" s="26" t="str">
        <f>IF($E1520="","",INDEX(资金日记账!$Y$4:$Y$603,306))</f>
        <v/>
      </c>
      <c r="O1520" s="26" t="str">
        <f t="shared" si="78"/>
        <v/>
      </c>
      <c r="P1520" s="10"/>
    </row>
    <row r="1521" ht="18" customHeight="1" spans="1:16">
      <c r="A1521" s="32" t="str">
        <f t="shared" si="77"/>
        <v/>
      </c>
      <c r="B1521" s="100" t="str">
        <f>IF($E1521="","",INDEX(资金日记账!$B$4:$B$603,306))</f>
        <v/>
      </c>
      <c r="C1521" s="26" t="str">
        <f>IF($E1521="","",IF(INDEX(资金日记账!$W$4:$W$603,306)="","记-"&amp;TEXT($B1521,"YYYYMM")&amp;"-资金",INDEX(资金日记账!$W$4:$W$603,306)))</f>
        <v/>
      </c>
      <c r="D1521" s="32" t="str">
        <f>IF($E1521="","",INDEX(资金日记账!$D$4:$D$603,306))</f>
        <v/>
      </c>
      <c r="E1521" s="26" t="str">
        <f>IF(INDEX(资金日记账!$N$4:$S$603,306,4)=0,"",INDEX(资金日记账!$N$4:$S$603,306,4))</f>
        <v/>
      </c>
      <c r="F1521" s="25" t="str">
        <f>IF($E1521="","",IFERROR(INDEX(科目表!$A$4:$A$81,MATCH($E1521,科目表!$B$4:$B$81,0)),""))</f>
        <v/>
      </c>
      <c r="G1521" s="26" t="str">
        <f>IF($E1521="","",IFERROR(INDEX(科目表!$E$4:$E$81,MATCH($E1521,科目表!$B$4:$B$81,0)),""))</f>
        <v/>
      </c>
      <c r="H1521" s="27" t="str">
        <f>IF($E1521="","",N(INDEX(资金日记账!$N$4:$S$603,306,5)))</f>
        <v/>
      </c>
      <c r="I1521" s="27" t="str">
        <f>IF($E1521="","",N(INDEX(资金日记账!$N$4:$S$603,306,6)))</f>
        <v/>
      </c>
      <c r="J1521" s="26" t="str">
        <f>IF($E1521="","",INDEX(资金日记账!$E$4:$E$603,306))</f>
        <v/>
      </c>
      <c r="K1521" s="26" t="str">
        <f>IF($E1521="","",INDEX(资金日记账!$F$4:$F$603,306))</f>
        <v/>
      </c>
      <c r="L1521" s="32" t="str">
        <f>IF($E1521="","",INDEX(资金日记账!$X$4:$X$603,306))</f>
        <v/>
      </c>
      <c r="M1521" s="32"/>
      <c r="N1521" s="26" t="str">
        <f>IF($E1521="","",INDEX(资金日记账!$Y$4:$Y$603,306))</f>
        <v/>
      </c>
      <c r="O1521" s="26" t="str">
        <f t="shared" si="78"/>
        <v/>
      </c>
      <c r="P1521" s="10"/>
    </row>
    <row r="1522" ht="18" customHeight="1" spans="1:16">
      <c r="A1522" s="32" t="str">
        <f t="shared" si="77"/>
        <v/>
      </c>
      <c r="B1522" s="100" t="str">
        <f>IF($E1522="","",INDEX(资金日记账!$B$4:$B$603,307))</f>
        <v/>
      </c>
      <c r="C1522" s="26" t="str">
        <f>IF($E1522="","",IF(INDEX(资金日记账!$W$4:$W$603,307)="","记-"&amp;TEXT($B1522,"YYYYMM")&amp;"-资金",INDEX(资金日记账!$W$4:$W$603,307)))</f>
        <v/>
      </c>
      <c r="D1522" s="32" t="str">
        <f>IF($E1522="","",INDEX(资金日记账!$D$4:$D$603,307))</f>
        <v/>
      </c>
      <c r="E1522" s="26" t="str">
        <f>IF(INDEX(资金日记账!$N$4:$S$603,307,1)=0,"",INDEX(资金日记账!$N$4:$S$603,307,1))</f>
        <v/>
      </c>
      <c r="F1522" s="25" t="str">
        <f>IF($E1522="","",IFERROR(INDEX(科目表!$A$4:$A$81,MATCH($E1522,科目表!$B$4:$B$81,0)),""))</f>
        <v/>
      </c>
      <c r="G1522" s="26" t="str">
        <f>IF($E1522="","",IFERROR(INDEX(科目表!$E$4:$E$81,MATCH($E1522,科目表!$B$4:$B$81,0)),""))</f>
        <v/>
      </c>
      <c r="H1522" s="27" t="str">
        <f>IF($E1522="","",N(INDEX(资金日记账!$N$4:$S$603,307,2)))</f>
        <v/>
      </c>
      <c r="I1522" s="27" t="str">
        <f>IF($E1522="","",N(INDEX(资金日记账!$N$4:$S$603,307,3)))</f>
        <v/>
      </c>
      <c r="J1522" s="26" t="str">
        <f>IF($E1522="","",INDEX(资金日记账!$E$4:$E$603,307))</f>
        <v/>
      </c>
      <c r="K1522" s="26" t="str">
        <f>IF($E1522="","",INDEX(资金日记账!$F$4:$F$603,307))</f>
        <v/>
      </c>
      <c r="L1522" s="32" t="str">
        <f>IF($E1522="","",INDEX(资金日记账!$X$4:$X$603,307))</f>
        <v/>
      </c>
      <c r="M1522" s="32"/>
      <c r="N1522" s="26" t="str">
        <f>IF($E1522="","",INDEX(资金日记账!$Y$4:$Y$603,307))</f>
        <v/>
      </c>
      <c r="O1522" s="26" t="str">
        <f t="shared" si="78"/>
        <v/>
      </c>
      <c r="P1522" s="10"/>
    </row>
    <row r="1523" ht="18" customHeight="1" spans="1:16">
      <c r="A1523" s="32" t="str">
        <f t="shared" si="77"/>
        <v/>
      </c>
      <c r="B1523" s="100" t="str">
        <f>IF($E1523="","",INDEX(资金日记账!$B$4:$B$603,307))</f>
        <v/>
      </c>
      <c r="C1523" s="26" t="str">
        <f>IF($E1523="","",IF(INDEX(资金日记账!$W$4:$W$603,307)="","记-"&amp;TEXT($B1523,"YYYYMM")&amp;"-资金",INDEX(资金日记账!$W$4:$W$603,307)))</f>
        <v/>
      </c>
      <c r="D1523" s="32" t="str">
        <f>IF($E1523="","",INDEX(资金日记账!$D$4:$D$603,307))</f>
        <v/>
      </c>
      <c r="E1523" s="26" t="str">
        <f>IF(INDEX(资金日记账!$N$4:$S$603,307,4)=0,"",INDEX(资金日记账!$N$4:$S$603,307,4))</f>
        <v/>
      </c>
      <c r="F1523" s="25" t="str">
        <f>IF($E1523="","",IFERROR(INDEX(科目表!$A$4:$A$81,MATCH($E1523,科目表!$B$4:$B$81,0)),""))</f>
        <v/>
      </c>
      <c r="G1523" s="26" t="str">
        <f>IF($E1523="","",IFERROR(INDEX(科目表!$E$4:$E$81,MATCH($E1523,科目表!$B$4:$B$81,0)),""))</f>
        <v/>
      </c>
      <c r="H1523" s="27" t="str">
        <f>IF($E1523="","",N(INDEX(资金日记账!$N$4:$S$603,307,5)))</f>
        <v/>
      </c>
      <c r="I1523" s="27" t="str">
        <f>IF($E1523="","",N(INDEX(资金日记账!$N$4:$S$603,307,6)))</f>
        <v/>
      </c>
      <c r="J1523" s="26" t="str">
        <f>IF($E1523="","",INDEX(资金日记账!$E$4:$E$603,307))</f>
        <v/>
      </c>
      <c r="K1523" s="26" t="str">
        <f>IF($E1523="","",INDEX(资金日记账!$F$4:$F$603,307))</f>
        <v/>
      </c>
      <c r="L1523" s="32" t="str">
        <f>IF($E1523="","",INDEX(资金日记账!$X$4:$X$603,307))</f>
        <v/>
      </c>
      <c r="M1523" s="32"/>
      <c r="N1523" s="26" t="str">
        <f>IF($E1523="","",INDEX(资金日记账!$Y$4:$Y$603,307))</f>
        <v/>
      </c>
      <c r="O1523" s="26" t="str">
        <f t="shared" si="78"/>
        <v/>
      </c>
      <c r="P1523" s="10"/>
    </row>
    <row r="1524" ht="18" customHeight="1" spans="1:16">
      <c r="A1524" s="32" t="str">
        <f t="shared" si="77"/>
        <v/>
      </c>
      <c r="B1524" s="100" t="str">
        <f>IF($E1524="","",INDEX(资金日记账!$B$4:$B$603,308))</f>
        <v/>
      </c>
      <c r="C1524" s="26" t="str">
        <f>IF($E1524="","",IF(INDEX(资金日记账!$W$4:$W$603,308)="","记-"&amp;TEXT($B1524,"YYYYMM")&amp;"-资金",INDEX(资金日记账!$W$4:$W$603,308)))</f>
        <v/>
      </c>
      <c r="D1524" s="32" t="str">
        <f>IF($E1524="","",INDEX(资金日记账!$D$4:$D$603,308))</f>
        <v/>
      </c>
      <c r="E1524" s="26" t="str">
        <f>IF(INDEX(资金日记账!$N$4:$S$603,308,1)=0,"",INDEX(资金日记账!$N$4:$S$603,308,1))</f>
        <v/>
      </c>
      <c r="F1524" s="25" t="str">
        <f>IF($E1524="","",IFERROR(INDEX(科目表!$A$4:$A$81,MATCH($E1524,科目表!$B$4:$B$81,0)),""))</f>
        <v/>
      </c>
      <c r="G1524" s="26" t="str">
        <f>IF($E1524="","",IFERROR(INDEX(科目表!$E$4:$E$81,MATCH($E1524,科目表!$B$4:$B$81,0)),""))</f>
        <v/>
      </c>
      <c r="H1524" s="27" t="str">
        <f>IF($E1524="","",N(INDEX(资金日记账!$N$4:$S$603,308,2)))</f>
        <v/>
      </c>
      <c r="I1524" s="27" t="str">
        <f>IF($E1524="","",N(INDEX(资金日记账!$N$4:$S$603,308,3)))</f>
        <v/>
      </c>
      <c r="J1524" s="26" t="str">
        <f>IF($E1524="","",INDEX(资金日记账!$E$4:$E$603,308))</f>
        <v/>
      </c>
      <c r="K1524" s="26" t="str">
        <f>IF($E1524="","",INDEX(资金日记账!$F$4:$F$603,308))</f>
        <v/>
      </c>
      <c r="L1524" s="32" t="str">
        <f>IF($E1524="","",INDEX(资金日记账!$X$4:$X$603,308))</f>
        <v/>
      </c>
      <c r="M1524" s="32"/>
      <c r="N1524" s="26" t="str">
        <f>IF($E1524="","",INDEX(资金日记账!$Y$4:$Y$603,308))</f>
        <v/>
      </c>
      <c r="O1524" s="26" t="str">
        <f t="shared" si="78"/>
        <v/>
      </c>
      <c r="P1524" s="10"/>
    </row>
    <row r="1525" ht="18" customHeight="1" spans="1:16">
      <c r="A1525" s="32" t="str">
        <f t="shared" si="77"/>
        <v/>
      </c>
      <c r="B1525" s="100" t="str">
        <f>IF($E1525="","",INDEX(资金日记账!$B$4:$B$603,308))</f>
        <v/>
      </c>
      <c r="C1525" s="26" t="str">
        <f>IF($E1525="","",IF(INDEX(资金日记账!$W$4:$W$603,308)="","记-"&amp;TEXT($B1525,"YYYYMM")&amp;"-资金",INDEX(资金日记账!$W$4:$W$603,308)))</f>
        <v/>
      </c>
      <c r="D1525" s="32" t="str">
        <f>IF($E1525="","",INDEX(资金日记账!$D$4:$D$603,308))</f>
        <v/>
      </c>
      <c r="E1525" s="26" t="str">
        <f>IF(INDEX(资金日记账!$N$4:$S$603,308,4)=0,"",INDEX(资金日记账!$N$4:$S$603,308,4))</f>
        <v/>
      </c>
      <c r="F1525" s="25" t="str">
        <f>IF($E1525="","",IFERROR(INDEX(科目表!$A$4:$A$81,MATCH($E1525,科目表!$B$4:$B$81,0)),""))</f>
        <v/>
      </c>
      <c r="G1525" s="26" t="str">
        <f>IF($E1525="","",IFERROR(INDEX(科目表!$E$4:$E$81,MATCH($E1525,科目表!$B$4:$B$81,0)),""))</f>
        <v/>
      </c>
      <c r="H1525" s="27" t="str">
        <f>IF($E1525="","",N(INDEX(资金日记账!$N$4:$S$603,308,5)))</f>
        <v/>
      </c>
      <c r="I1525" s="27" t="str">
        <f>IF($E1525="","",N(INDEX(资金日记账!$N$4:$S$603,308,6)))</f>
        <v/>
      </c>
      <c r="J1525" s="26" t="str">
        <f>IF($E1525="","",INDEX(资金日记账!$E$4:$E$603,308))</f>
        <v/>
      </c>
      <c r="K1525" s="26" t="str">
        <f>IF($E1525="","",INDEX(资金日记账!$F$4:$F$603,308))</f>
        <v/>
      </c>
      <c r="L1525" s="32" t="str">
        <f>IF($E1525="","",INDEX(资金日记账!$X$4:$X$603,308))</f>
        <v/>
      </c>
      <c r="M1525" s="32"/>
      <c r="N1525" s="26" t="str">
        <f>IF($E1525="","",INDEX(资金日记账!$Y$4:$Y$603,308))</f>
        <v/>
      </c>
      <c r="O1525" s="26" t="str">
        <f t="shared" si="78"/>
        <v/>
      </c>
      <c r="P1525" s="10"/>
    </row>
    <row r="1526" ht="18" customHeight="1" spans="1:16">
      <c r="A1526" s="32" t="str">
        <f t="shared" si="77"/>
        <v/>
      </c>
      <c r="B1526" s="100" t="str">
        <f>IF($E1526="","",INDEX(资金日记账!$B$4:$B$603,309))</f>
        <v/>
      </c>
      <c r="C1526" s="26" t="str">
        <f>IF($E1526="","",IF(INDEX(资金日记账!$W$4:$W$603,309)="","记-"&amp;TEXT($B1526,"YYYYMM")&amp;"-资金",INDEX(资金日记账!$W$4:$W$603,309)))</f>
        <v/>
      </c>
      <c r="D1526" s="32" t="str">
        <f>IF($E1526="","",INDEX(资金日记账!$D$4:$D$603,309))</f>
        <v/>
      </c>
      <c r="E1526" s="26" t="str">
        <f>IF(INDEX(资金日记账!$N$4:$S$603,309,1)=0,"",INDEX(资金日记账!$N$4:$S$603,309,1))</f>
        <v/>
      </c>
      <c r="F1526" s="25" t="str">
        <f>IF($E1526="","",IFERROR(INDEX(科目表!$A$4:$A$81,MATCH($E1526,科目表!$B$4:$B$81,0)),""))</f>
        <v/>
      </c>
      <c r="G1526" s="26" t="str">
        <f>IF($E1526="","",IFERROR(INDEX(科目表!$E$4:$E$81,MATCH($E1526,科目表!$B$4:$B$81,0)),""))</f>
        <v/>
      </c>
      <c r="H1526" s="27" t="str">
        <f>IF($E1526="","",N(INDEX(资金日记账!$N$4:$S$603,309,2)))</f>
        <v/>
      </c>
      <c r="I1526" s="27" t="str">
        <f>IF($E1526="","",N(INDEX(资金日记账!$N$4:$S$603,309,3)))</f>
        <v/>
      </c>
      <c r="J1526" s="26" t="str">
        <f>IF($E1526="","",INDEX(资金日记账!$E$4:$E$603,309))</f>
        <v/>
      </c>
      <c r="K1526" s="26" t="str">
        <f>IF($E1526="","",INDEX(资金日记账!$F$4:$F$603,309))</f>
        <v/>
      </c>
      <c r="L1526" s="32" t="str">
        <f>IF($E1526="","",INDEX(资金日记账!$X$4:$X$603,309))</f>
        <v/>
      </c>
      <c r="M1526" s="32"/>
      <c r="N1526" s="26" t="str">
        <f>IF($E1526="","",INDEX(资金日记账!$Y$4:$Y$603,309))</f>
        <v/>
      </c>
      <c r="O1526" s="26" t="str">
        <f t="shared" si="78"/>
        <v/>
      </c>
      <c r="P1526" s="10"/>
    </row>
    <row r="1527" ht="18" customHeight="1" spans="1:16">
      <c r="A1527" s="32" t="str">
        <f t="shared" si="77"/>
        <v/>
      </c>
      <c r="B1527" s="100" t="str">
        <f>IF($E1527="","",INDEX(资金日记账!$B$4:$B$603,309))</f>
        <v/>
      </c>
      <c r="C1527" s="26" t="str">
        <f>IF($E1527="","",IF(INDEX(资金日记账!$W$4:$W$603,309)="","记-"&amp;TEXT($B1527,"YYYYMM")&amp;"-资金",INDEX(资金日记账!$W$4:$W$603,309)))</f>
        <v/>
      </c>
      <c r="D1527" s="32" t="str">
        <f>IF($E1527="","",INDEX(资金日记账!$D$4:$D$603,309))</f>
        <v/>
      </c>
      <c r="E1527" s="26" t="str">
        <f>IF(INDEX(资金日记账!$N$4:$S$603,309,4)=0,"",INDEX(资金日记账!$N$4:$S$603,309,4))</f>
        <v/>
      </c>
      <c r="F1527" s="25" t="str">
        <f>IF($E1527="","",IFERROR(INDEX(科目表!$A$4:$A$81,MATCH($E1527,科目表!$B$4:$B$81,0)),""))</f>
        <v/>
      </c>
      <c r="G1527" s="26" t="str">
        <f>IF($E1527="","",IFERROR(INDEX(科目表!$E$4:$E$81,MATCH($E1527,科目表!$B$4:$B$81,0)),""))</f>
        <v/>
      </c>
      <c r="H1527" s="27" t="str">
        <f>IF($E1527="","",N(INDEX(资金日记账!$N$4:$S$603,309,5)))</f>
        <v/>
      </c>
      <c r="I1527" s="27" t="str">
        <f>IF($E1527="","",N(INDEX(资金日记账!$N$4:$S$603,309,6)))</f>
        <v/>
      </c>
      <c r="J1527" s="26" t="str">
        <f>IF($E1527="","",INDEX(资金日记账!$E$4:$E$603,309))</f>
        <v/>
      </c>
      <c r="K1527" s="26" t="str">
        <f>IF($E1527="","",INDEX(资金日记账!$F$4:$F$603,309))</f>
        <v/>
      </c>
      <c r="L1527" s="32" t="str">
        <f>IF($E1527="","",INDEX(资金日记账!$X$4:$X$603,309))</f>
        <v/>
      </c>
      <c r="M1527" s="32"/>
      <c r="N1527" s="26" t="str">
        <f>IF($E1527="","",INDEX(资金日记账!$Y$4:$Y$603,309))</f>
        <v/>
      </c>
      <c r="O1527" s="26" t="str">
        <f t="shared" si="78"/>
        <v/>
      </c>
      <c r="P1527" s="10"/>
    </row>
    <row r="1528" ht="18" customHeight="1" spans="1:16">
      <c r="A1528" s="32" t="str">
        <f t="shared" si="77"/>
        <v/>
      </c>
      <c r="B1528" s="100" t="str">
        <f>IF($E1528="","",INDEX(资金日记账!$B$4:$B$603,310))</f>
        <v/>
      </c>
      <c r="C1528" s="26" t="str">
        <f>IF($E1528="","",IF(INDEX(资金日记账!$W$4:$W$603,310)="","记-"&amp;TEXT($B1528,"YYYYMM")&amp;"-资金",INDEX(资金日记账!$W$4:$W$603,310)))</f>
        <v/>
      </c>
      <c r="D1528" s="32" t="str">
        <f>IF($E1528="","",INDEX(资金日记账!$D$4:$D$603,310))</f>
        <v/>
      </c>
      <c r="E1528" s="26" t="str">
        <f>IF(INDEX(资金日记账!$N$4:$S$603,310,1)=0,"",INDEX(资金日记账!$N$4:$S$603,310,1))</f>
        <v/>
      </c>
      <c r="F1528" s="25" t="str">
        <f>IF($E1528="","",IFERROR(INDEX(科目表!$A$4:$A$81,MATCH($E1528,科目表!$B$4:$B$81,0)),""))</f>
        <v/>
      </c>
      <c r="G1528" s="26" t="str">
        <f>IF($E1528="","",IFERROR(INDEX(科目表!$E$4:$E$81,MATCH($E1528,科目表!$B$4:$B$81,0)),""))</f>
        <v/>
      </c>
      <c r="H1528" s="27" t="str">
        <f>IF($E1528="","",N(INDEX(资金日记账!$N$4:$S$603,310,2)))</f>
        <v/>
      </c>
      <c r="I1528" s="27" t="str">
        <f>IF($E1528="","",N(INDEX(资金日记账!$N$4:$S$603,310,3)))</f>
        <v/>
      </c>
      <c r="J1528" s="26" t="str">
        <f>IF($E1528="","",INDEX(资金日记账!$E$4:$E$603,310))</f>
        <v/>
      </c>
      <c r="K1528" s="26" t="str">
        <f>IF($E1528="","",INDEX(资金日记账!$F$4:$F$603,310))</f>
        <v/>
      </c>
      <c r="L1528" s="32" t="str">
        <f>IF($E1528="","",INDEX(资金日记账!$X$4:$X$603,310))</f>
        <v/>
      </c>
      <c r="M1528" s="32"/>
      <c r="N1528" s="26" t="str">
        <f>IF($E1528="","",INDEX(资金日记账!$Y$4:$Y$603,310))</f>
        <v/>
      </c>
      <c r="O1528" s="26" t="str">
        <f t="shared" si="78"/>
        <v/>
      </c>
      <c r="P1528" s="10"/>
    </row>
    <row r="1529" ht="18" customHeight="1" spans="1:16">
      <c r="A1529" s="32" t="str">
        <f t="shared" si="77"/>
        <v/>
      </c>
      <c r="B1529" s="100" t="str">
        <f>IF($E1529="","",INDEX(资金日记账!$B$4:$B$603,310))</f>
        <v/>
      </c>
      <c r="C1529" s="26" t="str">
        <f>IF($E1529="","",IF(INDEX(资金日记账!$W$4:$W$603,310)="","记-"&amp;TEXT($B1529,"YYYYMM")&amp;"-资金",INDEX(资金日记账!$W$4:$W$603,310)))</f>
        <v/>
      </c>
      <c r="D1529" s="32" t="str">
        <f>IF($E1529="","",INDEX(资金日记账!$D$4:$D$603,310))</f>
        <v/>
      </c>
      <c r="E1529" s="26" t="str">
        <f>IF(INDEX(资金日记账!$N$4:$S$603,310,4)=0,"",INDEX(资金日记账!$N$4:$S$603,310,4))</f>
        <v/>
      </c>
      <c r="F1529" s="25" t="str">
        <f>IF($E1529="","",IFERROR(INDEX(科目表!$A$4:$A$81,MATCH($E1529,科目表!$B$4:$B$81,0)),""))</f>
        <v/>
      </c>
      <c r="G1529" s="26" t="str">
        <f>IF($E1529="","",IFERROR(INDEX(科目表!$E$4:$E$81,MATCH($E1529,科目表!$B$4:$B$81,0)),""))</f>
        <v/>
      </c>
      <c r="H1529" s="27" t="str">
        <f>IF($E1529="","",N(INDEX(资金日记账!$N$4:$S$603,310,5)))</f>
        <v/>
      </c>
      <c r="I1529" s="27" t="str">
        <f>IF($E1529="","",N(INDEX(资金日记账!$N$4:$S$603,310,6)))</f>
        <v/>
      </c>
      <c r="J1529" s="26" t="str">
        <f>IF($E1529="","",INDEX(资金日记账!$E$4:$E$603,310))</f>
        <v/>
      </c>
      <c r="K1529" s="26" t="str">
        <f>IF($E1529="","",INDEX(资金日记账!$F$4:$F$603,310))</f>
        <v/>
      </c>
      <c r="L1529" s="32" t="str">
        <f>IF($E1529="","",INDEX(资金日记账!$X$4:$X$603,310))</f>
        <v/>
      </c>
      <c r="M1529" s="32"/>
      <c r="N1529" s="26" t="str">
        <f>IF($E1529="","",INDEX(资金日记账!$Y$4:$Y$603,310))</f>
        <v/>
      </c>
      <c r="O1529" s="26" t="str">
        <f t="shared" si="78"/>
        <v/>
      </c>
      <c r="P1529" s="10"/>
    </row>
    <row r="1530" ht="18" customHeight="1" spans="1:16">
      <c r="A1530" s="32" t="str">
        <f t="shared" si="77"/>
        <v/>
      </c>
      <c r="B1530" s="100" t="str">
        <f>IF($E1530="","",INDEX(资金日记账!$B$4:$B$603,311))</f>
        <v/>
      </c>
      <c r="C1530" s="26" t="str">
        <f>IF($E1530="","",IF(INDEX(资金日记账!$W$4:$W$603,311)="","记-"&amp;TEXT($B1530,"YYYYMM")&amp;"-资金",INDEX(资金日记账!$W$4:$W$603,311)))</f>
        <v/>
      </c>
      <c r="D1530" s="32" t="str">
        <f>IF($E1530="","",INDEX(资金日记账!$D$4:$D$603,311))</f>
        <v/>
      </c>
      <c r="E1530" s="26" t="str">
        <f>IF(INDEX(资金日记账!$N$4:$S$603,311,1)=0,"",INDEX(资金日记账!$N$4:$S$603,311,1))</f>
        <v/>
      </c>
      <c r="F1530" s="25" t="str">
        <f>IF($E1530="","",IFERROR(INDEX(科目表!$A$4:$A$81,MATCH($E1530,科目表!$B$4:$B$81,0)),""))</f>
        <v/>
      </c>
      <c r="G1530" s="26" t="str">
        <f>IF($E1530="","",IFERROR(INDEX(科目表!$E$4:$E$81,MATCH($E1530,科目表!$B$4:$B$81,0)),""))</f>
        <v/>
      </c>
      <c r="H1530" s="27" t="str">
        <f>IF($E1530="","",N(INDEX(资金日记账!$N$4:$S$603,311,2)))</f>
        <v/>
      </c>
      <c r="I1530" s="27" t="str">
        <f>IF($E1530="","",N(INDEX(资金日记账!$N$4:$S$603,311,3)))</f>
        <v/>
      </c>
      <c r="J1530" s="26" t="str">
        <f>IF($E1530="","",INDEX(资金日记账!$E$4:$E$603,311))</f>
        <v/>
      </c>
      <c r="K1530" s="26" t="str">
        <f>IF($E1530="","",INDEX(资金日记账!$F$4:$F$603,311))</f>
        <v/>
      </c>
      <c r="L1530" s="32" t="str">
        <f>IF($E1530="","",INDEX(资金日记账!$X$4:$X$603,311))</f>
        <v/>
      </c>
      <c r="M1530" s="32"/>
      <c r="N1530" s="26" t="str">
        <f>IF($E1530="","",INDEX(资金日记账!$Y$4:$Y$603,311))</f>
        <v/>
      </c>
      <c r="O1530" s="26" t="str">
        <f t="shared" si="78"/>
        <v/>
      </c>
      <c r="P1530" s="10"/>
    </row>
    <row r="1531" ht="18" customHeight="1" spans="1:16">
      <c r="A1531" s="32" t="str">
        <f t="shared" si="77"/>
        <v/>
      </c>
      <c r="B1531" s="100" t="str">
        <f>IF($E1531="","",INDEX(资金日记账!$B$4:$B$603,311))</f>
        <v/>
      </c>
      <c r="C1531" s="26" t="str">
        <f>IF($E1531="","",IF(INDEX(资金日记账!$W$4:$W$603,311)="","记-"&amp;TEXT($B1531,"YYYYMM")&amp;"-资金",INDEX(资金日记账!$W$4:$W$603,311)))</f>
        <v/>
      </c>
      <c r="D1531" s="32" t="str">
        <f>IF($E1531="","",INDEX(资金日记账!$D$4:$D$603,311))</f>
        <v/>
      </c>
      <c r="E1531" s="26" t="str">
        <f>IF(INDEX(资金日记账!$N$4:$S$603,311,4)=0,"",INDEX(资金日记账!$N$4:$S$603,311,4))</f>
        <v/>
      </c>
      <c r="F1531" s="25" t="str">
        <f>IF($E1531="","",IFERROR(INDEX(科目表!$A$4:$A$81,MATCH($E1531,科目表!$B$4:$B$81,0)),""))</f>
        <v/>
      </c>
      <c r="G1531" s="26" t="str">
        <f>IF($E1531="","",IFERROR(INDEX(科目表!$E$4:$E$81,MATCH($E1531,科目表!$B$4:$B$81,0)),""))</f>
        <v/>
      </c>
      <c r="H1531" s="27" t="str">
        <f>IF($E1531="","",N(INDEX(资金日记账!$N$4:$S$603,311,5)))</f>
        <v/>
      </c>
      <c r="I1531" s="27" t="str">
        <f>IF($E1531="","",N(INDEX(资金日记账!$N$4:$S$603,311,6)))</f>
        <v/>
      </c>
      <c r="J1531" s="26" t="str">
        <f>IF($E1531="","",INDEX(资金日记账!$E$4:$E$603,311))</f>
        <v/>
      </c>
      <c r="K1531" s="26" t="str">
        <f>IF($E1531="","",INDEX(资金日记账!$F$4:$F$603,311))</f>
        <v/>
      </c>
      <c r="L1531" s="32" t="str">
        <f>IF($E1531="","",INDEX(资金日记账!$X$4:$X$603,311))</f>
        <v/>
      </c>
      <c r="M1531" s="32"/>
      <c r="N1531" s="26" t="str">
        <f>IF($E1531="","",INDEX(资金日记账!$Y$4:$Y$603,311))</f>
        <v/>
      </c>
      <c r="O1531" s="26" t="str">
        <f t="shared" si="78"/>
        <v/>
      </c>
      <c r="P1531" s="10"/>
    </row>
    <row r="1532" ht="18" customHeight="1" spans="1:16">
      <c r="A1532" s="32" t="str">
        <f t="shared" si="77"/>
        <v/>
      </c>
      <c r="B1532" s="100" t="str">
        <f>IF($E1532="","",INDEX(资金日记账!$B$4:$B$603,312))</f>
        <v/>
      </c>
      <c r="C1532" s="26" t="str">
        <f>IF($E1532="","",IF(INDEX(资金日记账!$W$4:$W$603,312)="","记-"&amp;TEXT($B1532,"YYYYMM")&amp;"-资金",INDEX(资金日记账!$W$4:$W$603,312)))</f>
        <v/>
      </c>
      <c r="D1532" s="32" t="str">
        <f>IF($E1532="","",INDEX(资金日记账!$D$4:$D$603,312))</f>
        <v/>
      </c>
      <c r="E1532" s="26" t="str">
        <f>IF(INDEX(资金日记账!$N$4:$S$603,312,1)=0,"",INDEX(资金日记账!$N$4:$S$603,312,1))</f>
        <v/>
      </c>
      <c r="F1532" s="25" t="str">
        <f>IF($E1532="","",IFERROR(INDEX(科目表!$A$4:$A$81,MATCH($E1532,科目表!$B$4:$B$81,0)),""))</f>
        <v/>
      </c>
      <c r="G1532" s="26" t="str">
        <f>IF($E1532="","",IFERROR(INDEX(科目表!$E$4:$E$81,MATCH($E1532,科目表!$B$4:$B$81,0)),""))</f>
        <v/>
      </c>
      <c r="H1532" s="27" t="str">
        <f>IF($E1532="","",N(INDEX(资金日记账!$N$4:$S$603,312,2)))</f>
        <v/>
      </c>
      <c r="I1532" s="27" t="str">
        <f>IF($E1532="","",N(INDEX(资金日记账!$N$4:$S$603,312,3)))</f>
        <v/>
      </c>
      <c r="J1532" s="26" t="str">
        <f>IF($E1532="","",INDEX(资金日记账!$E$4:$E$603,312))</f>
        <v/>
      </c>
      <c r="K1532" s="26" t="str">
        <f>IF($E1532="","",INDEX(资金日记账!$F$4:$F$603,312))</f>
        <v/>
      </c>
      <c r="L1532" s="32" t="str">
        <f>IF($E1532="","",INDEX(资金日记账!$X$4:$X$603,312))</f>
        <v/>
      </c>
      <c r="M1532" s="32"/>
      <c r="N1532" s="26" t="str">
        <f>IF($E1532="","",INDEX(资金日记账!$Y$4:$Y$603,312))</f>
        <v/>
      </c>
      <c r="O1532" s="26" t="str">
        <f t="shared" si="78"/>
        <v/>
      </c>
      <c r="P1532" s="10"/>
    </row>
    <row r="1533" ht="18" customHeight="1" spans="1:16">
      <c r="A1533" s="32" t="str">
        <f t="shared" si="77"/>
        <v/>
      </c>
      <c r="B1533" s="100" t="str">
        <f>IF($E1533="","",INDEX(资金日记账!$B$4:$B$603,312))</f>
        <v/>
      </c>
      <c r="C1533" s="26" t="str">
        <f>IF($E1533="","",IF(INDEX(资金日记账!$W$4:$W$603,312)="","记-"&amp;TEXT($B1533,"YYYYMM")&amp;"-资金",INDEX(资金日记账!$W$4:$W$603,312)))</f>
        <v/>
      </c>
      <c r="D1533" s="32" t="str">
        <f>IF($E1533="","",INDEX(资金日记账!$D$4:$D$603,312))</f>
        <v/>
      </c>
      <c r="E1533" s="26" t="str">
        <f>IF(INDEX(资金日记账!$N$4:$S$603,312,4)=0,"",INDEX(资金日记账!$N$4:$S$603,312,4))</f>
        <v/>
      </c>
      <c r="F1533" s="25" t="str">
        <f>IF($E1533="","",IFERROR(INDEX(科目表!$A$4:$A$81,MATCH($E1533,科目表!$B$4:$B$81,0)),""))</f>
        <v/>
      </c>
      <c r="G1533" s="26" t="str">
        <f>IF($E1533="","",IFERROR(INDEX(科目表!$E$4:$E$81,MATCH($E1533,科目表!$B$4:$B$81,0)),""))</f>
        <v/>
      </c>
      <c r="H1533" s="27" t="str">
        <f>IF($E1533="","",N(INDEX(资金日记账!$N$4:$S$603,312,5)))</f>
        <v/>
      </c>
      <c r="I1533" s="27" t="str">
        <f>IF($E1533="","",N(INDEX(资金日记账!$N$4:$S$603,312,6)))</f>
        <v/>
      </c>
      <c r="J1533" s="26" t="str">
        <f>IF($E1533="","",INDEX(资金日记账!$E$4:$E$603,312))</f>
        <v/>
      </c>
      <c r="K1533" s="26" t="str">
        <f>IF($E1533="","",INDEX(资金日记账!$F$4:$F$603,312))</f>
        <v/>
      </c>
      <c r="L1533" s="32" t="str">
        <f>IF($E1533="","",INDEX(资金日记账!$X$4:$X$603,312))</f>
        <v/>
      </c>
      <c r="M1533" s="32"/>
      <c r="N1533" s="26" t="str">
        <f>IF($E1533="","",INDEX(资金日记账!$Y$4:$Y$603,312))</f>
        <v/>
      </c>
      <c r="O1533" s="26" t="str">
        <f t="shared" si="78"/>
        <v/>
      </c>
      <c r="P1533" s="10"/>
    </row>
    <row r="1534" ht="18" customHeight="1" spans="1:16">
      <c r="A1534" s="32" t="str">
        <f t="shared" si="77"/>
        <v/>
      </c>
      <c r="B1534" s="100" t="str">
        <f>IF($E1534="","",INDEX(资金日记账!$B$4:$B$603,313))</f>
        <v/>
      </c>
      <c r="C1534" s="26" t="str">
        <f>IF($E1534="","",IF(INDEX(资金日记账!$W$4:$W$603,313)="","记-"&amp;TEXT($B1534,"YYYYMM")&amp;"-资金",INDEX(资金日记账!$W$4:$W$603,313)))</f>
        <v/>
      </c>
      <c r="D1534" s="32" t="str">
        <f>IF($E1534="","",INDEX(资金日记账!$D$4:$D$603,313))</f>
        <v/>
      </c>
      <c r="E1534" s="26" t="str">
        <f>IF(INDEX(资金日记账!$N$4:$S$603,313,1)=0,"",INDEX(资金日记账!$N$4:$S$603,313,1))</f>
        <v/>
      </c>
      <c r="F1534" s="25" t="str">
        <f>IF($E1534="","",IFERROR(INDEX(科目表!$A$4:$A$81,MATCH($E1534,科目表!$B$4:$B$81,0)),""))</f>
        <v/>
      </c>
      <c r="G1534" s="26" t="str">
        <f>IF($E1534="","",IFERROR(INDEX(科目表!$E$4:$E$81,MATCH($E1534,科目表!$B$4:$B$81,0)),""))</f>
        <v/>
      </c>
      <c r="H1534" s="27" t="str">
        <f>IF($E1534="","",N(INDEX(资金日记账!$N$4:$S$603,313,2)))</f>
        <v/>
      </c>
      <c r="I1534" s="27" t="str">
        <f>IF($E1534="","",N(INDEX(资金日记账!$N$4:$S$603,313,3)))</f>
        <v/>
      </c>
      <c r="J1534" s="26" t="str">
        <f>IF($E1534="","",INDEX(资金日记账!$E$4:$E$603,313))</f>
        <v/>
      </c>
      <c r="K1534" s="26" t="str">
        <f>IF($E1534="","",INDEX(资金日记账!$F$4:$F$603,313))</f>
        <v/>
      </c>
      <c r="L1534" s="32" t="str">
        <f>IF($E1534="","",INDEX(资金日记账!$X$4:$X$603,313))</f>
        <v/>
      </c>
      <c r="M1534" s="32"/>
      <c r="N1534" s="26" t="str">
        <f>IF($E1534="","",INDEX(资金日记账!$Y$4:$Y$603,313))</f>
        <v/>
      </c>
      <c r="O1534" s="26" t="str">
        <f t="shared" si="78"/>
        <v/>
      </c>
      <c r="P1534" s="10"/>
    </row>
    <row r="1535" ht="18" customHeight="1" spans="1:16">
      <c r="A1535" s="32" t="str">
        <f t="shared" si="77"/>
        <v/>
      </c>
      <c r="B1535" s="100" t="str">
        <f>IF($E1535="","",INDEX(资金日记账!$B$4:$B$603,313))</f>
        <v/>
      </c>
      <c r="C1535" s="26" t="str">
        <f>IF($E1535="","",IF(INDEX(资金日记账!$W$4:$W$603,313)="","记-"&amp;TEXT($B1535,"YYYYMM")&amp;"-资金",INDEX(资金日记账!$W$4:$W$603,313)))</f>
        <v/>
      </c>
      <c r="D1535" s="32" t="str">
        <f>IF($E1535="","",INDEX(资金日记账!$D$4:$D$603,313))</f>
        <v/>
      </c>
      <c r="E1535" s="26" t="str">
        <f>IF(INDEX(资金日记账!$N$4:$S$603,313,4)=0,"",INDEX(资金日记账!$N$4:$S$603,313,4))</f>
        <v/>
      </c>
      <c r="F1535" s="25" t="str">
        <f>IF($E1535="","",IFERROR(INDEX(科目表!$A$4:$A$81,MATCH($E1535,科目表!$B$4:$B$81,0)),""))</f>
        <v/>
      </c>
      <c r="G1535" s="26" t="str">
        <f>IF($E1535="","",IFERROR(INDEX(科目表!$E$4:$E$81,MATCH($E1535,科目表!$B$4:$B$81,0)),""))</f>
        <v/>
      </c>
      <c r="H1535" s="27" t="str">
        <f>IF($E1535="","",N(INDEX(资金日记账!$N$4:$S$603,313,5)))</f>
        <v/>
      </c>
      <c r="I1535" s="27" t="str">
        <f>IF($E1535="","",N(INDEX(资金日记账!$N$4:$S$603,313,6)))</f>
        <v/>
      </c>
      <c r="J1535" s="26" t="str">
        <f>IF($E1535="","",INDEX(资金日记账!$E$4:$E$603,313))</f>
        <v/>
      </c>
      <c r="K1535" s="26" t="str">
        <f>IF($E1535="","",INDEX(资金日记账!$F$4:$F$603,313))</f>
        <v/>
      </c>
      <c r="L1535" s="32" t="str">
        <f>IF($E1535="","",INDEX(资金日记账!$X$4:$X$603,313))</f>
        <v/>
      </c>
      <c r="M1535" s="32"/>
      <c r="N1535" s="26" t="str">
        <f>IF($E1535="","",INDEX(资金日记账!$Y$4:$Y$603,313))</f>
        <v/>
      </c>
      <c r="O1535" s="26" t="str">
        <f t="shared" si="78"/>
        <v/>
      </c>
      <c r="P1535" s="10"/>
    </row>
    <row r="1536" ht="18" customHeight="1" spans="1:16">
      <c r="A1536" s="32" t="str">
        <f t="shared" si="77"/>
        <v/>
      </c>
      <c r="B1536" s="100" t="str">
        <f>IF($E1536="","",INDEX(资金日记账!$B$4:$B$603,314))</f>
        <v/>
      </c>
      <c r="C1536" s="26" t="str">
        <f>IF($E1536="","",IF(INDEX(资金日记账!$W$4:$W$603,314)="","记-"&amp;TEXT($B1536,"YYYYMM")&amp;"-资金",INDEX(资金日记账!$W$4:$W$603,314)))</f>
        <v/>
      </c>
      <c r="D1536" s="32" t="str">
        <f>IF($E1536="","",INDEX(资金日记账!$D$4:$D$603,314))</f>
        <v/>
      </c>
      <c r="E1536" s="26" t="str">
        <f>IF(INDEX(资金日记账!$N$4:$S$603,314,1)=0,"",INDEX(资金日记账!$N$4:$S$603,314,1))</f>
        <v/>
      </c>
      <c r="F1536" s="25" t="str">
        <f>IF($E1536="","",IFERROR(INDEX(科目表!$A$4:$A$81,MATCH($E1536,科目表!$B$4:$B$81,0)),""))</f>
        <v/>
      </c>
      <c r="G1536" s="26" t="str">
        <f>IF($E1536="","",IFERROR(INDEX(科目表!$E$4:$E$81,MATCH($E1536,科目表!$B$4:$B$81,0)),""))</f>
        <v/>
      </c>
      <c r="H1536" s="27" t="str">
        <f>IF($E1536="","",N(INDEX(资金日记账!$N$4:$S$603,314,2)))</f>
        <v/>
      </c>
      <c r="I1536" s="27" t="str">
        <f>IF($E1536="","",N(INDEX(资金日记账!$N$4:$S$603,314,3)))</f>
        <v/>
      </c>
      <c r="J1536" s="26" t="str">
        <f>IF($E1536="","",INDEX(资金日记账!$E$4:$E$603,314))</f>
        <v/>
      </c>
      <c r="K1536" s="26" t="str">
        <f>IF($E1536="","",INDEX(资金日记账!$F$4:$F$603,314))</f>
        <v/>
      </c>
      <c r="L1536" s="32" t="str">
        <f>IF($E1536="","",INDEX(资金日记账!$X$4:$X$603,314))</f>
        <v/>
      </c>
      <c r="M1536" s="32"/>
      <c r="N1536" s="26" t="str">
        <f>IF($E1536="","",INDEX(资金日记账!$Y$4:$Y$603,314))</f>
        <v/>
      </c>
      <c r="O1536" s="26" t="str">
        <f t="shared" si="78"/>
        <v/>
      </c>
      <c r="P1536" s="10"/>
    </row>
    <row r="1537" ht="18" customHeight="1" spans="1:16">
      <c r="A1537" s="32" t="str">
        <f t="shared" si="77"/>
        <v/>
      </c>
      <c r="B1537" s="100" t="str">
        <f>IF($E1537="","",INDEX(资金日记账!$B$4:$B$603,314))</f>
        <v/>
      </c>
      <c r="C1537" s="26" t="str">
        <f>IF($E1537="","",IF(INDEX(资金日记账!$W$4:$W$603,314)="","记-"&amp;TEXT($B1537,"YYYYMM")&amp;"-资金",INDEX(资金日记账!$W$4:$W$603,314)))</f>
        <v/>
      </c>
      <c r="D1537" s="32" t="str">
        <f>IF($E1537="","",INDEX(资金日记账!$D$4:$D$603,314))</f>
        <v/>
      </c>
      <c r="E1537" s="26" t="str">
        <f>IF(INDEX(资金日记账!$N$4:$S$603,314,4)=0,"",INDEX(资金日记账!$N$4:$S$603,314,4))</f>
        <v/>
      </c>
      <c r="F1537" s="25" t="str">
        <f>IF($E1537="","",IFERROR(INDEX(科目表!$A$4:$A$81,MATCH($E1537,科目表!$B$4:$B$81,0)),""))</f>
        <v/>
      </c>
      <c r="G1537" s="26" t="str">
        <f>IF($E1537="","",IFERROR(INDEX(科目表!$E$4:$E$81,MATCH($E1537,科目表!$B$4:$B$81,0)),""))</f>
        <v/>
      </c>
      <c r="H1537" s="27" t="str">
        <f>IF($E1537="","",N(INDEX(资金日记账!$N$4:$S$603,314,5)))</f>
        <v/>
      </c>
      <c r="I1537" s="27" t="str">
        <f>IF($E1537="","",N(INDEX(资金日记账!$N$4:$S$603,314,6)))</f>
        <v/>
      </c>
      <c r="J1537" s="26" t="str">
        <f>IF($E1537="","",INDEX(资金日记账!$E$4:$E$603,314))</f>
        <v/>
      </c>
      <c r="K1537" s="26" t="str">
        <f>IF($E1537="","",INDEX(资金日记账!$F$4:$F$603,314))</f>
        <v/>
      </c>
      <c r="L1537" s="32" t="str">
        <f>IF($E1537="","",INDEX(资金日记账!$X$4:$X$603,314))</f>
        <v/>
      </c>
      <c r="M1537" s="32"/>
      <c r="N1537" s="26" t="str">
        <f>IF($E1537="","",INDEX(资金日记账!$Y$4:$Y$603,314))</f>
        <v/>
      </c>
      <c r="O1537" s="26" t="str">
        <f t="shared" si="78"/>
        <v/>
      </c>
      <c r="P1537" s="10"/>
    </row>
    <row r="1538" ht="18" customHeight="1" spans="1:16">
      <c r="A1538" s="32" t="str">
        <f t="shared" si="77"/>
        <v/>
      </c>
      <c r="B1538" s="100" t="str">
        <f>IF($E1538="","",INDEX(资金日记账!$B$4:$B$603,315))</f>
        <v/>
      </c>
      <c r="C1538" s="26" t="str">
        <f>IF($E1538="","",IF(INDEX(资金日记账!$W$4:$W$603,315)="","记-"&amp;TEXT($B1538,"YYYYMM")&amp;"-资金",INDEX(资金日记账!$W$4:$W$603,315)))</f>
        <v/>
      </c>
      <c r="D1538" s="32" t="str">
        <f>IF($E1538="","",INDEX(资金日记账!$D$4:$D$603,315))</f>
        <v/>
      </c>
      <c r="E1538" s="26" t="str">
        <f>IF(INDEX(资金日记账!$N$4:$S$603,315,1)=0,"",INDEX(资金日记账!$N$4:$S$603,315,1))</f>
        <v/>
      </c>
      <c r="F1538" s="25" t="str">
        <f>IF($E1538="","",IFERROR(INDEX(科目表!$A$4:$A$81,MATCH($E1538,科目表!$B$4:$B$81,0)),""))</f>
        <v/>
      </c>
      <c r="G1538" s="26" t="str">
        <f>IF($E1538="","",IFERROR(INDEX(科目表!$E$4:$E$81,MATCH($E1538,科目表!$B$4:$B$81,0)),""))</f>
        <v/>
      </c>
      <c r="H1538" s="27" t="str">
        <f>IF($E1538="","",N(INDEX(资金日记账!$N$4:$S$603,315,2)))</f>
        <v/>
      </c>
      <c r="I1538" s="27" t="str">
        <f>IF($E1538="","",N(INDEX(资金日记账!$N$4:$S$603,315,3)))</f>
        <v/>
      </c>
      <c r="J1538" s="26" t="str">
        <f>IF($E1538="","",INDEX(资金日记账!$E$4:$E$603,315))</f>
        <v/>
      </c>
      <c r="K1538" s="26" t="str">
        <f>IF($E1538="","",INDEX(资金日记账!$F$4:$F$603,315))</f>
        <v/>
      </c>
      <c r="L1538" s="32" t="str">
        <f>IF($E1538="","",INDEX(资金日记账!$X$4:$X$603,315))</f>
        <v/>
      </c>
      <c r="M1538" s="32"/>
      <c r="N1538" s="26" t="str">
        <f>IF($E1538="","",INDEX(资金日记账!$Y$4:$Y$603,315))</f>
        <v/>
      </c>
      <c r="O1538" s="26" t="str">
        <f t="shared" si="78"/>
        <v/>
      </c>
      <c r="P1538" s="10"/>
    </row>
    <row r="1539" ht="18" customHeight="1" spans="1:16">
      <c r="A1539" s="32" t="str">
        <f t="shared" si="77"/>
        <v/>
      </c>
      <c r="B1539" s="100" t="str">
        <f>IF($E1539="","",INDEX(资金日记账!$B$4:$B$603,315))</f>
        <v/>
      </c>
      <c r="C1539" s="26" t="str">
        <f>IF($E1539="","",IF(INDEX(资金日记账!$W$4:$W$603,315)="","记-"&amp;TEXT($B1539,"YYYYMM")&amp;"-资金",INDEX(资金日记账!$W$4:$W$603,315)))</f>
        <v/>
      </c>
      <c r="D1539" s="32" t="str">
        <f>IF($E1539="","",INDEX(资金日记账!$D$4:$D$603,315))</f>
        <v/>
      </c>
      <c r="E1539" s="26" t="str">
        <f>IF(INDEX(资金日记账!$N$4:$S$603,315,4)=0,"",INDEX(资金日记账!$N$4:$S$603,315,4))</f>
        <v/>
      </c>
      <c r="F1539" s="25" t="str">
        <f>IF($E1539="","",IFERROR(INDEX(科目表!$A$4:$A$81,MATCH($E1539,科目表!$B$4:$B$81,0)),""))</f>
        <v/>
      </c>
      <c r="G1539" s="26" t="str">
        <f>IF($E1539="","",IFERROR(INDEX(科目表!$E$4:$E$81,MATCH($E1539,科目表!$B$4:$B$81,0)),""))</f>
        <v/>
      </c>
      <c r="H1539" s="27" t="str">
        <f>IF($E1539="","",N(INDEX(资金日记账!$N$4:$S$603,315,5)))</f>
        <v/>
      </c>
      <c r="I1539" s="27" t="str">
        <f>IF($E1539="","",N(INDEX(资金日记账!$N$4:$S$603,315,6)))</f>
        <v/>
      </c>
      <c r="J1539" s="26" t="str">
        <f>IF($E1539="","",INDEX(资金日记账!$E$4:$E$603,315))</f>
        <v/>
      </c>
      <c r="K1539" s="26" t="str">
        <f>IF($E1539="","",INDEX(资金日记账!$F$4:$F$603,315))</f>
        <v/>
      </c>
      <c r="L1539" s="32" t="str">
        <f>IF($E1539="","",INDEX(资金日记账!$X$4:$X$603,315))</f>
        <v/>
      </c>
      <c r="M1539" s="32"/>
      <c r="N1539" s="26" t="str">
        <f>IF($E1539="","",INDEX(资金日记账!$Y$4:$Y$603,315))</f>
        <v/>
      </c>
      <c r="O1539" s="26" t="str">
        <f t="shared" si="78"/>
        <v/>
      </c>
      <c r="P1539" s="10"/>
    </row>
    <row r="1540" ht="18" customHeight="1" spans="1:16">
      <c r="A1540" s="32" t="str">
        <f t="shared" ref="A1540:A1603" si="79">IF($E1540="","",ROW()-3)</f>
        <v/>
      </c>
      <c r="B1540" s="100" t="str">
        <f>IF($E1540="","",INDEX(资金日记账!$B$4:$B$603,316))</f>
        <v/>
      </c>
      <c r="C1540" s="26" t="str">
        <f>IF($E1540="","",IF(INDEX(资金日记账!$W$4:$W$603,316)="","记-"&amp;TEXT($B1540,"YYYYMM")&amp;"-资金",INDEX(资金日记账!$W$4:$W$603,316)))</f>
        <v/>
      </c>
      <c r="D1540" s="32" t="str">
        <f>IF($E1540="","",INDEX(资金日记账!$D$4:$D$603,316))</f>
        <v/>
      </c>
      <c r="E1540" s="26" t="str">
        <f>IF(INDEX(资金日记账!$N$4:$S$603,316,1)=0,"",INDEX(资金日记账!$N$4:$S$603,316,1))</f>
        <v/>
      </c>
      <c r="F1540" s="25" t="str">
        <f>IF($E1540="","",IFERROR(INDEX(科目表!$A$4:$A$81,MATCH($E1540,科目表!$B$4:$B$81,0)),""))</f>
        <v/>
      </c>
      <c r="G1540" s="26" t="str">
        <f>IF($E1540="","",IFERROR(INDEX(科目表!$E$4:$E$81,MATCH($E1540,科目表!$B$4:$B$81,0)),""))</f>
        <v/>
      </c>
      <c r="H1540" s="27" t="str">
        <f>IF($E1540="","",N(INDEX(资金日记账!$N$4:$S$603,316,2)))</f>
        <v/>
      </c>
      <c r="I1540" s="27" t="str">
        <f>IF($E1540="","",N(INDEX(资金日记账!$N$4:$S$603,316,3)))</f>
        <v/>
      </c>
      <c r="J1540" s="26" t="str">
        <f>IF($E1540="","",INDEX(资金日记账!$E$4:$E$603,316))</f>
        <v/>
      </c>
      <c r="K1540" s="26" t="str">
        <f>IF($E1540="","",INDEX(资金日记账!$F$4:$F$603,316))</f>
        <v/>
      </c>
      <c r="L1540" s="32" t="str">
        <f>IF($E1540="","",INDEX(资金日记账!$X$4:$X$603,316))</f>
        <v/>
      </c>
      <c r="M1540" s="32"/>
      <c r="N1540" s="26" t="str">
        <f>IF($E1540="","",INDEX(资金日记账!$Y$4:$Y$603,316))</f>
        <v/>
      </c>
      <c r="O1540" s="26" t="str">
        <f t="shared" si="78"/>
        <v/>
      </c>
      <c r="P1540" s="10"/>
    </row>
    <row r="1541" ht="18" customHeight="1" spans="1:16">
      <c r="A1541" s="32" t="str">
        <f t="shared" si="79"/>
        <v/>
      </c>
      <c r="B1541" s="100" t="str">
        <f>IF($E1541="","",INDEX(资金日记账!$B$4:$B$603,316))</f>
        <v/>
      </c>
      <c r="C1541" s="26" t="str">
        <f>IF($E1541="","",IF(INDEX(资金日记账!$W$4:$W$603,316)="","记-"&amp;TEXT($B1541,"YYYYMM")&amp;"-资金",INDEX(资金日记账!$W$4:$W$603,316)))</f>
        <v/>
      </c>
      <c r="D1541" s="32" t="str">
        <f>IF($E1541="","",INDEX(资金日记账!$D$4:$D$603,316))</f>
        <v/>
      </c>
      <c r="E1541" s="26" t="str">
        <f>IF(INDEX(资金日记账!$N$4:$S$603,316,4)=0,"",INDEX(资金日记账!$N$4:$S$603,316,4))</f>
        <v/>
      </c>
      <c r="F1541" s="25" t="str">
        <f>IF($E1541="","",IFERROR(INDEX(科目表!$A$4:$A$81,MATCH($E1541,科目表!$B$4:$B$81,0)),""))</f>
        <v/>
      </c>
      <c r="G1541" s="26" t="str">
        <f>IF($E1541="","",IFERROR(INDEX(科目表!$E$4:$E$81,MATCH($E1541,科目表!$B$4:$B$81,0)),""))</f>
        <v/>
      </c>
      <c r="H1541" s="27" t="str">
        <f>IF($E1541="","",N(INDEX(资金日记账!$N$4:$S$603,316,5)))</f>
        <v/>
      </c>
      <c r="I1541" s="27" t="str">
        <f>IF($E1541="","",N(INDEX(资金日记账!$N$4:$S$603,316,6)))</f>
        <v/>
      </c>
      <c r="J1541" s="26" t="str">
        <f>IF($E1541="","",INDEX(资金日记账!$E$4:$E$603,316))</f>
        <v/>
      </c>
      <c r="K1541" s="26" t="str">
        <f>IF($E1541="","",INDEX(资金日记账!$F$4:$F$603,316))</f>
        <v/>
      </c>
      <c r="L1541" s="32" t="str">
        <f>IF($E1541="","",INDEX(资金日记账!$X$4:$X$603,316))</f>
        <v/>
      </c>
      <c r="M1541" s="32"/>
      <c r="N1541" s="26" t="str">
        <f>IF($E1541="","",INDEX(资金日记账!$Y$4:$Y$603,316))</f>
        <v/>
      </c>
      <c r="O1541" s="26" t="str">
        <f t="shared" si="78"/>
        <v/>
      </c>
      <c r="P1541" s="10"/>
    </row>
    <row r="1542" ht="18" customHeight="1" spans="1:16">
      <c r="A1542" s="32" t="str">
        <f t="shared" si="79"/>
        <v/>
      </c>
      <c r="B1542" s="100" t="str">
        <f>IF($E1542="","",INDEX(资金日记账!$B$4:$B$603,317))</f>
        <v/>
      </c>
      <c r="C1542" s="26" t="str">
        <f>IF($E1542="","",IF(INDEX(资金日记账!$W$4:$W$603,317)="","记-"&amp;TEXT($B1542,"YYYYMM")&amp;"-资金",INDEX(资金日记账!$W$4:$W$603,317)))</f>
        <v/>
      </c>
      <c r="D1542" s="32" t="str">
        <f>IF($E1542="","",INDEX(资金日记账!$D$4:$D$603,317))</f>
        <v/>
      </c>
      <c r="E1542" s="26" t="str">
        <f>IF(INDEX(资金日记账!$N$4:$S$603,317,1)=0,"",INDEX(资金日记账!$N$4:$S$603,317,1))</f>
        <v/>
      </c>
      <c r="F1542" s="25" t="str">
        <f>IF($E1542="","",IFERROR(INDEX(科目表!$A$4:$A$81,MATCH($E1542,科目表!$B$4:$B$81,0)),""))</f>
        <v/>
      </c>
      <c r="G1542" s="26" t="str">
        <f>IF($E1542="","",IFERROR(INDEX(科目表!$E$4:$E$81,MATCH($E1542,科目表!$B$4:$B$81,0)),""))</f>
        <v/>
      </c>
      <c r="H1542" s="27" t="str">
        <f>IF($E1542="","",N(INDEX(资金日记账!$N$4:$S$603,317,2)))</f>
        <v/>
      </c>
      <c r="I1542" s="27" t="str">
        <f>IF($E1542="","",N(INDEX(资金日记账!$N$4:$S$603,317,3)))</f>
        <v/>
      </c>
      <c r="J1542" s="26" t="str">
        <f>IF($E1542="","",INDEX(资金日记账!$E$4:$E$603,317))</f>
        <v/>
      </c>
      <c r="K1542" s="26" t="str">
        <f>IF($E1542="","",INDEX(资金日记账!$F$4:$F$603,317))</f>
        <v/>
      </c>
      <c r="L1542" s="32" t="str">
        <f>IF($E1542="","",INDEX(资金日记账!$X$4:$X$603,317))</f>
        <v/>
      </c>
      <c r="M1542" s="32"/>
      <c r="N1542" s="26" t="str">
        <f>IF($E1542="","",INDEX(资金日记账!$Y$4:$Y$603,317))</f>
        <v/>
      </c>
      <c r="O1542" s="26" t="str">
        <f t="shared" si="78"/>
        <v/>
      </c>
      <c r="P1542" s="10"/>
    </row>
    <row r="1543" ht="18" customHeight="1" spans="1:16">
      <c r="A1543" s="32" t="str">
        <f t="shared" si="79"/>
        <v/>
      </c>
      <c r="B1543" s="100" t="str">
        <f>IF($E1543="","",INDEX(资金日记账!$B$4:$B$603,317))</f>
        <v/>
      </c>
      <c r="C1543" s="26" t="str">
        <f>IF($E1543="","",IF(INDEX(资金日记账!$W$4:$W$603,317)="","记-"&amp;TEXT($B1543,"YYYYMM")&amp;"-资金",INDEX(资金日记账!$W$4:$W$603,317)))</f>
        <v/>
      </c>
      <c r="D1543" s="32" t="str">
        <f>IF($E1543="","",INDEX(资金日记账!$D$4:$D$603,317))</f>
        <v/>
      </c>
      <c r="E1543" s="26" t="str">
        <f>IF(INDEX(资金日记账!$N$4:$S$603,317,4)=0,"",INDEX(资金日记账!$N$4:$S$603,317,4))</f>
        <v/>
      </c>
      <c r="F1543" s="25" t="str">
        <f>IF($E1543="","",IFERROR(INDEX(科目表!$A$4:$A$81,MATCH($E1543,科目表!$B$4:$B$81,0)),""))</f>
        <v/>
      </c>
      <c r="G1543" s="26" t="str">
        <f>IF($E1543="","",IFERROR(INDEX(科目表!$E$4:$E$81,MATCH($E1543,科目表!$B$4:$B$81,0)),""))</f>
        <v/>
      </c>
      <c r="H1543" s="27" t="str">
        <f>IF($E1543="","",N(INDEX(资金日记账!$N$4:$S$603,317,5)))</f>
        <v/>
      </c>
      <c r="I1543" s="27" t="str">
        <f>IF($E1543="","",N(INDEX(资金日记账!$N$4:$S$603,317,6)))</f>
        <v/>
      </c>
      <c r="J1543" s="26" t="str">
        <f>IF($E1543="","",INDEX(资金日记账!$E$4:$E$603,317))</f>
        <v/>
      </c>
      <c r="K1543" s="26" t="str">
        <f>IF($E1543="","",INDEX(资金日记账!$F$4:$F$603,317))</f>
        <v/>
      </c>
      <c r="L1543" s="32" t="str">
        <f>IF($E1543="","",INDEX(资金日记账!$X$4:$X$603,317))</f>
        <v/>
      </c>
      <c r="M1543" s="32"/>
      <c r="N1543" s="26" t="str">
        <f>IF($E1543="","",INDEX(资金日记账!$Y$4:$Y$603,317))</f>
        <v/>
      </c>
      <c r="O1543" s="26" t="str">
        <f t="shared" si="78"/>
        <v/>
      </c>
      <c r="P1543" s="10"/>
    </row>
    <row r="1544" ht="18" customHeight="1" spans="1:16">
      <c r="A1544" s="32" t="str">
        <f t="shared" si="79"/>
        <v/>
      </c>
      <c r="B1544" s="100" t="str">
        <f>IF($E1544="","",INDEX(资金日记账!$B$4:$B$603,318))</f>
        <v/>
      </c>
      <c r="C1544" s="26" t="str">
        <f>IF($E1544="","",IF(INDEX(资金日记账!$W$4:$W$603,318)="","记-"&amp;TEXT($B1544,"YYYYMM")&amp;"-资金",INDEX(资金日记账!$W$4:$W$603,318)))</f>
        <v/>
      </c>
      <c r="D1544" s="32" t="str">
        <f>IF($E1544="","",INDEX(资金日记账!$D$4:$D$603,318))</f>
        <v/>
      </c>
      <c r="E1544" s="26" t="str">
        <f>IF(INDEX(资金日记账!$N$4:$S$603,318,1)=0,"",INDEX(资金日记账!$N$4:$S$603,318,1))</f>
        <v/>
      </c>
      <c r="F1544" s="25" t="str">
        <f>IF($E1544="","",IFERROR(INDEX(科目表!$A$4:$A$81,MATCH($E1544,科目表!$B$4:$B$81,0)),""))</f>
        <v/>
      </c>
      <c r="G1544" s="26" t="str">
        <f>IF($E1544="","",IFERROR(INDEX(科目表!$E$4:$E$81,MATCH($E1544,科目表!$B$4:$B$81,0)),""))</f>
        <v/>
      </c>
      <c r="H1544" s="27" t="str">
        <f>IF($E1544="","",N(INDEX(资金日记账!$N$4:$S$603,318,2)))</f>
        <v/>
      </c>
      <c r="I1544" s="27" t="str">
        <f>IF($E1544="","",N(INDEX(资金日记账!$N$4:$S$603,318,3)))</f>
        <v/>
      </c>
      <c r="J1544" s="26" t="str">
        <f>IF($E1544="","",INDEX(资金日记账!$E$4:$E$603,318))</f>
        <v/>
      </c>
      <c r="K1544" s="26" t="str">
        <f>IF($E1544="","",INDEX(资金日记账!$F$4:$F$603,318))</f>
        <v/>
      </c>
      <c r="L1544" s="32" t="str">
        <f>IF($E1544="","",INDEX(资金日记账!$X$4:$X$603,318))</f>
        <v/>
      </c>
      <c r="M1544" s="32"/>
      <c r="N1544" s="26" t="str">
        <f>IF($E1544="","",INDEX(资金日记账!$Y$4:$Y$603,318))</f>
        <v/>
      </c>
      <c r="O1544" s="26" t="str">
        <f t="shared" si="78"/>
        <v/>
      </c>
      <c r="P1544" s="10"/>
    </row>
    <row r="1545" ht="18" customHeight="1" spans="1:16">
      <c r="A1545" s="32" t="str">
        <f t="shared" si="79"/>
        <v/>
      </c>
      <c r="B1545" s="100" t="str">
        <f>IF($E1545="","",INDEX(资金日记账!$B$4:$B$603,318))</f>
        <v/>
      </c>
      <c r="C1545" s="26" t="str">
        <f>IF($E1545="","",IF(INDEX(资金日记账!$W$4:$W$603,318)="","记-"&amp;TEXT($B1545,"YYYYMM")&amp;"-资金",INDEX(资金日记账!$W$4:$W$603,318)))</f>
        <v/>
      </c>
      <c r="D1545" s="32" t="str">
        <f>IF($E1545="","",INDEX(资金日记账!$D$4:$D$603,318))</f>
        <v/>
      </c>
      <c r="E1545" s="26" t="str">
        <f>IF(INDEX(资金日记账!$N$4:$S$603,318,4)=0,"",INDEX(资金日记账!$N$4:$S$603,318,4))</f>
        <v/>
      </c>
      <c r="F1545" s="25" t="str">
        <f>IF($E1545="","",IFERROR(INDEX(科目表!$A$4:$A$81,MATCH($E1545,科目表!$B$4:$B$81,0)),""))</f>
        <v/>
      </c>
      <c r="G1545" s="26" t="str">
        <f>IF($E1545="","",IFERROR(INDEX(科目表!$E$4:$E$81,MATCH($E1545,科目表!$B$4:$B$81,0)),""))</f>
        <v/>
      </c>
      <c r="H1545" s="27" t="str">
        <f>IF($E1545="","",N(INDEX(资金日记账!$N$4:$S$603,318,5)))</f>
        <v/>
      </c>
      <c r="I1545" s="27" t="str">
        <f>IF($E1545="","",N(INDEX(资金日记账!$N$4:$S$603,318,6)))</f>
        <v/>
      </c>
      <c r="J1545" s="26" t="str">
        <f>IF($E1545="","",INDEX(资金日记账!$E$4:$E$603,318))</f>
        <v/>
      </c>
      <c r="K1545" s="26" t="str">
        <f>IF($E1545="","",INDEX(资金日记账!$F$4:$F$603,318))</f>
        <v/>
      </c>
      <c r="L1545" s="32" t="str">
        <f>IF($E1545="","",INDEX(资金日记账!$X$4:$X$603,318))</f>
        <v/>
      </c>
      <c r="M1545" s="32"/>
      <c r="N1545" s="26" t="str">
        <f>IF($E1545="","",INDEX(资金日记账!$Y$4:$Y$603,318))</f>
        <v/>
      </c>
      <c r="O1545" s="26" t="str">
        <f t="shared" si="78"/>
        <v/>
      </c>
      <c r="P1545" s="10"/>
    </row>
    <row r="1546" ht="18" customHeight="1" spans="1:16">
      <c r="A1546" s="32" t="str">
        <f t="shared" si="79"/>
        <v/>
      </c>
      <c r="B1546" s="100" t="str">
        <f>IF($E1546="","",INDEX(资金日记账!$B$4:$B$603,319))</f>
        <v/>
      </c>
      <c r="C1546" s="26" t="str">
        <f>IF($E1546="","",IF(INDEX(资金日记账!$W$4:$W$603,319)="","记-"&amp;TEXT($B1546,"YYYYMM")&amp;"-资金",INDEX(资金日记账!$W$4:$W$603,319)))</f>
        <v/>
      </c>
      <c r="D1546" s="32" t="str">
        <f>IF($E1546="","",INDEX(资金日记账!$D$4:$D$603,319))</f>
        <v/>
      </c>
      <c r="E1546" s="26" t="str">
        <f>IF(INDEX(资金日记账!$N$4:$S$603,319,1)=0,"",INDEX(资金日记账!$N$4:$S$603,319,1))</f>
        <v/>
      </c>
      <c r="F1546" s="25" t="str">
        <f>IF($E1546="","",IFERROR(INDEX(科目表!$A$4:$A$81,MATCH($E1546,科目表!$B$4:$B$81,0)),""))</f>
        <v/>
      </c>
      <c r="G1546" s="26" t="str">
        <f>IF($E1546="","",IFERROR(INDEX(科目表!$E$4:$E$81,MATCH($E1546,科目表!$B$4:$B$81,0)),""))</f>
        <v/>
      </c>
      <c r="H1546" s="27" t="str">
        <f>IF($E1546="","",N(INDEX(资金日记账!$N$4:$S$603,319,2)))</f>
        <v/>
      </c>
      <c r="I1546" s="27" t="str">
        <f>IF($E1546="","",N(INDEX(资金日记账!$N$4:$S$603,319,3)))</f>
        <v/>
      </c>
      <c r="J1546" s="26" t="str">
        <f>IF($E1546="","",INDEX(资金日记账!$E$4:$E$603,319))</f>
        <v/>
      </c>
      <c r="K1546" s="26" t="str">
        <f>IF($E1546="","",INDEX(资金日记账!$F$4:$F$603,319))</f>
        <v/>
      </c>
      <c r="L1546" s="32" t="str">
        <f>IF($E1546="","",INDEX(资金日记账!$X$4:$X$603,319))</f>
        <v/>
      </c>
      <c r="M1546" s="32"/>
      <c r="N1546" s="26" t="str">
        <f>IF($E1546="","",INDEX(资金日记账!$Y$4:$Y$603,319))</f>
        <v/>
      </c>
      <c r="O1546" s="26" t="str">
        <f t="shared" si="78"/>
        <v/>
      </c>
      <c r="P1546" s="10"/>
    </row>
    <row r="1547" ht="18" customHeight="1" spans="1:16">
      <c r="A1547" s="32" t="str">
        <f t="shared" si="79"/>
        <v/>
      </c>
      <c r="B1547" s="100" t="str">
        <f>IF($E1547="","",INDEX(资金日记账!$B$4:$B$603,319))</f>
        <v/>
      </c>
      <c r="C1547" s="26" t="str">
        <f>IF($E1547="","",IF(INDEX(资金日记账!$W$4:$W$603,319)="","记-"&amp;TEXT($B1547,"YYYYMM")&amp;"-资金",INDEX(资金日记账!$W$4:$W$603,319)))</f>
        <v/>
      </c>
      <c r="D1547" s="32" t="str">
        <f>IF($E1547="","",INDEX(资金日记账!$D$4:$D$603,319))</f>
        <v/>
      </c>
      <c r="E1547" s="26" t="str">
        <f>IF(INDEX(资金日记账!$N$4:$S$603,319,4)=0,"",INDEX(资金日记账!$N$4:$S$603,319,4))</f>
        <v/>
      </c>
      <c r="F1547" s="25" t="str">
        <f>IF($E1547="","",IFERROR(INDEX(科目表!$A$4:$A$81,MATCH($E1547,科目表!$B$4:$B$81,0)),""))</f>
        <v/>
      </c>
      <c r="G1547" s="26" t="str">
        <f>IF($E1547="","",IFERROR(INDEX(科目表!$E$4:$E$81,MATCH($E1547,科目表!$B$4:$B$81,0)),""))</f>
        <v/>
      </c>
      <c r="H1547" s="27" t="str">
        <f>IF($E1547="","",N(INDEX(资金日记账!$N$4:$S$603,319,5)))</f>
        <v/>
      </c>
      <c r="I1547" s="27" t="str">
        <f>IF($E1547="","",N(INDEX(资金日记账!$N$4:$S$603,319,6)))</f>
        <v/>
      </c>
      <c r="J1547" s="26" t="str">
        <f>IF($E1547="","",INDEX(资金日记账!$E$4:$E$603,319))</f>
        <v/>
      </c>
      <c r="K1547" s="26" t="str">
        <f>IF($E1547="","",INDEX(资金日记账!$F$4:$F$603,319))</f>
        <v/>
      </c>
      <c r="L1547" s="32" t="str">
        <f>IF($E1547="","",INDEX(资金日记账!$X$4:$X$603,319))</f>
        <v/>
      </c>
      <c r="M1547" s="32"/>
      <c r="N1547" s="26" t="str">
        <f>IF($E1547="","",INDEX(资金日记账!$Y$4:$Y$603,319))</f>
        <v/>
      </c>
      <c r="O1547" s="26" t="str">
        <f t="shared" si="78"/>
        <v/>
      </c>
      <c r="P1547" s="10"/>
    </row>
    <row r="1548" ht="18" customHeight="1" spans="1:16">
      <c r="A1548" s="32" t="str">
        <f t="shared" si="79"/>
        <v/>
      </c>
      <c r="B1548" s="100" t="str">
        <f>IF($E1548="","",INDEX(资金日记账!$B$4:$B$603,320))</f>
        <v/>
      </c>
      <c r="C1548" s="26" t="str">
        <f>IF($E1548="","",IF(INDEX(资金日记账!$W$4:$W$603,320)="","记-"&amp;TEXT($B1548,"YYYYMM")&amp;"-资金",INDEX(资金日记账!$W$4:$W$603,320)))</f>
        <v/>
      </c>
      <c r="D1548" s="32" t="str">
        <f>IF($E1548="","",INDEX(资金日记账!$D$4:$D$603,320))</f>
        <v/>
      </c>
      <c r="E1548" s="26" t="str">
        <f>IF(INDEX(资金日记账!$N$4:$S$603,320,1)=0,"",INDEX(资金日记账!$N$4:$S$603,320,1))</f>
        <v/>
      </c>
      <c r="F1548" s="25" t="str">
        <f>IF($E1548="","",IFERROR(INDEX(科目表!$A$4:$A$81,MATCH($E1548,科目表!$B$4:$B$81,0)),""))</f>
        <v/>
      </c>
      <c r="G1548" s="26" t="str">
        <f>IF($E1548="","",IFERROR(INDEX(科目表!$E$4:$E$81,MATCH($E1548,科目表!$B$4:$B$81,0)),""))</f>
        <v/>
      </c>
      <c r="H1548" s="27" t="str">
        <f>IF($E1548="","",N(INDEX(资金日记账!$N$4:$S$603,320,2)))</f>
        <v/>
      </c>
      <c r="I1548" s="27" t="str">
        <f>IF($E1548="","",N(INDEX(资金日记账!$N$4:$S$603,320,3)))</f>
        <v/>
      </c>
      <c r="J1548" s="26" t="str">
        <f>IF($E1548="","",INDEX(资金日记账!$E$4:$E$603,320))</f>
        <v/>
      </c>
      <c r="K1548" s="26" t="str">
        <f>IF($E1548="","",INDEX(资金日记账!$F$4:$F$603,320))</f>
        <v/>
      </c>
      <c r="L1548" s="32" t="str">
        <f>IF($E1548="","",INDEX(资金日记账!$X$4:$X$603,320))</f>
        <v/>
      </c>
      <c r="M1548" s="32"/>
      <c r="N1548" s="26" t="str">
        <f>IF($E1548="","",INDEX(资金日记账!$Y$4:$Y$603,320))</f>
        <v/>
      </c>
      <c r="O1548" s="26" t="str">
        <f t="shared" si="78"/>
        <v/>
      </c>
      <c r="P1548" s="10"/>
    </row>
    <row r="1549" ht="18" customHeight="1" spans="1:16">
      <c r="A1549" s="32" t="str">
        <f t="shared" si="79"/>
        <v/>
      </c>
      <c r="B1549" s="100" t="str">
        <f>IF($E1549="","",INDEX(资金日记账!$B$4:$B$603,320))</f>
        <v/>
      </c>
      <c r="C1549" s="26" t="str">
        <f>IF($E1549="","",IF(INDEX(资金日记账!$W$4:$W$603,320)="","记-"&amp;TEXT($B1549,"YYYYMM")&amp;"-资金",INDEX(资金日记账!$W$4:$W$603,320)))</f>
        <v/>
      </c>
      <c r="D1549" s="32" t="str">
        <f>IF($E1549="","",INDEX(资金日记账!$D$4:$D$603,320))</f>
        <v/>
      </c>
      <c r="E1549" s="26" t="str">
        <f>IF(INDEX(资金日记账!$N$4:$S$603,320,4)=0,"",INDEX(资金日记账!$N$4:$S$603,320,4))</f>
        <v/>
      </c>
      <c r="F1549" s="25" t="str">
        <f>IF($E1549="","",IFERROR(INDEX(科目表!$A$4:$A$81,MATCH($E1549,科目表!$B$4:$B$81,0)),""))</f>
        <v/>
      </c>
      <c r="G1549" s="26" t="str">
        <f>IF($E1549="","",IFERROR(INDEX(科目表!$E$4:$E$81,MATCH($E1549,科目表!$B$4:$B$81,0)),""))</f>
        <v/>
      </c>
      <c r="H1549" s="27" t="str">
        <f>IF($E1549="","",N(INDEX(资金日记账!$N$4:$S$603,320,5)))</f>
        <v/>
      </c>
      <c r="I1549" s="27" t="str">
        <f>IF($E1549="","",N(INDEX(资金日记账!$N$4:$S$603,320,6)))</f>
        <v/>
      </c>
      <c r="J1549" s="26" t="str">
        <f>IF($E1549="","",INDEX(资金日记账!$E$4:$E$603,320))</f>
        <v/>
      </c>
      <c r="K1549" s="26" t="str">
        <f>IF($E1549="","",INDEX(资金日记账!$F$4:$F$603,320))</f>
        <v/>
      </c>
      <c r="L1549" s="32" t="str">
        <f>IF($E1549="","",INDEX(资金日记账!$X$4:$X$603,320))</f>
        <v/>
      </c>
      <c r="M1549" s="32"/>
      <c r="N1549" s="26" t="str">
        <f>IF($E1549="","",INDEX(资金日记账!$Y$4:$Y$603,320))</f>
        <v/>
      </c>
      <c r="O1549" s="26" t="str">
        <f t="shared" si="78"/>
        <v/>
      </c>
      <c r="P1549" s="10"/>
    </row>
    <row r="1550" ht="18" customHeight="1" spans="1:16">
      <c r="A1550" s="32" t="str">
        <f t="shared" si="79"/>
        <v/>
      </c>
      <c r="B1550" s="100" t="str">
        <f>IF($E1550="","",INDEX(资金日记账!$B$4:$B$603,321))</f>
        <v/>
      </c>
      <c r="C1550" s="26" t="str">
        <f>IF($E1550="","",IF(INDEX(资金日记账!$W$4:$W$603,321)="","记-"&amp;TEXT($B1550,"YYYYMM")&amp;"-资金",INDEX(资金日记账!$W$4:$W$603,321)))</f>
        <v/>
      </c>
      <c r="D1550" s="32" t="str">
        <f>IF($E1550="","",INDEX(资金日记账!$D$4:$D$603,321))</f>
        <v/>
      </c>
      <c r="E1550" s="26" t="str">
        <f>IF(INDEX(资金日记账!$N$4:$S$603,321,1)=0,"",INDEX(资金日记账!$N$4:$S$603,321,1))</f>
        <v/>
      </c>
      <c r="F1550" s="25" t="str">
        <f>IF($E1550="","",IFERROR(INDEX(科目表!$A$4:$A$81,MATCH($E1550,科目表!$B$4:$B$81,0)),""))</f>
        <v/>
      </c>
      <c r="G1550" s="26" t="str">
        <f>IF($E1550="","",IFERROR(INDEX(科目表!$E$4:$E$81,MATCH($E1550,科目表!$B$4:$B$81,0)),""))</f>
        <v/>
      </c>
      <c r="H1550" s="27" t="str">
        <f>IF($E1550="","",N(INDEX(资金日记账!$N$4:$S$603,321,2)))</f>
        <v/>
      </c>
      <c r="I1550" s="27" t="str">
        <f>IF($E1550="","",N(INDEX(资金日记账!$N$4:$S$603,321,3)))</f>
        <v/>
      </c>
      <c r="J1550" s="26" t="str">
        <f>IF($E1550="","",INDEX(资金日记账!$E$4:$E$603,321))</f>
        <v/>
      </c>
      <c r="K1550" s="26" t="str">
        <f>IF($E1550="","",INDEX(资金日记账!$F$4:$F$603,321))</f>
        <v/>
      </c>
      <c r="L1550" s="32" t="str">
        <f>IF($E1550="","",INDEX(资金日记账!$X$4:$X$603,321))</f>
        <v/>
      </c>
      <c r="M1550" s="32"/>
      <c r="N1550" s="26" t="str">
        <f>IF($E1550="","",INDEX(资金日记账!$Y$4:$Y$603,321))</f>
        <v/>
      </c>
      <c r="O1550" s="26" t="str">
        <f t="shared" ref="O1550:O1613" si="80">IF($E1550="","","自动B")</f>
        <v/>
      </c>
      <c r="P1550" s="10"/>
    </row>
    <row r="1551" ht="18" customHeight="1" spans="1:16">
      <c r="A1551" s="32" t="str">
        <f t="shared" si="79"/>
        <v/>
      </c>
      <c r="B1551" s="100" t="str">
        <f>IF($E1551="","",INDEX(资金日记账!$B$4:$B$603,321))</f>
        <v/>
      </c>
      <c r="C1551" s="26" t="str">
        <f>IF($E1551="","",IF(INDEX(资金日记账!$W$4:$W$603,321)="","记-"&amp;TEXT($B1551,"YYYYMM")&amp;"-资金",INDEX(资金日记账!$W$4:$W$603,321)))</f>
        <v/>
      </c>
      <c r="D1551" s="32" t="str">
        <f>IF($E1551="","",INDEX(资金日记账!$D$4:$D$603,321))</f>
        <v/>
      </c>
      <c r="E1551" s="26" t="str">
        <f>IF(INDEX(资金日记账!$N$4:$S$603,321,4)=0,"",INDEX(资金日记账!$N$4:$S$603,321,4))</f>
        <v/>
      </c>
      <c r="F1551" s="25" t="str">
        <f>IF($E1551="","",IFERROR(INDEX(科目表!$A$4:$A$81,MATCH($E1551,科目表!$B$4:$B$81,0)),""))</f>
        <v/>
      </c>
      <c r="G1551" s="26" t="str">
        <f>IF($E1551="","",IFERROR(INDEX(科目表!$E$4:$E$81,MATCH($E1551,科目表!$B$4:$B$81,0)),""))</f>
        <v/>
      </c>
      <c r="H1551" s="27" t="str">
        <f>IF($E1551="","",N(INDEX(资金日记账!$N$4:$S$603,321,5)))</f>
        <v/>
      </c>
      <c r="I1551" s="27" t="str">
        <f>IF($E1551="","",N(INDEX(资金日记账!$N$4:$S$603,321,6)))</f>
        <v/>
      </c>
      <c r="J1551" s="26" t="str">
        <f>IF($E1551="","",INDEX(资金日记账!$E$4:$E$603,321))</f>
        <v/>
      </c>
      <c r="K1551" s="26" t="str">
        <f>IF($E1551="","",INDEX(资金日记账!$F$4:$F$603,321))</f>
        <v/>
      </c>
      <c r="L1551" s="32" t="str">
        <f>IF($E1551="","",INDEX(资金日记账!$X$4:$X$603,321))</f>
        <v/>
      </c>
      <c r="M1551" s="32"/>
      <c r="N1551" s="26" t="str">
        <f>IF($E1551="","",INDEX(资金日记账!$Y$4:$Y$603,321))</f>
        <v/>
      </c>
      <c r="O1551" s="26" t="str">
        <f t="shared" si="80"/>
        <v/>
      </c>
      <c r="P1551" s="10"/>
    </row>
    <row r="1552" ht="18" customHeight="1" spans="1:16">
      <c r="A1552" s="32" t="str">
        <f t="shared" si="79"/>
        <v/>
      </c>
      <c r="B1552" s="100" t="str">
        <f>IF($E1552="","",INDEX(资金日记账!$B$4:$B$603,322))</f>
        <v/>
      </c>
      <c r="C1552" s="26" t="str">
        <f>IF($E1552="","",IF(INDEX(资金日记账!$W$4:$W$603,322)="","记-"&amp;TEXT($B1552,"YYYYMM")&amp;"-资金",INDEX(资金日记账!$W$4:$W$603,322)))</f>
        <v/>
      </c>
      <c r="D1552" s="32" t="str">
        <f>IF($E1552="","",INDEX(资金日记账!$D$4:$D$603,322))</f>
        <v/>
      </c>
      <c r="E1552" s="26" t="str">
        <f>IF(INDEX(资金日记账!$N$4:$S$603,322,1)=0,"",INDEX(资金日记账!$N$4:$S$603,322,1))</f>
        <v/>
      </c>
      <c r="F1552" s="25" t="str">
        <f>IF($E1552="","",IFERROR(INDEX(科目表!$A$4:$A$81,MATCH($E1552,科目表!$B$4:$B$81,0)),""))</f>
        <v/>
      </c>
      <c r="G1552" s="26" t="str">
        <f>IF($E1552="","",IFERROR(INDEX(科目表!$E$4:$E$81,MATCH($E1552,科目表!$B$4:$B$81,0)),""))</f>
        <v/>
      </c>
      <c r="H1552" s="27" t="str">
        <f>IF($E1552="","",N(INDEX(资金日记账!$N$4:$S$603,322,2)))</f>
        <v/>
      </c>
      <c r="I1552" s="27" t="str">
        <f>IF($E1552="","",N(INDEX(资金日记账!$N$4:$S$603,322,3)))</f>
        <v/>
      </c>
      <c r="J1552" s="26" t="str">
        <f>IF($E1552="","",INDEX(资金日记账!$E$4:$E$603,322))</f>
        <v/>
      </c>
      <c r="K1552" s="26" t="str">
        <f>IF($E1552="","",INDEX(资金日记账!$F$4:$F$603,322))</f>
        <v/>
      </c>
      <c r="L1552" s="32" t="str">
        <f>IF($E1552="","",INDEX(资金日记账!$X$4:$X$603,322))</f>
        <v/>
      </c>
      <c r="M1552" s="32"/>
      <c r="N1552" s="26" t="str">
        <f>IF($E1552="","",INDEX(资金日记账!$Y$4:$Y$603,322))</f>
        <v/>
      </c>
      <c r="O1552" s="26" t="str">
        <f t="shared" si="80"/>
        <v/>
      </c>
      <c r="P1552" s="10"/>
    </row>
    <row r="1553" ht="18" customHeight="1" spans="1:16">
      <c r="A1553" s="32" t="str">
        <f t="shared" si="79"/>
        <v/>
      </c>
      <c r="B1553" s="100" t="str">
        <f>IF($E1553="","",INDEX(资金日记账!$B$4:$B$603,322))</f>
        <v/>
      </c>
      <c r="C1553" s="26" t="str">
        <f>IF($E1553="","",IF(INDEX(资金日记账!$W$4:$W$603,322)="","记-"&amp;TEXT($B1553,"YYYYMM")&amp;"-资金",INDEX(资金日记账!$W$4:$W$603,322)))</f>
        <v/>
      </c>
      <c r="D1553" s="32" t="str">
        <f>IF($E1553="","",INDEX(资金日记账!$D$4:$D$603,322))</f>
        <v/>
      </c>
      <c r="E1553" s="26" t="str">
        <f>IF(INDEX(资金日记账!$N$4:$S$603,322,4)=0,"",INDEX(资金日记账!$N$4:$S$603,322,4))</f>
        <v/>
      </c>
      <c r="F1553" s="25" t="str">
        <f>IF($E1553="","",IFERROR(INDEX(科目表!$A$4:$A$81,MATCH($E1553,科目表!$B$4:$B$81,0)),""))</f>
        <v/>
      </c>
      <c r="G1553" s="26" t="str">
        <f>IF($E1553="","",IFERROR(INDEX(科目表!$E$4:$E$81,MATCH($E1553,科目表!$B$4:$B$81,0)),""))</f>
        <v/>
      </c>
      <c r="H1553" s="27" t="str">
        <f>IF($E1553="","",N(INDEX(资金日记账!$N$4:$S$603,322,5)))</f>
        <v/>
      </c>
      <c r="I1553" s="27" t="str">
        <f>IF($E1553="","",N(INDEX(资金日记账!$N$4:$S$603,322,6)))</f>
        <v/>
      </c>
      <c r="J1553" s="26" t="str">
        <f>IF($E1553="","",INDEX(资金日记账!$E$4:$E$603,322))</f>
        <v/>
      </c>
      <c r="K1553" s="26" t="str">
        <f>IF($E1553="","",INDEX(资金日记账!$F$4:$F$603,322))</f>
        <v/>
      </c>
      <c r="L1553" s="32" t="str">
        <f>IF($E1553="","",INDEX(资金日记账!$X$4:$X$603,322))</f>
        <v/>
      </c>
      <c r="M1553" s="32"/>
      <c r="N1553" s="26" t="str">
        <f>IF($E1553="","",INDEX(资金日记账!$Y$4:$Y$603,322))</f>
        <v/>
      </c>
      <c r="O1553" s="26" t="str">
        <f t="shared" si="80"/>
        <v/>
      </c>
      <c r="P1553" s="10"/>
    </row>
    <row r="1554" ht="18" customHeight="1" spans="1:16">
      <c r="A1554" s="32" t="str">
        <f t="shared" si="79"/>
        <v/>
      </c>
      <c r="B1554" s="100" t="str">
        <f>IF($E1554="","",INDEX(资金日记账!$B$4:$B$603,323))</f>
        <v/>
      </c>
      <c r="C1554" s="26" t="str">
        <f>IF($E1554="","",IF(INDEX(资金日记账!$W$4:$W$603,323)="","记-"&amp;TEXT($B1554,"YYYYMM")&amp;"-资金",INDEX(资金日记账!$W$4:$W$603,323)))</f>
        <v/>
      </c>
      <c r="D1554" s="32" t="str">
        <f>IF($E1554="","",INDEX(资金日记账!$D$4:$D$603,323))</f>
        <v/>
      </c>
      <c r="E1554" s="26" t="str">
        <f>IF(INDEX(资金日记账!$N$4:$S$603,323,1)=0,"",INDEX(资金日记账!$N$4:$S$603,323,1))</f>
        <v/>
      </c>
      <c r="F1554" s="25" t="str">
        <f>IF($E1554="","",IFERROR(INDEX(科目表!$A$4:$A$81,MATCH($E1554,科目表!$B$4:$B$81,0)),""))</f>
        <v/>
      </c>
      <c r="G1554" s="26" t="str">
        <f>IF($E1554="","",IFERROR(INDEX(科目表!$E$4:$E$81,MATCH($E1554,科目表!$B$4:$B$81,0)),""))</f>
        <v/>
      </c>
      <c r="H1554" s="27" t="str">
        <f>IF($E1554="","",N(INDEX(资金日记账!$N$4:$S$603,323,2)))</f>
        <v/>
      </c>
      <c r="I1554" s="27" t="str">
        <f>IF($E1554="","",N(INDEX(资金日记账!$N$4:$S$603,323,3)))</f>
        <v/>
      </c>
      <c r="J1554" s="26" t="str">
        <f>IF($E1554="","",INDEX(资金日记账!$E$4:$E$603,323))</f>
        <v/>
      </c>
      <c r="K1554" s="26" t="str">
        <f>IF($E1554="","",INDEX(资金日记账!$F$4:$F$603,323))</f>
        <v/>
      </c>
      <c r="L1554" s="32" t="str">
        <f>IF($E1554="","",INDEX(资金日记账!$X$4:$X$603,323))</f>
        <v/>
      </c>
      <c r="M1554" s="32"/>
      <c r="N1554" s="26" t="str">
        <f>IF($E1554="","",INDEX(资金日记账!$Y$4:$Y$603,323))</f>
        <v/>
      </c>
      <c r="O1554" s="26" t="str">
        <f t="shared" si="80"/>
        <v/>
      </c>
      <c r="P1554" s="10"/>
    </row>
    <row r="1555" ht="18" customHeight="1" spans="1:16">
      <c r="A1555" s="32" t="str">
        <f t="shared" si="79"/>
        <v/>
      </c>
      <c r="B1555" s="100" t="str">
        <f>IF($E1555="","",INDEX(资金日记账!$B$4:$B$603,323))</f>
        <v/>
      </c>
      <c r="C1555" s="26" t="str">
        <f>IF($E1555="","",IF(INDEX(资金日记账!$W$4:$W$603,323)="","记-"&amp;TEXT($B1555,"YYYYMM")&amp;"-资金",INDEX(资金日记账!$W$4:$W$603,323)))</f>
        <v/>
      </c>
      <c r="D1555" s="32" t="str">
        <f>IF($E1555="","",INDEX(资金日记账!$D$4:$D$603,323))</f>
        <v/>
      </c>
      <c r="E1555" s="26" t="str">
        <f>IF(INDEX(资金日记账!$N$4:$S$603,323,4)=0,"",INDEX(资金日记账!$N$4:$S$603,323,4))</f>
        <v/>
      </c>
      <c r="F1555" s="25" t="str">
        <f>IF($E1555="","",IFERROR(INDEX(科目表!$A$4:$A$81,MATCH($E1555,科目表!$B$4:$B$81,0)),""))</f>
        <v/>
      </c>
      <c r="G1555" s="26" t="str">
        <f>IF($E1555="","",IFERROR(INDEX(科目表!$E$4:$E$81,MATCH($E1555,科目表!$B$4:$B$81,0)),""))</f>
        <v/>
      </c>
      <c r="H1555" s="27" t="str">
        <f>IF($E1555="","",N(INDEX(资金日记账!$N$4:$S$603,323,5)))</f>
        <v/>
      </c>
      <c r="I1555" s="27" t="str">
        <f>IF($E1555="","",N(INDEX(资金日记账!$N$4:$S$603,323,6)))</f>
        <v/>
      </c>
      <c r="J1555" s="26" t="str">
        <f>IF($E1555="","",INDEX(资金日记账!$E$4:$E$603,323))</f>
        <v/>
      </c>
      <c r="K1555" s="26" t="str">
        <f>IF($E1555="","",INDEX(资金日记账!$F$4:$F$603,323))</f>
        <v/>
      </c>
      <c r="L1555" s="32" t="str">
        <f>IF($E1555="","",INDEX(资金日记账!$X$4:$X$603,323))</f>
        <v/>
      </c>
      <c r="M1555" s="32"/>
      <c r="N1555" s="26" t="str">
        <f>IF($E1555="","",INDEX(资金日记账!$Y$4:$Y$603,323))</f>
        <v/>
      </c>
      <c r="O1555" s="26" t="str">
        <f t="shared" si="80"/>
        <v/>
      </c>
      <c r="P1555" s="10"/>
    </row>
    <row r="1556" ht="18" customHeight="1" spans="1:16">
      <c r="A1556" s="32" t="str">
        <f t="shared" si="79"/>
        <v/>
      </c>
      <c r="B1556" s="100" t="str">
        <f>IF($E1556="","",INDEX(资金日记账!$B$4:$B$603,324))</f>
        <v/>
      </c>
      <c r="C1556" s="26" t="str">
        <f>IF($E1556="","",IF(INDEX(资金日记账!$W$4:$W$603,324)="","记-"&amp;TEXT($B1556,"YYYYMM")&amp;"-资金",INDEX(资金日记账!$W$4:$W$603,324)))</f>
        <v/>
      </c>
      <c r="D1556" s="32" t="str">
        <f>IF($E1556="","",INDEX(资金日记账!$D$4:$D$603,324))</f>
        <v/>
      </c>
      <c r="E1556" s="26" t="str">
        <f>IF(INDEX(资金日记账!$N$4:$S$603,324,1)=0,"",INDEX(资金日记账!$N$4:$S$603,324,1))</f>
        <v/>
      </c>
      <c r="F1556" s="25" t="str">
        <f>IF($E1556="","",IFERROR(INDEX(科目表!$A$4:$A$81,MATCH($E1556,科目表!$B$4:$B$81,0)),""))</f>
        <v/>
      </c>
      <c r="G1556" s="26" t="str">
        <f>IF($E1556="","",IFERROR(INDEX(科目表!$E$4:$E$81,MATCH($E1556,科目表!$B$4:$B$81,0)),""))</f>
        <v/>
      </c>
      <c r="H1556" s="27" t="str">
        <f>IF($E1556="","",N(INDEX(资金日记账!$N$4:$S$603,324,2)))</f>
        <v/>
      </c>
      <c r="I1556" s="27" t="str">
        <f>IF($E1556="","",N(INDEX(资金日记账!$N$4:$S$603,324,3)))</f>
        <v/>
      </c>
      <c r="J1556" s="26" t="str">
        <f>IF($E1556="","",INDEX(资金日记账!$E$4:$E$603,324))</f>
        <v/>
      </c>
      <c r="K1556" s="26" t="str">
        <f>IF($E1556="","",INDEX(资金日记账!$F$4:$F$603,324))</f>
        <v/>
      </c>
      <c r="L1556" s="32" t="str">
        <f>IF($E1556="","",INDEX(资金日记账!$X$4:$X$603,324))</f>
        <v/>
      </c>
      <c r="M1556" s="32"/>
      <c r="N1556" s="26" t="str">
        <f>IF($E1556="","",INDEX(资金日记账!$Y$4:$Y$603,324))</f>
        <v/>
      </c>
      <c r="O1556" s="26" t="str">
        <f t="shared" si="80"/>
        <v/>
      </c>
      <c r="P1556" s="10"/>
    </row>
    <row r="1557" ht="18" customHeight="1" spans="1:16">
      <c r="A1557" s="32" t="str">
        <f t="shared" si="79"/>
        <v/>
      </c>
      <c r="B1557" s="100" t="str">
        <f>IF($E1557="","",INDEX(资金日记账!$B$4:$B$603,324))</f>
        <v/>
      </c>
      <c r="C1557" s="26" t="str">
        <f>IF($E1557="","",IF(INDEX(资金日记账!$W$4:$W$603,324)="","记-"&amp;TEXT($B1557,"YYYYMM")&amp;"-资金",INDEX(资金日记账!$W$4:$W$603,324)))</f>
        <v/>
      </c>
      <c r="D1557" s="32" t="str">
        <f>IF($E1557="","",INDEX(资金日记账!$D$4:$D$603,324))</f>
        <v/>
      </c>
      <c r="E1557" s="26" t="str">
        <f>IF(INDEX(资金日记账!$N$4:$S$603,324,4)=0,"",INDEX(资金日记账!$N$4:$S$603,324,4))</f>
        <v/>
      </c>
      <c r="F1557" s="25" t="str">
        <f>IF($E1557="","",IFERROR(INDEX(科目表!$A$4:$A$81,MATCH($E1557,科目表!$B$4:$B$81,0)),""))</f>
        <v/>
      </c>
      <c r="G1557" s="26" t="str">
        <f>IF($E1557="","",IFERROR(INDEX(科目表!$E$4:$E$81,MATCH($E1557,科目表!$B$4:$B$81,0)),""))</f>
        <v/>
      </c>
      <c r="H1557" s="27" t="str">
        <f>IF($E1557="","",N(INDEX(资金日记账!$N$4:$S$603,324,5)))</f>
        <v/>
      </c>
      <c r="I1557" s="27" t="str">
        <f>IF($E1557="","",N(INDEX(资金日记账!$N$4:$S$603,324,6)))</f>
        <v/>
      </c>
      <c r="J1557" s="26" t="str">
        <f>IF($E1557="","",INDEX(资金日记账!$E$4:$E$603,324))</f>
        <v/>
      </c>
      <c r="K1557" s="26" t="str">
        <f>IF($E1557="","",INDEX(资金日记账!$F$4:$F$603,324))</f>
        <v/>
      </c>
      <c r="L1557" s="32" t="str">
        <f>IF($E1557="","",INDEX(资金日记账!$X$4:$X$603,324))</f>
        <v/>
      </c>
      <c r="M1557" s="32"/>
      <c r="N1557" s="26" t="str">
        <f>IF($E1557="","",INDEX(资金日记账!$Y$4:$Y$603,324))</f>
        <v/>
      </c>
      <c r="O1557" s="26" t="str">
        <f t="shared" si="80"/>
        <v/>
      </c>
      <c r="P1557" s="10"/>
    </row>
    <row r="1558" ht="18" customHeight="1" spans="1:16">
      <c r="A1558" s="32" t="str">
        <f t="shared" si="79"/>
        <v/>
      </c>
      <c r="B1558" s="100" t="str">
        <f>IF($E1558="","",INDEX(资金日记账!$B$4:$B$603,325))</f>
        <v/>
      </c>
      <c r="C1558" s="26" t="str">
        <f>IF($E1558="","",IF(INDEX(资金日记账!$W$4:$W$603,325)="","记-"&amp;TEXT($B1558,"YYYYMM")&amp;"-资金",INDEX(资金日记账!$W$4:$W$603,325)))</f>
        <v/>
      </c>
      <c r="D1558" s="32" t="str">
        <f>IF($E1558="","",INDEX(资金日记账!$D$4:$D$603,325))</f>
        <v/>
      </c>
      <c r="E1558" s="26" t="str">
        <f>IF(INDEX(资金日记账!$N$4:$S$603,325,1)=0,"",INDEX(资金日记账!$N$4:$S$603,325,1))</f>
        <v/>
      </c>
      <c r="F1558" s="25" t="str">
        <f>IF($E1558="","",IFERROR(INDEX(科目表!$A$4:$A$81,MATCH($E1558,科目表!$B$4:$B$81,0)),""))</f>
        <v/>
      </c>
      <c r="G1558" s="26" t="str">
        <f>IF($E1558="","",IFERROR(INDEX(科目表!$E$4:$E$81,MATCH($E1558,科目表!$B$4:$B$81,0)),""))</f>
        <v/>
      </c>
      <c r="H1558" s="27" t="str">
        <f>IF($E1558="","",N(INDEX(资金日记账!$N$4:$S$603,325,2)))</f>
        <v/>
      </c>
      <c r="I1558" s="27" t="str">
        <f>IF($E1558="","",N(INDEX(资金日记账!$N$4:$S$603,325,3)))</f>
        <v/>
      </c>
      <c r="J1558" s="26" t="str">
        <f>IF($E1558="","",INDEX(资金日记账!$E$4:$E$603,325))</f>
        <v/>
      </c>
      <c r="K1558" s="26" t="str">
        <f>IF($E1558="","",INDEX(资金日记账!$F$4:$F$603,325))</f>
        <v/>
      </c>
      <c r="L1558" s="32" t="str">
        <f>IF($E1558="","",INDEX(资金日记账!$X$4:$X$603,325))</f>
        <v/>
      </c>
      <c r="M1558" s="32"/>
      <c r="N1558" s="26" t="str">
        <f>IF($E1558="","",INDEX(资金日记账!$Y$4:$Y$603,325))</f>
        <v/>
      </c>
      <c r="O1558" s="26" t="str">
        <f t="shared" si="80"/>
        <v/>
      </c>
      <c r="P1558" s="10"/>
    </row>
    <row r="1559" ht="18" customHeight="1" spans="1:16">
      <c r="A1559" s="32" t="str">
        <f t="shared" si="79"/>
        <v/>
      </c>
      <c r="B1559" s="100" t="str">
        <f>IF($E1559="","",INDEX(资金日记账!$B$4:$B$603,325))</f>
        <v/>
      </c>
      <c r="C1559" s="26" t="str">
        <f>IF($E1559="","",IF(INDEX(资金日记账!$W$4:$W$603,325)="","记-"&amp;TEXT($B1559,"YYYYMM")&amp;"-资金",INDEX(资金日记账!$W$4:$W$603,325)))</f>
        <v/>
      </c>
      <c r="D1559" s="32" t="str">
        <f>IF($E1559="","",INDEX(资金日记账!$D$4:$D$603,325))</f>
        <v/>
      </c>
      <c r="E1559" s="26" t="str">
        <f>IF(INDEX(资金日记账!$N$4:$S$603,325,4)=0,"",INDEX(资金日记账!$N$4:$S$603,325,4))</f>
        <v/>
      </c>
      <c r="F1559" s="25" t="str">
        <f>IF($E1559="","",IFERROR(INDEX(科目表!$A$4:$A$81,MATCH($E1559,科目表!$B$4:$B$81,0)),""))</f>
        <v/>
      </c>
      <c r="G1559" s="26" t="str">
        <f>IF($E1559="","",IFERROR(INDEX(科目表!$E$4:$E$81,MATCH($E1559,科目表!$B$4:$B$81,0)),""))</f>
        <v/>
      </c>
      <c r="H1559" s="27" t="str">
        <f>IF($E1559="","",N(INDEX(资金日记账!$N$4:$S$603,325,5)))</f>
        <v/>
      </c>
      <c r="I1559" s="27" t="str">
        <f>IF($E1559="","",N(INDEX(资金日记账!$N$4:$S$603,325,6)))</f>
        <v/>
      </c>
      <c r="J1559" s="26" t="str">
        <f>IF($E1559="","",INDEX(资金日记账!$E$4:$E$603,325))</f>
        <v/>
      </c>
      <c r="K1559" s="26" t="str">
        <f>IF($E1559="","",INDEX(资金日记账!$F$4:$F$603,325))</f>
        <v/>
      </c>
      <c r="L1559" s="32" t="str">
        <f>IF($E1559="","",INDEX(资金日记账!$X$4:$X$603,325))</f>
        <v/>
      </c>
      <c r="M1559" s="32"/>
      <c r="N1559" s="26" t="str">
        <f>IF($E1559="","",INDEX(资金日记账!$Y$4:$Y$603,325))</f>
        <v/>
      </c>
      <c r="O1559" s="26" t="str">
        <f t="shared" si="80"/>
        <v/>
      </c>
      <c r="P1559" s="10"/>
    </row>
    <row r="1560" ht="18" customHeight="1" spans="1:16">
      <c r="A1560" s="32" t="str">
        <f t="shared" si="79"/>
        <v/>
      </c>
      <c r="B1560" s="100" t="str">
        <f>IF($E1560="","",INDEX(资金日记账!$B$4:$B$603,326))</f>
        <v/>
      </c>
      <c r="C1560" s="26" t="str">
        <f>IF($E1560="","",IF(INDEX(资金日记账!$W$4:$W$603,326)="","记-"&amp;TEXT($B1560,"YYYYMM")&amp;"-资金",INDEX(资金日记账!$W$4:$W$603,326)))</f>
        <v/>
      </c>
      <c r="D1560" s="32" t="str">
        <f>IF($E1560="","",INDEX(资金日记账!$D$4:$D$603,326))</f>
        <v/>
      </c>
      <c r="E1560" s="26" t="str">
        <f>IF(INDEX(资金日记账!$N$4:$S$603,326,1)=0,"",INDEX(资金日记账!$N$4:$S$603,326,1))</f>
        <v/>
      </c>
      <c r="F1560" s="25" t="str">
        <f>IF($E1560="","",IFERROR(INDEX(科目表!$A$4:$A$81,MATCH($E1560,科目表!$B$4:$B$81,0)),""))</f>
        <v/>
      </c>
      <c r="G1560" s="26" t="str">
        <f>IF($E1560="","",IFERROR(INDEX(科目表!$E$4:$E$81,MATCH($E1560,科目表!$B$4:$B$81,0)),""))</f>
        <v/>
      </c>
      <c r="H1560" s="27" t="str">
        <f>IF($E1560="","",N(INDEX(资金日记账!$N$4:$S$603,326,2)))</f>
        <v/>
      </c>
      <c r="I1560" s="27" t="str">
        <f>IF($E1560="","",N(INDEX(资金日记账!$N$4:$S$603,326,3)))</f>
        <v/>
      </c>
      <c r="J1560" s="26" t="str">
        <f>IF($E1560="","",INDEX(资金日记账!$E$4:$E$603,326))</f>
        <v/>
      </c>
      <c r="K1560" s="26" t="str">
        <f>IF($E1560="","",INDEX(资金日记账!$F$4:$F$603,326))</f>
        <v/>
      </c>
      <c r="L1560" s="32" t="str">
        <f>IF($E1560="","",INDEX(资金日记账!$X$4:$X$603,326))</f>
        <v/>
      </c>
      <c r="M1560" s="32"/>
      <c r="N1560" s="26" t="str">
        <f>IF($E1560="","",INDEX(资金日记账!$Y$4:$Y$603,326))</f>
        <v/>
      </c>
      <c r="O1560" s="26" t="str">
        <f t="shared" si="80"/>
        <v/>
      </c>
      <c r="P1560" s="10"/>
    </row>
    <row r="1561" ht="18" customHeight="1" spans="1:16">
      <c r="A1561" s="32" t="str">
        <f t="shared" si="79"/>
        <v/>
      </c>
      <c r="B1561" s="100" t="str">
        <f>IF($E1561="","",INDEX(资金日记账!$B$4:$B$603,326))</f>
        <v/>
      </c>
      <c r="C1561" s="26" t="str">
        <f>IF($E1561="","",IF(INDEX(资金日记账!$W$4:$W$603,326)="","记-"&amp;TEXT($B1561,"YYYYMM")&amp;"-资金",INDEX(资金日记账!$W$4:$W$603,326)))</f>
        <v/>
      </c>
      <c r="D1561" s="32" t="str">
        <f>IF($E1561="","",INDEX(资金日记账!$D$4:$D$603,326))</f>
        <v/>
      </c>
      <c r="E1561" s="26" t="str">
        <f>IF(INDEX(资金日记账!$N$4:$S$603,326,4)=0,"",INDEX(资金日记账!$N$4:$S$603,326,4))</f>
        <v/>
      </c>
      <c r="F1561" s="25" t="str">
        <f>IF($E1561="","",IFERROR(INDEX(科目表!$A$4:$A$81,MATCH($E1561,科目表!$B$4:$B$81,0)),""))</f>
        <v/>
      </c>
      <c r="G1561" s="26" t="str">
        <f>IF($E1561="","",IFERROR(INDEX(科目表!$E$4:$E$81,MATCH($E1561,科目表!$B$4:$B$81,0)),""))</f>
        <v/>
      </c>
      <c r="H1561" s="27" t="str">
        <f>IF($E1561="","",N(INDEX(资金日记账!$N$4:$S$603,326,5)))</f>
        <v/>
      </c>
      <c r="I1561" s="27" t="str">
        <f>IF($E1561="","",N(INDEX(资金日记账!$N$4:$S$603,326,6)))</f>
        <v/>
      </c>
      <c r="J1561" s="26" t="str">
        <f>IF($E1561="","",INDEX(资金日记账!$E$4:$E$603,326))</f>
        <v/>
      </c>
      <c r="K1561" s="26" t="str">
        <f>IF($E1561="","",INDEX(资金日记账!$F$4:$F$603,326))</f>
        <v/>
      </c>
      <c r="L1561" s="32" t="str">
        <f>IF($E1561="","",INDEX(资金日记账!$X$4:$X$603,326))</f>
        <v/>
      </c>
      <c r="M1561" s="32"/>
      <c r="N1561" s="26" t="str">
        <f>IF($E1561="","",INDEX(资金日记账!$Y$4:$Y$603,326))</f>
        <v/>
      </c>
      <c r="O1561" s="26" t="str">
        <f t="shared" si="80"/>
        <v/>
      </c>
      <c r="P1561" s="10"/>
    </row>
    <row r="1562" ht="18" customHeight="1" spans="1:16">
      <c r="A1562" s="32" t="str">
        <f t="shared" si="79"/>
        <v/>
      </c>
      <c r="B1562" s="100" t="str">
        <f>IF($E1562="","",INDEX(资金日记账!$B$4:$B$603,327))</f>
        <v/>
      </c>
      <c r="C1562" s="26" t="str">
        <f>IF($E1562="","",IF(INDEX(资金日记账!$W$4:$W$603,327)="","记-"&amp;TEXT($B1562,"YYYYMM")&amp;"-资金",INDEX(资金日记账!$W$4:$W$603,327)))</f>
        <v/>
      </c>
      <c r="D1562" s="32" t="str">
        <f>IF($E1562="","",INDEX(资金日记账!$D$4:$D$603,327))</f>
        <v/>
      </c>
      <c r="E1562" s="26" t="str">
        <f>IF(INDEX(资金日记账!$N$4:$S$603,327,1)=0,"",INDEX(资金日记账!$N$4:$S$603,327,1))</f>
        <v/>
      </c>
      <c r="F1562" s="25" t="str">
        <f>IF($E1562="","",IFERROR(INDEX(科目表!$A$4:$A$81,MATCH($E1562,科目表!$B$4:$B$81,0)),""))</f>
        <v/>
      </c>
      <c r="G1562" s="26" t="str">
        <f>IF($E1562="","",IFERROR(INDEX(科目表!$E$4:$E$81,MATCH($E1562,科目表!$B$4:$B$81,0)),""))</f>
        <v/>
      </c>
      <c r="H1562" s="27" t="str">
        <f>IF($E1562="","",N(INDEX(资金日记账!$N$4:$S$603,327,2)))</f>
        <v/>
      </c>
      <c r="I1562" s="27" t="str">
        <f>IF($E1562="","",N(INDEX(资金日记账!$N$4:$S$603,327,3)))</f>
        <v/>
      </c>
      <c r="J1562" s="26" t="str">
        <f>IF($E1562="","",INDEX(资金日记账!$E$4:$E$603,327))</f>
        <v/>
      </c>
      <c r="K1562" s="26" t="str">
        <f>IF($E1562="","",INDEX(资金日记账!$F$4:$F$603,327))</f>
        <v/>
      </c>
      <c r="L1562" s="32" t="str">
        <f>IF($E1562="","",INDEX(资金日记账!$X$4:$X$603,327))</f>
        <v/>
      </c>
      <c r="M1562" s="32"/>
      <c r="N1562" s="26" t="str">
        <f>IF($E1562="","",INDEX(资金日记账!$Y$4:$Y$603,327))</f>
        <v/>
      </c>
      <c r="O1562" s="26" t="str">
        <f t="shared" si="80"/>
        <v/>
      </c>
      <c r="P1562" s="10"/>
    </row>
    <row r="1563" ht="18" customHeight="1" spans="1:16">
      <c r="A1563" s="32" t="str">
        <f t="shared" si="79"/>
        <v/>
      </c>
      <c r="B1563" s="100" t="str">
        <f>IF($E1563="","",INDEX(资金日记账!$B$4:$B$603,327))</f>
        <v/>
      </c>
      <c r="C1563" s="26" t="str">
        <f>IF($E1563="","",IF(INDEX(资金日记账!$W$4:$W$603,327)="","记-"&amp;TEXT($B1563,"YYYYMM")&amp;"-资金",INDEX(资金日记账!$W$4:$W$603,327)))</f>
        <v/>
      </c>
      <c r="D1563" s="32" t="str">
        <f>IF($E1563="","",INDEX(资金日记账!$D$4:$D$603,327))</f>
        <v/>
      </c>
      <c r="E1563" s="26" t="str">
        <f>IF(INDEX(资金日记账!$N$4:$S$603,327,4)=0,"",INDEX(资金日记账!$N$4:$S$603,327,4))</f>
        <v/>
      </c>
      <c r="F1563" s="25" t="str">
        <f>IF($E1563="","",IFERROR(INDEX(科目表!$A$4:$A$81,MATCH($E1563,科目表!$B$4:$B$81,0)),""))</f>
        <v/>
      </c>
      <c r="G1563" s="26" t="str">
        <f>IF($E1563="","",IFERROR(INDEX(科目表!$E$4:$E$81,MATCH($E1563,科目表!$B$4:$B$81,0)),""))</f>
        <v/>
      </c>
      <c r="H1563" s="27" t="str">
        <f>IF($E1563="","",N(INDEX(资金日记账!$N$4:$S$603,327,5)))</f>
        <v/>
      </c>
      <c r="I1563" s="27" t="str">
        <f>IF($E1563="","",N(INDEX(资金日记账!$N$4:$S$603,327,6)))</f>
        <v/>
      </c>
      <c r="J1563" s="26" t="str">
        <f>IF($E1563="","",INDEX(资金日记账!$E$4:$E$603,327))</f>
        <v/>
      </c>
      <c r="K1563" s="26" t="str">
        <f>IF($E1563="","",INDEX(资金日记账!$F$4:$F$603,327))</f>
        <v/>
      </c>
      <c r="L1563" s="32" t="str">
        <f>IF($E1563="","",INDEX(资金日记账!$X$4:$X$603,327))</f>
        <v/>
      </c>
      <c r="M1563" s="32"/>
      <c r="N1563" s="26" t="str">
        <f>IF($E1563="","",INDEX(资金日记账!$Y$4:$Y$603,327))</f>
        <v/>
      </c>
      <c r="O1563" s="26" t="str">
        <f t="shared" si="80"/>
        <v/>
      </c>
      <c r="P1563" s="10"/>
    </row>
    <row r="1564" ht="18" customHeight="1" spans="1:16">
      <c r="A1564" s="32" t="str">
        <f t="shared" si="79"/>
        <v/>
      </c>
      <c r="B1564" s="100" t="str">
        <f>IF($E1564="","",INDEX(资金日记账!$B$4:$B$603,328))</f>
        <v/>
      </c>
      <c r="C1564" s="26" t="str">
        <f>IF($E1564="","",IF(INDEX(资金日记账!$W$4:$W$603,328)="","记-"&amp;TEXT($B1564,"YYYYMM")&amp;"-资金",INDEX(资金日记账!$W$4:$W$603,328)))</f>
        <v/>
      </c>
      <c r="D1564" s="32" t="str">
        <f>IF($E1564="","",INDEX(资金日记账!$D$4:$D$603,328))</f>
        <v/>
      </c>
      <c r="E1564" s="26" t="str">
        <f>IF(INDEX(资金日记账!$N$4:$S$603,328,1)=0,"",INDEX(资金日记账!$N$4:$S$603,328,1))</f>
        <v/>
      </c>
      <c r="F1564" s="25" t="str">
        <f>IF($E1564="","",IFERROR(INDEX(科目表!$A$4:$A$81,MATCH($E1564,科目表!$B$4:$B$81,0)),""))</f>
        <v/>
      </c>
      <c r="G1564" s="26" t="str">
        <f>IF($E1564="","",IFERROR(INDEX(科目表!$E$4:$E$81,MATCH($E1564,科目表!$B$4:$B$81,0)),""))</f>
        <v/>
      </c>
      <c r="H1564" s="27" t="str">
        <f>IF($E1564="","",N(INDEX(资金日记账!$N$4:$S$603,328,2)))</f>
        <v/>
      </c>
      <c r="I1564" s="27" t="str">
        <f>IF($E1564="","",N(INDEX(资金日记账!$N$4:$S$603,328,3)))</f>
        <v/>
      </c>
      <c r="J1564" s="26" t="str">
        <f>IF($E1564="","",INDEX(资金日记账!$E$4:$E$603,328))</f>
        <v/>
      </c>
      <c r="K1564" s="26" t="str">
        <f>IF($E1564="","",INDEX(资金日记账!$F$4:$F$603,328))</f>
        <v/>
      </c>
      <c r="L1564" s="32" t="str">
        <f>IF($E1564="","",INDEX(资金日记账!$X$4:$X$603,328))</f>
        <v/>
      </c>
      <c r="M1564" s="32"/>
      <c r="N1564" s="26" t="str">
        <f>IF($E1564="","",INDEX(资金日记账!$Y$4:$Y$603,328))</f>
        <v/>
      </c>
      <c r="O1564" s="26" t="str">
        <f t="shared" si="80"/>
        <v/>
      </c>
      <c r="P1564" s="10"/>
    </row>
    <row r="1565" ht="18" customHeight="1" spans="1:16">
      <c r="A1565" s="32" t="str">
        <f t="shared" si="79"/>
        <v/>
      </c>
      <c r="B1565" s="100" t="str">
        <f>IF($E1565="","",INDEX(资金日记账!$B$4:$B$603,328))</f>
        <v/>
      </c>
      <c r="C1565" s="26" t="str">
        <f>IF($E1565="","",IF(INDEX(资金日记账!$W$4:$W$603,328)="","记-"&amp;TEXT($B1565,"YYYYMM")&amp;"-资金",INDEX(资金日记账!$W$4:$W$603,328)))</f>
        <v/>
      </c>
      <c r="D1565" s="32" t="str">
        <f>IF($E1565="","",INDEX(资金日记账!$D$4:$D$603,328))</f>
        <v/>
      </c>
      <c r="E1565" s="26" t="str">
        <f>IF(INDEX(资金日记账!$N$4:$S$603,328,4)=0,"",INDEX(资金日记账!$N$4:$S$603,328,4))</f>
        <v/>
      </c>
      <c r="F1565" s="25" t="str">
        <f>IF($E1565="","",IFERROR(INDEX(科目表!$A$4:$A$81,MATCH($E1565,科目表!$B$4:$B$81,0)),""))</f>
        <v/>
      </c>
      <c r="G1565" s="26" t="str">
        <f>IF($E1565="","",IFERROR(INDEX(科目表!$E$4:$E$81,MATCH($E1565,科目表!$B$4:$B$81,0)),""))</f>
        <v/>
      </c>
      <c r="H1565" s="27" t="str">
        <f>IF($E1565="","",N(INDEX(资金日记账!$N$4:$S$603,328,5)))</f>
        <v/>
      </c>
      <c r="I1565" s="27" t="str">
        <f>IF($E1565="","",N(INDEX(资金日记账!$N$4:$S$603,328,6)))</f>
        <v/>
      </c>
      <c r="J1565" s="26" t="str">
        <f>IF($E1565="","",INDEX(资金日记账!$E$4:$E$603,328))</f>
        <v/>
      </c>
      <c r="K1565" s="26" t="str">
        <f>IF($E1565="","",INDEX(资金日记账!$F$4:$F$603,328))</f>
        <v/>
      </c>
      <c r="L1565" s="32" t="str">
        <f>IF($E1565="","",INDEX(资金日记账!$X$4:$X$603,328))</f>
        <v/>
      </c>
      <c r="M1565" s="32"/>
      <c r="N1565" s="26" t="str">
        <f>IF($E1565="","",INDEX(资金日记账!$Y$4:$Y$603,328))</f>
        <v/>
      </c>
      <c r="O1565" s="26" t="str">
        <f t="shared" si="80"/>
        <v/>
      </c>
      <c r="P1565" s="10"/>
    </row>
    <row r="1566" ht="18" customHeight="1" spans="1:16">
      <c r="A1566" s="32" t="str">
        <f t="shared" si="79"/>
        <v/>
      </c>
      <c r="B1566" s="100" t="str">
        <f>IF($E1566="","",INDEX(资金日记账!$B$4:$B$603,329))</f>
        <v/>
      </c>
      <c r="C1566" s="26" t="str">
        <f>IF($E1566="","",IF(INDEX(资金日记账!$W$4:$W$603,329)="","记-"&amp;TEXT($B1566,"YYYYMM")&amp;"-资金",INDEX(资金日记账!$W$4:$W$603,329)))</f>
        <v/>
      </c>
      <c r="D1566" s="32" t="str">
        <f>IF($E1566="","",INDEX(资金日记账!$D$4:$D$603,329))</f>
        <v/>
      </c>
      <c r="E1566" s="26" t="str">
        <f>IF(INDEX(资金日记账!$N$4:$S$603,329,1)=0,"",INDEX(资金日记账!$N$4:$S$603,329,1))</f>
        <v/>
      </c>
      <c r="F1566" s="25" t="str">
        <f>IF($E1566="","",IFERROR(INDEX(科目表!$A$4:$A$81,MATCH($E1566,科目表!$B$4:$B$81,0)),""))</f>
        <v/>
      </c>
      <c r="G1566" s="26" t="str">
        <f>IF($E1566="","",IFERROR(INDEX(科目表!$E$4:$E$81,MATCH($E1566,科目表!$B$4:$B$81,0)),""))</f>
        <v/>
      </c>
      <c r="H1566" s="27" t="str">
        <f>IF($E1566="","",N(INDEX(资金日记账!$N$4:$S$603,329,2)))</f>
        <v/>
      </c>
      <c r="I1566" s="27" t="str">
        <f>IF($E1566="","",N(INDEX(资金日记账!$N$4:$S$603,329,3)))</f>
        <v/>
      </c>
      <c r="J1566" s="26" t="str">
        <f>IF($E1566="","",INDEX(资金日记账!$E$4:$E$603,329))</f>
        <v/>
      </c>
      <c r="K1566" s="26" t="str">
        <f>IF($E1566="","",INDEX(资金日记账!$F$4:$F$603,329))</f>
        <v/>
      </c>
      <c r="L1566" s="32" t="str">
        <f>IF($E1566="","",INDEX(资金日记账!$X$4:$X$603,329))</f>
        <v/>
      </c>
      <c r="M1566" s="32"/>
      <c r="N1566" s="26" t="str">
        <f>IF($E1566="","",INDEX(资金日记账!$Y$4:$Y$603,329))</f>
        <v/>
      </c>
      <c r="O1566" s="26" t="str">
        <f t="shared" si="80"/>
        <v/>
      </c>
      <c r="P1566" s="10"/>
    </row>
    <row r="1567" ht="18" customHeight="1" spans="1:16">
      <c r="A1567" s="32" t="str">
        <f t="shared" si="79"/>
        <v/>
      </c>
      <c r="B1567" s="100" t="str">
        <f>IF($E1567="","",INDEX(资金日记账!$B$4:$B$603,329))</f>
        <v/>
      </c>
      <c r="C1567" s="26" t="str">
        <f>IF($E1567="","",IF(INDEX(资金日记账!$W$4:$W$603,329)="","记-"&amp;TEXT($B1567,"YYYYMM")&amp;"-资金",INDEX(资金日记账!$W$4:$W$603,329)))</f>
        <v/>
      </c>
      <c r="D1567" s="32" t="str">
        <f>IF($E1567="","",INDEX(资金日记账!$D$4:$D$603,329))</f>
        <v/>
      </c>
      <c r="E1567" s="26" t="str">
        <f>IF(INDEX(资金日记账!$N$4:$S$603,329,4)=0,"",INDEX(资金日记账!$N$4:$S$603,329,4))</f>
        <v/>
      </c>
      <c r="F1567" s="25" t="str">
        <f>IF($E1567="","",IFERROR(INDEX(科目表!$A$4:$A$81,MATCH($E1567,科目表!$B$4:$B$81,0)),""))</f>
        <v/>
      </c>
      <c r="G1567" s="26" t="str">
        <f>IF($E1567="","",IFERROR(INDEX(科目表!$E$4:$E$81,MATCH($E1567,科目表!$B$4:$B$81,0)),""))</f>
        <v/>
      </c>
      <c r="H1567" s="27" t="str">
        <f>IF($E1567="","",N(INDEX(资金日记账!$N$4:$S$603,329,5)))</f>
        <v/>
      </c>
      <c r="I1567" s="27" t="str">
        <f>IF($E1567="","",N(INDEX(资金日记账!$N$4:$S$603,329,6)))</f>
        <v/>
      </c>
      <c r="J1567" s="26" t="str">
        <f>IF($E1567="","",INDEX(资金日记账!$E$4:$E$603,329))</f>
        <v/>
      </c>
      <c r="K1567" s="26" t="str">
        <f>IF($E1567="","",INDEX(资金日记账!$F$4:$F$603,329))</f>
        <v/>
      </c>
      <c r="L1567" s="32" t="str">
        <f>IF($E1567="","",INDEX(资金日记账!$X$4:$X$603,329))</f>
        <v/>
      </c>
      <c r="M1567" s="32"/>
      <c r="N1567" s="26" t="str">
        <f>IF($E1567="","",INDEX(资金日记账!$Y$4:$Y$603,329))</f>
        <v/>
      </c>
      <c r="O1567" s="26" t="str">
        <f t="shared" si="80"/>
        <v/>
      </c>
      <c r="P1567" s="10"/>
    </row>
    <row r="1568" ht="18" customHeight="1" spans="1:16">
      <c r="A1568" s="32" t="str">
        <f t="shared" si="79"/>
        <v/>
      </c>
      <c r="B1568" s="100" t="str">
        <f>IF($E1568="","",INDEX(资金日记账!$B$4:$B$603,330))</f>
        <v/>
      </c>
      <c r="C1568" s="26" t="str">
        <f>IF($E1568="","",IF(INDEX(资金日记账!$W$4:$W$603,330)="","记-"&amp;TEXT($B1568,"YYYYMM")&amp;"-资金",INDEX(资金日记账!$W$4:$W$603,330)))</f>
        <v/>
      </c>
      <c r="D1568" s="32" t="str">
        <f>IF($E1568="","",INDEX(资金日记账!$D$4:$D$603,330))</f>
        <v/>
      </c>
      <c r="E1568" s="26" t="str">
        <f>IF(INDEX(资金日记账!$N$4:$S$603,330,1)=0,"",INDEX(资金日记账!$N$4:$S$603,330,1))</f>
        <v/>
      </c>
      <c r="F1568" s="25" t="str">
        <f>IF($E1568="","",IFERROR(INDEX(科目表!$A$4:$A$81,MATCH($E1568,科目表!$B$4:$B$81,0)),""))</f>
        <v/>
      </c>
      <c r="G1568" s="26" t="str">
        <f>IF($E1568="","",IFERROR(INDEX(科目表!$E$4:$E$81,MATCH($E1568,科目表!$B$4:$B$81,0)),""))</f>
        <v/>
      </c>
      <c r="H1568" s="27" t="str">
        <f>IF($E1568="","",N(INDEX(资金日记账!$N$4:$S$603,330,2)))</f>
        <v/>
      </c>
      <c r="I1568" s="27" t="str">
        <f>IF($E1568="","",N(INDEX(资金日记账!$N$4:$S$603,330,3)))</f>
        <v/>
      </c>
      <c r="J1568" s="26" t="str">
        <f>IF($E1568="","",INDEX(资金日记账!$E$4:$E$603,330))</f>
        <v/>
      </c>
      <c r="K1568" s="26" t="str">
        <f>IF($E1568="","",INDEX(资金日记账!$F$4:$F$603,330))</f>
        <v/>
      </c>
      <c r="L1568" s="32" t="str">
        <f>IF($E1568="","",INDEX(资金日记账!$X$4:$X$603,330))</f>
        <v/>
      </c>
      <c r="M1568" s="32"/>
      <c r="N1568" s="26" t="str">
        <f>IF($E1568="","",INDEX(资金日记账!$Y$4:$Y$603,330))</f>
        <v/>
      </c>
      <c r="O1568" s="26" t="str">
        <f t="shared" si="80"/>
        <v/>
      </c>
      <c r="P1568" s="10"/>
    </row>
    <row r="1569" ht="18" customHeight="1" spans="1:16">
      <c r="A1569" s="32" t="str">
        <f t="shared" si="79"/>
        <v/>
      </c>
      <c r="B1569" s="100" t="str">
        <f>IF($E1569="","",INDEX(资金日记账!$B$4:$B$603,330))</f>
        <v/>
      </c>
      <c r="C1569" s="26" t="str">
        <f>IF($E1569="","",IF(INDEX(资金日记账!$W$4:$W$603,330)="","记-"&amp;TEXT($B1569,"YYYYMM")&amp;"-资金",INDEX(资金日记账!$W$4:$W$603,330)))</f>
        <v/>
      </c>
      <c r="D1569" s="32" t="str">
        <f>IF($E1569="","",INDEX(资金日记账!$D$4:$D$603,330))</f>
        <v/>
      </c>
      <c r="E1569" s="26" t="str">
        <f>IF(INDEX(资金日记账!$N$4:$S$603,330,4)=0,"",INDEX(资金日记账!$N$4:$S$603,330,4))</f>
        <v/>
      </c>
      <c r="F1569" s="25" t="str">
        <f>IF($E1569="","",IFERROR(INDEX(科目表!$A$4:$A$81,MATCH($E1569,科目表!$B$4:$B$81,0)),""))</f>
        <v/>
      </c>
      <c r="G1569" s="26" t="str">
        <f>IF($E1569="","",IFERROR(INDEX(科目表!$E$4:$E$81,MATCH($E1569,科目表!$B$4:$B$81,0)),""))</f>
        <v/>
      </c>
      <c r="H1569" s="27" t="str">
        <f>IF($E1569="","",N(INDEX(资金日记账!$N$4:$S$603,330,5)))</f>
        <v/>
      </c>
      <c r="I1569" s="27" t="str">
        <f>IF($E1569="","",N(INDEX(资金日记账!$N$4:$S$603,330,6)))</f>
        <v/>
      </c>
      <c r="J1569" s="26" t="str">
        <f>IF($E1569="","",INDEX(资金日记账!$E$4:$E$603,330))</f>
        <v/>
      </c>
      <c r="K1569" s="26" t="str">
        <f>IF($E1569="","",INDEX(资金日记账!$F$4:$F$603,330))</f>
        <v/>
      </c>
      <c r="L1569" s="32" t="str">
        <f>IF($E1569="","",INDEX(资金日记账!$X$4:$X$603,330))</f>
        <v/>
      </c>
      <c r="M1569" s="32"/>
      <c r="N1569" s="26" t="str">
        <f>IF($E1569="","",INDEX(资金日记账!$Y$4:$Y$603,330))</f>
        <v/>
      </c>
      <c r="O1569" s="26" t="str">
        <f t="shared" si="80"/>
        <v/>
      </c>
      <c r="P1569" s="10"/>
    </row>
    <row r="1570" ht="18" customHeight="1" spans="1:16">
      <c r="A1570" s="32" t="str">
        <f t="shared" si="79"/>
        <v/>
      </c>
      <c r="B1570" s="100" t="str">
        <f>IF($E1570="","",INDEX(资金日记账!$B$4:$B$603,331))</f>
        <v/>
      </c>
      <c r="C1570" s="26" t="str">
        <f>IF($E1570="","",IF(INDEX(资金日记账!$W$4:$W$603,331)="","记-"&amp;TEXT($B1570,"YYYYMM")&amp;"-资金",INDEX(资金日记账!$W$4:$W$603,331)))</f>
        <v/>
      </c>
      <c r="D1570" s="32" t="str">
        <f>IF($E1570="","",INDEX(资金日记账!$D$4:$D$603,331))</f>
        <v/>
      </c>
      <c r="E1570" s="26" t="str">
        <f>IF(INDEX(资金日记账!$N$4:$S$603,331,1)=0,"",INDEX(资金日记账!$N$4:$S$603,331,1))</f>
        <v/>
      </c>
      <c r="F1570" s="25" t="str">
        <f>IF($E1570="","",IFERROR(INDEX(科目表!$A$4:$A$81,MATCH($E1570,科目表!$B$4:$B$81,0)),""))</f>
        <v/>
      </c>
      <c r="G1570" s="26" t="str">
        <f>IF($E1570="","",IFERROR(INDEX(科目表!$E$4:$E$81,MATCH($E1570,科目表!$B$4:$B$81,0)),""))</f>
        <v/>
      </c>
      <c r="H1570" s="27" t="str">
        <f>IF($E1570="","",N(INDEX(资金日记账!$N$4:$S$603,331,2)))</f>
        <v/>
      </c>
      <c r="I1570" s="27" t="str">
        <f>IF($E1570="","",N(INDEX(资金日记账!$N$4:$S$603,331,3)))</f>
        <v/>
      </c>
      <c r="J1570" s="26" t="str">
        <f>IF($E1570="","",INDEX(资金日记账!$E$4:$E$603,331))</f>
        <v/>
      </c>
      <c r="K1570" s="26" t="str">
        <f>IF($E1570="","",INDEX(资金日记账!$F$4:$F$603,331))</f>
        <v/>
      </c>
      <c r="L1570" s="32" t="str">
        <f>IF($E1570="","",INDEX(资金日记账!$X$4:$X$603,331))</f>
        <v/>
      </c>
      <c r="M1570" s="32"/>
      <c r="N1570" s="26" t="str">
        <f>IF($E1570="","",INDEX(资金日记账!$Y$4:$Y$603,331))</f>
        <v/>
      </c>
      <c r="O1570" s="26" t="str">
        <f t="shared" si="80"/>
        <v/>
      </c>
      <c r="P1570" s="10"/>
    </row>
    <row r="1571" ht="18" customHeight="1" spans="1:16">
      <c r="A1571" s="32" t="str">
        <f t="shared" si="79"/>
        <v/>
      </c>
      <c r="B1571" s="100" t="str">
        <f>IF($E1571="","",INDEX(资金日记账!$B$4:$B$603,331))</f>
        <v/>
      </c>
      <c r="C1571" s="26" t="str">
        <f>IF($E1571="","",IF(INDEX(资金日记账!$W$4:$W$603,331)="","记-"&amp;TEXT($B1571,"YYYYMM")&amp;"-资金",INDEX(资金日记账!$W$4:$W$603,331)))</f>
        <v/>
      </c>
      <c r="D1571" s="32" t="str">
        <f>IF($E1571="","",INDEX(资金日记账!$D$4:$D$603,331))</f>
        <v/>
      </c>
      <c r="E1571" s="26" t="str">
        <f>IF(INDEX(资金日记账!$N$4:$S$603,331,4)=0,"",INDEX(资金日记账!$N$4:$S$603,331,4))</f>
        <v/>
      </c>
      <c r="F1571" s="25" t="str">
        <f>IF($E1571="","",IFERROR(INDEX(科目表!$A$4:$A$81,MATCH($E1571,科目表!$B$4:$B$81,0)),""))</f>
        <v/>
      </c>
      <c r="G1571" s="26" t="str">
        <f>IF($E1571="","",IFERROR(INDEX(科目表!$E$4:$E$81,MATCH($E1571,科目表!$B$4:$B$81,0)),""))</f>
        <v/>
      </c>
      <c r="H1571" s="27" t="str">
        <f>IF($E1571="","",N(INDEX(资金日记账!$N$4:$S$603,331,5)))</f>
        <v/>
      </c>
      <c r="I1571" s="27" t="str">
        <f>IF($E1571="","",N(INDEX(资金日记账!$N$4:$S$603,331,6)))</f>
        <v/>
      </c>
      <c r="J1571" s="26" t="str">
        <f>IF($E1571="","",INDEX(资金日记账!$E$4:$E$603,331))</f>
        <v/>
      </c>
      <c r="K1571" s="26" t="str">
        <f>IF($E1571="","",INDEX(资金日记账!$F$4:$F$603,331))</f>
        <v/>
      </c>
      <c r="L1571" s="32" t="str">
        <f>IF($E1571="","",INDEX(资金日记账!$X$4:$X$603,331))</f>
        <v/>
      </c>
      <c r="M1571" s="32"/>
      <c r="N1571" s="26" t="str">
        <f>IF($E1571="","",INDEX(资金日记账!$Y$4:$Y$603,331))</f>
        <v/>
      </c>
      <c r="O1571" s="26" t="str">
        <f t="shared" si="80"/>
        <v/>
      </c>
      <c r="P1571" s="10"/>
    </row>
    <row r="1572" ht="18" customHeight="1" spans="1:16">
      <c r="A1572" s="32" t="str">
        <f t="shared" si="79"/>
        <v/>
      </c>
      <c r="B1572" s="100" t="str">
        <f>IF($E1572="","",INDEX(资金日记账!$B$4:$B$603,332))</f>
        <v/>
      </c>
      <c r="C1572" s="26" t="str">
        <f>IF($E1572="","",IF(INDEX(资金日记账!$W$4:$W$603,332)="","记-"&amp;TEXT($B1572,"YYYYMM")&amp;"-资金",INDEX(资金日记账!$W$4:$W$603,332)))</f>
        <v/>
      </c>
      <c r="D1572" s="32" t="str">
        <f>IF($E1572="","",INDEX(资金日记账!$D$4:$D$603,332))</f>
        <v/>
      </c>
      <c r="E1572" s="26" t="str">
        <f>IF(INDEX(资金日记账!$N$4:$S$603,332,1)=0,"",INDEX(资金日记账!$N$4:$S$603,332,1))</f>
        <v/>
      </c>
      <c r="F1572" s="25" t="str">
        <f>IF($E1572="","",IFERROR(INDEX(科目表!$A$4:$A$81,MATCH($E1572,科目表!$B$4:$B$81,0)),""))</f>
        <v/>
      </c>
      <c r="G1572" s="26" t="str">
        <f>IF($E1572="","",IFERROR(INDEX(科目表!$E$4:$E$81,MATCH($E1572,科目表!$B$4:$B$81,0)),""))</f>
        <v/>
      </c>
      <c r="H1572" s="27" t="str">
        <f>IF($E1572="","",N(INDEX(资金日记账!$N$4:$S$603,332,2)))</f>
        <v/>
      </c>
      <c r="I1572" s="27" t="str">
        <f>IF($E1572="","",N(INDEX(资金日记账!$N$4:$S$603,332,3)))</f>
        <v/>
      </c>
      <c r="J1572" s="26" t="str">
        <f>IF($E1572="","",INDEX(资金日记账!$E$4:$E$603,332))</f>
        <v/>
      </c>
      <c r="K1572" s="26" t="str">
        <f>IF($E1572="","",INDEX(资金日记账!$F$4:$F$603,332))</f>
        <v/>
      </c>
      <c r="L1572" s="32" t="str">
        <f>IF($E1572="","",INDEX(资金日记账!$X$4:$X$603,332))</f>
        <v/>
      </c>
      <c r="M1572" s="32"/>
      <c r="N1572" s="26" t="str">
        <f>IF($E1572="","",INDEX(资金日记账!$Y$4:$Y$603,332))</f>
        <v/>
      </c>
      <c r="O1572" s="26" t="str">
        <f t="shared" si="80"/>
        <v/>
      </c>
      <c r="P1572" s="10"/>
    </row>
    <row r="1573" ht="18" customHeight="1" spans="1:16">
      <c r="A1573" s="32" t="str">
        <f t="shared" si="79"/>
        <v/>
      </c>
      <c r="B1573" s="100" t="str">
        <f>IF($E1573="","",INDEX(资金日记账!$B$4:$B$603,332))</f>
        <v/>
      </c>
      <c r="C1573" s="26" t="str">
        <f>IF($E1573="","",IF(INDEX(资金日记账!$W$4:$W$603,332)="","记-"&amp;TEXT($B1573,"YYYYMM")&amp;"-资金",INDEX(资金日记账!$W$4:$W$603,332)))</f>
        <v/>
      </c>
      <c r="D1573" s="32" t="str">
        <f>IF($E1573="","",INDEX(资金日记账!$D$4:$D$603,332))</f>
        <v/>
      </c>
      <c r="E1573" s="26" t="str">
        <f>IF(INDEX(资金日记账!$N$4:$S$603,332,4)=0,"",INDEX(资金日记账!$N$4:$S$603,332,4))</f>
        <v/>
      </c>
      <c r="F1573" s="25" t="str">
        <f>IF($E1573="","",IFERROR(INDEX(科目表!$A$4:$A$81,MATCH($E1573,科目表!$B$4:$B$81,0)),""))</f>
        <v/>
      </c>
      <c r="G1573" s="26" t="str">
        <f>IF($E1573="","",IFERROR(INDEX(科目表!$E$4:$E$81,MATCH($E1573,科目表!$B$4:$B$81,0)),""))</f>
        <v/>
      </c>
      <c r="H1573" s="27" t="str">
        <f>IF($E1573="","",N(INDEX(资金日记账!$N$4:$S$603,332,5)))</f>
        <v/>
      </c>
      <c r="I1573" s="27" t="str">
        <f>IF($E1573="","",N(INDEX(资金日记账!$N$4:$S$603,332,6)))</f>
        <v/>
      </c>
      <c r="J1573" s="26" t="str">
        <f>IF($E1573="","",INDEX(资金日记账!$E$4:$E$603,332))</f>
        <v/>
      </c>
      <c r="K1573" s="26" t="str">
        <f>IF($E1573="","",INDEX(资金日记账!$F$4:$F$603,332))</f>
        <v/>
      </c>
      <c r="L1573" s="32" t="str">
        <f>IF($E1573="","",INDEX(资金日记账!$X$4:$X$603,332))</f>
        <v/>
      </c>
      <c r="M1573" s="32"/>
      <c r="N1573" s="26" t="str">
        <f>IF($E1573="","",INDEX(资金日记账!$Y$4:$Y$603,332))</f>
        <v/>
      </c>
      <c r="O1573" s="26" t="str">
        <f t="shared" si="80"/>
        <v/>
      </c>
      <c r="P1573" s="10"/>
    </row>
    <row r="1574" ht="18" customHeight="1" spans="1:16">
      <c r="A1574" s="32" t="str">
        <f t="shared" si="79"/>
        <v/>
      </c>
      <c r="B1574" s="100" t="str">
        <f>IF($E1574="","",INDEX(资金日记账!$B$4:$B$603,333))</f>
        <v/>
      </c>
      <c r="C1574" s="26" t="str">
        <f>IF($E1574="","",IF(INDEX(资金日记账!$W$4:$W$603,333)="","记-"&amp;TEXT($B1574,"YYYYMM")&amp;"-资金",INDEX(资金日记账!$W$4:$W$603,333)))</f>
        <v/>
      </c>
      <c r="D1574" s="32" t="str">
        <f>IF($E1574="","",INDEX(资金日记账!$D$4:$D$603,333))</f>
        <v/>
      </c>
      <c r="E1574" s="26" t="str">
        <f>IF(INDEX(资金日记账!$N$4:$S$603,333,1)=0,"",INDEX(资金日记账!$N$4:$S$603,333,1))</f>
        <v/>
      </c>
      <c r="F1574" s="25" t="str">
        <f>IF($E1574="","",IFERROR(INDEX(科目表!$A$4:$A$81,MATCH($E1574,科目表!$B$4:$B$81,0)),""))</f>
        <v/>
      </c>
      <c r="G1574" s="26" t="str">
        <f>IF($E1574="","",IFERROR(INDEX(科目表!$E$4:$E$81,MATCH($E1574,科目表!$B$4:$B$81,0)),""))</f>
        <v/>
      </c>
      <c r="H1574" s="27" t="str">
        <f>IF($E1574="","",N(INDEX(资金日记账!$N$4:$S$603,333,2)))</f>
        <v/>
      </c>
      <c r="I1574" s="27" t="str">
        <f>IF($E1574="","",N(INDEX(资金日记账!$N$4:$S$603,333,3)))</f>
        <v/>
      </c>
      <c r="J1574" s="26" t="str">
        <f>IF($E1574="","",INDEX(资金日记账!$E$4:$E$603,333))</f>
        <v/>
      </c>
      <c r="K1574" s="26" t="str">
        <f>IF($E1574="","",INDEX(资金日记账!$F$4:$F$603,333))</f>
        <v/>
      </c>
      <c r="L1574" s="32" t="str">
        <f>IF($E1574="","",INDEX(资金日记账!$X$4:$X$603,333))</f>
        <v/>
      </c>
      <c r="M1574" s="32"/>
      <c r="N1574" s="26" t="str">
        <f>IF($E1574="","",INDEX(资金日记账!$Y$4:$Y$603,333))</f>
        <v/>
      </c>
      <c r="O1574" s="26" t="str">
        <f t="shared" si="80"/>
        <v/>
      </c>
      <c r="P1574" s="10"/>
    </row>
    <row r="1575" ht="18" customHeight="1" spans="1:16">
      <c r="A1575" s="32" t="str">
        <f t="shared" si="79"/>
        <v/>
      </c>
      <c r="B1575" s="100" t="str">
        <f>IF($E1575="","",INDEX(资金日记账!$B$4:$B$603,333))</f>
        <v/>
      </c>
      <c r="C1575" s="26" t="str">
        <f>IF($E1575="","",IF(INDEX(资金日记账!$W$4:$W$603,333)="","记-"&amp;TEXT($B1575,"YYYYMM")&amp;"-资金",INDEX(资金日记账!$W$4:$W$603,333)))</f>
        <v/>
      </c>
      <c r="D1575" s="32" t="str">
        <f>IF($E1575="","",INDEX(资金日记账!$D$4:$D$603,333))</f>
        <v/>
      </c>
      <c r="E1575" s="26" t="str">
        <f>IF(INDEX(资金日记账!$N$4:$S$603,333,4)=0,"",INDEX(资金日记账!$N$4:$S$603,333,4))</f>
        <v/>
      </c>
      <c r="F1575" s="25" t="str">
        <f>IF($E1575="","",IFERROR(INDEX(科目表!$A$4:$A$81,MATCH($E1575,科目表!$B$4:$B$81,0)),""))</f>
        <v/>
      </c>
      <c r="G1575" s="26" t="str">
        <f>IF($E1575="","",IFERROR(INDEX(科目表!$E$4:$E$81,MATCH($E1575,科目表!$B$4:$B$81,0)),""))</f>
        <v/>
      </c>
      <c r="H1575" s="27" t="str">
        <f>IF($E1575="","",N(INDEX(资金日记账!$N$4:$S$603,333,5)))</f>
        <v/>
      </c>
      <c r="I1575" s="27" t="str">
        <f>IF($E1575="","",N(INDEX(资金日记账!$N$4:$S$603,333,6)))</f>
        <v/>
      </c>
      <c r="J1575" s="26" t="str">
        <f>IF($E1575="","",INDEX(资金日记账!$E$4:$E$603,333))</f>
        <v/>
      </c>
      <c r="K1575" s="26" t="str">
        <f>IF($E1575="","",INDEX(资金日记账!$F$4:$F$603,333))</f>
        <v/>
      </c>
      <c r="L1575" s="32" t="str">
        <f>IF($E1575="","",INDEX(资金日记账!$X$4:$X$603,333))</f>
        <v/>
      </c>
      <c r="M1575" s="32"/>
      <c r="N1575" s="26" t="str">
        <f>IF($E1575="","",INDEX(资金日记账!$Y$4:$Y$603,333))</f>
        <v/>
      </c>
      <c r="O1575" s="26" t="str">
        <f t="shared" si="80"/>
        <v/>
      </c>
      <c r="P1575" s="10"/>
    </row>
    <row r="1576" ht="18" customHeight="1" spans="1:16">
      <c r="A1576" s="32" t="str">
        <f t="shared" si="79"/>
        <v/>
      </c>
      <c r="B1576" s="100" t="str">
        <f>IF($E1576="","",INDEX(资金日记账!$B$4:$B$603,334))</f>
        <v/>
      </c>
      <c r="C1576" s="26" t="str">
        <f>IF($E1576="","",IF(INDEX(资金日记账!$W$4:$W$603,334)="","记-"&amp;TEXT($B1576,"YYYYMM")&amp;"-资金",INDEX(资金日记账!$W$4:$W$603,334)))</f>
        <v/>
      </c>
      <c r="D1576" s="32" t="str">
        <f>IF($E1576="","",INDEX(资金日记账!$D$4:$D$603,334))</f>
        <v/>
      </c>
      <c r="E1576" s="26" t="str">
        <f>IF(INDEX(资金日记账!$N$4:$S$603,334,1)=0,"",INDEX(资金日记账!$N$4:$S$603,334,1))</f>
        <v/>
      </c>
      <c r="F1576" s="25" t="str">
        <f>IF($E1576="","",IFERROR(INDEX(科目表!$A$4:$A$81,MATCH($E1576,科目表!$B$4:$B$81,0)),""))</f>
        <v/>
      </c>
      <c r="G1576" s="26" t="str">
        <f>IF($E1576="","",IFERROR(INDEX(科目表!$E$4:$E$81,MATCH($E1576,科目表!$B$4:$B$81,0)),""))</f>
        <v/>
      </c>
      <c r="H1576" s="27" t="str">
        <f>IF($E1576="","",N(INDEX(资金日记账!$N$4:$S$603,334,2)))</f>
        <v/>
      </c>
      <c r="I1576" s="27" t="str">
        <f>IF($E1576="","",N(INDEX(资金日记账!$N$4:$S$603,334,3)))</f>
        <v/>
      </c>
      <c r="J1576" s="26" t="str">
        <f>IF($E1576="","",INDEX(资金日记账!$E$4:$E$603,334))</f>
        <v/>
      </c>
      <c r="K1576" s="26" t="str">
        <f>IF($E1576="","",INDEX(资金日记账!$F$4:$F$603,334))</f>
        <v/>
      </c>
      <c r="L1576" s="32" t="str">
        <f>IF($E1576="","",INDEX(资金日记账!$X$4:$X$603,334))</f>
        <v/>
      </c>
      <c r="M1576" s="32"/>
      <c r="N1576" s="26" t="str">
        <f>IF($E1576="","",INDEX(资金日记账!$Y$4:$Y$603,334))</f>
        <v/>
      </c>
      <c r="O1576" s="26" t="str">
        <f t="shared" si="80"/>
        <v/>
      </c>
      <c r="P1576" s="10"/>
    </row>
    <row r="1577" ht="18" customHeight="1" spans="1:16">
      <c r="A1577" s="32" t="str">
        <f t="shared" si="79"/>
        <v/>
      </c>
      <c r="B1577" s="100" t="str">
        <f>IF($E1577="","",INDEX(资金日记账!$B$4:$B$603,334))</f>
        <v/>
      </c>
      <c r="C1577" s="26" t="str">
        <f>IF($E1577="","",IF(INDEX(资金日记账!$W$4:$W$603,334)="","记-"&amp;TEXT($B1577,"YYYYMM")&amp;"-资金",INDEX(资金日记账!$W$4:$W$603,334)))</f>
        <v/>
      </c>
      <c r="D1577" s="32" t="str">
        <f>IF($E1577="","",INDEX(资金日记账!$D$4:$D$603,334))</f>
        <v/>
      </c>
      <c r="E1577" s="26" t="str">
        <f>IF(INDEX(资金日记账!$N$4:$S$603,334,4)=0,"",INDEX(资金日记账!$N$4:$S$603,334,4))</f>
        <v/>
      </c>
      <c r="F1577" s="25" t="str">
        <f>IF($E1577="","",IFERROR(INDEX(科目表!$A$4:$A$81,MATCH($E1577,科目表!$B$4:$B$81,0)),""))</f>
        <v/>
      </c>
      <c r="G1577" s="26" t="str">
        <f>IF($E1577="","",IFERROR(INDEX(科目表!$E$4:$E$81,MATCH($E1577,科目表!$B$4:$B$81,0)),""))</f>
        <v/>
      </c>
      <c r="H1577" s="27" t="str">
        <f>IF($E1577="","",N(INDEX(资金日记账!$N$4:$S$603,334,5)))</f>
        <v/>
      </c>
      <c r="I1577" s="27" t="str">
        <f>IF($E1577="","",N(INDEX(资金日记账!$N$4:$S$603,334,6)))</f>
        <v/>
      </c>
      <c r="J1577" s="26" t="str">
        <f>IF($E1577="","",INDEX(资金日记账!$E$4:$E$603,334))</f>
        <v/>
      </c>
      <c r="K1577" s="26" t="str">
        <f>IF($E1577="","",INDEX(资金日记账!$F$4:$F$603,334))</f>
        <v/>
      </c>
      <c r="L1577" s="32" t="str">
        <f>IF($E1577="","",INDEX(资金日记账!$X$4:$X$603,334))</f>
        <v/>
      </c>
      <c r="M1577" s="32"/>
      <c r="N1577" s="26" t="str">
        <f>IF($E1577="","",INDEX(资金日记账!$Y$4:$Y$603,334))</f>
        <v/>
      </c>
      <c r="O1577" s="26" t="str">
        <f t="shared" si="80"/>
        <v/>
      </c>
      <c r="P1577" s="10"/>
    </row>
    <row r="1578" ht="18" customHeight="1" spans="1:16">
      <c r="A1578" s="32" t="str">
        <f t="shared" si="79"/>
        <v/>
      </c>
      <c r="B1578" s="100" t="str">
        <f>IF($E1578="","",INDEX(资金日记账!$B$4:$B$603,335))</f>
        <v/>
      </c>
      <c r="C1578" s="26" t="str">
        <f>IF($E1578="","",IF(INDEX(资金日记账!$W$4:$W$603,335)="","记-"&amp;TEXT($B1578,"YYYYMM")&amp;"-资金",INDEX(资金日记账!$W$4:$W$603,335)))</f>
        <v/>
      </c>
      <c r="D1578" s="32" t="str">
        <f>IF($E1578="","",INDEX(资金日记账!$D$4:$D$603,335))</f>
        <v/>
      </c>
      <c r="E1578" s="26" t="str">
        <f>IF(INDEX(资金日记账!$N$4:$S$603,335,1)=0,"",INDEX(资金日记账!$N$4:$S$603,335,1))</f>
        <v/>
      </c>
      <c r="F1578" s="25" t="str">
        <f>IF($E1578="","",IFERROR(INDEX(科目表!$A$4:$A$81,MATCH($E1578,科目表!$B$4:$B$81,0)),""))</f>
        <v/>
      </c>
      <c r="G1578" s="26" t="str">
        <f>IF($E1578="","",IFERROR(INDEX(科目表!$E$4:$E$81,MATCH($E1578,科目表!$B$4:$B$81,0)),""))</f>
        <v/>
      </c>
      <c r="H1578" s="27" t="str">
        <f>IF($E1578="","",N(INDEX(资金日记账!$N$4:$S$603,335,2)))</f>
        <v/>
      </c>
      <c r="I1578" s="27" t="str">
        <f>IF($E1578="","",N(INDEX(资金日记账!$N$4:$S$603,335,3)))</f>
        <v/>
      </c>
      <c r="J1578" s="26" t="str">
        <f>IF($E1578="","",INDEX(资金日记账!$E$4:$E$603,335))</f>
        <v/>
      </c>
      <c r="K1578" s="26" t="str">
        <f>IF($E1578="","",INDEX(资金日记账!$F$4:$F$603,335))</f>
        <v/>
      </c>
      <c r="L1578" s="32" t="str">
        <f>IF($E1578="","",INDEX(资金日记账!$X$4:$X$603,335))</f>
        <v/>
      </c>
      <c r="M1578" s="32"/>
      <c r="N1578" s="26" t="str">
        <f>IF($E1578="","",INDEX(资金日记账!$Y$4:$Y$603,335))</f>
        <v/>
      </c>
      <c r="O1578" s="26" t="str">
        <f t="shared" si="80"/>
        <v/>
      </c>
      <c r="P1578" s="10"/>
    </row>
    <row r="1579" ht="18" customHeight="1" spans="1:16">
      <c r="A1579" s="32" t="str">
        <f t="shared" si="79"/>
        <v/>
      </c>
      <c r="B1579" s="100" t="str">
        <f>IF($E1579="","",INDEX(资金日记账!$B$4:$B$603,335))</f>
        <v/>
      </c>
      <c r="C1579" s="26" t="str">
        <f>IF($E1579="","",IF(INDEX(资金日记账!$W$4:$W$603,335)="","记-"&amp;TEXT($B1579,"YYYYMM")&amp;"-资金",INDEX(资金日记账!$W$4:$W$603,335)))</f>
        <v/>
      </c>
      <c r="D1579" s="32" t="str">
        <f>IF($E1579="","",INDEX(资金日记账!$D$4:$D$603,335))</f>
        <v/>
      </c>
      <c r="E1579" s="26" t="str">
        <f>IF(INDEX(资金日记账!$N$4:$S$603,335,4)=0,"",INDEX(资金日记账!$N$4:$S$603,335,4))</f>
        <v/>
      </c>
      <c r="F1579" s="25" t="str">
        <f>IF($E1579="","",IFERROR(INDEX(科目表!$A$4:$A$81,MATCH($E1579,科目表!$B$4:$B$81,0)),""))</f>
        <v/>
      </c>
      <c r="G1579" s="26" t="str">
        <f>IF($E1579="","",IFERROR(INDEX(科目表!$E$4:$E$81,MATCH($E1579,科目表!$B$4:$B$81,0)),""))</f>
        <v/>
      </c>
      <c r="H1579" s="27" t="str">
        <f>IF($E1579="","",N(INDEX(资金日记账!$N$4:$S$603,335,5)))</f>
        <v/>
      </c>
      <c r="I1579" s="27" t="str">
        <f>IF($E1579="","",N(INDEX(资金日记账!$N$4:$S$603,335,6)))</f>
        <v/>
      </c>
      <c r="J1579" s="26" t="str">
        <f>IF($E1579="","",INDEX(资金日记账!$E$4:$E$603,335))</f>
        <v/>
      </c>
      <c r="K1579" s="26" t="str">
        <f>IF($E1579="","",INDEX(资金日记账!$F$4:$F$603,335))</f>
        <v/>
      </c>
      <c r="L1579" s="32" t="str">
        <f>IF($E1579="","",INDEX(资金日记账!$X$4:$X$603,335))</f>
        <v/>
      </c>
      <c r="M1579" s="32"/>
      <c r="N1579" s="26" t="str">
        <f>IF($E1579="","",INDEX(资金日记账!$Y$4:$Y$603,335))</f>
        <v/>
      </c>
      <c r="O1579" s="26" t="str">
        <f t="shared" si="80"/>
        <v/>
      </c>
      <c r="P1579" s="10"/>
    </row>
    <row r="1580" ht="18" customHeight="1" spans="1:16">
      <c r="A1580" s="32" t="str">
        <f t="shared" si="79"/>
        <v/>
      </c>
      <c r="B1580" s="100" t="str">
        <f>IF($E1580="","",INDEX(资金日记账!$B$4:$B$603,336))</f>
        <v/>
      </c>
      <c r="C1580" s="26" t="str">
        <f>IF($E1580="","",IF(INDEX(资金日记账!$W$4:$W$603,336)="","记-"&amp;TEXT($B1580,"YYYYMM")&amp;"-资金",INDEX(资金日记账!$W$4:$W$603,336)))</f>
        <v/>
      </c>
      <c r="D1580" s="32" t="str">
        <f>IF($E1580="","",INDEX(资金日记账!$D$4:$D$603,336))</f>
        <v/>
      </c>
      <c r="E1580" s="26" t="str">
        <f>IF(INDEX(资金日记账!$N$4:$S$603,336,1)=0,"",INDEX(资金日记账!$N$4:$S$603,336,1))</f>
        <v/>
      </c>
      <c r="F1580" s="25" t="str">
        <f>IF($E1580="","",IFERROR(INDEX(科目表!$A$4:$A$81,MATCH($E1580,科目表!$B$4:$B$81,0)),""))</f>
        <v/>
      </c>
      <c r="G1580" s="26" t="str">
        <f>IF($E1580="","",IFERROR(INDEX(科目表!$E$4:$E$81,MATCH($E1580,科目表!$B$4:$B$81,0)),""))</f>
        <v/>
      </c>
      <c r="H1580" s="27" t="str">
        <f>IF($E1580="","",N(INDEX(资金日记账!$N$4:$S$603,336,2)))</f>
        <v/>
      </c>
      <c r="I1580" s="27" t="str">
        <f>IF($E1580="","",N(INDEX(资金日记账!$N$4:$S$603,336,3)))</f>
        <v/>
      </c>
      <c r="J1580" s="26" t="str">
        <f>IF($E1580="","",INDEX(资金日记账!$E$4:$E$603,336))</f>
        <v/>
      </c>
      <c r="K1580" s="26" t="str">
        <f>IF($E1580="","",INDEX(资金日记账!$F$4:$F$603,336))</f>
        <v/>
      </c>
      <c r="L1580" s="32" t="str">
        <f>IF($E1580="","",INDEX(资金日记账!$X$4:$X$603,336))</f>
        <v/>
      </c>
      <c r="M1580" s="32"/>
      <c r="N1580" s="26" t="str">
        <f>IF($E1580="","",INDEX(资金日记账!$Y$4:$Y$603,336))</f>
        <v/>
      </c>
      <c r="O1580" s="26" t="str">
        <f t="shared" si="80"/>
        <v/>
      </c>
      <c r="P1580" s="10"/>
    </row>
    <row r="1581" ht="18" customHeight="1" spans="1:16">
      <c r="A1581" s="32" t="str">
        <f t="shared" si="79"/>
        <v/>
      </c>
      <c r="B1581" s="100" t="str">
        <f>IF($E1581="","",INDEX(资金日记账!$B$4:$B$603,336))</f>
        <v/>
      </c>
      <c r="C1581" s="26" t="str">
        <f>IF($E1581="","",IF(INDEX(资金日记账!$W$4:$W$603,336)="","记-"&amp;TEXT($B1581,"YYYYMM")&amp;"-资金",INDEX(资金日记账!$W$4:$W$603,336)))</f>
        <v/>
      </c>
      <c r="D1581" s="32" t="str">
        <f>IF($E1581="","",INDEX(资金日记账!$D$4:$D$603,336))</f>
        <v/>
      </c>
      <c r="E1581" s="26" t="str">
        <f>IF(INDEX(资金日记账!$N$4:$S$603,336,4)=0,"",INDEX(资金日记账!$N$4:$S$603,336,4))</f>
        <v/>
      </c>
      <c r="F1581" s="25" t="str">
        <f>IF($E1581="","",IFERROR(INDEX(科目表!$A$4:$A$81,MATCH($E1581,科目表!$B$4:$B$81,0)),""))</f>
        <v/>
      </c>
      <c r="G1581" s="26" t="str">
        <f>IF($E1581="","",IFERROR(INDEX(科目表!$E$4:$E$81,MATCH($E1581,科目表!$B$4:$B$81,0)),""))</f>
        <v/>
      </c>
      <c r="H1581" s="27" t="str">
        <f>IF($E1581="","",N(INDEX(资金日记账!$N$4:$S$603,336,5)))</f>
        <v/>
      </c>
      <c r="I1581" s="27" t="str">
        <f>IF($E1581="","",N(INDEX(资金日记账!$N$4:$S$603,336,6)))</f>
        <v/>
      </c>
      <c r="J1581" s="26" t="str">
        <f>IF($E1581="","",INDEX(资金日记账!$E$4:$E$603,336))</f>
        <v/>
      </c>
      <c r="K1581" s="26" t="str">
        <f>IF($E1581="","",INDEX(资金日记账!$F$4:$F$603,336))</f>
        <v/>
      </c>
      <c r="L1581" s="32" t="str">
        <f>IF($E1581="","",INDEX(资金日记账!$X$4:$X$603,336))</f>
        <v/>
      </c>
      <c r="M1581" s="32"/>
      <c r="N1581" s="26" t="str">
        <f>IF($E1581="","",INDEX(资金日记账!$Y$4:$Y$603,336))</f>
        <v/>
      </c>
      <c r="O1581" s="26" t="str">
        <f t="shared" si="80"/>
        <v/>
      </c>
      <c r="P1581" s="10"/>
    </row>
    <row r="1582" ht="18" customHeight="1" spans="1:16">
      <c r="A1582" s="32" t="str">
        <f t="shared" si="79"/>
        <v/>
      </c>
      <c r="B1582" s="100" t="str">
        <f>IF($E1582="","",INDEX(资金日记账!$B$4:$B$603,337))</f>
        <v/>
      </c>
      <c r="C1582" s="26" t="str">
        <f>IF($E1582="","",IF(INDEX(资金日记账!$W$4:$W$603,337)="","记-"&amp;TEXT($B1582,"YYYYMM")&amp;"-资金",INDEX(资金日记账!$W$4:$W$603,337)))</f>
        <v/>
      </c>
      <c r="D1582" s="32" t="str">
        <f>IF($E1582="","",INDEX(资金日记账!$D$4:$D$603,337))</f>
        <v/>
      </c>
      <c r="E1582" s="26" t="str">
        <f>IF(INDEX(资金日记账!$N$4:$S$603,337,1)=0,"",INDEX(资金日记账!$N$4:$S$603,337,1))</f>
        <v/>
      </c>
      <c r="F1582" s="25" t="str">
        <f>IF($E1582="","",IFERROR(INDEX(科目表!$A$4:$A$81,MATCH($E1582,科目表!$B$4:$B$81,0)),""))</f>
        <v/>
      </c>
      <c r="G1582" s="26" t="str">
        <f>IF($E1582="","",IFERROR(INDEX(科目表!$E$4:$E$81,MATCH($E1582,科目表!$B$4:$B$81,0)),""))</f>
        <v/>
      </c>
      <c r="H1582" s="27" t="str">
        <f>IF($E1582="","",N(INDEX(资金日记账!$N$4:$S$603,337,2)))</f>
        <v/>
      </c>
      <c r="I1582" s="27" t="str">
        <f>IF($E1582="","",N(INDEX(资金日记账!$N$4:$S$603,337,3)))</f>
        <v/>
      </c>
      <c r="J1582" s="26" t="str">
        <f>IF($E1582="","",INDEX(资金日记账!$E$4:$E$603,337))</f>
        <v/>
      </c>
      <c r="K1582" s="26" t="str">
        <f>IF($E1582="","",INDEX(资金日记账!$F$4:$F$603,337))</f>
        <v/>
      </c>
      <c r="L1582" s="32" t="str">
        <f>IF($E1582="","",INDEX(资金日记账!$X$4:$X$603,337))</f>
        <v/>
      </c>
      <c r="M1582" s="32"/>
      <c r="N1582" s="26" t="str">
        <f>IF($E1582="","",INDEX(资金日记账!$Y$4:$Y$603,337))</f>
        <v/>
      </c>
      <c r="O1582" s="26" t="str">
        <f t="shared" si="80"/>
        <v/>
      </c>
      <c r="P1582" s="10"/>
    </row>
    <row r="1583" ht="18" customHeight="1" spans="1:16">
      <c r="A1583" s="32" t="str">
        <f t="shared" si="79"/>
        <v/>
      </c>
      <c r="B1583" s="100" t="str">
        <f>IF($E1583="","",INDEX(资金日记账!$B$4:$B$603,337))</f>
        <v/>
      </c>
      <c r="C1583" s="26" t="str">
        <f>IF($E1583="","",IF(INDEX(资金日记账!$W$4:$W$603,337)="","记-"&amp;TEXT($B1583,"YYYYMM")&amp;"-资金",INDEX(资金日记账!$W$4:$W$603,337)))</f>
        <v/>
      </c>
      <c r="D1583" s="32" t="str">
        <f>IF($E1583="","",INDEX(资金日记账!$D$4:$D$603,337))</f>
        <v/>
      </c>
      <c r="E1583" s="26" t="str">
        <f>IF(INDEX(资金日记账!$N$4:$S$603,337,4)=0,"",INDEX(资金日记账!$N$4:$S$603,337,4))</f>
        <v/>
      </c>
      <c r="F1583" s="25" t="str">
        <f>IF($E1583="","",IFERROR(INDEX(科目表!$A$4:$A$81,MATCH($E1583,科目表!$B$4:$B$81,0)),""))</f>
        <v/>
      </c>
      <c r="G1583" s="26" t="str">
        <f>IF($E1583="","",IFERROR(INDEX(科目表!$E$4:$E$81,MATCH($E1583,科目表!$B$4:$B$81,0)),""))</f>
        <v/>
      </c>
      <c r="H1583" s="27" t="str">
        <f>IF($E1583="","",N(INDEX(资金日记账!$N$4:$S$603,337,5)))</f>
        <v/>
      </c>
      <c r="I1583" s="27" t="str">
        <f>IF($E1583="","",N(INDEX(资金日记账!$N$4:$S$603,337,6)))</f>
        <v/>
      </c>
      <c r="J1583" s="26" t="str">
        <f>IF($E1583="","",INDEX(资金日记账!$E$4:$E$603,337))</f>
        <v/>
      </c>
      <c r="K1583" s="26" t="str">
        <f>IF($E1583="","",INDEX(资金日记账!$F$4:$F$603,337))</f>
        <v/>
      </c>
      <c r="L1583" s="32" t="str">
        <f>IF($E1583="","",INDEX(资金日记账!$X$4:$X$603,337))</f>
        <v/>
      </c>
      <c r="M1583" s="32"/>
      <c r="N1583" s="26" t="str">
        <f>IF($E1583="","",INDEX(资金日记账!$Y$4:$Y$603,337))</f>
        <v/>
      </c>
      <c r="O1583" s="26" t="str">
        <f t="shared" si="80"/>
        <v/>
      </c>
      <c r="P1583" s="10"/>
    </row>
    <row r="1584" ht="18" customHeight="1" spans="1:16">
      <c r="A1584" s="32" t="str">
        <f t="shared" si="79"/>
        <v/>
      </c>
      <c r="B1584" s="100" t="str">
        <f>IF($E1584="","",INDEX(资金日记账!$B$4:$B$603,338))</f>
        <v/>
      </c>
      <c r="C1584" s="26" t="str">
        <f>IF($E1584="","",IF(INDEX(资金日记账!$W$4:$W$603,338)="","记-"&amp;TEXT($B1584,"YYYYMM")&amp;"-资金",INDEX(资金日记账!$W$4:$W$603,338)))</f>
        <v/>
      </c>
      <c r="D1584" s="32" t="str">
        <f>IF($E1584="","",INDEX(资金日记账!$D$4:$D$603,338))</f>
        <v/>
      </c>
      <c r="E1584" s="26" t="str">
        <f>IF(INDEX(资金日记账!$N$4:$S$603,338,1)=0,"",INDEX(资金日记账!$N$4:$S$603,338,1))</f>
        <v/>
      </c>
      <c r="F1584" s="25" t="str">
        <f>IF($E1584="","",IFERROR(INDEX(科目表!$A$4:$A$81,MATCH($E1584,科目表!$B$4:$B$81,0)),""))</f>
        <v/>
      </c>
      <c r="G1584" s="26" t="str">
        <f>IF($E1584="","",IFERROR(INDEX(科目表!$E$4:$E$81,MATCH($E1584,科目表!$B$4:$B$81,0)),""))</f>
        <v/>
      </c>
      <c r="H1584" s="27" t="str">
        <f>IF($E1584="","",N(INDEX(资金日记账!$N$4:$S$603,338,2)))</f>
        <v/>
      </c>
      <c r="I1584" s="27" t="str">
        <f>IF($E1584="","",N(INDEX(资金日记账!$N$4:$S$603,338,3)))</f>
        <v/>
      </c>
      <c r="J1584" s="26" t="str">
        <f>IF($E1584="","",INDEX(资金日记账!$E$4:$E$603,338))</f>
        <v/>
      </c>
      <c r="K1584" s="26" t="str">
        <f>IF($E1584="","",INDEX(资金日记账!$F$4:$F$603,338))</f>
        <v/>
      </c>
      <c r="L1584" s="32" t="str">
        <f>IF($E1584="","",INDEX(资金日记账!$X$4:$X$603,338))</f>
        <v/>
      </c>
      <c r="M1584" s="32"/>
      <c r="N1584" s="26" t="str">
        <f>IF($E1584="","",INDEX(资金日记账!$Y$4:$Y$603,338))</f>
        <v/>
      </c>
      <c r="O1584" s="26" t="str">
        <f t="shared" si="80"/>
        <v/>
      </c>
      <c r="P1584" s="10"/>
    </row>
    <row r="1585" ht="18" customHeight="1" spans="1:16">
      <c r="A1585" s="32" t="str">
        <f t="shared" si="79"/>
        <v/>
      </c>
      <c r="B1585" s="100" t="str">
        <f>IF($E1585="","",INDEX(资金日记账!$B$4:$B$603,338))</f>
        <v/>
      </c>
      <c r="C1585" s="26" t="str">
        <f>IF($E1585="","",IF(INDEX(资金日记账!$W$4:$W$603,338)="","记-"&amp;TEXT($B1585,"YYYYMM")&amp;"-资金",INDEX(资金日记账!$W$4:$W$603,338)))</f>
        <v/>
      </c>
      <c r="D1585" s="32" t="str">
        <f>IF($E1585="","",INDEX(资金日记账!$D$4:$D$603,338))</f>
        <v/>
      </c>
      <c r="E1585" s="26" t="str">
        <f>IF(INDEX(资金日记账!$N$4:$S$603,338,4)=0,"",INDEX(资金日记账!$N$4:$S$603,338,4))</f>
        <v/>
      </c>
      <c r="F1585" s="25" t="str">
        <f>IF($E1585="","",IFERROR(INDEX(科目表!$A$4:$A$81,MATCH($E1585,科目表!$B$4:$B$81,0)),""))</f>
        <v/>
      </c>
      <c r="G1585" s="26" t="str">
        <f>IF($E1585="","",IFERROR(INDEX(科目表!$E$4:$E$81,MATCH($E1585,科目表!$B$4:$B$81,0)),""))</f>
        <v/>
      </c>
      <c r="H1585" s="27" t="str">
        <f>IF($E1585="","",N(INDEX(资金日记账!$N$4:$S$603,338,5)))</f>
        <v/>
      </c>
      <c r="I1585" s="27" t="str">
        <f>IF($E1585="","",N(INDEX(资金日记账!$N$4:$S$603,338,6)))</f>
        <v/>
      </c>
      <c r="J1585" s="26" t="str">
        <f>IF($E1585="","",INDEX(资金日记账!$E$4:$E$603,338))</f>
        <v/>
      </c>
      <c r="K1585" s="26" t="str">
        <f>IF($E1585="","",INDEX(资金日记账!$F$4:$F$603,338))</f>
        <v/>
      </c>
      <c r="L1585" s="32" t="str">
        <f>IF($E1585="","",INDEX(资金日记账!$X$4:$X$603,338))</f>
        <v/>
      </c>
      <c r="M1585" s="32"/>
      <c r="N1585" s="26" t="str">
        <f>IF($E1585="","",INDEX(资金日记账!$Y$4:$Y$603,338))</f>
        <v/>
      </c>
      <c r="O1585" s="26" t="str">
        <f t="shared" si="80"/>
        <v/>
      </c>
      <c r="P1585" s="10"/>
    </row>
    <row r="1586" ht="18" customHeight="1" spans="1:16">
      <c r="A1586" s="32" t="str">
        <f t="shared" si="79"/>
        <v/>
      </c>
      <c r="B1586" s="100" t="str">
        <f>IF($E1586="","",INDEX(资金日记账!$B$4:$B$603,339))</f>
        <v/>
      </c>
      <c r="C1586" s="26" t="str">
        <f>IF($E1586="","",IF(INDEX(资金日记账!$W$4:$W$603,339)="","记-"&amp;TEXT($B1586,"YYYYMM")&amp;"-资金",INDEX(资金日记账!$W$4:$W$603,339)))</f>
        <v/>
      </c>
      <c r="D1586" s="32" t="str">
        <f>IF($E1586="","",INDEX(资金日记账!$D$4:$D$603,339))</f>
        <v/>
      </c>
      <c r="E1586" s="26" t="str">
        <f>IF(INDEX(资金日记账!$N$4:$S$603,339,1)=0,"",INDEX(资金日记账!$N$4:$S$603,339,1))</f>
        <v/>
      </c>
      <c r="F1586" s="25" t="str">
        <f>IF($E1586="","",IFERROR(INDEX(科目表!$A$4:$A$81,MATCH($E1586,科目表!$B$4:$B$81,0)),""))</f>
        <v/>
      </c>
      <c r="G1586" s="26" t="str">
        <f>IF($E1586="","",IFERROR(INDEX(科目表!$E$4:$E$81,MATCH($E1586,科目表!$B$4:$B$81,0)),""))</f>
        <v/>
      </c>
      <c r="H1586" s="27" t="str">
        <f>IF($E1586="","",N(INDEX(资金日记账!$N$4:$S$603,339,2)))</f>
        <v/>
      </c>
      <c r="I1586" s="27" t="str">
        <f>IF($E1586="","",N(INDEX(资金日记账!$N$4:$S$603,339,3)))</f>
        <v/>
      </c>
      <c r="J1586" s="26" t="str">
        <f>IF($E1586="","",INDEX(资金日记账!$E$4:$E$603,339))</f>
        <v/>
      </c>
      <c r="K1586" s="26" t="str">
        <f>IF($E1586="","",INDEX(资金日记账!$F$4:$F$603,339))</f>
        <v/>
      </c>
      <c r="L1586" s="32" t="str">
        <f>IF($E1586="","",INDEX(资金日记账!$X$4:$X$603,339))</f>
        <v/>
      </c>
      <c r="M1586" s="32"/>
      <c r="N1586" s="26" t="str">
        <f>IF($E1586="","",INDEX(资金日记账!$Y$4:$Y$603,339))</f>
        <v/>
      </c>
      <c r="O1586" s="26" t="str">
        <f t="shared" si="80"/>
        <v/>
      </c>
      <c r="P1586" s="10"/>
    </row>
    <row r="1587" ht="18" customHeight="1" spans="1:16">
      <c r="A1587" s="32" t="str">
        <f t="shared" si="79"/>
        <v/>
      </c>
      <c r="B1587" s="100" t="str">
        <f>IF($E1587="","",INDEX(资金日记账!$B$4:$B$603,339))</f>
        <v/>
      </c>
      <c r="C1587" s="26" t="str">
        <f>IF($E1587="","",IF(INDEX(资金日记账!$W$4:$W$603,339)="","记-"&amp;TEXT($B1587,"YYYYMM")&amp;"-资金",INDEX(资金日记账!$W$4:$W$603,339)))</f>
        <v/>
      </c>
      <c r="D1587" s="32" t="str">
        <f>IF($E1587="","",INDEX(资金日记账!$D$4:$D$603,339))</f>
        <v/>
      </c>
      <c r="E1587" s="26" t="str">
        <f>IF(INDEX(资金日记账!$N$4:$S$603,339,4)=0,"",INDEX(资金日记账!$N$4:$S$603,339,4))</f>
        <v/>
      </c>
      <c r="F1587" s="25" t="str">
        <f>IF($E1587="","",IFERROR(INDEX(科目表!$A$4:$A$81,MATCH($E1587,科目表!$B$4:$B$81,0)),""))</f>
        <v/>
      </c>
      <c r="G1587" s="26" t="str">
        <f>IF($E1587="","",IFERROR(INDEX(科目表!$E$4:$E$81,MATCH($E1587,科目表!$B$4:$B$81,0)),""))</f>
        <v/>
      </c>
      <c r="H1587" s="27" t="str">
        <f>IF($E1587="","",N(INDEX(资金日记账!$N$4:$S$603,339,5)))</f>
        <v/>
      </c>
      <c r="I1587" s="27" t="str">
        <f>IF($E1587="","",N(INDEX(资金日记账!$N$4:$S$603,339,6)))</f>
        <v/>
      </c>
      <c r="J1587" s="26" t="str">
        <f>IF($E1587="","",INDEX(资金日记账!$E$4:$E$603,339))</f>
        <v/>
      </c>
      <c r="K1587" s="26" t="str">
        <f>IF($E1587="","",INDEX(资金日记账!$F$4:$F$603,339))</f>
        <v/>
      </c>
      <c r="L1587" s="32" t="str">
        <f>IF($E1587="","",INDEX(资金日记账!$X$4:$X$603,339))</f>
        <v/>
      </c>
      <c r="M1587" s="32"/>
      <c r="N1587" s="26" t="str">
        <f>IF($E1587="","",INDEX(资金日记账!$Y$4:$Y$603,339))</f>
        <v/>
      </c>
      <c r="O1587" s="26" t="str">
        <f t="shared" si="80"/>
        <v/>
      </c>
      <c r="P1587" s="10"/>
    </row>
    <row r="1588" ht="18" customHeight="1" spans="1:16">
      <c r="A1588" s="32" t="str">
        <f t="shared" si="79"/>
        <v/>
      </c>
      <c r="B1588" s="100" t="str">
        <f>IF($E1588="","",INDEX(资金日记账!$B$4:$B$603,340))</f>
        <v/>
      </c>
      <c r="C1588" s="26" t="str">
        <f>IF($E1588="","",IF(INDEX(资金日记账!$W$4:$W$603,340)="","记-"&amp;TEXT($B1588,"YYYYMM")&amp;"-资金",INDEX(资金日记账!$W$4:$W$603,340)))</f>
        <v/>
      </c>
      <c r="D1588" s="32" t="str">
        <f>IF($E1588="","",INDEX(资金日记账!$D$4:$D$603,340))</f>
        <v/>
      </c>
      <c r="E1588" s="26" t="str">
        <f>IF(INDEX(资金日记账!$N$4:$S$603,340,1)=0,"",INDEX(资金日记账!$N$4:$S$603,340,1))</f>
        <v/>
      </c>
      <c r="F1588" s="25" t="str">
        <f>IF($E1588="","",IFERROR(INDEX(科目表!$A$4:$A$81,MATCH($E1588,科目表!$B$4:$B$81,0)),""))</f>
        <v/>
      </c>
      <c r="G1588" s="26" t="str">
        <f>IF($E1588="","",IFERROR(INDEX(科目表!$E$4:$E$81,MATCH($E1588,科目表!$B$4:$B$81,0)),""))</f>
        <v/>
      </c>
      <c r="H1588" s="27" t="str">
        <f>IF($E1588="","",N(INDEX(资金日记账!$N$4:$S$603,340,2)))</f>
        <v/>
      </c>
      <c r="I1588" s="27" t="str">
        <f>IF($E1588="","",N(INDEX(资金日记账!$N$4:$S$603,340,3)))</f>
        <v/>
      </c>
      <c r="J1588" s="26" t="str">
        <f>IF($E1588="","",INDEX(资金日记账!$E$4:$E$603,340))</f>
        <v/>
      </c>
      <c r="K1588" s="26" t="str">
        <f>IF($E1588="","",INDEX(资金日记账!$F$4:$F$603,340))</f>
        <v/>
      </c>
      <c r="L1588" s="32" t="str">
        <f>IF($E1588="","",INDEX(资金日记账!$X$4:$X$603,340))</f>
        <v/>
      </c>
      <c r="M1588" s="32"/>
      <c r="N1588" s="26" t="str">
        <f>IF($E1588="","",INDEX(资金日记账!$Y$4:$Y$603,340))</f>
        <v/>
      </c>
      <c r="O1588" s="26" t="str">
        <f t="shared" si="80"/>
        <v/>
      </c>
      <c r="P1588" s="10"/>
    </row>
    <row r="1589" ht="18" customHeight="1" spans="1:16">
      <c r="A1589" s="32" t="str">
        <f t="shared" si="79"/>
        <v/>
      </c>
      <c r="B1589" s="100" t="str">
        <f>IF($E1589="","",INDEX(资金日记账!$B$4:$B$603,340))</f>
        <v/>
      </c>
      <c r="C1589" s="26" t="str">
        <f>IF($E1589="","",IF(INDEX(资金日记账!$W$4:$W$603,340)="","记-"&amp;TEXT($B1589,"YYYYMM")&amp;"-资金",INDEX(资金日记账!$W$4:$W$603,340)))</f>
        <v/>
      </c>
      <c r="D1589" s="32" t="str">
        <f>IF($E1589="","",INDEX(资金日记账!$D$4:$D$603,340))</f>
        <v/>
      </c>
      <c r="E1589" s="26" t="str">
        <f>IF(INDEX(资金日记账!$N$4:$S$603,340,4)=0,"",INDEX(资金日记账!$N$4:$S$603,340,4))</f>
        <v/>
      </c>
      <c r="F1589" s="25" t="str">
        <f>IF($E1589="","",IFERROR(INDEX(科目表!$A$4:$A$81,MATCH($E1589,科目表!$B$4:$B$81,0)),""))</f>
        <v/>
      </c>
      <c r="G1589" s="26" t="str">
        <f>IF($E1589="","",IFERROR(INDEX(科目表!$E$4:$E$81,MATCH($E1589,科目表!$B$4:$B$81,0)),""))</f>
        <v/>
      </c>
      <c r="H1589" s="27" t="str">
        <f>IF($E1589="","",N(INDEX(资金日记账!$N$4:$S$603,340,5)))</f>
        <v/>
      </c>
      <c r="I1589" s="27" t="str">
        <f>IF($E1589="","",N(INDEX(资金日记账!$N$4:$S$603,340,6)))</f>
        <v/>
      </c>
      <c r="J1589" s="26" t="str">
        <f>IF($E1589="","",INDEX(资金日记账!$E$4:$E$603,340))</f>
        <v/>
      </c>
      <c r="K1589" s="26" t="str">
        <f>IF($E1589="","",INDEX(资金日记账!$F$4:$F$603,340))</f>
        <v/>
      </c>
      <c r="L1589" s="32" t="str">
        <f>IF($E1589="","",INDEX(资金日记账!$X$4:$X$603,340))</f>
        <v/>
      </c>
      <c r="M1589" s="32"/>
      <c r="N1589" s="26" t="str">
        <f>IF($E1589="","",INDEX(资金日记账!$Y$4:$Y$603,340))</f>
        <v/>
      </c>
      <c r="O1589" s="26" t="str">
        <f t="shared" si="80"/>
        <v/>
      </c>
      <c r="P1589" s="10"/>
    </row>
    <row r="1590" ht="18" customHeight="1" spans="1:16">
      <c r="A1590" s="32" t="str">
        <f t="shared" si="79"/>
        <v/>
      </c>
      <c r="B1590" s="100" t="str">
        <f>IF($E1590="","",INDEX(资金日记账!$B$4:$B$603,341))</f>
        <v/>
      </c>
      <c r="C1590" s="26" t="str">
        <f>IF($E1590="","",IF(INDEX(资金日记账!$W$4:$W$603,341)="","记-"&amp;TEXT($B1590,"YYYYMM")&amp;"-资金",INDEX(资金日记账!$W$4:$W$603,341)))</f>
        <v/>
      </c>
      <c r="D1590" s="32" t="str">
        <f>IF($E1590="","",INDEX(资金日记账!$D$4:$D$603,341))</f>
        <v/>
      </c>
      <c r="E1590" s="26" t="str">
        <f>IF(INDEX(资金日记账!$N$4:$S$603,341,1)=0,"",INDEX(资金日记账!$N$4:$S$603,341,1))</f>
        <v/>
      </c>
      <c r="F1590" s="25" t="str">
        <f>IF($E1590="","",IFERROR(INDEX(科目表!$A$4:$A$81,MATCH($E1590,科目表!$B$4:$B$81,0)),""))</f>
        <v/>
      </c>
      <c r="G1590" s="26" t="str">
        <f>IF($E1590="","",IFERROR(INDEX(科目表!$E$4:$E$81,MATCH($E1590,科目表!$B$4:$B$81,0)),""))</f>
        <v/>
      </c>
      <c r="H1590" s="27" t="str">
        <f>IF($E1590="","",N(INDEX(资金日记账!$N$4:$S$603,341,2)))</f>
        <v/>
      </c>
      <c r="I1590" s="27" t="str">
        <f>IF($E1590="","",N(INDEX(资金日记账!$N$4:$S$603,341,3)))</f>
        <v/>
      </c>
      <c r="J1590" s="26" t="str">
        <f>IF($E1590="","",INDEX(资金日记账!$E$4:$E$603,341))</f>
        <v/>
      </c>
      <c r="K1590" s="26" t="str">
        <f>IF($E1590="","",INDEX(资金日记账!$F$4:$F$603,341))</f>
        <v/>
      </c>
      <c r="L1590" s="32" t="str">
        <f>IF($E1590="","",INDEX(资金日记账!$X$4:$X$603,341))</f>
        <v/>
      </c>
      <c r="M1590" s="32"/>
      <c r="N1590" s="26" t="str">
        <f>IF($E1590="","",INDEX(资金日记账!$Y$4:$Y$603,341))</f>
        <v/>
      </c>
      <c r="O1590" s="26" t="str">
        <f t="shared" si="80"/>
        <v/>
      </c>
      <c r="P1590" s="10"/>
    </row>
    <row r="1591" ht="18" customHeight="1" spans="1:16">
      <c r="A1591" s="32" t="str">
        <f t="shared" si="79"/>
        <v/>
      </c>
      <c r="B1591" s="100" t="str">
        <f>IF($E1591="","",INDEX(资金日记账!$B$4:$B$603,341))</f>
        <v/>
      </c>
      <c r="C1591" s="26" t="str">
        <f>IF($E1591="","",IF(INDEX(资金日记账!$W$4:$W$603,341)="","记-"&amp;TEXT($B1591,"YYYYMM")&amp;"-资金",INDEX(资金日记账!$W$4:$W$603,341)))</f>
        <v/>
      </c>
      <c r="D1591" s="32" t="str">
        <f>IF($E1591="","",INDEX(资金日记账!$D$4:$D$603,341))</f>
        <v/>
      </c>
      <c r="E1591" s="26" t="str">
        <f>IF(INDEX(资金日记账!$N$4:$S$603,341,4)=0,"",INDEX(资金日记账!$N$4:$S$603,341,4))</f>
        <v/>
      </c>
      <c r="F1591" s="25" t="str">
        <f>IF($E1591="","",IFERROR(INDEX(科目表!$A$4:$A$81,MATCH($E1591,科目表!$B$4:$B$81,0)),""))</f>
        <v/>
      </c>
      <c r="G1591" s="26" t="str">
        <f>IF($E1591="","",IFERROR(INDEX(科目表!$E$4:$E$81,MATCH($E1591,科目表!$B$4:$B$81,0)),""))</f>
        <v/>
      </c>
      <c r="H1591" s="27" t="str">
        <f>IF($E1591="","",N(INDEX(资金日记账!$N$4:$S$603,341,5)))</f>
        <v/>
      </c>
      <c r="I1591" s="27" t="str">
        <f>IF($E1591="","",N(INDEX(资金日记账!$N$4:$S$603,341,6)))</f>
        <v/>
      </c>
      <c r="J1591" s="26" t="str">
        <f>IF($E1591="","",INDEX(资金日记账!$E$4:$E$603,341))</f>
        <v/>
      </c>
      <c r="K1591" s="26" t="str">
        <f>IF($E1591="","",INDEX(资金日记账!$F$4:$F$603,341))</f>
        <v/>
      </c>
      <c r="L1591" s="32" t="str">
        <f>IF($E1591="","",INDEX(资金日记账!$X$4:$X$603,341))</f>
        <v/>
      </c>
      <c r="M1591" s="32"/>
      <c r="N1591" s="26" t="str">
        <f>IF($E1591="","",INDEX(资金日记账!$Y$4:$Y$603,341))</f>
        <v/>
      </c>
      <c r="O1591" s="26" t="str">
        <f t="shared" si="80"/>
        <v/>
      </c>
      <c r="P1591" s="10"/>
    </row>
    <row r="1592" ht="18" customHeight="1" spans="1:16">
      <c r="A1592" s="32" t="str">
        <f t="shared" si="79"/>
        <v/>
      </c>
      <c r="B1592" s="100" t="str">
        <f>IF($E1592="","",INDEX(资金日记账!$B$4:$B$603,342))</f>
        <v/>
      </c>
      <c r="C1592" s="26" t="str">
        <f>IF($E1592="","",IF(INDEX(资金日记账!$W$4:$W$603,342)="","记-"&amp;TEXT($B1592,"YYYYMM")&amp;"-资金",INDEX(资金日记账!$W$4:$W$603,342)))</f>
        <v/>
      </c>
      <c r="D1592" s="32" t="str">
        <f>IF($E1592="","",INDEX(资金日记账!$D$4:$D$603,342))</f>
        <v/>
      </c>
      <c r="E1592" s="26" t="str">
        <f>IF(INDEX(资金日记账!$N$4:$S$603,342,1)=0,"",INDEX(资金日记账!$N$4:$S$603,342,1))</f>
        <v/>
      </c>
      <c r="F1592" s="25" t="str">
        <f>IF($E1592="","",IFERROR(INDEX(科目表!$A$4:$A$81,MATCH($E1592,科目表!$B$4:$B$81,0)),""))</f>
        <v/>
      </c>
      <c r="G1592" s="26" t="str">
        <f>IF($E1592="","",IFERROR(INDEX(科目表!$E$4:$E$81,MATCH($E1592,科目表!$B$4:$B$81,0)),""))</f>
        <v/>
      </c>
      <c r="H1592" s="27" t="str">
        <f>IF($E1592="","",N(INDEX(资金日记账!$N$4:$S$603,342,2)))</f>
        <v/>
      </c>
      <c r="I1592" s="27" t="str">
        <f>IF($E1592="","",N(INDEX(资金日记账!$N$4:$S$603,342,3)))</f>
        <v/>
      </c>
      <c r="J1592" s="26" t="str">
        <f>IF($E1592="","",INDEX(资金日记账!$E$4:$E$603,342))</f>
        <v/>
      </c>
      <c r="K1592" s="26" t="str">
        <f>IF($E1592="","",INDEX(资金日记账!$F$4:$F$603,342))</f>
        <v/>
      </c>
      <c r="L1592" s="32" t="str">
        <f>IF($E1592="","",INDEX(资金日记账!$X$4:$X$603,342))</f>
        <v/>
      </c>
      <c r="M1592" s="32"/>
      <c r="N1592" s="26" t="str">
        <f>IF($E1592="","",INDEX(资金日记账!$Y$4:$Y$603,342))</f>
        <v/>
      </c>
      <c r="O1592" s="26" t="str">
        <f t="shared" si="80"/>
        <v/>
      </c>
      <c r="P1592" s="10"/>
    </row>
    <row r="1593" ht="18" customHeight="1" spans="1:16">
      <c r="A1593" s="32" t="str">
        <f t="shared" si="79"/>
        <v/>
      </c>
      <c r="B1593" s="100" t="str">
        <f>IF($E1593="","",INDEX(资金日记账!$B$4:$B$603,342))</f>
        <v/>
      </c>
      <c r="C1593" s="26" t="str">
        <f>IF($E1593="","",IF(INDEX(资金日记账!$W$4:$W$603,342)="","记-"&amp;TEXT($B1593,"YYYYMM")&amp;"-资金",INDEX(资金日记账!$W$4:$W$603,342)))</f>
        <v/>
      </c>
      <c r="D1593" s="32" t="str">
        <f>IF($E1593="","",INDEX(资金日记账!$D$4:$D$603,342))</f>
        <v/>
      </c>
      <c r="E1593" s="26" t="str">
        <f>IF(INDEX(资金日记账!$N$4:$S$603,342,4)=0,"",INDEX(资金日记账!$N$4:$S$603,342,4))</f>
        <v/>
      </c>
      <c r="F1593" s="25" t="str">
        <f>IF($E1593="","",IFERROR(INDEX(科目表!$A$4:$A$81,MATCH($E1593,科目表!$B$4:$B$81,0)),""))</f>
        <v/>
      </c>
      <c r="G1593" s="26" t="str">
        <f>IF($E1593="","",IFERROR(INDEX(科目表!$E$4:$E$81,MATCH($E1593,科目表!$B$4:$B$81,0)),""))</f>
        <v/>
      </c>
      <c r="H1593" s="27" t="str">
        <f>IF($E1593="","",N(INDEX(资金日记账!$N$4:$S$603,342,5)))</f>
        <v/>
      </c>
      <c r="I1593" s="27" t="str">
        <f>IF($E1593="","",N(INDEX(资金日记账!$N$4:$S$603,342,6)))</f>
        <v/>
      </c>
      <c r="J1593" s="26" t="str">
        <f>IF($E1593="","",INDEX(资金日记账!$E$4:$E$603,342))</f>
        <v/>
      </c>
      <c r="K1593" s="26" t="str">
        <f>IF($E1593="","",INDEX(资金日记账!$F$4:$F$603,342))</f>
        <v/>
      </c>
      <c r="L1593" s="32" t="str">
        <f>IF($E1593="","",INDEX(资金日记账!$X$4:$X$603,342))</f>
        <v/>
      </c>
      <c r="M1593" s="32"/>
      <c r="N1593" s="26" t="str">
        <f>IF($E1593="","",INDEX(资金日记账!$Y$4:$Y$603,342))</f>
        <v/>
      </c>
      <c r="O1593" s="26" t="str">
        <f t="shared" si="80"/>
        <v/>
      </c>
      <c r="P1593" s="10"/>
    </row>
    <row r="1594" ht="18" customHeight="1" spans="1:16">
      <c r="A1594" s="32" t="str">
        <f t="shared" si="79"/>
        <v/>
      </c>
      <c r="B1594" s="100" t="str">
        <f>IF($E1594="","",INDEX(资金日记账!$B$4:$B$603,343))</f>
        <v/>
      </c>
      <c r="C1594" s="26" t="str">
        <f>IF($E1594="","",IF(INDEX(资金日记账!$W$4:$W$603,343)="","记-"&amp;TEXT($B1594,"YYYYMM")&amp;"-资金",INDEX(资金日记账!$W$4:$W$603,343)))</f>
        <v/>
      </c>
      <c r="D1594" s="32" t="str">
        <f>IF($E1594="","",INDEX(资金日记账!$D$4:$D$603,343))</f>
        <v/>
      </c>
      <c r="E1594" s="26" t="str">
        <f>IF(INDEX(资金日记账!$N$4:$S$603,343,1)=0,"",INDEX(资金日记账!$N$4:$S$603,343,1))</f>
        <v/>
      </c>
      <c r="F1594" s="25" t="str">
        <f>IF($E1594="","",IFERROR(INDEX(科目表!$A$4:$A$81,MATCH($E1594,科目表!$B$4:$B$81,0)),""))</f>
        <v/>
      </c>
      <c r="G1594" s="26" t="str">
        <f>IF($E1594="","",IFERROR(INDEX(科目表!$E$4:$E$81,MATCH($E1594,科目表!$B$4:$B$81,0)),""))</f>
        <v/>
      </c>
      <c r="H1594" s="27" t="str">
        <f>IF($E1594="","",N(INDEX(资金日记账!$N$4:$S$603,343,2)))</f>
        <v/>
      </c>
      <c r="I1594" s="27" t="str">
        <f>IF($E1594="","",N(INDEX(资金日记账!$N$4:$S$603,343,3)))</f>
        <v/>
      </c>
      <c r="J1594" s="26" t="str">
        <f>IF($E1594="","",INDEX(资金日记账!$E$4:$E$603,343))</f>
        <v/>
      </c>
      <c r="K1594" s="26" t="str">
        <f>IF($E1594="","",INDEX(资金日记账!$F$4:$F$603,343))</f>
        <v/>
      </c>
      <c r="L1594" s="32" t="str">
        <f>IF($E1594="","",INDEX(资金日记账!$X$4:$X$603,343))</f>
        <v/>
      </c>
      <c r="M1594" s="32"/>
      <c r="N1594" s="26" t="str">
        <f>IF($E1594="","",INDEX(资金日记账!$Y$4:$Y$603,343))</f>
        <v/>
      </c>
      <c r="O1594" s="26" t="str">
        <f t="shared" si="80"/>
        <v/>
      </c>
      <c r="P1594" s="10"/>
    </row>
    <row r="1595" ht="18" customHeight="1" spans="1:16">
      <c r="A1595" s="32" t="str">
        <f t="shared" si="79"/>
        <v/>
      </c>
      <c r="B1595" s="100" t="str">
        <f>IF($E1595="","",INDEX(资金日记账!$B$4:$B$603,343))</f>
        <v/>
      </c>
      <c r="C1595" s="26" t="str">
        <f>IF($E1595="","",IF(INDEX(资金日记账!$W$4:$W$603,343)="","记-"&amp;TEXT($B1595,"YYYYMM")&amp;"-资金",INDEX(资金日记账!$W$4:$W$603,343)))</f>
        <v/>
      </c>
      <c r="D1595" s="32" t="str">
        <f>IF($E1595="","",INDEX(资金日记账!$D$4:$D$603,343))</f>
        <v/>
      </c>
      <c r="E1595" s="26" t="str">
        <f>IF(INDEX(资金日记账!$N$4:$S$603,343,4)=0,"",INDEX(资金日记账!$N$4:$S$603,343,4))</f>
        <v/>
      </c>
      <c r="F1595" s="25" t="str">
        <f>IF($E1595="","",IFERROR(INDEX(科目表!$A$4:$A$81,MATCH($E1595,科目表!$B$4:$B$81,0)),""))</f>
        <v/>
      </c>
      <c r="G1595" s="26" t="str">
        <f>IF($E1595="","",IFERROR(INDEX(科目表!$E$4:$E$81,MATCH($E1595,科目表!$B$4:$B$81,0)),""))</f>
        <v/>
      </c>
      <c r="H1595" s="27" t="str">
        <f>IF($E1595="","",N(INDEX(资金日记账!$N$4:$S$603,343,5)))</f>
        <v/>
      </c>
      <c r="I1595" s="27" t="str">
        <f>IF($E1595="","",N(INDEX(资金日记账!$N$4:$S$603,343,6)))</f>
        <v/>
      </c>
      <c r="J1595" s="26" t="str">
        <f>IF($E1595="","",INDEX(资金日记账!$E$4:$E$603,343))</f>
        <v/>
      </c>
      <c r="K1595" s="26" t="str">
        <f>IF($E1595="","",INDEX(资金日记账!$F$4:$F$603,343))</f>
        <v/>
      </c>
      <c r="L1595" s="32" t="str">
        <f>IF($E1595="","",INDEX(资金日记账!$X$4:$X$603,343))</f>
        <v/>
      </c>
      <c r="M1595" s="32"/>
      <c r="N1595" s="26" t="str">
        <f>IF($E1595="","",INDEX(资金日记账!$Y$4:$Y$603,343))</f>
        <v/>
      </c>
      <c r="O1595" s="26" t="str">
        <f t="shared" si="80"/>
        <v/>
      </c>
      <c r="P1595" s="10"/>
    </row>
    <row r="1596" ht="18" customHeight="1" spans="1:16">
      <c r="A1596" s="32" t="str">
        <f t="shared" si="79"/>
        <v/>
      </c>
      <c r="B1596" s="100" t="str">
        <f>IF($E1596="","",INDEX(资金日记账!$B$4:$B$603,344))</f>
        <v/>
      </c>
      <c r="C1596" s="26" t="str">
        <f>IF($E1596="","",IF(INDEX(资金日记账!$W$4:$W$603,344)="","记-"&amp;TEXT($B1596,"YYYYMM")&amp;"-资金",INDEX(资金日记账!$W$4:$W$603,344)))</f>
        <v/>
      </c>
      <c r="D1596" s="32" t="str">
        <f>IF($E1596="","",INDEX(资金日记账!$D$4:$D$603,344))</f>
        <v/>
      </c>
      <c r="E1596" s="26" t="str">
        <f>IF(INDEX(资金日记账!$N$4:$S$603,344,1)=0,"",INDEX(资金日记账!$N$4:$S$603,344,1))</f>
        <v/>
      </c>
      <c r="F1596" s="25" t="str">
        <f>IF($E1596="","",IFERROR(INDEX(科目表!$A$4:$A$81,MATCH($E1596,科目表!$B$4:$B$81,0)),""))</f>
        <v/>
      </c>
      <c r="G1596" s="26" t="str">
        <f>IF($E1596="","",IFERROR(INDEX(科目表!$E$4:$E$81,MATCH($E1596,科目表!$B$4:$B$81,0)),""))</f>
        <v/>
      </c>
      <c r="H1596" s="27" t="str">
        <f>IF($E1596="","",N(INDEX(资金日记账!$N$4:$S$603,344,2)))</f>
        <v/>
      </c>
      <c r="I1596" s="27" t="str">
        <f>IF($E1596="","",N(INDEX(资金日记账!$N$4:$S$603,344,3)))</f>
        <v/>
      </c>
      <c r="J1596" s="26" t="str">
        <f>IF($E1596="","",INDEX(资金日记账!$E$4:$E$603,344))</f>
        <v/>
      </c>
      <c r="K1596" s="26" t="str">
        <f>IF($E1596="","",INDEX(资金日记账!$F$4:$F$603,344))</f>
        <v/>
      </c>
      <c r="L1596" s="32" t="str">
        <f>IF($E1596="","",INDEX(资金日记账!$X$4:$X$603,344))</f>
        <v/>
      </c>
      <c r="M1596" s="32"/>
      <c r="N1596" s="26" t="str">
        <f>IF($E1596="","",INDEX(资金日记账!$Y$4:$Y$603,344))</f>
        <v/>
      </c>
      <c r="O1596" s="26" t="str">
        <f t="shared" si="80"/>
        <v/>
      </c>
      <c r="P1596" s="10"/>
    </row>
    <row r="1597" ht="18" customHeight="1" spans="1:16">
      <c r="A1597" s="32" t="str">
        <f t="shared" si="79"/>
        <v/>
      </c>
      <c r="B1597" s="100" t="str">
        <f>IF($E1597="","",INDEX(资金日记账!$B$4:$B$603,344))</f>
        <v/>
      </c>
      <c r="C1597" s="26" t="str">
        <f>IF($E1597="","",IF(INDEX(资金日记账!$W$4:$W$603,344)="","记-"&amp;TEXT($B1597,"YYYYMM")&amp;"-资金",INDEX(资金日记账!$W$4:$W$603,344)))</f>
        <v/>
      </c>
      <c r="D1597" s="32" t="str">
        <f>IF($E1597="","",INDEX(资金日记账!$D$4:$D$603,344))</f>
        <v/>
      </c>
      <c r="E1597" s="26" t="str">
        <f>IF(INDEX(资金日记账!$N$4:$S$603,344,4)=0,"",INDEX(资金日记账!$N$4:$S$603,344,4))</f>
        <v/>
      </c>
      <c r="F1597" s="25" t="str">
        <f>IF($E1597="","",IFERROR(INDEX(科目表!$A$4:$A$81,MATCH($E1597,科目表!$B$4:$B$81,0)),""))</f>
        <v/>
      </c>
      <c r="G1597" s="26" t="str">
        <f>IF($E1597="","",IFERROR(INDEX(科目表!$E$4:$E$81,MATCH($E1597,科目表!$B$4:$B$81,0)),""))</f>
        <v/>
      </c>
      <c r="H1597" s="27" t="str">
        <f>IF($E1597="","",N(INDEX(资金日记账!$N$4:$S$603,344,5)))</f>
        <v/>
      </c>
      <c r="I1597" s="27" t="str">
        <f>IF($E1597="","",N(INDEX(资金日记账!$N$4:$S$603,344,6)))</f>
        <v/>
      </c>
      <c r="J1597" s="26" t="str">
        <f>IF($E1597="","",INDEX(资金日记账!$E$4:$E$603,344))</f>
        <v/>
      </c>
      <c r="K1597" s="26" t="str">
        <f>IF($E1597="","",INDEX(资金日记账!$F$4:$F$603,344))</f>
        <v/>
      </c>
      <c r="L1597" s="32" t="str">
        <f>IF($E1597="","",INDEX(资金日记账!$X$4:$X$603,344))</f>
        <v/>
      </c>
      <c r="M1597" s="32"/>
      <c r="N1597" s="26" t="str">
        <f>IF($E1597="","",INDEX(资金日记账!$Y$4:$Y$603,344))</f>
        <v/>
      </c>
      <c r="O1597" s="26" t="str">
        <f t="shared" si="80"/>
        <v/>
      </c>
      <c r="P1597" s="10"/>
    </row>
    <row r="1598" ht="18" customHeight="1" spans="1:16">
      <c r="A1598" s="32" t="str">
        <f t="shared" si="79"/>
        <v/>
      </c>
      <c r="B1598" s="100" t="str">
        <f>IF($E1598="","",INDEX(资金日记账!$B$4:$B$603,345))</f>
        <v/>
      </c>
      <c r="C1598" s="26" t="str">
        <f>IF($E1598="","",IF(INDEX(资金日记账!$W$4:$W$603,345)="","记-"&amp;TEXT($B1598,"YYYYMM")&amp;"-资金",INDEX(资金日记账!$W$4:$W$603,345)))</f>
        <v/>
      </c>
      <c r="D1598" s="32" t="str">
        <f>IF($E1598="","",INDEX(资金日记账!$D$4:$D$603,345))</f>
        <v/>
      </c>
      <c r="E1598" s="26" t="str">
        <f>IF(INDEX(资金日记账!$N$4:$S$603,345,1)=0,"",INDEX(资金日记账!$N$4:$S$603,345,1))</f>
        <v/>
      </c>
      <c r="F1598" s="25" t="str">
        <f>IF($E1598="","",IFERROR(INDEX(科目表!$A$4:$A$81,MATCH($E1598,科目表!$B$4:$B$81,0)),""))</f>
        <v/>
      </c>
      <c r="G1598" s="26" t="str">
        <f>IF($E1598="","",IFERROR(INDEX(科目表!$E$4:$E$81,MATCH($E1598,科目表!$B$4:$B$81,0)),""))</f>
        <v/>
      </c>
      <c r="H1598" s="27" t="str">
        <f>IF($E1598="","",N(INDEX(资金日记账!$N$4:$S$603,345,2)))</f>
        <v/>
      </c>
      <c r="I1598" s="27" t="str">
        <f>IF($E1598="","",N(INDEX(资金日记账!$N$4:$S$603,345,3)))</f>
        <v/>
      </c>
      <c r="J1598" s="26" t="str">
        <f>IF($E1598="","",INDEX(资金日记账!$E$4:$E$603,345))</f>
        <v/>
      </c>
      <c r="K1598" s="26" t="str">
        <f>IF($E1598="","",INDEX(资金日记账!$F$4:$F$603,345))</f>
        <v/>
      </c>
      <c r="L1598" s="32" t="str">
        <f>IF($E1598="","",INDEX(资金日记账!$X$4:$X$603,345))</f>
        <v/>
      </c>
      <c r="M1598" s="32"/>
      <c r="N1598" s="26" t="str">
        <f>IF($E1598="","",INDEX(资金日记账!$Y$4:$Y$603,345))</f>
        <v/>
      </c>
      <c r="O1598" s="26" t="str">
        <f t="shared" si="80"/>
        <v/>
      </c>
      <c r="P1598" s="10"/>
    </row>
    <row r="1599" ht="18" customHeight="1" spans="1:16">
      <c r="A1599" s="32" t="str">
        <f t="shared" si="79"/>
        <v/>
      </c>
      <c r="B1599" s="100" t="str">
        <f>IF($E1599="","",INDEX(资金日记账!$B$4:$B$603,345))</f>
        <v/>
      </c>
      <c r="C1599" s="26" t="str">
        <f>IF($E1599="","",IF(INDEX(资金日记账!$W$4:$W$603,345)="","记-"&amp;TEXT($B1599,"YYYYMM")&amp;"-资金",INDEX(资金日记账!$W$4:$W$603,345)))</f>
        <v/>
      </c>
      <c r="D1599" s="32" t="str">
        <f>IF($E1599="","",INDEX(资金日记账!$D$4:$D$603,345))</f>
        <v/>
      </c>
      <c r="E1599" s="26" t="str">
        <f>IF(INDEX(资金日记账!$N$4:$S$603,345,4)=0,"",INDEX(资金日记账!$N$4:$S$603,345,4))</f>
        <v/>
      </c>
      <c r="F1599" s="25" t="str">
        <f>IF($E1599="","",IFERROR(INDEX(科目表!$A$4:$A$81,MATCH($E1599,科目表!$B$4:$B$81,0)),""))</f>
        <v/>
      </c>
      <c r="G1599" s="26" t="str">
        <f>IF($E1599="","",IFERROR(INDEX(科目表!$E$4:$E$81,MATCH($E1599,科目表!$B$4:$B$81,0)),""))</f>
        <v/>
      </c>
      <c r="H1599" s="27" t="str">
        <f>IF($E1599="","",N(INDEX(资金日记账!$N$4:$S$603,345,5)))</f>
        <v/>
      </c>
      <c r="I1599" s="27" t="str">
        <f>IF($E1599="","",N(INDEX(资金日记账!$N$4:$S$603,345,6)))</f>
        <v/>
      </c>
      <c r="J1599" s="26" t="str">
        <f>IF($E1599="","",INDEX(资金日记账!$E$4:$E$603,345))</f>
        <v/>
      </c>
      <c r="K1599" s="26" t="str">
        <f>IF($E1599="","",INDEX(资金日记账!$F$4:$F$603,345))</f>
        <v/>
      </c>
      <c r="L1599" s="32" t="str">
        <f>IF($E1599="","",INDEX(资金日记账!$X$4:$X$603,345))</f>
        <v/>
      </c>
      <c r="M1599" s="32"/>
      <c r="N1599" s="26" t="str">
        <f>IF($E1599="","",INDEX(资金日记账!$Y$4:$Y$603,345))</f>
        <v/>
      </c>
      <c r="O1599" s="26" t="str">
        <f t="shared" si="80"/>
        <v/>
      </c>
      <c r="P1599" s="10"/>
    </row>
    <row r="1600" ht="18" customHeight="1" spans="1:16">
      <c r="A1600" s="32" t="str">
        <f t="shared" si="79"/>
        <v/>
      </c>
      <c r="B1600" s="100" t="str">
        <f>IF($E1600="","",INDEX(资金日记账!$B$4:$B$603,346))</f>
        <v/>
      </c>
      <c r="C1600" s="26" t="str">
        <f>IF($E1600="","",IF(INDEX(资金日记账!$W$4:$W$603,346)="","记-"&amp;TEXT($B1600,"YYYYMM")&amp;"-资金",INDEX(资金日记账!$W$4:$W$603,346)))</f>
        <v/>
      </c>
      <c r="D1600" s="32" t="str">
        <f>IF($E1600="","",INDEX(资金日记账!$D$4:$D$603,346))</f>
        <v/>
      </c>
      <c r="E1600" s="26" t="str">
        <f>IF(INDEX(资金日记账!$N$4:$S$603,346,1)=0,"",INDEX(资金日记账!$N$4:$S$603,346,1))</f>
        <v/>
      </c>
      <c r="F1600" s="25" t="str">
        <f>IF($E1600="","",IFERROR(INDEX(科目表!$A$4:$A$81,MATCH($E1600,科目表!$B$4:$B$81,0)),""))</f>
        <v/>
      </c>
      <c r="G1600" s="26" t="str">
        <f>IF($E1600="","",IFERROR(INDEX(科目表!$E$4:$E$81,MATCH($E1600,科目表!$B$4:$B$81,0)),""))</f>
        <v/>
      </c>
      <c r="H1600" s="27" t="str">
        <f>IF($E1600="","",N(INDEX(资金日记账!$N$4:$S$603,346,2)))</f>
        <v/>
      </c>
      <c r="I1600" s="27" t="str">
        <f>IF($E1600="","",N(INDEX(资金日记账!$N$4:$S$603,346,3)))</f>
        <v/>
      </c>
      <c r="J1600" s="26" t="str">
        <f>IF($E1600="","",INDEX(资金日记账!$E$4:$E$603,346))</f>
        <v/>
      </c>
      <c r="K1600" s="26" t="str">
        <f>IF($E1600="","",INDEX(资金日记账!$F$4:$F$603,346))</f>
        <v/>
      </c>
      <c r="L1600" s="32" t="str">
        <f>IF($E1600="","",INDEX(资金日记账!$X$4:$X$603,346))</f>
        <v/>
      </c>
      <c r="M1600" s="32"/>
      <c r="N1600" s="26" t="str">
        <f>IF($E1600="","",INDEX(资金日记账!$Y$4:$Y$603,346))</f>
        <v/>
      </c>
      <c r="O1600" s="26" t="str">
        <f t="shared" si="80"/>
        <v/>
      </c>
      <c r="P1600" s="10"/>
    </row>
    <row r="1601" ht="18" customHeight="1" spans="1:16">
      <c r="A1601" s="32" t="str">
        <f t="shared" si="79"/>
        <v/>
      </c>
      <c r="B1601" s="100" t="str">
        <f>IF($E1601="","",INDEX(资金日记账!$B$4:$B$603,346))</f>
        <v/>
      </c>
      <c r="C1601" s="26" t="str">
        <f>IF($E1601="","",IF(INDEX(资金日记账!$W$4:$W$603,346)="","记-"&amp;TEXT($B1601,"YYYYMM")&amp;"-资金",INDEX(资金日记账!$W$4:$W$603,346)))</f>
        <v/>
      </c>
      <c r="D1601" s="32" t="str">
        <f>IF($E1601="","",INDEX(资金日记账!$D$4:$D$603,346))</f>
        <v/>
      </c>
      <c r="E1601" s="26" t="str">
        <f>IF(INDEX(资金日记账!$N$4:$S$603,346,4)=0,"",INDEX(资金日记账!$N$4:$S$603,346,4))</f>
        <v/>
      </c>
      <c r="F1601" s="25" t="str">
        <f>IF($E1601="","",IFERROR(INDEX(科目表!$A$4:$A$81,MATCH($E1601,科目表!$B$4:$B$81,0)),""))</f>
        <v/>
      </c>
      <c r="G1601" s="26" t="str">
        <f>IF($E1601="","",IFERROR(INDEX(科目表!$E$4:$E$81,MATCH($E1601,科目表!$B$4:$B$81,0)),""))</f>
        <v/>
      </c>
      <c r="H1601" s="27" t="str">
        <f>IF($E1601="","",N(INDEX(资金日记账!$N$4:$S$603,346,5)))</f>
        <v/>
      </c>
      <c r="I1601" s="27" t="str">
        <f>IF($E1601="","",N(INDEX(资金日记账!$N$4:$S$603,346,6)))</f>
        <v/>
      </c>
      <c r="J1601" s="26" t="str">
        <f>IF($E1601="","",INDEX(资金日记账!$E$4:$E$603,346))</f>
        <v/>
      </c>
      <c r="K1601" s="26" t="str">
        <f>IF($E1601="","",INDEX(资金日记账!$F$4:$F$603,346))</f>
        <v/>
      </c>
      <c r="L1601" s="32" t="str">
        <f>IF($E1601="","",INDEX(资金日记账!$X$4:$X$603,346))</f>
        <v/>
      </c>
      <c r="M1601" s="32"/>
      <c r="N1601" s="26" t="str">
        <f>IF($E1601="","",INDEX(资金日记账!$Y$4:$Y$603,346))</f>
        <v/>
      </c>
      <c r="O1601" s="26" t="str">
        <f t="shared" si="80"/>
        <v/>
      </c>
      <c r="P1601" s="10"/>
    </row>
    <row r="1602" ht="18" customHeight="1" spans="1:16">
      <c r="A1602" s="32" t="str">
        <f t="shared" si="79"/>
        <v/>
      </c>
      <c r="B1602" s="100" t="str">
        <f>IF($E1602="","",INDEX(资金日记账!$B$4:$B$603,347))</f>
        <v/>
      </c>
      <c r="C1602" s="26" t="str">
        <f>IF($E1602="","",IF(INDEX(资金日记账!$W$4:$W$603,347)="","记-"&amp;TEXT($B1602,"YYYYMM")&amp;"-资金",INDEX(资金日记账!$W$4:$W$603,347)))</f>
        <v/>
      </c>
      <c r="D1602" s="32" t="str">
        <f>IF($E1602="","",INDEX(资金日记账!$D$4:$D$603,347))</f>
        <v/>
      </c>
      <c r="E1602" s="26" t="str">
        <f>IF(INDEX(资金日记账!$N$4:$S$603,347,1)=0,"",INDEX(资金日记账!$N$4:$S$603,347,1))</f>
        <v/>
      </c>
      <c r="F1602" s="25" t="str">
        <f>IF($E1602="","",IFERROR(INDEX(科目表!$A$4:$A$81,MATCH($E1602,科目表!$B$4:$B$81,0)),""))</f>
        <v/>
      </c>
      <c r="G1602" s="26" t="str">
        <f>IF($E1602="","",IFERROR(INDEX(科目表!$E$4:$E$81,MATCH($E1602,科目表!$B$4:$B$81,0)),""))</f>
        <v/>
      </c>
      <c r="H1602" s="27" t="str">
        <f>IF($E1602="","",N(INDEX(资金日记账!$N$4:$S$603,347,2)))</f>
        <v/>
      </c>
      <c r="I1602" s="27" t="str">
        <f>IF($E1602="","",N(INDEX(资金日记账!$N$4:$S$603,347,3)))</f>
        <v/>
      </c>
      <c r="J1602" s="26" t="str">
        <f>IF($E1602="","",INDEX(资金日记账!$E$4:$E$603,347))</f>
        <v/>
      </c>
      <c r="K1602" s="26" t="str">
        <f>IF($E1602="","",INDEX(资金日记账!$F$4:$F$603,347))</f>
        <v/>
      </c>
      <c r="L1602" s="32" t="str">
        <f>IF($E1602="","",INDEX(资金日记账!$X$4:$X$603,347))</f>
        <v/>
      </c>
      <c r="M1602" s="32"/>
      <c r="N1602" s="26" t="str">
        <f>IF($E1602="","",INDEX(资金日记账!$Y$4:$Y$603,347))</f>
        <v/>
      </c>
      <c r="O1602" s="26" t="str">
        <f t="shared" si="80"/>
        <v/>
      </c>
      <c r="P1602" s="10"/>
    </row>
    <row r="1603" ht="18" customHeight="1" spans="1:16">
      <c r="A1603" s="32" t="str">
        <f t="shared" si="79"/>
        <v/>
      </c>
      <c r="B1603" s="100" t="str">
        <f>IF($E1603="","",INDEX(资金日记账!$B$4:$B$603,347))</f>
        <v/>
      </c>
      <c r="C1603" s="26" t="str">
        <f>IF($E1603="","",IF(INDEX(资金日记账!$W$4:$W$603,347)="","记-"&amp;TEXT($B1603,"YYYYMM")&amp;"-资金",INDEX(资金日记账!$W$4:$W$603,347)))</f>
        <v/>
      </c>
      <c r="D1603" s="32" t="str">
        <f>IF($E1603="","",INDEX(资金日记账!$D$4:$D$603,347))</f>
        <v/>
      </c>
      <c r="E1603" s="26" t="str">
        <f>IF(INDEX(资金日记账!$N$4:$S$603,347,4)=0,"",INDEX(资金日记账!$N$4:$S$603,347,4))</f>
        <v/>
      </c>
      <c r="F1603" s="25" t="str">
        <f>IF($E1603="","",IFERROR(INDEX(科目表!$A$4:$A$81,MATCH($E1603,科目表!$B$4:$B$81,0)),""))</f>
        <v/>
      </c>
      <c r="G1603" s="26" t="str">
        <f>IF($E1603="","",IFERROR(INDEX(科目表!$E$4:$E$81,MATCH($E1603,科目表!$B$4:$B$81,0)),""))</f>
        <v/>
      </c>
      <c r="H1603" s="27" t="str">
        <f>IF($E1603="","",N(INDEX(资金日记账!$N$4:$S$603,347,5)))</f>
        <v/>
      </c>
      <c r="I1603" s="27" t="str">
        <f>IF($E1603="","",N(INDEX(资金日记账!$N$4:$S$603,347,6)))</f>
        <v/>
      </c>
      <c r="J1603" s="26" t="str">
        <f>IF($E1603="","",INDEX(资金日记账!$E$4:$E$603,347))</f>
        <v/>
      </c>
      <c r="K1603" s="26" t="str">
        <f>IF($E1603="","",INDEX(资金日记账!$F$4:$F$603,347))</f>
        <v/>
      </c>
      <c r="L1603" s="32" t="str">
        <f>IF($E1603="","",INDEX(资金日记账!$X$4:$X$603,347))</f>
        <v/>
      </c>
      <c r="M1603" s="32"/>
      <c r="N1603" s="26" t="str">
        <f>IF($E1603="","",INDEX(资金日记账!$Y$4:$Y$603,347))</f>
        <v/>
      </c>
      <c r="O1603" s="26" t="str">
        <f t="shared" si="80"/>
        <v/>
      </c>
      <c r="P1603" s="10"/>
    </row>
    <row r="1604" ht="18" customHeight="1" spans="1:16">
      <c r="A1604" s="32" t="str">
        <f t="shared" ref="A1604:A1667" si="81">IF($E1604="","",ROW()-3)</f>
        <v/>
      </c>
      <c r="B1604" s="100" t="str">
        <f>IF($E1604="","",INDEX(资金日记账!$B$4:$B$603,348))</f>
        <v/>
      </c>
      <c r="C1604" s="26" t="str">
        <f>IF($E1604="","",IF(INDEX(资金日记账!$W$4:$W$603,348)="","记-"&amp;TEXT($B1604,"YYYYMM")&amp;"-资金",INDEX(资金日记账!$W$4:$W$603,348)))</f>
        <v/>
      </c>
      <c r="D1604" s="32" t="str">
        <f>IF($E1604="","",INDEX(资金日记账!$D$4:$D$603,348))</f>
        <v/>
      </c>
      <c r="E1604" s="26" t="str">
        <f>IF(INDEX(资金日记账!$N$4:$S$603,348,1)=0,"",INDEX(资金日记账!$N$4:$S$603,348,1))</f>
        <v/>
      </c>
      <c r="F1604" s="25" t="str">
        <f>IF($E1604="","",IFERROR(INDEX(科目表!$A$4:$A$81,MATCH($E1604,科目表!$B$4:$B$81,0)),""))</f>
        <v/>
      </c>
      <c r="G1604" s="26" t="str">
        <f>IF($E1604="","",IFERROR(INDEX(科目表!$E$4:$E$81,MATCH($E1604,科目表!$B$4:$B$81,0)),""))</f>
        <v/>
      </c>
      <c r="H1604" s="27" t="str">
        <f>IF($E1604="","",N(INDEX(资金日记账!$N$4:$S$603,348,2)))</f>
        <v/>
      </c>
      <c r="I1604" s="27" t="str">
        <f>IF($E1604="","",N(INDEX(资金日记账!$N$4:$S$603,348,3)))</f>
        <v/>
      </c>
      <c r="J1604" s="26" t="str">
        <f>IF($E1604="","",INDEX(资金日记账!$E$4:$E$603,348))</f>
        <v/>
      </c>
      <c r="K1604" s="26" t="str">
        <f>IF($E1604="","",INDEX(资金日记账!$F$4:$F$603,348))</f>
        <v/>
      </c>
      <c r="L1604" s="32" t="str">
        <f>IF($E1604="","",INDEX(资金日记账!$X$4:$X$603,348))</f>
        <v/>
      </c>
      <c r="M1604" s="32"/>
      <c r="N1604" s="26" t="str">
        <f>IF($E1604="","",INDEX(资金日记账!$Y$4:$Y$603,348))</f>
        <v/>
      </c>
      <c r="O1604" s="26" t="str">
        <f t="shared" si="80"/>
        <v/>
      </c>
      <c r="P1604" s="10"/>
    </row>
    <row r="1605" ht="18" customHeight="1" spans="1:16">
      <c r="A1605" s="32" t="str">
        <f t="shared" si="81"/>
        <v/>
      </c>
      <c r="B1605" s="100" t="str">
        <f>IF($E1605="","",INDEX(资金日记账!$B$4:$B$603,348))</f>
        <v/>
      </c>
      <c r="C1605" s="26" t="str">
        <f>IF($E1605="","",IF(INDEX(资金日记账!$W$4:$W$603,348)="","记-"&amp;TEXT($B1605,"YYYYMM")&amp;"-资金",INDEX(资金日记账!$W$4:$W$603,348)))</f>
        <v/>
      </c>
      <c r="D1605" s="32" t="str">
        <f>IF($E1605="","",INDEX(资金日记账!$D$4:$D$603,348))</f>
        <v/>
      </c>
      <c r="E1605" s="26" t="str">
        <f>IF(INDEX(资金日记账!$N$4:$S$603,348,4)=0,"",INDEX(资金日记账!$N$4:$S$603,348,4))</f>
        <v/>
      </c>
      <c r="F1605" s="25" t="str">
        <f>IF($E1605="","",IFERROR(INDEX(科目表!$A$4:$A$81,MATCH($E1605,科目表!$B$4:$B$81,0)),""))</f>
        <v/>
      </c>
      <c r="G1605" s="26" t="str">
        <f>IF($E1605="","",IFERROR(INDEX(科目表!$E$4:$E$81,MATCH($E1605,科目表!$B$4:$B$81,0)),""))</f>
        <v/>
      </c>
      <c r="H1605" s="27" t="str">
        <f>IF($E1605="","",N(INDEX(资金日记账!$N$4:$S$603,348,5)))</f>
        <v/>
      </c>
      <c r="I1605" s="27" t="str">
        <f>IF($E1605="","",N(INDEX(资金日记账!$N$4:$S$603,348,6)))</f>
        <v/>
      </c>
      <c r="J1605" s="26" t="str">
        <f>IF($E1605="","",INDEX(资金日记账!$E$4:$E$603,348))</f>
        <v/>
      </c>
      <c r="K1605" s="26" t="str">
        <f>IF($E1605="","",INDEX(资金日记账!$F$4:$F$603,348))</f>
        <v/>
      </c>
      <c r="L1605" s="32" t="str">
        <f>IF($E1605="","",INDEX(资金日记账!$X$4:$X$603,348))</f>
        <v/>
      </c>
      <c r="M1605" s="32"/>
      <c r="N1605" s="26" t="str">
        <f>IF($E1605="","",INDEX(资金日记账!$Y$4:$Y$603,348))</f>
        <v/>
      </c>
      <c r="O1605" s="26" t="str">
        <f t="shared" si="80"/>
        <v/>
      </c>
      <c r="P1605" s="10"/>
    </row>
    <row r="1606" ht="18" customHeight="1" spans="1:16">
      <c r="A1606" s="32" t="str">
        <f t="shared" si="81"/>
        <v/>
      </c>
      <c r="B1606" s="100" t="str">
        <f>IF($E1606="","",INDEX(资金日记账!$B$4:$B$603,349))</f>
        <v/>
      </c>
      <c r="C1606" s="26" t="str">
        <f>IF($E1606="","",IF(INDEX(资金日记账!$W$4:$W$603,349)="","记-"&amp;TEXT($B1606,"YYYYMM")&amp;"-资金",INDEX(资金日记账!$W$4:$W$603,349)))</f>
        <v/>
      </c>
      <c r="D1606" s="32" t="str">
        <f>IF($E1606="","",INDEX(资金日记账!$D$4:$D$603,349))</f>
        <v/>
      </c>
      <c r="E1606" s="26" t="str">
        <f>IF(INDEX(资金日记账!$N$4:$S$603,349,1)=0,"",INDEX(资金日记账!$N$4:$S$603,349,1))</f>
        <v/>
      </c>
      <c r="F1606" s="25" t="str">
        <f>IF($E1606="","",IFERROR(INDEX(科目表!$A$4:$A$81,MATCH($E1606,科目表!$B$4:$B$81,0)),""))</f>
        <v/>
      </c>
      <c r="G1606" s="26" t="str">
        <f>IF($E1606="","",IFERROR(INDEX(科目表!$E$4:$E$81,MATCH($E1606,科目表!$B$4:$B$81,0)),""))</f>
        <v/>
      </c>
      <c r="H1606" s="27" t="str">
        <f>IF($E1606="","",N(INDEX(资金日记账!$N$4:$S$603,349,2)))</f>
        <v/>
      </c>
      <c r="I1606" s="27" t="str">
        <f>IF($E1606="","",N(INDEX(资金日记账!$N$4:$S$603,349,3)))</f>
        <v/>
      </c>
      <c r="J1606" s="26" t="str">
        <f>IF($E1606="","",INDEX(资金日记账!$E$4:$E$603,349))</f>
        <v/>
      </c>
      <c r="K1606" s="26" t="str">
        <f>IF($E1606="","",INDEX(资金日记账!$F$4:$F$603,349))</f>
        <v/>
      </c>
      <c r="L1606" s="32" t="str">
        <f>IF($E1606="","",INDEX(资金日记账!$X$4:$X$603,349))</f>
        <v/>
      </c>
      <c r="M1606" s="32"/>
      <c r="N1606" s="26" t="str">
        <f>IF($E1606="","",INDEX(资金日记账!$Y$4:$Y$603,349))</f>
        <v/>
      </c>
      <c r="O1606" s="26" t="str">
        <f t="shared" si="80"/>
        <v/>
      </c>
      <c r="P1606" s="10"/>
    </row>
    <row r="1607" ht="18" customHeight="1" spans="1:16">
      <c r="A1607" s="32" t="str">
        <f t="shared" si="81"/>
        <v/>
      </c>
      <c r="B1607" s="100" t="str">
        <f>IF($E1607="","",INDEX(资金日记账!$B$4:$B$603,349))</f>
        <v/>
      </c>
      <c r="C1607" s="26" t="str">
        <f>IF($E1607="","",IF(INDEX(资金日记账!$W$4:$W$603,349)="","记-"&amp;TEXT($B1607,"YYYYMM")&amp;"-资金",INDEX(资金日记账!$W$4:$W$603,349)))</f>
        <v/>
      </c>
      <c r="D1607" s="32" t="str">
        <f>IF($E1607="","",INDEX(资金日记账!$D$4:$D$603,349))</f>
        <v/>
      </c>
      <c r="E1607" s="26" t="str">
        <f>IF(INDEX(资金日记账!$N$4:$S$603,349,4)=0,"",INDEX(资金日记账!$N$4:$S$603,349,4))</f>
        <v/>
      </c>
      <c r="F1607" s="25" t="str">
        <f>IF($E1607="","",IFERROR(INDEX(科目表!$A$4:$A$81,MATCH($E1607,科目表!$B$4:$B$81,0)),""))</f>
        <v/>
      </c>
      <c r="G1607" s="26" t="str">
        <f>IF($E1607="","",IFERROR(INDEX(科目表!$E$4:$E$81,MATCH($E1607,科目表!$B$4:$B$81,0)),""))</f>
        <v/>
      </c>
      <c r="H1607" s="27" t="str">
        <f>IF($E1607="","",N(INDEX(资金日记账!$N$4:$S$603,349,5)))</f>
        <v/>
      </c>
      <c r="I1607" s="27" t="str">
        <f>IF($E1607="","",N(INDEX(资金日记账!$N$4:$S$603,349,6)))</f>
        <v/>
      </c>
      <c r="J1607" s="26" t="str">
        <f>IF($E1607="","",INDEX(资金日记账!$E$4:$E$603,349))</f>
        <v/>
      </c>
      <c r="K1607" s="26" t="str">
        <f>IF($E1607="","",INDEX(资金日记账!$F$4:$F$603,349))</f>
        <v/>
      </c>
      <c r="L1607" s="32" t="str">
        <f>IF($E1607="","",INDEX(资金日记账!$X$4:$X$603,349))</f>
        <v/>
      </c>
      <c r="M1607" s="32"/>
      <c r="N1607" s="26" t="str">
        <f>IF($E1607="","",INDEX(资金日记账!$Y$4:$Y$603,349))</f>
        <v/>
      </c>
      <c r="O1607" s="26" t="str">
        <f t="shared" si="80"/>
        <v/>
      </c>
      <c r="P1607" s="10"/>
    </row>
    <row r="1608" ht="18" customHeight="1" spans="1:16">
      <c r="A1608" s="32" t="str">
        <f t="shared" si="81"/>
        <v/>
      </c>
      <c r="B1608" s="100" t="str">
        <f>IF($E1608="","",INDEX(资金日记账!$B$4:$B$603,350))</f>
        <v/>
      </c>
      <c r="C1608" s="26" t="str">
        <f>IF($E1608="","",IF(INDEX(资金日记账!$W$4:$W$603,350)="","记-"&amp;TEXT($B1608,"YYYYMM")&amp;"-资金",INDEX(资金日记账!$W$4:$W$603,350)))</f>
        <v/>
      </c>
      <c r="D1608" s="32" t="str">
        <f>IF($E1608="","",INDEX(资金日记账!$D$4:$D$603,350))</f>
        <v/>
      </c>
      <c r="E1608" s="26" t="str">
        <f>IF(INDEX(资金日记账!$N$4:$S$603,350,1)=0,"",INDEX(资金日记账!$N$4:$S$603,350,1))</f>
        <v/>
      </c>
      <c r="F1608" s="25" t="str">
        <f>IF($E1608="","",IFERROR(INDEX(科目表!$A$4:$A$81,MATCH($E1608,科目表!$B$4:$B$81,0)),""))</f>
        <v/>
      </c>
      <c r="G1608" s="26" t="str">
        <f>IF($E1608="","",IFERROR(INDEX(科目表!$E$4:$E$81,MATCH($E1608,科目表!$B$4:$B$81,0)),""))</f>
        <v/>
      </c>
      <c r="H1608" s="27" t="str">
        <f>IF($E1608="","",N(INDEX(资金日记账!$N$4:$S$603,350,2)))</f>
        <v/>
      </c>
      <c r="I1608" s="27" t="str">
        <f>IF($E1608="","",N(INDEX(资金日记账!$N$4:$S$603,350,3)))</f>
        <v/>
      </c>
      <c r="J1608" s="26" t="str">
        <f>IF($E1608="","",INDEX(资金日记账!$E$4:$E$603,350))</f>
        <v/>
      </c>
      <c r="K1608" s="26" t="str">
        <f>IF($E1608="","",INDEX(资金日记账!$F$4:$F$603,350))</f>
        <v/>
      </c>
      <c r="L1608" s="32" t="str">
        <f>IF($E1608="","",INDEX(资金日记账!$X$4:$X$603,350))</f>
        <v/>
      </c>
      <c r="M1608" s="32"/>
      <c r="N1608" s="26" t="str">
        <f>IF($E1608="","",INDEX(资金日记账!$Y$4:$Y$603,350))</f>
        <v/>
      </c>
      <c r="O1608" s="26" t="str">
        <f t="shared" si="80"/>
        <v/>
      </c>
      <c r="P1608" s="10"/>
    </row>
    <row r="1609" ht="18" customHeight="1" spans="1:16">
      <c r="A1609" s="32" t="str">
        <f t="shared" si="81"/>
        <v/>
      </c>
      <c r="B1609" s="100" t="str">
        <f>IF($E1609="","",INDEX(资金日记账!$B$4:$B$603,350))</f>
        <v/>
      </c>
      <c r="C1609" s="26" t="str">
        <f>IF($E1609="","",IF(INDEX(资金日记账!$W$4:$W$603,350)="","记-"&amp;TEXT($B1609,"YYYYMM")&amp;"-资金",INDEX(资金日记账!$W$4:$W$603,350)))</f>
        <v/>
      </c>
      <c r="D1609" s="32" t="str">
        <f>IF($E1609="","",INDEX(资金日记账!$D$4:$D$603,350))</f>
        <v/>
      </c>
      <c r="E1609" s="26" t="str">
        <f>IF(INDEX(资金日记账!$N$4:$S$603,350,4)=0,"",INDEX(资金日记账!$N$4:$S$603,350,4))</f>
        <v/>
      </c>
      <c r="F1609" s="25" t="str">
        <f>IF($E1609="","",IFERROR(INDEX(科目表!$A$4:$A$81,MATCH($E1609,科目表!$B$4:$B$81,0)),""))</f>
        <v/>
      </c>
      <c r="G1609" s="26" t="str">
        <f>IF($E1609="","",IFERROR(INDEX(科目表!$E$4:$E$81,MATCH($E1609,科目表!$B$4:$B$81,0)),""))</f>
        <v/>
      </c>
      <c r="H1609" s="27" t="str">
        <f>IF($E1609="","",N(INDEX(资金日记账!$N$4:$S$603,350,5)))</f>
        <v/>
      </c>
      <c r="I1609" s="27" t="str">
        <f>IF($E1609="","",N(INDEX(资金日记账!$N$4:$S$603,350,6)))</f>
        <v/>
      </c>
      <c r="J1609" s="26" t="str">
        <f>IF($E1609="","",INDEX(资金日记账!$E$4:$E$603,350))</f>
        <v/>
      </c>
      <c r="K1609" s="26" t="str">
        <f>IF($E1609="","",INDEX(资金日记账!$F$4:$F$603,350))</f>
        <v/>
      </c>
      <c r="L1609" s="32" t="str">
        <f>IF($E1609="","",INDEX(资金日记账!$X$4:$X$603,350))</f>
        <v/>
      </c>
      <c r="M1609" s="32"/>
      <c r="N1609" s="26" t="str">
        <f>IF($E1609="","",INDEX(资金日记账!$Y$4:$Y$603,350))</f>
        <v/>
      </c>
      <c r="O1609" s="26" t="str">
        <f t="shared" si="80"/>
        <v/>
      </c>
      <c r="P1609" s="10"/>
    </row>
    <row r="1610" ht="18" customHeight="1" spans="1:16">
      <c r="A1610" s="32" t="str">
        <f t="shared" si="81"/>
        <v/>
      </c>
      <c r="B1610" s="100" t="str">
        <f>IF($E1610="","",INDEX(资金日记账!$B$4:$B$603,351))</f>
        <v/>
      </c>
      <c r="C1610" s="26" t="str">
        <f>IF($E1610="","",IF(INDEX(资金日记账!$W$4:$W$603,351)="","记-"&amp;TEXT($B1610,"YYYYMM")&amp;"-资金",INDEX(资金日记账!$W$4:$W$603,351)))</f>
        <v/>
      </c>
      <c r="D1610" s="32" t="str">
        <f>IF($E1610="","",INDEX(资金日记账!$D$4:$D$603,351))</f>
        <v/>
      </c>
      <c r="E1610" s="26" t="str">
        <f>IF(INDEX(资金日记账!$N$4:$S$603,351,1)=0,"",INDEX(资金日记账!$N$4:$S$603,351,1))</f>
        <v/>
      </c>
      <c r="F1610" s="25" t="str">
        <f>IF($E1610="","",IFERROR(INDEX(科目表!$A$4:$A$81,MATCH($E1610,科目表!$B$4:$B$81,0)),""))</f>
        <v/>
      </c>
      <c r="G1610" s="26" t="str">
        <f>IF($E1610="","",IFERROR(INDEX(科目表!$E$4:$E$81,MATCH($E1610,科目表!$B$4:$B$81,0)),""))</f>
        <v/>
      </c>
      <c r="H1610" s="27" t="str">
        <f>IF($E1610="","",N(INDEX(资金日记账!$N$4:$S$603,351,2)))</f>
        <v/>
      </c>
      <c r="I1610" s="27" t="str">
        <f>IF($E1610="","",N(INDEX(资金日记账!$N$4:$S$603,351,3)))</f>
        <v/>
      </c>
      <c r="J1610" s="26" t="str">
        <f>IF($E1610="","",INDEX(资金日记账!$E$4:$E$603,351))</f>
        <v/>
      </c>
      <c r="K1610" s="26" t="str">
        <f>IF($E1610="","",INDEX(资金日记账!$F$4:$F$603,351))</f>
        <v/>
      </c>
      <c r="L1610" s="32" t="str">
        <f>IF($E1610="","",INDEX(资金日记账!$X$4:$X$603,351))</f>
        <v/>
      </c>
      <c r="M1610" s="32"/>
      <c r="N1610" s="26" t="str">
        <f>IF($E1610="","",INDEX(资金日记账!$Y$4:$Y$603,351))</f>
        <v/>
      </c>
      <c r="O1610" s="26" t="str">
        <f t="shared" si="80"/>
        <v/>
      </c>
      <c r="P1610" s="10"/>
    </row>
    <row r="1611" ht="18" customHeight="1" spans="1:16">
      <c r="A1611" s="32" t="str">
        <f t="shared" si="81"/>
        <v/>
      </c>
      <c r="B1611" s="100" t="str">
        <f>IF($E1611="","",INDEX(资金日记账!$B$4:$B$603,351))</f>
        <v/>
      </c>
      <c r="C1611" s="26" t="str">
        <f>IF($E1611="","",IF(INDEX(资金日记账!$W$4:$W$603,351)="","记-"&amp;TEXT($B1611,"YYYYMM")&amp;"-资金",INDEX(资金日记账!$W$4:$W$603,351)))</f>
        <v/>
      </c>
      <c r="D1611" s="32" t="str">
        <f>IF($E1611="","",INDEX(资金日记账!$D$4:$D$603,351))</f>
        <v/>
      </c>
      <c r="E1611" s="26" t="str">
        <f>IF(INDEX(资金日记账!$N$4:$S$603,351,4)=0,"",INDEX(资金日记账!$N$4:$S$603,351,4))</f>
        <v/>
      </c>
      <c r="F1611" s="25" t="str">
        <f>IF($E1611="","",IFERROR(INDEX(科目表!$A$4:$A$81,MATCH($E1611,科目表!$B$4:$B$81,0)),""))</f>
        <v/>
      </c>
      <c r="G1611" s="26" t="str">
        <f>IF($E1611="","",IFERROR(INDEX(科目表!$E$4:$E$81,MATCH($E1611,科目表!$B$4:$B$81,0)),""))</f>
        <v/>
      </c>
      <c r="H1611" s="27" t="str">
        <f>IF($E1611="","",N(INDEX(资金日记账!$N$4:$S$603,351,5)))</f>
        <v/>
      </c>
      <c r="I1611" s="27" t="str">
        <f>IF($E1611="","",N(INDEX(资金日记账!$N$4:$S$603,351,6)))</f>
        <v/>
      </c>
      <c r="J1611" s="26" t="str">
        <f>IF($E1611="","",INDEX(资金日记账!$E$4:$E$603,351))</f>
        <v/>
      </c>
      <c r="K1611" s="26" t="str">
        <f>IF($E1611="","",INDEX(资金日记账!$F$4:$F$603,351))</f>
        <v/>
      </c>
      <c r="L1611" s="32" t="str">
        <f>IF($E1611="","",INDEX(资金日记账!$X$4:$X$603,351))</f>
        <v/>
      </c>
      <c r="M1611" s="32"/>
      <c r="N1611" s="26" t="str">
        <f>IF($E1611="","",INDEX(资金日记账!$Y$4:$Y$603,351))</f>
        <v/>
      </c>
      <c r="O1611" s="26" t="str">
        <f t="shared" si="80"/>
        <v/>
      </c>
      <c r="P1611" s="10"/>
    </row>
    <row r="1612" ht="18" customHeight="1" spans="1:16">
      <c r="A1612" s="32" t="str">
        <f t="shared" si="81"/>
        <v/>
      </c>
      <c r="B1612" s="100" t="str">
        <f>IF($E1612="","",INDEX(资金日记账!$B$4:$B$603,352))</f>
        <v/>
      </c>
      <c r="C1612" s="26" t="str">
        <f>IF($E1612="","",IF(INDEX(资金日记账!$W$4:$W$603,352)="","记-"&amp;TEXT($B1612,"YYYYMM")&amp;"-资金",INDEX(资金日记账!$W$4:$W$603,352)))</f>
        <v/>
      </c>
      <c r="D1612" s="32" t="str">
        <f>IF($E1612="","",INDEX(资金日记账!$D$4:$D$603,352))</f>
        <v/>
      </c>
      <c r="E1612" s="26" t="str">
        <f>IF(INDEX(资金日记账!$N$4:$S$603,352,1)=0,"",INDEX(资金日记账!$N$4:$S$603,352,1))</f>
        <v/>
      </c>
      <c r="F1612" s="25" t="str">
        <f>IF($E1612="","",IFERROR(INDEX(科目表!$A$4:$A$81,MATCH($E1612,科目表!$B$4:$B$81,0)),""))</f>
        <v/>
      </c>
      <c r="G1612" s="26" t="str">
        <f>IF($E1612="","",IFERROR(INDEX(科目表!$E$4:$E$81,MATCH($E1612,科目表!$B$4:$B$81,0)),""))</f>
        <v/>
      </c>
      <c r="H1612" s="27" t="str">
        <f>IF($E1612="","",N(INDEX(资金日记账!$N$4:$S$603,352,2)))</f>
        <v/>
      </c>
      <c r="I1612" s="27" t="str">
        <f>IF($E1612="","",N(INDEX(资金日记账!$N$4:$S$603,352,3)))</f>
        <v/>
      </c>
      <c r="J1612" s="26" t="str">
        <f>IF($E1612="","",INDEX(资金日记账!$E$4:$E$603,352))</f>
        <v/>
      </c>
      <c r="K1612" s="26" t="str">
        <f>IF($E1612="","",INDEX(资金日记账!$F$4:$F$603,352))</f>
        <v/>
      </c>
      <c r="L1612" s="32" t="str">
        <f>IF($E1612="","",INDEX(资金日记账!$X$4:$X$603,352))</f>
        <v/>
      </c>
      <c r="M1612" s="32"/>
      <c r="N1612" s="26" t="str">
        <f>IF($E1612="","",INDEX(资金日记账!$Y$4:$Y$603,352))</f>
        <v/>
      </c>
      <c r="O1612" s="26" t="str">
        <f t="shared" si="80"/>
        <v/>
      </c>
      <c r="P1612" s="10"/>
    </row>
    <row r="1613" ht="18" customHeight="1" spans="1:16">
      <c r="A1613" s="32" t="str">
        <f t="shared" si="81"/>
        <v/>
      </c>
      <c r="B1613" s="100" t="str">
        <f>IF($E1613="","",INDEX(资金日记账!$B$4:$B$603,352))</f>
        <v/>
      </c>
      <c r="C1613" s="26" t="str">
        <f>IF($E1613="","",IF(INDEX(资金日记账!$W$4:$W$603,352)="","记-"&amp;TEXT($B1613,"YYYYMM")&amp;"-资金",INDEX(资金日记账!$W$4:$W$603,352)))</f>
        <v/>
      </c>
      <c r="D1613" s="32" t="str">
        <f>IF($E1613="","",INDEX(资金日记账!$D$4:$D$603,352))</f>
        <v/>
      </c>
      <c r="E1613" s="26" t="str">
        <f>IF(INDEX(资金日记账!$N$4:$S$603,352,4)=0,"",INDEX(资金日记账!$N$4:$S$603,352,4))</f>
        <v/>
      </c>
      <c r="F1613" s="25" t="str">
        <f>IF($E1613="","",IFERROR(INDEX(科目表!$A$4:$A$81,MATCH($E1613,科目表!$B$4:$B$81,0)),""))</f>
        <v/>
      </c>
      <c r="G1613" s="26" t="str">
        <f>IF($E1613="","",IFERROR(INDEX(科目表!$E$4:$E$81,MATCH($E1613,科目表!$B$4:$B$81,0)),""))</f>
        <v/>
      </c>
      <c r="H1613" s="27" t="str">
        <f>IF($E1613="","",N(INDEX(资金日记账!$N$4:$S$603,352,5)))</f>
        <v/>
      </c>
      <c r="I1613" s="27" t="str">
        <f>IF($E1613="","",N(INDEX(资金日记账!$N$4:$S$603,352,6)))</f>
        <v/>
      </c>
      <c r="J1613" s="26" t="str">
        <f>IF($E1613="","",INDEX(资金日记账!$E$4:$E$603,352))</f>
        <v/>
      </c>
      <c r="K1613" s="26" t="str">
        <f>IF($E1613="","",INDEX(资金日记账!$F$4:$F$603,352))</f>
        <v/>
      </c>
      <c r="L1613" s="32" t="str">
        <f>IF($E1613="","",INDEX(资金日记账!$X$4:$X$603,352))</f>
        <v/>
      </c>
      <c r="M1613" s="32"/>
      <c r="N1613" s="26" t="str">
        <f>IF($E1613="","",INDEX(资金日记账!$Y$4:$Y$603,352))</f>
        <v/>
      </c>
      <c r="O1613" s="26" t="str">
        <f t="shared" si="80"/>
        <v/>
      </c>
      <c r="P1613" s="10"/>
    </row>
    <row r="1614" ht="18" customHeight="1" spans="1:16">
      <c r="A1614" s="32" t="str">
        <f t="shared" si="81"/>
        <v/>
      </c>
      <c r="B1614" s="100" t="str">
        <f>IF($E1614="","",INDEX(资金日记账!$B$4:$B$603,353))</f>
        <v/>
      </c>
      <c r="C1614" s="26" t="str">
        <f>IF($E1614="","",IF(INDEX(资金日记账!$W$4:$W$603,353)="","记-"&amp;TEXT($B1614,"YYYYMM")&amp;"-资金",INDEX(资金日记账!$W$4:$W$603,353)))</f>
        <v/>
      </c>
      <c r="D1614" s="32" t="str">
        <f>IF($E1614="","",INDEX(资金日记账!$D$4:$D$603,353))</f>
        <v/>
      </c>
      <c r="E1614" s="26" t="str">
        <f>IF(INDEX(资金日记账!$N$4:$S$603,353,1)=0,"",INDEX(资金日记账!$N$4:$S$603,353,1))</f>
        <v/>
      </c>
      <c r="F1614" s="25" t="str">
        <f>IF($E1614="","",IFERROR(INDEX(科目表!$A$4:$A$81,MATCH($E1614,科目表!$B$4:$B$81,0)),""))</f>
        <v/>
      </c>
      <c r="G1614" s="26" t="str">
        <f>IF($E1614="","",IFERROR(INDEX(科目表!$E$4:$E$81,MATCH($E1614,科目表!$B$4:$B$81,0)),""))</f>
        <v/>
      </c>
      <c r="H1614" s="27" t="str">
        <f>IF($E1614="","",N(INDEX(资金日记账!$N$4:$S$603,353,2)))</f>
        <v/>
      </c>
      <c r="I1614" s="27" t="str">
        <f>IF($E1614="","",N(INDEX(资金日记账!$N$4:$S$603,353,3)))</f>
        <v/>
      </c>
      <c r="J1614" s="26" t="str">
        <f>IF($E1614="","",INDEX(资金日记账!$E$4:$E$603,353))</f>
        <v/>
      </c>
      <c r="K1614" s="26" t="str">
        <f>IF($E1614="","",INDEX(资金日记账!$F$4:$F$603,353))</f>
        <v/>
      </c>
      <c r="L1614" s="32" t="str">
        <f>IF($E1614="","",INDEX(资金日记账!$X$4:$X$603,353))</f>
        <v/>
      </c>
      <c r="M1614" s="32"/>
      <c r="N1614" s="26" t="str">
        <f>IF($E1614="","",INDEX(资金日记账!$Y$4:$Y$603,353))</f>
        <v/>
      </c>
      <c r="O1614" s="26" t="str">
        <f t="shared" ref="O1614:O1677" si="82">IF($E1614="","","自动B")</f>
        <v/>
      </c>
      <c r="P1614" s="10"/>
    </row>
    <row r="1615" ht="18" customHeight="1" spans="1:16">
      <c r="A1615" s="32" t="str">
        <f t="shared" si="81"/>
        <v/>
      </c>
      <c r="B1615" s="100" t="str">
        <f>IF($E1615="","",INDEX(资金日记账!$B$4:$B$603,353))</f>
        <v/>
      </c>
      <c r="C1615" s="26" t="str">
        <f>IF($E1615="","",IF(INDEX(资金日记账!$W$4:$W$603,353)="","记-"&amp;TEXT($B1615,"YYYYMM")&amp;"-资金",INDEX(资金日记账!$W$4:$W$603,353)))</f>
        <v/>
      </c>
      <c r="D1615" s="32" t="str">
        <f>IF($E1615="","",INDEX(资金日记账!$D$4:$D$603,353))</f>
        <v/>
      </c>
      <c r="E1615" s="26" t="str">
        <f>IF(INDEX(资金日记账!$N$4:$S$603,353,4)=0,"",INDEX(资金日记账!$N$4:$S$603,353,4))</f>
        <v/>
      </c>
      <c r="F1615" s="25" t="str">
        <f>IF($E1615="","",IFERROR(INDEX(科目表!$A$4:$A$81,MATCH($E1615,科目表!$B$4:$B$81,0)),""))</f>
        <v/>
      </c>
      <c r="G1615" s="26" t="str">
        <f>IF($E1615="","",IFERROR(INDEX(科目表!$E$4:$E$81,MATCH($E1615,科目表!$B$4:$B$81,0)),""))</f>
        <v/>
      </c>
      <c r="H1615" s="27" t="str">
        <f>IF($E1615="","",N(INDEX(资金日记账!$N$4:$S$603,353,5)))</f>
        <v/>
      </c>
      <c r="I1615" s="27" t="str">
        <f>IF($E1615="","",N(INDEX(资金日记账!$N$4:$S$603,353,6)))</f>
        <v/>
      </c>
      <c r="J1615" s="26" t="str">
        <f>IF($E1615="","",INDEX(资金日记账!$E$4:$E$603,353))</f>
        <v/>
      </c>
      <c r="K1615" s="26" t="str">
        <f>IF($E1615="","",INDEX(资金日记账!$F$4:$F$603,353))</f>
        <v/>
      </c>
      <c r="L1615" s="32" t="str">
        <f>IF($E1615="","",INDEX(资金日记账!$X$4:$X$603,353))</f>
        <v/>
      </c>
      <c r="M1615" s="32"/>
      <c r="N1615" s="26" t="str">
        <f>IF($E1615="","",INDEX(资金日记账!$Y$4:$Y$603,353))</f>
        <v/>
      </c>
      <c r="O1615" s="26" t="str">
        <f t="shared" si="82"/>
        <v/>
      </c>
      <c r="P1615" s="10"/>
    </row>
    <row r="1616" ht="18" customHeight="1" spans="1:16">
      <c r="A1616" s="32" t="str">
        <f t="shared" si="81"/>
        <v/>
      </c>
      <c r="B1616" s="100" t="str">
        <f>IF($E1616="","",INDEX(资金日记账!$B$4:$B$603,354))</f>
        <v/>
      </c>
      <c r="C1616" s="26" t="str">
        <f>IF($E1616="","",IF(INDEX(资金日记账!$W$4:$W$603,354)="","记-"&amp;TEXT($B1616,"YYYYMM")&amp;"-资金",INDEX(资金日记账!$W$4:$W$603,354)))</f>
        <v/>
      </c>
      <c r="D1616" s="32" t="str">
        <f>IF($E1616="","",INDEX(资金日记账!$D$4:$D$603,354))</f>
        <v/>
      </c>
      <c r="E1616" s="26" t="str">
        <f>IF(INDEX(资金日记账!$N$4:$S$603,354,1)=0,"",INDEX(资金日记账!$N$4:$S$603,354,1))</f>
        <v/>
      </c>
      <c r="F1616" s="25" t="str">
        <f>IF($E1616="","",IFERROR(INDEX(科目表!$A$4:$A$81,MATCH($E1616,科目表!$B$4:$B$81,0)),""))</f>
        <v/>
      </c>
      <c r="G1616" s="26" t="str">
        <f>IF($E1616="","",IFERROR(INDEX(科目表!$E$4:$E$81,MATCH($E1616,科目表!$B$4:$B$81,0)),""))</f>
        <v/>
      </c>
      <c r="H1616" s="27" t="str">
        <f>IF($E1616="","",N(INDEX(资金日记账!$N$4:$S$603,354,2)))</f>
        <v/>
      </c>
      <c r="I1616" s="27" t="str">
        <f>IF($E1616="","",N(INDEX(资金日记账!$N$4:$S$603,354,3)))</f>
        <v/>
      </c>
      <c r="J1616" s="26" t="str">
        <f>IF($E1616="","",INDEX(资金日记账!$E$4:$E$603,354))</f>
        <v/>
      </c>
      <c r="K1616" s="26" t="str">
        <f>IF($E1616="","",INDEX(资金日记账!$F$4:$F$603,354))</f>
        <v/>
      </c>
      <c r="L1616" s="32" t="str">
        <f>IF($E1616="","",INDEX(资金日记账!$X$4:$X$603,354))</f>
        <v/>
      </c>
      <c r="M1616" s="32"/>
      <c r="N1616" s="26" t="str">
        <f>IF($E1616="","",INDEX(资金日记账!$Y$4:$Y$603,354))</f>
        <v/>
      </c>
      <c r="O1616" s="26" t="str">
        <f t="shared" si="82"/>
        <v/>
      </c>
      <c r="P1616" s="10"/>
    </row>
    <row r="1617" ht="18" customHeight="1" spans="1:16">
      <c r="A1617" s="32" t="str">
        <f t="shared" si="81"/>
        <v/>
      </c>
      <c r="B1617" s="100" t="str">
        <f>IF($E1617="","",INDEX(资金日记账!$B$4:$B$603,354))</f>
        <v/>
      </c>
      <c r="C1617" s="26" t="str">
        <f>IF($E1617="","",IF(INDEX(资金日记账!$W$4:$W$603,354)="","记-"&amp;TEXT($B1617,"YYYYMM")&amp;"-资金",INDEX(资金日记账!$W$4:$W$603,354)))</f>
        <v/>
      </c>
      <c r="D1617" s="32" t="str">
        <f>IF($E1617="","",INDEX(资金日记账!$D$4:$D$603,354))</f>
        <v/>
      </c>
      <c r="E1617" s="26" t="str">
        <f>IF(INDEX(资金日记账!$N$4:$S$603,354,4)=0,"",INDEX(资金日记账!$N$4:$S$603,354,4))</f>
        <v/>
      </c>
      <c r="F1617" s="25" t="str">
        <f>IF($E1617="","",IFERROR(INDEX(科目表!$A$4:$A$81,MATCH($E1617,科目表!$B$4:$B$81,0)),""))</f>
        <v/>
      </c>
      <c r="G1617" s="26" t="str">
        <f>IF($E1617="","",IFERROR(INDEX(科目表!$E$4:$E$81,MATCH($E1617,科目表!$B$4:$B$81,0)),""))</f>
        <v/>
      </c>
      <c r="H1617" s="27" t="str">
        <f>IF($E1617="","",N(INDEX(资金日记账!$N$4:$S$603,354,5)))</f>
        <v/>
      </c>
      <c r="I1617" s="27" t="str">
        <f>IF($E1617="","",N(INDEX(资金日记账!$N$4:$S$603,354,6)))</f>
        <v/>
      </c>
      <c r="J1617" s="26" t="str">
        <f>IF($E1617="","",INDEX(资金日记账!$E$4:$E$603,354))</f>
        <v/>
      </c>
      <c r="K1617" s="26" t="str">
        <f>IF($E1617="","",INDEX(资金日记账!$F$4:$F$603,354))</f>
        <v/>
      </c>
      <c r="L1617" s="32" t="str">
        <f>IF($E1617="","",INDEX(资金日记账!$X$4:$X$603,354))</f>
        <v/>
      </c>
      <c r="M1617" s="32"/>
      <c r="N1617" s="26" t="str">
        <f>IF($E1617="","",INDEX(资金日记账!$Y$4:$Y$603,354))</f>
        <v/>
      </c>
      <c r="O1617" s="26" t="str">
        <f t="shared" si="82"/>
        <v/>
      </c>
      <c r="P1617" s="10"/>
    </row>
    <row r="1618" ht="18" customHeight="1" spans="1:16">
      <c r="A1618" s="32" t="str">
        <f t="shared" si="81"/>
        <v/>
      </c>
      <c r="B1618" s="100" t="str">
        <f>IF($E1618="","",INDEX(资金日记账!$B$4:$B$603,355))</f>
        <v/>
      </c>
      <c r="C1618" s="26" t="str">
        <f>IF($E1618="","",IF(INDEX(资金日记账!$W$4:$W$603,355)="","记-"&amp;TEXT($B1618,"YYYYMM")&amp;"-资金",INDEX(资金日记账!$W$4:$W$603,355)))</f>
        <v/>
      </c>
      <c r="D1618" s="32" t="str">
        <f>IF($E1618="","",INDEX(资金日记账!$D$4:$D$603,355))</f>
        <v/>
      </c>
      <c r="E1618" s="26" t="str">
        <f>IF(INDEX(资金日记账!$N$4:$S$603,355,1)=0,"",INDEX(资金日记账!$N$4:$S$603,355,1))</f>
        <v/>
      </c>
      <c r="F1618" s="25" t="str">
        <f>IF($E1618="","",IFERROR(INDEX(科目表!$A$4:$A$81,MATCH($E1618,科目表!$B$4:$B$81,0)),""))</f>
        <v/>
      </c>
      <c r="G1618" s="26" t="str">
        <f>IF($E1618="","",IFERROR(INDEX(科目表!$E$4:$E$81,MATCH($E1618,科目表!$B$4:$B$81,0)),""))</f>
        <v/>
      </c>
      <c r="H1618" s="27" t="str">
        <f>IF($E1618="","",N(INDEX(资金日记账!$N$4:$S$603,355,2)))</f>
        <v/>
      </c>
      <c r="I1618" s="27" t="str">
        <f>IF($E1618="","",N(INDEX(资金日记账!$N$4:$S$603,355,3)))</f>
        <v/>
      </c>
      <c r="J1618" s="26" t="str">
        <f>IF($E1618="","",INDEX(资金日记账!$E$4:$E$603,355))</f>
        <v/>
      </c>
      <c r="K1618" s="26" t="str">
        <f>IF($E1618="","",INDEX(资金日记账!$F$4:$F$603,355))</f>
        <v/>
      </c>
      <c r="L1618" s="32" t="str">
        <f>IF($E1618="","",INDEX(资金日记账!$X$4:$X$603,355))</f>
        <v/>
      </c>
      <c r="M1618" s="32"/>
      <c r="N1618" s="26" t="str">
        <f>IF($E1618="","",INDEX(资金日记账!$Y$4:$Y$603,355))</f>
        <v/>
      </c>
      <c r="O1618" s="26" t="str">
        <f t="shared" si="82"/>
        <v/>
      </c>
      <c r="P1618" s="10"/>
    </row>
    <row r="1619" ht="18" customHeight="1" spans="1:16">
      <c r="A1619" s="32" t="str">
        <f t="shared" si="81"/>
        <v/>
      </c>
      <c r="B1619" s="100" t="str">
        <f>IF($E1619="","",INDEX(资金日记账!$B$4:$B$603,355))</f>
        <v/>
      </c>
      <c r="C1619" s="26" t="str">
        <f>IF($E1619="","",IF(INDEX(资金日记账!$W$4:$W$603,355)="","记-"&amp;TEXT($B1619,"YYYYMM")&amp;"-资金",INDEX(资金日记账!$W$4:$W$603,355)))</f>
        <v/>
      </c>
      <c r="D1619" s="32" t="str">
        <f>IF($E1619="","",INDEX(资金日记账!$D$4:$D$603,355))</f>
        <v/>
      </c>
      <c r="E1619" s="26" t="str">
        <f>IF(INDEX(资金日记账!$N$4:$S$603,355,4)=0,"",INDEX(资金日记账!$N$4:$S$603,355,4))</f>
        <v/>
      </c>
      <c r="F1619" s="25" t="str">
        <f>IF($E1619="","",IFERROR(INDEX(科目表!$A$4:$A$81,MATCH($E1619,科目表!$B$4:$B$81,0)),""))</f>
        <v/>
      </c>
      <c r="G1619" s="26" t="str">
        <f>IF($E1619="","",IFERROR(INDEX(科目表!$E$4:$E$81,MATCH($E1619,科目表!$B$4:$B$81,0)),""))</f>
        <v/>
      </c>
      <c r="H1619" s="27" t="str">
        <f>IF($E1619="","",N(INDEX(资金日记账!$N$4:$S$603,355,5)))</f>
        <v/>
      </c>
      <c r="I1619" s="27" t="str">
        <f>IF($E1619="","",N(INDEX(资金日记账!$N$4:$S$603,355,6)))</f>
        <v/>
      </c>
      <c r="J1619" s="26" t="str">
        <f>IF($E1619="","",INDEX(资金日记账!$E$4:$E$603,355))</f>
        <v/>
      </c>
      <c r="K1619" s="26" t="str">
        <f>IF($E1619="","",INDEX(资金日记账!$F$4:$F$603,355))</f>
        <v/>
      </c>
      <c r="L1619" s="32" t="str">
        <f>IF($E1619="","",INDEX(资金日记账!$X$4:$X$603,355))</f>
        <v/>
      </c>
      <c r="M1619" s="32"/>
      <c r="N1619" s="26" t="str">
        <f>IF($E1619="","",INDEX(资金日记账!$Y$4:$Y$603,355))</f>
        <v/>
      </c>
      <c r="O1619" s="26" t="str">
        <f t="shared" si="82"/>
        <v/>
      </c>
      <c r="P1619" s="10"/>
    </row>
    <row r="1620" ht="18" customHeight="1" spans="1:16">
      <c r="A1620" s="32" t="str">
        <f t="shared" si="81"/>
        <v/>
      </c>
      <c r="B1620" s="100" t="str">
        <f>IF($E1620="","",INDEX(资金日记账!$B$4:$B$603,356))</f>
        <v/>
      </c>
      <c r="C1620" s="26" t="str">
        <f>IF($E1620="","",IF(INDEX(资金日记账!$W$4:$W$603,356)="","记-"&amp;TEXT($B1620,"YYYYMM")&amp;"-资金",INDEX(资金日记账!$W$4:$W$603,356)))</f>
        <v/>
      </c>
      <c r="D1620" s="32" t="str">
        <f>IF($E1620="","",INDEX(资金日记账!$D$4:$D$603,356))</f>
        <v/>
      </c>
      <c r="E1620" s="26" t="str">
        <f>IF(INDEX(资金日记账!$N$4:$S$603,356,1)=0,"",INDEX(资金日记账!$N$4:$S$603,356,1))</f>
        <v/>
      </c>
      <c r="F1620" s="25" t="str">
        <f>IF($E1620="","",IFERROR(INDEX(科目表!$A$4:$A$81,MATCH($E1620,科目表!$B$4:$B$81,0)),""))</f>
        <v/>
      </c>
      <c r="G1620" s="26" t="str">
        <f>IF($E1620="","",IFERROR(INDEX(科目表!$E$4:$E$81,MATCH($E1620,科目表!$B$4:$B$81,0)),""))</f>
        <v/>
      </c>
      <c r="H1620" s="27" t="str">
        <f>IF($E1620="","",N(INDEX(资金日记账!$N$4:$S$603,356,2)))</f>
        <v/>
      </c>
      <c r="I1620" s="27" t="str">
        <f>IF($E1620="","",N(INDEX(资金日记账!$N$4:$S$603,356,3)))</f>
        <v/>
      </c>
      <c r="J1620" s="26" t="str">
        <f>IF($E1620="","",INDEX(资金日记账!$E$4:$E$603,356))</f>
        <v/>
      </c>
      <c r="K1620" s="26" t="str">
        <f>IF($E1620="","",INDEX(资金日记账!$F$4:$F$603,356))</f>
        <v/>
      </c>
      <c r="L1620" s="32" t="str">
        <f>IF($E1620="","",INDEX(资金日记账!$X$4:$X$603,356))</f>
        <v/>
      </c>
      <c r="M1620" s="32"/>
      <c r="N1620" s="26" t="str">
        <f>IF($E1620="","",INDEX(资金日记账!$Y$4:$Y$603,356))</f>
        <v/>
      </c>
      <c r="O1620" s="26" t="str">
        <f t="shared" si="82"/>
        <v/>
      </c>
      <c r="P1620" s="10"/>
    </row>
    <row r="1621" ht="18" customHeight="1" spans="1:16">
      <c r="A1621" s="32" t="str">
        <f t="shared" si="81"/>
        <v/>
      </c>
      <c r="B1621" s="100" t="str">
        <f>IF($E1621="","",INDEX(资金日记账!$B$4:$B$603,356))</f>
        <v/>
      </c>
      <c r="C1621" s="26" t="str">
        <f>IF($E1621="","",IF(INDEX(资金日记账!$W$4:$W$603,356)="","记-"&amp;TEXT($B1621,"YYYYMM")&amp;"-资金",INDEX(资金日记账!$W$4:$W$603,356)))</f>
        <v/>
      </c>
      <c r="D1621" s="32" t="str">
        <f>IF($E1621="","",INDEX(资金日记账!$D$4:$D$603,356))</f>
        <v/>
      </c>
      <c r="E1621" s="26" t="str">
        <f>IF(INDEX(资金日记账!$N$4:$S$603,356,4)=0,"",INDEX(资金日记账!$N$4:$S$603,356,4))</f>
        <v/>
      </c>
      <c r="F1621" s="25" t="str">
        <f>IF($E1621="","",IFERROR(INDEX(科目表!$A$4:$A$81,MATCH($E1621,科目表!$B$4:$B$81,0)),""))</f>
        <v/>
      </c>
      <c r="G1621" s="26" t="str">
        <f>IF($E1621="","",IFERROR(INDEX(科目表!$E$4:$E$81,MATCH($E1621,科目表!$B$4:$B$81,0)),""))</f>
        <v/>
      </c>
      <c r="H1621" s="27" t="str">
        <f>IF($E1621="","",N(INDEX(资金日记账!$N$4:$S$603,356,5)))</f>
        <v/>
      </c>
      <c r="I1621" s="27" t="str">
        <f>IF($E1621="","",N(INDEX(资金日记账!$N$4:$S$603,356,6)))</f>
        <v/>
      </c>
      <c r="J1621" s="26" t="str">
        <f>IF($E1621="","",INDEX(资金日记账!$E$4:$E$603,356))</f>
        <v/>
      </c>
      <c r="K1621" s="26" t="str">
        <f>IF($E1621="","",INDEX(资金日记账!$F$4:$F$603,356))</f>
        <v/>
      </c>
      <c r="L1621" s="32" t="str">
        <f>IF($E1621="","",INDEX(资金日记账!$X$4:$X$603,356))</f>
        <v/>
      </c>
      <c r="M1621" s="32"/>
      <c r="N1621" s="26" t="str">
        <f>IF($E1621="","",INDEX(资金日记账!$Y$4:$Y$603,356))</f>
        <v/>
      </c>
      <c r="O1621" s="26" t="str">
        <f t="shared" si="82"/>
        <v/>
      </c>
      <c r="P1621" s="10"/>
    </row>
    <row r="1622" ht="18" customHeight="1" spans="1:16">
      <c r="A1622" s="32" t="str">
        <f t="shared" si="81"/>
        <v/>
      </c>
      <c r="B1622" s="100" t="str">
        <f>IF($E1622="","",INDEX(资金日记账!$B$4:$B$603,357))</f>
        <v/>
      </c>
      <c r="C1622" s="26" t="str">
        <f>IF($E1622="","",IF(INDEX(资金日记账!$W$4:$W$603,357)="","记-"&amp;TEXT($B1622,"YYYYMM")&amp;"-资金",INDEX(资金日记账!$W$4:$W$603,357)))</f>
        <v/>
      </c>
      <c r="D1622" s="32" t="str">
        <f>IF($E1622="","",INDEX(资金日记账!$D$4:$D$603,357))</f>
        <v/>
      </c>
      <c r="E1622" s="26" t="str">
        <f>IF(INDEX(资金日记账!$N$4:$S$603,357,1)=0,"",INDEX(资金日记账!$N$4:$S$603,357,1))</f>
        <v/>
      </c>
      <c r="F1622" s="25" t="str">
        <f>IF($E1622="","",IFERROR(INDEX(科目表!$A$4:$A$81,MATCH($E1622,科目表!$B$4:$B$81,0)),""))</f>
        <v/>
      </c>
      <c r="G1622" s="26" t="str">
        <f>IF($E1622="","",IFERROR(INDEX(科目表!$E$4:$E$81,MATCH($E1622,科目表!$B$4:$B$81,0)),""))</f>
        <v/>
      </c>
      <c r="H1622" s="27" t="str">
        <f>IF($E1622="","",N(INDEX(资金日记账!$N$4:$S$603,357,2)))</f>
        <v/>
      </c>
      <c r="I1622" s="27" t="str">
        <f>IF($E1622="","",N(INDEX(资金日记账!$N$4:$S$603,357,3)))</f>
        <v/>
      </c>
      <c r="J1622" s="26" t="str">
        <f>IF($E1622="","",INDEX(资金日记账!$E$4:$E$603,357))</f>
        <v/>
      </c>
      <c r="K1622" s="26" t="str">
        <f>IF($E1622="","",INDEX(资金日记账!$F$4:$F$603,357))</f>
        <v/>
      </c>
      <c r="L1622" s="32" t="str">
        <f>IF($E1622="","",INDEX(资金日记账!$X$4:$X$603,357))</f>
        <v/>
      </c>
      <c r="M1622" s="32"/>
      <c r="N1622" s="26" t="str">
        <f>IF($E1622="","",INDEX(资金日记账!$Y$4:$Y$603,357))</f>
        <v/>
      </c>
      <c r="O1622" s="26" t="str">
        <f t="shared" si="82"/>
        <v/>
      </c>
      <c r="P1622" s="10"/>
    </row>
    <row r="1623" ht="18" customHeight="1" spans="1:16">
      <c r="A1623" s="32" t="str">
        <f t="shared" si="81"/>
        <v/>
      </c>
      <c r="B1623" s="100" t="str">
        <f>IF($E1623="","",INDEX(资金日记账!$B$4:$B$603,357))</f>
        <v/>
      </c>
      <c r="C1623" s="26" t="str">
        <f>IF($E1623="","",IF(INDEX(资金日记账!$W$4:$W$603,357)="","记-"&amp;TEXT($B1623,"YYYYMM")&amp;"-资金",INDEX(资金日记账!$W$4:$W$603,357)))</f>
        <v/>
      </c>
      <c r="D1623" s="32" t="str">
        <f>IF($E1623="","",INDEX(资金日记账!$D$4:$D$603,357))</f>
        <v/>
      </c>
      <c r="E1623" s="26" t="str">
        <f>IF(INDEX(资金日记账!$N$4:$S$603,357,4)=0,"",INDEX(资金日记账!$N$4:$S$603,357,4))</f>
        <v/>
      </c>
      <c r="F1623" s="25" t="str">
        <f>IF($E1623="","",IFERROR(INDEX(科目表!$A$4:$A$81,MATCH($E1623,科目表!$B$4:$B$81,0)),""))</f>
        <v/>
      </c>
      <c r="G1623" s="26" t="str">
        <f>IF($E1623="","",IFERROR(INDEX(科目表!$E$4:$E$81,MATCH($E1623,科目表!$B$4:$B$81,0)),""))</f>
        <v/>
      </c>
      <c r="H1623" s="27" t="str">
        <f>IF($E1623="","",N(INDEX(资金日记账!$N$4:$S$603,357,5)))</f>
        <v/>
      </c>
      <c r="I1623" s="27" t="str">
        <f>IF($E1623="","",N(INDEX(资金日记账!$N$4:$S$603,357,6)))</f>
        <v/>
      </c>
      <c r="J1623" s="26" t="str">
        <f>IF($E1623="","",INDEX(资金日记账!$E$4:$E$603,357))</f>
        <v/>
      </c>
      <c r="K1623" s="26" t="str">
        <f>IF($E1623="","",INDEX(资金日记账!$F$4:$F$603,357))</f>
        <v/>
      </c>
      <c r="L1623" s="32" t="str">
        <f>IF($E1623="","",INDEX(资金日记账!$X$4:$X$603,357))</f>
        <v/>
      </c>
      <c r="M1623" s="32"/>
      <c r="N1623" s="26" t="str">
        <f>IF($E1623="","",INDEX(资金日记账!$Y$4:$Y$603,357))</f>
        <v/>
      </c>
      <c r="O1623" s="26" t="str">
        <f t="shared" si="82"/>
        <v/>
      </c>
      <c r="P1623" s="10"/>
    </row>
    <row r="1624" ht="18" customHeight="1" spans="1:16">
      <c r="A1624" s="32" t="str">
        <f t="shared" si="81"/>
        <v/>
      </c>
      <c r="B1624" s="100" t="str">
        <f>IF($E1624="","",INDEX(资金日记账!$B$4:$B$603,358))</f>
        <v/>
      </c>
      <c r="C1624" s="26" t="str">
        <f>IF($E1624="","",IF(INDEX(资金日记账!$W$4:$W$603,358)="","记-"&amp;TEXT($B1624,"YYYYMM")&amp;"-资金",INDEX(资金日记账!$W$4:$W$603,358)))</f>
        <v/>
      </c>
      <c r="D1624" s="32" t="str">
        <f>IF($E1624="","",INDEX(资金日记账!$D$4:$D$603,358))</f>
        <v/>
      </c>
      <c r="E1624" s="26" t="str">
        <f>IF(INDEX(资金日记账!$N$4:$S$603,358,1)=0,"",INDEX(资金日记账!$N$4:$S$603,358,1))</f>
        <v/>
      </c>
      <c r="F1624" s="25" t="str">
        <f>IF($E1624="","",IFERROR(INDEX(科目表!$A$4:$A$81,MATCH($E1624,科目表!$B$4:$B$81,0)),""))</f>
        <v/>
      </c>
      <c r="G1624" s="26" t="str">
        <f>IF($E1624="","",IFERROR(INDEX(科目表!$E$4:$E$81,MATCH($E1624,科目表!$B$4:$B$81,0)),""))</f>
        <v/>
      </c>
      <c r="H1624" s="27" t="str">
        <f>IF($E1624="","",N(INDEX(资金日记账!$N$4:$S$603,358,2)))</f>
        <v/>
      </c>
      <c r="I1624" s="27" t="str">
        <f>IF($E1624="","",N(INDEX(资金日记账!$N$4:$S$603,358,3)))</f>
        <v/>
      </c>
      <c r="J1624" s="26" t="str">
        <f>IF($E1624="","",INDEX(资金日记账!$E$4:$E$603,358))</f>
        <v/>
      </c>
      <c r="K1624" s="26" t="str">
        <f>IF($E1624="","",INDEX(资金日记账!$F$4:$F$603,358))</f>
        <v/>
      </c>
      <c r="L1624" s="32" t="str">
        <f>IF($E1624="","",INDEX(资金日记账!$X$4:$X$603,358))</f>
        <v/>
      </c>
      <c r="M1624" s="32"/>
      <c r="N1624" s="26" t="str">
        <f>IF($E1624="","",INDEX(资金日记账!$Y$4:$Y$603,358))</f>
        <v/>
      </c>
      <c r="O1624" s="26" t="str">
        <f t="shared" si="82"/>
        <v/>
      </c>
      <c r="P1624" s="10"/>
    </row>
    <row r="1625" ht="18" customHeight="1" spans="1:16">
      <c r="A1625" s="32" t="str">
        <f t="shared" si="81"/>
        <v/>
      </c>
      <c r="B1625" s="100" t="str">
        <f>IF($E1625="","",INDEX(资金日记账!$B$4:$B$603,358))</f>
        <v/>
      </c>
      <c r="C1625" s="26" t="str">
        <f>IF($E1625="","",IF(INDEX(资金日记账!$W$4:$W$603,358)="","记-"&amp;TEXT($B1625,"YYYYMM")&amp;"-资金",INDEX(资金日记账!$W$4:$W$603,358)))</f>
        <v/>
      </c>
      <c r="D1625" s="32" t="str">
        <f>IF($E1625="","",INDEX(资金日记账!$D$4:$D$603,358))</f>
        <v/>
      </c>
      <c r="E1625" s="26" t="str">
        <f>IF(INDEX(资金日记账!$N$4:$S$603,358,4)=0,"",INDEX(资金日记账!$N$4:$S$603,358,4))</f>
        <v/>
      </c>
      <c r="F1625" s="25" t="str">
        <f>IF($E1625="","",IFERROR(INDEX(科目表!$A$4:$A$81,MATCH($E1625,科目表!$B$4:$B$81,0)),""))</f>
        <v/>
      </c>
      <c r="G1625" s="26" t="str">
        <f>IF($E1625="","",IFERROR(INDEX(科目表!$E$4:$E$81,MATCH($E1625,科目表!$B$4:$B$81,0)),""))</f>
        <v/>
      </c>
      <c r="H1625" s="27" t="str">
        <f>IF($E1625="","",N(INDEX(资金日记账!$N$4:$S$603,358,5)))</f>
        <v/>
      </c>
      <c r="I1625" s="27" t="str">
        <f>IF($E1625="","",N(INDEX(资金日记账!$N$4:$S$603,358,6)))</f>
        <v/>
      </c>
      <c r="J1625" s="26" t="str">
        <f>IF($E1625="","",INDEX(资金日记账!$E$4:$E$603,358))</f>
        <v/>
      </c>
      <c r="K1625" s="26" t="str">
        <f>IF($E1625="","",INDEX(资金日记账!$F$4:$F$603,358))</f>
        <v/>
      </c>
      <c r="L1625" s="32" t="str">
        <f>IF($E1625="","",INDEX(资金日记账!$X$4:$X$603,358))</f>
        <v/>
      </c>
      <c r="M1625" s="32"/>
      <c r="N1625" s="26" t="str">
        <f>IF($E1625="","",INDEX(资金日记账!$Y$4:$Y$603,358))</f>
        <v/>
      </c>
      <c r="O1625" s="26" t="str">
        <f t="shared" si="82"/>
        <v/>
      </c>
      <c r="P1625" s="10"/>
    </row>
    <row r="1626" ht="18" customHeight="1" spans="1:16">
      <c r="A1626" s="32" t="str">
        <f t="shared" si="81"/>
        <v/>
      </c>
      <c r="B1626" s="100" t="str">
        <f>IF($E1626="","",INDEX(资金日记账!$B$4:$B$603,359))</f>
        <v/>
      </c>
      <c r="C1626" s="26" t="str">
        <f>IF($E1626="","",IF(INDEX(资金日记账!$W$4:$W$603,359)="","记-"&amp;TEXT($B1626,"YYYYMM")&amp;"-资金",INDEX(资金日记账!$W$4:$W$603,359)))</f>
        <v/>
      </c>
      <c r="D1626" s="32" t="str">
        <f>IF($E1626="","",INDEX(资金日记账!$D$4:$D$603,359))</f>
        <v/>
      </c>
      <c r="E1626" s="26" t="str">
        <f>IF(INDEX(资金日记账!$N$4:$S$603,359,1)=0,"",INDEX(资金日记账!$N$4:$S$603,359,1))</f>
        <v/>
      </c>
      <c r="F1626" s="25" t="str">
        <f>IF($E1626="","",IFERROR(INDEX(科目表!$A$4:$A$81,MATCH($E1626,科目表!$B$4:$B$81,0)),""))</f>
        <v/>
      </c>
      <c r="G1626" s="26" t="str">
        <f>IF($E1626="","",IFERROR(INDEX(科目表!$E$4:$E$81,MATCH($E1626,科目表!$B$4:$B$81,0)),""))</f>
        <v/>
      </c>
      <c r="H1626" s="27" t="str">
        <f>IF($E1626="","",N(INDEX(资金日记账!$N$4:$S$603,359,2)))</f>
        <v/>
      </c>
      <c r="I1626" s="27" t="str">
        <f>IF($E1626="","",N(INDEX(资金日记账!$N$4:$S$603,359,3)))</f>
        <v/>
      </c>
      <c r="J1626" s="26" t="str">
        <f>IF($E1626="","",INDEX(资金日记账!$E$4:$E$603,359))</f>
        <v/>
      </c>
      <c r="K1626" s="26" t="str">
        <f>IF($E1626="","",INDEX(资金日记账!$F$4:$F$603,359))</f>
        <v/>
      </c>
      <c r="L1626" s="32" t="str">
        <f>IF($E1626="","",INDEX(资金日记账!$X$4:$X$603,359))</f>
        <v/>
      </c>
      <c r="M1626" s="32"/>
      <c r="N1626" s="26" t="str">
        <f>IF($E1626="","",INDEX(资金日记账!$Y$4:$Y$603,359))</f>
        <v/>
      </c>
      <c r="O1626" s="26" t="str">
        <f t="shared" si="82"/>
        <v/>
      </c>
      <c r="P1626" s="10"/>
    </row>
    <row r="1627" ht="18" customHeight="1" spans="1:16">
      <c r="A1627" s="32" t="str">
        <f t="shared" si="81"/>
        <v/>
      </c>
      <c r="B1627" s="100" t="str">
        <f>IF($E1627="","",INDEX(资金日记账!$B$4:$B$603,359))</f>
        <v/>
      </c>
      <c r="C1627" s="26" t="str">
        <f>IF($E1627="","",IF(INDEX(资金日记账!$W$4:$W$603,359)="","记-"&amp;TEXT($B1627,"YYYYMM")&amp;"-资金",INDEX(资金日记账!$W$4:$W$603,359)))</f>
        <v/>
      </c>
      <c r="D1627" s="32" t="str">
        <f>IF($E1627="","",INDEX(资金日记账!$D$4:$D$603,359))</f>
        <v/>
      </c>
      <c r="E1627" s="26" t="str">
        <f>IF(INDEX(资金日记账!$N$4:$S$603,359,4)=0,"",INDEX(资金日记账!$N$4:$S$603,359,4))</f>
        <v/>
      </c>
      <c r="F1627" s="25" t="str">
        <f>IF($E1627="","",IFERROR(INDEX(科目表!$A$4:$A$81,MATCH($E1627,科目表!$B$4:$B$81,0)),""))</f>
        <v/>
      </c>
      <c r="G1627" s="26" t="str">
        <f>IF($E1627="","",IFERROR(INDEX(科目表!$E$4:$E$81,MATCH($E1627,科目表!$B$4:$B$81,0)),""))</f>
        <v/>
      </c>
      <c r="H1627" s="27" t="str">
        <f>IF($E1627="","",N(INDEX(资金日记账!$N$4:$S$603,359,5)))</f>
        <v/>
      </c>
      <c r="I1627" s="27" t="str">
        <f>IF($E1627="","",N(INDEX(资金日记账!$N$4:$S$603,359,6)))</f>
        <v/>
      </c>
      <c r="J1627" s="26" t="str">
        <f>IF($E1627="","",INDEX(资金日记账!$E$4:$E$603,359))</f>
        <v/>
      </c>
      <c r="K1627" s="26" t="str">
        <f>IF($E1627="","",INDEX(资金日记账!$F$4:$F$603,359))</f>
        <v/>
      </c>
      <c r="L1627" s="32" t="str">
        <f>IF($E1627="","",INDEX(资金日记账!$X$4:$X$603,359))</f>
        <v/>
      </c>
      <c r="M1627" s="32"/>
      <c r="N1627" s="26" t="str">
        <f>IF($E1627="","",INDEX(资金日记账!$Y$4:$Y$603,359))</f>
        <v/>
      </c>
      <c r="O1627" s="26" t="str">
        <f t="shared" si="82"/>
        <v/>
      </c>
      <c r="P1627" s="10"/>
    </row>
    <row r="1628" ht="18" customHeight="1" spans="1:16">
      <c r="A1628" s="32" t="str">
        <f t="shared" si="81"/>
        <v/>
      </c>
      <c r="B1628" s="100" t="str">
        <f>IF($E1628="","",INDEX(资金日记账!$B$4:$B$603,360))</f>
        <v/>
      </c>
      <c r="C1628" s="26" t="str">
        <f>IF($E1628="","",IF(INDEX(资金日记账!$W$4:$W$603,360)="","记-"&amp;TEXT($B1628,"YYYYMM")&amp;"-资金",INDEX(资金日记账!$W$4:$W$603,360)))</f>
        <v/>
      </c>
      <c r="D1628" s="32" t="str">
        <f>IF($E1628="","",INDEX(资金日记账!$D$4:$D$603,360))</f>
        <v/>
      </c>
      <c r="E1628" s="26" t="str">
        <f>IF(INDEX(资金日记账!$N$4:$S$603,360,1)=0,"",INDEX(资金日记账!$N$4:$S$603,360,1))</f>
        <v/>
      </c>
      <c r="F1628" s="25" t="str">
        <f>IF($E1628="","",IFERROR(INDEX(科目表!$A$4:$A$81,MATCH($E1628,科目表!$B$4:$B$81,0)),""))</f>
        <v/>
      </c>
      <c r="G1628" s="26" t="str">
        <f>IF($E1628="","",IFERROR(INDEX(科目表!$E$4:$E$81,MATCH($E1628,科目表!$B$4:$B$81,0)),""))</f>
        <v/>
      </c>
      <c r="H1628" s="27" t="str">
        <f>IF($E1628="","",N(INDEX(资金日记账!$N$4:$S$603,360,2)))</f>
        <v/>
      </c>
      <c r="I1628" s="27" t="str">
        <f>IF($E1628="","",N(INDEX(资金日记账!$N$4:$S$603,360,3)))</f>
        <v/>
      </c>
      <c r="J1628" s="26" t="str">
        <f>IF($E1628="","",INDEX(资金日记账!$E$4:$E$603,360))</f>
        <v/>
      </c>
      <c r="K1628" s="26" t="str">
        <f>IF($E1628="","",INDEX(资金日记账!$F$4:$F$603,360))</f>
        <v/>
      </c>
      <c r="L1628" s="32" t="str">
        <f>IF($E1628="","",INDEX(资金日记账!$X$4:$X$603,360))</f>
        <v/>
      </c>
      <c r="M1628" s="32"/>
      <c r="N1628" s="26" t="str">
        <f>IF($E1628="","",INDEX(资金日记账!$Y$4:$Y$603,360))</f>
        <v/>
      </c>
      <c r="O1628" s="26" t="str">
        <f t="shared" si="82"/>
        <v/>
      </c>
      <c r="P1628" s="10"/>
    </row>
    <row r="1629" ht="18" customHeight="1" spans="1:16">
      <c r="A1629" s="32" t="str">
        <f t="shared" si="81"/>
        <v/>
      </c>
      <c r="B1629" s="100" t="str">
        <f>IF($E1629="","",INDEX(资金日记账!$B$4:$B$603,360))</f>
        <v/>
      </c>
      <c r="C1629" s="26" t="str">
        <f>IF($E1629="","",IF(INDEX(资金日记账!$W$4:$W$603,360)="","记-"&amp;TEXT($B1629,"YYYYMM")&amp;"-资金",INDEX(资金日记账!$W$4:$W$603,360)))</f>
        <v/>
      </c>
      <c r="D1629" s="32" t="str">
        <f>IF($E1629="","",INDEX(资金日记账!$D$4:$D$603,360))</f>
        <v/>
      </c>
      <c r="E1629" s="26" t="str">
        <f>IF(INDEX(资金日记账!$N$4:$S$603,360,4)=0,"",INDEX(资金日记账!$N$4:$S$603,360,4))</f>
        <v/>
      </c>
      <c r="F1629" s="25" t="str">
        <f>IF($E1629="","",IFERROR(INDEX(科目表!$A$4:$A$81,MATCH($E1629,科目表!$B$4:$B$81,0)),""))</f>
        <v/>
      </c>
      <c r="G1629" s="26" t="str">
        <f>IF($E1629="","",IFERROR(INDEX(科目表!$E$4:$E$81,MATCH($E1629,科目表!$B$4:$B$81,0)),""))</f>
        <v/>
      </c>
      <c r="H1629" s="27" t="str">
        <f>IF($E1629="","",N(INDEX(资金日记账!$N$4:$S$603,360,5)))</f>
        <v/>
      </c>
      <c r="I1629" s="27" t="str">
        <f>IF($E1629="","",N(INDEX(资金日记账!$N$4:$S$603,360,6)))</f>
        <v/>
      </c>
      <c r="J1629" s="26" t="str">
        <f>IF($E1629="","",INDEX(资金日记账!$E$4:$E$603,360))</f>
        <v/>
      </c>
      <c r="K1629" s="26" t="str">
        <f>IF($E1629="","",INDEX(资金日记账!$F$4:$F$603,360))</f>
        <v/>
      </c>
      <c r="L1629" s="32" t="str">
        <f>IF($E1629="","",INDEX(资金日记账!$X$4:$X$603,360))</f>
        <v/>
      </c>
      <c r="M1629" s="32"/>
      <c r="N1629" s="26" t="str">
        <f>IF($E1629="","",INDEX(资金日记账!$Y$4:$Y$603,360))</f>
        <v/>
      </c>
      <c r="O1629" s="26" t="str">
        <f t="shared" si="82"/>
        <v/>
      </c>
      <c r="P1629" s="10"/>
    </row>
    <row r="1630" ht="18" customHeight="1" spans="1:16">
      <c r="A1630" s="32" t="str">
        <f t="shared" si="81"/>
        <v/>
      </c>
      <c r="B1630" s="100" t="str">
        <f>IF($E1630="","",INDEX(资金日记账!$B$4:$B$603,361))</f>
        <v/>
      </c>
      <c r="C1630" s="26" t="str">
        <f>IF($E1630="","",IF(INDEX(资金日记账!$W$4:$W$603,361)="","记-"&amp;TEXT($B1630,"YYYYMM")&amp;"-资金",INDEX(资金日记账!$W$4:$W$603,361)))</f>
        <v/>
      </c>
      <c r="D1630" s="32" t="str">
        <f>IF($E1630="","",INDEX(资金日记账!$D$4:$D$603,361))</f>
        <v/>
      </c>
      <c r="E1630" s="26" t="str">
        <f>IF(INDEX(资金日记账!$N$4:$S$603,361,1)=0,"",INDEX(资金日记账!$N$4:$S$603,361,1))</f>
        <v/>
      </c>
      <c r="F1630" s="25" t="str">
        <f>IF($E1630="","",IFERROR(INDEX(科目表!$A$4:$A$81,MATCH($E1630,科目表!$B$4:$B$81,0)),""))</f>
        <v/>
      </c>
      <c r="G1630" s="26" t="str">
        <f>IF($E1630="","",IFERROR(INDEX(科目表!$E$4:$E$81,MATCH($E1630,科目表!$B$4:$B$81,0)),""))</f>
        <v/>
      </c>
      <c r="H1630" s="27" t="str">
        <f>IF($E1630="","",N(INDEX(资金日记账!$N$4:$S$603,361,2)))</f>
        <v/>
      </c>
      <c r="I1630" s="27" t="str">
        <f>IF($E1630="","",N(INDEX(资金日记账!$N$4:$S$603,361,3)))</f>
        <v/>
      </c>
      <c r="J1630" s="26" t="str">
        <f>IF($E1630="","",INDEX(资金日记账!$E$4:$E$603,361))</f>
        <v/>
      </c>
      <c r="K1630" s="26" t="str">
        <f>IF($E1630="","",INDEX(资金日记账!$F$4:$F$603,361))</f>
        <v/>
      </c>
      <c r="L1630" s="32" t="str">
        <f>IF($E1630="","",INDEX(资金日记账!$X$4:$X$603,361))</f>
        <v/>
      </c>
      <c r="M1630" s="32"/>
      <c r="N1630" s="26" t="str">
        <f>IF($E1630="","",INDEX(资金日记账!$Y$4:$Y$603,361))</f>
        <v/>
      </c>
      <c r="O1630" s="26" t="str">
        <f t="shared" si="82"/>
        <v/>
      </c>
      <c r="P1630" s="10"/>
    </row>
    <row r="1631" ht="18" customHeight="1" spans="1:16">
      <c r="A1631" s="32" t="str">
        <f t="shared" si="81"/>
        <v/>
      </c>
      <c r="B1631" s="100" t="str">
        <f>IF($E1631="","",INDEX(资金日记账!$B$4:$B$603,361))</f>
        <v/>
      </c>
      <c r="C1631" s="26" t="str">
        <f>IF($E1631="","",IF(INDEX(资金日记账!$W$4:$W$603,361)="","记-"&amp;TEXT($B1631,"YYYYMM")&amp;"-资金",INDEX(资金日记账!$W$4:$W$603,361)))</f>
        <v/>
      </c>
      <c r="D1631" s="32" t="str">
        <f>IF($E1631="","",INDEX(资金日记账!$D$4:$D$603,361))</f>
        <v/>
      </c>
      <c r="E1631" s="26" t="str">
        <f>IF(INDEX(资金日记账!$N$4:$S$603,361,4)=0,"",INDEX(资金日记账!$N$4:$S$603,361,4))</f>
        <v/>
      </c>
      <c r="F1631" s="25" t="str">
        <f>IF($E1631="","",IFERROR(INDEX(科目表!$A$4:$A$81,MATCH($E1631,科目表!$B$4:$B$81,0)),""))</f>
        <v/>
      </c>
      <c r="G1631" s="26" t="str">
        <f>IF($E1631="","",IFERROR(INDEX(科目表!$E$4:$E$81,MATCH($E1631,科目表!$B$4:$B$81,0)),""))</f>
        <v/>
      </c>
      <c r="H1631" s="27" t="str">
        <f>IF($E1631="","",N(INDEX(资金日记账!$N$4:$S$603,361,5)))</f>
        <v/>
      </c>
      <c r="I1631" s="27" t="str">
        <f>IF($E1631="","",N(INDEX(资金日记账!$N$4:$S$603,361,6)))</f>
        <v/>
      </c>
      <c r="J1631" s="26" t="str">
        <f>IF($E1631="","",INDEX(资金日记账!$E$4:$E$603,361))</f>
        <v/>
      </c>
      <c r="K1631" s="26" t="str">
        <f>IF($E1631="","",INDEX(资金日记账!$F$4:$F$603,361))</f>
        <v/>
      </c>
      <c r="L1631" s="32" t="str">
        <f>IF($E1631="","",INDEX(资金日记账!$X$4:$X$603,361))</f>
        <v/>
      </c>
      <c r="M1631" s="32"/>
      <c r="N1631" s="26" t="str">
        <f>IF($E1631="","",INDEX(资金日记账!$Y$4:$Y$603,361))</f>
        <v/>
      </c>
      <c r="O1631" s="26" t="str">
        <f t="shared" si="82"/>
        <v/>
      </c>
      <c r="P1631" s="10"/>
    </row>
    <row r="1632" ht="18" customHeight="1" spans="1:16">
      <c r="A1632" s="32" t="str">
        <f t="shared" si="81"/>
        <v/>
      </c>
      <c r="B1632" s="100" t="str">
        <f>IF($E1632="","",INDEX(资金日记账!$B$4:$B$603,362))</f>
        <v/>
      </c>
      <c r="C1632" s="26" t="str">
        <f>IF($E1632="","",IF(INDEX(资金日记账!$W$4:$W$603,362)="","记-"&amp;TEXT($B1632,"YYYYMM")&amp;"-资金",INDEX(资金日记账!$W$4:$W$603,362)))</f>
        <v/>
      </c>
      <c r="D1632" s="32" t="str">
        <f>IF($E1632="","",INDEX(资金日记账!$D$4:$D$603,362))</f>
        <v/>
      </c>
      <c r="E1632" s="26" t="str">
        <f>IF(INDEX(资金日记账!$N$4:$S$603,362,1)=0,"",INDEX(资金日记账!$N$4:$S$603,362,1))</f>
        <v/>
      </c>
      <c r="F1632" s="25" t="str">
        <f>IF($E1632="","",IFERROR(INDEX(科目表!$A$4:$A$81,MATCH($E1632,科目表!$B$4:$B$81,0)),""))</f>
        <v/>
      </c>
      <c r="G1632" s="26" t="str">
        <f>IF($E1632="","",IFERROR(INDEX(科目表!$E$4:$E$81,MATCH($E1632,科目表!$B$4:$B$81,0)),""))</f>
        <v/>
      </c>
      <c r="H1632" s="27" t="str">
        <f>IF($E1632="","",N(INDEX(资金日记账!$N$4:$S$603,362,2)))</f>
        <v/>
      </c>
      <c r="I1632" s="27" t="str">
        <f>IF($E1632="","",N(INDEX(资金日记账!$N$4:$S$603,362,3)))</f>
        <v/>
      </c>
      <c r="J1632" s="26" t="str">
        <f>IF($E1632="","",INDEX(资金日记账!$E$4:$E$603,362))</f>
        <v/>
      </c>
      <c r="K1632" s="26" t="str">
        <f>IF($E1632="","",INDEX(资金日记账!$F$4:$F$603,362))</f>
        <v/>
      </c>
      <c r="L1632" s="32" t="str">
        <f>IF($E1632="","",INDEX(资金日记账!$X$4:$X$603,362))</f>
        <v/>
      </c>
      <c r="M1632" s="32"/>
      <c r="N1632" s="26" t="str">
        <f>IF($E1632="","",INDEX(资金日记账!$Y$4:$Y$603,362))</f>
        <v/>
      </c>
      <c r="O1632" s="26" t="str">
        <f t="shared" si="82"/>
        <v/>
      </c>
      <c r="P1632" s="10"/>
    </row>
    <row r="1633" ht="18" customHeight="1" spans="1:16">
      <c r="A1633" s="32" t="str">
        <f t="shared" si="81"/>
        <v/>
      </c>
      <c r="B1633" s="100" t="str">
        <f>IF($E1633="","",INDEX(资金日记账!$B$4:$B$603,362))</f>
        <v/>
      </c>
      <c r="C1633" s="26" t="str">
        <f>IF($E1633="","",IF(INDEX(资金日记账!$W$4:$W$603,362)="","记-"&amp;TEXT($B1633,"YYYYMM")&amp;"-资金",INDEX(资金日记账!$W$4:$W$603,362)))</f>
        <v/>
      </c>
      <c r="D1633" s="32" t="str">
        <f>IF($E1633="","",INDEX(资金日记账!$D$4:$D$603,362))</f>
        <v/>
      </c>
      <c r="E1633" s="26" t="str">
        <f>IF(INDEX(资金日记账!$N$4:$S$603,362,4)=0,"",INDEX(资金日记账!$N$4:$S$603,362,4))</f>
        <v/>
      </c>
      <c r="F1633" s="25" t="str">
        <f>IF($E1633="","",IFERROR(INDEX(科目表!$A$4:$A$81,MATCH($E1633,科目表!$B$4:$B$81,0)),""))</f>
        <v/>
      </c>
      <c r="G1633" s="26" t="str">
        <f>IF($E1633="","",IFERROR(INDEX(科目表!$E$4:$E$81,MATCH($E1633,科目表!$B$4:$B$81,0)),""))</f>
        <v/>
      </c>
      <c r="H1633" s="27" t="str">
        <f>IF($E1633="","",N(INDEX(资金日记账!$N$4:$S$603,362,5)))</f>
        <v/>
      </c>
      <c r="I1633" s="27" t="str">
        <f>IF($E1633="","",N(INDEX(资金日记账!$N$4:$S$603,362,6)))</f>
        <v/>
      </c>
      <c r="J1633" s="26" t="str">
        <f>IF($E1633="","",INDEX(资金日记账!$E$4:$E$603,362))</f>
        <v/>
      </c>
      <c r="K1633" s="26" t="str">
        <f>IF($E1633="","",INDEX(资金日记账!$F$4:$F$603,362))</f>
        <v/>
      </c>
      <c r="L1633" s="32" t="str">
        <f>IF($E1633="","",INDEX(资金日记账!$X$4:$X$603,362))</f>
        <v/>
      </c>
      <c r="M1633" s="32"/>
      <c r="N1633" s="26" t="str">
        <f>IF($E1633="","",INDEX(资金日记账!$Y$4:$Y$603,362))</f>
        <v/>
      </c>
      <c r="O1633" s="26" t="str">
        <f t="shared" si="82"/>
        <v/>
      </c>
      <c r="P1633" s="10"/>
    </row>
    <row r="1634" ht="18" customHeight="1" spans="1:16">
      <c r="A1634" s="32" t="str">
        <f t="shared" si="81"/>
        <v/>
      </c>
      <c r="B1634" s="100" t="str">
        <f>IF($E1634="","",INDEX(资金日记账!$B$4:$B$603,363))</f>
        <v/>
      </c>
      <c r="C1634" s="26" t="str">
        <f>IF($E1634="","",IF(INDEX(资金日记账!$W$4:$W$603,363)="","记-"&amp;TEXT($B1634,"YYYYMM")&amp;"-资金",INDEX(资金日记账!$W$4:$W$603,363)))</f>
        <v/>
      </c>
      <c r="D1634" s="32" t="str">
        <f>IF($E1634="","",INDEX(资金日记账!$D$4:$D$603,363))</f>
        <v/>
      </c>
      <c r="E1634" s="26" t="str">
        <f>IF(INDEX(资金日记账!$N$4:$S$603,363,1)=0,"",INDEX(资金日记账!$N$4:$S$603,363,1))</f>
        <v/>
      </c>
      <c r="F1634" s="25" t="str">
        <f>IF($E1634="","",IFERROR(INDEX(科目表!$A$4:$A$81,MATCH($E1634,科目表!$B$4:$B$81,0)),""))</f>
        <v/>
      </c>
      <c r="G1634" s="26" t="str">
        <f>IF($E1634="","",IFERROR(INDEX(科目表!$E$4:$E$81,MATCH($E1634,科目表!$B$4:$B$81,0)),""))</f>
        <v/>
      </c>
      <c r="H1634" s="27" t="str">
        <f>IF($E1634="","",N(INDEX(资金日记账!$N$4:$S$603,363,2)))</f>
        <v/>
      </c>
      <c r="I1634" s="27" t="str">
        <f>IF($E1634="","",N(INDEX(资金日记账!$N$4:$S$603,363,3)))</f>
        <v/>
      </c>
      <c r="J1634" s="26" t="str">
        <f>IF($E1634="","",INDEX(资金日记账!$E$4:$E$603,363))</f>
        <v/>
      </c>
      <c r="K1634" s="26" t="str">
        <f>IF($E1634="","",INDEX(资金日记账!$F$4:$F$603,363))</f>
        <v/>
      </c>
      <c r="L1634" s="32" t="str">
        <f>IF($E1634="","",INDEX(资金日记账!$X$4:$X$603,363))</f>
        <v/>
      </c>
      <c r="M1634" s="32"/>
      <c r="N1634" s="26" t="str">
        <f>IF($E1634="","",INDEX(资金日记账!$Y$4:$Y$603,363))</f>
        <v/>
      </c>
      <c r="O1634" s="26" t="str">
        <f t="shared" si="82"/>
        <v/>
      </c>
      <c r="P1634" s="10"/>
    </row>
    <row r="1635" ht="18" customHeight="1" spans="1:16">
      <c r="A1635" s="32" t="str">
        <f t="shared" si="81"/>
        <v/>
      </c>
      <c r="B1635" s="100" t="str">
        <f>IF($E1635="","",INDEX(资金日记账!$B$4:$B$603,363))</f>
        <v/>
      </c>
      <c r="C1635" s="26" t="str">
        <f>IF($E1635="","",IF(INDEX(资金日记账!$W$4:$W$603,363)="","记-"&amp;TEXT($B1635,"YYYYMM")&amp;"-资金",INDEX(资金日记账!$W$4:$W$603,363)))</f>
        <v/>
      </c>
      <c r="D1635" s="32" t="str">
        <f>IF($E1635="","",INDEX(资金日记账!$D$4:$D$603,363))</f>
        <v/>
      </c>
      <c r="E1635" s="26" t="str">
        <f>IF(INDEX(资金日记账!$N$4:$S$603,363,4)=0,"",INDEX(资金日记账!$N$4:$S$603,363,4))</f>
        <v/>
      </c>
      <c r="F1635" s="25" t="str">
        <f>IF($E1635="","",IFERROR(INDEX(科目表!$A$4:$A$81,MATCH($E1635,科目表!$B$4:$B$81,0)),""))</f>
        <v/>
      </c>
      <c r="G1635" s="26" t="str">
        <f>IF($E1635="","",IFERROR(INDEX(科目表!$E$4:$E$81,MATCH($E1635,科目表!$B$4:$B$81,0)),""))</f>
        <v/>
      </c>
      <c r="H1635" s="27" t="str">
        <f>IF($E1635="","",N(INDEX(资金日记账!$N$4:$S$603,363,5)))</f>
        <v/>
      </c>
      <c r="I1635" s="27" t="str">
        <f>IF($E1635="","",N(INDEX(资金日记账!$N$4:$S$603,363,6)))</f>
        <v/>
      </c>
      <c r="J1635" s="26" t="str">
        <f>IF($E1635="","",INDEX(资金日记账!$E$4:$E$603,363))</f>
        <v/>
      </c>
      <c r="K1635" s="26" t="str">
        <f>IF($E1635="","",INDEX(资金日记账!$F$4:$F$603,363))</f>
        <v/>
      </c>
      <c r="L1635" s="32" t="str">
        <f>IF($E1635="","",INDEX(资金日记账!$X$4:$X$603,363))</f>
        <v/>
      </c>
      <c r="M1635" s="32"/>
      <c r="N1635" s="26" t="str">
        <f>IF($E1635="","",INDEX(资金日记账!$Y$4:$Y$603,363))</f>
        <v/>
      </c>
      <c r="O1635" s="26" t="str">
        <f t="shared" si="82"/>
        <v/>
      </c>
      <c r="P1635" s="10"/>
    </row>
    <row r="1636" ht="18" customHeight="1" spans="1:16">
      <c r="A1636" s="32" t="str">
        <f t="shared" si="81"/>
        <v/>
      </c>
      <c r="B1636" s="100" t="str">
        <f>IF($E1636="","",INDEX(资金日记账!$B$4:$B$603,364))</f>
        <v/>
      </c>
      <c r="C1636" s="26" t="str">
        <f>IF($E1636="","",IF(INDEX(资金日记账!$W$4:$W$603,364)="","记-"&amp;TEXT($B1636,"YYYYMM")&amp;"-资金",INDEX(资金日记账!$W$4:$W$603,364)))</f>
        <v/>
      </c>
      <c r="D1636" s="32" t="str">
        <f>IF($E1636="","",INDEX(资金日记账!$D$4:$D$603,364))</f>
        <v/>
      </c>
      <c r="E1636" s="26" t="str">
        <f>IF(INDEX(资金日记账!$N$4:$S$603,364,1)=0,"",INDEX(资金日记账!$N$4:$S$603,364,1))</f>
        <v/>
      </c>
      <c r="F1636" s="25" t="str">
        <f>IF($E1636="","",IFERROR(INDEX(科目表!$A$4:$A$81,MATCH($E1636,科目表!$B$4:$B$81,0)),""))</f>
        <v/>
      </c>
      <c r="G1636" s="26" t="str">
        <f>IF($E1636="","",IFERROR(INDEX(科目表!$E$4:$E$81,MATCH($E1636,科目表!$B$4:$B$81,0)),""))</f>
        <v/>
      </c>
      <c r="H1636" s="27" t="str">
        <f>IF($E1636="","",N(INDEX(资金日记账!$N$4:$S$603,364,2)))</f>
        <v/>
      </c>
      <c r="I1636" s="27" t="str">
        <f>IF($E1636="","",N(INDEX(资金日记账!$N$4:$S$603,364,3)))</f>
        <v/>
      </c>
      <c r="J1636" s="26" t="str">
        <f>IF($E1636="","",INDEX(资金日记账!$E$4:$E$603,364))</f>
        <v/>
      </c>
      <c r="K1636" s="26" t="str">
        <f>IF($E1636="","",INDEX(资金日记账!$F$4:$F$603,364))</f>
        <v/>
      </c>
      <c r="L1636" s="32" t="str">
        <f>IF($E1636="","",INDEX(资金日记账!$X$4:$X$603,364))</f>
        <v/>
      </c>
      <c r="M1636" s="32"/>
      <c r="N1636" s="26" t="str">
        <f>IF($E1636="","",INDEX(资金日记账!$Y$4:$Y$603,364))</f>
        <v/>
      </c>
      <c r="O1636" s="26" t="str">
        <f t="shared" si="82"/>
        <v/>
      </c>
      <c r="P1636" s="10"/>
    </row>
    <row r="1637" ht="18" customHeight="1" spans="1:16">
      <c r="A1637" s="32" t="str">
        <f t="shared" si="81"/>
        <v/>
      </c>
      <c r="B1637" s="100" t="str">
        <f>IF($E1637="","",INDEX(资金日记账!$B$4:$B$603,364))</f>
        <v/>
      </c>
      <c r="C1637" s="26" t="str">
        <f>IF($E1637="","",IF(INDEX(资金日记账!$W$4:$W$603,364)="","记-"&amp;TEXT($B1637,"YYYYMM")&amp;"-资金",INDEX(资金日记账!$W$4:$W$603,364)))</f>
        <v/>
      </c>
      <c r="D1637" s="32" t="str">
        <f>IF($E1637="","",INDEX(资金日记账!$D$4:$D$603,364))</f>
        <v/>
      </c>
      <c r="E1637" s="26" t="str">
        <f>IF(INDEX(资金日记账!$N$4:$S$603,364,4)=0,"",INDEX(资金日记账!$N$4:$S$603,364,4))</f>
        <v/>
      </c>
      <c r="F1637" s="25" t="str">
        <f>IF($E1637="","",IFERROR(INDEX(科目表!$A$4:$A$81,MATCH($E1637,科目表!$B$4:$B$81,0)),""))</f>
        <v/>
      </c>
      <c r="G1637" s="26" t="str">
        <f>IF($E1637="","",IFERROR(INDEX(科目表!$E$4:$E$81,MATCH($E1637,科目表!$B$4:$B$81,0)),""))</f>
        <v/>
      </c>
      <c r="H1637" s="27" t="str">
        <f>IF($E1637="","",N(INDEX(资金日记账!$N$4:$S$603,364,5)))</f>
        <v/>
      </c>
      <c r="I1637" s="27" t="str">
        <f>IF($E1637="","",N(INDEX(资金日记账!$N$4:$S$603,364,6)))</f>
        <v/>
      </c>
      <c r="J1637" s="26" t="str">
        <f>IF($E1637="","",INDEX(资金日记账!$E$4:$E$603,364))</f>
        <v/>
      </c>
      <c r="K1637" s="26" t="str">
        <f>IF($E1637="","",INDEX(资金日记账!$F$4:$F$603,364))</f>
        <v/>
      </c>
      <c r="L1637" s="32" t="str">
        <f>IF($E1637="","",INDEX(资金日记账!$X$4:$X$603,364))</f>
        <v/>
      </c>
      <c r="M1637" s="32"/>
      <c r="N1637" s="26" t="str">
        <f>IF($E1637="","",INDEX(资金日记账!$Y$4:$Y$603,364))</f>
        <v/>
      </c>
      <c r="O1637" s="26" t="str">
        <f t="shared" si="82"/>
        <v/>
      </c>
      <c r="P1637" s="10"/>
    </row>
    <row r="1638" ht="18" customHeight="1" spans="1:16">
      <c r="A1638" s="32" t="str">
        <f t="shared" si="81"/>
        <v/>
      </c>
      <c r="B1638" s="100" t="str">
        <f>IF($E1638="","",INDEX(资金日记账!$B$4:$B$603,365))</f>
        <v/>
      </c>
      <c r="C1638" s="26" t="str">
        <f>IF($E1638="","",IF(INDEX(资金日记账!$W$4:$W$603,365)="","记-"&amp;TEXT($B1638,"YYYYMM")&amp;"-资金",INDEX(资金日记账!$W$4:$W$603,365)))</f>
        <v/>
      </c>
      <c r="D1638" s="32" t="str">
        <f>IF($E1638="","",INDEX(资金日记账!$D$4:$D$603,365))</f>
        <v/>
      </c>
      <c r="E1638" s="26" t="str">
        <f>IF(INDEX(资金日记账!$N$4:$S$603,365,1)=0,"",INDEX(资金日记账!$N$4:$S$603,365,1))</f>
        <v/>
      </c>
      <c r="F1638" s="25" t="str">
        <f>IF($E1638="","",IFERROR(INDEX(科目表!$A$4:$A$81,MATCH($E1638,科目表!$B$4:$B$81,0)),""))</f>
        <v/>
      </c>
      <c r="G1638" s="26" t="str">
        <f>IF($E1638="","",IFERROR(INDEX(科目表!$E$4:$E$81,MATCH($E1638,科目表!$B$4:$B$81,0)),""))</f>
        <v/>
      </c>
      <c r="H1638" s="27" t="str">
        <f>IF($E1638="","",N(INDEX(资金日记账!$N$4:$S$603,365,2)))</f>
        <v/>
      </c>
      <c r="I1638" s="27" t="str">
        <f>IF($E1638="","",N(INDEX(资金日记账!$N$4:$S$603,365,3)))</f>
        <v/>
      </c>
      <c r="J1638" s="26" t="str">
        <f>IF($E1638="","",INDEX(资金日记账!$E$4:$E$603,365))</f>
        <v/>
      </c>
      <c r="K1638" s="26" t="str">
        <f>IF($E1638="","",INDEX(资金日记账!$F$4:$F$603,365))</f>
        <v/>
      </c>
      <c r="L1638" s="32" t="str">
        <f>IF($E1638="","",INDEX(资金日记账!$X$4:$X$603,365))</f>
        <v/>
      </c>
      <c r="M1638" s="32"/>
      <c r="N1638" s="26" t="str">
        <f>IF($E1638="","",INDEX(资金日记账!$Y$4:$Y$603,365))</f>
        <v/>
      </c>
      <c r="O1638" s="26" t="str">
        <f t="shared" si="82"/>
        <v/>
      </c>
      <c r="P1638" s="10"/>
    </row>
    <row r="1639" ht="18" customHeight="1" spans="1:16">
      <c r="A1639" s="32" t="str">
        <f t="shared" si="81"/>
        <v/>
      </c>
      <c r="B1639" s="100" t="str">
        <f>IF($E1639="","",INDEX(资金日记账!$B$4:$B$603,365))</f>
        <v/>
      </c>
      <c r="C1639" s="26" t="str">
        <f>IF($E1639="","",IF(INDEX(资金日记账!$W$4:$W$603,365)="","记-"&amp;TEXT($B1639,"YYYYMM")&amp;"-资金",INDEX(资金日记账!$W$4:$W$603,365)))</f>
        <v/>
      </c>
      <c r="D1639" s="32" t="str">
        <f>IF($E1639="","",INDEX(资金日记账!$D$4:$D$603,365))</f>
        <v/>
      </c>
      <c r="E1639" s="26" t="str">
        <f>IF(INDEX(资金日记账!$N$4:$S$603,365,4)=0,"",INDEX(资金日记账!$N$4:$S$603,365,4))</f>
        <v/>
      </c>
      <c r="F1639" s="25" t="str">
        <f>IF($E1639="","",IFERROR(INDEX(科目表!$A$4:$A$81,MATCH($E1639,科目表!$B$4:$B$81,0)),""))</f>
        <v/>
      </c>
      <c r="G1639" s="26" t="str">
        <f>IF($E1639="","",IFERROR(INDEX(科目表!$E$4:$E$81,MATCH($E1639,科目表!$B$4:$B$81,0)),""))</f>
        <v/>
      </c>
      <c r="H1639" s="27" t="str">
        <f>IF($E1639="","",N(INDEX(资金日记账!$N$4:$S$603,365,5)))</f>
        <v/>
      </c>
      <c r="I1639" s="27" t="str">
        <f>IF($E1639="","",N(INDEX(资金日记账!$N$4:$S$603,365,6)))</f>
        <v/>
      </c>
      <c r="J1639" s="26" t="str">
        <f>IF($E1639="","",INDEX(资金日记账!$E$4:$E$603,365))</f>
        <v/>
      </c>
      <c r="K1639" s="26" t="str">
        <f>IF($E1639="","",INDEX(资金日记账!$F$4:$F$603,365))</f>
        <v/>
      </c>
      <c r="L1639" s="32" t="str">
        <f>IF($E1639="","",INDEX(资金日记账!$X$4:$X$603,365))</f>
        <v/>
      </c>
      <c r="M1639" s="32"/>
      <c r="N1639" s="26" t="str">
        <f>IF($E1639="","",INDEX(资金日记账!$Y$4:$Y$603,365))</f>
        <v/>
      </c>
      <c r="O1639" s="26" t="str">
        <f t="shared" si="82"/>
        <v/>
      </c>
      <c r="P1639" s="10"/>
    </row>
    <row r="1640" ht="18" customHeight="1" spans="1:16">
      <c r="A1640" s="32" t="str">
        <f t="shared" si="81"/>
        <v/>
      </c>
      <c r="B1640" s="100" t="str">
        <f>IF($E1640="","",INDEX(资金日记账!$B$4:$B$603,366))</f>
        <v/>
      </c>
      <c r="C1640" s="26" t="str">
        <f>IF($E1640="","",IF(INDEX(资金日记账!$W$4:$W$603,366)="","记-"&amp;TEXT($B1640,"YYYYMM")&amp;"-资金",INDEX(资金日记账!$W$4:$W$603,366)))</f>
        <v/>
      </c>
      <c r="D1640" s="32" t="str">
        <f>IF($E1640="","",INDEX(资金日记账!$D$4:$D$603,366))</f>
        <v/>
      </c>
      <c r="E1640" s="26" t="str">
        <f>IF(INDEX(资金日记账!$N$4:$S$603,366,1)=0,"",INDEX(资金日记账!$N$4:$S$603,366,1))</f>
        <v/>
      </c>
      <c r="F1640" s="25" t="str">
        <f>IF($E1640="","",IFERROR(INDEX(科目表!$A$4:$A$81,MATCH($E1640,科目表!$B$4:$B$81,0)),""))</f>
        <v/>
      </c>
      <c r="G1640" s="26" t="str">
        <f>IF($E1640="","",IFERROR(INDEX(科目表!$E$4:$E$81,MATCH($E1640,科目表!$B$4:$B$81,0)),""))</f>
        <v/>
      </c>
      <c r="H1640" s="27" t="str">
        <f>IF($E1640="","",N(INDEX(资金日记账!$N$4:$S$603,366,2)))</f>
        <v/>
      </c>
      <c r="I1640" s="27" t="str">
        <f>IF($E1640="","",N(INDEX(资金日记账!$N$4:$S$603,366,3)))</f>
        <v/>
      </c>
      <c r="J1640" s="26" t="str">
        <f>IF($E1640="","",INDEX(资金日记账!$E$4:$E$603,366))</f>
        <v/>
      </c>
      <c r="K1640" s="26" t="str">
        <f>IF($E1640="","",INDEX(资金日记账!$F$4:$F$603,366))</f>
        <v/>
      </c>
      <c r="L1640" s="32" t="str">
        <f>IF($E1640="","",INDEX(资金日记账!$X$4:$X$603,366))</f>
        <v/>
      </c>
      <c r="M1640" s="32"/>
      <c r="N1640" s="26" t="str">
        <f>IF($E1640="","",INDEX(资金日记账!$Y$4:$Y$603,366))</f>
        <v/>
      </c>
      <c r="O1640" s="26" t="str">
        <f t="shared" si="82"/>
        <v/>
      </c>
      <c r="P1640" s="10"/>
    </row>
    <row r="1641" ht="18" customHeight="1" spans="1:16">
      <c r="A1641" s="32" t="str">
        <f t="shared" si="81"/>
        <v/>
      </c>
      <c r="B1641" s="100" t="str">
        <f>IF($E1641="","",INDEX(资金日记账!$B$4:$B$603,366))</f>
        <v/>
      </c>
      <c r="C1641" s="26" t="str">
        <f>IF($E1641="","",IF(INDEX(资金日记账!$W$4:$W$603,366)="","记-"&amp;TEXT($B1641,"YYYYMM")&amp;"-资金",INDEX(资金日记账!$W$4:$W$603,366)))</f>
        <v/>
      </c>
      <c r="D1641" s="32" t="str">
        <f>IF($E1641="","",INDEX(资金日记账!$D$4:$D$603,366))</f>
        <v/>
      </c>
      <c r="E1641" s="26" t="str">
        <f>IF(INDEX(资金日记账!$N$4:$S$603,366,4)=0,"",INDEX(资金日记账!$N$4:$S$603,366,4))</f>
        <v/>
      </c>
      <c r="F1641" s="25" t="str">
        <f>IF($E1641="","",IFERROR(INDEX(科目表!$A$4:$A$81,MATCH($E1641,科目表!$B$4:$B$81,0)),""))</f>
        <v/>
      </c>
      <c r="G1641" s="26" t="str">
        <f>IF($E1641="","",IFERROR(INDEX(科目表!$E$4:$E$81,MATCH($E1641,科目表!$B$4:$B$81,0)),""))</f>
        <v/>
      </c>
      <c r="H1641" s="27" t="str">
        <f>IF($E1641="","",N(INDEX(资金日记账!$N$4:$S$603,366,5)))</f>
        <v/>
      </c>
      <c r="I1641" s="27" t="str">
        <f>IF($E1641="","",N(INDEX(资金日记账!$N$4:$S$603,366,6)))</f>
        <v/>
      </c>
      <c r="J1641" s="26" t="str">
        <f>IF($E1641="","",INDEX(资金日记账!$E$4:$E$603,366))</f>
        <v/>
      </c>
      <c r="K1641" s="26" t="str">
        <f>IF($E1641="","",INDEX(资金日记账!$F$4:$F$603,366))</f>
        <v/>
      </c>
      <c r="L1641" s="32" t="str">
        <f>IF($E1641="","",INDEX(资金日记账!$X$4:$X$603,366))</f>
        <v/>
      </c>
      <c r="M1641" s="32"/>
      <c r="N1641" s="26" t="str">
        <f>IF($E1641="","",INDEX(资金日记账!$Y$4:$Y$603,366))</f>
        <v/>
      </c>
      <c r="O1641" s="26" t="str">
        <f t="shared" si="82"/>
        <v/>
      </c>
      <c r="P1641" s="10"/>
    </row>
    <row r="1642" ht="18" customHeight="1" spans="1:16">
      <c r="A1642" s="32" t="str">
        <f t="shared" si="81"/>
        <v/>
      </c>
      <c r="B1642" s="100" t="str">
        <f>IF($E1642="","",INDEX(资金日记账!$B$4:$B$603,367))</f>
        <v/>
      </c>
      <c r="C1642" s="26" t="str">
        <f>IF($E1642="","",IF(INDEX(资金日记账!$W$4:$W$603,367)="","记-"&amp;TEXT($B1642,"YYYYMM")&amp;"-资金",INDEX(资金日记账!$W$4:$W$603,367)))</f>
        <v/>
      </c>
      <c r="D1642" s="32" t="str">
        <f>IF($E1642="","",INDEX(资金日记账!$D$4:$D$603,367))</f>
        <v/>
      </c>
      <c r="E1642" s="26" t="str">
        <f>IF(INDEX(资金日记账!$N$4:$S$603,367,1)=0,"",INDEX(资金日记账!$N$4:$S$603,367,1))</f>
        <v/>
      </c>
      <c r="F1642" s="25" t="str">
        <f>IF($E1642="","",IFERROR(INDEX(科目表!$A$4:$A$81,MATCH($E1642,科目表!$B$4:$B$81,0)),""))</f>
        <v/>
      </c>
      <c r="G1642" s="26" t="str">
        <f>IF($E1642="","",IFERROR(INDEX(科目表!$E$4:$E$81,MATCH($E1642,科目表!$B$4:$B$81,0)),""))</f>
        <v/>
      </c>
      <c r="H1642" s="27" t="str">
        <f>IF($E1642="","",N(INDEX(资金日记账!$N$4:$S$603,367,2)))</f>
        <v/>
      </c>
      <c r="I1642" s="27" t="str">
        <f>IF($E1642="","",N(INDEX(资金日记账!$N$4:$S$603,367,3)))</f>
        <v/>
      </c>
      <c r="J1642" s="26" t="str">
        <f>IF($E1642="","",INDEX(资金日记账!$E$4:$E$603,367))</f>
        <v/>
      </c>
      <c r="K1642" s="26" t="str">
        <f>IF($E1642="","",INDEX(资金日记账!$F$4:$F$603,367))</f>
        <v/>
      </c>
      <c r="L1642" s="32" t="str">
        <f>IF($E1642="","",INDEX(资金日记账!$X$4:$X$603,367))</f>
        <v/>
      </c>
      <c r="M1642" s="32"/>
      <c r="N1642" s="26" t="str">
        <f>IF($E1642="","",INDEX(资金日记账!$Y$4:$Y$603,367))</f>
        <v/>
      </c>
      <c r="O1642" s="26" t="str">
        <f t="shared" si="82"/>
        <v/>
      </c>
      <c r="P1642" s="10"/>
    </row>
    <row r="1643" ht="18" customHeight="1" spans="1:16">
      <c r="A1643" s="32" t="str">
        <f t="shared" si="81"/>
        <v/>
      </c>
      <c r="B1643" s="100" t="str">
        <f>IF($E1643="","",INDEX(资金日记账!$B$4:$B$603,367))</f>
        <v/>
      </c>
      <c r="C1643" s="26" t="str">
        <f>IF($E1643="","",IF(INDEX(资金日记账!$W$4:$W$603,367)="","记-"&amp;TEXT($B1643,"YYYYMM")&amp;"-资金",INDEX(资金日记账!$W$4:$W$603,367)))</f>
        <v/>
      </c>
      <c r="D1643" s="32" t="str">
        <f>IF($E1643="","",INDEX(资金日记账!$D$4:$D$603,367))</f>
        <v/>
      </c>
      <c r="E1643" s="26" t="str">
        <f>IF(INDEX(资金日记账!$N$4:$S$603,367,4)=0,"",INDEX(资金日记账!$N$4:$S$603,367,4))</f>
        <v/>
      </c>
      <c r="F1643" s="25" t="str">
        <f>IF($E1643="","",IFERROR(INDEX(科目表!$A$4:$A$81,MATCH($E1643,科目表!$B$4:$B$81,0)),""))</f>
        <v/>
      </c>
      <c r="G1643" s="26" t="str">
        <f>IF($E1643="","",IFERROR(INDEX(科目表!$E$4:$E$81,MATCH($E1643,科目表!$B$4:$B$81,0)),""))</f>
        <v/>
      </c>
      <c r="H1643" s="27" t="str">
        <f>IF($E1643="","",N(INDEX(资金日记账!$N$4:$S$603,367,5)))</f>
        <v/>
      </c>
      <c r="I1643" s="27" t="str">
        <f>IF($E1643="","",N(INDEX(资金日记账!$N$4:$S$603,367,6)))</f>
        <v/>
      </c>
      <c r="J1643" s="26" t="str">
        <f>IF($E1643="","",INDEX(资金日记账!$E$4:$E$603,367))</f>
        <v/>
      </c>
      <c r="K1643" s="26" t="str">
        <f>IF($E1643="","",INDEX(资金日记账!$F$4:$F$603,367))</f>
        <v/>
      </c>
      <c r="L1643" s="32" t="str">
        <f>IF($E1643="","",INDEX(资金日记账!$X$4:$X$603,367))</f>
        <v/>
      </c>
      <c r="M1643" s="32"/>
      <c r="N1643" s="26" t="str">
        <f>IF($E1643="","",INDEX(资金日记账!$Y$4:$Y$603,367))</f>
        <v/>
      </c>
      <c r="O1643" s="26" t="str">
        <f t="shared" si="82"/>
        <v/>
      </c>
      <c r="P1643" s="10"/>
    </row>
    <row r="1644" ht="18" customHeight="1" spans="1:16">
      <c r="A1644" s="32" t="str">
        <f t="shared" si="81"/>
        <v/>
      </c>
      <c r="B1644" s="100" t="str">
        <f>IF($E1644="","",INDEX(资金日记账!$B$4:$B$603,368))</f>
        <v/>
      </c>
      <c r="C1644" s="26" t="str">
        <f>IF($E1644="","",IF(INDEX(资金日记账!$W$4:$W$603,368)="","记-"&amp;TEXT($B1644,"YYYYMM")&amp;"-资金",INDEX(资金日记账!$W$4:$W$603,368)))</f>
        <v/>
      </c>
      <c r="D1644" s="32" t="str">
        <f>IF($E1644="","",INDEX(资金日记账!$D$4:$D$603,368))</f>
        <v/>
      </c>
      <c r="E1644" s="26" t="str">
        <f>IF(INDEX(资金日记账!$N$4:$S$603,368,1)=0,"",INDEX(资金日记账!$N$4:$S$603,368,1))</f>
        <v/>
      </c>
      <c r="F1644" s="25" t="str">
        <f>IF($E1644="","",IFERROR(INDEX(科目表!$A$4:$A$81,MATCH($E1644,科目表!$B$4:$B$81,0)),""))</f>
        <v/>
      </c>
      <c r="G1644" s="26" t="str">
        <f>IF($E1644="","",IFERROR(INDEX(科目表!$E$4:$E$81,MATCH($E1644,科目表!$B$4:$B$81,0)),""))</f>
        <v/>
      </c>
      <c r="H1644" s="27" t="str">
        <f>IF($E1644="","",N(INDEX(资金日记账!$N$4:$S$603,368,2)))</f>
        <v/>
      </c>
      <c r="I1644" s="27" t="str">
        <f>IF($E1644="","",N(INDEX(资金日记账!$N$4:$S$603,368,3)))</f>
        <v/>
      </c>
      <c r="J1644" s="26" t="str">
        <f>IF($E1644="","",INDEX(资金日记账!$E$4:$E$603,368))</f>
        <v/>
      </c>
      <c r="K1644" s="26" t="str">
        <f>IF($E1644="","",INDEX(资金日记账!$F$4:$F$603,368))</f>
        <v/>
      </c>
      <c r="L1644" s="32" t="str">
        <f>IF($E1644="","",INDEX(资金日记账!$X$4:$X$603,368))</f>
        <v/>
      </c>
      <c r="M1644" s="32"/>
      <c r="N1644" s="26" t="str">
        <f>IF($E1644="","",INDEX(资金日记账!$Y$4:$Y$603,368))</f>
        <v/>
      </c>
      <c r="O1644" s="26" t="str">
        <f t="shared" si="82"/>
        <v/>
      </c>
      <c r="P1644" s="10"/>
    </row>
    <row r="1645" ht="18" customHeight="1" spans="1:16">
      <c r="A1645" s="32" t="str">
        <f t="shared" si="81"/>
        <v/>
      </c>
      <c r="B1645" s="100" t="str">
        <f>IF($E1645="","",INDEX(资金日记账!$B$4:$B$603,368))</f>
        <v/>
      </c>
      <c r="C1645" s="26" t="str">
        <f>IF($E1645="","",IF(INDEX(资金日记账!$W$4:$W$603,368)="","记-"&amp;TEXT($B1645,"YYYYMM")&amp;"-资金",INDEX(资金日记账!$W$4:$W$603,368)))</f>
        <v/>
      </c>
      <c r="D1645" s="32" t="str">
        <f>IF($E1645="","",INDEX(资金日记账!$D$4:$D$603,368))</f>
        <v/>
      </c>
      <c r="E1645" s="26" t="str">
        <f>IF(INDEX(资金日记账!$N$4:$S$603,368,4)=0,"",INDEX(资金日记账!$N$4:$S$603,368,4))</f>
        <v/>
      </c>
      <c r="F1645" s="25" t="str">
        <f>IF($E1645="","",IFERROR(INDEX(科目表!$A$4:$A$81,MATCH($E1645,科目表!$B$4:$B$81,0)),""))</f>
        <v/>
      </c>
      <c r="G1645" s="26" t="str">
        <f>IF($E1645="","",IFERROR(INDEX(科目表!$E$4:$E$81,MATCH($E1645,科目表!$B$4:$B$81,0)),""))</f>
        <v/>
      </c>
      <c r="H1645" s="27" t="str">
        <f>IF($E1645="","",N(INDEX(资金日记账!$N$4:$S$603,368,5)))</f>
        <v/>
      </c>
      <c r="I1645" s="27" t="str">
        <f>IF($E1645="","",N(INDEX(资金日记账!$N$4:$S$603,368,6)))</f>
        <v/>
      </c>
      <c r="J1645" s="26" t="str">
        <f>IF($E1645="","",INDEX(资金日记账!$E$4:$E$603,368))</f>
        <v/>
      </c>
      <c r="K1645" s="26" t="str">
        <f>IF($E1645="","",INDEX(资金日记账!$F$4:$F$603,368))</f>
        <v/>
      </c>
      <c r="L1645" s="32" t="str">
        <f>IF($E1645="","",INDEX(资金日记账!$X$4:$X$603,368))</f>
        <v/>
      </c>
      <c r="M1645" s="32"/>
      <c r="N1645" s="26" t="str">
        <f>IF($E1645="","",INDEX(资金日记账!$Y$4:$Y$603,368))</f>
        <v/>
      </c>
      <c r="O1645" s="26" t="str">
        <f t="shared" si="82"/>
        <v/>
      </c>
      <c r="P1645" s="10"/>
    </row>
    <row r="1646" ht="18" customHeight="1" spans="1:16">
      <c r="A1646" s="32" t="str">
        <f t="shared" si="81"/>
        <v/>
      </c>
      <c r="B1646" s="100" t="str">
        <f>IF($E1646="","",INDEX(资金日记账!$B$4:$B$603,369))</f>
        <v/>
      </c>
      <c r="C1646" s="26" t="str">
        <f>IF($E1646="","",IF(INDEX(资金日记账!$W$4:$W$603,369)="","记-"&amp;TEXT($B1646,"YYYYMM")&amp;"-资金",INDEX(资金日记账!$W$4:$W$603,369)))</f>
        <v/>
      </c>
      <c r="D1646" s="32" t="str">
        <f>IF($E1646="","",INDEX(资金日记账!$D$4:$D$603,369))</f>
        <v/>
      </c>
      <c r="E1646" s="26" t="str">
        <f>IF(INDEX(资金日记账!$N$4:$S$603,369,1)=0,"",INDEX(资金日记账!$N$4:$S$603,369,1))</f>
        <v/>
      </c>
      <c r="F1646" s="25" t="str">
        <f>IF($E1646="","",IFERROR(INDEX(科目表!$A$4:$A$81,MATCH($E1646,科目表!$B$4:$B$81,0)),""))</f>
        <v/>
      </c>
      <c r="G1646" s="26" t="str">
        <f>IF($E1646="","",IFERROR(INDEX(科目表!$E$4:$E$81,MATCH($E1646,科目表!$B$4:$B$81,0)),""))</f>
        <v/>
      </c>
      <c r="H1646" s="27" t="str">
        <f>IF($E1646="","",N(INDEX(资金日记账!$N$4:$S$603,369,2)))</f>
        <v/>
      </c>
      <c r="I1646" s="27" t="str">
        <f>IF($E1646="","",N(INDEX(资金日记账!$N$4:$S$603,369,3)))</f>
        <v/>
      </c>
      <c r="J1646" s="26" t="str">
        <f>IF($E1646="","",INDEX(资金日记账!$E$4:$E$603,369))</f>
        <v/>
      </c>
      <c r="K1646" s="26" t="str">
        <f>IF($E1646="","",INDEX(资金日记账!$F$4:$F$603,369))</f>
        <v/>
      </c>
      <c r="L1646" s="32" t="str">
        <f>IF($E1646="","",INDEX(资金日记账!$X$4:$X$603,369))</f>
        <v/>
      </c>
      <c r="M1646" s="32"/>
      <c r="N1646" s="26" t="str">
        <f>IF($E1646="","",INDEX(资金日记账!$Y$4:$Y$603,369))</f>
        <v/>
      </c>
      <c r="O1646" s="26" t="str">
        <f t="shared" si="82"/>
        <v/>
      </c>
      <c r="P1646" s="10"/>
    </row>
    <row r="1647" ht="18" customHeight="1" spans="1:16">
      <c r="A1647" s="32" t="str">
        <f t="shared" si="81"/>
        <v/>
      </c>
      <c r="B1647" s="100" t="str">
        <f>IF($E1647="","",INDEX(资金日记账!$B$4:$B$603,369))</f>
        <v/>
      </c>
      <c r="C1647" s="26" t="str">
        <f>IF($E1647="","",IF(INDEX(资金日记账!$W$4:$W$603,369)="","记-"&amp;TEXT($B1647,"YYYYMM")&amp;"-资金",INDEX(资金日记账!$W$4:$W$603,369)))</f>
        <v/>
      </c>
      <c r="D1647" s="32" t="str">
        <f>IF($E1647="","",INDEX(资金日记账!$D$4:$D$603,369))</f>
        <v/>
      </c>
      <c r="E1647" s="26" t="str">
        <f>IF(INDEX(资金日记账!$N$4:$S$603,369,4)=0,"",INDEX(资金日记账!$N$4:$S$603,369,4))</f>
        <v/>
      </c>
      <c r="F1647" s="25" t="str">
        <f>IF($E1647="","",IFERROR(INDEX(科目表!$A$4:$A$81,MATCH($E1647,科目表!$B$4:$B$81,0)),""))</f>
        <v/>
      </c>
      <c r="G1647" s="26" t="str">
        <f>IF($E1647="","",IFERROR(INDEX(科目表!$E$4:$E$81,MATCH($E1647,科目表!$B$4:$B$81,0)),""))</f>
        <v/>
      </c>
      <c r="H1647" s="27" t="str">
        <f>IF($E1647="","",N(INDEX(资金日记账!$N$4:$S$603,369,5)))</f>
        <v/>
      </c>
      <c r="I1647" s="27" t="str">
        <f>IF($E1647="","",N(INDEX(资金日记账!$N$4:$S$603,369,6)))</f>
        <v/>
      </c>
      <c r="J1647" s="26" t="str">
        <f>IF($E1647="","",INDEX(资金日记账!$E$4:$E$603,369))</f>
        <v/>
      </c>
      <c r="K1647" s="26" t="str">
        <f>IF($E1647="","",INDEX(资金日记账!$F$4:$F$603,369))</f>
        <v/>
      </c>
      <c r="L1647" s="32" t="str">
        <f>IF($E1647="","",INDEX(资金日记账!$X$4:$X$603,369))</f>
        <v/>
      </c>
      <c r="M1647" s="32"/>
      <c r="N1647" s="26" t="str">
        <f>IF($E1647="","",INDEX(资金日记账!$Y$4:$Y$603,369))</f>
        <v/>
      </c>
      <c r="O1647" s="26" t="str">
        <f t="shared" si="82"/>
        <v/>
      </c>
      <c r="P1647" s="10"/>
    </row>
    <row r="1648" ht="18" customHeight="1" spans="1:16">
      <c r="A1648" s="32" t="str">
        <f t="shared" si="81"/>
        <v/>
      </c>
      <c r="B1648" s="100" t="str">
        <f>IF($E1648="","",INDEX(资金日记账!$B$4:$B$603,370))</f>
        <v/>
      </c>
      <c r="C1648" s="26" t="str">
        <f>IF($E1648="","",IF(INDEX(资金日记账!$W$4:$W$603,370)="","记-"&amp;TEXT($B1648,"YYYYMM")&amp;"-资金",INDEX(资金日记账!$W$4:$W$603,370)))</f>
        <v/>
      </c>
      <c r="D1648" s="32" t="str">
        <f>IF($E1648="","",INDEX(资金日记账!$D$4:$D$603,370))</f>
        <v/>
      </c>
      <c r="E1648" s="26" t="str">
        <f>IF(INDEX(资金日记账!$N$4:$S$603,370,1)=0,"",INDEX(资金日记账!$N$4:$S$603,370,1))</f>
        <v/>
      </c>
      <c r="F1648" s="25" t="str">
        <f>IF($E1648="","",IFERROR(INDEX(科目表!$A$4:$A$81,MATCH($E1648,科目表!$B$4:$B$81,0)),""))</f>
        <v/>
      </c>
      <c r="G1648" s="26" t="str">
        <f>IF($E1648="","",IFERROR(INDEX(科目表!$E$4:$E$81,MATCH($E1648,科目表!$B$4:$B$81,0)),""))</f>
        <v/>
      </c>
      <c r="H1648" s="27" t="str">
        <f>IF($E1648="","",N(INDEX(资金日记账!$N$4:$S$603,370,2)))</f>
        <v/>
      </c>
      <c r="I1648" s="27" t="str">
        <f>IF($E1648="","",N(INDEX(资金日记账!$N$4:$S$603,370,3)))</f>
        <v/>
      </c>
      <c r="J1648" s="26" t="str">
        <f>IF($E1648="","",INDEX(资金日记账!$E$4:$E$603,370))</f>
        <v/>
      </c>
      <c r="K1648" s="26" t="str">
        <f>IF($E1648="","",INDEX(资金日记账!$F$4:$F$603,370))</f>
        <v/>
      </c>
      <c r="L1648" s="32" t="str">
        <f>IF($E1648="","",INDEX(资金日记账!$X$4:$X$603,370))</f>
        <v/>
      </c>
      <c r="M1648" s="32"/>
      <c r="N1648" s="26" t="str">
        <f>IF($E1648="","",INDEX(资金日记账!$Y$4:$Y$603,370))</f>
        <v/>
      </c>
      <c r="O1648" s="26" t="str">
        <f t="shared" si="82"/>
        <v/>
      </c>
      <c r="P1648" s="10"/>
    </row>
    <row r="1649" ht="18" customHeight="1" spans="1:16">
      <c r="A1649" s="32" t="str">
        <f t="shared" si="81"/>
        <v/>
      </c>
      <c r="B1649" s="100" t="str">
        <f>IF($E1649="","",INDEX(资金日记账!$B$4:$B$603,370))</f>
        <v/>
      </c>
      <c r="C1649" s="26" t="str">
        <f>IF($E1649="","",IF(INDEX(资金日记账!$W$4:$W$603,370)="","记-"&amp;TEXT($B1649,"YYYYMM")&amp;"-资金",INDEX(资金日记账!$W$4:$W$603,370)))</f>
        <v/>
      </c>
      <c r="D1649" s="32" t="str">
        <f>IF($E1649="","",INDEX(资金日记账!$D$4:$D$603,370))</f>
        <v/>
      </c>
      <c r="E1649" s="26" t="str">
        <f>IF(INDEX(资金日记账!$N$4:$S$603,370,4)=0,"",INDEX(资金日记账!$N$4:$S$603,370,4))</f>
        <v/>
      </c>
      <c r="F1649" s="25" t="str">
        <f>IF($E1649="","",IFERROR(INDEX(科目表!$A$4:$A$81,MATCH($E1649,科目表!$B$4:$B$81,0)),""))</f>
        <v/>
      </c>
      <c r="G1649" s="26" t="str">
        <f>IF($E1649="","",IFERROR(INDEX(科目表!$E$4:$E$81,MATCH($E1649,科目表!$B$4:$B$81,0)),""))</f>
        <v/>
      </c>
      <c r="H1649" s="27" t="str">
        <f>IF($E1649="","",N(INDEX(资金日记账!$N$4:$S$603,370,5)))</f>
        <v/>
      </c>
      <c r="I1649" s="27" t="str">
        <f>IF($E1649="","",N(INDEX(资金日记账!$N$4:$S$603,370,6)))</f>
        <v/>
      </c>
      <c r="J1649" s="26" t="str">
        <f>IF($E1649="","",INDEX(资金日记账!$E$4:$E$603,370))</f>
        <v/>
      </c>
      <c r="K1649" s="26" t="str">
        <f>IF($E1649="","",INDEX(资金日记账!$F$4:$F$603,370))</f>
        <v/>
      </c>
      <c r="L1649" s="32" t="str">
        <f>IF($E1649="","",INDEX(资金日记账!$X$4:$X$603,370))</f>
        <v/>
      </c>
      <c r="M1649" s="32"/>
      <c r="N1649" s="26" t="str">
        <f>IF($E1649="","",INDEX(资金日记账!$Y$4:$Y$603,370))</f>
        <v/>
      </c>
      <c r="O1649" s="26" t="str">
        <f t="shared" si="82"/>
        <v/>
      </c>
      <c r="P1649" s="10"/>
    </row>
    <row r="1650" ht="18" customHeight="1" spans="1:16">
      <c r="A1650" s="32" t="str">
        <f t="shared" si="81"/>
        <v/>
      </c>
      <c r="B1650" s="100" t="str">
        <f>IF($E1650="","",INDEX(资金日记账!$B$4:$B$603,371))</f>
        <v/>
      </c>
      <c r="C1650" s="26" t="str">
        <f>IF($E1650="","",IF(INDEX(资金日记账!$W$4:$W$603,371)="","记-"&amp;TEXT($B1650,"YYYYMM")&amp;"-资金",INDEX(资金日记账!$W$4:$W$603,371)))</f>
        <v/>
      </c>
      <c r="D1650" s="32" t="str">
        <f>IF($E1650="","",INDEX(资金日记账!$D$4:$D$603,371))</f>
        <v/>
      </c>
      <c r="E1650" s="26" t="str">
        <f>IF(INDEX(资金日记账!$N$4:$S$603,371,1)=0,"",INDEX(资金日记账!$N$4:$S$603,371,1))</f>
        <v/>
      </c>
      <c r="F1650" s="25" t="str">
        <f>IF($E1650="","",IFERROR(INDEX(科目表!$A$4:$A$81,MATCH($E1650,科目表!$B$4:$B$81,0)),""))</f>
        <v/>
      </c>
      <c r="G1650" s="26" t="str">
        <f>IF($E1650="","",IFERROR(INDEX(科目表!$E$4:$E$81,MATCH($E1650,科目表!$B$4:$B$81,0)),""))</f>
        <v/>
      </c>
      <c r="H1650" s="27" t="str">
        <f>IF($E1650="","",N(INDEX(资金日记账!$N$4:$S$603,371,2)))</f>
        <v/>
      </c>
      <c r="I1650" s="27" t="str">
        <f>IF($E1650="","",N(INDEX(资金日记账!$N$4:$S$603,371,3)))</f>
        <v/>
      </c>
      <c r="J1650" s="26" t="str">
        <f>IF($E1650="","",INDEX(资金日记账!$E$4:$E$603,371))</f>
        <v/>
      </c>
      <c r="K1650" s="26" t="str">
        <f>IF($E1650="","",INDEX(资金日记账!$F$4:$F$603,371))</f>
        <v/>
      </c>
      <c r="L1650" s="32" t="str">
        <f>IF($E1650="","",INDEX(资金日记账!$X$4:$X$603,371))</f>
        <v/>
      </c>
      <c r="M1650" s="32"/>
      <c r="N1650" s="26" t="str">
        <f>IF($E1650="","",INDEX(资金日记账!$Y$4:$Y$603,371))</f>
        <v/>
      </c>
      <c r="O1650" s="26" t="str">
        <f t="shared" si="82"/>
        <v/>
      </c>
      <c r="P1650" s="10"/>
    </row>
    <row r="1651" ht="18" customHeight="1" spans="1:16">
      <c r="A1651" s="32" t="str">
        <f t="shared" si="81"/>
        <v/>
      </c>
      <c r="B1651" s="100" t="str">
        <f>IF($E1651="","",INDEX(资金日记账!$B$4:$B$603,371))</f>
        <v/>
      </c>
      <c r="C1651" s="26" t="str">
        <f>IF($E1651="","",IF(INDEX(资金日记账!$W$4:$W$603,371)="","记-"&amp;TEXT($B1651,"YYYYMM")&amp;"-资金",INDEX(资金日记账!$W$4:$W$603,371)))</f>
        <v/>
      </c>
      <c r="D1651" s="32" t="str">
        <f>IF($E1651="","",INDEX(资金日记账!$D$4:$D$603,371))</f>
        <v/>
      </c>
      <c r="E1651" s="26" t="str">
        <f>IF(INDEX(资金日记账!$N$4:$S$603,371,4)=0,"",INDEX(资金日记账!$N$4:$S$603,371,4))</f>
        <v/>
      </c>
      <c r="F1651" s="25" t="str">
        <f>IF($E1651="","",IFERROR(INDEX(科目表!$A$4:$A$81,MATCH($E1651,科目表!$B$4:$B$81,0)),""))</f>
        <v/>
      </c>
      <c r="G1651" s="26" t="str">
        <f>IF($E1651="","",IFERROR(INDEX(科目表!$E$4:$E$81,MATCH($E1651,科目表!$B$4:$B$81,0)),""))</f>
        <v/>
      </c>
      <c r="H1651" s="27" t="str">
        <f>IF($E1651="","",N(INDEX(资金日记账!$N$4:$S$603,371,5)))</f>
        <v/>
      </c>
      <c r="I1651" s="27" t="str">
        <f>IF($E1651="","",N(INDEX(资金日记账!$N$4:$S$603,371,6)))</f>
        <v/>
      </c>
      <c r="J1651" s="26" t="str">
        <f>IF($E1651="","",INDEX(资金日记账!$E$4:$E$603,371))</f>
        <v/>
      </c>
      <c r="K1651" s="26" t="str">
        <f>IF($E1651="","",INDEX(资金日记账!$F$4:$F$603,371))</f>
        <v/>
      </c>
      <c r="L1651" s="32" t="str">
        <f>IF($E1651="","",INDEX(资金日记账!$X$4:$X$603,371))</f>
        <v/>
      </c>
      <c r="M1651" s="32"/>
      <c r="N1651" s="26" t="str">
        <f>IF($E1651="","",INDEX(资金日记账!$Y$4:$Y$603,371))</f>
        <v/>
      </c>
      <c r="O1651" s="26" t="str">
        <f t="shared" si="82"/>
        <v/>
      </c>
      <c r="P1651" s="10"/>
    </row>
    <row r="1652" ht="18" customHeight="1" spans="1:16">
      <c r="A1652" s="32" t="str">
        <f t="shared" si="81"/>
        <v/>
      </c>
      <c r="B1652" s="100" t="str">
        <f>IF($E1652="","",INDEX(资金日记账!$B$4:$B$603,372))</f>
        <v/>
      </c>
      <c r="C1652" s="26" t="str">
        <f>IF($E1652="","",IF(INDEX(资金日记账!$W$4:$W$603,372)="","记-"&amp;TEXT($B1652,"YYYYMM")&amp;"-资金",INDEX(资金日记账!$W$4:$W$603,372)))</f>
        <v/>
      </c>
      <c r="D1652" s="32" t="str">
        <f>IF($E1652="","",INDEX(资金日记账!$D$4:$D$603,372))</f>
        <v/>
      </c>
      <c r="E1652" s="26" t="str">
        <f>IF(INDEX(资金日记账!$N$4:$S$603,372,1)=0,"",INDEX(资金日记账!$N$4:$S$603,372,1))</f>
        <v/>
      </c>
      <c r="F1652" s="25" t="str">
        <f>IF($E1652="","",IFERROR(INDEX(科目表!$A$4:$A$81,MATCH($E1652,科目表!$B$4:$B$81,0)),""))</f>
        <v/>
      </c>
      <c r="G1652" s="26" t="str">
        <f>IF($E1652="","",IFERROR(INDEX(科目表!$E$4:$E$81,MATCH($E1652,科目表!$B$4:$B$81,0)),""))</f>
        <v/>
      </c>
      <c r="H1652" s="27" t="str">
        <f>IF($E1652="","",N(INDEX(资金日记账!$N$4:$S$603,372,2)))</f>
        <v/>
      </c>
      <c r="I1652" s="27" t="str">
        <f>IF($E1652="","",N(INDEX(资金日记账!$N$4:$S$603,372,3)))</f>
        <v/>
      </c>
      <c r="J1652" s="26" t="str">
        <f>IF($E1652="","",INDEX(资金日记账!$E$4:$E$603,372))</f>
        <v/>
      </c>
      <c r="K1652" s="26" t="str">
        <f>IF($E1652="","",INDEX(资金日记账!$F$4:$F$603,372))</f>
        <v/>
      </c>
      <c r="L1652" s="32" t="str">
        <f>IF($E1652="","",INDEX(资金日记账!$X$4:$X$603,372))</f>
        <v/>
      </c>
      <c r="M1652" s="32"/>
      <c r="N1652" s="26" t="str">
        <f>IF($E1652="","",INDEX(资金日记账!$Y$4:$Y$603,372))</f>
        <v/>
      </c>
      <c r="O1652" s="26" t="str">
        <f t="shared" si="82"/>
        <v/>
      </c>
      <c r="P1652" s="10"/>
    </row>
    <row r="1653" ht="18" customHeight="1" spans="1:16">
      <c r="A1653" s="32" t="str">
        <f t="shared" si="81"/>
        <v/>
      </c>
      <c r="B1653" s="100" t="str">
        <f>IF($E1653="","",INDEX(资金日记账!$B$4:$B$603,372))</f>
        <v/>
      </c>
      <c r="C1653" s="26" t="str">
        <f>IF($E1653="","",IF(INDEX(资金日记账!$W$4:$W$603,372)="","记-"&amp;TEXT($B1653,"YYYYMM")&amp;"-资金",INDEX(资金日记账!$W$4:$W$603,372)))</f>
        <v/>
      </c>
      <c r="D1653" s="32" t="str">
        <f>IF($E1653="","",INDEX(资金日记账!$D$4:$D$603,372))</f>
        <v/>
      </c>
      <c r="E1653" s="26" t="str">
        <f>IF(INDEX(资金日记账!$N$4:$S$603,372,4)=0,"",INDEX(资金日记账!$N$4:$S$603,372,4))</f>
        <v/>
      </c>
      <c r="F1653" s="25" t="str">
        <f>IF($E1653="","",IFERROR(INDEX(科目表!$A$4:$A$81,MATCH($E1653,科目表!$B$4:$B$81,0)),""))</f>
        <v/>
      </c>
      <c r="G1653" s="26" t="str">
        <f>IF($E1653="","",IFERROR(INDEX(科目表!$E$4:$E$81,MATCH($E1653,科目表!$B$4:$B$81,0)),""))</f>
        <v/>
      </c>
      <c r="H1653" s="27" t="str">
        <f>IF($E1653="","",N(INDEX(资金日记账!$N$4:$S$603,372,5)))</f>
        <v/>
      </c>
      <c r="I1653" s="27" t="str">
        <f>IF($E1653="","",N(INDEX(资金日记账!$N$4:$S$603,372,6)))</f>
        <v/>
      </c>
      <c r="J1653" s="26" t="str">
        <f>IF($E1653="","",INDEX(资金日记账!$E$4:$E$603,372))</f>
        <v/>
      </c>
      <c r="K1653" s="26" t="str">
        <f>IF($E1653="","",INDEX(资金日记账!$F$4:$F$603,372))</f>
        <v/>
      </c>
      <c r="L1653" s="32" t="str">
        <f>IF($E1653="","",INDEX(资金日记账!$X$4:$X$603,372))</f>
        <v/>
      </c>
      <c r="M1653" s="32"/>
      <c r="N1653" s="26" t="str">
        <f>IF($E1653="","",INDEX(资金日记账!$Y$4:$Y$603,372))</f>
        <v/>
      </c>
      <c r="O1653" s="26" t="str">
        <f t="shared" si="82"/>
        <v/>
      </c>
      <c r="P1653" s="10"/>
    </row>
    <row r="1654" ht="18" customHeight="1" spans="1:16">
      <c r="A1654" s="32" t="str">
        <f t="shared" si="81"/>
        <v/>
      </c>
      <c r="B1654" s="100" t="str">
        <f>IF($E1654="","",INDEX(资金日记账!$B$4:$B$603,373))</f>
        <v/>
      </c>
      <c r="C1654" s="26" t="str">
        <f>IF($E1654="","",IF(INDEX(资金日记账!$W$4:$W$603,373)="","记-"&amp;TEXT($B1654,"YYYYMM")&amp;"-资金",INDEX(资金日记账!$W$4:$W$603,373)))</f>
        <v/>
      </c>
      <c r="D1654" s="32" t="str">
        <f>IF($E1654="","",INDEX(资金日记账!$D$4:$D$603,373))</f>
        <v/>
      </c>
      <c r="E1654" s="26" t="str">
        <f>IF(INDEX(资金日记账!$N$4:$S$603,373,1)=0,"",INDEX(资金日记账!$N$4:$S$603,373,1))</f>
        <v/>
      </c>
      <c r="F1654" s="25" t="str">
        <f>IF($E1654="","",IFERROR(INDEX(科目表!$A$4:$A$81,MATCH($E1654,科目表!$B$4:$B$81,0)),""))</f>
        <v/>
      </c>
      <c r="G1654" s="26" t="str">
        <f>IF($E1654="","",IFERROR(INDEX(科目表!$E$4:$E$81,MATCH($E1654,科目表!$B$4:$B$81,0)),""))</f>
        <v/>
      </c>
      <c r="H1654" s="27" t="str">
        <f>IF($E1654="","",N(INDEX(资金日记账!$N$4:$S$603,373,2)))</f>
        <v/>
      </c>
      <c r="I1654" s="27" t="str">
        <f>IF($E1654="","",N(INDEX(资金日记账!$N$4:$S$603,373,3)))</f>
        <v/>
      </c>
      <c r="J1654" s="26" t="str">
        <f>IF($E1654="","",INDEX(资金日记账!$E$4:$E$603,373))</f>
        <v/>
      </c>
      <c r="K1654" s="26" t="str">
        <f>IF($E1654="","",INDEX(资金日记账!$F$4:$F$603,373))</f>
        <v/>
      </c>
      <c r="L1654" s="32" t="str">
        <f>IF($E1654="","",INDEX(资金日记账!$X$4:$X$603,373))</f>
        <v/>
      </c>
      <c r="M1654" s="32"/>
      <c r="N1654" s="26" t="str">
        <f>IF($E1654="","",INDEX(资金日记账!$Y$4:$Y$603,373))</f>
        <v/>
      </c>
      <c r="O1654" s="26" t="str">
        <f t="shared" si="82"/>
        <v/>
      </c>
      <c r="P1654" s="10"/>
    </row>
    <row r="1655" ht="18" customHeight="1" spans="1:16">
      <c r="A1655" s="32" t="str">
        <f t="shared" si="81"/>
        <v/>
      </c>
      <c r="B1655" s="100" t="str">
        <f>IF($E1655="","",INDEX(资金日记账!$B$4:$B$603,373))</f>
        <v/>
      </c>
      <c r="C1655" s="26" t="str">
        <f>IF($E1655="","",IF(INDEX(资金日记账!$W$4:$W$603,373)="","记-"&amp;TEXT($B1655,"YYYYMM")&amp;"-资金",INDEX(资金日记账!$W$4:$W$603,373)))</f>
        <v/>
      </c>
      <c r="D1655" s="32" t="str">
        <f>IF($E1655="","",INDEX(资金日记账!$D$4:$D$603,373))</f>
        <v/>
      </c>
      <c r="E1655" s="26" t="str">
        <f>IF(INDEX(资金日记账!$N$4:$S$603,373,4)=0,"",INDEX(资金日记账!$N$4:$S$603,373,4))</f>
        <v/>
      </c>
      <c r="F1655" s="25" t="str">
        <f>IF($E1655="","",IFERROR(INDEX(科目表!$A$4:$A$81,MATCH($E1655,科目表!$B$4:$B$81,0)),""))</f>
        <v/>
      </c>
      <c r="G1655" s="26" t="str">
        <f>IF($E1655="","",IFERROR(INDEX(科目表!$E$4:$E$81,MATCH($E1655,科目表!$B$4:$B$81,0)),""))</f>
        <v/>
      </c>
      <c r="H1655" s="27" t="str">
        <f>IF($E1655="","",N(INDEX(资金日记账!$N$4:$S$603,373,5)))</f>
        <v/>
      </c>
      <c r="I1655" s="27" t="str">
        <f>IF($E1655="","",N(INDEX(资金日记账!$N$4:$S$603,373,6)))</f>
        <v/>
      </c>
      <c r="J1655" s="26" t="str">
        <f>IF($E1655="","",INDEX(资金日记账!$E$4:$E$603,373))</f>
        <v/>
      </c>
      <c r="K1655" s="26" t="str">
        <f>IF($E1655="","",INDEX(资金日记账!$F$4:$F$603,373))</f>
        <v/>
      </c>
      <c r="L1655" s="32" t="str">
        <f>IF($E1655="","",INDEX(资金日记账!$X$4:$X$603,373))</f>
        <v/>
      </c>
      <c r="M1655" s="32"/>
      <c r="N1655" s="26" t="str">
        <f>IF($E1655="","",INDEX(资金日记账!$Y$4:$Y$603,373))</f>
        <v/>
      </c>
      <c r="O1655" s="26" t="str">
        <f t="shared" si="82"/>
        <v/>
      </c>
      <c r="P1655" s="10"/>
    </row>
    <row r="1656" ht="18" customHeight="1" spans="1:16">
      <c r="A1656" s="32" t="str">
        <f t="shared" si="81"/>
        <v/>
      </c>
      <c r="B1656" s="100" t="str">
        <f>IF($E1656="","",INDEX(资金日记账!$B$4:$B$603,374))</f>
        <v/>
      </c>
      <c r="C1656" s="26" t="str">
        <f>IF($E1656="","",IF(INDEX(资金日记账!$W$4:$W$603,374)="","记-"&amp;TEXT($B1656,"YYYYMM")&amp;"-资金",INDEX(资金日记账!$W$4:$W$603,374)))</f>
        <v/>
      </c>
      <c r="D1656" s="32" t="str">
        <f>IF($E1656="","",INDEX(资金日记账!$D$4:$D$603,374))</f>
        <v/>
      </c>
      <c r="E1656" s="26" t="str">
        <f>IF(INDEX(资金日记账!$N$4:$S$603,374,1)=0,"",INDEX(资金日记账!$N$4:$S$603,374,1))</f>
        <v/>
      </c>
      <c r="F1656" s="25" t="str">
        <f>IF($E1656="","",IFERROR(INDEX(科目表!$A$4:$A$81,MATCH($E1656,科目表!$B$4:$B$81,0)),""))</f>
        <v/>
      </c>
      <c r="G1656" s="26" t="str">
        <f>IF($E1656="","",IFERROR(INDEX(科目表!$E$4:$E$81,MATCH($E1656,科目表!$B$4:$B$81,0)),""))</f>
        <v/>
      </c>
      <c r="H1656" s="27" t="str">
        <f>IF($E1656="","",N(INDEX(资金日记账!$N$4:$S$603,374,2)))</f>
        <v/>
      </c>
      <c r="I1656" s="27" t="str">
        <f>IF($E1656="","",N(INDEX(资金日记账!$N$4:$S$603,374,3)))</f>
        <v/>
      </c>
      <c r="J1656" s="26" t="str">
        <f>IF($E1656="","",INDEX(资金日记账!$E$4:$E$603,374))</f>
        <v/>
      </c>
      <c r="K1656" s="26" t="str">
        <f>IF($E1656="","",INDEX(资金日记账!$F$4:$F$603,374))</f>
        <v/>
      </c>
      <c r="L1656" s="32" t="str">
        <f>IF($E1656="","",INDEX(资金日记账!$X$4:$X$603,374))</f>
        <v/>
      </c>
      <c r="M1656" s="32"/>
      <c r="N1656" s="26" t="str">
        <f>IF($E1656="","",INDEX(资金日记账!$Y$4:$Y$603,374))</f>
        <v/>
      </c>
      <c r="O1656" s="26" t="str">
        <f t="shared" si="82"/>
        <v/>
      </c>
      <c r="P1656" s="10"/>
    </row>
    <row r="1657" ht="18" customHeight="1" spans="1:16">
      <c r="A1657" s="32" t="str">
        <f t="shared" si="81"/>
        <v/>
      </c>
      <c r="B1657" s="100" t="str">
        <f>IF($E1657="","",INDEX(资金日记账!$B$4:$B$603,374))</f>
        <v/>
      </c>
      <c r="C1657" s="26" t="str">
        <f>IF($E1657="","",IF(INDEX(资金日记账!$W$4:$W$603,374)="","记-"&amp;TEXT($B1657,"YYYYMM")&amp;"-资金",INDEX(资金日记账!$W$4:$W$603,374)))</f>
        <v/>
      </c>
      <c r="D1657" s="32" t="str">
        <f>IF($E1657="","",INDEX(资金日记账!$D$4:$D$603,374))</f>
        <v/>
      </c>
      <c r="E1657" s="26" t="str">
        <f>IF(INDEX(资金日记账!$N$4:$S$603,374,4)=0,"",INDEX(资金日记账!$N$4:$S$603,374,4))</f>
        <v/>
      </c>
      <c r="F1657" s="25" t="str">
        <f>IF($E1657="","",IFERROR(INDEX(科目表!$A$4:$A$81,MATCH($E1657,科目表!$B$4:$B$81,0)),""))</f>
        <v/>
      </c>
      <c r="G1657" s="26" t="str">
        <f>IF($E1657="","",IFERROR(INDEX(科目表!$E$4:$E$81,MATCH($E1657,科目表!$B$4:$B$81,0)),""))</f>
        <v/>
      </c>
      <c r="H1657" s="27" t="str">
        <f>IF($E1657="","",N(INDEX(资金日记账!$N$4:$S$603,374,5)))</f>
        <v/>
      </c>
      <c r="I1657" s="27" t="str">
        <f>IF($E1657="","",N(INDEX(资金日记账!$N$4:$S$603,374,6)))</f>
        <v/>
      </c>
      <c r="J1657" s="26" t="str">
        <f>IF($E1657="","",INDEX(资金日记账!$E$4:$E$603,374))</f>
        <v/>
      </c>
      <c r="K1657" s="26" t="str">
        <f>IF($E1657="","",INDEX(资金日记账!$F$4:$F$603,374))</f>
        <v/>
      </c>
      <c r="L1657" s="32" t="str">
        <f>IF($E1657="","",INDEX(资金日记账!$X$4:$X$603,374))</f>
        <v/>
      </c>
      <c r="M1657" s="32"/>
      <c r="N1657" s="26" t="str">
        <f>IF($E1657="","",INDEX(资金日记账!$Y$4:$Y$603,374))</f>
        <v/>
      </c>
      <c r="O1657" s="26" t="str">
        <f t="shared" si="82"/>
        <v/>
      </c>
      <c r="P1657" s="10"/>
    </row>
    <row r="1658" ht="18" customHeight="1" spans="1:16">
      <c r="A1658" s="32" t="str">
        <f t="shared" si="81"/>
        <v/>
      </c>
      <c r="B1658" s="100" t="str">
        <f>IF($E1658="","",INDEX(资金日记账!$B$4:$B$603,375))</f>
        <v/>
      </c>
      <c r="C1658" s="26" t="str">
        <f>IF($E1658="","",IF(INDEX(资金日记账!$W$4:$W$603,375)="","记-"&amp;TEXT($B1658,"YYYYMM")&amp;"-资金",INDEX(资金日记账!$W$4:$W$603,375)))</f>
        <v/>
      </c>
      <c r="D1658" s="32" t="str">
        <f>IF($E1658="","",INDEX(资金日记账!$D$4:$D$603,375))</f>
        <v/>
      </c>
      <c r="E1658" s="26" t="str">
        <f>IF(INDEX(资金日记账!$N$4:$S$603,375,1)=0,"",INDEX(资金日记账!$N$4:$S$603,375,1))</f>
        <v/>
      </c>
      <c r="F1658" s="25" t="str">
        <f>IF($E1658="","",IFERROR(INDEX(科目表!$A$4:$A$81,MATCH($E1658,科目表!$B$4:$B$81,0)),""))</f>
        <v/>
      </c>
      <c r="G1658" s="26" t="str">
        <f>IF($E1658="","",IFERROR(INDEX(科目表!$E$4:$E$81,MATCH($E1658,科目表!$B$4:$B$81,0)),""))</f>
        <v/>
      </c>
      <c r="H1658" s="27" t="str">
        <f>IF($E1658="","",N(INDEX(资金日记账!$N$4:$S$603,375,2)))</f>
        <v/>
      </c>
      <c r="I1658" s="27" t="str">
        <f>IF($E1658="","",N(INDEX(资金日记账!$N$4:$S$603,375,3)))</f>
        <v/>
      </c>
      <c r="J1658" s="26" t="str">
        <f>IF($E1658="","",INDEX(资金日记账!$E$4:$E$603,375))</f>
        <v/>
      </c>
      <c r="K1658" s="26" t="str">
        <f>IF($E1658="","",INDEX(资金日记账!$F$4:$F$603,375))</f>
        <v/>
      </c>
      <c r="L1658" s="32" t="str">
        <f>IF($E1658="","",INDEX(资金日记账!$X$4:$X$603,375))</f>
        <v/>
      </c>
      <c r="M1658" s="32"/>
      <c r="N1658" s="26" t="str">
        <f>IF($E1658="","",INDEX(资金日记账!$Y$4:$Y$603,375))</f>
        <v/>
      </c>
      <c r="O1658" s="26" t="str">
        <f t="shared" si="82"/>
        <v/>
      </c>
      <c r="P1658" s="10"/>
    </row>
    <row r="1659" ht="18" customHeight="1" spans="1:16">
      <c r="A1659" s="32" t="str">
        <f t="shared" si="81"/>
        <v/>
      </c>
      <c r="B1659" s="100" t="str">
        <f>IF($E1659="","",INDEX(资金日记账!$B$4:$B$603,375))</f>
        <v/>
      </c>
      <c r="C1659" s="26" t="str">
        <f>IF($E1659="","",IF(INDEX(资金日记账!$W$4:$W$603,375)="","记-"&amp;TEXT($B1659,"YYYYMM")&amp;"-资金",INDEX(资金日记账!$W$4:$W$603,375)))</f>
        <v/>
      </c>
      <c r="D1659" s="32" t="str">
        <f>IF($E1659="","",INDEX(资金日记账!$D$4:$D$603,375))</f>
        <v/>
      </c>
      <c r="E1659" s="26" t="str">
        <f>IF(INDEX(资金日记账!$N$4:$S$603,375,4)=0,"",INDEX(资金日记账!$N$4:$S$603,375,4))</f>
        <v/>
      </c>
      <c r="F1659" s="25" t="str">
        <f>IF($E1659="","",IFERROR(INDEX(科目表!$A$4:$A$81,MATCH($E1659,科目表!$B$4:$B$81,0)),""))</f>
        <v/>
      </c>
      <c r="G1659" s="26" t="str">
        <f>IF($E1659="","",IFERROR(INDEX(科目表!$E$4:$E$81,MATCH($E1659,科目表!$B$4:$B$81,0)),""))</f>
        <v/>
      </c>
      <c r="H1659" s="27" t="str">
        <f>IF($E1659="","",N(INDEX(资金日记账!$N$4:$S$603,375,5)))</f>
        <v/>
      </c>
      <c r="I1659" s="27" t="str">
        <f>IF($E1659="","",N(INDEX(资金日记账!$N$4:$S$603,375,6)))</f>
        <v/>
      </c>
      <c r="J1659" s="26" t="str">
        <f>IF($E1659="","",INDEX(资金日记账!$E$4:$E$603,375))</f>
        <v/>
      </c>
      <c r="K1659" s="26" t="str">
        <f>IF($E1659="","",INDEX(资金日记账!$F$4:$F$603,375))</f>
        <v/>
      </c>
      <c r="L1659" s="32" t="str">
        <f>IF($E1659="","",INDEX(资金日记账!$X$4:$X$603,375))</f>
        <v/>
      </c>
      <c r="M1659" s="32"/>
      <c r="N1659" s="26" t="str">
        <f>IF($E1659="","",INDEX(资金日记账!$Y$4:$Y$603,375))</f>
        <v/>
      </c>
      <c r="O1659" s="26" t="str">
        <f t="shared" si="82"/>
        <v/>
      </c>
      <c r="P1659" s="10"/>
    </row>
    <row r="1660" ht="18" customHeight="1" spans="1:16">
      <c r="A1660" s="32" t="str">
        <f t="shared" si="81"/>
        <v/>
      </c>
      <c r="B1660" s="100" t="str">
        <f>IF($E1660="","",INDEX(资金日记账!$B$4:$B$603,376))</f>
        <v/>
      </c>
      <c r="C1660" s="26" t="str">
        <f>IF($E1660="","",IF(INDEX(资金日记账!$W$4:$W$603,376)="","记-"&amp;TEXT($B1660,"YYYYMM")&amp;"-资金",INDEX(资金日记账!$W$4:$W$603,376)))</f>
        <v/>
      </c>
      <c r="D1660" s="32" t="str">
        <f>IF($E1660="","",INDEX(资金日记账!$D$4:$D$603,376))</f>
        <v/>
      </c>
      <c r="E1660" s="26" t="str">
        <f>IF(INDEX(资金日记账!$N$4:$S$603,376,1)=0,"",INDEX(资金日记账!$N$4:$S$603,376,1))</f>
        <v/>
      </c>
      <c r="F1660" s="25" t="str">
        <f>IF($E1660="","",IFERROR(INDEX(科目表!$A$4:$A$81,MATCH($E1660,科目表!$B$4:$B$81,0)),""))</f>
        <v/>
      </c>
      <c r="G1660" s="26" t="str">
        <f>IF($E1660="","",IFERROR(INDEX(科目表!$E$4:$E$81,MATCH($E1660,科目表!$B$4:$B$81,0)),""))</f>
        <v/>
      </c>
      <c r="H1660" s="27" t="str">
        <f>IF($E1660="","",N(INDEX(资金日记账!$N$4:$S$603,376,2)))</f>
        <v/>
      </c>
      <c r="I1660" s="27" t="str">
        <f>IF($E1660="","",N(INDEX(资金日记账!$N$4:$S$603,376,3)))</f>
        <v/>
      </c>
      <c r="J1660" s="26" t="str">
        <f>IF($E1660="","",INDEX(资金日记账!$E$4:$E$603,376))</f>
        <v/>
      </c>
      <c r="K1660" s="26" t="str">
        <f>IF($E1660="","",INDEX(资金日记账!$F$4:$F$603,376))</f>
        <v/>
      </c>
      <c r="L1660" s="32" t="str">
        <f>IF($E1660="","",INDEX(资金日记账!$X$4:$X$603,376))</f>
        <v/>
      </c>
      <c r="M1660" s="32"/>
      <c r="N1660" s="26" t="str">
        <f>IF($E1660="","",INDEX(资金日记账!$Y$4:$Y$603,376))</f>
        <v/>
      </c>
      <c r="O1660" s="26" t="str">
        <f t="shared" si="82"/>
        <v/>
      </c>
      <c r="P1660" s="10"/>
    </row>
    <row r="1661" ht="18" customHeight="1" spans="1:16">
      <c r="A1661" s="32" t="str">
        <f t="shared" si="81"/>
        <v/>
      </c>
      <c r="B1661" s="100" t="str">
        <f>IF($E1661="","",INDEX(资金日记账!$B$4:$B$603,376))</f>
        <v/>
      </c>
      <c r="C1661" s="26" t="str">
        <f>IF($E1661="","",IF(INDEX(资金日记账!$W$4:$W$603,376)="","记-"&amp;TEXT($B1661,"YYYYMM")&amp;"-资金",INDEX(资金日记账!$W$4:$W$603,376)))</f>
        <v/>
      </c>
      <c r="D1661" s="32" t="str">
        <f>IF($E1661="","",INDEX(资金日记账!$D$4:$D$603,376))</f>
        <v/>
      </c>
      <c r="E1661" s="26" t="str">
        <f>IF(INDEX(资金日记账!$N$4:$S$603,376,4)=0,"",INDEX(资金日记账!$N$4:$S$603,376,4))</f>
        <v/>
      </c>
      <c r="F1661" s="25" t="str">
        <f>IF($E1661="","",IFERROR(INDEX(科目表!$A$4:$A$81,MATCH($E1661,科目表!$B$4:$B$81,0)),""))</f>
        <v/>
      </c>
      <c r="G1661" s="26" t="str">
        <f>IF($E1661="","",IFERROR(INDEX(科目表!$E$4:$E$81,MATCH($E1661,科目表!$B$4:$B$81,0)),""))</f>
        <v/>
      </c>
      <c r="H1661" s="27" t="str">
        <f>IF($E1661="","",N(INDEX(资金日记账!$N$4:$S$603,376,5)))</f>
        <v/>
      </c>
      <c r="I1661" s="27" t="str">
        <f>IF($E1661="","",N(INDEX(资金日记账!$N$4:$S$603,376,6)))</f>
        <v/>
      </c>
      <c r="J1661" s="26" t="str">
        <f>IF($E1661="","",INDEX(资金日记账!$E$4:$E$603,376))</f>
        <v/>
      </c>
      <c r="K1661" s="26" t="str">
        <f>IF($E1661="","",INDEX(资金日记账!$F$4:$F$603,376))</f>
        <v/>
      </c>
      <c r="L1661" s="32" t="str">
        <f>IF($E1661="","",INDEX(资金日记账!$X$4:$X$603,376))</f>
        <v/>
      </c>
      <c r="M1661" s="32"/>
      <c r="N1661" s="26" t="str">
        <f>IF($E1661="","",INDEX(资金日记账!$Y$4:$Y$603,376))</f>
        <v/>
      </c>
      <c r="O1661" s="26" t="str">
        <f t="shared" si="82"/>
        <v/>
      </c>
      <c r="P1661" s="10"/>
    </row>
    <row r="1662" ht="18" customHeight="1" spans="1:16">
      <c r="A1662" s="32" t="str">
        <f t="shared" si="81"/>
        <v/>
      </c>
      <c r="B1662" s="100" t="str">
        <f>IF($E1662="","",INDEX(资金日记账!$B$4:$B$603,377))</f>
        <v/>
      </c>
      <c r="C1662" s="26" t="str">
        <f>IF($E1662="","",IF(INDEX(资金日记账!$W$4:$W$603,377)="","记-"&amp;TEXT($B1662,"YYYYMM")&amp;"-资金",INDEX(资金日记账!$W$4:$W$603,377)))</f>
        <v/>
      </c>
      <c r="D1662" s="32" t="str">
        <f>IF($E1662="","",INDEX(资金日记账!$D$4:$D$603,377))</f>
        <v/>
      </c>
      <c r="E1662" s="26" t="str">
        <f>IF(INDEX(资金日记账!$N$4:$S$603,377,1)=0,"",INDEX(资金日记账!$N$4:$S$603,377,1))</f>
        <v/>
      </c>
      <c r="F1662" s="25" t="str">
        <f>IF($E1662="","",IFERROR(INDEX(科目表!$A$4:$A$81,MATCH($E1662,科目表!$B$4:$B$81,0)),""))</f>
        <v/>
      </c>
      <c r="G1662" s="26" t="str">
        <f>IF($E1662="","",IFERROR(INDEX(科目表!$E$4:$E$81,MATCH($E1662,科目表!$B$4:$B$81,0)),""))</f>
        <v/>
      </c>
      <c r="H1662" s="27" t="str">
        <f>IF($E1662="","",N(INDEX(资金日记账!$N$4:$S$603,377,2)))</f>
        <v/>
      </c>
      <c r="I1662" s="27" t="str">
        <f>IF($E1662="","",N(INDEX(资金日记账!$N$4:$S$603,377,3)))</f>
        <v/>
      </c>
      <c r="J1662" s="26" t="str">
        <f>IF($E1662="","",INDEX(资金日记账!$E$4:$E$603,377))</f>
        <v/>
      </c>
      <c r="K1662" s="26" t="str">
        <f>IF($E1662="","",INDEX(资金日记账!$F$4:$F$603,377))</f>
        <v/>
      </c>
      <c r="L1662" s="32" t="str">
        <f>IF($E1662="","",INDEX(资金日记账!$X$4:$X$603,377))</f>
        <v/>
      </c>
      <c r="M1662" s="32"/>
      <c r="N1662" s="26" t="str">
        <f>IF($E1662="","",INDEX(资金日记账!$Y$4:$Y$603,377))</f>
        <v/>
      </c>
      <c r="O1662" s="26" t="str">
        <f t="shared" si="82"/>
        <v/>
      </c>
      <c r="P1662" s="10"/>
    </row>
    <row r="1663" ht="18" customHeight="1" spans="1:16">
      <c r="A1663" s="32" t="str">
        <f t="shared" si="81"/>
        <v/>
      </c>
      <c r="B1663" s="100" t="str">
        <f>IF($E1663="","",INDEX(资金日记账!$B$4:$B$603,377))</f>
        <v/>
      </c>
      <c r="C1663" s="26" t="str">
        <f>IF($E1663="","",IF(INDEX(资金日记账!$W$4:$W$603,377)="","记-"&amp;TEXT($B1663,"YYYYMM")&amp;"-资金",INDEX(资金日记账!$W$4:$W$603,377)))</f>
        <v/>
      </c>
      <c r="D1663" s="32" t="str">
        <f>IF($E1663="","",INDEX(资金日记账!$D$4:$D$603,377))</f>
        <v/>
      </c>
      <c r="E1663" s="26" t="str">
        <f>IF(INDEX(资金日记账!$N$4:$S$603,377,4)=0,"",INDEX(资金日记账!$N$4:$S$603,377,4))</f>
        <v/>
      </c>
      <c r="F1663" s="25" t="str">
        <f>IF($E1663="","",IFERROR(INDEX(科目表!$A$4:$A$81,MATCH($E1663,科目表!$B$4:$B$81,0)),""))</f>
        <v/>
      </c>
      <c r="G1663" s="26" t="str">
        <f>IF($E1663="","",IFERROR(INDEX(科目表!$E$4:$E$81,MATCH($E1663,科目表!$B$4:$B$81,0)),""))</f>
        <v/>
      </c>
      <c r="H1663" s="27" t="str">
        <f>IF($E1663="","",N(INDEX(资金日记账!$N$4:$S$603,377,5)))</f>
        <v/>
      </c>
      <c r="I1663" s="27" t="str">
        <f>IF($E1663="","",N(INDEX(资金日记账!$N$4:$S$603,377,6)))</f>
        <v/>
      </c>
      <c r="J1663" s="26" t="str">
        <f>IF($E1663="","",INDEX(资金日记账!$E$4:$E$603,377))</f>
        <v/>
      </c>
      <c r="K1663" s="26" t="str">
        <f>IF($E1663="","",INDEX(资金日记账!$F$4:$F$603,377))</f>
        <v/>
      </c>
      <c r="L1663" s="32" t="str">
        <f>IF($E1663="","",INDEX(资金日记账!$X$4:$X$603,377))</f>
        <v/>
      </c>
      <c r="M1663" s="32"/>
      <c r="N1663" s="26" t="str">
        <f>IF($E1663="","",INDEX(资金日记账!$Y$4:$Y$603,377))</f>
        <v/>
      </c>
      <c r="O1663" s="26" t="str">
        <f t="shared" si="82"/>
        <v/>
      </c>
      <c r="P1663" s="10"/>
    </row>
    <row r="1664" ht="18" customHeight="1" spans="1:16">
      <c r="A1664" s="32" t="str">
        <f t="shared" si="81"/>
        <v/>
      </c>
      <c r="B1664" s="100" t="str">
        <f>IF($E1664="","",INDEX(资金日记账!$B$4:$B$603,378))</f>
        <v/>
      </c>
      <c r="C1664" s="26" t="str">
        <f>IF($E1664="","",IF(INDEX(资金日记账!$W$4:$W$603,378)="","记-"&amp;TEXT($B1664,"YYYYMM")&amp;"-资金",INDEX(资金日记账!$W$4:$W$603,378)))</f>
        <v/>
      </c>
      <c r="D1664" s="32" t="str">
        <f>IF($E1664="","",INDEX(资金日记账!$D$4:$D$603,378))</f>
        <v/>
      </c>
      <c r="E1664" s="26" t="str">
        <f>IF(INDEX(资金日记账!$N$4:$S$603,378,1)=0,"",INDEX(资金日记账!$N$4:$S$603,378,1))</f>
        <v/>
      </c>
      <c r="F1664" s="25" t="str">
        <f>IF($E1664="","",IFERROR(INDEX(科目表!$A$4:$A$81,MATCH($E1664,科目表!$B$4:$B$81,0)),""))</f>
        <v/>
      </c>
      <c r="G1664" s="26" t="str">
        <f>IF($E1664="","",IFERROR(INDEX(科目表!$E$4:$E$81,MATCH($E1664,科目表!$B$4:$B$81,0)),""))</f>
        <v/>
      </c>
      <c r="H1664" s="27" t="str">
        <f>IF($E1664="","",N(INDEX(资金日记账!$N$4:$S$603,378,2)))</f>
        <v/>
      </c>
      <c r="I1664" s="27" t="str">
        <f>IF($E1664="","",N(INDEX(资金日记账!$N$4:$S$603,378,3)))</f>
        <v/>
      </c>
      <c r="J1664" s="26" t="str">
        <f>IF($E1664="","",INDEX(资金日记账!$E$4:$E$603,378))</f>
        <v/>
      </c>
      <c r="K1664" s="26" t="str">
        <f>IF($E1664="","",INDEX(资金日记账!$F$4:$F$603,378))</f>
        <v/>
      </c>
      <c r="L1664" s="32" t="str">
        <f>IF($E1664="","",INDEX(资金日记账!$X$4:$X$603,378))</f>
        <v/>
      </c>
      <c r="M1664" s="32"/>
      <c r="N1664" s="26" t="str">
        <f>IF($E1664="","",INDEX(资金日记账!$Y$4:$Y$603,378))</f>
        <v/>
      </c>
      <c r="O1664" s="26" t="str">
        <f t="shared" si="82"/>
        <v/>
      </c>
      <c r="P1664" s="10"/>
    </row>
    <row r="1665" ht="18" customHeight="1" spans="1:16">
      <c r="A1665" s="32" t="str">
        <f t="shared" si="81"/>
        <v/>
      </c>
      <c r="B1665" s="100" t="str">
        <f>IF($E1665="","",INDEX(资金日记账!$B$4:$B$603,378))</f>
        <v/>
      </c>
      <c r="C1665" s="26" t="str">
        <f>IF($E1665="","",IF(INDEX(资金日记账!$W$4:$W$603,378)="","记-"&amp;TEXT($B1665,"YYYYMM")&amp;"-资金",INDEX(资金日记账!$W$4:$W$603,378)))</f>
        <v/>
      </c>
      <c r="D1665" s="32" t="str">
        <f>IF($E1665="","",INDEX(资金日记账!$D$4:$D$603,378))</f>
        <v/>
      </c>
      <c r="E1665" s="26" t="str">
        <f>IF(INDEX(资金日记账!$N$4:$S$603,378,4)=0,"",INDEX(资金日记账!$N$4:$S$603,378,4))</f>
        <v/>
      </c>
      <c r="F1665" s="25" t="str">
        <f>IF($E1665="","",IFERROR(INDEX(科目表!$A$4:$A$81,MATCH($E1665,科目表!$B$4:$B$81,0)),""))</f>
        <v/>
      </c>
      <c r="G1665" s="26" t="str">
        <f>IF($E1665="","",IFERROR(INDEX(科目表!$E$4:$E$81,MATCH($E1665,科目表!$B$4:$B$81,0)),""))</f>
        <v/>
      </c>
      <c r="H1665" s="27" t="str">
        <f>IF($E1665="","",N(INDEX(资金日记账!$N$4:$S$603,378,5)))</f>
        <v/>
      </c>
      <c r="I1665" s="27" t="str">
        <f>IF($E1665="","",N(INDEX(资金日记账!$N$4:$S$603,378,6)))</f>
        <v/>
      </c>
      <c r="J1665" s="26" t="str">
        <f>IF($E1665="","",INDEX(资金日记账!$E$4:$E$603,378))</f>
        <v/>
      </c>
      <c r="K1665" s="26" t="str">
        <f>IF($E1665="","",INDEX(资金日记账!$F$4:$F$603,378))</f>
        <v/>
      </c>
      <c r="L1665" s="32" t="str">
        <f>IF($E1665="","",INDEX(资金日记账!$X$4:$X$603,378))</f>
        <v/>
      </c>
      <c r="M1665" s="32"/>
      <c r="N1665" s="26" t="str">
        <f>IF($E1665="","",INDEX(资金日记账!$Y$4:$Y$603,378))</f>
        <v/>
      </c>
      <c r="O1665" s="26" t="str">
        <f t="shared" si="82"/>
        <v/>
      </c>
      <c r="P1665" s="10"/>
    </row>
    <row r="1666" ht="18" customHeight="1" spans="1:16">
      <c r="A1666" s="32" t="str">
        <f t="shared" si="81"/>
        <v/>
      </c>
      <c r="B1666" s="100" t="str">
        <f>IF($E1666="","",INDEX(资金日记账!$B$4:$B$603,379))</f>
        <v/>
      </c>
      <c r="C1666" s="26" t="str">
        <f>IF($E1666="","",IF(INDEX(资金日记账!$W$4:$W$603,379)="","记-"&amp;TEXT($B1666,"YYYYMM")&amp;"-资金",INDEX(资金日记账!$W$4:$W$603,379)))</f>
        <v/>
      </c>
      <c r="D1666" s="32" t="str">
        <f>IF($E1666="","",INDEX(资金日记账!$D$4:$D$603,379))</f>
        <v/>
      </c>
      <c r="E1666" s="26" t="str">
        <f>IF(INDEX(资金日记账!$N$4:$S$603,379,1)=0,"",INDEX(资金日记账!$N$4:$S$603,379,1))</f>
        <v/>
      </c>
      <c r="F1666" s="25" t="str">
        <f>IF($E1666="","",IFERROR(INDEX(科目表!$A$4:$A$81,MATCH($E1666,科目表!$B$4:$B$81,0)),""))</f>
        <v/>
      </c>
      <c r="G1666" s="26" t="str">
        <f>IF($E1666="","",IFERROR(INDEX(科目表!$E$4:$E$81,MATCH($E1666,科目表!$B$4:$B$81,0)),""))</f>
        <v/>
      </c>
      <c r="H1666" s="27" t="str">
        <f>IF($E1666="","",N(INDEX(资金日记账!$N$4:$S$603,379,2)))</f>
        <v/>
      </c>
      <c r="I1666" s="27" t="str">
        <f>IF($E1666="","",N(INDEX(资金日记账!$N$4:$S$603,379,3)))</f>
        <v/>
      </c>
      <c r="J1666" s="26" t="str">
        <f>IF($E1666="","",INDEX(资金日记账!$E$4:$E$603,379))</f>
        <v/>
      </c>
      <c r="K1666" s="26" t="str">
        <f>IF($E1666="","",INDEX(资金日记账!$F$4:$F$603,379))</f>
        <v/>
      </c>
      <c r="L1666" s="32" t="str">
        <f>IF($E1666="","",INDEX(资金日记账!$X$4:$X$603,379))</f>
        <v/>
      </c>
      <c r="M1666" s="32"/>
      <c r="N1666" s="26" t="str">
        <f>IF($E1666="","",INDEX(资金日记账!$Y$4:$Y$603,379))</f>
        <v/>
      </c>
      <c r="O1666" s="26" t="str">
        <f t="shared" si="82"/>
        <v/>
      </c>
      <c r="P1666" s="10"/>
    </row>
    <row r="1667" ht="18" customHeight="1" spans="1:16">
      <c r="A1667" s="32" t="str">
        <f t="shared" si="81"/>
        <v/>
      </c>
      <c r="B1667" s="100" t="str">
        <f>IF($E1667="","",INDEX(资金日记账!$B$4:$B$603,379))</f>
        <v/>
      </c>
      <c r="C1667" s="26" t="str">
        <f>IF($E1667="","",IF(INDEX(资金日记账!$W$4:$W$603,379)="","记-"&amp;TEXT($B1667,"YYYYMM")&amp;"-资金",INDEX(资金日记账!$W$4:$W$603,379)))</f>
        <v/>
      </c>
      <c r="D1667" s="32" t="str">
        <f>IF($E1667="","",INDEX(资金日记账!$D$4:$D$603,379))</f>
        <v/>
      </c>
      <c r="E1667" s="26" t="str">
        <f>IF(INDEX(资金日记账!$N$4:$S$603,379,4)=0,"",INDEX(资金日记账!$N$4:$S$603,379,4))</f>
        <v/>
      </c>
      <c r="F1667" s="25" t="str">
        <f>IF($E1667="","",IFERROR(INDEX(科目表!$A$4:$A$81,MATCH($E1667,科目表!$B$4:$B$81,0)),""))</f>
        <v/>
      </c>
      <c r="G1667" s="26" t="str">
        <f>IF($E1667="","",IFERROR(INDEX(科目表!$E$4:$E$81,MATCH($E1667,科目表!$B$4:$B$81,0)),""))</f>
        <v/>
      </c>
      <c r="H1667" s="27" t="str">
        <f>IF($E1667="","",N(INDEX(资金日记账!$N$4:$S$603,379,5)))</f>
        <v/>
      </c>
      <c r="I1667" s="27" t="str">
        <f>IF($E1667="","",N(INDEX(资金日记账!$N$4:$S$603,379,6)))</f>
        <v/>
      </c>
      <c r="J1667" s="26" t="str">
        <f>IF($E1667="","",INDEX(资金日记账!$E$4:$E$603,379))</f>
        <v/>
      </c>
      <c r="K1667" s="26" t="str">
        <f>IF($E1667="","",INDEX(资金日记账!$F$4:$F$603,379))</f>
        <v/>
      </c>
      <c r="L1667" s="32" t="str">
        <f>IF($E1667="","",INDEX(资金日记账!$X$4:$X$603,379))</f>
        <v/>
      </c>
      <c r="M1667" s="32"/>
      <c r="N1667" s="26" t="str">
        <f>IF($E1667="","",INDEX(资金日记账!$Y$4:$Y$603,379))</f>
        <v/>
      </c>
      <c r="O1667" s="26" t="str">
        <f t="shared" si="82"/>
        <v/>
      </c>
      <c r="P1667" s="10"/>
    </row>
    <row r="1668" ht="18" customHeight="1" spans="1:16">
      <c r="A1668" s="32" t="str">
        <f t="shared" ref="A1668:A1731" si="83">IF($E1668="","",ROW()-3)</f>
        <v/>
      </c>
      <c r="B1668" s="100" t="str">
        <f>IF($E1668="","",INDEX(资金日记账!$B$4:$B$603,380))</f>
        <v/>
      </c>
      <c r="C1668" s="26" t="str">
        <f>IF($E1668="","",IF(INDEX(资金日记账!$W$4:$W$603,380)="","记-"&amp;TEXT($B1668,"YYYYMM")&amp;"-资金",INDEX(资金日记账!$W$4:$W$603,380)))</f>
        <v/>
      </c>
      <c r="D1668" s="32" t="str">
        <f>IF($E1668="","",INDEX(资金日记账!$D$4:$D$603,380))</f>
        <v/>
      </c>
      <c r="E1668" s="26" t="str">
        <f>IF(INDEX(资金日记账!$N$4:$S$603,380,1)=0,"",INDEX(资金日记账!$N$4:$S$603,380,1))</f>
        <v/>
      </c>
      <c r="F1668" s="25" t="str">
        <f>IF($E1668="","",IFERROR(INDEX(科目表!$A$4:$A$81,MATCH($E1668,科目表!$B$4:$B$81,0)),""))</f>
        <v/>
      </c>
      <c r="G1668" s="26" t="str">
        <f>IF($E1668="","",IFERROR(INDEX(科目表!$E$4:$E$81,MATCH($E1668,科目表!$B$4:$B$81,0)),""))</f>
        <v/>
      </c>
      <c r="H1668" s="27" t="str">
        <f>IF($E1668="","",N(INDEX(资金日记账!$N$4:$S$603,380,2)))</f>
        <v/>
      </c>
      <c r="I1668" s="27" t="str">
        <f>IF($E1668="","",N(INDEX(资金日记账!$N$4:$S$603,380,3)))</f>
        <v/>
      </c>
      <c r="J1668" s="26" t="str">
        <f>IF($E1668="","",INDEX(资金日记账!$E$4:$E$603,380))</f>
        <v/>
      </c>
      <c r="K1668" s="26" t="str">
        <f>IF($E1668="","",INDEX(资金日记账!$F$4:$F$603,380))</f>
        <v/>
      </c>
      <c r="L1668" s="32" t="str">
        <f>IF($E1668="","",INDEX(资金日记账!$X$4:$X$603,380))</f>
        <v/>
      </c>
      <c r="M1668" s="32"/>
      <c r="N1668" s="26" t="str">
        <f>IF($E1668="","",INDEX(资金日记账!$Y$4:$Y$603,380))</f>
        <v/>
      </c>
      <c r="O1668" s="26" t="str">
        <f t="shared" si="82"/>
        <v/>
      </c>
      <c r="P1668" s="10"/>
    </row>
    <row r="1669" ht="18" customHeight="1" spans="1:16">
      <c r="A1669" s="32" t="str">
        <f t="shared" si="83"/>
        <v/>
      </c>
      <c r="B1669" s="100" t="str">
        <f>IF($E1669="","",INDEX(资金日记账!$B$4:$B$603,380))</f>
        <v/>
      </c>
      <c r="C1669" s="26" t="str">
        <f>IF($E1669="","",IF(INDEX(资金日记账!$W$4:$W$603,380)="","记-"&amp;TEXT($B1669,"YYYYMM")&amp;"-资金",INDEX(资金日记账!$W$4:$W$603,380)))</f>
        <v/>
      </c>
      <c r="D1669" s="32" t="str">
        <f>IF($E1669="","",INDEX(资金日记账!$D$4:$D$603,380))</f>
        <v/>
      </c>
      <c r="E1669" s="26" t="str">
        <f>IF(INDEX(资金日记账!$N$4:$S$603,380,4)=0,"",INDEX(资金日记账!$N$4:$S$603,380,4))</f>
        <v/>
      </c>
      <c r="F1669" s="25" t="str">
        <f>IF($E1669="","",IFERROR(INDEX(科目表!$A$4:$A$81,MATCH($E1669,科目表!$B$4:$B$81,0)),""))</f>
        <v/>
      </c>
      <c r="G1669" s="26" t="str">
        <f>IF($E1669="","",IFERROR(INDEX(科目表!$E$4:$E$81,MATCH($E1669,科目表!$B$4:$B$81,0)),""))</f>
        <v/>
      </c>
      <c r="H1669" s="27" t="str">
        <f>IF($E1669="","",N(INDEX(资金日记账!$N$4:$S$603,380,5)))</f>
        <v/>
      </c>
      <c r="I1669" s="27" t="str">
        <f>IF($E1669="","",N(INDEX(资金日记账!$N$4:$S$603,380,6)))</f>
        <v/>
      </c>
      <c r="J1669" s="26" t="str">
        <f>IF($E1669="","",INDEX(资金日记账!$E$4:$E$603,380))</f>
        <v/>
      </c>
      <c r="K1669" s="26" t="str">
        <f>IF($E1669="","",INDEX(资金日记账!$F$4:$F$603,380))</f>
        <v/>
      </c>
      <c r="L1669" s="32" t="str">
        <f>IF($E1669="","",INDEX(资金日记账!$X$4:$X$603,380))</f>
        <v/>
      </c>
      <c r="M1669" s="32"/>
      <c r="N1669" s="26" t="str">
        <f>IF($E1669="","",INDEX(资金日记账!$Y$4:$Y$603,380))</f>
        <v/>
      </c>
      <c r="O1669" s="26" t="str">
        <f t="shared" si="82"/>
        <v/>
      </c>
      <c r="P1669" s="10"/>
    </row>
    <row r="1670" ht="18" customHeight="1" spans="1:16">
      <c r="A1670" s="32" t="str">
        <f t="shared" si="83"/>
        <v/>
      </c>
      <c r="B1670" s="100" t="str">
        <f>IF($E1670="","",INDEX(资金日记账!$B$4:$B$603,381))</f>
        <v/>
      </c>
      <c r="C1670" s="26" t="str">
        <f>IF($E1670="","",IF(INDEX(资金日记账!$W$4:$W$603,381)="","记-"&amp;TEXT($B1670,"YYYYMM")&amp;"-资金",INDEX(资金日记账!$W$4:$W$603,381)))</f>
        <v/>
      </c>
      <c r="D1670" s="32" t="str">
        <f>IF($E1670="","",INDEX(资金日记账!$D$4:$D$603,381))</f>
        <v/>
      </c>
      <c r="E1670" s="26" t="str">
        <f>IF(INDEX(资金日记账!$N$4:$S$603,381,1)=0,"",INDEX(资金日记账!$N$4:$S$603,381,1))</f>
        <v/>
      </c>
      <c r="F1670" s="25" t="str">
        <f>IF($E1670="","",IFERROR(INDEX(科目表!$A$4:$A$81,MATCH($E1670,科目表!$B$4:$B$81,0)),""))</f>
        <v/>
      </c>
      <c r="G1670" s="26" t="str">
        <f>IF($E1670="","",IFERROR(INDEX(科目表!$E$4:$E$81,MATCH($E1670,科目表!$B$4:$B$81,0)),""))</f>
        <v/>
      </c>
      <c r="H1670" s="27" t="str">
        <f>IF($E1670="","",N(INDEX(资金日记账!$N$4:$S$603,381,2)))</f>
        <v/>
      </c>
      <c r="I1670" s="27" t="str">
        <f>IF($E1670="","",N(INDEX(资金日记账!$N$4:$S$603,381,3)))</f>
        <v/>
      </c>
      <c r="J1670" s="26" t="str">
        <f>IF($E1670="","",INDEX(资金日记账!$E$4:$E$603,381))</f>
        <v/>
      </c>
      <c r="K1670" s="26" t="str">
        <f>IF($E1670="","",INDEX(资金日记账!$F$4:$F$603,381))</f>
        <v/>
      </c>
      <c r="L1670" s="32" t="str">
        <f>IF($E1670="","",INDEX(资金日记账!$X$4:$X$603,381))</f>
        <v/>
      </c>
      <c r="M1670" s="32"/>
      <c r="N1670" s="26" t="str">
        <f>IF($E1670="","",INDEX(资金日记账!$Y$4:$Y$603,381))</f>
        <v/>
      </c>
      <c r="O1670" s="26" t="str">
        <f t="shared" si="82"/>
        <v/>
      </c>
      <c r="P1670" s="10"/>
    </row>
    <row r="1671" ht="18" customHeight="1" spans="1:16">
      <c r="A1671" s="32" t="str">
        <f t="shared" si="83"/>
        <v/>
      </c>
      <c r="B1671" s="100" t="str">
        <f>IF($E1671="","",INDEX(资金日记账!$B$4:$B$603,381))</f>
        <v/>
      </c>
      <c r="C1671" s="26" t="str">
        <f>IF($E1671="","",IF(INDEX(资金日记账!$W$4:$W$603,381)="","记-"&amp;TEXT($B1671,"YYYYMM")&amp;"-资金",INDEX(资金日记账!$W$4:$W$603,381)))</f>
        <v/>
      </c>
      <c r="D1671" s="32" t="str">
        <f>IF($E1671="","",INDEX(资金日记账!$D$4:$D$603,381))</f>
        <v/>
      </c>
      <c r="E1671" s="26" t="str">
        <f>IF(INDEX(资金日记账!$N$4:$S$603,381,4)=0,"",INDEX(资金日记账!$N$4:$S$603,381,4))</f>
        <v/>
      </c>
      <c r="F1671" s="25" t="str">
        <f>IF($E1671="","",IFERROR(INDEX(科目表!$A$4:$A$81,MATCH($E1671,科目表!$B$4:$B$81,0)),""))</f>
        <v/>
      </c>
      <c r="G1671" s="26" t="str">
        <f>IF($E1671="","",IFERROR(INDEX(科目表!$E$4:$E$81,MATCH($E1671,科目表!$B$4:$B$81,0)),""))</f>
        <v/>
      </c>
      <c r="H1671" s="27" t="str">
        <f>IF($E1671="","",N(INDEX(资金日记账!$N$4:$S$603,381,5)))</f>
        <v/>
      </c>
      <c r="I1671" s="27" t="str">
        <f>IF($E1671="","",N(INDEX(资金日记账!$N$4:$S$603,381,6)))</f>
        <v/>
      </c>
      <c r="J1671" s="26" t="str">
        <f>IF($E1671="","",INDEX(资金日记账!$E$4:$E$603,381))</f>
        <v/>
      </c>
      <c r="K1671" s="26" t="str">
        <f>IF($E1671="","",INDEX(资金日记账!$F$4:$F$603,381))</f>
        <v/>
      </c>
      <c r="L1671" s="32" t="str">
        <f>IF($E1671="","",INDEX(资金日记账!$X$4:$X$603,381))</f>
        <v/>
      </c>
      <c r="M1671" s="32"/>
      <c r="N1671" s="26" t="str">
        <f>IF($E1671="","",INDEX(资金日记账!$Y$4:$Y$603,381))</f>
        <v/>
      </c>
      <c r="O1671" s="26" t="str">
        <f t="shared" si="82"/>
        <v/>
      </c>
      <c r="P1671" s="10"/>
    </row>
    <row r="1672" ht="18" customHeight="1" spans="1:16">
      <c r="A1672" s="32" t="str">
        <f t="shared" si="83"/>
        <v/>
      </c>
      <c r="B1672" s="100" t="str">
        <f>IF($E1672="","",INDEX(资金日记账!$B$4:$B$603,382))</f>
        <v/>
      </c>
      <c r="C1672" s="26" t="str">
        <f>IF($E1672="","",IF(INDEX(资金日记账!$W$4:$W$603,382)="","记-"&amp;TEXT($B1672,"YYYYMM")&amp;"-资金",INDEX(资金日记账!$W$4:$W$603,382)))</f>
        <v/>
      </c>
      <c r="D1672" s="32" t="str">
        <f>IF($E1672="","",INDEX(资金日记账!$D$4:$D$603,382))</f>
        <v/>
      </c>
      <c r="E1672" s="26" t="str">
        <f>IF(INDEX(资金日记账!$N$4:$S$603,382,1)=0,"",INDEX(资金日记账!$N$4:$S$603,382,1))</f>
        <v/>
      </c>
      <c r="F1672" s="25" t="str">
        <f>IF($E1672="","",IFERROR(INDEX(科目表!$A$4:$A$81,MATCH($E1672,科目表!$B$4:$B$81,0)),""))</f>
        <v/>
      </c>
      <c r="G1672" s="26" t="str">
        <f>IF($E1672="","",IFERROR(INDEX(科目表!$E$4:$E$81,MATCH($E1672,科目表!$B$4:$B$81,0)),""))</f>
        <v/>
      </c>
      <c r="H1672" s="27" t="str">
        <f>IF($E1672="","",N(INDEX(资金日记账!$N$4:$S$603,382,2)))</f>
        <v/>
      </c>
      <c r="I1672" s="27" t="str">
        <f>IF($E1672="","",N(INDEX(资金日记账!$N$4:$S$603,382,3)))</f>
        <v/>
      </c>
      <c r="J1672" s="26" t="str">
        <f>IF($E1672="","",INDEX(资金日记账!$E$4:$E$603,382))</f>
        <v/>
      </c>
      <c r="K1672" s="26" t="str">
        <f>IF($E1672="","",INDEX(资金日记账!$F$4:$F$603,382))</f>
        <v/>
      </c>
      <c r="L1672" s="32" t="str">
        <f>IF($E1672="","",INDEX(资金日记账!$X$4:$X$603,382))</f>
        <v/>
      </c>
      <c r="M1672" s="32"/>
      <c r="N1672" s="26" t="str">
        <f>IF($E1672="","",INDEX(资金日记账!$Y$4:$Y$603,382))</f>
        <v/>
      </c>
      <c r="O1672" s="26" t="str">
        <f t="shared" si="82"/>
        <v/>
      </c>
      <c r="P1672" s="10"/>
    </row>
    <row r="1673" ht="18" customHeight="1" spans="1:16">
      <c r="A1673" s="32" t="str">
        <f t="shared" si="83"/>
        <v/>
      </c>
      <c r="B1673" s="100" t="str">
        <f>IF($E1673="","",INDEX(资金日记账!$B$4:$B$603,382))</f>
        <v/>
      </c>
      <c r="C1673" s="26" t="str">
        <f>IF($E1673="","",IF(INDEX(资金日记账!$W$4:$W$603,382)="","记-"&amp;TEXT($B1673,"YYYYMM")&amp;"-资金",INDEX(资金日记账!$W$4:$W$603,382)))</f>
        <v/>
      </c>
      <c r="D1673" s="32" t="str">
        <f>IF($E1673="","",INDEX(资金日记账!$D$4:$D$603,382))</f>
        <v/>
      </c>
      <c r="E1673" s="26" t="str">
        <f>IF(INDEX(资金日记账!$N$4:$S$603,382,4)=0,"",INDEX(资金日记账!$N$4:$S$603,382,4))</f>
        <v/>
      </c>
      <c r="F1673" s="25" t="str">
        <f>IF($E1673="","",IFERROR(INDEX(科目表!$A$4:$A$81,MATCH($E1673,科目表!$B$4:$B$81,0)),""))</f>
        <v/>
      </c>
      <c r="G1673" s="26" t="str">
        <f>IF($E1673="","",IFERROR(INDEX(科目表!$E$4:$E$81,MATCH($E1673,科目表!$B$4:$B$81,0)),""))</f>
        <v/>
      </c>
      <c r="H1673" s="27" t="str">
        <f>IF($E1673="","",N(INDEX(资金日记账!$N$4:$S$603,382,5)))</f>
        <v/>
      </c>
      <c r="I1673" s="27" t="str">
        <f>IF($E1673="","",N(INDEX(资金日记账!$N$4:$S$603,382,6)))</f>
        <v/>
      </c>
      <c r="J1673" s="26" t="str">
        <f>IF($E1673="","",INDEX(资金日记账!$E$4:$E$603,382))</f>
        <v/>
      </c>
      <c r="K1673" s="26" t="str">
        <f>IF($E1673="","",INDEX(资金日记账!$F$4:$F$603,382))</f>
        <v/>
      </c>
      <c r="L1673" s="32" t="str">
        <f>IF($E1673="","",INDEX(资金日记账!$X$4:$X$603,382))</f>
        <v/>
      </c>
      <c r="M1673" s="32"/>
      <c r="N1673" s="26" t="str">
        <f>IF($E1673="","",INDEX(资金日记账!$Y$4:$Y$603,382))</f>
        <v/>
      </c>
      <c r="O1673" s="26" t="str">
        <f t="shared" si="82"/>
        <v/>
      </c>
      <c r="P1673" s="10"/>
    </row>
    <row r="1674" ht="18" customHeight="1" spans="1:16">
      <c r="A1674" s="32" t="str">
        <f t="shared" si="83"/>
        <v/>
      </c>
      <c r="B1674" s="100" t="str">
        <f>IF($E1674="","",INDEX(资金日记账!$B$4:$B$603,383))</f>
        <v/>
      </c>
      <c r="C1674" s="26" t="str">
        <f>IF($E1674="","",IF(INDEX(资金日记账!$W$4:$W$603,383)="","记-"&amp;TEXT($B1674,"YYYYMM")&amp;"-资金",INDEX(资金日记账!$W$4:$W$603,383)))</f>
        <v/>
      </c>
      <c r="D1674" s="32" t="str">
        <f>IF($E1674="","",INDEX(资金日记账!$D$4:$D$603,383))</f>
        <v/>
      </c>
      <c r="E1674" s="26" t="str">
        <f>IF(INDEX(资金日记账!$N$4:$S$603,383,1)=0,"",INDEX(资金日记账!$N$4:$S$603,383,1))</f>
        <v/>
      </c>
      <c r="F1674" s="25" t="str">
        <f>IF($E1674="","",IFERROR(INDEX(科目表!$A$4:$A$81,MATCH($E1674,科目表!$B$4:$B$81,0)),""))</f>
        <v/>
      </c>
      <c r="G1674" s="26" t="str">
        <f>IF($E1674="","",IFERROR(INDEX(科目表!$E$4:$E$81,MATCH($E1674,科目表!$B$4:$B$81,0)),""))</f>
        <v/>
      </c>
      <c r="H1674" s="27" t="str">
        <f>IF($E1674="","",N(INDEX(资金日记账!$N$4:$S$603,383,2)))</f>
        <v/>
      </c>
      <c r="I1674" s="27" t="str">
        <f>IF($E1674="","",N(INDEX(资金日记账!$N$4:$S$603,383,3)))</f>
        <v/>
      </c>
      <c r="J1674" s="26" t="str">
        <f>IF($E1674="","",INDEX(资金日记账!$E$4:$E$603,383))</f>
        <v/>
      </c>
      <c r="K1674" s="26" t="str">
        <f>IF($E1674="","",INDEX(资金日记账!$F$4:$F$603,383))</f>
        <v/>
      </c>
      <c r="L1674" s="32" t="str">
        <f>IF($E1674="","",INDEX(资金日记账!$X$4:$X$603,383))</f>
        <v/>
      </c>
      <c r="M1674" s="32"/>
      <c r="N1674" s="26" t="str">
        <f>IF($E1674="","",INDEX(资金日记账!$Y$4:$Y$603,383))</f>
        <v/>
      </c>
      <c r="O1674" s="26" t="str">
        <f t="shared" si="82"/>
        <v/>
      </c>
      <c r="P1674" s="10"/>
    </row>
    <row r="1675" ht="18" customHeight="1" spans="1:16">
      <c r="A1675" s="32" t="str">
        <f t="shared" si="83"/>
        <v/>
      </c>
      <c r="B1675" s="100" t="str">
        <f>IF($E1675="","",INDEX(资金日记账!$B$4:$B$603,383))</f>
        <v/>
      </c>
      <c r="C1675" s="26" t="str">
        <f>IF($E1675="","",IF(INDEX(资金日记账!$W$4:$W$603,383)="","记-"&amp;TEXT($B1675,"YYYYMM")&amp;"-资金",INDEX(资金日记账!$W$4:$W$603,383)))</f>
        <v/>
      </c>
      <c r="D1675" s="32" t="str">
        <f>IF($E1675="","",INDEX(资金日记账!$D$4:$D$603,383))</f>
        <v/>
      </c>
      <c r="E1675" s="26" t="str">
        <f>IF(INDEX(资金日记账!$N$4:$S$603,383,4)=0,"",INDEX(资金日记账!$N$4:$S$603,383,4))</f>
        <v/>
      </c>
      <c r="F1675" s="25" t="str">
        <f>IF($E1675="","",IFERROR(INDEX(科目表!$A$4:$A$81,MATCH($E1675,科目表!$B$4:$B$81,0)),""))</f>
        <v/>
      </c>
      <c r="G1675" s="26" t="str">
        <f>IF($E1675="","",IFERROR(INDEX(科目表!$E$4:$E$81,MATCH($E1675,科目表!$B$4:$B$81,0)),""))</f>
        <v/>
      </c>
      <c r="H1675" s="27" t="str">
        <f>IF($E1675="","",N(INDEX(资金日记账!$N$4:$S$603,383,5)))</f>
        <v/>
      </c>
      <c r="I1675" s="27" t="str">
        <f>IF($E1675="","",N(INDEX(资金日记账!$N$4:$S$603,383,6)))</f>
        <v/>
      </c>
      <c r="J1675" s="26" t="str">
        <f>IF($E1675="","",INDEX(资金日记账!$E$4:$E$603,383))</f>
        <v/>
      </c>
      <c r="K1675" s="26" t="str">
        <f>IF($E1675="","",INDEX(资金日记账!$F$4:$F$603,383))</f>
        <v/>
      </c>
      <c r="L1675" s="32" t="str">
        <f>IF($E1675="","",INDEX(资金日记账!$X$4:$X$603,383))</f>
        <v/>
      </c>
      <c r="M1675" s="32"/>
      <c r="N1675" s="26" t="str">
        <f>IF($E1675="","",INDEX(资金日记账!$Y$4:$Y$603,383))</f>
        <v/>
      </c>
      <c r="O1675" s="26" t="str">
        <f t="shared" si="82"/>
        <v/>
      </c>
      <c r="P1675" s="10"/>
    </row>
    <row r="1676" ht="18" customHeight="1" spans="1:16">
      <c r="A1676" s="32" t="str">
        <f t="shared" si="83"/>
        <v/>
      </c>
      <c r="B1676" s="100" t="str">
        <f>IF($E1676="","",INDEX(资金日记账!$B$4:$B$603,384))</f>
        <v/>
      </c>
      <c r="C1676" s="26" t="str">
        <f>IF($E1676="","",IF(INDEX(资金日记账!$W$4:$W$603,384)="","记-"&amp;TEXT($B1676,"YYYYMM")&amp;"-资金",INDEX(资金日记账!$W$4:$W$603,384)))</f>
        <v/>
      </c>
      <c r="D1676" s="32" t="str">
        <f>IF($E1676="","",INDEX(资金日记账!$D$4:$D$603,384))</f>
        <v/>
      </c>
      <c r="E1676" s="26" t="str">
        <f>IF(INDEX(资金日记账!$N$4:$S$603,384,1)=0,"",INDEX(资金日记账!$N$4:$S$603,384,1))</f>
        <v/>
      </c>
      <c r="F1676" s="25" t="str">
        <f>IF($E1676="","",IFERROR(INDEX(科目表!$A$4:$A$81,MATCH($E1676,科目表!$B$4:$B$81,0)),""))</f>
        <v/>
      </c>
      <c r="G1676" s="26" t="str">
        <f>IF($E1676="","",IFERROR(INDEX(科目表!$E$4:$E$81,MATCH($E1676,科目表!$B$4:$B$81,0)),""))</f>
        <v/>
      </c>
      <c r="H1676" s="27" t="str">
        <f>IF($E1676="","",N(INDEX(资金日记账!$N$4:$S$603,384,2)))</f>
        <v/>
      </c>
      <c r="I1676" s="27" t="str">
        <f>IF($E1676="","",N(INDEX(资金日记账!$N$4:$S$603,384,3)))</f>
        <v/>
      </c>
      <c r="J1676" s="26" t="str">
        <f>IF($E1676="","",INDEX(资金日记账!$E$4:$E$603,384))</f>
        <v/>
      </c>
      <c r="K1676" s="26" t="str">
        <f>IF($E1676="","",INDEX(资金日记账!$F$4:$F$603,384))</f>
        <v/>
      </c>
      <c r="L1676" s="32" t="str">
        <f>IF($E1676="","",INDEX(资金日记账!$X$4:$X$603,384))</f>
        <v/>
      </c>
      <c r="M1676" s="32"/>
      <c r="N1676" s="26" t="str">
        <f>IF($E1676="","",INDEX(资金日记账!$Y$4:$Y$603,384))</f>
        <v/>
      </c>
      <c r="O1676" s="26" t="str">
        <f t="shared" si="82"/>
        <v/>
      </c>
      <c r="P1676" s="10"/>
    </row>
    <row r="1677" ht="18" customHeight="1" spans="1:16">
      <c r="A1677" s="32" t="str">
        <f t="shared" si="83"/>
        <v/>
      </c>
      <c r="B1677" s="100" t="str">
        <f>IF($E1677="","",INDEX(资金日记账!$B$4:$B$603,384))</f>
        <v/>
      </c>
      <c r="C1677" s="26" t="str">
        <f>IF($E1677="","",IF(INDEX(资金日记账!$W$4:$W$603,384)="","记-"&amp;TEXT($B1677,"YYYYMM")&amp;"-资金",INDEX(资金日记账!$W$4:$W$603,384)))</f>
        <v/>
      </c>
      <c r="D1677" s="32" t="str">
        <f>IF($E1677="","",INDEX(资金日记账!$D$4:$D$603,384))</f>
        <v/>
      </c>
      <c r="E1677" s="26" t="str">
        <f>IF(INDEX(资金日记账!$N$4:$S$603,384,4)=0,"",INDEX(资金日记账!$N$4:$S$603,384,4))</f>
        <v/>
      </c>
      <c r="F1677" s="25" t="str">
        <f>IF($E1677="","",IFERROR(INDEX(科目表!$A$4:$A$81,MATCH($E1677,科目表!$B$4:$B$81,0)),""))</f>
        <v/>
      </c>
      <c r="G1677" s="26" t="str">
        <f>IF($E1677="","",IFERROR(INDEX(科目表!$E$4:$E$81,MATCH($E1677,科目表!$B$4:$B$81,0)),""))</f>
        <v/>
      </c>
      <c r="H1677" s="27" t="str">
        <f>IF($E1677="","",N(INDEX(资金日记账!$N$4:$S$603,384,5)))</f>
        <v/>
      </c>
      <c r="I1677" s="27" t="str">
        <f>IF($E1677="","",N(INDEX(资金日记账!$N$4:$S$603,384,6)))</f>
        <v/>
      </c>
      <c r="J1677" s="26" t="str">
        <f>IF($E1677="","",INDEX(资金日记账!$E$4:$E$603,384))</f>
        <v/>
      </c>
      <c r="K1677" s="26" t="str">
        <f>IF($E1677="","",INDEX(资金日记账!$F$4:$F$603,384))</f>
        <v/>
      </c>
      <c r="L1677" s="32" t="str">
        <f>IF($E1677="","",INDEX(资金日记账!$X$4:$X$603,384))</f>
        <v/>
      </c>
      <c r="M1677" s="32"/>
      <c r="N1677" s="26" t="str">
        <f>IF($E1677="","",INDEX(资金日记账!$Y$4:$Y$603,384))</f>
        <v/>
      </c>
      <c r="O1677" s="26" t="str">
        <f t="shared" si="82"/>
        <v/>
      </c>
      <c r="P1677" s="10"/>
    </row>
    <row r="1678" ht="18" customHeight="1" spans="1:16">
      <c r="A1678" s="32" t="str">
        <f t="shared" si="83"/>
        <v/>
      </c>
      <c r="B1678" s="100" t="str">
        <f>IF($E1678="","",INDEX(资金日记账!$B$4:$B$603,385))</f>
        <v/>
      </c>
      <c r="C1678" s="26" t="str">
        <f>IF($E1678="","",IF(INDEX(资金日记账!$W$4:$W$603,385)="","记-"&amp;TEXT($B1678,"YYYYMM")&amp;"-资金",INDEX(资金日记账!$W$4:$W$603,385)))</f>
        <v/>
      </c>
      <c r="D1678" s="32" t="str">
        <f>IF($E1678="","",INDEX(资金日记账!$D$4:$D$603,385))</f>
        <v/>
      </c>
      <c r="E1678" s="26" t="str">
        <f>IF(INDEX(资金日记账!$N$4:$S$603,385,1)=0,"",INDEX(资金日记账!$N$4:$S$603,385,1))</f>
        <v/>
      </c>
      <c r="F1678" s="25" t="str">
        <f>IF($E1678="","",IFERROR(INDEX(科目表!$A$4:$A$81,MATCH($E1678,科目表!$B$4:$B$81,0)),""))</f>
        <v/>
      </c>
      <c r="G1678" s="26" t="str">
        <f>IF($E1678="","",IFERROR(INDEX(科目表!$E$4:$E$81,MATCH($E1678,科目表!$B$4:$B$81,0)),""))</f>
        <v/>
      </c>
      <c r="H1678" s="27" t="str">
        <f>IF($E1678="","",N(INDEX(资金日记账!$N$4:$S$603,385,2)))</f>
        <v/>
      </c>
      <c r="I1678" s="27" t="str">
        <f>IF($E1678="","",N(INDEX(资金日记账!$N$4:$S$603,385,3)))</f>
        <v/>
      </c>
      <c r="J1678" s="26" t="str">
        <f>IF($E1678="","",INDEX(资金日记账!$E$4:$E$603,385))</f>
        <v/>
      </c>
      <c r="K1678" s="26" t="str">
        <f>IF($E1678="","",INDEX(资金日记账!$F$4:$F$603,385))</f>
        <v/>
      </c>
      <c r="L1678" s="32" t="str">
        <f>IF($E1678="","",INDEX(资金日记账!$X$4:$X$603,385))</f>
        <v/>
      </c>
      <c r="M1678" s="32"/>
      <c r="N1678" s="26" t="str">
        <f>IF($E1678="","",INDEX(资金日记账!$Y$4:$Y$603,385))</f>
        <v/>
      </c>
      <c r="O1678" s="26" t="str">
        <f t="shared" ref="O1678:O1741" si="84">IF($E1678="","","自动B")</f>
        <v/>
      </c>
      <c r="P1678" s="10"/>
    </row>
    <row r="1679" ht="18" customHeight="1" spans="1:16">
      <c r="A1679" s="32" t="str">
        <f t="shared" si="83"/>
        <v/>
      </c>
      <c r="B1679" s="100" t="str">
        <f>IF($E1679="","",INDEX(资金日记账!$B$4:$B$603,385))</f>
        <v/>
      </c>
      <c r="C1679" s="26" t="str">
        <f>IF($E1679="","",IF(INDEX(资金日记账!$W$4:$W$603,385)="","记-"&amp;TEXT($B1679,"YYYYMM")&amp;"-资金",INDEX(资金日记账!$W$4:$W$603,385)))</f>
        <v/>
      </c>
      <c r="D1679" s="32" t="str">
        <f>IF($E1679="","",INDEX(资金日记账!$D$4:$D$603,385))</f>
        <v/>
      </c>
      <c r="E1679" s="26" t="str">
        <f>IF(INDEX(资金日记账!$N$4:$S$603,385,4)=0,"",INDEX(资金日记账!$N$4:$S$603,385,4))</f>
        <v/>
      </c>
      <c r="F1679" s="25" t="str">
        <f>IF($E1679="","",IFERROR(INDEX(科目表!$A$4:$A$81,MATCH($E1679,科目表!$B$4:$B$81,0)),""))</f>
        <v/>
      </c>
      <c r="G1679" s="26" t="str">
        <f>IF($E1679="","",IFERROR(INDEX(科目表!$E$4:$E$81,MATCH($E1679,科目表!$B$4:$B$81,0)),""))</f>
        <v/>
      </c>
      <c r="H1679" s="27" t="str">
        <f>IF($E1679="","",N(INDEX(资金日记账!$N$4:$S$603,385,5)))</f>
        <v/>
      </c>
      <c r="I1679" s="27" t="str">
        <f>IF($E1679="","",N(INDEX(资金日记账!$N$4:$S$603,385,6)))</f>
        <v/>
      </c>
      <c r="J1679" s="26" t="str">
        <f>IF($E1679="","",INDEX(资金日记账!$E$4:$E$603,385))</f>
        <v/>
      </c>
      <c r="K1679" s="26" t="str">
        <f>IF($E1679="","",INDEX(资金日记账!$F$4:$F$603,385))</f>
        <v/>
      </c>
      <c r="L1679" s="32" t="str">
        <f>IF($E1679="","",INDEX(资金日记账!$X$4:$X$603,385))</f>
        <v/>
      </c>
      <c r="M1679" s="32"/>
      <c r="N1679" s="26" t="str">
        <f>IF($E1679="","",INDEX(资金日记账!$Y$4:$Y$603,385))</f>
        <v/>
      </c>
      <c r="O1679" s="26" t="str">
        <f t="shared" si="84"/>
        <v/>
      </c>
      <c r="P1679" s="10"/>
    </row>
    <row r="1680" ht="18" customHeight="1" spans="1:16">
      <c r="A1680" s="32" t="str">
        <f t="shared" si="83"/>
        <v/>
      </c>
      <c r="B1680" s="100" t="str">
        <f>IF($E1680="","",INDEX(资金日记账!$B$4:$B$603,386))</f>
        <v/>
      </c>
      <c r="C1680" s="26" t="str">
        <f>IF($E1680="","",IF(INDEX(资金日记账!$W$4:$W$603,386)="","记-"&amp;TEXT($B1680,"YYYYMM")&amp;"-资金",INDEX(资金日记账!$W$4:$W$603,386)))</f>
        <v/>
      </c>
      <c r="D1680" s="32" t="str">
        <f>IF($E1680="","",INDEX(资金日记账!$D$4:$D$603,386))</f>
        <v/>
      </c>
      <c r="E1680" s="26" t="str">
        <f>IF(INDEX(资金日记账!$N$4:$S$603,386,1)=0,"",INDEX(资金日记账!$N$4:$S$603,386,1))</f>
        <v/>
      </c>
      <c r="F1680" s="25" t="str">
        <f>IF($E1680="","",IFERROR(INDEX(科目表!$A$4:$A$81,MATCH($E1680,科目表!$B$4:$B$81,0)),""))</f>
        <v/>
      </c>
      <c r="G1680" s="26" t="str">
        <f>IF($E1680="","",IFERROR(INDEX(科目表!$E$4:$E$81,MATCH($E1680,科目表!$B$4:$B$81,0)),""))</f>
        <v/>
      </c>
      <c r="H1680" s="27" t="str">
        <f>IF($E1680="","",N(INDEX(资金日记账!$N$4:$S$603,386,2)))</f>
        <v/>
      </c>
      <c r="I1680" s="27" t="str">
        <f>IF($E1680="","",N(INDEX(资金日记账!$N$4:$S$603,386,3)))</f>
        <v/>
      </c>
      <c r="J1680" s="26" t="str">
        <f>IF($E1680="","",INDEX(资金日记账!$E$4:$E$603,386))</f>
        <v/>
      </c>
      <c r="K1680" s="26" t="str">
        <f>IF($E1680="","",INDEX(资金日记账!$F$4:$F$603,386))</f>
        <v/>
      </c>
      <c r="L1680" s="32" t="str">
        <f>IF($E1680="","",INDEX(资金日记账!$X$4:$X$603,386))</f>
        <v/>
      </c>
      <c r="M1680" s="32"/>
      <c r="N1680" s="26" t="str">
        <f>IF($E1680="","",INDEX(资金日记账!$Y$4:$Y$603,386))</f>
        <v/>
      </c>
      <c r="O1680" s="26" t="str">
        <f t="shared" si="84"/>
        <v/>
      </c>
      <c r="P1680" s="10"/>
    </row>
    <row r="1681" ht="18" customHeight="1" spans="1:16">
      <c r="A1681" s="32" t="str">
        <f t="shared" si="83"/>
        <v/>
      </c>
      <c r="B1681" s="100" t="str">
        <f>IF($E1681="","",INDEX(资金日记账!$B$4:$B$603,386))</f>
        <v/>
      </c>
      <c r="C1681" s="26" t="str">
        <f>IF($E1681="","",IF(INDEX(资金日记账!$W$4:$W$603,386)="","记-"&amp;TEXT($B1681,"YYYYMM")&amp;"-资金",INDEX(资金日记账!$W$4:$W$603,386)))</f>
        <v/>
      </c>
      <c r="D1681" s="32" t="str">
        <f>IF($E1681="","",INDEX(资金日记账!$D$4:$D$603,386))</f>
        <v/>
      </c>
      <c r="E1681" s="26" t="str">
        <f>IF(INDEX(资金日记账!$N$4:$S$603,386,4)=0,"",INDEX(资金日记账!$N$4:$S$603,386,4))</f>
        <v/>
      </c>
      <c r="F1681" s="25" t="str">
        <f>IF($E1681="","",IFERROR(INDEX(科目表!$A$4:$A$81,MATCH($E1681,科目表!$B$4:$B$81,0)),""))</f>
        <v/>
      </c>
      <c r="G1681" s="26" t="str">
        <f>IF($E1681="","",IFERROR(INDEX(科目表!$E$4:$E$81,MATCH($E1681,科目表!$B$4:$B$81,0)),""))</f>
        <v/>
      </c>
      <c r="H1681" s="27" t="str">
        <f>IF($E1681="","",N(INDEX(资金日记账!$N$4:$S$603,386,5)))</f>
        <v/>
      </c>
      <c r="I1681" s="27" t="str">
        <f>IF($E1681="","",N(INDEX(资金日记账!$N$4:$S$603,386,6)))</f>
        <v/>
      </c>
      <c r="J1681" s="26" t="str">
        <f>IF($E1681="","",INDEX(资金日记账!$E$4:$E$603,386))</f>
        <v/>
      </c>
      <c r="K1681" s="26" t="str">
        <f>IF($E1681="","",INDEX(资金日记账!$F$4:$F$603,386))</f>
        <v/>
      </c>
      <c r="L1681" s="32" t="str">
        <f>IF($E1681="","",INDEX(资金日记账!$X$4:$X$603,386))</f>
        <v/>
      </c>
      <c r="M1681" s="32"/>
      <c r="N1681" s="26" t="str">
        <f>IF($E1681="","",INDEX(资金日记账!$Y$4:$Y$603,386))</f>
        <v/>
      </c>
      <c r="O1681" s="26" t="str">
        <f t="shared" si="84"/>
        <v/>
      </c>
      <c r="P1681" s="10"/>
    </row>
    <row r="1682" ht="18" customHeight="1" spans="1:16">
      <c r="A1682" s="32" t="str">
        <f t="shared" si="83"/>
        <v/>
      </c>
      <c r="B1682" s="100" t="str">
        <f>IF($E1682="","",INDEX(资金日记账!$B$4:$B$603,387))</f>
        <v/>
      </c>
      <c r="C1682" s="26" t="str">
        <f>IF($E1682="","",IF(INDEX(资金日记账!$W$4:$W$603,387)="","记-"&amp;TEXT($B1682,"YYYYMM")&amp;"-资金",INDEX(资金日记账!$W$4:$W$603,387)))</f>
        <v/>
      </c>
      <c r="D1682" s="32" t="str">
        <f>IF($E1682="","",INDEX(资金日记账!$D$4:$D$603,387))</f>
        <v/>
      </c>
      <c r="E1682" s="26" t="str">
        <f>IF(INDEX(资金日记账!$N$4:$S$603,387,1)=0,"",INDEX(资金日记账!$N$4:$S$603,387,1))</f>
        <v/>
      </c>
      <c r="F1682" s="25" t="str">
        <f>IF($E1682="","",IFERROR(INDEX(科目表!$A$4:$A$81,MATCH($E1682,科目表!$B$4:$B$81,0)),""))</f>
        <v/>
      </c>
      <c r="G1682" s="26" t="str">
        <f>IF($E1682="","",IFERROR(INDEX(科目表!$E$4:$E$81,MATCH($E1682,科目表!$B$4:$B$81,0)),""))</f>
        <v/>
      </c>
      <c r="H1682" s="27" t="str">
        <f>IF($E1682="","",N(INDEX(资金日记账!$N$4:$S$603,387,2)))</f>
        <v/>
      </c>
      <c r="I1682" s="27" t="str">
        <f>IF($E1682="","",N(INDEX(资金日记账!$N$4:$S$603,387,3)))</f>
        <v/>
      </c>
      <c r="J1682" s="26" t="str">
        <f>IF($E1682="","",INDEX(资金日记账!$E$4:$E$603,387))</f>
        <v/>
      </c>
      <c r="K1682" s="26" t="str">
        <f>IF($E1682="","",INDEX(资金日记账!$F$4:$F$603,387))</f>
        <v/>
      </c>
      <c r="L1682" s="32" t="str">
        <f>IF($E1682="","",INDEX(资金日记账!$X$4:$X$603,387))</f>
        <v/>
      </c>
      <c r="M1682" s="32"/>
      <c r="N1682" s="26" t="str">
        <f>IF($E1682="","",INDEX(资金日记账!$Y$4:$Y$603,387))</f>
        <v/>
      </c>
      <c r="O1682" s="26" t="str">
        <f t="shared" si="84"/>
        <v/>
      </c>
      <c r="P1682" s="10"/>
    </row>
    <row r="1683" ht="18" customHeight="1" spans="1:16">
      <c r="A1683" s="32" t="str">
        <f t="shared" si="83"/>
        <v/>
      </c>
      <c r="B1683" s="100" t="str">
        <f>IF($E1683="","",INDEX(资金日记账!$B$4:$B$603,387))</f>
        <v/>
      </c>
      <c r="C1683" s="26" t="str">
        <f>IF($E1683="","",IF(INDEX(资金日记账!$W$4:$W$603,387)="","记-"&amp;TEXT($B1683,"YYYYMM")&amp;"-资金",INDEX(资金日记账!$W$4:$W$603,387)))</f>
        <v/>
      </c>
      <c r="D1683" s="32" t="str">
        <f>IF($E1683="","",INDEX(资金日记账!$D$4:$D$603,387))</f>
        <v/>
      </c>
      <c r="E1683" s="26" t="str">
        <f>IF(INDEX(资金日记账!$N$4:$S$603,387,4)=0,"",INDEX(资金日记账!$N$4:$S$603,387,4))</f>
        <v/>
      </c>
      <c r="F1683" s="25" t="str">
        <f>IF($E1683="","",IFERROR(INDEX(科目表!$A$4:$A$81,MATCH($E1683,科目表!$B$4:$B$81,0)),""))</f>
        <v/>
      </c>
      <c r="G1683" s="26" t="str">
        <f>IF($E1683="","",IFERROR(INDEX(科目表!$E$4:$E$81,MATCH($E1683,科目表!$B$4:$B$81,0)),""))</f>
        <v/>
      </c>
      <c r="H1683" s="27" t="str">
        <f>IF($E1683="","",N(INDEX(资金日记账!$N$4:$S$603,387,5)))</f>
        <v/>
      </c>
      <c r="I1683" s="27" t="str">
        <f>IF($E1683="","",N(INDEX(资金日记账!$N$4:$S$603,387,6)))</f>
        <v/>
      </c>
      <c r="J1683" s="26" t="str">
        <f>IF($E1683="","",INDEX(资金日记账!$E$4:$E$603,387))</f>
        <v/>
      </c>
      <c r="K1683" s="26" t="str">
        <f>IF($E1683="","",INDEX(资金日记账!$F$4:$F$603,387))</f>
        <v/>
      </c>
      <c r="L1683" s="32" t="str">
        <f>IF($E1683="","",INDEX(资金日记账!$X$4:$X$603,387))</f>
        <v/>
      </c>
      <c r="M1683" s="32"/>
      <c r="N1683" s="26" t="str">
        <f>IF($E1683="","",INDEX(资金日记账!$Y$4:$Y$603,387))</f>
        <v/>
      </c>
      <c r="O1683" s="26" t="str">
        <f t="shared" si="84"/>
        <v/>
      </c>
      <c r="P1683" s="10"/>
    </row>
    <row r="1684" ht="18" customHeight="1" spans="1:16">
      <c r="A1684" s="32" t="str">
        <f t="shared" si="83"/>
        <v/>
      </c>
      <c r="B1684" s="100" t="str">
        <f>IF($E1684="","",INDEX(资金日记账!$B$4:$B$603,388))</f>
        <v/>
      </c>
      <c r="C1684" s="26" t="str">
        <f>IF($E1684="","",IF(INDEX(资金日记账!$W$4:$W$603,388)="","记-"&amp;TEXT($B1684,"YYYYMM")&amp;"-资金",INDEX(资金日记账!$W$4:$W$603,388)))</f>
        <v/>
      </c>
      <c r="D1684" s="32" t="str">
        <f>IF($E1684="","",INDEX(资金日记账!$D$4:$D$603,388))</f>
        <v/>
      </c>
      <c r="E1684" s="26" t="str">
        <f>IF(INDEX(资金日记账!$N$4:$S$603,388,1)=0,"",INDEX(资金日记账!$N$4:$S$603,388,1))</f>
        <v/>
      </c>
      <c r="F1684" s="25" t="str">
        <f>IF($E1684="","",IFERROR(INDEX(科目表!$A$4:$A$81,MATCH($E1684,科目表!$B$4:$B$81,0)),""))</f>
        <v/>
      </c>
      <c r="G1684" s="26" t="str">
        <f>IF($E1684="","",IFERROR(INDEX(科目表!$E$4:$E$81,MATCH($E1684,科目表!$B$4:$B$81,0)),""))</f>
        <v/>
      </c>
      <c r="H1684" s="27" t="str">
        <f>IF($E1684="","",N(INDEX(资金日记账!$N$4:$S$603,388,2)))</f>
        <v/>
      </c>
      <c r="I1684" s="27" t="str">
        <f>IF($E1684="","",N(INDEX(资金日记账!$N$4:$S$603,388,3)))</f>
        <v/>
      </c>
      <c r="J1684" s="26" t="str">
        <f>IF($E1684="","",INDEX(资金日记账!$E$4:$E$603,388))</f>
        <v/>
      </c>
      <c r="K1684" s="26" t="str">
        <f>IF($E1684="","",INDEX(资金日记账!$F$4:$F$603,388))</f>
        <v/>
      </c>
      <c r="L1684" s="32" t="str">
        <f>IF($E1684="","",INDEX(资金日记账!$X$4:$X$603,388))</f>
        <v/>
      </c>
      <c r="M1684" s="32"/>
      <c r="N1684" s="26" t="str">
        <f>IF($E1684="","",INDEX(资金日记账!$Y$4:$Y$603,388))</f>
        <v/>
      </c>
      <c r="O1684" s="26" t="str">
        <f t="shared" si="84"/>
        <v/>
      </c>
      <c r="P1684" s="10"/>
    </row>
    <row r="1685" ht="18" customHeight="1" spans="1:16">
      <c r="A1685" s="32" t="str">
        <f t="shared" si="83"/>
        <v/>
      </c>
      <c r="B1685" s="100" t="str">
        <f>IF($E1685="","",INDEX(资金日记账!$B$4:$B$603,388))</f>
        <v/>
      </c>
      <c r="C1685" s="26" t="str">
        <f>IF($E1685="","",IF(INDEX(资金日记账!$W$4:$W$603,388)="","记-"&amp;TEXT($B1685,"YYYYMM")&amp;"-资金",INDEX(资金日记账!$W$4:$W$603,388)))</f>
        <v/>
      </c>
      <c r="D1685" s="32" t="str">
        <f>IF($E1685="","",INDEX(资金日记账!$D$4:$D$603,388))</f>
        <v/>
      </c>
      <c r="E1685" s="26" t="str">
        <f>IF(INDEX(资金日记账!$N$4:$S$603,388,4)=0,"",INDEX(资金日记账!$N$4:$S$603,388,4))</f>
        <v/>
      </c>
      <c r="F1685" s="25" t="str">
        <f>IF($E1685="","",IFERROR(INDEX(科目表!$A$4:$A$81,MATCH($E1685,科目表!$B$4:$B$81,0)),""))</f>
        <v/>
      </c>
      <c r="G1685" s="26" t="str">
        <f>IF($E1685="","",IFERROR(INDEX(科目表!$E$4:$E$81,MATCH($E1685,科目表!$B$4:$B$81,0)),""))</f>
        <v/>
      </c>
      <c r="H1685" s="27" t="str">
        <f>IF($E1685="","",N(INDEX(资金日记账!$N$4:$S$603,388,5)))</f>
        <v/>
      </c>
      <c r="I1685" s="27" t="str">
        <f>IF($E1685="","",N(INDEX(资金日记账!$N$4:$S$603,388,6)))</f>
        <v/>
      </c>
      <c r="J1685" s="26" t="str">
        <f>IF($E1685="","",INDEX(资金日记账!$E$4:$E$603,388))</f>
        <v/>
      </c>
      <c r="K1685" s="26" t="str">
        <f>IF($E1685="","",INDEX(资金日记账!$F$4:$F$603,388))</f>
        <v/>
      </c>
      <c r="L1685" s="32" t="str">
        <f>IF($E1685="","",INDEX(资金日记账!$X$4:$X$603,388))</f>
        <v/>
      </c>
      <c r="M1685" s="32"/>
      <c r="N1685" s="26" t="str">
        <f>IF($E1685="","",INDEX(资金日记账!$Y$4:$Y$603,388))</f>
        <v/>
      </c>
      <c r="O1685" s="26" t="str">
        <f t="shared" si="84"/>
        <v/>
      </c>
      <c r="P1685" s="10"/>
    </row>
    <row r="1686" ht="18" customHeight="1" spans="1:16">
      <c r="A1686" s="32" t="str">
        <f t="shared" si="83"/>
        <v/>
      </c>
      <c r="B1686" s="100" t="str">
        <f>IF($E1686="","",INDEX(资金日记账!$B$4:$B$603,389))</f>
        <v/>
      </c>
      <c r="C1686" s="26" t="str">
        <f>IF($E1686="","",IF(INDEX(资金日记账!$W$4:$W$603,389)="","记-"&amp;TEXT($B1686,"YYYYMM")&amp;"-资金",INDEX(资金日记账!$W$4:$W$603,389)))</f>
        <v/>
      </c>
      <c r="D1686" s="32" t="str">
        <f>IF($E1686="","",INDEX(资金日记账!$D$4:$D$603,389))</f>
        <v/>
      </c>
      <c r="E1686" s="26" t="str">
        <f>IF(INDEX(资金日记账!$N$4:$S$603,389,1)=0,"",INDEX(资金日记账!$N$4:$S$603,389,1))</f>
        <v/>
      </c>
      <c r="F1686" s="25" t="str">
        <f>IF($E1686="","",IFERROR(INDEX(科目表!$A$4:$A$81,MATCH($E1686,科目表!$B$4:$B$81,0)),""))</f>
        <v/>
      </c>
      <c r="G1686" s="26" t="str">
        <f>IF($E1686="","",IFERROR(INDEX(科目表!$E$4:$E$81,MATCH($E1686,科目表!$B$4:$B$81,0)),""))</f>
        <v/>
      </c>
      <c r="H1686" s="27" t="str">
        <f>IF($E1686="","",N(INDEX(资金日记账!$N$4:$S$603,389,2)))</f>
        <v/>
      </c>
      <c r="I1686" s="27" t="str">
        <f>IF($E1686="","",N(INDEX(资金日记账!$N$4:$S$603,389,3)))</f>
        <v/>
      </c>
      <c r="J1686" s="26" t="str">
        <f>IF($E1686="","",INDEX(资金日记账!$E$4:$E$603,389))</f>
        <v/>
      </c>
      <c r="K1686" s="26" t="str">
        <f>IF($E1686="","",INDEX(资金日记账!$F$4:$F$603,389))</f>
        <v/>
      </c>
      <c r="L1686" s="32" t="str">
        <f>IF($E1686="","",INDEX(资金日记账!$X$4:$X$603,389))</f>
        <v/>
      </c>
      <c r="M1686" s="32"/>
      <c r="N1686" s="26" t="str">
        <f>IF($E1686="","",INDEX(资金日记账!$Y$4:$Y$603,389))</f>
        <v/>
      </c>
      <c r="O1686" s="26" t="str">
        <f t="shared" si="84"/>
        <v/>
      </c>
      <c r="P1686" s="10"/>
    </row>
    <row r="1687" ht="18" customHeight="1" spans="1:16">
      <c r="A1687" s="32" t="str">
        <f t="shared" si="83"/>
        <v/>
      </c>
      <c r="B1687" s="100" t="str">
        <f>IF($E1687="","",INDEX(资金日记账!$B$4:$B$603,389))</f>
        <v/>
      </c>
      <c r="C1687" s="26" t="str">
        <f>IF($E1687="","",IF(INDEX(资金日记账!$W$4:$W$603,389)="","记-"&amp;TEXT($B1687,"YYYYMM")&amp;"-资金",INDEX(资金日记账!$W$4:$W$603,389)))</f>
        <v/>
      </c>
      <c r="D1687" s="32" t="str">
        <f>IF($E1687="","",INDEX(资金日记账!$D$4:$D$603,389))</f>
        <v/>
      </c>
      <c r="E1687" s="26" t="str">
        <f>IF(INDEX(资金日记账!$N$4:$S$603,389,4)=0,"",INDEX(资金日记账!$N$4:$S$603,389,4))</f>
        <v/>
      </c>
      <c r="F1687" s="25" t="str">
        <f>IF($E1687="","",IFERROR(INDEX(科目表!$A$4:$A$81,MATCH($E1687,科目表!$B$4:$B$81,0)),""))</f>
        <v/>
      </c>
      <c r="G1687" s="26" t="str">
        <f>IF($E1687="","",IFERROR(INDEX(科目表!$E$4:$E$81,MATCH($E1687,科目表!$B$4:$B$81,0)),""))</f>
        <v/>
      </c>
      <c r="H1687" s="27" t="str">
        <f>IF($E1687="","",N(INDEX(资金日记账!$N$4:$S$603,389,5)))</f>
        <v/>
      </c>
      <c r="I1687" s="27" t="str">
        <f>IF($E1687="","",N(INDEX(资金日记账!$N$4:$S$603,389,6)))</f>
        <v/>
      </c>
      <c r="J1687" s="26" t="str">
        <f>IF($E1687="","",INDEX(资金日记账!$E$4:$E$603,389))</f>
        <v/>
      </c>
      <c r="K1687" s="26" t="str">
        <f>IF($E1687="","",INDEX(资金日记账!$F$4:$F$603,389))</f>
        <v/>
      </c>
      <c r="L1687" s="32" t="str">
        <f>IF($E1687="","",INDEX(资金日记账!$X$4:$X$603,389))</f>
        <v/>
      </c>
      <c r="M1687" s="32"/>
      <c r="N1687" s="26" t="str">
        <f>IF($E1687="","",INDEX(资金日记账!$Y$4:$Y$603,389))</f>
        <v/>
      </c>
      <c r="O1687" s="26" t="str">
        <f t="shared" si="84"/>
        <v/>
      </c>
      <c r="P1687" s="10"/>
    </row>
    <row r="1688" ht="18" customHeight="1" spans="1:16">
      <c r="A1688" s="32" t="str">
        <f t="shared" si="83"/>
        <v/>
      </c>
      <c r="B1688" s="100" t="str">
        <f>IF($E1688="","",INDEX(资金日记账!$B$4:$B$603,390))</f>
        <v/>
      </c>
      <c r="C1688" s="26" t="str">
        <f>IF($E1688="","",IF(INDEX(资金日记账!$W$4:$W$603,390)="","记-"&amp;TEXT($B1688,"YYYYMM")&amp;"-资金",INDEX(资金日记账!$W$4:$W$603,390)))</f>
        <v/>
      </c>
      <c r="D1688" s="32" t="str">
        <f>IF($E1688="","",INDEX(资金日记账!$D$4:$D$603,390))</f>
        <v/>
      </c>
      <c r="E1688" s="26" t="str">
        <f>IF(INDEX(资金日记账!$N$4:$S$603,390,1)=0,"",INDEX(资金日记账!$N$4:$S$603,390,1))</f>
        <v/>
      </c>
      <c r="F1688" s="25" t="str">
        <f>IF($E1688="","",IFERROR(INDEX(科目表!$A$4:$A$81,MATCH($E1688,科目表!$B$4:$B$81,0)),""))</f>
        <v/>
      </c>
      <c r="G1688" s="26" t="str">
        <f>IF($E1688="","",IFERROR(INDEX(科目表!$E$4:$E$81,MATCH($E1688,科目表!$B$4:$B$81,0)),""))</f>
        <v/>
      </c>
      <c r="H1688" s="27" t="str">
        <f>IF($E1688="","",N(INDEX(资金日记账!$N$4:$S$603,390,2)))</f>
        <v/>
      </c>
      <c r="I1688" s="27" t="str">
        <f>IF($E1688="","",N(INDEX(资金日记账!$N$4:$S$603,390,3)))</f>
        <v/>
      </c>
      <c r="J1688" s="26" t="str">
        <f>IF($E1688="","",INDEX(资金日记账!$E$4:$E$603,390))</f>
        <v/>
      </c>
      <c r="K1688" s="26" t="str">
        <f>IF($E1688="","",INDEX(资金日记账!$F$4:$F$603,390))</f>
        <v/>
      </c>
      <c r="L1688" s="32" t="str">
        <f>IF($E1688="","",INDEX(资金日记账!$X$4:$X$603,390))</f>
        <v/>
      </c>
      <c r="M1688" s="32"/>
      <c r="N1688" s="26" t="str">
        <f>IF($E1688="","",INDEX(资金日记账!$Y$4:$Y$603,390))</f>
        <v/>
      </c>
      <c r="O1688" s="26" t="str">
        <f t="shared" si="84"/>
        <v/>
      </c>
      <c r="P1688" s="10"/>
    </row>
    <row r="1689" ht="18" customHeight="1" spans="1:16">
      <c r="A1689" s="32" t="str">
        <f t="shared" si="83"/>
        <v/>
      </c>
      <c r="B1689" s="100" t="str">
        <f>IF($E1689="","",INDEX(资金日记账!$B$4:$B$603,390))</f>
        <v/>
      </c>
      <c r="C1689" s="26" t="str">
        <f>IF($E1689="","",IF(INDEX(资金日记账!$W$4:$W$603,390)="","记-"&amp;TEXT($B1689,"YYYYMM")&amp;"-资金",INDEX(资金日记账!$W$4:$W$603,390)))</f>
        <v/>
      </c>
      <c r="D1689" s="32" t="str">
        <f>IF($E1689="","",INDEX(资金日记账!$D$4:$D$603,390))</f>
        <v/>
      </c>
      <c r="E1689" s="26" t="str">
        <f>IF(INDEX(资金日记账!$N$4:$S$603,390,4)=0,"",INDEX(资金日记账!$N$4:$S$603,390,4))</f>
        <v/>
      </c>
      <c r="F1689" s="25" t="str">
        <f>IF($E1689="","",IFERROR(INDEX(科目表!$A$4:$A$81,MATCH($E1689,科目表!$B$4:$B$81,0)),""))</f>
        <v/>
      </c>
      <c r="G1689" s="26" t="str">
        <f>IF($E1689="","",IFERROR(INDEX(科目表!$E$4:$E$81,MATCH($E1689,科目表!$B$4:$B$81,0)),""))</f>
        <v/>
      </c>
      <c r="H1689" s="27" t="str">
        <f>IF($E1689="","",N(INDEX(资金日记账!$N$4:$S$603,390,5)))</f>
        <v/>
      </c>
      <c r="I1689" s="27" t="str">
        <f>IF($E1689="","",N(INDEX(资金日记账!$N$4:$S$603,390,6)))</f>
        <v/>
      </c>
      <c r="J1689" s="26" t="str">
        <f>IF($E1689="","",INDEX(资金日记账!$E$4:$E$603,390))</f>
        <v/>
      </c>
      <c r="K1689" s="26" t="str">
        <f>IF($E1689="","",INDEX(资金日记账!$F$4:$F$603,390))</f>
        <v/>
      </c>
      <c r="L1689" s="32" t="str">
        <f>IF($E1689="","",INDEX(资金日记账!$X$4:$X$603,390))</f>
        <v/>
      </c>
      <c r="M1689" s="32"/>
      <c r="N1689" s="26" t="str">
        <f>IF($E1689="","",INDEX(资金日记账!$Y$4:$Y$603,390))</f>
        <v/>
      </c>
      <c r="O1689" s="26" t="str">
        <f t="shared" si="84"/>
        <v/>
      </c>
      <c r="P1689" s="10"/>
    </row>
    <row r="1690" ht="18" customHeight="1" spans="1:16">
      <c r="A1690" s="32" t="str">
        <f t="shared" si="83"/>
        <v/>
      </c>
      <c r="B1690" s="100" t="str">
        <f>IF($E1690="","",INDEX(资金日记账!$B$4:$B$603,391))</f>
        <v/>
      </c>
      <c r="C1690" s="26" t="str">
        <f>IF($E1690="","",IF(INDEX(资金日记账!$W$4:$W$603,391)="","记-"&amp;TEXT($B1690,"YYYYMM")&amp;"-资金",INDEX(资金日记账!$W$4:$W$603,391)))</f>
        <v/>
      </c>
      <c r="D1690" s="32" t="str">
        <f>IF($E1690="","",INDEX(资金日记账!$D$4:$D$603,391))</f>
        <v/>
      </c>
      <c r="E1690" s="26" t="str">
        <f>IF(INDEX(资金日记账!$N$4:$S$603,391,1)=0,"",INDEX(资金日记账!$N$4:$S$603,391,1))</f>
        <v/>
      </c>
      <c r="F1690" s="25" t="str">
        <f>IF($E1690="","",IFERROR(INDEX(科目表!$A$4:$A$81,MATCH($E1690,科目表!$B$4:$B$81,0)),""))</f>
        <v/>
      </c>
      <c r="G1690" s="26" t="str">
        <f>IF($E1690="","",IFERROR(INDEX(科目表!$E$4:$E$81,MATCH($E1690,科目表!$B$4:$B$81,0)),""))</f>
        <v/>
      </c>
      <c r="H1690" s="27" t="str">
        <f>IF($E1690="","",N(INDEX(资金日记账!$N$4:$S$603,391,2)))</f>
        <v/>
      </c>
      <c r="I1690" s="27" t="str">
        <f>IF($E1690="","",N(INDEX(资金日记账!$N$4:$S$603,391,3)))</f>
        <v/>
      </c>
      <c r="J1690" s="26" t="str">
        <f>IF($E1690="","",INDEX(资金日记账!$E$4:$E$603,391))</f>
        <v/>
      </c>
      <c r="K1690" s="26" t="str">
        <f>IF($E1690="","",INDEX(资金日记账!$F$4:$F$603,391))</f>
        <v/>
      </c>
      <c r="L1690" s="32" t="str">
        <f>IF($E1690="","",INDEX(资金日记账!$X$4:$X$603,391))</f>
        <v/>
      </c>
      <c r="M1690" s="32"/>
      <c r="N1690" s="26" t="str">
        <f>IF($E1690="","",INDEX(资金日记账!$Y$4:$Y$603,391))</f>
        <v/>
      </c>
      <c r="O1690" s="26" t="str">
        <f t="shared" si="84"/>
        <v/>
      </c>
      <c r="P1690" s="10"/>
    </row>
    <row r="1691" ht="18" customHeight="1" spans="1:16">
      <c r="A1691" s="32" t="str">
        <f t="shared" si="83"/>
        <v/>
      </c>
      <c r="B1691" s="100" t="str">
        <f>IF($E1691="","",INDEX(资金日记账!$B$4:$B$603,391))</f>
        <v/>
      </c>
      <c r="C1691" s="26" t="str">
        <f>IF($E1691="","",IF(INDEX(资金日记账!$W$4:$W$603,391)="","记-"&amp;TEXT($B1691,"YYYYMM")&amp;"-资金",INDEX(资金日记账!$W$4:$W$603,391)))</f>
        <v/>
      </c>
      <c r="D1691" s="32" t="str">
        <f>IF($E1691="","",INDEX(资金日记账!$D$4:$D$603,391))</f>
        <v/>
      </c>
      <c r="E1691" s="26" t="str">
        <f>IF(INDEX(资金日记账!$N$4:$S$603,391,4)=0,"",INDEX(资金日记账!$N$4:$S$603,391,4))</f>
        <v/>
      </c>
      <c r="F1691" s="25" t="str">
        <f>IF($E1691="","",IFERROR(INDEX(科目表!$A$4:$A$81,MATCH($E1691,科目表!$B$4:$B$81,0)),""))</f>
        <v/>
      </c>
      <c r="G1691" s="26" t="str">
        <f>IF($E1691="","",IFERROR(INDEX(科目表!$E$4:$E$81,MATCH($E1691,科目表!$B$4:$B$81,0)),""))</f>
        <v/>
      </c>
      <c r="H1691" s="27" t="str">
        <f>IF($E1691="","",N(INDEX(资金日记账!$N$4:$S$603,391,5)))</f>
        <v/>
      </c>
      <c r="I1691" s="27" t="str">
        <f>IF($E1691="","",N(INDEX(资金日记账!$N$4:$S$603,391,6)))</f>
        <v/>
      </c>
      <c r="J1691" s="26" t="str">
        <f>IF($E1691="","",INDEX(资金日记账!$E$4:$E$603,391))</f>
        <v/>
      </c>
      <c r="K1691" s="26" t="str">
        <f>IF($E1691="","",INDEX(资金日记账!$F$4:$F$603,391))</f>
        <v/>
      </c>
      <c r="L1691" s="32" t="str">
        <f>IF($E1691="","",INDEX(资金日记账!$X$4:$X$603,391))</f>
        <v/>
      </c>
      <c r="M1691" s="32"/>
      <c r="N1691" s="26" t="str">
        <f>IF($E1691="","",INDEX(资金日记账!$Y$4:$Y$603,391))</f>
        <v/>
      </c>
      <c r="O1691" s="26" t="str">
        <f t="shared" si="84"/>
        <v/>
      </c>
      <c r="P1691" s="10"/>
    </row>
    <row r="1692" ht="18" customHeight="1" spans="1:16">
      <c r="A1692" s="32" t="str">
        <f t="shared" si="83"/>
        <v/>
      </c>
      <c r="B1692" s="100" t="str">
        <f>IF($E1692="","",INDEX(资金日记账!$B$4:$B$603,392))</f>
        <v/>
      </c>
      <c r="C1692" s="26" t="str">
        <f>IF($E1692="","",IF(INDEX(资金日记账!$W$4:$W$603,392)="","记-"&amp;TEXT($B1692,"YYYYMM")&amp;"-资金",INDEX(资金日记账!$W$4:$W$603,392)))</f>
        <v/>
      </c>
      <c r="D1692" s="32" t="str">
        <f>IF($E1692="","",INDEX(资金日记账!$D$4:$D$603,392))</f>
        <v/>
      </c>
      <c r="E1692" s="26" t="str">
        <f>IF(INDEX(资金日记账!$N$4:$S$603,392,1)=0,"",INDEX(资金日记账!$N$4:$S$603,392,1))</f>
        <v/>
      </c>
      <c r="F1692" s="25" t="str">
        <f>IF($E1692="","",IFERROR(INDEX(科目表!$A$4:$A$81,MATCH($E1692,科目表!$B$4:$B$81,0)),""))</f>
        <v/>
      </c>
      <c r="G1692" s="26" t="str">
        <f>IF($E1692="","",IFERROR(INDEX(科目表!$E$4:$E$81,MATCH($E1692,科目表!$B$4:$B$81,0)),""))</f>
        <v/>
      </c>
      <c r="H1692" s="27" t="str">
        <f>IF($E1692="","",N(INDEX(资金日记账!$N$4:$S$603,392,2)))</f>
        <v/>
      </c>
      <c r="I1692" s="27" t="str">
        <f>IF($E1692="","",N(INDEX(资金日记账!$N$4:$S$603,392,3)))</f>
        <v/>
      </c>
      <c r="J1692" s="26" t="str">
        <f>IF($E1692="","",INDEX(资金日记账!$E$4:$E$603,392))</f>
        <v/>
      </c>
      <c r="K1692" s="26" t="str">
        <f>IF($E1692="","",INDEX(资金日记账!$F$4:$F$603,392))</f>
        <v/>
      </c>
      <c r="L1692" s="32" t="str">
        <f>IF($E1692="","",INDEX(资金日记账!$X$4:$X$603,392))</f>
        <v/>
      </c>
      <c r="M1692" s="32"/>
      <c r="N1692" s="26" t="str">
        <f>IF($E1692="","",INDEX(资金日记账!$Y$4:$Y$603,392))</f>
        <v/>
      </c>
      <c r="O1692" s="26" t="str">
        <f t="shared" si="84"/>
        <v/>
      </c>
      <c r="P1692" s="10"/>
    </row>
    <row r="1693" ht="18" customHeight="1" spans="1:16">
      <c r="A1693" s="32" t="str">
        <f t="shared" si="83"/>
        <v/>
      </c>
      <c r="B1693" s="100" t="str">
        <f>IF($E1693="","",INDEX(资金日记账!$B$4:$B$603,392))</f>
        <v/>
      </c>
      <c r="C1693" s="26" t="str">
        <f>IF($E1693="","",IF(INDEX(资金日记账!$W$4:$W$603,392)="","记-"&amp;TEXT($B1693,"YYYYMM")&amp;"-资金",INDEX(资金日记账!$W$4:$W$603,392)))</f>
        <v/>
      </c>
      <c r="D1693" s="32" t="str">
        <f>IF($E1693="","",INDEX(资金日记账!$D$4:$D$603,392))</f>
        <v/>
      </c>
      <c r="E1693" s="26" t="str">
        <f>IF(INDEX(资金日记账!$N$4:$S$603,392,4)=0,"",INDEX(资金日记账!$N$4:$S$603,392,4))</f>
        <v/>
      </c>
      <c r="F1693" s="25" t="str">
        <f>IF($E1693="","",IFERROR(INDEX(科目表!$A$4:$A$81,MATCH($E1693,科目表!$B$4:$B$81,0)),""))</f>
        <v/>
      </c>
      <c r="G1693" s="26" t="str">
        <f>IF($E1693="","",IFERROR(INDEX(科目表!$E$4:$E$81,MATCH($E1693,科目表!$B$4:$B$81,0)),""))</f>
        <v/>
      </c>
      <c r="H1693" s="27" t="str">
        <f>IF($E1693="","",N(INDEX(资金日记账!$N$4:$S$603,392,5)))</f>
        <v/>
      </c>
      <c r="I1693" s="27" t="str">
        <f>IF($E1693="","",N(INDEX(资金日记账!$N$4:$S$603,392,6)))</f>
        <v/>
      </c>
      <c r="J1693" s="26" t="str">
        <f>IF($E1693="","",INDEX(资金日记账!$E$4:$E$603,392))</f>
        <v/>
      </c>
      <c r="K1693" s="26" t="str">
        <f>IF($E1693="","",INDEX(资金日记账!$F$4:$F$603,392))</f>
        <v/>
      </c>
      <c r="L1693" s="32" t="str">
        <f>IF($E1693="","",INDEX(资金日记账!$X$4:$X$603,392))</f>
        <v/>
      </c>
      <c r="M1693" s="32"/>
      <c r="N1693" s="26" t="str">
        <f>IF($E1693="","",INDEX(资金日记账!$Y$4:$Y$603,392))</f>
        <v/>
      </c>
      <c r="O1693" s="26" t="str">
        <f t="shared" si="84"/>
        <v/>
      </c>
      <c r="P1693" s="10"/>
    </row>
    <row r="1694" ht="18" customHeight="1" spans="1:16">
      <c r="A1694" s="32" t="str">
        <f t="shared" si="83"/>
        <v/>
      </c>
      <c r="B1694" s="100" t="str">
        <f>IF($E1694="","",INDEX(资金日记账!$B$4:$B$603,393))</f>
        <v/>
      </c>
      <c r="C1694" s="26" t="str">
        <f>IF($E1694="","",IF(INDEX(资金日记账!$W$4:$W$603,393)="","记-"&amp;TEXT($B1694,"YYYYMM")&amp;"-资金",INDEX(资金日记账!$W$4:$W$603,393)))</f>
        <v/>
      </c>
      <c r="D1694" s="32" t="str">
        <f>IF($E1694="","",INDEX(资金日记账!$D$4:$D$603,393))</f>
        <v/>
      </c>
      <c r="E1694" s="26" t="str">
        <f>IF(INDEX(资金日记账!$N$4:$S$603,393,1)=0,"",INDEX(资金日记账!$N$4:$S$603,393,1))</f>
        <v/>
      </c>
      <c r="F1694" s="25" t="str">
        <f>IF($E1694="","",IFERROR(INDEX(科目表!$A$4:$A$81,MATCH($E1694,科目表!$B$4:$B$81,0)),""))</f>
        <v/>
      </c>
      <c r="G1694" s="26" t="str">
        <f>IF($E1694="","",IFERROR(INDEX(科目表!$E$4:$E$81,MATCH($E1694,科目表!$B$4:$B$81,0)),""))</f>
        <v/>
      </c>
      <c r="H1694" s="27" t="str">
        <f>IF($E1694="","",N(INDEX(资金日记账!$N$4:$S$603,393,2)))</f>
        <v/>
      </c>
      <c r="I1694" s="27" t="str">
        <f>IF($E1694="","",N(INDEX(资金日记账!$N$4:$S$603,393,3)))</f>
        <v/>
      </c>
      <c r="J1694" s="26" t="str">
        <f>IF($E1694="","",INDEX(资金日记账!$E$4:$E$603,393))</f>
        <v/>
      </c>
      <c r="K1694" s="26" t="str">
        <f>IF($E1694="","",INDEX(资金日记账!$F$4:$F$603,393))</f>
        <v/>
      </c>
      <c r="L1694" s="32" t="str">
        <f>IF($E1694="","",INDEX(资金日记账!$X$4:$X$603,393))</f>
        <v/>
      </c>
      <c r="M1694" s="32"/>
      <c r="N1694" s="26" t="str">
        <f>IF($E1694="","",INDEX(资金日记账!$Y$4:$Y$603,393))</f>
        <v/>
      </c>
      <c r="O1694" s="26" t="str">
        <f t="shared" si="84"/>
        <v/>
      </c>
      <c r="P1694" s="10"/>
    </row>
    <row r="1695" ht="18" customHeight="1" spans="1:16">
      <c r="A1695" s="32" t="str">
        <f t="shared" si="83"/>
        <v/>
      </c>
      <c r="B1695" s="100" t="str">
        <f>IF($E1695="","",INDEX(资金日记账!$B$4:$B$603,393))</f>
        <v/>
      </c>
      <c r="C1695" s="26" t="str">
        <f>IF($E1695="","",IF(INDEX(资金日记账!$W$4:$W$603,393)="","记-"&amp;TEXT($B1695,"YYYYMM")&amp;"-资金",INDEX(资金日记账!$W$4:$W$603,393)))</f>
        <v/>
      </c>
      <c r="D1695" s="32" t="str">
        <f>IF($E1695="","",INDEX(资金日记账!$D$4:$D$603,393))</f>
        <v/>
      </c>
      <c r="E1695" s="26" t="str">
        <f>IF(INDEX(资金日记账!$N$4:$S$603,393,4)=0,"",INDEX(资金日记账!$N$4:$S$603,393,4))</f>
        <v/>
      </c>
      <c r="F1695" s="25" t="str">
        <f>IF($E1695="","",IFERROR(INDEX(科目表!$A$4:$A$81,MATCH($E1695,科目表!$B$4:$B$81,0)),""))</f>
        <v/>
      </c>
      <c r="G1695" s="26" t="str">
        <f>IF($E1695="","",IFERROR(INDEX(科目表!$E$4:$E$81,MATCH($E1695,科目表!$B$4:$B$81,0)),""))</f>
        <v/>
      </c>
      <c r="H1695" s="27" t="str">
        <f>IF($E1695="","",N(INDEX(资金日记账!$N$4:$S$603,393,5)))</f>
        <v/>
      </c>
      <c r="I1695" s="27" t="str">
        <f>IF($E1695="","",N(INDEX(资金日记账!$N$4:$S$603,393,6)))</f>
        <v/>
      </c>
      <c r="J1695" s="26" t="str">
        <f>IF($E1695="","",INDEX(资金日记账!$E$4:$E$603,393))</f>
        <v/>
      </c>
      <c r="K1695" s="26" t="str">
        <f>IF($E1695="","",INDEX(资金日记账!$F$4:$F$603,393))</f>
        <v/>
      </c>
      <c r="L1695" s="32" t="str">
        <f>IF($E1695="","",INDEX(资金日记账!$X$4:$X$603,393))</f>
        <v/>
      </c>
      <c r="M1695" s="32"/>
      <c r="N1695" s="26" t="str">
        <f>IF($E1695="","",INDEX(资金日记账!$Y$4:$Y$603,393))</f>
        <v/>
      </c>
      <c r="O1695" s="26" t="str">
        <f t="shared" si="84"/>
        <v/>
      </c>
      <c r="P1695" s="10"/>
    </row>
    <row r="1696" ht="18" customHeight="1" spans="1:16">
      <c r="A1696" s="32" t="str">
        <f t="shared" si="83"/>
        <v/>
      </c>
      <c r="B1696" s="100" t="str">
        <f>IF($E1696="","",INDEX(资金日记账!$B$4:$B$603,394))</f>
        <v/>
      </c>
      <c r="C1696" s="26" t="str">
        <f>IF($E1696="","",IF(INDEX(资金日记账!$W$4:$W$603,394)="","记-"&amp;TEXT($B1696,"YYYYMM")&amp;"-资金",INDEX(资金日记账!$W$4:$W$603,394)))</f>
        <v/>
      </c>
      <c r="D1696" s="32" t="str">
        <f>IF($E1696="","",INDEX(资金日记账!$D$4:$D$603,394))</f>
        <v/>
      </c>
      <c r="E1696" s="26" t="str">
        <f>IF(INDEX(资金日记账!$N$4:$S$603,394,1)=0,"",INDEX(资金日记账!$N$4:$S$603,394,1))</f>
        <v/>
      </c>
      <c r="F1696" s="25" t="str">
        <f>IF($E1696="","",IFERROR(INDEX(科目表!$A$4:$A$81,MATCH($E1696,科目表!$B$4:$B$81,0)),""))</f>
        <v/>
      </c>
      <c r="G1696" s="26" t="str">
        <f>IF($E1696="","",IFERROR(INDEX(科目表!$E$4:$E$81,MATCH($E1696,科目表!$B$4:$B$81,0)),""))</f>
        <v/>
      </c>
      <c r="H1696" s="27" t="str">
        <f>IF($E1696="","",N(INDEX(资金日记账!$N$4:$S$603,394,2)))</f>
        <v/>
      </c>
      <c r="I1696" s="27" t="str">
        <f>IF($E1696="","",N(INDEX(资金日记账!$N$4:$S$603,394,3)))</f>
        <v/>
      </c>
      <c r="J1696" s="26" t="str">
        <f>IF($E1696="","",INDEX(资金日记账!$E$4:$E$603,394))</f>
        <v/>
      </c>
      <c r="K1696" s="26" t="str">
        <f>IF($E1696="","",INDEX(资金日记账!$F$4:$F$603,394))</f>
        <v/>
      </c>
      <c r="L1696" s="32" t="str">
        <f>IF($E1696="","",INDEX(资金日记账!$X$4:$X$603,394))</f>
        <v/>
      </c>
      <c r="M1696" s="32"/>
      <c r="N1696" s="26" t="str">
        <f>IF($E1696="","",INDEX(资金日记账!$Y$4:$Y$603,394))</f>
        <v/>
      </c>
      <c r="O1696" s="26" t="str">
        <f t="shared" si="84"/>
        <v/>
      </c>
      <c r="P1696" s="10"/>
    </row>
    <row r="1697" ht="18" customHeight="1" spans="1:16">
      <c r="A1697" s="32" t="str">
        <f t="shared" si="83"/>
        <v/>
      </c>
      <c r="B1697" s="100" t="str">
        <f>IF($E1697="","",INDEX(资金日记账!$B$4:$B$603,394))</f>
        <v/>
      </c>
      <c r="C1697" s="26" t="str">
        <f>IF($E1697="","",IF(INDEX(资金日记账!$W$4:$W$603,394)="","记-"&amp;TEXT($B1697,"YYYYMM")&amp;"-资金",INDEX(资金日记账!$W$4:$W$603,394)))</f>
        <v/>
      </c>
      <c r="D1697" s="32" t="str">
        <f>IF($E1697="","",INDEX(资金日记账!$D$4:$D$603,394))</f>
        <v/>
      </c>
      <c r="E1697" s="26" t="str">
        <f>IF(INDEX(资金日记账!$N$4:$S$603,394,4)=0,"",INDEX(资金日记账!$N$4:$S$603,394,4))</f>
        <v/>
      </c>
      <c r="F1697" s="25" t="str">
        <f>IF($E1697="","",IFERROR(INDEX(科目表!$A$4:$A$81,MATCH($E1697,科目表!$B$4:$B$81,0)),""))</f>
        <v/>
      </c>
      <c r="G1697" s="26" t="str">
        <f>IF($E1697="","",IFERROR(INDEX(科目表!$E$4:$E$81,MATCH($E1697,科目表!$B$4:$B$81,0)),""))</f>
        <v/>
      </c>
      <c r="H1697" s="27" t="str">
        <f>IF($E1697="","",N(INDEX(资金日记账!$N$4:$S$603,394,5)))</f>
        <v/>
      </c>
      <c r="I1697" s="27" t="str">
        <f>IF($E1697="","",N(INDEX(资金日记账!$N$4:$S$603,394,6)))</f>
        <v/>
      </c>
      <c r="J1697" s="26" t="str">
        <f>IF($E1697="","",INDEX(资金日记账!$E$4:$E$603,394))</f>
        <v/>
      </c>
      <c r="K1697" s="26" t="str">
        <f>IF($E1697="","",INDEX(资金日记账!$F$4:$F$603,394))</f>
        <v/>
      </c>
      <c r="L1697" s="32" t="str">
        <f>IF($E1697="","",INDEX(资金日记账!$X$4:$X$603,394))</f>
        <v/>
      </c>
      <c r="M1697" s="32"/>
      <c r="N1697" s="26" t="str">
        <f>IF($E1697="","",INDEX(资金日记账!$Y$4:$Y$603,394))</f>
        <v/>
      </c>
      <c r="O1697" s="26" t="str">
        <f t="shared" si="84"/>
        <v/>
      </c>
      <c r="P1697" s="10"/>
    </row>
    <row r="1698" ht="18" customHeight="1" spans="1:16">
      <c r="A1698" s="32" t="str">
        <f t="shared" si="83"/>
        <v/>
      </c>
      <c r="B1698" s="100" t="str">
        <f>IF($E1698="","",INDEX(资金日记账!$B$4:$B$603,395))</f>
        <v/>
      </c>
      <c r="C1698" s="26" t="str">
        <f>IF($E1698="","",IF(INDEX(资金日记账!$W$4:$W$603,395)="","记-"&amp;TEXT($B1698,"YYYYMM")&amp;"-资金",INDEX(资金日记账!$W$4:$W$603,395)))</f>
        <v/>
      </c>
      <c r="D1698" s="32" t="str">
        <f>IF($E1698="","",INDEX(资金日记账!$D$4:$D$603,395))</f>
        <v/>
      </c>
      <c r="E1698" s="26" t="str">
        <f>IF(INDEX(资金日记账!$N$4:$S$603,395,1)=0,"",INDEX(资金日记账!$N$4:$S$603,395,1))</f>
        <v/>
      </c>
      <c r="F1698" s="25" t="str">
        <f>IF($E1698="","",IFERROR(INDEX(科目表!$A$4:$A$81,MATCH($E1698,科目表!$B$4:$B$81,0)),""))</f>
        <v/>
      </c>
      <c r="G1698" s="26" t="str">
        <f>IF($E1698="","",IFERROR(INDEX(科目表!$E$4:$E$81,MATCH($E1698,科目表!$B$4:$B$81,0)),""))</f>
        <v/>
      </c>
      <c r="H1698" s="27" t="str">
        <f>IF($E1698="","",N(INDEX(资金日记账!$N$4:$S$603,395,2)))</f>
        <v/>
      </c>
      <c r="I1698" s="27" t="str">
        <f>IF($E1698="","",N(INDEX(资金日记账!$N$4:$S$603,395,3)))</f>
        <v/>
      </c>
      <c r="J1698" s="26" t="str">
        <f>IF($E1698="","",INDEX(资金日记账!$E$4:$E$603,395))</f>
        <v/>
      </c>
      <c r="K1698" s="26" t="str">
        <f>IF($E1698="","",INDEX(资金日记账!$F$4:$F$603,395))</f>
        <v/>
      </c>
      <c r="L1698" s="32" t="str">
        <f>IF($E1698="","",INDEX(资金日记账!$X$4:$X$603,395))</f>
        <v/>
      </c>
      <c r="M1698" s="32"/>
      <c r="N1698" s="26" t="str">
        <f>IF($E1698="","",INDEX(资金日记账!$Y$4:$Y$603,395))</f>
        <v/>
      </c>
      <c r="O1698" s="26" t="str">
        <f t="shared" si="84"/>
        <v/>
      </c>
      <c r="P1698" s="10"/>
    </row>
    <row r="1699" ht="18" customHeight="1" spans="1:16">
      <c r="A1699" s="32" t="str">
        <f t="shared" si="83"/>
        <v/>
      </c>
      <c r="B1699" s="100" t="str">
        <f>IF($E1699="","",INDEX(资金日记账!$B$4:$B$603,395))</f>
        <v/>
      </c>
      <c r="C1699" s="26" t="str">
        <f>IF($E1699="","",IF(INDEX(资金日记账!$W$4:$W$603,395)="","记-"&amp;TEXT($B1699,"YYYYMM")&amp;"-资金",INDEX(资金日记账!$W$4:$W$603,395)))</f>
        <v/>
      </c>
      <c r="D1699" s="32" t="str">
        <f>IF($E1699="","",INDEX(资金日记账!$D$4:$D$603,395))</f>
        <v/>
      </c>
      <c r="E1699" s="26" t="str">
        <f>IF(INDEX(资金日记账!$N$4:$S$603,395,4)=0,"",INDEX(资金日记账!$N$4:$S$603,395,4))</f>
        <v/>
      </c>
      <c r="F1699" s="25" t="str">
        <f>IF($E1699="","",IFERROR(INDEX(科目表!$A$4:$A$81,MATCH($E1699,科目表!$B$4:$B$81,0)),""))</f>
        <v/>
      </c>
      <c r="G1699" s="26" t="str">
        <f>IF($E1699="","",IFERROR(INDEX(科目表!$E$4:$E$81,MATCH($E1699,科目表!$B$4:$B$81,0)),""))</f>
        <v/>
      </c>
      <c r="H1699" s="27" t="str">
        <f>IF($E1699="","",N(INDEX(资金日记账!$N$4:$S$603,395,5)))</f>
        <v/>
      </c>
      <c r="I1699" s="27" t="str">
        <f>IF($E1699="","",N(INDEX(资金日记账!$N$4:$S$603,395,6)))</f>
        <v/>
      </c>
      <c r="J1699" s="26" t="str">
        <f>IF($E1699="","",INDEX(资金日记账!$E$4:$E$603,395))</f>
        <v/>
      </c>
      <c r="K1699" s="26" t="str">
        <f>IF($E1699="","",INDEX(资金日记账!$F$4:$F$603,395))</f>
        <v/>
      </c>
      <c r="L1699" s="32" t="str">
        <f>IF($E1699="","",INDEX(资金日记账!$X$4:$X$603,395))</f>
        <v/>
      </c>
      <c r="M1699" s="32"/>
      <c r="N1699" s="26" t="str">
        <f>IF($E1699="","",INDEX(资金日记账!$Y$4:$Y$603,395))</f>
        <v/>
      </c>
      <c r="O1699" s="26" t="str">
        <f t="shared" si="84"/>
        <v/>
      </c>
      <c r="P1699" s="10"/>
    </row>
    <row r="1700" ht="18" customHeight="1" spans="1:16">
      <c r="A1700" s="32" t="str">
        <f t="shared" si="83"/>
        <v/>
      </c>
      <c r="B1700" s="100" t="str">
        <f>IF($E1700="","",INDEX(资金日记账!$B$4:$B$603,396))</f>
        <v/>
      </c>
      <c r="C1700" s="26" t="str">
        <f>IF($E1700="","",IF(INDEX(资金日记账!$W$4:$W$603,396)="","记-"&amp;TEXT($B1700,"YYYYMM")&amp;"-资金",INDEX(资金日记账!$W$4:$W$603,396)))</f>
        <v/>
      </c>
      <c r="D1700" s="32" t="str">
        <f>IF($E1700="","",INDEX(资金日记账!$D$4:$D$603,396))</f>
        <v/>
      </c>
      <c r="E1700" s="26" t="str">
        <f>IF(INDEX(资金日记账!$N$4:$S$603,396,1)=0,"",INDEX(资金日记账!$N$4:$S$603,396,1))</f>
        <v/>
      </c>
      <c r="F1700" s="25" t="str">
        <f>IF($E1700="","",IFERROR(INDEX(科目表!$A$4:$A$81,MATCH($E1700,科目表!$B$4:$B$81,0)),""))</f>
        <v/>
      </c>
      <c r="G1700" s="26" t="str">
        <f>IF($E1700="","",IFERROR(INDEX(科目表!$E$4:$E$81,MATCH($E1700,科目表!$B$4:$B$81,0)),""))</f>
        <v/>
      </c>
      <c r="H1700" s="27" t="str">
        <f>IF($E1700="","",N(INDEX(资金日记账!$N$4:$S$603,396,2)))</f>
        <v/>
      </c>
      <c r="I1700" s="27" t="str">
        <f>IF($E1700="","",N(INDEX(资金日记账!$N$4:$S$603,396,3)))</f>
        <v/>
      </c>
      <c r="J1700" s="26" t="str">
        <f>IF($E1700="","",INDEX(资金日记账!$E$4:$E$603,396))</f>
        <v/>
      </c>
      <c r="K1700" s="26" t="str">
        <f>IF($E1700="","",INDEX(资金日记账!$F$4:$F$603,396))</f>
        <v/>
      </c>
      <c r="L1700" s="32" t="str">
        <f>IF($E1700="","",INDEX(资金日记账!$X$4:$X$603,396))</f>
        <v/>
      </c>
      <c r="M1700" s="32"/>
      <c r="N1700" s="26" t="str">
        <f>IF($E1700="","",INDEX(资金日记账!$Y$4:$Y$603,396))</f>
        <v/>
      </c>
      <c r="O1700" s="26" t="str">
        <f t="shared" si="84"/>
        <v/>
      </c>
      <c r="P1700" s="10"/>
    </row>
    <row r="1701" ht="18" customHeight="1" spans="1:16">
      <c r="A1701" s="32" t="str">
        <f t="shared" si="83"/>
        <v/>
      </c>
      <c r="B1701" s="100" t="str">
        <f>IF($E1701="","",INDEX(资金日记账!$B$4:$B$603,396))</f>
        <v/>
      </c>
      <c r="C1701" s="26" t="str">
        <f>IF($E1701="","",IF(INDEX(资金日记账!$W$4:$W$603,396)="","记-"&amp;TEXT($B1701,"YYYYMM")&amp;"-资金",INDEX(资金日记账!$W$4:$W$603,396)))</f>
        <v/>
      </c>
      <c r="D1701" s="32" t="str">
        <f>IF($E1701="","",INDEX(资金日记账!$D$4:$D$603,396))</f>
        <v/>
      </c>
      <c r="E1701" s="26" t="str">
        <f>IF(INDEX(资金日记账!$N$4:$S$603,396,4)=0,"",INDEX(资金日记账!$N$4:$S$603,396,4))</f>
        <v/>
      </c>
      <c r="F1701" s="25" t="str">
        <f>IF($E1701="","",IFERROR(INDEX(科目表!$A$4:$A$81,MATCH($E1701,科目表!$B$4:$B$81,0)),""))</f>
        <v/>
      </c>
      <c r="G1701" s="26" t="str">
        <f>IF($E1701="","",IFERROR(INDEX(科目表!$E$4:$E$81,MATCH($E1701,科目表!$B$4:$B$81,0)),""))</f>
        <v/>
      </c>
      <c r="H1701" s="27" t="str">
        <f>IF($E1701="","",N(INDEX(资金日记账!$N$4:$S$603,396,5)))</f>
        <v/>
      </c>
      <c r="I1701" s="27" t="str">
        <f>IF($E1701="","",N(INDEX(资金日记账!$N$4:$S$603,396,6)))</f>
        <v/>
      </c>
      <c r="J1701" s="26" t="str">
        <f>IF($E1701="","",INDEX(资金日记账!$E$4:$E$603,396))</f>
        <v/>
      </c>
      <c r="K1701" s="26" t="str">
        <f>IF($E1701="","",INDEX(资金日记账!$F$4:$F$603,396))</f>
        <v/>
      </c>
      <c r="L1701" s="32" t="str">
        <f>IF($E1701="","",INDEX(资金日记账!$X$4:$X$603,396))</f>
        <v/>
      </c>
      <c r="M1701" s="32"/>
      <c r="N1701" s="26" t="str">
        <f>IF($E1701="","",INDEX(资金日记账!$Y$4:$Y$603,396))</f>
        <v/>
      </c>
      <c r="O1701" s="26" t="str">
        <f t="shared" si="84"/>
        <v/>
      </c>
      <c r="P1701" s="10"/>
    </row>
    <row r="1702" ht="18" customHeight="1" spans="1:16">
      <c r="A1702" s="32" t="str">
        <f t="shared" si="83"/>
        <v/>
      </c>
      <c r="B1702" s="100" t="str">
        <f>IF($E1702="","",INDEX(资金日记账!$B$4:$B$603,397))</f>
        <v/>
      </c>
      <c r="C1702" s="26" t="str">
        <f>IF($E1702="","",IF(INDEX(资金日记账!$W$4:$W$603,397)="","记-"&amp;TEXT($B1702,"YYYYMM")&amp;"-资金",INDEX(资金日记账!$W$4:$W$603,397)))</f>
        <v/>
      </c>
      <c r="D1702" s="32" t="str">
        <f>IF($E1702="","",INDEX(资金日记账!$D$4:$D$603,397))</f>
        <v/>
      </c>
      <c r="E1702" s="26" t="str">
        <f>IF(INDEX(资金日记账!$N$4:$S$603,397,1)=0,"",INDEX(资金日记账!$N$4:$S$603,397,1))</f>
        <v/>
      </c>
      <c r="F1702" s="25" t="str">
        <f>IF($E1702="","",IFERROR(INDEX(科目表!$A$4:$A$81,MATCH($E1702,科目表!$B$4:$B$81,0)),""))</f>
        <v/>
      </c>
      <c r="G1702" s="26" t="str">
        <f>IF($E1702="","",IFERROR(INDEX(科目表!$E$4:$E$81,MATCH($E1702,科目表!$B$4:$B$81,0)),""))</f>
        <v/>
      </c>
      <c r="H1702" s="27" t="str">
        <f>IF($E1702="","",N(INDEX(资金日记账!$N$4:$S$603,397,2)))</f>
        <v/>
      </c>
      <c r="I1702" s="27" t="str">
        <f>IF($E1702="","",N(INDEX(资金日记账!$N$4:$S$603,397,3)))</f>
        <v/>
      </c>
      <c r="J1702" s="26" t="str">
        <f>IF($E1702="","",INDEX(资金日记账!$E$4:$E$603,397))</f>
        <v/>
      </c>
      <c r="K1702" s="26" t="str">
        <f>IF($E1702="","",INDEX(资金日记账!$F$4:$F$603,397))</f>
        <v/>
      </c>
      <c r="L1702" s="32" t="str">
        <f>IF($E1702="","",INDEX(资金日记账!$X$4:$X$603,397))</f>
        <v/>
      </c>
      <c r="M1702" s="32"/>
      <c r="N1702" s="26" t="str">
        <f>IF($E1702="","",INDEX(资金日记账!$Y$4:$Y$603,397))</f>
        <v/>
      </c>
      <c r="O1702" s="26" t="str">
        <f t="shared" si="84"/>
        <v/>
      </c>
      <c r="P1702" s="10"/>
    </row>
    <row r="1703" ht="18" customHeight="1" spans="1:16">
      <c r="A1703" s="32" t="str">
        <f t="shared" si="83"/>
        <v/>
      </c>
      <c r="B1703" s="100" t="str">
        <f>IF($E1703="","",INDEX(资金日记账!$B$4:$B$603,397))</f>
        <v/>
      </c>
      <c r="C1703" s="26" t="str">
        <f>IF($E1703="","",IF(INDEX(资金日记账!$W$4:$W$603,397)="","记-"&amp;TEXT($B1703,"YYYYMM")&amp;"-资金",INDEX(资金日记账!$W$4:$W$603,397)))</f>
        <v/>
      </c>
      <c r="D1703" s="32" t="str">
        <f>IF($E1703="","",INDEX(资金日记账!$D$4:$D$603,397))</f>
        <v/>
      </c>
      <c r="E1703" s="26" t="str">
        <f>IF(INDEX(资金日记账!$N$4:$S$603,397,4)=0,"",INDEX(资金日记账!$N$4:$S$603,397,4))</f>
        <v/>
      </c>
      <c r="F1703" s="25" t="str">
        <f>IF($E1703="","",IFERROR(INDEX(科目表!$A$4:$A$81,MATCH($E1703,科目表!$B$4:$B$81,0)),""))</f>
        <v/>
      </c>
      <c r="G1703" s="26" t="str">
        <f>IF($E1703="","",IFERROR(INDEX(科目表!$E$4:$E$81,MATCH($E1703,科目表!$B$4:$B$81,0)),""))</f>
        <v/>
      </c>
      <c r="H1703" s="27" t="str">
        <f>IF($E1703="","",N(INDEX(资金日记账!$N$4:$S$603,397,5)))</f>
        <v/>
      </c>
      <c r="I1703" s="27" t="str">
        <f>IF($E1703="","",N(INDEX(资金日记账!$N$4:$S$603,397,6)))</f>
        <v/>
      </c>
      <c r="J1703" s="26" t="str">
        <f>IF($E1703="","",INDEX(资金日记账!$E$4:$E$603,397))</f>
        <v/>
      </c>
      <c r="K1703" s="26" t="str">
        <f>IF($E1703="","",INDEX(资金日记账!$F$4:$F$603,397))</f>
        <v/>
      </c>
      <c r="L1703" s="32" t="str">
        <f>IF($E1703="","",INDEX(资金日记账!$X$4:$X$603,397))</f>
        <v/>
      </c>
      <c r="M1703" s="32"/>
      <c r="N1703" s="26" t="str">
        <f>IF($E1703="","",INDEX(资金日记账!$Y$4:$Y$603,397))</f>
        <v/>
      </c>
      <c r="O1703" s="26" t="str">
        <f t="shared" si="84"/>
        <v/>
      </c>
      <c r="P1703" s="10"/>
    </row>
    <row r="1704" ht="18" customHeight="1" spans="1:16">
      <c r="A1704" s="32" t="str">
        <f t="shared" si="83"/>
        <v/>
      </c>
      <c r="B1704" s="100" t="str">
        <f>IF($E1704="","",INDEX(资金日记账!$B$4:$B$603,398))</f>
        <v/>
      </c>
      <c r="C1704" s="26" t="str">
        <f>IF($E1704="","",IF(INDEX(资金日记账!$W$4:$W$603,398)="","记-"&amp;TEXT($B1704,"YYYYMM")&amp;"-资金",INDEX(资金日记账!$W$4:$W$603,398)))</f>
        <v/>
      </c>
      <c r="D1704" s="32" t="str">
        <f>IF($E1704="","",INDEX(资金日记账!$D$4:$D$603,398))</f>
        <v/>
      </c>
      <c r="E1704" s="26" t="str">
        <f>IF(INDEX(资金日记账!$N$4:$S$603,398,1)=0,"",INDEX(资金日记账!$N$4:$S$603,398,1))</f>
        <v/>
      </c>
      <c r="F1704" s="25" t="str">
        <f>IF($E1704="","",IFERROR(INDEX(科目表!$A$4:$A$81,MATCH($E1704,科目表!$B$4:$B$81,0)),""))</f>
        <v/>
      </c>
      <c r="G1704" s="26" t="str">
        <f>IF($E1704="","",IFERROR(INDEX(科目表!$E$4:$E$81,MATCH($E1704,科目表!$B$4:$B$81,0)),""))</f>
        <v/>
      </c>
      <c r="H1704" s="27" t="str">
        <f>IF($E1704="","",N(INDEX(资金日记账!$N$4:$S$603,398,2)))</f>
        <v/>
      </c>
      <c r="I1704" s="27" t="str">
        <f>IF($E1704="","",N(INDEX(资金日记账!$N$4:$S$603,398,3)))</f>
        <v/>
      </c>
      <c r="J1704" s="26" t="str">
        <f>IF($E1704="","",INDEX(资金日记账!$E$4:$E$603,398))</f>
        <v/>
      </c>
      <c r="K1704" s="26" t="str">
        <f>IF($E1704="","",INDEX(资金日记账!$F$4:$F$603,398))</f>
        <v/>
      </c>
      <c r="L1704" s="32" t="str">
        <f>IF($E1704="","",INDEX(资金日记账!$X$4:$X$603,398))</f>
        <v/>
      </c>
      <c r="M1704" s="32"/>
      <c r="N1704" s="26" t="str">
        <f>IF($E1704="","",INDEX(资金日记账!$Y$4:$Y$603,398))</f>
        <v/>
      </c>
      <c r="O1704" s="26" t="str">
        <f t="shared" si="84"/>
        <v/>
      </c>
      <c r="P1704" s="10"/>
    </row>
    <row r="1705" ht="18" customHeight="1" spans="1:16">
      <c r="A1705" s="32" t="str">
        <f t="shared" si="83"/>
        <v/>
      </c>
      <c r="B1705" s="100" t="str">
        <f>IF($E1705="","",INDEX(资金日记账!$B$4:$B$603,398))</f>
        <v/>
      </c>
      <c r="C1705" s="26" t="str">
        <f>IF($E1705="","",IF(INDEX(资金日记账!$W$4:$W$603,398)="","记-"&amp;TEXT($B1705,"YYYYMM")&amp;"-资金",INDEX(资金日记账!$W$4:$W$603,398)))</f>
        <v/>
      </c>
      <c r="D1705" s="32" t="str">
        <f>IF($E1705="","",INDEX(资金日记账!$D$4:$D$603,398))</f>
        <v/>
      </c>
      <c r="E1705" s="26" t="str">
        <f>IF(INDEX(资金日记账!$N$4:$S$603,398,4)=0,"",INDEX(资金日记账!$N$4:$S$603,398,4))</f>
        <v/>
      </c>
      <c r="F1705" s="25" t="str">
        <f>IF($E1705="","",IFERROR(INDEX(科目表!$A$4:$A$81,MATCH($E1705,科目表!$B$4:$B$81,0)),""))</f>
        <v/>
      </c>
      <c r="G1705" s="26" t="str">
        <f>IF($E1705="","",IFERROR(INDEX(科目表!$E$4:$E$81,MATCH($E1705,科目表!$B$4:$B$81,0)),""))</f>
        <v/>
      </c>
      <c r="H1705" s="27" t="str">
        <f>IF($E1705="","",N(INDEX(资金日记账!$N$4:$S$603,398,5)))</f>
        <v/>
      </c>
      <c r="I1705" s="27" t="str">
        <f>IF($E1705="","",N(INDEX(资金日记账!$N$4:$S$603,398,6)))</f>
        <v/>
      </c>
      <c r="J1705" s="26" t="str">
        <f>IF($E1705="","",INDEX(资金日记账!$E$4:$E$603,398))</f>
        <v/>
      </c>
      <c r="K1705" s="26" t="str">
        <f>IF($E1705="","",INDEX(资金日记账!$F$4:$F$603,398))</f>
        <v/>
      </c>
      <c r="L1705" s="32" t="str">
        <f>IF($E1705="","",INDEX(资金日记账!$X$4:$X$603,398))</f>
        <v/>
      </c>
      <c r="M1705" s="32"/>
      <c r="N1705" s="26" t="str">
        <f>IF($E1705="","",INDEX(资金日记账!$Y$4:$Y$603,398))</f>
        <v/>
      </c>
      <c r="O1705" s="26" t="str">
        <f t="shared" si="84"/>
        <v/>
      </c>
      <c r="P1705" s="10"/>
    </row>
    <row r="1706" ht="18" customHeight="1" spans="1:16">
      <c r="A1706" s="32" t="str">
        <f t="shared" si="83"/>
        <v/>
      </c>
      <c r="B1706" s="100" t="str">
        <f>IF($E1706="","",INDEX(资金日记账!$B$4:$B$603,399))</f>
        <v/>
      </c>
      <c r="C1706" s="26" t="str">
        <f>IF($E1706="","",IF(INDEX(资金日记账!$W$4:$W$603,399)="","记-"&amp;TEXT($B1706,"YYYYMM")&amp;"-资金",INDEX(资金日记账!$W$4:$W$603,399)))</f>
        <v/>
      </c>
      <c r="D1706" s="32" t="str">
        <f>IF($E1706="","",INDEX(资金日记账!$D$4:$D$603,399))</f>
        <v/>
      </c>
      <c r="E1706" s="26" t="str">
        <f>IF(INDEX(资金日记账!$N$4:$S$603,399,1)=0,"",INDEX(资金日记账!$N$4:$S$603,399,1))</f>
        <v/>
      </c>
      <c r="F1706" s="25" t="str">
        <f>IF($E1706="","",IFERROR(INDEX(科目表!$A$4:$A$81,MATCH($E1706,科目表!$B$4:$B$81,0)),""))</f>
        <v/>
      </c>
      <c r="G1706" s="26" t="str">
        <f>IF($E1706="","",IFERROR(INDEX(科目表!$E$4:$E$81,MATCH($E1706,科目表!$B$4:$B$81,0)),""))</f>
        <v/>
      </c>
      <c r="H1706" s="27" t="str">
        <f>IF($E1706="","",N(INDEX(资金日记账!$N$4:$S$603,399,2)))</f>
        <v/>
      </c>
      <c r="I1706" s="27" t="str">
        <f>IF($E1706="","",N(INDEX(资金日记账!$N$4:$S$603,399,3)))</f>
        <v/>
      </c>
      <c r="J1706" s="26" t="str">
        <f>IF($E1706="","",INDEX(资金日记账!$E$4:$E$603,399))</f>
        <v/>
      </c>
      <c r="K1706" s="26" t="str">
        <f>IF($E1706="","",INDEX(资金日记账!$F$4:$F$603,399))</f>
        <v/>
      </c>
      <c r="L1706" s="32" t="str">
        <f>IF($E1706="","",INDEX(资金日记账!$X$4:$X$603,399))</f>
        <v/>
      </c>
      <c r="M1706" s="32"/>
      <c r="N1706" s="26" t="str">
        <f>IF($E1706="","",INDEX(资金日记账!$Y$4:$Y$603,399))</f>
        <v/>
      </c>
      <c r="O1706" s="26" t="str">
        <f t="shared" si="84"/>
        <v/>
      </c>
      <c r="P1706" s="10"/>
    </row>
    <row r="1707" ht="18" customHeight="1" spans="1:16">
      <c r="A1707" s="32" t="str">
        <f t="shared" si="83"/>
        <v/>
      </c>
      <c r="B1707" s="100" t="str">
        <f>IF($E1707="","",INDEX(资金日记账!$B$4:$B$603,399))</f>
        <v/>
      </c>
      <c r="C1707" s="26" t="str">
        <f>IF($E1707="","",IF(INDEX(资金日记账!$W$4:$W$603,399)="","记-"&amp;TEXT($B1707,"YYYYMM")&amp;"-资金",INDEX(资金日记账!$W$4:$W$603,399)))</f>
        <v/>
      </c>
      <c r="D1707" s="32" t="str">
        <f>IF($E1707="","",INDEX(资金日记账!$D$4:$D$603,399))</f>
        <v/>
      </c>
      <c r="E1707" s="26" t="str">
        <f>IF(INDEX(资金日记账!$N$4:$S$603,399,4)=0,"",INDEX(资金日记账!$N$4:$S$603,399,4))</f>
        <v/>
      </c>
      <c r="F1707" s="25" t="str">
        <f>IF($E1707="","",IFERROR(INDEX(科目表!$A$4:$A$81,MATCH($E1707,科目表!$B$4:$B$81,0)),""))</f>
        <v/>
      </c>
      <c r="G1707" s="26" t="str">
        <f>IF($E1707="","",IFERROR(INDEX(科目表!$E$4:$E$81,MATCH($E1707,科目表!$B$4:$B$81,0)),""))</f>
        <v/>
      </c>
      <c r="H1707" s="27" t="str">
        <f>IF($E1707="","",N(INDEX(资金日记账!$N$4:$S$603,399,5)))</f>
        <v/>
      </c>
      <c r="I1707" s="27" t="str">
        <f>IF($E1707="","",N(INDEX(资金日记账!$N$4:$S$603,399,6)))</f>
        <v/>
      </c>
      <c r="J1707" s="26" t="str">
        <f>IF($E1707="","",INDEX(资金日记账!$E$4:$E$603,399))</f>
        <v/>
      </c>
      <c r="K1707" s="26" t="str">
        <f>IF($E1707="","",INDEX(资金日记账!$F$4:$F$603,399))</f>
        <v/>
      </c>
      <c r="L1707" s="32" t="str">
        <f>IF($E1707="","",INDEX(资金日记账!$X$4:$X$603,399))</f>
        <v/>
      </c>
      <c r="M1707" s="32"/>
      <c r="N1707" s="26" t="str">
        <f>IF($E1707="","",INDEX(资金日记账!$Y$4:$Y$603,399))</f>
        <v/>
      </c>
      <c r="O1707" s="26" t="str">
        <f t="shared" si="84"/>
        <v/>
      </c>
      <c r="P1707" s="10"/>
    </row>
    <row r="1708" ht="18" customHeight="1" spans="1:16">
      <c r="A1708" s="32" t="str">
        <f t="shared" si="83"/>
        <v/>
      </c>
      <c r="B1708" s="100" t="str">
        <f>IF($E1708="","",INDEX(资金日记账!$B$4:$B$603,400))</f>
        <v/>
      </c>
      <c r="C1708" s="26" t="str">
        <f>IF($E1708="","",IF(INDEX(资金日记账!$W$4:$W$603,400)="","记-"&amp;TEXT($B1708,"YYYYMM")&amp;"-资金",INDEX(资金日记账!$W$4:$W$603,400)))</f>
        <v/>
      </c>
      <c r="D1708" s="32" t="str">
        <f>IF($E1708="","",INDEX(资金日记账!$D$4:$D$603,400))</f>
        <v/>
      </c>
      <c r="E1708" s="26" t="str">
        <f>IF(INDEX(资金日记账!$N$4:$S$603,400,1)=0,"",INDEX(资金日记账!$N$4:$S$603,400,1))</f>
        <v/>
      </c>
      <c r="F1708" s="25" t="str">
        <f>IF($E1708="","",IFERROR(INDEX(科目表!$A$4:$A$81,MATCH($E1708,科目表!$B$4:$B$81,0)),""))</f>
        <v/>
      </c>
      <c r="G1708" s="26" t="str">
        <f>IF($E1708="","",IFERROR(INDEX(科目表!$E$4:$E$81,MATCH($E1708,科目表!$B$4:$B$81,0)),""))</f>
        <v/>
      </c>
      <c r="H1708" s="27" t="str">
        <f>IF($E1708="","",N(INDEX(资金日记账!$N$4:$S$603,400,2)))</f>
        <v/>
      </c>
      <c r="I1708" s="27" t="str">
        <f>IF($E1708="","",N(INDEX(资金日记账!$N$4:$S$603,400,3)))</f>
        <v/>
      </c>
      <c r="J1708" s="26" t="str">
        <f>IF($E1708="","",INDEX(资金日记账!$E$4:$E$603,400))</f>
        <v/>
      </c>
      <c r="K1708" s="26" t="str">
        <f>IF($E1708="","",INDEX(资金日记账!$F$4:$F$603,400))</f>
        <v/>
      </c>
      <c r="L1708" s="32" t="str">
        <f>IF($E1708="","",INDEX(资金日记账!$X$4:$X$603,400))</f>
        <v/>
      </c>
      <c r="M1708" s="32"/>
      <c r="N1708" s="26" t="str">
        <f>IF($E1708="","",INDEX(资金日记账!$Y$4:$Y$603,400))</f>
        <v/>
      </c>
      <c r="O1708" s="26" t="str">
        <f t="shared" si="84"/>
        <v/>
      </c>
      <c r="P1708" s="10"/>
    </row>
    <row r="1709" ht="18" customHeight="1" spans="1:16">
      <c r="A1709" s="32" t="str">
        <f t="shared" si="83"/>
        <v/>
      </c>
      <c r="B1709" s="100" t="str">
        <f>IF($E1709="","",INDEX(资金日记账!$B$4:$B$603,400))</f>
        <v/>
      </c>
      <c r="C1709" s="26" t="str">
        <f>IF($E1709="","",IF(INDEX(资金日记账!$W$4:$W$603,400)="","记-"&amp;TEXT($B1709,"YYYYMM")&amp;"-资金",INDEX(资金日记账!$W$4:$W$603,400)))</f>
        <v/>
      </c>
      <c r="D1709" s="32" t="str">
        <f>IF($E1709="","",INDEX(资金日记账!$D$4:$D$603,400))</f>
        <v/>
      </c>
      <c r="E1709" s="26" t="str">
        <f>IF(INDEX(资金日记账!$N$4:$S$603,400,4)=0,"",INDEX(资金日记账!$N$4:$S$603,400,4))</f>
        <v/>
      </c>
      <c r="F1709" s="25" t="str">
        <f>IF($E1709="","",IFERROR(INDEX(科目表!$A$4:$A$81,MATCH($E1709,科目表!$B$4:$B$81,0)),""))</f>
        <v/>
      </c>
      <c r="G1709" s="26" t="str">
        <f>IF($E1709="","",IFERROR(INDEX(科目表!$E$4:$E$81,MATCH($E1709,科目表!$B$4:$B$81,0)),""))</f>
        <v/>
      </c>
      <c r="H1709" s="27" t="str">
        <f>IF($E1709="","",N(INDEX(资金日记账!$N$4:$S$603,400,5)))</f>
        <v/>
      </c>
      <c r="I1709" s="27" t="str">
        <f>IF($E1709="","",N(INDEX(资金日记账!$N$4:$S$603,400,6)))</f>
        <v/>
      </c>
      <c r="J1709" s="26" t="str">
        <f>IF($E1709="","",INDEX(资金日记账!$E$4:$E$603,400))</f>
        <v/>
      </c>
      <c r="K1709" s="26" t="str">
        <f>IF($E1709="","",INDEX(资金日记账!$F$4:$F$603,400))</f>
        <v/>
      </c>
      <c r="L1709" s="32" t="str">
        <f>IF($E1709="","",INDEX(资金日记账!$X$4:$X$603,400))</f>
        <v/>
      </c>
      <c r="M1709" s="32"/>
      <c r="N1709" s="26" t="str">
        <f>IF($E1709="","",INDEX(资金日记账!$Y$4:$Y$603,400))</f>
        <v/>
      </c>
      <c r="O1709" s="26" t="str">
        <f t="shared" si="84"/>
        <v/>
      </c>
      <c r="P1709" s="10"/>
    </row>
    <row r="1710" ht="18" customHeight="1" spans="1:16">
      <c r="A1710" s="32" t="str">
        <f t="shared" si="83"/>
        <v/>
      </c>
      <c r="B1710" s="100" t="str">
        <f>IF($E1710="","",INDEX(资金日记账!$B$4:$B$603,401))</f>
        <v/>
      </c>
      <c r="C1710" s="26" t="str">
        <f>IF($E1710="","",IF(INDEX(资金日记账!$W$4:$W$603,401)="","记-"&amp;TEXT($B1710,"YYYYMM")&amp;"-资金",INDEX(资金日记账!$W$4:$W$603,401)))</f>
        <v/>
      </c>
      <c r="D1710" s="32" t="str">
        <f>IF($E1710="","",INDEX(资金日记账!$D$4:$D$603,401))</f>
        <v/>
      </c>
      <c r="E1710" s="26" t="str">
        <f>IF(INDEX(资金日记账!$N$4:$S$603,401,1)=0,"",INDEX(资金日记账!$N$4:$S$603,401,1))</f>
        <v/>
      </c>
      <c r="F1710" s="25" t="str">
        <f>IF($E1710="","",IFERROR(INDEX(科目表!$A$4:$A$81,MATCH($E1710,科目表!$B$4:$B$81,0)),""))</f>
        <v/>
      </c>
      <c r="G1710" s="26" t="str">
        <f>IF($E1710="","",IFERROR(INDEX(科目表!$E$4:$E$81,MATCH($E1710,科目表!$B$4:$B$81,0)),""))</f>
        <v/>
      </c>
      <c r="H1710" s="27" t="str">
        <f>IF($E1710="","",N(INDEX(资金日记账!$N$4:$S$603,401,2)))</f>
        <v/>
      </c>
      <c r="I1710" s="27" t="str">
        <f>IF($E1710="","",N(INDEX(资金日记账!$N$4:$S$603,401,3)))</f>
        <v/>
      </c>
      <c r="J1710" s="26" t="str">
        <f>IF($E1710="","",INDEX(资金日记账!$E$4:$E$603,401))</f>
        <v/>
      </c>
      <c r="K1710" s="26" t="str">
        <f>IF($E1710="","",INDEX(资金日记账!$F$4:$F$603,401))</f>
        <v/>
      </c>
      <c r="L1710" s="32" t="str">
        <f>IF($E1710="","",INDEX(资金日记账!$X$4:$X$603,401))</f>
        <v/>
      </c>
      <c r="M1710" s="32"/>
      <c r="N1710" s="26" t="str">
        <f>IF($E1710="","",INDEX(资金日记账!$Y$4:$Y$603,401))</f>
        <v/>
      </c>
      <c r="O1710" s="26" t="str">
        <f t="shared" si="84"/>
        <v/>
      </c>
      <c r="P1710" s="10"/>
    </row>
    <row r="1711" ht="18" customHeight="1" spans="1:16">
      <c r="A1711" s="32" t="str">
        <f t="shared" si="83"/>
        <v/>
      </c>
      <c r="B1711" s="100" t="str">
        <f>IF($E1711="","",INDEX(资金日记账!$B$4:$B$603,401))</f>
        <v/>
      </c>
      <c r="C1711" s="26" t="str">
        <f>IF($E1711="","",IF(INDEX(资金日记账!$W$4:$W$603,401)="","记-"&amp;TEXT($B1711,"YYYYMM")&amp;"-资金",INDEX(资金日记账!$W$4:$W$603,401)))</f>
        <v/>
      </c>
      <c r="D1711" s="32" t="str">
        <f>IF($E1711="","",INDEX(资金日记账!$D$4:$D$603,401))</f>
        <v/>
      </c>
      <c r="E1711" s="26" t="str">
        <f>IF(INDEX(资金日记账!$N$4:$S$603,401,4)=0,"",INDEX(资金日记账!$N$4:$S$603,401,4))</f>
        <v/>
      </c>
      <c r="F1711" s="25" t="str">
        <f>IF($E1711="","",IFERROR(INDEX(科目表!$A$4:$A$81,MATCH($E1711,科目表!$B$4:$B$81,0)),""))</f>
        <v/>
      </c>
      <c r="G1711" s="26" t="str">
        <f>IF($E1711="","",IFERROR(INDEX(科目表!$E$4:$E$81,MATCH($E1711,科目表!$B$4:$B$81,0)),""))</f>
        <v/>
      </c>
      <c r="H1711" s="27" t="str">
        <f>IF($E1711="","",N(INDEX(资金日记账!$N$4:$S$603,401,5)))</f>
        <v/>
      </c>
      <c r="I1711" s="27" t="str">
        <f>IF($E1711="","",N(INDEX(资金日记账!$N$4:$S$603,401,6)))</f>
        <v/>
      </c>
      <c r="J1711" s="26" t="str">
        <f>IF($E1711="","",INDEX(资金日记账!$E$4:$E$603,401))</f>
        <v/>
      </c>
      <c r="K1711" s="26" t="str">
        <f>IF($E1711="","",INDEX(资金日记账!$F$4:$F$603,401))</f>
        <v/>
      </c>
      <c r="L1711" s="32" t="str">
        <f>IF($E1711="","",INDEX(资金日记账!$X$4:$X$603,401))</f>
        <v/>
      </c>
      <c r="M1711" s="32"/>
      <c r="N1711" s="26" t="str">
        <f>IF($E1711="","",INDEX(资金日记账!$Y$4:$Y$603,401))</f>
        <v/>
      </c>
      <c r="O1711" s="26" t="str">
        <f t="shared" si="84"/>
        <v/>
      </c>
      <c r="P1711" s="10"/>
    </row>
    <row r="1712" ht="18" customHeight="1" spans="1:16">
      <c r="A1712" s="32" t="str">
        <f t="shared" si="83"/>
        <v/>
      </c>
      <c r="B1712" s="100" t="str">
        <f>IF($E1712="","",INDEX(资金日记账!$B$4:$B$603,402))</f>
        <v/>
      </c>
      <c r="C1712" s="26" t="str">
        <f>IF($E1712="","",IF(INDEX(资金日记账!$W$4:$W$603,402)="","记-"&amp;TEXT($B1712,"YYYYMM")&amp;"-资金",INDEX(资金日记账!$W$4:$W$603,402)))</f>
        <v/>
      </c>
      <c r="D1712" s="32" t="str">
        <f>IF($E1712="","",INDEX(资金日记账!$D$4:$D$603,402))</f>
        <v/>
      </c>
      <c r="E1712" s="26" t="str">
        <f>IF(INDEX(资金日记账!$N$4:$S$603,402,1)=0,"",INDEX(资金日记账!$N$4:$S$603,402,1))</f>
        <v/>
      </c>
      <c r="F1712" s="25" t="str">
        <f>IF($E1712="","",IFERROR(INDEX(科目表!$A$4:$A$81,MATCH($E1712,科目表!$B$4:$B$81,0)),""))</f>
        <v/>
      </c>
      <c r="G1712" s="26" t="str">
        <f>IF($E1712="","",IFERROR(INDEX(科目表!$E$4:$E$81,MATCH($E1712,科目表!$B$4:$B$81,0)),""))</f>
        <v/>
      </c>
      <c r="H1712" s="27" t="str">
        <f>IF($E1712="","",N(INDEX(资金日记账!$N$4:$S$603,402,2)))</f>
        <v/>
      </c>
      <c r="I1712" s="27" t="str">
        <f>IF($E1712="","",N(INDEX(资金日记账!$N$4:$S$603,402,3)))</f>
        <v/>
      </c>
      <c r="J1712" s="26" t="str">
        <f>IF($E1712="","",INDEX(资金日记账!$E$4:$E$603,402))</f>
        <v/>
      </c>
      <c r="K1712" s="26" t="str">
        <f>IF($E1712="","",INDEX(资金日记账!$F$4:$F$603,402))</f>
        <v/>
      </c>
      <c r="L1712" s="32" t="str">
        <f>IF($E1712="","",INDEX(资金日记账!$X$4:$X$603,402))</f>
        <v/>
      </c>
      <c r="M1712" s="32"/>
      <c r="N1712" s="26" t="str">
        <f>IF($E1712="","",INDEX(资金日记账!$Y$4:$Y$603,402))</f>
        <v/>
      </c>
      <c r="O1712" s="26" t="str">
        <f t="shared" si="84"/>
        <v/>
      </c>
      <c r="P1712" s="10"/>
    </row>
    <row r="1713" ht="18" customHeight="1" spans="1:16">
      <c r="A1713" s="32" t="str">
        <f t="shared" si="83"/>
        <v/>
      </c>
      <c r="B1713" s="100" t="str">
        <f>IF($E1713="","",INDEX(资金日记账!$B$4:$B$603,402))</f>
        <v/>
      </c>
      <c r="C1713" s="26" t="str">
        <f>IF($E1713="","",IF(INDEX(资金日记账!$W$4:$W$603,402)="","记-"&amp;TEXT($B1713,"YYYYMM")&amp;"-资金",INDEX(资金日记账!$W$4:$W$603,402)))</f>
        <v/>
      </c>
      <c r="D1713" s="32" t="str">
        <f>IF($E1713="","",INDEX(资金日记账!$D$4:$D$603,402))</f>
        <v/>
      </c>
      <c r="E1713" s="26" t="str">
        <f>IF(INDEX(资金日记账!$N$4:$S$603,402,4)=0,"",INDEX(资金日记账!$N$4:$S$603,402,4))</f>
        <v/>
      </c>
      <c r="F1713" s="25" t="str">
        <f>IF($E1713="","",IFERROR(INDEX(科目表!$A$4:$A$81,MATCH($E1713,科目表!$B$4:$B$81,0)),""))</f>
        <v/>
      </c>
      <c r="G1713" s="26" t="str">
        <f>IF($E1713="","",IFERROR(INDEX(科目表!$E$4:$E$81,MATCH($E1713,科目表!$B$4:$B$81,0)),""))</f>
        <v/>
      </c>
      <c r="H1713" s="27" t="str">
        <f>IF($E1713="","",N(INDEX(资金日记账!$N$4:$S$603,402,5)))</f>
        <v/>
      </c>
      <c r="I1713" s="27" t="str">
        <f>IF($E1713="","",N(INDEX(资金日记账!$N$4:$S$603,402,6)))</f>
        <v/>
      </c>
      <c r="J1713" s="26" t="str">
        <f>IF($E1713="","",INDEX(资金日记账!$E$4:$E$603,402))</f>
        <v/>
      </c>
      <c r="K1713" s="26" t="str">
        <f>IF($E1713="","",INDEX(资金日记账!$F$4:$F$603,402))</f>
        <v/>
      </c>
      <c r="L1713" s="32" t="str">
        <f>IF($E1713="","",INDEX(资金日记账!$X$4:$X$603,402))</f>
        <v/>
      </c>
      <c r="M1713" s="32"/>
      <c r="N1713" s="26" t="str">
        <f>IF($E1713="","",INDEX(资金日记账!$Y$4:$Y$603,402))</f>
        <v/>
      </c>
      <c r="O1713" s="26" t="str">
        <f t="shared" si="84"/>
        <v/>
      </c>
      <c r="P1713" s="10"/>
    </row>
    <row r="1714" ht="18" customHeight="1" spans="1:16">
      <c r="A1714" s="32" t="str">
        <f t="shared" si="83"/>
        <v/>
      </c>
      <c r="B1714" s="100" t="str">
        <f>IF($E1714="","",INDEX(资金日记账!$B$4:$B$603,403))</f>
        <v/>
      </c>
      <c r="C1714" s="26" t="str">
        <f>IF($E1714="","",IF(INDEX(资金日记账!$W$4:$W$603,403)="","记-"&amp;TEXT($B1714,"YYYYMM")&amp;"-资金",INDEX(资金日记账!$W$4:$W$603,403)))</f>
        <v/>
      </c>
      <c r="D1714" s="32" t="str">
        <f>IF($E1714="","",INDEX(资金日记账!$D$4:$D$603,403))</f>
        <v/>
      </c>
      <c r="E1714" s="26" t="str">
        <f>IF(INDEX(资金日记账!$N$4:$S$603,403,1)=0,"",INDEX(资金日记账!$N$4:$S$603,403,1))</f>
        <v/>
      </c>
      <c r="F1714" s="25" t="str">
        <f>IF($E1714="","",IFERROR(INDEX(科目表!$A$4:$A$81,MATCH($E1714,科目表!$B$4:$B$81,0)),""))</f>
        <v/>
      </c>
      <c r="G1714" s="26" t="str">
        <f>IF($E1714="","",IFERROR(INDEX(科目表!$E$4:$E$81,MATCH($E1714,科目表!$B$4:$B$81,0)),""))</f>
        <v/>
      </c>
      <c r="H1714" s="27" t="str">
        <f>IF($E1714="","",N(INDEX(资金日记账!$N$4:$S$603,403,2)))</f>
        <v/>
      </c>
      <c r="I1714" s="27" t="str">
        <f>IF($E1714="","",N(INDEX(资金日记账!$N$4:$S$603,403,3)))</f>
        <v/>
      </c>
      <c r="J1714" s="26" t="str">
        <f>IF($E1714="","",INDEX(资金日记账!$E$4:$E$603,403))</f>
        <v/>
      </c>
      <c r="K1714" s="26" t="str">
        <f>IF($E1714="","",INDEX(资金日记账!$F$4:$F$603,403))</f>
        <v/>
      </c>
      <c r="L1714" s="32" t="str">
        <f>IF($E1714="","",INDEX(资金日记账!$X$4:$X$603,403))</f>
        <v/>
      </c>
      <c r="M1714" s="32"/>
      <c r="N1714" s="26" t="str">
        <f>IF($E1714="","",INDEX(资金日记账!$Y$4:$Y$603,403))</f>
        <v/>
      </c>
      <c r="O1714" s="26" t="str">
        <f t="shared" si="84"/>
        <v/>
      </c>
      <c r="P1714" s="10"/>
    </row>
    <row r="1715" ht="18" customHeight="1" spans="1:16">
      <c r="A1715" s="32" t="str">
        <f t="shared" si="83"/>
        <v/>
      </c>
      <c r="B1715" s="100" t="str">
        <f>IF($E1715="","",INDEX(资金日记账!$B$4:$B$603,403))</f>
        <v/>
      </c>
      <c r="C1715" s="26" t="str">
        <f>IF($E1715="","",IF(INDEX(资金日记账!$W$4:$W$603,403)="","记-"&amp;TEXT($B1715,"YYYYMM")&amp;"-资金",INDEX(资金日记账!$W$4:$W$603,403)))</f>
        <v/>
      </c>
      <c r="D1715" s="32" t="str">
        <f>IF($E1715="","",INDEX(资金日记账!$D$4:$D$603,403))</f>
        <v/>
      </c>
      <c r="E1715" s="26" t="str">
        <f>IF(INDEX(资金日记账!$N$4:$S$603,403,4)=0,"",INDEX(资金日记账!$N$4:$S$603,403,4))</f>
        <v/>
      </c>
      <c r="F1715" s="25" t="str">
        <f>IF($E1715="","",IFERROR(INDEX(科目表!$A$4:$A$81,MATCH($E1715,科目表!$B$4:$B$81,0)),""))</f>
        <v/>
      </c>
      <c r="G1715" s="26" t="str">
        <f>IF($E1715="","",IFERROR(INDEX(科目表!$E$4:$E$81,MATCH($E1715,科目表!$B$4:$B$81,0)),""))</f>
        <v/>
      </c>
      <c r="H1715" s="27" t="str">
        <f>IF($E1715="","",N(INDEX(资金日记账!$N$4:$S$603,403,5)))</f>
        <v/>
      </c>
      <c r="I1715" s="27" t="str">
        <f>IF($E1715="","",N(INDEX(资金日记账!$N$4:$S$603,403,6)))</f>
        <v/>
      </c>
      <c r="J1715" s="26" t="str">
        <f>IF($E1715="","",INDEX(资金日记账!$E$4:$E$603,403))</f>
        <v/>
      </c>
      <c r="K1715" s="26" t="str">
        <f>IF($E1715="","",INDEX(资金日记账!$F$4:$F$603,403))</f>
        <v/>
      </c>
      <c r="L1715" s="32" t="str">
        <f>IF($E1715="","",INDEX(资金日记账!$X$4:$X$603,403))</f>
        <v/>
      </c>
      <c r="M1715" s="32"/>
      <c r="N1715" s="26" t="str">
        <f>IF($E1715="","",INDEX(资金日记账!$Y$4:$Y$603,403))</f>
        <v/>
      </c>
      <c r="O1715" s="26" t="str">
        <f t="shared" si="84"/>
        <v/>
      </c>
      <c r="P1715" s="10"/>
    </row>
    <row r="1716" ht="18" customHeight="1" spans="1:16">
      <c r="A1716" s="32" t="str">
        <f t="shared" si="83"/>
        <v/>
      </c>
      <c r="B1716" s="100" t="str">
        <f>IF($E1716="","",INDEX(资金日记账!$B$4:$B$603,404))</f>
        <v/>
      </c>
      <c r="C1716" s="26" t="str">
        <f>IF($E1716="","",IF(INDEX(资金日记账!$W$4:$W$603,404)="","记-"&amp;TEXT($B1716,"YYYYMM")&amp;"-资金",INDEX(资金日记账!$W$4:$W$603,404)))</f>
        <v/>
      </c>
      <c r="D1716" s="32" t="str">
        <f>IF($E1716="","",INDEX(资金日记账!$D$4:$D$603,404))</f>
        <v/>
      </c>
      <c r="E1716" s="26" t="str">
        <f>IF(INDEX(资金日记账!$N$4:$S$603,404,1)=0,"",INDEX(资金日记账!$N$4:$S$603,404,1))</f>
        <v/>
      </c>
      <c r="F1716" s="25" t="str">
        <f>IF($E1716="","",IFERROR(INDEX(科目表!$A$4:$A$81,MATCH($E1716,科目表!$B$4:$B$81,0)),""))</f>
        <v/>
      </c>
      <c r="G1716" s="26" t="str">
        <f>IF($E1716="","",IFERROR(INDEX(科目表!$E$4:$E$81,MATCH($E1716,科目表!$B$4:$B$81,0)),""))</f>
        <v/>
      </c>
      <c r="H1716" s="27" t="str">
        <f>IF($E1716="","",N(INDEX(资金日记账!$N$4:$S$603,404,2)))</f>
        <v/>
      </c>
      <c r="I1716" s="27" t="str">
        <f>IF($E1716="","",N(INDEX(资金日记账!$N$4:$S$603,404,3)))</f>
        <v/>
      </c>
      <c r="J1716" s="26" t="str">
        <f>IF($E1716="","",INDEX(资金日记账!$E$4:$E$603,404))</f>
        <v/>
      </c>
      <c r="K1716" s="26" t="str">
        <f>IF($E1716="","",INDEX(资金日记账!$F$4:$F$603,404))</f>
        <v/>
      </c>
      <c r="L1716" s="32" t="str">
        <f>IF($E1716="","",INDEX(资金日记账!$X$4:$X$603,404))</f>
        <v/>
      </c>
      <c r="M1716" s="32"/>
      <c r="N1716" s="26" t="str">
        <f>IF($E1716="","",INDEX(资金日记账!$Y$4:$Y$603,404))</f>
        <v/>
      </c>
      <c r="O1716" s="26" t="str">
        <f t="shared" si="84"/>
        <v/>
      </c>
      <c r="P1716" s="10"/>
    </row>
    <row r="1717" ht="18" customHeight="1" spans="1:16">
      <c r="A1717" s="32" t="str">
        <f t="shared" si="83"/>
        <v/>
      </c>
      <c r="B1717" s="100" t="str">
        <f>IF($E1717="","",INDEX(资金日记账!$B$4:$B$603,404))</f>
        <v/>
      </c>
      <c r="C1717" s="26" t="str">
        <f>IF($E1717="","",IF(INDEX(资金日记账!$W$4:$W$603,404)="","记-"&amp;TEXT($B1717,"YYYYMM")&amp;"-资金",INDEX(资金日记账!$W$4:$W$603,404)))</f>
        <v/>
      </c>
      <c r="D1717" s="32" t="str">
        <f>IF($E1717="","",INDEX(资金日记账!$D$4:$D$603,404))</f>
        <v/>
      </c>
      <c r="E1717" s="26" t="str">
        <f>IF(INDEX(资金日记账!$N$4:$S$603,404,4)=0,"",INDEX(资金日记账!$N$4:$S$603,404,4))</f>
        <v/>
      </c>
      <c r="F1717" s="25" t="str">
        <f>IF($E1717="","",IFERROR(INDEX(科目表!$A$4:$A$81,MATCH($E1717,科目表!$B$4:$B$81,0)),""))</f>
        <v/>
      </c>
      <c r="G1717" s="26" t="str">
        <f>IF($E1717="","",IFERROR(INDEX(科目表!$E$4:$E$81,MATCH($E1717,科目表!$B$4:$B$81,0)),""))</f>
        <v/>
      </c>
      <c r="H1717" s="27" t="str">
        <f>IF($E1717="","",N(INDEX(资金日记账!$N$4:$S$603,404,5)))</f>
        <v/>
      </c>
      <c r="I1717" s="27" t="str">
        <f>IF($E1717="","",N(INDEX(资金日记账!$N$4:$S$603,404,6)))</f>
        <v/>
      </c>
      <c r="J1717" s="26" t="str">
        <f>IF($E1717="","",INDEX(资金日记账!$E$4:$E$603,404))</f>
        <v/>
      </c>
      <c r="K1717" s="26" t="str">
        <f>IF($E1717="","",INDEX(资金日记账!$F$4:$F$603,404))</f>
        <v/>
      </c>
      <c r="L1717" s="32" t="str">
        <f>IF($E1717="","",INDEX(资金日记账!$X$4:$X$603,404))</f>
        <v/>
      </c>
      <c r="M1717" s="32"/>
      <c r="N1717" s="26" t="str">
        <f>IF($E1717="","",INDEX(资金日记账!$Y$4:$Y$603,404))</f>
        <v/>
      </c>
      <c r="O1717" s="26" t="str">
        <f t="shared" si="84"/>
        <v/>
      </c>
      <c r="P1717" s="10"/>
    </row>
    <row r="1718" ht="18" customHeight="1" spans="1:16">
      <c r="A1718" s="32" t="str">
        <f t="shared" si="83"/>
        <v/>
      </c>
      <c r="B1718" s="100" t="str">
        <f>IF($E1718="","",INDEX(资金日记账!$B$4:$B$603,405))</f>
        <v/>
      </c>
      <c r="C1718" s="26" t="str">
        <f>IF($E1718="","",IF(INDEX(资金日记账!$W$4:$W$603,405)="","记-"&amp;TEXT($B1718,"YYYYMM")&amp;"-资金",INDEX(资金日记账!$W$4:$W$603,405)))</f>
        <v/>
      </c>
      <c r="D1718" s="32" t="str">
        <f>IF($E1718="","",INDEX(资金日记账!$D$4:$D$603,405))</f>
        <v/>
      </c>
      <c r="E1718" s="26" t="str">
        <f>IF(INDEX(资金日记账!$N$4:$S$603,405,1)=0,"",INDEX(资金日记账!$N$4:$S$603,405,1))</f>
        <v/>
      </c>
      <c r="F1718" s="25" t="str">
        <f>IF($E1718="","",IFERROR(INDEX(科目表!$A$4:$A$81,MATCH($E1718,科目表!$B$4:$B$81,0)),""))</f>
        <v/>
      </c>
      <c r="G1718" s="26" t="str">
        <f>IF($E1718="","",IFERROR(INDEX(科目表!$E$4:$E$81,MATCH($E1718,科目表!$B$4:$B$81,0)),""))</f>
        <v/>
      </c>
      <c r="H1718" s="27" t="str">
        <f>IF($E1718="","",N(INDEX(资金日记账!$N$4:$S$603,405,2)))</f>
        <v/>
      </c>
      <c r="I1718" s="27" t="str">
        <f>IF($E1718="","",N(INDEX(资金日记账!$N$4:$S$603,405,3)))</f>
        <v/>
      </c>
      <c r="J1718" s="26" t="str">
        <f>IF($E1718="","",INDEX(资金日记账!$E$4:$E$603,405))</f>
        <v/>
      </c>
      <c r="K1718" s="26" t="str">
        <f>IF($E1718="","",INDEX(资金日记账!$F$4:$F$603,405))</f>
        <v/>
      </c>
      <c r="L1718" s="32" t="str">
        <f>IF($E1718="","",INDEX(资金日记账!$X$4:$X$603,405))</f>
        <v/>
      </c>
      <c r="M1718" s="32"/>
      <c r="N1718" s="26" t="str">
        <f>IF($E1718="","",INDEX(资金日记账!$Y$4:$Y$603,405))</f>
        <v/>
      </c>
      <c r="O1718" s="26" t="str">
        <f t="shared" si="84"/>
        <v/>
      </c>
      <c r="P1718" s="10"/>
    </row>
    <row r="1719" ht="18" customHeight="1" spans="1:16">
      <c r="A1719" s="32" t="str">
        <f t="shared" si="83"/>
        <v/>
      </c>
      <c r="B1719" s="100" t="str">
        <f>IF($E1719="","",INDEX(资金日记账!$B$4:$B$603,405))</f>
        <v/>
      </c>
      <c r="C1719" s="26" t="str">
        <f>IF($E1719="","",IF(INDEX(资金日记账!$W$4:$W$603,405)="","记-"&amp;TEXT($B1719,"YYYYMM")&amp;"-资金",INDEX(资金日记账!$W$4:$W$603,405)))</f>
        <v/>
      </c>
      <c r="D1719" s="32" t="str">
        <f>IF($E1719="","",INDEX(资金日记账!$D$4:$D$603,405))</f>
        <v/>
      </c>
      <c r="E1719" s="26" t="str">
        <f>IF(INDEX(资金日记账!$N$4:$S$603,405,4)=0,"",INDEX(资金日记账!$N$4:$S$603,405,4))</f>
        <v/>
      </c>
      <c r="F1719" s="25" t="str">
        <f>IF($E1719="","",IFERROR(INDEX(科目表!$A$4:$A$81,MATCH($E1719,科目表!$B$4:$B$81,0)),""))</f>
        <v/>
      </c>
      <c r="G1719" s="26" t="str">
        <f>IF($E1719="","",IFERROR(INDEX(科目表!$E$4:$E$81,MATCH($E1719,科目表!$B$4:$B$81,0)),""))</f>
        <v/>
      </c>
      <c r="H1719" s="27" t="str">
        <f>IF($E1719="","",N(INDEX(资金日记账!$N$4:$S$603,405,5)))</f>
        <v/>
      </c>
      <c r="I1719" s="27" t="str">
        <f>IF($E1719="","",N(INDEX(资金日记账!$N$4:$S$603,405,6)))</f>
        <v/>
      </c>
      <c r="J1719" s="26" t="str">
        <f>IF($E1719="","",INDEX(资金日记账!$E$4:$E$603,405))</f>
        <v/>
      </c>
      <c r="K1719" s="26" t="str">
        <f>IF($E1719="","",INDEX(资金日记账!$F$4:$F$603,405))</f>
        <v/>
      </c>
      <c r="L1719" s="32" t="str">
        <f>IF($E1719="","",INDEX(资金日记账!$X$4:$X$603,405))</f>
        <v/>
      </c>
      <c r="M1719" s="32"/>
      <c r="N1719" s="26" t="str">
        <f>IF($E1719="","",INDEX(资金日记账!$Y$4:$Y$603,405))</f>
        <v/>
      </c>
      <c r="O1719" s="26" t="str">
        <f t="shared" si="84"/>
        <v/>
      </c>
      <c r="P1719" s="10"/>
    </row>
    <row r="1720" ht="18" customHeight="1" spans="1:16">
      <c r="A1720" s="32" t="str">
        <f t="shared" si="83"/>
        <v/>
      </c>
      <c r="B1720" s="100" t="str">
        <f>IF($E1720="","",INDEX(资金日记账!$B$4:$B$603,406))</f>
        <v/>
      </c>
      <c r="C1720" s="26" t="str">
        <f>IF($E1720="","",IF(INDEX(资金日记账!$W$4:$W$603,406)="","记-"&amp;TEXT($B1720,"YYYYMM")&amp;"-资金",INDEX(资金日记账!$W$4:$W$603,406)))</f>
        <v/>
      </c>
      <c r="D1720" s="32" t="str">
        <f>IF($E1720="","",INDEX(资金日记账!$D$4:$D$603,406))</f>
        <v/>
      </c>
      <c r="E1720" s="26" t="str">
        <f>IF(INDEX(资金日记账!$N$4:$S$603,406,1)=0,"",INDEX(资金日记账!$N$4:$S$603,406,1))</f>
        <v/>
      </c>
      <c r="F1720" s="25" t="str">
        <f>IF($E1720="","",IFERROR(INDEX(科目表!$A$4:$A$81,MATCH($E1720,科目表!$B$4:$B$81,0)),""))</f>
        <v/>
      </c>
      <c r="G1720" s="26" t="str">
        <f>IF($E1720="","",IFERROR(INDEX(科目表!$E$4:$E$81,MATCH($E1720,科目表!$B$4:$B$81,0)),""))</f>
        <v/>
      </c>
      <c r="H1720" s="27" t="str">
        <f>IF($E1720="","",N(INDEX(资金日记账!$N$4:$S$603,406,2)))</f>
        <v/>
      </c>
      <c r="I1720" s="27" t="str">
        <f>IF($E1720="","",N(INDEX(资金日记账!$N$4:$S$603,406,3)))</f>
        <v/>
      </c>
      <c r="J1720" s="26" t="str">
        <f>IF($E1720="","",INDEX(资金日记账!$E$4:$E$603,406))</f>
        <v/>
      </c>
      <c r="K1720" s="26" t="str">
        <f>IF($E1720="","",INDEX(资金日记账!$F$4:$F$603,406))</f>
        <v/>
      </c>
      <c r="L1720" s="32" t="str">
        <f>IF($E1720="","",INDEX(资金日记账!$X$4:$X$603,406))</f>
        <v/>
      </c>
      <c r="M1720" s="32"/>
      <c r="N1720" s="26" t="str">
        <f>IF($E1720="","",INDEX(资金日记账!$Y$4:$Y$603,406))</f>
        <v/>
      </c>
      <c r="O1720" s="26" t="str">
        <f t="shared" si="84"/>
        <v/>
      </c>
      <c r="P1720" s="10"/>
    </row>
    <row r="1721" ht="18" customHeight="1" spans="1:16">
      <c r="A1721" s="32" t="str">
        <f t="shared" si="83"/>
        <v/>
      </c>
      <c r="B1721" s="100" t="str">
        <f>IF($E1721="","",INDEX(资金日记账!$B$4:$B$603,406))</f>
        <v/>
      </c>
      <c r="C1721" s="26" t="str">
        <f>IF($E1721="","",IF(INDEX(资金日记账!$W$4:$W$603,406)="","记-"&amp;TEXT($B1721,"YYYYMM")&amp;"-资金",INDEX(资金日记账!$W$4:$W$603,406)))</f>
        <v/>
      </c>
      <c r="D1721" s="32" t="str">
        <f>IF($E1721="","",INDEX(资金日记账!$D$4:$D$603,406))</f>
        <v/>
      </c>
      <c r="E1721" s="26" t="str">
        <f>IF(INDEX(资金日记账!$N$4:$S$603,406,4)=0,"",INDEX(资金日记账!$N$4:$S$603,406,4))</f>
        <v/>
      </c>
      <c r="F1721" s="25" t="str">
        <f>IF($E1721="","",IFERROR(INDEX(科目表!$A$4:$A$81,MATCH($E1721,科目表!$B$4:$B$81,0)),""))</f>
        <v/>
      </c>
      <c r="G1721" s="26" t="str">
        <f>IF($E1721="","",IFERROR(INDEX(科目表!$E$4:$E$81,MATCH($E1721,科目表!$B$4:$B$81,0)),""))</f>
        <v/>
      </c>
      <c r="H1721" s="27" t="str">
        <f>IF($E1721="","",N(INDEX(资金日记账!$N$4:$S$603,406,5)))</f>
        <v/>
      </c>
      <c r="I1721" s="27" t="str">
        <f>IF($E1721="","",N(INDEX(资金日记账!$N$4:$S$603,406,6)))</f>
        <v/>
      </c>
      <c r="J1721" s="26" t="str">
        <f>IF($E1721="","",INDEX(资金日记账!$E$4:$E$603,406))</f>
        <v/>
      </c>
      <c r="K1721" s="26" t="str">
        <f>IF($E1721="","",INDEX(资金日记账!$F$4:$F$603,406))</f>
        <v/>
      </c>
      <c r="L1721" s="32" t="str">
        <f>IF($E1721="","",INDEX(资金日记账!$X$4:$X$603,406))</f>
        <v/>
      </c>
      <c r="M1721" s="32"/>
      <c r="N1721" s="26" t="str">
        <f>IF($E1721="","",INDEX(资金日记账!$Y$4:$Y$603,406))</f>
        <v/>
      </c>
      <c r="O1721" s="26" t="str">
        <f t="shared" si="84"/>
        <v/>
      </c>
      <c r="P1721" s="10"/>
    </row>
    <row r="1722" ht="18" customHeight="1" spans="1:16">
      <c r="A1722" s="32" t="str">
        <f t="shared" si="83"/>
        <v/>
      </c>
      <c r="B1722" s="100" t="str">
        <f>IF($E1722="","",INDEX(资金日记账!$B$4:$B$603,407))</f>
        <v/>
      </c>
      <c r="C1722" s="26" t="str">
        <f>IF($E1722="","",IF(INDEX(资金日记账!$W$4:$W$603,407)="","记-"&amp;TEXT($B1722,"YYYYMM")&amp;"-资金",INDEX(资金日记账!$W$4:$W$603,407)))</f>
        <v/>
      </c>
      <c r="D1722" s="32" t="str">
        <f>IF($E1722="","",INDEX(资金日记账!$D$4:$D$603,407))</f>
        <v/>
      </c>
      <c r="E1722" s="26" t="str">
        <f>IF(INDEX(资金日记账!$N$4:$S$603,407,1)=0,"",INDEX(资金日记账!$N$4:$S$603,407,1))</f>
        <v/>
      </c>
      <c r="F1722" s="25" t="str">
        <f>IF($E1722="","",IFERROR(INDEX(科目表!$A$4:$A$81,MATCH($E1722,科目表!$B$4:$B$81,0)),""))</f>
        <v/>
      </c>
      <c r="G1722" s="26" t="str">
        <f>IF($E1722="","",IFERROR(INDEX(科目表!$E$4:$E$81,MATCH($E1722,科目表!$B$4:$B$81,0)),""))</f>
        <v/>
      </c>
      <c r="H1722" s="27" t="str">
        <f>IF($E1722="","",N(INDEX(资金日记账!$N$4:$S$603,407,2)))</f>
        <v/>
      </c>
      <c r="I1722" s="27" t="str">
        <f>IF($E1722="","",N(INDEX(资金日记账!$N$4:$S$603,407,3)))</f>
        <v/>
      </c>
      <c r="J1722" s="26" t="str">
        <f>IF($E1722="","",INDEX(资金日记账!$E$4:$E$603,407))</f>
        <v/>
      </c>
      <c r="K1722" s="26" t="str">
        <f>IF($E1722="","",INDEX(资金日记账!$F$4:$F$603,407))</f>
        <v/>
      </c>
      <c r="L1722" s="32" t="str">
        <f>IF($E1722="","",INDEX(资金日记账!$X$4:$X$603,407))</f>
        <v/>
      </c>
      <c r="M1722" s="32"/>
      <c r="N1722" s="26" t="str">
        <f>IF($E1722="","",INDEX(资金日记账!$Y$4:$Y$603,407))</f>
        <v/>
      </c>
      <c r="O1722" s="26" t="str">
        <f t="shared" si="84"/>
        <v/>
      </c>
      <c r="P1722" s="10"/>
    </row>
    <row r="1723" ht="18" customHeight="1" spans="1:16">
      <c r="A1723" s="32" t="str">
        <f t="shared" si="83"/>
        <v/>
      </c>
      <c r="B1723" s="100" t="str">
        <f>IF($E1723="","",INDEX(资金日记账!$B$4:$B$603,407))</f>
        <v/>
      </c>
      <c r="C1723" s="26" t="str">
        <f>IF($E1723="","",IF(INDEX(资金日记账!$W$4:$W$603,407)="","记-"&amp;TEXT($B1723,"YYYYMM")&amp;"-资金",INDEX(资金日记账!$W$4:$W$603,407)))</f>
        <v/>
      </c>
      <c r="D1723" s="32" t="str">
        <f>IF($E1723="","",INDEX(资金日记账!$D$4:$D$603,407))</f>
        <v/>
      </c>
      <c r="E1723" s="26" t="str">
        <f>IF(INDEX(资金日记账!$N$4:$S$603,407,4)=0,"",INDEX(资金日记账!$N$4:$S$603,407,4))</f>
        <v/>
      </c>
      <c r="F1723" s="25" t="str">
        <f>IF($E1723="","",IFERROR(INDEX(科目表!$A$4:$A$81,MATCH($E1723,科目表!$B$4:$B$81,0)),""))</f>
        <v/>
      </c>
      <c r="G1723" s="26" t="str">
        <f>IF($E1723="","",IFERROR(INDEX(科目表!$E$4:$E$81,MATCH($E1723,科目表!$B$4:$B$81,0)),""))</f>
        <v/>
      </c>
      <c r="H1723" s="27" t="str">
        <f>IF($E1723="","",N(INDEX(资金日记账!$N$4:$S$603,407,5)))</f>
        <v/>
      </c>
      <c r="I1723" s="27" t="str">
        <f>IF($E1723="","",N(INDEX(资金日记账!$N$4:$S$603,407,6)))</f>
        <v/>
      </c>
      <c r="J1723" s="26" t="str">
        <f>IF($E1723="","",INDEX(资金日记账!$E$4:$E$603,407))</f>
        <v/>
      </c>
      <c r="K1723" s="26" t="str">
        <f>IF($E1723="","",INDEX(资金日记账!$F$4:$F$603,407))</f>
        <v/>
      </c>
      <c r="L1723" s="32" t="str">
        <f>IF($E1723="","",INDEX(资金日记账!$X$4:$X$603,407))</f>
        <v/>
      </c>
      <c r="M1723" s="32"/>
      <c r="N1723" s="26" t="str">
        <f>IF($E1723="","",INDEX(资金日记账!$Y$4:$Y$603,407))</f>
        <v/>
      </c>
      <c r="O1723" s="26" t="str">
        <f t="shared" si="84"/>
        <v/>
      </c>
      <c r="P1723" s="10"/>
    </row>
    <row r="1724" ht="18" customHeight="1" spans="1:16">
      <c r="A1724" s="32" t="str">
        <f t="shared" si="83"/>
        <v/>
      </c>
      <c r="B1724" s="100" t="str">
        <f>IF($E1724="","",INDEX(资金日记账!$B$4:$B$603,408))</f>
        <v/>
      </c>
      <c r="C1724" s="26" t="str">
        <f>IF($E1724="","",IF(INDEX(资金日记账!$W$4:$W$603,408)="","记-"&amp;TEXT($B1724,"YYYYMM")&amp;"-资金",INDEX(资金日记账!$W$4:$W$603,408)))</f>
        <v/>
      </c>
      <c r="D1724" s="32" t="str">
        <f>IF($E1724="","",INDEX(资金日记账!$D$4:$D$603,408))</f>
        <v/>
      </c>
      <c r="E1724" s="26" t="str">
        <f>IF(INDEX(资金日记账!$N$4:$S$603,408,1)=0,"",INDEX(资金日记账!$N$4:$S$603,408,1))</f>
        <v/>
      </c>
      <c r="F1724" s="25" t="str">
        <f>IF($E1724="","",IFERROR(INDEX(科目表!$A$4:$A$81,MATCH($E1724,科目表!$B$4:$B$81,0)),""))</f>
        <v/>
      </c>
      <c r="G1724" s="26" t="str">
        <f>IF($E1724="","",IFERROR(INDEX(科目表!$E$4:$E$81,MATCH($E1724,科目表!$B$4:$B$81,0)),""))</f>
        <v/>
      </c>
      <c r="H1724" s="27" t="str">
        <f>IF($E1724="","",N(INDEX(资金日记账!$N$4:$S$603,408,2)))</f>
        <v/>
      </c>
      <c r="I1724" s="27" t="str">
        <f>IF($E1724="","",N(INDEX(资金日记账!$N$4:$S$603,408,3)))</f>
        <v/>
      </c>
      <c r="J1724" s="26" t="str">
        <f>IF($E1724="","",INDEX(资金日记账!$E$4:$E$603,408))</f>
        <v/>
      </c>
      <c r="K1724" s="26" t="str">
        <f>IF($E1724="","",INDEX(资金日记账!$F$4:$F$603,408))</f>
        <v/>
      </c>
      <c r="L1724" s="32" t="str">
        <f>IF($E1724="","",INDEX(资金日记账!$X$4:$X$603,408))</f>
        <v/>
      </c>
      <c r="M1724" s="32"/>
      <c r="N1724" s="26" t="str">
        <f>IF($E1724="","",INDEX(资金日记账!$Y$4:$Y$603,408))</f>
        <v/>
      </c>
      <c r="O1724" s="26" t="str">
        <f t="shared" si="84"/>
        <v/>
      </c>
      <c r="P1724" s="10"/>
    </row>
    <row r="1725" ht="18" customHeight="1" spans="1:16">
      <c r="A1725" s="32" t="str">
        <f t="shared" si="83"/>
        <v/>
      </c>
      <c r="B1725" s="100" t="str">
        <f>IF($E1725="","",INDEX(资金日记账!$B$4:$B$603,408))</f>
        <v/>
      </c>
      <c r="C1725" s="26" t="str">
        <f>IF($E1725="","",IF(INDEX(资金日记账!$W$4:$W$603,408)="","记-"&amp;TEXT($B1725,"YYYYMM")&amp;"-资金",INDEX(资金日记账!$W$4:$W$603,408)))</f>
        <v/>
      </c>
      <c r="D1725" s="32" t="str">
        <f>IF($E1725="","",INDEX(资金日记账!$D$4:$D$603,408))</f>
        <v/>
      </c>
      <c r="E1725" s="26" t="str">
        <f>IF(INDEX(资金日记账!$N$4:$S$603,408,4)=0,"",INDEX(资金日记账!$N$4:$S$603,408,4))</f>
        <v/>
      </c>
      <c r="F1725" s="25" t="str">
        <f>IF($E1725="","",IFERROR(INDEX(科目表!$A$4:$A$81,MATCH($E1725,科目表!$B$4:$B$81,0)),""))</f>
        <v/>
      </c>
      <c r="G1725" s="26" t="str">
        <f>IF($E1725="","",IFERROR(INDEX(科目表!$E$4:$E$81,MATCH($E1725,科目表!$B$4:$B$81,0)),""))</f>
        <v/>
      </c>
      <c r="H1725" s="27" t="str">
        <f>IF($E1725="","",N(INDEX(资金日记账!$N$4:$S$603,408,5)))</f>
        <v/>
      </c>
      <c r="I1725" s="27" t="str">
        <f>IF($E1725="","",N(INDEX(资金日记账!$N$4:$S$603,408,6)))</f>
        <v/>
      </c>
      <c r="J1725" s="26" t="str">
        <f>IF($E1725="","",INDEX(资金日记账!$E$4:$E$603,408))</f>
        <v/>
      </c>
      <c r="K1725" s="26" t="str">
        <f>IF($E1725="","",INDEX(资金日记账!$F$4:$F$603,408))</f>
        <v/>
      </c>
      <c r="L1725" s="32" t="str">
        <f>IF($E1725="","",INDEX(资金日记账!$X$4:$X$603,408))</f>
        <v/>
      </c>
      <c r="M1725" s="32"/>
      <c r="N1725" s="26" t="str">
        <f>IF($E1725="","",INDEX(资金日记账!$Y$4:$Y$603,408))</f>
        <v/>
      </c>
      <c r="O1725" s="26" t="str">
        <f t="shared" si="84"/>
        <v/>
      </c>
      <c r="P1725" s="10"/>
    </row>
    <row r="1726" ht="18" customHeight="1" spans="1:16">
      <c r="A1726" s="32" t="str">
        <f t="shared" si="83"/>
        <v/>
      </c>
      <c r="B1726" s="100" t="str">
        <f>IF($E1726="","",INDEX(资金日记账!$B$4:$B$603,409))</f>
        <v/>
      </c>
      <c r="C1726" s="26" t="str">
        <f>IF($E1726="","",IF(INDEX(资金日记账!$W$4:$W$603,409)="","记-"&amp;TEXT($B1726,"YYYYMM")&amp;"-资金",INDEX(资金日记账!$W$4:$W$603,409)))</f>
        <v/>
      </c>
      <c r="D1726" s="32" t="str">
        <f>IF($E1726="","",INDEX(资金日记账!$D$4:$D$603,409))</f>
        <v/>
      </c>
      <c r="E1726" s="26" t="str">
        <f>IF(INDEX(资金日记账!$N$4:$S$603,409,1)=0,"",INDEX(资金日记账!$N$4:$S$603,409,1))</f>
        <v/>
      </c>
      <c r="F1726" s="25" t="str">
        <f>IF($E1726="","",IFERROR(INDEX(科目表!$A$4:$A$81,MATCH($E1726,科目表!$B$4:$B$81,0)),""))</f>
        <v/>
      </c>
      <c r="G1726" s="26" t="str">
        <f>IF($E1726="","",IFERROR(INDEX(科目表!$E$4:$E$81,MATCH($E1726,科目表!$B$4:$B$81,0)),""))</f>
        <v/>
      </c>
      <c r="H1726" s="27" t="str">
        <f>IF($E1726="","",N(INDEX(资金日记账!$N$4:$S$603,409,2)))</f>
        <v/>
      </c>
      <c r="I1726" s="27" t="str">
        <f>IF($E1726="","",N(INDEX(资金日记账!$N$4:$S$603,409,3)))</f>
        <v/>
      </c>
      <c r="J1726" s="26" t="str">
        <f>IF($E1726="","",INDEX(资金日记账!$E$4:$E$603,409))</f>
        <v/>
      </c>
      <c r="K1726" s="26" t="str">
        <f>IF($E1726="","",INDEX(资金日记账!$F$4:$F$603,409))</f>
        <v/>
      </c>
      <c r="L1726" s="32" t="str">
        <f>IF($E1726="","",INDEX(资金日记账!$X$4:$X$603,409))</f>
        <v/>
      </c>
      <c r="M1726" s="32"/>
      <c r="N1726" s="26" t="str">
        <f>IF($E1726="","",INDEX(资金日记账!$Y$4:$Y$603,409))</f>
        <v/>
      </c>
      <c r="O1726" s="26" t="str">
        <f t="shared" si="84"/>
        <v/>
      </c>
      <c r="P1726" s="10"/>
    </row>
    <row r="1727" ht="18" customHeight="1" spans="1:16">
      <c r="A1727" s="32" t="str">
        <f t="shared" si="83"/>
        <v/>
      </c>
      <c r="B1727" s="100" t="str">
        <f>IF($E1727="","",INDEX(资金日记账!$B$4:$B$603,409))</f>
        <v/>
      </c>
      <c r="C1727" s="26" t="str">
        <f>IF($E1727="","",IF(INDEX(资金日记账!$W$4:$W$603,409)="","记-"&amp;TEXT($B1727,"YYYYMM")&amp;"-资金",INDEX(资金日记账!$W$4:$W$603,409)))</f>
        <v/>
      </c>
      <c r="D1727" s="32" t="str">
        <f>IF($E1727="","",INDEX(资金日记账!$D$4:$D$603,409))</f>
        <v/>
      </c>
      <c r="E1727" s="26" t="str">
        <f>IF(INDEX(资金日记账!$N$4:$S$603,409,4)=0,"",INDEX(资金日记账!$N$4:$S$603,409,4))</f>
        <v/>
      </c>
      <c r="F1727" s="25" t="str">
        <f>IF($E1727="","",IFERROR(INDEX(科目表!$A$4:$A$81,MATCH($E1727,科目表!$B$4:$B$81,0)),""))</f>
        <v/>
      </c>
      <c r="G1727" s="26" t="str">
        <f>IF($E1727="","",IFERROR(INDEX(科目表!$E$4:$E$81,MATCH($E1727,科目表!$B$4:$B$81,0)),""))</f>
        <v/>
      </c>
      <c r="H1727" s="27" t="str">
        <f>IF($E1727="","",N(INDEX(资金日记账!$N$4:$S$603,409,5)))</f>
        <v/>
      </c>
      <c r="I1727" s="27" t="str">
        <f>IF($E1727="","",N(INDEX(资金日记账!$N$4:$S$603,409,6)))</f>
        <v/>
      </c>
      <c r="J1727" s="26" t="str">
        <f>IF($E1727="","",INDEX(资金日记账!$E$4:$E$603,409))</f>
        <v/>
      </c>
      <c r="K1727" s="26" t="str">
        <f>IF($E1727="","",INDEX(资金日记账!$F$4:$F$603,409))</f>
        <v/>
      </c>
      <c r="L1727" s="32" t="str">
        <f>IF($E1727="","",INDEX(资金日记账!$X$4:$X$603,409))</f>
        <v/>
      </c>
      <c r="M1727" s="32"/>
      <c r="N1727" s="26" t="str">
        <f>IF($E1727="","",INDEX(资金日记账!$Y$4:$Y$603,409))</f>
        <v/>
      </c>
      <c r="O1727" s="26" t="str">
        <f t="shared" si="84"/>
        <v/>
      </c>
      <c r="P1727" s="10"/>
    </row>
    <row r="1728" ht="18" customHeight="1" spans="1:16">
      <c r="A1728" s="32" t="str">
        <f t="shared" si="83"/>
        <v/>
      </c>
      <c r="B1728" s="100" t="str">
        <f>IF($E1728="","",INDEX(资金日记账!$B$4:$B$603,410))</f>
        <v/>
      </c>
      <c r="C1728" s="26" t="str">
        <f>IF($E1728="","",IF(INDEX(资金日记账!$W$4:$W$603,410)="","记-"&amp;TEXT($B1728,"YYYYMM")&amp;"-资金",INDEX(资金日记账!$W$4:$W$603,410)))</f>
        <v/>
      </c>
      <c r="D1728" s="32" t="str">
        <f>IF($E1728="","",INDEX(资金日记账!$D$4:$D$603,410))</f>
        <v/>
      </c>
      <c r="E1728" s="26" t="str">
        <f>IF(INDEX(资金日记账!$N$4:$S$603,410,1)=0,"",INDEX(资金日记账!$N$4:$S$603,410,1))</f>
        <v/>
      </c>
      <c r="F1728" s="25" t="str">
        <f>IF($E1728="","",IFERROR(INDEX(科目表!$A$4:$A$81,MATCH($E1728,科目表!$B$4:$B$81,0)),""))</f>
        <v/>
      </c>
      <c r="G1728" s="26" t="str">
        <f>IF($E1728="","",IFERROR(INDEX(科目表!$E$4:$E$81,MATCH($E1728,科目表!$B$4:$B$81,0)),""))</f>
        <v/>
      </c>
      <c r="H1728" s="27" t="str">
        <f>IF($E1728="","",N(INDEX(资金日记账!$N$4:$S$603,410,2)))</f>
        <v/>
      </c>
      <c r="I1728" s="27" t="str">
        <f>IF($E1728="","",N(INDEX(资金日记账!$N$4:$S$603,410,3)))</f>
        <v/>
      </c>
      <c r="J1728" s="26" t="str">
        <f>IF($E1728="","",INDEX(资金日记账!$E$4:$E$603,410))</f>
        <v/>
      </c>
      <c r="K1728" s="26" t="str">
        <f>IF($E1728="","",INDEX(资金日记账!$F$4:$F$603,410))</f>
        <v/>
      </c>
      <c r="L1728" s="32" t="str">
        <f>IF($E1728="","",INDEX(资金日记账!$X$4:$X$603,410))</f>
        <v/>
      </c>
      <c r="M1728" s="32"/>
      <c r="N1728" s="26" t="str">
        <f>IF($E1728="","",INDEX(资金日记账!$Y$4:$Y$603,410))</f>
        <v/>
      </c>
      <c r="O1728" s="26" t="str">
        <f t="shared" si="84"/>
        <v/>
      </c>
      <c r="P1728" s="10"/>
    </row>
    <row r="1729" ht="18" customHeight="1" spans="1:16">
      <c r="A1729" s="32" t="str">
        <f t="shared" si="83"/>
        <v/>
      </c>
      <c r="B1729" s="100" t="str">
        <f>IF($E1729="","",INDEX(资金日记账!$B$4:$B$603,410))</f>
        <v/>
      </c>
      <c r="C1729" s="26" t="str">
        <f>IF($E1729="","",IF(INDEX(资金日记账!$W$4:$W$603,410)="","记-"&amp;TEXT($B1729,"YYYYMM")&amp;"-资金",INDEX(资金日记账!$W$4:$W$603,410)))</f>
        <v/>
      </c>
      <c r="D1729" s="32" t="str">
        <f>IF($E1729="","",INDEX(资金日记账!$D$4:$D$603,410))</f>
        <v/>
      </c>
      <c r="E1729" s="26" t="str">
        <f>IF(INDEX(资金日记账!$N$4:$S$603,410,4)=0,"",INDEX(资金日记账!$N$4:$S$603,410,4))</f>
        <v/>
      </c>
      <c r="F1729" s="25" t="str">
        <f>IF($E1729="","",IFERROR(INDEX(科目表!$A$4:$A$81,MATCH($E1729,科目表!$B$4:$B$81,0)),""))</f>
        <v/>
      </c>
      <c r="G1729" s="26" t="str">
        <f>IF($E1729="","",IFERROR(INDEX(科目表!$E$4:$E$81,MATCH($E1729,科目表!$B$4:$B$81,0)),""))</f>
        <v/>
      </c>
      <c r="H1729" s="27" t="str">
        <f>IF($E1729="","",N(INDEX(资金日记账!$N$4:$S$603,410,5)))</f>
        <v/>
      </c>
      <c r="I1729" s="27" t="str">
        <f>IF($E1729="","",N(INDEX(资金日记账!$N$4:$S$603,410,6)))</f>
        <v/>
      </c>
      <c r="J1729" s="26" t="str">
        <f>IF($E1729="","",INDEX(资金日记账!$E$4:$E$603,410))</f>
        <v/>
      </c>
      <c r="K1729" s="26" t="str">
        <f>IF($E1729="","",INDEX(资金日记账!$F$4:$F$603,410))</f>
        <v/>
      </c>
      <c r="L1729" s="32" t="str">
        <f>IF($E1729="","",INDEX(资金日记账!$X$4:$X$603,410))</f>
        <v/>
      </c>
      <c r="M1729" s="32"/>
      <c r="N1729" s="26" t="str">
        <f>IF($E1729="","",INDEX(资金日记账!$Y$4:$Y$603,410))</f>
        <v/>
      </c>
      <c r="O1729" s="26" t="str">
        <f t="shared" si="84"/>
        <v/>
      </c>
      <c r="P1729" s="10"/>
    </row>
    <row r="1730" ht="18" customHeight="1" spans="1:16">
      <c r="A1730" s="32" t="str">
        <f t="shared" si="83"/>
        <v/>
      </c>
      <c r="B1730" s="100" t="str">
        <f>IF($E1730="","",INDEX(资金日记账!$B$4:$B$603,411))</f>
        <v/>
      </c>
      <c r="C1730" s="26" t="str">
        <f>IF($E1730="","",IF(INDEX(资金日记账!$W$4:$W$603,411)="","记-"&amp;TEXT($B1730,"YYYYMM")&amp;"-资金",INDEX(资金日记账!$W$4:$W$603,411)))</f>
        <v/>
      </c>
      <c r="D1730" s="32" t="str">
        <f>IF($E1730="","",INDEX(资金日记账!$D$4:$D$603,411))</f>
        <v/>
      </c>
      <c r="E1730" s="26" t="str">
        <f>IF(INDEX(资金日记账!$N$4:$S$603,411,1)=0,"",INDEX(资金日记账!$N$4:$S$603,411,1))</f>
        <v/>
      </c>
      <c r="F1730" s="25" t="str">
        <f>IF($E1730="","",IFERROR(INDEX(科目表!$A$4:$A$81,MATCH($E1730,科目表!$B$4:$B$81,0)),""))</f>
        <v/>
      </c>
      <c r="G1730" s="26" t="str">
        <f>IF($E1730="","",IFERROR(INDEX(科目表!$E$4:$E$81,MATCH($E1730,科目表!$B$4:$B$81,0)),""))</f>
        <v/>
      </c>
      <c r="H1730" s="27" t="str">
        <f>IF($E1730="","",N(INDEX(资金日记账!$N$4:$S$603,411,2)))</f>
        <v/>
      </c>
      <c r="I1730" s="27" t="str">
        <f>IF($E1730="","",N(INDEX(资金日记账!$N$4:$S$603,411,3)))</f>
        <v/>
      </c>
      <c r="J1730" s="26" t="str">
        <f>IF($E1730="","",INDEX(资金日记账!$E$4:$E$603,411))</f>
        <v/>
      </c>
      <c r="K1730" s="26" t="str">
        <f>IF($E1730="","",INDEX(资金日记账!$F$4:$F$603,411))</f>
        <v/>
      </c>
      <c r="L1730" s="32" t="str">
        <f>IF($E1730="","",INDEX(资金日记账!$X$4:$X$603,411))</f>
        <v/>
      </c>
      <c r="M1730" s="32"/>
      <c r="N1730" s="26" t="str">
        <f>IF($E1730="","",INDEX(资金日记账!$Y$4:$Y$603,411))</f>
        <v/>
      </c>
      <c r="O1730" s="26" t="str">
        <f t="shared" si="84"/>
        <v/>
      </c>
      <c r="P1730" s="10"/>
    </row>
    <row r="1731" ht="18" customHeight="1" spans="1:16">
      <c r="A1731" s="32" t="str">
        <f t="shared" si="83"/>
        <v/>
      </c>
      <c r="B1731" s="100" t="str">
        <f>IF($E1731="","",INDEX(资金日记账!$B$4:$B$603,411))</f>
        <v/>
      </c>
      <c r="C1731" s="26" t="str">
        <f>IF($E1731="","",IF(INDEX(资金日记账!$W$4:$W$603,411)="","记-"&amp;TEXT($B1731,"YYYYMM")&amp;"-资金",INDEX(资金日记账!$W$4:$W$603,411)))</f>
        <v/>
      </c>
      <c r="D1731" s="32" t="str">
        <f>IF($E1731="","",INDEX(资金日记账!$D$4:$D$603,411))</f>
        <v/>
      </c>
      <c r="E1731" s="26" t="str">
        <f>IF(INDEX(资金日记账!$N$4:$S$603,411,4)=0,"",INDEX(资金日记账!$N$4:$S$603,411,4))</f>
        <v/>
      </c>
      <c r="F1731" s="25" t="str">
        <f>IF($E1731="","",IFERROR(INDEX(科目表!$A$4:$A$81,MATCH($E1731,科目表!$B$4:$B$81,0)),""))</f>
        <v/>
      </c>
      <c r="G1731" s="26" t="str">
        <f>IF($E1731="","",IFERROR(INDEX(科目表!$E$4:$E$81,MATCH($E1731,科目表!$B$4:$B$81,0)),""))</f>
        <v/>
      </c>
      <c r="H1731" s="27" t="str">
        <f>IF($E1731="","",N(INDEX(资金日记账!$N$4:$S$603,411,5)))</f>
        <v/>
      </c>
      <c r="I1731" s="27" t="str">
        <f>IF($E1731="","",N(INDEX(资金日记账!$N$4:$S$603,411,6)))</f>
        <v/>
      </c>
      <c r="J1731" s="26" t="str">
        <f>IF($E1731="","",INDEX(资金日记账!$E$4:$E$603,411))</f>
        <v/>
      </c>
      <c r="K1731" s="26" t="str">
        <f>IF($E1731="","",INDEX(资金日记账!$F$4:$F$603,411))</f>
        <v/>
      </c>
      <c r="L1731" s="32" t="str">
        <f>IF($E1731="","",INDEX(资金日记账!$X$4:$X$603,411))</f>
        <v/>
      </c>
      <c r="M1731" s="32"/>
      <c r="N1731" s="26" t="str">
        <f>IF($E1731="","",INDEX(资金日记账!$Y$4:$Y$603,411))</f>
        <v/>
      </c>
      <c r="O1731" s="26" t="str">
        <f t="shared" si="84"/>
        <v/>
      </c>
      <c r="P1731" s="10"/>
    </row>
    <row r="1732" ht="18" customHeight="1" spans="1:16">
      <c r="A1732" s="32" t="str">
        <f t="shared" ref="A1732:A1795" si="85">IF($E1732="","",ROW()-3)</f>
        <v/>
      </c>
      <c r="B1732" s="100" t="str">
        <f>IF($E1732="","",INDEX(资金日记账!$B$4:$B$603,412))</f>
        <v/>
      </c>
      <c r="C1732" s="26" t="str">
        <f>IF($E1732="","",IF(INDEX(资金日记账!$W$4:$W$603,412)="","记-"&amp;TEXT($B1732,"YYYYMM")&amp;"-资金",INDEX(资金日记账!$W$4:$W$603,412)))</f>
        <v/>
      </c>
      <c r="D1732" s="32" t="str">
        <f>IF($E1732="","",INDEX(资金日记账!$D$4:$D$603,412))</f>
        <v/>
      </c>
      <c r="E1732" s="26" t="str">
        <f>IF(INDEX(资金日记账!$N$4:$S$603,412,1)=0,"",INDEX(资金日记账!$N$4:$S$603,412,1))</f>
        <v/>
      </c>
      <c r="F1732" s="25" t="str">
        <f>IF($E1732="","",IFERROR(INDEX(科目表!$A$4:$A$81,MATCH($E1732,科目表!$B$4:$B$81,0)),""))</f>
        <v/>
      </c>
      <c r="G1732" s="26" t="str">
        <f>IF($E1732="","",IFERROR(INDEX(科目表!$E$4:$E$81,MATCH($E1732,科目表!$B$4:$B$81,0)),""))</f>
        <v/>
      </c>
      <c r="H1732" s="27" t="str">
        <f>IF($E1732="","",N(INDEX(资金日记账!$N$4:$S$603,412,2)))</f>
        <v/>
      </c>
      <c r="I1732" s="27" t="str">
        <f>IF($E1732="","",N(INDEX(资金日记账!$N$4:$S$603,412,3)))</f>
        <v/>
      </c>
      <c r="J1732" s="26" t="str">
        <f>IF($E1732="","",INDEX(资金日记账!$E$4:$E$603,412))</f>
        <v/>
      </c>
      <c r="K1732" s="26" t="str">
        <f>IF($E1732="","",INDEX(资金日记账!$F$4:$F$603,412))</f>
        <v/>
      </c>
      <c r="L1732" s="32" t="str">
        <f>IF($E1732="","",INDEX(资金日记账!$X$4:$X$603,412))</f>
        <v/>
      </c>
      <c r="M1732" s="32"/>
      <c r="N1732" s="26" t="str">
        <f>IF($E1732="","",INDEX(资金日记账!$Y$4:$Y$603,412))</f>
        <v/>
      </c>
      <c r="O1732" s="26" t="str">
        <f t="shared" si="84"/>
        <v/>
      </c>
      <c r="P1732" s="10"/>
    </row>
    <row r="1733" ht="18" customHeight="1" spans="1:16">
      <c r="A1733" s="32" t="str">
        <f t="shared" si="85"/>
        <v/>
      </c>
      <c r="B1733" s="100" t="str">
        <f>IF($E1733="","",INDEX(资金日记账!$B$4:$B$603,412))</f>
        <v/>
      </c>
      <c r="C1733" s="26" t="str">
        <f>IF($E1733="","",IF(INDEX(资金日记账!$W$4:$W$603,412)="","记-"&amp;TEXT($B1733,"YYYYMM")&amp;"-资金",INDEX(资金日记账!$W$4:$W$603,412)))</f>
        <v/>
      </c>
      <c r="D1733" s="32" t="str">
        <f>IF($E1733="","",INDEX(资金日记账!$D$4:$D$603,412))</f>
        <v/>
      </c>
      <c r="E1733" s="26" t="str">
        <f>IF(INDEX(资金日记账!$N$4:$S$603,412,4)=0,"",INDEX(资金日记账!$N$4:$S$603,412,4))</f>
        <v/>
      </c>
      <c r="F1733" s="25" t="str">
        <f>IF($E1733="","",IFERROR(INDEX(科目表!$A$4:$A$81,MATCH($E1733,科目表!$B$4:$B$81,0)),""))</f>
        <v/>
      </c>
      <c r="G1733" s="26" t="str">
        <f>IF($E1733="","",IFERROR(INDEX(科目表!$E$4:$E$81,MATCH($E1733,科目表!$B$4:$B$81,0)),""))</f>
        <v/>
      </c>
      <c r="H1733" s="27" t="str">
        <f>IF($E1733="","",N(INDEX(资金日记账!$N$4:$S$603,412,5)))</f>
        <v/>
      </c>
      <c r="I1733" s="27" t="str">
        <f>IF($E1733="","",N(INDEX(资金日记账!$N$4:$S$603,412,6)))</f>
        <v/>
      </c>
      <c r="J1733" s="26" t="str">
        <f>IF($E1733="","",INDEX(资金日记账!$E$4:$E$603,412))</f>
        <v/>
      </c>
      <c r="K1733" s="26" t="str">
        <f>IF($E1733="","",INDEX(资金日记账!$F$4:$F$603,412))</f>
        <v/>
      </c>
      <c r="L1733" s="32" t="str">
        <f>IF($E1733="","",INDEX(资金日记账!$X$4:$X$603,412))</f>
        <v/>
      </c>
      <c r="M1733" s="32"/>
      <c r="N1733" s="26" t="str">
        <f>IF($E1733="","",INDEX(资金日记账!$Y$4:$Y$603,412))</f>
        <v/>
      </c>
      <c r="O1733" s="26" t="str">
        <f t="shared" si="84"/>
        <v/>
      </c>
      <c r="P1733" s="10"/>
    </row>
    <row r="1734" ht="18" customHeight="1" spans="1:16">
      <c r="A1734" s="32" t="str">
        <f t="shared" si="85"/>
        <v/>
      </c>
      <c r="B1734" s="100" t="str">
        <f>IF($E1734="","",INDEX(资金日记账!$B$4:$B$603,413))</f>
        <v/>
      </c>
      <c r="C1734" s="26" t="str">
        <f>IF($E1734="","",IF(INDEX(资金日记账!$W$4:$W$603,413)="","记-"&amp;TEXT($B1734,"YYYYMM")&amp;"-资金",INDEX(资金日记账!$W$4:$W$603,413)))</f>
        <v/>
      </c>
      <c r="D1734" s="32" t="str">
        <f>IF($E1734="","",INDEX(资金日记账!$D$4:$D$603,413))</f>
        <v/>
      </c>
      <c r="E1734" s="26" t="str">
        <f>IF(INDEX(资金日记账!$N$4:$S$603,413,1)=0,"",INDEX(资金日记账!$N$4:$S$603,413,1))</f>
        <v/>
      </c>
      <c r="F1734" s="25" t="str">
        <f>IF($E1734="","",IFERROR(INDEX(科目表!$A$4:$A$81,MATCH($E1734,科目表!$B$4:$B$81,0)),""))</f>
        <v/>
      </c>
      <c r="G1734" s="26" t="str">
        <f>IF($E1734="","",IFERROR(INDEX(科目表!$E$4:$E$81,MATCH($E1734,科目表!$B$4:$B$81,0)),""))</f>
        <v/>
      </c>
      <c r="H1734" s="27" t="str">
        <f>IF($E1734="","",N(INDEX(资金日记账!$N$4:$S$603,413,2)))</f>
        <v/>
      </c>
      <c r="I1734" s="27" t="str">
        <f>IF($E1734="","",N(INDEX(资金日记账!$N$4:$S$603,413,3)))</f>
        <v/>
      </c>
      <c r="J1734" s="26" t="str">
        <f>IF($E1734="","",INDEX(资金日记账!$E$4:$E$603,413))</f>
        <v/>
      </c>
      <c r="K1734" s="26" t="str">
        <f>IF($E1734="","",INDEX(资金日记账!$F$4:$F$603,413))</f>
        <v/>
      </c>
      <c r="L1734" s="32" t="str">
        <f>IF($E1734="","",INDEX(资金日记账!$X$4:$X$603,413))</f>
        <v/>
      </c>
      <c r="M1734" s="32"/>
      <c r="N1734" s="26" t="str">
        <f>IF($E1734="","",INDEX(资金日记账!$Y$4:$Y$603,413))</f>
        <v/>
      </c>
      <c r="O1734" s="26" t="str">
        <f t="shared" si="84"/>
        <v/>
      </c>
      <c r="P1734" s="10"/>
    </row>
    <row r="1735" ht="18" customHeight="1" spans="1:16">
      <c r="A1735" s="32" t="str">
        <f t="shared" si="85"/>
        <v/>
      </c>
      <c r="B1735" s="100" t="str">
        <f>IF($E1735="","",INDEX(资金日记账!$B$4:$B$603,413))</f>
        <v/>
      </c>
      <c r="C1735" s="26" t="str">
        <f>IF($E1735="","",IF(INDEX(资金日记账!$W$4:$W$603,413)="","记-"&amp;TEXT($B1735,"YYYYMM")&amp;"-资金",INDEX(资金日记账!$W$4:$W$603,413)))</f>
        <v/>
      </c>
      <c r="D1735" s="32" t="str">
        <f>IF($E1735="","",INDEX(资金日记账!$D$4:$D$603,413))</f>
        <v/>
      </c>
      <c r="E1735" s="26" t="str">
        <f>IF(INDEX(资金日记账!$N$4:$S$603,413,4)=0,"",INDEX(资金日记账!$N$4:$S$603,413,4))</f>
        <v/>
      </c>
      <c r="F1735" s="25" t="str">
        <f>IF($E1735="","",IFERROR(INDEX(科目表!$A$4:$A$81,MATCH($E1735,科目表!$B$4:$B$81,0)),""))</f>
        <v/>
      </c>
      <c r="G1735" s="26" t="str">
        <f>IF($E1735="","",IFERROR(INDEX(科目表!$E$4:$E$81,MATCH($E1735,科目表!$B$4:$B$81,0)),""))</f>
        <v/>
      </c>
      <c r="H1735" s="27" t="str">
        <f>IF($E1735="","",N(INDEX(资金日记账!$N$4:$S$603,413,5)))</f>
        <v/>
      </c>
      <c r="I1735" s="27" t="str">
        <f>IF($E1735="","",N(INDEX(资金日记账!$N$4:$S$603,413,6)))</f>
        <v/>
      </c>
      <c r="J1735" s="26" t="str">
        <f>IF($E1735="","",INDEX(资金日记账!$E$4:$E$603,413))</f>
        <v/>
      </c>
      <c r="K1735" s="26" t="str">
        <f>IF($E1735="","",INDEX(资金日记账!$F$4:$F$603,413))</f>
        <v/>
      </c>
      <c r="L1735" s="32" t="str">
        <f>IF($E1735="","",INDEX(资金日记账!$X$4:$X$603,413))</f>
        <v/>
      </c>
      <c r="M1735" s="32"/>
      <c r="N1735" s="26" t="str">
        <f>IF($E1735="","",INDEX(资金日记账!$Y$4:$Y$603,413))</f>
        <v/>
      </c>
      <c r="O1735" s="26" t="str">
        <f t="shared" si="84"/>
        <v/>
      </c>
      <c r="P1735" s="10"/>
    </row>
    <row r="1736" ht="18" customHeight="1" spans="1:16">
      <c r="A1736" s="32" t="str">
        <f t="shared" si="85"/>
        <v/>
      </c>
      <c r="B1736" s="100" t="str">
        <f>IF($E1736="","",INDEX(资金日记账!$B$4:$B$603,414))</f>
        <v/>
      </c>
      <c r="C1736" s="26" t="str">
        <f>IF($E1736="","",IF(INDEX(资金日记账!$W$4:$W$603,414)="","记-"&amp;TEXT($B1736,"YYYYMM")&amp;"-资金",INDEX(资金日记账!$W$4:$W$603,414)))</f>
        <v/>
      </c>
      <c r="D1736" s="32" t="str">
        <f>IF($E1736="","",INDEX(资金日记账!$D$4:$D$603,414))</f>
        <v/>
      </c>
      <c r="E1736" s="26" t="str">
        <f>IF(INDEX(资金日记账!$N$4:$S$603,414,1)=0,"",INDEX(资金日记账!$N$4:$S$603,414,1))</f>
        <v/>
      </c>
      <c r="F1736" s="25" t="str">
        <f>IF($E1736="","",IFERROR(INDEX(科目表!$A$4:$A$81,MATCH($E1736,科目表!$B$4:$B$81,0)),""))</f>
        <v/>
      </c>
      <c r="G1736" s="26" t="str">
        <f>IF($E1736="","",IFERROR(INDEX(科目表!$E$4:$E$81,MATCH($E1736,科目表!$B$4:$B$81,0)),""))</f>
        <v/>
      </c>
      <c r="H1736" s="27" t="str">
        <f>IF($E1736="","",N(INDEX(资金日记账!$N$4:$S$603,414,2)))</f>
        <v/>
      </c>
      <c r="I1736" s="27" t="str">
        <f>IF($E1736="","",N(INDEX(资金日记账!$N$4:$S$603,414,3)))</f>
        <v/>
      </c>
      <c r="J1736" s="26" t="str">
        <f>IF($E1736="","",INDEX(资金日记账!$E$4:$E$603,414))</f>
        <v/>
      </c>
      <c r="K1736" s="26" t="str">
        <f>IF($E1736="","",INDEX(资金日记账!$F$4:$F$603,414))</f>
        <v/>
      </c>
      <c r="L1736" s="32" t="str">
        <f>IF($E1736="","",INDEX(资金日记账!$X$4:$X$603,414))</f>
        <v/>
      </c>
      <c r="M1736" s="32"/>
      <c r="N1736" s="26" t="str">
        <f>IF($E1736="","",INDEX(资金日记账!$Y$4:$Y$603,414))</f>
        <v/>
      </c>
      <c r="O1736" s="26" t="str">
        <f t="shared" si="84"/>
        <v/>
      </c>
      <c r="P1736" s="10"/>
    </row>
    <row r="1737" ht="18" customHeight="1" spans="1:16">
      <c r="A1737" s="32" t="str">
        <f t="shared" si="85"/>
        <v/>
      </c>
      <c r="B1737" s="100" t="str">
        <f>IF($E1737="","",INDEX(资金日记账!$B$4:$B$603,414))</f>
        <v/>
      </c>
      <c r="C1737" s="26" t="str">
        <f>IF($E1737="","",IF(INDEX(资金日记账!$W$4:$W$603,414)="","记-"&amp;TEXT($B1737,"YYYYMM")&amp;"-资金",INDEX(资金日记账!$W$4:$W$603,414)))</f>
        <v/>
      </c>
      <c r="D1737" s="32" t="str">
        <f>IF($E1737="","",INDEX(资金日记账!$D$4:$D$603,414))</f>
        <v/>
      </c>
      <c r="E1737" s="26" t="str">
        <f>IF(INDEX(资金日记账!$N$4:$S$603,414,4)=0,"",INDEX(资金日记账!$N$4:$S$603,414,4))</f>
        <v/>
      </c>
      <c r="F1737" s="25" t="str">
        <f>IF($E1737="","",IFERROR(INDEX(科目表!$A$4:$A$81,MATCH($E1737,科目表!$B$4:$B$81,0)),""))</f>
        <v/>
      </c>
      <c r="G1737" s="26" t="str">
        <f>IF($E1737="","",IFERROR(INDEX(科目表!$E$4:$E$81,MATCH($E1737,科目表!$B$4:$B$81,0)),""))</f>
        <v/>
      </c>
      <c r="H1737" s="27" t="str">
        <f>IF($E1737="","",N(INDEX(资金日记账!$N$4:$S$603,414,5)))</f>
        <v/>
      </c>
      <c r="I1737" s="27" t="str">
        <f>IF($E1737="","",N(INDEX(资金日记账!$N$4:$S$603,414,6)))</f>
        <v/>
      </c>
      <c r="J1737" s="26" t="str">
        <f>IF($E1737="","",INDEX(资金日记账!$E$4:$E$603,414))</f>
        <v/>
      </c>
      <c r="K1737" s="26" t="str">
        <f>IF($E1737="","",INDEX(资金日记账!$F$4:$F$603,414))</f>
        <v/>
      </c>
      <c r="L1737" s="32" t="str">
        <f>IF($E1737="","",INDEX(资金日记账!$X$4:$X$603,414))</f>
        <v/>
      </c>
      <c r="M1737" s="32"/>
      <c r="N1737" s="26" t="str">
        <f>IF($E1737="","",INDEX(资金日记账!$Y$4:$Y$603,414))</f>
        <v/>
      </c>
      <c r="O1737" s="26" t="str">
        <f t="shared" si="84"/>
        <v/>
      </c>
      <c r="P1737" s="10"/>
    </row>
    <row r="1738" ht="18" customHeight="1" spans="1:16">
      <c r="A1738" s="32" t="str">
        <f t="shared" si="85"/>
        <v/>
      </c>
      <c r="B1738" s="100" t="str">
        <f>IF($E1738="","",INDEX(资金日记账!$B$4:$B$603,415))</f>
        <v/>
      </c>
      <c r="C1738" s="26" t="str">
        <f>IF($E1738="","",IF(INDEX(资金日记账!$W$4:$W$603,415)="","记-"&amp;TEXT($B1738,"YYYYMM")&amp;"-资金",INDEX(资金日记账!$W$4:$W$603,415)))</f>
        <v/>
      </c>
      <c r="D1738" s="32" t="str">
        <f>IF($E1738="","",INDEX(资金日记账!$D$4:$D$603,415))</f>
        <v/>
      </c>
      <c r="E1738" s="26" t="str">
        <f>IF(INDEX(资金日记账!$N$4:$S$603,415,1)=0,"",INDEX(资金日记账!$N$4:$S$603,415,1))</f>
        <v/>
      </c>
      <c r="F1738" s="25" t="str">
        <f>IF($E1738="","",IFERROR(INDEX(科目表!$A$4:$A$81,MATCH($E1738,科目表!$B$4:$B$81,0)),""))</f>
        <v/>
      </c>
      <c r="G1738" s="26" t="str">
        <f>IF($E1738="","",IFERROR(INDEX(科目表!$E$4:$E$81,MATCH($E1738,科目表!$B$4:$B$81,0)),""))</f>
        <v/>
      </c>
      <c r="H1738" s="27" t="str">
        <f>IF($E1738="","",N(INDEX(资金日记账!$N$4:$S$603,415,2)))</f>
        <v/>
      </c>
      <c r="I1738" s="27" t="str">
        <f>IF($E1738="","",N(INDEX(资金日记账!$N$4:$S$603,415,3)))</f>
        <v/>
      </c>
      <c r="J1738" s="26" t="str">
        <f>IF($E1738="","",INDEX(资金日记账!$E$4:$E$603,415))</f>
        <v/>
      </c>
      <c r="K1738" s="26" t="str">
        <f>IF($E1738="","",INDEX(资金日记账!$F$4:$F$603,415))</f>
        <v/>
      </c>
      <c r="L1738" s="32" t="str">
        <f>IF($E1738="","",INDEX(资金日记账!$X$4:$X$603,415))</f>
        <v/>
      </c>
      <c r="M1738" s="32"/>
      <c r="N1738" s="26" t="str">
        <f>IF($E1738="","",INDEX(资金日记账!$Y$4:$Y$603,415))</f>
        <v/>
      </c>
      <c r="O1738" s="26" t="str">
        <f t="shared" si="84"/>
        <v/>
      </c>
      <c r="P1738" s="10"/>
    </row>
    <row r="1739" ht="18" customHeight="1" spans="1:16">
      <c r="A1739" s="32" t="str">
        <f t="shared" si="85"/>
        <v/>
      </c>
      <c r="B1739" s="100" t="str">
        <f>IF($E1739="","",INDEX(资金日记账!$B$4:$B$603,415))</f>
        <v/>
      </c>
      <c r="C1739" s="26" t="str">
        <f>IF($E1739="","",IF(INDEX(资金日记账!$W$4:$W$603,415)="","记-"&amp;TEXT($B1739,"YYYYMM")&amp;"-资金",INDEX(资金日记账!$W$4:$W$603,415)))</f>
        <v/>
      </c>
      <c r="D1739" s="32" t="str">
        <f>IF($E1739="","",INDEX(资金日记账!$D$4:$D$603,415))</f>
        <v/>
      </c>
      <c r="E1739" s="26" t="str">
        <f>IF(INDEX(资金日记账!$N$4:$S$603,415,4)=0,"",INDEX(资金日记账!$N$4:$S$603,415,4))</f>
        <v/>
      </c>
      <c r="F1739" s="25" t="str">
        <f>IF($E1739="","",IFERROR(INDEX(科目表!$A$4:$A$81,MATCH($E1739,科目表!$B$4:$B$81,0)),""))</f>
        <v/>
      </c>
      <c r="G1739" s="26" t="str">
        <f>IF($E1739="","",IFERROR(INDEX(科目表!$E$4:$E$81,MATCH($E1739,科目表!$B$4:$B$81,0)),""))</f>
        <v/>
      </c>
      <c r="H1739" s="27" t="str">
        <f>IF($E1739="","",N(INDEX(资金日记账!$N$4:$S$603,415,5)))</f>
        <v/>
      </c>
      <c r="I1739" s="27" t="str">
        <f>IF($E1739="","",N(INDEX(资金日记账!$N$4:$S$603,415,6)))</f>
        <v/>
      </c>
      <c r="J1739" s="26" t="str">
        <f>IF($E1739="","",INDEX(资金日记账!$E$4:$E$603,415))</f>
        <v/>
      </c>
      <c r="K1739" s="26" t="str">
        <f>IF($E1739="","",INDEX(资金日记账!$F$4:$F$603,415))</f>
        <v/>
      </c>
      <c r="L1739" s="32" t="str">
        <f>IF($E1739="","",INDEX(资金日记账!$X$4:$X$603,415))</f>
        <v/>
      </c>
      <c r="M1739" s="32"/>
      <c r="N1739" s="26" t="str">
        <f>IF($E1739="","",INDEX(资金日记账!$Y$4:$Y$603,415))</f>
        <v/>
      </c>
      <c r="O1739" s="26" t="str">
        <f t="shared" si="84"/>
        <v/>
      </c>
      <c r="P1739" s="10"/>
    </row>
    <row r="1740" ht="18" customHeight="1" spans="1:16">
      <c r="A1740" s="32" t="str">
        <f t="shared" si="85"/>
        <v/>
      </c>
      <c r="B1740" s="100" t="str">
        <f>IF($E1740="","",INDEX(资金日记账!$B$4:$B$603,416))</f>
        <v/>
      </c>
      <c r="C1740" s="26" t="str">
        <f>IF($E1740="","",IF(INDEX(资金日记账!$W$4:$W$603,416)="","记-"&amp;TEXT($B1740,"YYYYMM")&amp;"-资金",INDEX(资金日记账!$W$4:$W$603,416)))</f>
        <v/>
      </c>
      <c r="D1740" s="32" t="str">
        <f>IF($E1740="","",INDEX(资金日记账!$D$4:$D$603,416))</f>
        <v/>
      </c>
      <c r="E1740" s="26" t="str">
        <f>IF(INDEX(资金日记账!$N$4:$S$603,416,1)=0,"",INDEX(资金日记账!$N$4:$S$603,416,1))</f>
        <v/>
      </c>
      <c r="F1740" s="25" t="str">
        <f>IF($E1740="","",IFERROR(INDEX(科目表!$A$4:$A$81,MATCH($E1740,科目表!$B$4:$B$81,0)),""))</f>
        <v/>
      </c>
      <c r="G1740" s="26" t="str">
        <f>IF($E1740="","",IFERROR(INDEX(科目表!$E$4:$E$81,MATCH($E1740,科目表!$B$4:$B$81,0)),""))</f>
        <v/>
      </c>
      <c r="H1740" s="27" t="str">
        <f>IF($E1740="","",N(INDEX(资金日记账!$N$4:$S$603,416,2)))</f>
        <v/>
      </c>
      <c r="I1740" s="27" t="str">
        <f>IF($E1740="","",N(INDEX(资金日记账!$N$4:$S$603,416,3)))</f>
        <v/>
      </c>
      <c r="J1740" s="26" t="str">
        <f>IF($E1740="","",INDEX(资金日记账!$E$4:$E$603,416))</f>
        <v/>
      </c>
      <c r="K1740" s="26" t="str">
        <f>IF($E1740="","",INDEX(资金日记账!$F$4:$F$603,416))</f>
        <v/>
      </c>
      <c r="L1740" s="32" t="str">
        <f>IF($E1740="","",INDEX(资金日记账!$X$4:$X$603,416))</f>
        <v/>
      </c>
      <c r="M1740" s="32"/>
      <c r="N1740" s="26" t="str">
        <f>IF($E1740="","",INDEX(资金日记账!$Y$4:$Y$603,416))</f>
        <v/>
      </c>
      <c r="O1740" s="26" t="str">
        <f t="shared" si="84"/>
        <v/>
      </c>
      <c r="P1740" s="10"/>
    </row>
    <row r="1741" ht="18" customHeight="1" spans="1:16">
      <c r="A1741" s="32" t="str">
        <f t="shared" si="85"/>
        <v/>
      </c>
      <c r="B1741" s="100" t="str">
        <f>IF($E1741="","",INDEX(资金日记账!$B$4:$B$603,416))</f>
        <v/>
      </c>
      <c r="C1741" s="26" t="str">
        <f>IF($E1741="","",IF(INDEX(资金日记账!$W$4:$W$603,416)="","记-"&amp;TEXT($B1741,"YYYYMM")&amp;"-资金",INDEX(资金日记账!$W$4:$W$603,416)))</f>
        <v/>
      </c>
      <c r="D1741" s="32" t="str">
        <f>IF($E1741="","",INDEX(资金日记账!$D$4:$D$603,416))</f>
        <v/>
      </c>
      <c r="E1741" s="26" t="str">
        <f>IF(INDEX(资金日记账!$N$4:$S$603,416,4)=0,"",INDEX(资金日记账!$N$4:$S$603,416,4))</f>
        <v/>
      </c>
      <c r="F1741" s="25" t="str">
        <f>IF($E1741="","",IFERROR(INDEX(科目表!$A$4:$A$81,MATCH($E1741,科目表!$B$4:$B$81,0)),""))</f>
        <v/>
      </c>
      <c r="G1741" s="26" t="str">
        <f>IF($E1741="","",IFERROR(INDEX(科目表!$E$4:$E$81,MATCH($E1741,科目表!$B$4:$B$81,0)),""))</f>
        <v/>
      </c>
      <c r="H1741" s="27" t="str">
        <f>IF($E1741="","",N(INDEX(资金日记账!$N$4:$S$603,416,5)))</f>
        <v/>
      </c>
      <c r="I1741" s="27" t="str">
        <f>IF($E1741="","",N(INDEX(资金日记账!$N$4:$S$603,416,6)))</f>
        <v/>
      </c>
      <c r="J1741" s="26" t="str">
        <f>IF($E1741="","",INDEX(资金日记账!$E$4:$E$603,416))</f>
        <v/>
      </c>
      <c r="K1741" s="26" t="str">
        <f>IF($E1741="","",INDEX(资金日记账!$F$4:$F$603,416))</f>
        <v/>
      </c>
      <c r="L1741" s="32" t="str">
        <f>IF($E1741="","",INDEX(资金日记账!$X$4:$X$603,416))</f>
        <v/>
      </c>
      <c r="M1741" s="32"/>
      <c r="N1741" s="26" t="str">
        <f>IF($E1741="","",INDEX(资金日记账!$Y$4:$Y$603,416))</f>
        <v/>
      </c>
      <c r="O1741" s="26" t="str">
        <f t="shared" si="84"/>
        <v/>
      </c>
      <c r="P1741" s="10"/>
    </row>
    <row r="1742" ht="18" customHeight="1" spans="1:16">
      <c r="A1742" s="32" t="str">
        <f t="shared" si="85"/>
        <v/>
      </c>
      <c r="B1742" s="100" t="str">
        <f>IF($E1742="","",INDEX(资金日记账!$B$4:$B$603,417))</f>
        <v/>
      </c>
      <c r="C1742" s="26" t="str">
        <f>IF($E1742="","",IF(INDEX(资金日记账!$W$4:$W$603,417)="","记-"&amp;TEXT($B1742,"YYYYMM")&amp;"-资金",INDEX(资金日记账!$W$4:$W$603,417)))</f>
        <v/>
      </c>
      <c r="D1742" s="32" t="str">
        <f>IF($E1742="","",INDEX(资金日记账!$D$4:$D$603,417))</f>
        <v/>
      </c>
      <c r="E1742" s="26" t="str">
        <f>IF(INDEX(资金日记账!$N$4:$S$603,417,1)=0,"",INDEX(资金日记账!$N$4:$S$603,417,1))</f>
        <v/>
      </c>
      <c r="F1742" s="25" t="str">
        <f>IF($E1742="","",IFERROR(INDEX(科目表!$A$4:$A$81,MATCH($E1742,科目表!$B$4:$B$81,0)),""))</f>
        <v/>
      </c>
      <c r="G1742" s="26" t="str">
        <f>IF($E1742="","",IFERROR(INDEX(科目表!$E$4:$E$81,MATCH($E1742,科目表!$B$4:$B$81,0)),""))</f>
        <v/>
      </c>
      <c r="H1742" s="27" t="str">
        <f>IF($E1742="","",N(INDEX(资金日记账!$N$4:$S$603,417,2)))</f>
        <v/>
      </c>
      <c r="I1742" s="27" t="str">
        <f>IF($E1742="","",N(INDEX(资金日记账!$N$4:$S$603,417,3)))</f>
        <v/>
      </c>
      <c r="J1742" s="26" t="str">
        <f>IF($E1742="","",INDEX(资金日记账!$E$4:$E$603,417))</f>
        <v/>
      </c>
      <c r="K1742" s="26" t="str">
        <f>IF($E1742="","",INDEX(资金日记账!$F$4:$F$603,417))</f>
        <v/>
      </c>
      <c r="L1742" s="32" t="str">
        <f>IF($E1742="","",INDEX(资金日记账!$X$4:$X$603,417))</f>
        <v/>
      </c>
      <c r="M1742" s="32"/>
      <c r="N1742" s="26" t="str">
        <f>IF($E1742="","",INDEX(资金日记账!$Y$4:$Y$603,417))</f>
        <v/>
      </c>
      <c r="O1742" s="26" t="str">
        <f t="shared" ref="O1742:O1805" si="86">IF($E1742="","","自动B")</f>
        <v/>
      </c>
      <c r="P1742" s="10"/>
    </row>
    <row r="1743" ht="18" customHeight="1" spans="1:16">
      <c r="A1743" s="32" t="str">
        <f t="shared" si="85"/>
        <v/>
      </c>
      <c r="B1743" s="100" t="str">
        <f>IF($E1743="","",INDEX(资金日记账!$B$4:$B$603,417))</f>
        <v/>
      </c>
      <c r="C1743" s="26" t="str">
        <f>IF($E1743="","",IF(INDEX(资金日记账!$W$4:$W$603,417)="","记-"&amp;TEXT($B1743,"YYYYMM")&amp;"-资金",INDEX(资金日记账!$W$4:$W$603,417)))</f>
        <v/>
      </c>
      <c r="D1743" s="32" t="str">
        <f>IF($E1743="","",INDEX(资金日记账!$D$4:$D$603,417))</f>
        <v/>
      </c>
      <c r="E1743" s="26" t="str">
        <f>IF(INDEX(资金日记账!$N$4:$S$603,417,4)=0,"",INDEX(资金日记账!$N$4:$S$603,417,4))</f>
        <v/>
      </c>
      <c r="F1743" s="25" t="str">
        <f>IF($E1743="","",IFERROR(INDEX(科目表!$A$4:$A$81,MATCH($E1743,科目表!$B$4:$B$81,0)),""))</f>
        <v/>
      </c>
      <c r="G1743" s="26" t="str">
        <f>IF($E1743="","",IFERROR(INDEX(科目表!$E$4:$E$81,MATCH($E1743,科目表!$B$4:$B$81,0)),""))</f>
        <v/>
      </c>
      <c r="H1743" s="27" t="str">
        <f>IF($E1743="","",N(INDEX(资金日记账!$N$4:$S$603,417,5)))</f>
        <v/>
      </c>
      <c r="I1743" s="27" t="str">
        <f>IF($E1743="","",N(INDEX(资金日记账!$N$4:$S$603,417,6)))</f>
        <v/>
      </c>
      <c r="J1743" s="26" t="str">
        <f>IF($E1743="","",INDEX(资金日记账!$E$4:$E$603,417))</f>
        <v/>
      </c>
      <c r="K1743" s="26" t="str">
        <f>IF($E1743="","",INDEX(资金日记账!$F$4:$F$603,417))</f>
        <v/>
      </c>
      <c r="L1743" s="32" t="str">
        <f>IF($E1743="","",INDEX(资金日记账!$X$4:$X$603,417))</f>
        <v/>
      </c>
      <c r="M1743" s="32"/>
      <c r="N1743" s="26" t="str">
        <f>IF($E1743="","",INDEX(资金日记账!$Y$4:$Y$603,417))</f>
        <v/>
      </c>
      <c r="O1743" s="26" t="str">
        <f t="shared" si="86"/>
        <v/>
      </c>
      <c r="P1743" s="10"/>
    </row>
    <row r="1744" ht="18" customHeight="1" spans="1:16">
      <c r="A1744" s="32" t="str">
        <f t="shared" si="85"/>
        <v/>
      </c>
      <c r="B1744" s="100" t="str">
        <f>IF($E1744="","",INDEX(资金日记账!$B$4:$B$603,418))</f>
        <v/>
      </c>
      <c r="C1744" s="26" t="str">
        <f>IF($E1744="","",IF(INDEX(资金日记账!$W$4:$W$603,418)="","记-"&amp;TEXT($B1744,"YYYYMM")&amp;"-资金",INDEX(资金日记账!$W$4:$W$603,418)))</f>
        <v/>
      </c>
      <c r="D1744" s="32" t="str">
        <f>IF($E1744="","",INDEX(资金日记账!$D$4:$D$603,418))</f>
        <v/>
      </c>
      <c r="E1744" s="26" t="str">
        <f>IF(INDEX(资金日记账!$N$4:$S$603,418,1)=0,"",INDEX(资金日记账!$N$4:$S$603,418,1))</f>
        <v/>
      </c>
      <c r="F1744" s="25" t="str">
        <f>IF($E1744="","",IFERROR(INDEX(科目表!$A$4:$A$81,MATCH($E1744,科目表!$B$4:$B$81,0)),""))</f>
        <v/>
      </c>
      <c r="G1744" s="26" t="str">
        <f>IF($E1744="","",IFERROR(INDEX(科目表!$E$4:$E$81,MATCH($E1744,科目表!$B$4:$B$81,0)),""))</f>
        <v/>
      </c>
      <c r="H1744" s="27" t="str">
        <f>IF($E1744="","",N(INDEX(资金日记账!$N$4:$S$603,418,2)))</f>
        <v/>
      </c>
      <c r="I1744" s="27" t="str">
        <f>IF($E1744="","",N(INDEX(资金日记账!$N$4:$S$603,418,3)))</f>
        <v/>
      </c>
      <c r="J1744" s="26" t="str">
        <f>IF($E1744="","",INDEX(资金日记账!$E$4:$E$603,418))</f>
        <v/>
      </c>
      <c r="K1744" s="26" t="str">
        <f>IF($E1744="","",INDEX(资金日记账!$F$4:$F$603,418))</f>
        <v/>
      </c>
      <c r="L1744" s="32" t="str">
        <f>IF($E1744="","",INDEX(资金日记账!$X$4:$X$603,418))</f>
        <v/>
      </c>
      <c r="M1744" s="32"/>
      <c r="N1744" s="26" t="str">
        <f>IF($E1744="","",INDEX(资金日记账!$Y$4:$Y$603,418))</f>
        <v/>
      </c>
      <c r="O1744" s="26" t="str">
        <f t="shared" si="86"/>
        <v/>
      </c>
      <c r="P1744" s="10"/>
    </row>
    <row r="1745" ht="18" customHeight="1" spans="1:16">
      <c r="A1745" s="32" t="str">
        <f t="shared" si="85"/>
        <v/>
      </c>
      <c r="B1745" s="100" t="str">
        <f>IF($E1745="","",INDEX(资金日记账!$B$4:$B$603,418))</f>
        <v/>
      </c>
      <c r="C1745" s="26" t="str">
        <f>IF($E1745="","",IF(INDEX(资金日记账!$W$4:$W$603,418)="","记-"&amp;TEXT($B1745,"YYYYMM")&amp;"-资金",INDEX(资金日记账!$W$4:$W$603,418)))</f>
        <v/>
      </c>
      <c r="D1745" s="32" t="str">
        <f>IF($E1745="","",INDEX(资金日记账!$D$4:$D$603,418))</f>
        <v/>
      </c>
      <c r="E1745" s="26" t="str">
        <f>IF(INDEX(资金日记账!$N$4:$S$603,418,4)=0,"",INDEX(资金日记账!$N$4:$S$603,418,4))</f>
        <v/>
      </c>
      <c r="F1745" s="25" t="str">
        <f>IF($E1745="","",IFERROR(INDEX(科目表!$A$4:$A$81,MATCH($E1745,科目表!$B$4:$B$81,0)),""))</f>
        <v/>
      </c>
      <c r="G1745" s="26" t="str">
        <f>IF($E1745="","",IFERROR(INDEX(科目表!$E$4:$E$81,MATCH($E1745,科目表!$B$4:$B$81,0)),""))</f>
        <v/>
      </c>
      <c r="H1745" s="27" t="str">
        <f>IF($E1745="","",N(INDEX(资金日记账!$N$4:$S$603,418,5)))</f>
        <v/>
      </c>
      <c r="I1745" s="27" t="str">
        <f>IF($E1745="","",N(INDEX(资金日记账!$N$4:$S$603,418,6)))</f>
        <v/>
      </c>
      <c r="J1745" s="26" t="str">
        <f>IF($E1745="","",INDEX(资金日记账!$E$4:$E$603,418))</f>
        <v/>
      </c>
      <c r="K1745" s="26" t="str">
        <f>IF($E1745="","",INDEX(资金日记账!$F$4:$F$603,418))</f>
        <v/>
      </c>
      <c r="L1745" s="32" t="str">
        <f>IF($E1745="","",INDEX(资金日记账!$X$4:$X$603,418))</f>
        <v/>
      </c>
      <c r="M1745" s="32"/>
      <c r="N1745" s="26" t="str">
        <f>IF($E1745="","",INDEX(资金日记账!$Y$4:$Y$603,418))</f>
        <v/>
      </c>
      <c r="O1745" s="26" t="str">
        <f t="shared" si="86"/>
        <v/>
      </c>
      <c r="P1745" s="10"/>
    </row>
    <row r="1746" ht="18" customHeight="1" spans="1:16">
      <c r="A1746" s="32" t="str">
        <f t="shared" si="85"/>
        <v/>
      </c>
      <c r="B1746" s="100" t="str">
        <f>IF($E1746="","",INDEX(资金日记账!$B$4:$B$603,419))</f>
        <v/>
      </c>
      <c r="C1746" s="26" t="str">
        <f>IF($E1746="","",IF(INDEX(资金日记账!$W$4:$W$603,419)="","记-"&amp;TEXT($B1746,"YYYYMM")&amp;"-资金",INDEX(资金日记账!$W$4:$W$603,419)))</f>
        <v/>
      </c>
      <c r="D1746" s="32" t="str">
        <f>IF($E1746="","",INDEX(资金日记账!$D$4:$D$603,419))</f>
        <v/>
      </c>
      <c r="E1746" s="26" t="str">
        <f>IF(INDEX(资金日记账!$N$4:$S$603,419,1)=0,"",INDEX(资金日记账!$N$4:$S$603,419,1))</f>
        <v/>
      </c>
      <c r="F1746" s="25" t="str">
        <f>IF($E1746="","",IFERROR(INDEX(科目表!$A$4:$A$81,MATCH($E1746,科目表!$B$4:$B$81,0)),""))</f>
        <v/>
      </c>
      <c r="G1746" s="26" t="str">
        <f>IF($E1746="","",IFERROR(INDEX(科目表!$E$4:$E$81,MATCH($E1746,科目表!$B$4:$B$81,0)),""))</f>
        <v/>
      </c>
      <c r="H1746" s="27" t="str">
        <f>IF($E1746="","",N(INDEX(资金日记账!$N$4:$S$603,419,2)))</f>
        <v/>
      </c>
      <c r="I1746" s="27" t="str">
        <f>IF($E1746="","",N(INDEX(资金日记账!$N$4:$S$603,419,3)))</f>
        <v/>
      </c>
      <c r="J1746" s="26" t="str">
        <f>IF($E1746="","",INDEX(资金日记账!$E$4:$E$603,419))</f>
        <v/>
      </c>
      <c r="K1746" s="26" t="str">
        <f>IF($E1746="","",INDEX(资金日记账!$F$4:$F$603,419))</f>
        <v/>
      </c>
      <c r="L1746" s="32" t="str">
        <f>IF($E1746="","",INDEX(资金日记账!$X$4:$X$603,419))</f>
        <v/>
      </c>
      <c r="M1746" s="32"/>
      <c r="N1746" s="26" t="str">
        <f>IF($E1746="","",INDEX(资金日记账!$Y$4:$Y$603,419))</f>
        <v/>
      </c>
      <c r="O1746" s="26" t="str">
        <f t="shared" si="86"/>
        <v/>
      </c>
      <c r="P1746" s="10"/>
    </row>
    <row r="1747" ht="18" customHeight="1" spans="1:16">
      <c r="A1747" s="32" t="str">
        <f t="shared" si="85"/>
        <v/>
      </c>
      <c r="B1747" s="100" t="str">
        <f>IF($E1747="","",INDEX(资金日记账!$B$4:$B$603,419))</f>
        <v/>
      </c>
      <c r="C1747" s="26" t="str">
        <f>IF($E1747="","",IF(INDEX(资金日记账!$W$4:$W$603,419)="","记-"&amp;TEXT($B1747,"YYYYMM")&amp;"-资金",INDEX(资金日记账!$W$4:$W$603,419)))</f>
        <v/>
      </c>
      <c r="D1747" s="32" t="str">
        <f>IF($E1747="","",INDEX(资金日记账!$D$4:$D$603,419))</f>
        <v/>
      </c>
      <c r="E1747" s="26" t="str">
        <f>IF(INDEX(资金日记账!$N$4:$S$603,419,4)=0,"",INDEX(资金日记账!$N$4:$S$603,419,4))</f>
        <v/>
      </c>
      <c r="F1747" s="25" t="str">
        <f>IF($E1747="","",IFERROR(INDEX(科目表!$A$4:$A$81,MATCH($E1747,科目表!$B$4:$B$81,0)),""))</f>
        <v/>
      </c>
      <c r="G1747" s="26" t="str">
        <f>IF($E1747="","",IFERROR(INDEX(科目表!$E$4:$E$81,MATCH($E1747,科目表!$B$4:$B$81,0)),""))</f>
        <v/>
      </c>
      <c r="H1747" s="27" t="str">
        <f>IF($E1747="","",N(INDEX(资金日记账!$N$4:$S$603,419,5)))</f>
        <v/>
      </c>
      <c r="I1747" s="27" t="str">
        <f>IF($E1747="","",N(INDEX(资金日记账!$N$4:$S$603,419,6)))</f>
        <v/>
      </c>
      <c r="J1747" s="26" t="str">
        <f>IF($E1747="","",INDEX(资金日记账!$E$4:$E$603,419))</f>
        <v/>
      </c>
      <c r="K1747" s="26" t="str">
        <f>IF($E1747="","",INDEX(资金日记账!$F$4:$F$603,419))</f>
        <v/>
      </c>
      <c r="L1747" s="32" t="str">
        <f>IF($E1747="","",INDEX(资金日记账!$X$4:$X$603,419))</f>
        <v/>
      </c>
      <c r="M1747" s="32"/>
      <c r="N1747" s="26" t="str">
        <f>IF($E1747="","",INDEX(资金日记账!$Y$4:$Y$603,419))</f>
        <v/>
      </c>
      <c r="O1747" s="26" t="str">
        <f t="shared" si="86"/>
        <v/>
      </c>
      <c r="P1747" s="10"/>
    </row>
    <row r="1748" ht="18" customHeight="1" spans="1:16">
      <c r="A1748" s="32" t="str">
        <f t="shared" si="85"/>
        <v/>
      </c>
      <c r="B1748" s="100" t="str">
        <f>IF($E1748="","",INDEX(资金日记账!$B$4:$B$603,420))</f>
        <v/>
      </c>
      <c r="C1748" s="26" t="str">
        <f>IF($E1748="","",IF(INDEX(资金日记账!$W$4:$W$603,420)="","记-"&amp;TEXT($B1748,"YYYYMM")&amp;"-资金",INDEX(资金日记账!$W$4:$W$603,420)))</f>
        <v/>
      </c>
      <c r="D1748" s="32" t="str">
        <f>IF($E1748="","",INDEX(资金日记账!$D$4:$D$603,420))</f>
        <v/>
      </c>
      <c r="E1748" s="26" t="str">
        <f>IF(INDEX(资金日记账!$N$4:$S$603,420,1)=0,"",INDEX(资金日记账!$N$4:$S$603,420,1))</f>
        <v/>
      </c>
      <c r="F1748" s="25" t="str">
        <f>IF($E1748="","",IFERROR(INDEX(科目表!$A$4:$A$81,MATCH($E1748,科目表!$B$4:$B$81,0)),""))</f>
        <v/>
      </c>
      <c r="G1748" s="26" t="str">
        <f>IF($E1748="","",IFERROR(INDEX(科目表!$E$4:$E$81,MATCH($E1748,科目表!$B$4:$B$81,0)),""))</f>
        <v/>
      </c>
      <c r="H1748" s="27" t="str">
        <f>IF($E1748="","",N(INDEX(资金日记账!$N$4:$S$603,420,2)))</f>
        <v/>
      </c>
      <c r="I1748" s="27" t="str">
        <f>IF($E1748="","",N(INDEX(资金日记账!$N$4:$S$603,420,3)))</f>
        <v/>
      </c>
      <c r="J1748" s="26" t="str">
        <f>IF($E1748="","",INDEX(资金日记账!$E$4:$E$603,420))</f>
        <v/>
      </c>
      <c r="K1748" s="26" t="str">
        <f>IF($E1748="","",INDEX(资金日记账!$F$4:$F$603,420))</f>
        <v/>
      </c>
      <c r="L1748" s="32" t="str">
        <f>IF($E1748="","",INDEX(资金日记账!$X$4:$X$603,420))</f>
        <v/>
      </c>
      <c r="M1748" s="32"/>
      <c r="N1748" s="26" t="str">
        <f>IF($E1748="","",INDEX(资金日记账!$Y$4:$Y$603,420))</f>
        <v/>
      </c>
      <c r="O1748" s="26" t="str">
        <f t="shared" si="86"/>
        <v/>
      </c>
      <c r="P1748" s="10"/>
    </row>
    <row r="1749" ht="18" customHeight="1" spans="1:16">
      <c r="A1749" s="32" t="str">
        <f t="shared" si="85"/>
        <v/>
      </c>
      <c r="B1749" s="100" t="str">
        <f>IF($E1749="","",INDEX(资金日记账!$B$4:$B$603,420))</f>
        <v/>
      </c>
      <c r="C1749" s="26" t="str">
        <f>IF($E1749="","",IF(INDEX(资金日记账!$W$4:$W$603,420)="","记-"&amp;TEXT($B1749,"YYYYMM")&amp;"-资金",INDEX(资金日记账!$W$4:$W$603,420)))</f>
        <v/>
      </c>
      <c r="D1749" s="32" t="str">
        <f>IF($E1749="","",INDEX(资金日记账!$D$4:$D$603,420))</f>
        <v/>
      </c>
      <c r="E1749" s="26" t="str">
        <f>IF(INDEX(资金日记账!$N$4:$S$603,420,4)=0,"",INDEX(资金日记账!$N$4:$S$603,420,4))</f>
        <v/>
      </c>
      <c r="F1749" s="25" t="str">
        <f>IF($E1749="","",IFERROR(INDEX(科目表!$A$4:$A$81,MATCH($E1749,科目表!$B$4:$B$81,0)),""))</f>
        <v/>
      </c>
      <c r="G1749" s="26" t="str">
        <f>IF($E1749="","",IFERROR(INDEX(科目表!$E$4:$E$81,MATCH($E1749,科目表!$B$4:$B$81,0)),""))</f>
        <v/>
      </c>
      <c r="H1749" s="27" t="str">
        <f>IF($E1749="","",N(INDEX(资金日记账!$N$4:$S$603,420,5)))</f>
        <v/>
      </c>
      <c r="I1749" s="27" t="str">
        <f>IF($E1749="","",N(INDEX(资金日记账!$N$4:$S$603,420,6)))</f>
        <v/>
      </c>
      <c r="J1749" s="26" t="str">
        <f>IF($E1749="","",INDEX(资金日记账!$E$4:$E$603,420))</f>
        <v/>
      </c>
      <c r="K1749" s="26" t="str">
        <f>IF($E1749="","",INDEX(资金日记账!$F$4:$F$603,420))</f>
        <v/>
      </c>
      <c r="L1749" s="32" t="str">
        <f>IF($E1749="","",INDEX(资金日记账!$X$4:$X$603,420))</f>
        <v/>
      </c>
      <c r="M1749" s="32"/>
      <c r="N1749" s="26" t="str">
        <f>IF($E1749="","",INDEX(资金日记账!$Y$4:$Y$603,420))</f>
        <v/>
      </c>
      <c r="O1749" s="26" t="str">
        <f t="shared" si="86"/>
        <v/>
      </c>
      <c r="P1749" s="10"/>
    </row>
    <row r="1750" ht="18" customHeight="1" spans="1:16">
      <c r="A1750" s="32" t="str">
        <f t="shared" si="85"/>
        <v/>
      </c>
      <c r="B1750" s="100" t="str">
        <f>IF($E1750="","",INDEX(资金日记账!$B$4:$B$603,421))</f>
        <v/>
      </c>
      <c r="C1750" s="26" t="str">
        <f>IF($E1750="","",IF(INDEX(资金日记账!$W$4:$W$603,421)="","记-"&amp;TEXT($B1750,"YYYYMM")&amp;"-资金",INDEX(资金日记账!$W$4:$W$603,421)))</f>
        <v/>
      </c>
      <c r="D1750" s="32" t="str">
        <f>IF($E1750="","",INDEX(资金日记账!$D$4:$D$603,421))</f>
        <v/>
      </c>
      <c r="E1750" s="26" t="str">
        <f>IF(INDEX(资金日记账!$N$4:$S$603,421,1)=0,"",INDEX(资金日记账!$N$4:$S$603,421,1))</f>
        <v/>
      </c>
      <c r="F1750" s="25" t="str">
        <f>IF($E1750="","",IFERROR(INDEX(科目表!$A$4:$A$81,MATCH($E1750,科目表!$B$4:$B$81,0)),""))</f>
        <v/>
      </c>
      <c r="G1750" s="26" t="str">
        <f>IF($E1750="","",IFERROR(INDEX(科目表!$E$4:$E$81,MATCH($E1750,科目表!$B$4:$B$81,0)),""))</f>
        <v/>
      </c>
      <c r="H1750" s="27" t="str">
        <f>IF($E1750="","",N(INDEX(资金日记账!$N$4:$S$603,421,2)))</f>
        <v/>
      </c>
      <c r="I1750" s="27" t="str">
        <f>IF($E1750="","",N(INDEX(资金日记账!$N$4:$S$603,421,3)))</f>
        <v/>
      </c>
      <c r="J1750" s="26" t="str">
        <f>IF($E1750="","",INDEX(资金日记账!$E$4:$E$603,421))</f>
        <v/>
      </c>
      <c r="K1750" s="26" t="str">
        <f>IF($E1750="","",INDEX(资金日记账!$F$4:$F$603,421))</f>
        <v/>
      </c>
      <c r="L1750" s="32" t="str">
        <f>IF($E1750="","",INDEX(资金日记账!$X$4:$X$603,421))</f>
        <v/>
      </c>
      <c r="M1750" s="32"/>
      <c r="N1750" s="26" t="str">
        <f>IF($E1750="","",INDEX(资金日记账!$Y$4:$Y$603,421))</f>
        <v/>
      </c>
      <c r="O1750" s="26" t="str">
        <f t="shared" si="86"/>
        <v/>
      </c>
      <c r="P1750" s="10"/>
    </row>
    <row r="1751" ht="18" customHeight="1" spans="1:16">
      <c r="A1751" s="32" t="str">
        <f t="shared" si="85"/>
        <v/>
      </c>
      <c r="B1751" s="100" t="str">
        <f>IF($E1751="","",INDEX(资金日记账!$B$4:$B$603,421))</f>
        <v/>
      </c>
      <c r="C1751" s="26" t="str">
        <f>IF($E1751="","",IF(INDEX(资金日记账!$W$4:$W$603,421)="","记-"&amp;TEXT($B1751,"YYYYMM")&amp;"-资金",INDEX(资金日记账!$W$4:$W$603,421)))</f>
        <v/>
      </c>
      <c r="D1751" s="32" t="str">
        <f>IF($E1751="","",INDEX(资金日记账!$D$4:$D$603,421))</f>
        <v/>
      </c>
      <c r="E1751" s="26" t="str">
        <f>IF(INDEX(资金日记账!$N$4:$S$603,421,4)=0,"",INDEX(资金日记账!$N$4:$S$603,421,4))</f>
        <v/>
      </c>
      <c r="F1751" s="25" t="str">
        <f>IF($E1751="","",IFERROR(INDEX(科目表!$A$4:$A$81,MATCH($E1751,科目表!$B$4:$B$81,0)),""))</f>
        <v/>
      </c>
      <c r="G1751" s="26" t="str">
        <f>IF($E1751="","",IFERROR(INDEX(科目表!$E$4:$E$81,MATCH($E1751,科目表!$B$4:$B$81,0)),""))</f>
        <v/>
      </c>
      <c r="H1751" s="27" t="str">
        <f>IF($E1751="","",N(INDEX(资金日记账!$N$4:$S$603,421,5)))</f>
        <v/>
      </c>
      <c r="I1751" s="27" t="str">
        <f>IF($E1751="","",N(INDEX(资金日记账!$N$4:$S$603,421,6)))</f>
        <v/>
      </c>
      <c r="J1751" s="26" t="str">
        <f>IF($E1751="","",INDEX(资金日记账!$E$4:$E$603,421))</f>
        <v/>
      </c>
      <c r="K1751" s="26" t="str">
        <f>IF($E1751="","",INDEX(资金日记账!$F$4:$F$603,421))</f>
        <v/>
      </c>
      <c r="L1751" s="32" t="str">
        <f>IF($E1751="","",INDEX(资金日记账!$X$4:$X$603,421))</f>
        <v/>
      </c>
      <c r="M1751" s="32"/>
      <c r="N1751" s="26" t="str">
        <f>IF($E1751="","",INDEX(资金日记账!$Y$4:$Y$603,421))</f>
        <v/>
      </c>
      <c r="O1751" s="26" t="str">
        <f t="shared" si="86"/>
        <v/>
      </c>
      <c r="P1751" s="10"/>
    </row>
    <row r="1752" ht="18" customHeight="1" spans="1:16">
      <c r="A1752" s="32" t="str">
        <f t="shared" si="85"/>
        <v/>
      </c>
      <c r="B1752" s="100" t="str">
        <f>IF($E1752="","",INDEX(资金日记账!$B$4:$B$603,422))</f>
        <v/>
      </c>
      <c r="C1752" s="26" t="str">
        <f>IF($E1752="","",IF(INDEX(资金日记账!$W$4:$W$603,422)="","记-"&amp;TEXT($B1752,"YYYYMM")&amp;"-资金",INDEX(资金日记账!$W$4:$W$603,422)))</f>
        <v/>
      </c>
      <c r="D1752" s="32" t="str">
        <f>IF($E1752="","",INDEX(资金日记账!$D$4:$D$603,422))</f>
        <v/>
      </c>
      <c r="E1752" s="26" t="str">
        <f>IF(INDEX(资金日记账!$N$4:$S$603,422,1)=0,"",INDEX(资金日记账!$N$4:$S$603,422,1))</f>
        <v/>
      </c>
      <c r="F1752" s="25" t="str">
        <f>IF($E1752="","",IFERROR(INDEX(科目表!$A$4:$A$81,MATCH($E1752,科目表!$B$4:$B$81,0)),""))</f>
        <v/>
      </c>
      <c r="G1752" s="26" t="str">
        <f>IF($E1752="","",IFERROR(INDEX(科目表!$E$4:$E$81,MATCH($E1752,科目表!$B$4:$B$81,0)),""))</f>
        <v/>
      </c>
      <c r="H1752" s="27" t="str">
        <f>IF($E1752="","",N(INDEX(资金日记账!$N$4:$S$603,422,2)))</f>
        <v/>
      </c>
      <c r="I1752" s="27" t="str">
        <f>IF($E1752="","",N(INDEX(资金日记账!$N$4:$S$603,422,3)))</f>
        <v/>
      </c>
      <c r="J1752" s="26" t="str">
        <f>IF($E1752="","",INDEX(资金日记账!$E$4:$E$603,422))</f>
        <v/>
      </c>
      <c r="K1752" s="26" t="str">
        <f>IF($E1752="","",INDEX(资金日记账!$F$4:$F$603,422))</f>
        <v/>
      </c>
      <c r="L1752" s="32" t="str">
        <f>IF($E1752="","",INDEX(资金日记账!$X$4:$X$603,422))</f>
        <v/>
      </c>
      <c r="M1752" s="32"/>
      <c r="N1752" s="26" t="str">
        <f>IF($E1752="","",INDEX(资金日记账!$Y$4:$Y$603,422))</f>
        <v/>
      </c>
      <c r="O1752" s="26" t="str">
        <f t="shared" si="86"/>
        <v/>
      </c>
      <c r="P1752" s="10"/>
    </row>
    <row r="1753" ht="18" customHeight="1" spans="1:16">
      <c r="A1753" s="32" t="str">
        <f t="shared" si="85"/>
        <v/>
      </c>
      <c r="B1753" s="100" t="str">
        <f>IF($E1753="","",INDEX(资金日记账!$B$4:$B$603,422))</f>
        <v/>
      </c>
      <c r="C1753" s="26" t="str">
        <f>IF($E1753="","",IF(INDEX(资金日记账!$W$4:$W$603,422)="","记-"&amp;TEXT($B1753,"YYYYMM")&amp;"-资金",INDEX(资金日记账!$W$4:$W$603,422)))</f>
        <v/>
      </c>
      <c r="D1753" s="32" t="str">
        <f>IF($E1753="","",INDEX(资金日记账!$D$4:$D$603,422))</f>
        <v/>
      </c>
      <c r="E1753" s="26" t="str">
        <f>IF(INDEX(资金日记账!$N$4:$S$603,422,4)=0,"",INDEX(资金日记账!$N$4:$S$603,422,4))</f>
        <v/>
      </c>
      <c r="F1753" s="25" t="str">
        <f>IF($E1753="","",IFERROR(INDEX(科目表!$A$4:$A$81,MATCH($E1753,科目表!$B$4:$B$81,0)),""))</f>
        <v/>
      </c>
      <c r="G1753" s="26" t="str">
        <f>IF($E1753="","",IFERROR(INDEX(科目表!$E$4:$E$81,MATCH($E1753,科目表!$B$4:$B$81,0)),""))</f>
        <v/>
      </c>
      <c r="H1753" s="27" t="str">
        <f>IF($E1753="","",N(INDEX(资金日记账!$N$4:$S$603,422,5)))</f>
        <v/>
      </c>
      <c r="I1753" s="27" t="str">
        <f>IF($E1753="","",N(INDEX(资金日记账!$N$4:$S$603,422,6)))</f>
        <v/>
      </c>
      <c r="J1753" s="26" t="str">
        <f>IF($E1753="","",INDEX(资金日记账!$E$4:$E$603,422))</f>
        <v/>
      </c>
      <c r="K1753" s="26" t="str">
        <f>IF($E1753="","",INDEX(资金日记账!$F$4:$F$603,422))</f>
        <v/>
      </c>
      <c r="L1753" s="32" t="str">
        <f>IF($E1753="","",INDEX(资金日记账!$X$4:$X$603,422))</f>
        <v/>
      </c>
      <c r="M1753" s="32"/>
      <c r="N1753" s="26" t="str">
        <f>IF($E1753="","",INDEX(资金日记账!$Y$4:$Y$603,422))</f>
        <v/>
      </c>
      <c r="O1753" s="26" t="str">
        <f t="shared" si="86"/>
        <v/>
      </c>
      <c r="P1753" s="10"/>
    </row>
    <row r="1754" ht="18" customHeight="1" spans="1:16">
      <c r="A1754" s="32" t="str">
        <f t="shared" si="85"/>
        <v/>
      </c>
      <c r="B1754" s="100" t="str">
        <f>IF($E1754="","",INDEX(资金日记账!$B$4:$B$603,423))</f>
        <v/>
      </c>
      <c r="C1754" s="26" t="str">
        <f>IF($E1754="","",IF(INDEX(资金日记账!$W$4:$W$603,423)="","记-"&amp;TEXT($B1754,"YYYYMM")&amp;"-资金",INDEX(资金日记账!$W$4:$W$603,423)))</f>
        <v/>
      </c>
      <c r="D1754" s="32" t="str">
        <f>IF($E1754="","",INDEX(资金日记账!$D$4:$D$603,423))</f>
        <v/>
      </c>
      <c r="E1754" s="26" t="str">
        <f>IF(INDEX(资金日记账!$N$4:$S$603,423,1)=0,"",INDEX(资金日记账!$N$4:$S$603,423,1))</f>
        <v/>
      </c>
      <c r="F1754" s="25" t="str">
        <f>IF($E1754="","",IFERROR(INDEX(科目表!$A$4:$A$81,MATCH($E1754,科目表!$B$4:$B$81,0)),""))</f>
        <v/>
      </c>
      <c r="G1754" s="26" t="str">
        <f>IF($E1754="","",IFERROR(INDEX(科目表!$E$4:$E$81,MATCH($E1754,科目表!$B$4:$B$81,0)),""))</f>
        <v/>
      </c>
      <c r="H1754" s="27" t="str">
        <f>IF($E1754="","",N(INDEX(资金日记账!$N$4:$S$603,423,2)))</f>
        <v/>
      </c>
      <c r="I1754" s="27" t="str">
        <f>IF($E1754="","",N(INDEX(资金日记账!$N$4:$S$603,423,3)))</f>
        <v/>
      </c>
      <c r="J1754" s="26" t="str">
        <f>IF($E1754="","",INDEX(资金日记账!$E$4:$E$603,423))</f>
        <v/>
      </c>
      <c r="K1754" s="26" t="str">
        <f>IF($E1754="","",INDEX(资金日记账!$F$4:$F$603,423))</f>
        <v/>
      </c>
      <c r="L1754" s="32" t="str">
        <f>IF($E1754="","",INDEX(资金日记账!$X$4:$X$603,423))</f>
        <v/>
      </c>
      <c r="M1754" s="32"/>
      <c r="N1754" s="26" t="str">
        <f>IF($E1754="","",INDEX(资金日记账!$Y$4:$Y$603,423))</f>
        <v/>
      </c>
      <c r="O1754" s="26" t="str">
        <f t="shared" si="86"/>
        <v/>
      </c>
      <c r="P1754" s="10"/>
    </row>
    <row r="1755" ht="18" customHeight="1" spans="1:16">
      <c r="A1755" s="32" t="str">
        <f t="shared" si="85"/>
        <v/>
      </c>
      <c r="B1755" s="100" t="str">
        <f>IF($E1755="","",INDEX(资金日记账!$B$4:$B$603,423))</f>
        <v/>
      </c>
      <c r="C1755" s="26" t="str">
        <f>IF($E1755="","",IF(INDEX(资金日记账!$W$4:$W$603,423)="","记-"&amp;TEXT($B1755,"YYYYMM")&amp;"-资金",INDEX(资金日记账!$W$4:$W$603,423)))</f>
        <v/>
      </c>
      <c r="D1755" s="32" t="str">
        <f>IF($E1755="","",INDEX(资金日记账!$D$4:$D$603,423))</f>
        <v/>
      </c>
      <c r="E1755" s="26" t="str">
        <f>IF(INDEX(资金日记账!$N$4:$S$603,423,4)=0,"",INDEX(资金日记账!$N$4:$S$603,423,4))</f>
        <v/>
      </c>
      <c r="F1755" s="25" t="str">
        <f>IF($E1755="","",IFERROR(INDEX(科目表!$A$4:$A$81,MATCH($E1755,科目表!$B$4:$B$81,0)),""))</f>
        <v/>
      </c>
      <c r="G1755" s="26" t="str">
        <f>IF($E1755="","",IFERROR(INDEX(科目表!$E$4:$E$81,MATCH($E1755,科目表!$B$4:$B$81,0)),""))</f>
        <v/>
      </c>
      <c r="H1755" s="27" t="str">
        <f>IF($E1755="","",N(INDEX(资金日记账!$N$4:$S$603,423,5)))</f>
        <v/>
      </c>
      <c r="I1755" s="27" t="str">
        <f>IF($E1755="","",N(INDEX(资金日记账!$N$4:$S$603,423,6)))</f>
        <v/>
      </c>
      <c r="J1755" s="26" t="str">
        <f>IF($E1755="","",INDEX(资金日记账!$E$4:$E$603,423))</f>
        <v/>
      </c>
      <c r="K1755" s="26" t="str">
        <f>IF($E1755="","",INDEX(资金日记账!$F$4:$F$603,423))</f>
        <v/>
      </c>
      <c r="L1755" s="32" t="str">
        <f>IF($E1755="","",INDEX(资金日记账!$X$4:$X$603,423))</f>
        <v/>
      </c>
      <c r="M1755" s="32"/>
      <c r="N1755" s="26" t="str">
        <f>IF($E1755="","",INDEX(资金日记账!$Y$4:$Y$603,423))</f>
        <v/>
      </c>
      <c r="O1755" s="26" t="str">
        <f t="shared" si="86"/>
        <v/>
      </c>
      <c r="P1755" s="10"/>
    </row>
    <row r="1756" ht="18" customHeight="1" spans="1:16">
      <c r="A1756" s="32" t="str">
        <f t="shared" si="85"/>
        <v/>
      </c>
      <c r="B1756" s="100" t="str">
        <f>IF($E1756="","",INDEX(资金日记账!$B$4:$B$603,424))</f>
        <v/>
      </c>
      <c r="C1756" s="26" t="str">
        <f>IF($E1756="","",IF(INDEX(资金日记账!$W$4:$W$603,424)="","记-"&amp;TEXT($B1756,"YYYYMM")&amp;"-资金",INDEX(资金日记账!$W$4:$W$603,424)))</f>
        <v/>
      </c>
      <c r="D1756" s="32" t="str">
        <f>IF($E1756="","",INDEX(资金日记账!$D$4:$D$603,424))</f>
        <v/>
      </c>
      <c r="E1756" s="26" t="str">
        <f>IF(INDEX(资金日记账!$N$4:$S$603,424,1)=0,"",INDEX(资金日记账!$N$4:$S$603,424,1))</f>
        <v/>
      </c>
      <c r="F1756" s="25" t="str">
        <f>IF($E1756="","",IFERROR(INDEX(科目表!$A$4:$A$81,MATCH($E1756,科目表!$B$4:$B$81,0)),""))</f>
        <v/>
      </c>
      <c r="G1756" s="26" t="str">
        <f>IF($E1756="","",IFERROR(INDEX(科目表!$E$4:$E$81,MATCH($E1756,科目表!$B$4:$B$81,0)),""))</f>
        <v/>
      </c>
      <c r="H1756" s="27" t="str">
        <f>IF($E1756="","",N(INDEX(资金日记账!$N$4:$S$603,424,2)))</f>
        <v/>
      </c>
      <c r="I1756" s="27" t="str">
        <f>IF($E1756="","",N(INDEX(资金日记账!$N$4:$S$603,424,3)))</f>
        <v/>
      </c>
      <c r="J1756" s="26" t="str">
        <f>IF($E1756="","",INDEX(资金日记账!$E$4:$E$603,424))</f>
        <v/>
      </c>
      <c r="K1756" s="26" t="str">
        <f>IF($E1756="","",INDEX(资金日记账!$F$4:$F$603,424))</f>
        <v/>
      </c>
      <c r="L1756" s="32" t="str">
        <f>IF($E1756="","",INDEX(资金日记账!$X$4:$X$603,424))</f>
        <v/>
      </c>
      <c r="M1756" s="32"/>
      <c r="N1756" s="26" t="str">
        <f>IF($E1756="","",INDEX(资金日记账!$Y$4:$Y$603,424))</f>
        <v/>
      </c>
      <c r="O1756" s="26" t="str">
        <f t="shared" si="86"/>
        <v/>
      </c>
      <c r="P1756" s="10"/>
    </row>
    <row r="1757" ht="18" customHeight="1" spans="1:16">
      <c r="A1757" s="32" t="str">
        <f t="shared" si="85"/>
        <v/>
      </c>
      <c r="B1757" s="100" t="str">
        <f>IF($E1757="","",INDEX(资金日记账!$B$4:$B$603,424))</f>
        <v/>
      </c>
      <c r="C1757" s="26" t="str">
        <f>IF($E1757="","",IF(INDEX(资金日记账!$W$4:$W$603,424)="","记-"&amp;TEXT($B1757,"YYYYMM")&amp;"-资金",INDEX(资金日记账!$W$4:$W$603,424)))</f>
        <v/>
      </c>
      <c r="D1757" s="32" t="str">
        <f>IF($E1757="","",INDEX(资金日记账!$D$4:$D$603,424))</f>
        <v/>
      </c>
      <c r="E1757" s="26" t="str">
        <f>IF(INDEX(资金日记账!$N$4:$S$603,424,4)=0,"",INDEX(资金日记账!$N$4:$S$603,424,4))</f>
        <v/>
      </c>
      <c r="F1757" s="25" t="str">
        <f>IF($E1757="","",IFERROR(INDEX(科目表!$A$4:$A$81,MATCH($E1757,科目表!$B$4:$B$81,0)),""))</f>
        <v/>
      </c>
      <c r="G1757" s="26" t="str">
        <f>IF($E1757="","",IFERROR(INDEX(科目表!$E$4:$E$81,MATCH($E1757,科目表!$B$4:$B$81,0)),""))</f>
        <v/>
      </c>
      <c r="H1757" s="27" t="str">
        <f>IF($E1757="","",N(INDEX(资金日记账!$N$4:$S$603,424,5)))</f>
        <v/>
      </c>
      <c r="I1757" s="27" t="str">
        <f>IF($E1757="","",N(INDEX(资金日记账!$N$4:$S$603,424,6)))</f>
        <v/>
      </c>
      <c r="J1757" s="26" t="str">
        <f>IF($E1757="","",INDEX(资金日记账!$E$4:$E$603,424))</f>
        <v/>
      </c>
      <c r="K1757" s="26" t="str">
        <f>IF($E1757="","",INDEX(资金日记账!$F$4:$F$603,424))</f>
        <v/>
      </c>
      <c r="L1757" s="32" t="str">
        <f>IF($E1757="","",INDEX(资金日记账!$X$4:$X$603,424))</f>
        <v/>
      </c>
      <c r="M1757" s="32"/>
      <c r="N1757" s="26" t="str">
        <f>IF($E1757="","",INDEX(资金日记账!$Y$4:$Y$603,424))</f>
        <v/>
      </c>
      <c r="O1757" s="26" t="str">
        <f t="shared" si="86"/>
        <v/>
      </c>
      <c r="P1757" s="10"/>
    </row>
    <row r="1758" ht="18" customHeight="1" spans="1:16">
      <c r="A1758" s="32" t="str">
        <f t="shared" si="85"/>
        <v/>
      </c>
      <c r="B1758" s="100" t="str">
        <f>IF($E1758="","",INDEX(资金日记账!$B$4:$B$603,425))</f>
        <v/>
      </c>
      <c r="C1758" s="26" t="str">
        <f>IF($E1758="","",IF(INDEX(资金日记账!$W$4:$W$603,425)="","记-"&amp;TEXT($B1758,"YYYYMM")&amp;"-资金",INDEX(资金日记账!$W$4:$W$603,425)))</f>
        <v/>
      </c>
      <c r="D1758" s="32" t="str">
        <f>IF($E1758="","",INDEX(资金日记账!$D$4:$D$603,425))</f>
        <v/>
      </c>
      <c r="E1758" s="26" t="str">
        <f>IF(INDEX(资金日记账!$N$4:$S$603,425,1)=0,"",INDEX(资金日记账!$N$4:$S$603,425,1))</f>
        <v/>
      </c>
      <c r="F1758" s="25" t="str">
        <f>IF($E1758="","",IFERROR(INDEX(科目表!$A$4:$A$81,MATCH($E1758,科目表!$B$4:$B$81,0)),""))</f>
        <v/>
      </c>
      <c r="G1758" s="26" t="str">
        <f>IF($E1758="","",IFERROR(INDEX(科目表!$E$4:$E$81,MATCH($E1758,科目表!$B$4:$B$81,0)),""))</f>
        <v/>
      </c>
      <c r="H1758" s="27" t="str">
        <f>IF($E1758="","",N(INDEX(资金日记账!$N$4:$S$603,425,2)))</f>
        <v/>
      </c>
      <c r="I1758" s="27" t="str">
        <f>IF($E1758="","",N(INDEX(资金日记账!$N$4:$S$603,425,3)))</f>
        <v/>
      </c>
      <c r="J1758" s="26" t="str">
        <f>IF($E1758="","",INDEX(资金日记账!$E$4:$E$603,425))</f>
        <v/>
      </c>
      <c r="K1758" s="26" t="str">
        <f>IF($E1758="","",INDEX(资金日记账!$F$4:$F$603,425))</f>
        <v/>
      </c>
      <c r="L1758" s="32" t="str">
        <f>IF($E1758="","",INDEX(资金日记账!$X$4:$X$603,425))</f>
        <v/>
      </c>
      <c r="M1758" s="32"/>
      <c r="N1758" s="26" t="str">
        <f>IF($E1758="","",INDEX(资金日记账!$Y$4:$Y$603,425))</f>
        <v/>
      </c>
      <c r="O1758" s="26" t="str">
        <f t="shared" si="86"/>
        <v/>
      </c>
      <c r="P1758" s="10"/>
    </row>
    <row r="1759" ht="18" customHeight="1" spans="1:16">
      <c r="A1759" s="32" t="str">
        <f t="shared" si="85"/>
        <v/>
      </c>
      <c r="B1759" s="100" t="str">
        <f>IF($E1759="","",INDEX(资金日记账!$B$4:$B$603,425))</f>
        <v/>
      </c>
      <c r="C1759" s="26" t="str">
        <f>IF($E1759="","",IF(INDEX(资金日记账!$W$4:$W$603,425)="","记-"&amp;TEXT($B1759,"YYYYMM")&amp;"-资金",INDEX(资金日记账!$W$4:$W$603,425)))</f>
        <v/>
      </c>
      <c r="D1759" s="32" t="str">
        <f>IF($E1759="","",INDEX(资金日记账!$D$4:$D$603,425))</f>
        <v/>
      </c>
      <c r="E1759" s="26" t="str">
        <f>IF(INDEX(资金日记账!$N$4:$S$603,425,4)=0,"",INDEX(资金日记账!$N$4:$S$603,425,4))</f>
        <v/>
      </c>
      <c r="F1759" s="25" t="str">
        <f>IF($E1759="","",IFERROR(INDEX(科目表!$A$4:$A$81,MATCH($E1759,科目表!$B$4:$B$81,0)),""))</f>
        <v/>
      </c>
      <c r="G1759" s="26" t="str">
        <f>IF($E1759="","",IFERROR(INDEX(科目表!$E$4:$E$81,MATCH($E1759,科目表!$B$4:$B$81,0)),""))</f>
        <v/>
      </c>
      <c r="H1759" s="27" t="str">
        <f>IF($E1759="","",N(INDEX(资金日记账!$N$4:$S$603,425,5)))</f>
        <v/>
      </c>
      <c r="I1759" s="27" t="str">
        <f>IF($E1759="","",N(INDEX(资金日记账!$N$4:$S$603,425,6)))</f>
        <v/>
      </c>
      <c r="J1759" s="26" t="str">
        <f>IF($E1759="","",INDEX(资金日记账!$E$4:$E$603,425))</f>
        <v/>
      </c>
      <c r="K1759" s="26" t="str">
        <f>IF($E1759="","",INDEX(资金日记账!$F$4:$F$603,425))</f>
        <v/>
      </c>
      <c r="L1759" s="32" t="str">
        <f>IF($E1759="","",INDEX(资金日记账!$X$4:$X$603,425))</f>
        <v/>
      </c>
      <c r="M1759" s="32"/>
      <c r="N1759" s="26" t="str">
        <f>IF($E1759="","",INDEX(资金日记账!$Y$4:$Y$603,425))</f>
        <v/>
      </c>
      <c r="O1759" s="26" t="str">
        <f t="shared" si="86"/>
        <v/>
      </c>
      <c r="P1759" s="10"/>
    </row>
    <row r="1760" ht="18" customHeight="1" spans="1:16">
      <c r="A1760" s="32" t="str">
        <f t="shared" si="85"/>
        <v/>
      </c>
      <c r="B1760" s="100" t="str">
        <f>IF($E1760="","",INDEX(资金日记账!$B$4:$B$603,426))</f>
        <v/>
      </c>
      <c r="C1760" s="26" t="str">
        <f>IF($E1760="","",IF(INDEX(资金日记账!$W$4:$W$603,426)="","记-"&amp;TEXT($B1760,"YYYYMM")&amp;"-资金",INDEX(资金日记账!$W$4:$W$603,426)))</f>
        <v/>
      </c>
      <c r="D1760" s="32" t="str">
        <f>IF($E1760="","",INDEX(资金日记账!$D$4:$D$603,426))</f>
        <v/>
      </c>
      <c r="E1760" s="26" t="str">
        <f>IF(INDEX(资金日记账!$N$4:$S$603,426,1)=0,"",INDEX(资金日记账!$N$4:$S$603,426,1))</f>
        <v/>
      </c>
      <c r="F1760" s="25" t="str">
        <f>IF($E1760="","",IFERROR(INDEX(科目表!$A$4:$A$81,MATCH($E1760,科目表!$B$4:$B$81,0)),""))</f>
        <v/>
      </c>
      <c r="G1760" s="26" t="str">
        <f>IF($E1760="","",IFERROR(INDEX(科目表!$E$4:$E$81,MATCH($E1760,科目表!$B$4:$B$81,0)),""))</f>
        <v/>
      </c>
      <c r="H1760" s="27" t="str">
        <f>IF($E1760="","",N(INDEX(资金日记账!$N$4:$S$603,426,2)))</f>
        <v/>
      </c>
      <c r="I1760" s="27" t="str">
        <f>IF($E1760="","",N(INDEX(资金日记账!$N$4:$S$603,426,3)))</f>
        <v/>
      </c>
      <c r="J1760" s="26" t="str">
        <f>IF($E1760="","",INDEX(资金日记账!$E$4:$E$603,426))</f>
        <v/>
      </c>
      <c r="K1760" s="26" t="str">
        <f>IF($E1760="","",INDEX(资金日记账!$F$4:$F$603,426))</f>
        <v/>
      </c>
      <c r="L1760" s="32" t="str">
        <f>IF($E1760="","",INDEX(资金日记账!$X$4:$X$603,426))</f>
        <v/>
      </c>
      <c r="M1760" s="32"/>
      <c r="N1760" s="26" t="str">
        <f>IF($E1760="","",INDEX(资金日记账!$Y$4:$Y$603,426))</f>
        <v/>
      </c>
      <c r="O1760" s="26" t="str">
        <f t="shared" si="86"/>
        <v/>
      </c>
      <c r="P1760" s="10"/>
    </row>
    <row r="1761" ht="18" customHeight="1" spans="1:16">
      <c r="A1761" s="32" t="str">
        <f t="shared" si="85"/>
        <v/>
      </c>
      <c r="B1761" s="100" t="str">
        <f>IF($E1761="","",INDEX(资金日记账!$B$4:$B$603,426))</f>
        <v/>
      </c>
      <c r="C1761" s="26" t="str">
        <f>IF($E1761="","",IF(INDEX(资金日记账!$W$4:$W$603,426)="","记-"&amp;TEXT($B1761,"YYYYMM")&amp;"-资金",INDEX(资金日记账!$W$4:$W$603,426)))</f>
        <v/>
      </c>
      <c r="D1761" s="32" t="str">
        <f>IF($E1761="","",INDEX(资金日记账!$D$4:$D$603,426))</f>
        <v/>
      </c>
      <c r="E1761" s="26" t="str">
        <f>IF(INDEX(资金日记账!$N$4:$S$603,426,4)=0,"",INDEX(资金日记账!$N$4:$S$603,426,4))</f>
        <v/>
      </c>
      <c r="F1761" s="25" t="str">
        <f>IF($E1761="","",IFERROR(INDEX(科目表!$A$4:$A$81,MATCH($E1761,科目表!$B$4:$B$81,0)),""))</f>
        <v/>
      </c>
      <c r="G1761" s="26" t="str">
        <f>IF($E1761="","",IFERROR(INDEX(科目表!$E$4:$E$81,MATCH($E1761,科目表!$B$4:$B$81,0)),""))</f>
        <v/>
      </c>
      <c r="H1761" s="27" t="str">
        <f>IF($E1761="","",N(INDEX(资金日记账!$N$4:$S$603,426,5)))</f>
        <v/>
      </c>
      <c r="I1761" s="27" t="str">
        <f>IF($E1761="","",N(INDEX(资金日记账!$N$4:$S$603,426,6)))</f>
        <v/>
      </c>
      <c r="J1761" s="26" t="str">
        <f>IF($E1761="","",INDEX(资金日记账!$E$4:$E$603,426))</f>
        <v/>
      </c>
      <c r="K1761" s="26" t="str">
        <f>IF($E1761="","",INDEX(资金日记账!$F$4:$F$603,426))</f>
        <v/>
      </c>
      <c r="L1761" s="32" t="str">
        <f>IF($E1761="","",INDEX(资金日记账!$X$4:$X$603,426))</f>
        <v/>
      </c>
      <c r="M1761" s="32"/>
      <c r="N1761" s="26" t="str">
        <f>IF($E1761="","",INDEX(资金日记账!$Y$4:$Y$603,426))</f>
        <v/>
      </c>
      <c r="O1761" s="26" t="str">
        <f t="shared" si="86"/>
        <v/>
      </c>
      <c r="P1761" s="10"/>
    </row>
    <row r="1762" ht="18" customHeight="1" spans="1:16">
      <c r="A1762" s="32" t="str">
        <f t="shared" si="85"/>
        <v/>
      </c>
      <c r="B1762" s="100" t="str">
        <f>IF($E1762="","",INDEX(资金日记账!$B$4:$B$603,427))</f>
        <v/>
      </c>
      <c r="C1762" s="26" t="str">
        <f>IF($E1762="","",IF(INDEX(资金日记账!$W$4:$W$603,427)="","记-"&amp;TEXT($B1762,"YYYYMM")&amp;"-资金",INDEX(资金日记账!$W$4:$W$603,427)))</f>
        <v/>
      </c>
      <c r="D1762" s="32" t="str">
        <f>IF($E1762="","",INDEX(资金日记账!$D$4:$D$603,427))</f>
        <v/>
      </c>
      <c r="E1762" s="26" t="str">
        <f>IF(INDEX(资金日记账!$N$4:$S$603,427,1)=0,"",INDEX(资金日记账!$N$4:$S$603,427,1))</f>
        <v/>
      </c>
      <c r="F1762" s="25" t="str">
        <f>IF($E1762="","",IFERROR(INDEX(科目表!$A$4:$A$81,MATCH($E1762,科目表!$B$4:$B$81,0)),""))</f>
        <v/>
      </c>
      <c r="G1762" s="26" t="str">
        <f>IF($E1762="","",IFERROR(INDEX(科目表!$E$4:$E$81,MATCH($E1762,科目表!$B$4:$B$81,0)),""))</f>
        <v/>
      </c>
      <c r="H1762" s="27" t="str">
        <f>IF($E1762="","",N(INDEX(资金日记账!$N$4:$S$603,427,2)))</f>
        <v/>
      </c>
      <c r="I1762" s="27" t="str">
        <f>IF($E1762="","",N(INDEX(资金日记账!$N$4:$S$603,427,3)))</f>
        <v/>
      </c>
      <c r="J1762" s="26" t="str">
        <f>IF($E1762="","",INDEX(资金日记账!$E$4:$E$603,427))</f>
        <v/>
      </c>
      <c r="K1762" s="26" t="str">
        <f>IF($E1762="","",INDEX(资金日记账!$F$4:$F$603,427))</f>
        <v/>
      </c>
      <c r="L1762" s="32" t="str">
        <f>IF($E1762="","",INDEX(资金日记账!$X$4:$X$603,427))</f>
        <v/>
      </c>
      <c r="M1762" s="32"/>
      <c r="N1762" s="26" t="str">
        <f>IF($E1762="","",INDEX(资金日记账!$Y$4:$Y$603,427))</f>
        <v/>
      </c>
      <c r="O1762" s="26" t="str">
        <f t="shared" si="86"/>
        <v/>
      </c>
      <c r="P1762" s="10"/>
    </row>
    <row r="1763" ht="18" customHeight="1" spans="1:16">
      <c r="A1763" s="32" t="str">
        <f t="shared" si="85"/>
        <v/>
      </c>
      <c r="B1763" s="100" t="str">
        <f>IF($E1763="","",INDEX(资金日记账!$B$4:$B$603,427))</f>
        <v/>
      </c>
      <c r="C1763" s="26" t="str">
        <f>IF($E1763="","",IF(INDEX(资金日记账!$W$4:$W$603,427)="","记-"&amp;TEXT($B1763,"YYYYMM")&amp;"-资金",INDEX(资金日记账!$W$4:$W$603,427)))</f>
        <v/>
      </c>
      <c r="D1763" s="32" t="str">
        <f>IF($E1763="","",INDEX(资金日记账!$D$4:$D$603,427))</f>
        <v/>
      </c>
      <c r="E1763" s="26" t="str">
        <f>IF(INDEX(资金日记账!$N$4:$S$603,427,4)=0,"",INDEX(资金日记账!$N$4:$S$603,427,4))</f>
        <v/>
      </c>
      <c r="F1763" s="25" t="str">
        <f>IF($E1763="","",IFERROR(INDEX(科目表!$A$4:$A$81,MATCH($E1763,科目表!$B$4:$B$81,0)),""))</f>
        <v/>
      </c>
      <c r="G1763" s="26" t="str">
        <f>IF($E1763="","",IFERROR(INDEX(科目表!$E$4:$E$81,MATCH($E1763,科目表!$B$4:$B$81,0)),""))</f>
        <v/>
      </c>
      <c r="H1763" s="27" t="str">
        <f>IF($E1763="","",N(INDEX(资金日记账!$N$4:$S$603,427,5)))</f>
        <v/>
      </c>
      <c r="I1763" s="27" t="str">
        <f>IF($E1763="","",N(INDEX(资金日记账!$N$4:$S$603,427,6)))</f>
        <v/>
      </c>
      <c r="J1763" s="26" t="str">
        <f>IF($E1763="","",INDEX(资金日记账!$E$4:$E$603,427))</f>
        <v/>
      </c>
      <c r="K1763" s="26" t="str">
        <f>IF($E1763="","",INDEX(资金日记账!$F$4:$F$603,427))</f>
        <v/>
      </c>
      <c r="L1763" s="32" t="str">
        <f>IF($E1763="","",INDEX(资金日记账!$X$4:$X$603,427))</f>
        <v/>
      </c>
      <c r="M1763" s="32"/>
      <c r="N1763" s="26" t="str">
        <f>IF($E1763="","",INDEX(资金日记账!$Y$4:$Y$603,427))</f>
        <v/>
      </c>
      <c r="O1763" s="26" t="str">
        <f t="shared" si="86"/>
        <v/>
      </c>
      <c r="P1763" s="10"/>
    </row>
    <row r="1764" ht="18" customHeight="1" spans="1:16">
      <c r="A1764" s="32" t="str">
        <f t="shared" si="85"/>
        <v/>
      </c>
      <c r="B1764" s="100" t="str">
        <f>IF($E1764="","",INDEX(资金日记账!$B$4:$B$603,428))</f>
        <v/>
      </c>
      <c r="C1764" s="26" t="str">
        <f>IF($E1764="","",IF(INDEX(资金日记账!$W$4:$W$603,428)="","记-"&amp;TEXT($B1764,"YYYYMM")&amp;"-资金",INDEX(资金日记账!$W$4:$W$603,428)))</f>
        <v/>
      </c>
      <c r="D1764" s="32" t="str">
        <f>IF($E1764="","",INDEX(资金日记账!$D$4:$D$603,428))</f>
        <v/>
      </c>
      <c r="E1764" s="26" t="str">
        <f>IF(INDEX(资金日记账!$N$4:$S$603,428,1)=0,"",INDEX(资金日记账!$N$4:$S$603,428,1))</f>
        <v/>
      </c>
      <c r="F1764" s="25" t="str">
        <f>IF($E1764="","",IFERROR(INDEX(科目表!$A$4:$A$81,MATCH($E1764,科目表!$B$4:$B$81,0)),""))</f>
        <v/>
      </c>
      <c r="G1764" s="26" t="str">
        <f>IF($E1764="","",IFERROR(INDEX(科目表!$E$4:$E$81,MATCH($E1764,科目表!$B$4:$B$81,0)),""))</f>
        <v/>
      </c>
      <c r="H1764" s="27" t="str">
        <f>IF($E1764="","",N(INDEX(资金日记账!$N$4:$S$603,428,2)))</f>
        <v/>
      </c>
      <c r="I1764" s="27" t="str">
        <f>IF($E1764="","",N(INDEX(资金日记账!$N$4:$S$603,428,3)))</f>
        <v/>
      </c>
      <c r="J1764" s="26" t="str">
        <f>IF($E1764="","",INDEX(资金日记账!$E$4:$E$603,428))</f>
        <v/>
      </c>
      <c r="K1764" s="26" t="str">
        <f>IF($E1764="","",INDEX(资金日记账!$F$4:$F$603,428))</f>
        <v/>
      </c>
      <c r="L1764" s="32" t="str">
        <f>IF($E1764="","",INDEX(资金日记账!$X$4:$X$603,428))</f>
        <v/>
      </c>
      <c r="M1764" s="32"/>
      <c r="N1764" s="26" t="str">
        <f>IF($E1764="","",INDEX(资金日记账!$Y$4:$Y$603,428))</f>
        <v/>
      </c>
      <c r="O1764" s="26" t="str">
        <f t="shared" si="86"/>
        <v/>
      </c>
      <c r="P1764" s="10"/>
    </row>
    <row r="1765" ht="18" customHeight="1" spans="1:16">
      <c r="A1765" s="32" t="str">
        <f t="shared" si="85"/>
        <v/>
      </c>
      <c r="B1765" s="100" t="str">
        <f>IF($E1765="","",INDEX(资金日记账!$B$4:$B$603,428))</f>
        <v/>
      </c>
      <c r="C1765" s="26" t="str">
        <f>IF($E1765="","",IF(INDEX(资金日记账!$W$4:$W$603,428)="","记-"&amp;TEXT($B1765,"YYYYMM")&amp;"-资金",INDEX(资金日记账!$W$4:$W$603,428)))</f>
        <v/>
      </c>
      <c r="D1765" s="32" t="str">
        <f>IF($E1765="","",INDEX(资金日记账!$D$4:$D$603,428))</f>
        <v/>
      </c>
      <c r="E1765" s="26" t="str">
        <f>IF(INDEX(资金日记账!$N$4:$S$603,428,4)=0,"",INDEX(资金日记账!$N$4:$S$603,428,4))</f>
        <v/>
      </c>
      <c r="F1765" s="25" t="str">
        <f>IF($E1765="","",IFERROR(INDEX(科目表!$A$4:$A$81,MATCH($E1765,科目表!$B$4:$B$81,0)),""))</f>
        <v/>
      </c>
      <c r="G1765" s="26" t="str">
        <f>IF($E1765="","",IFERROR(INDEX(科目表!$E$4:$E$81,MATCH($E1765,科目表!$B$4:$B$81,0)),""))</f>
        <v/>
      </c>
      <c r="H1765" s="27" t="str">
        <f>IF($E1765="","",N(INDEX(资金日记账!$N$4:$S$603,428,5)))</f>
        <v/>
      </c>
      <c r="I1765" s="27" t="str">
        <f>IF($E1765="","",N(INDEX(资金日记账!$N$4:$S$603,428,6)))</f>
        <v/>
      </c>
      <c r="J1765" s="26" t="str">
        <f>IF($E1765="","",INDEX(资金日记账!$E$4:$E$603,428))</f>
        <v/>
      </c>
      <c r="K1765" s="26" t="str">
        <f>IF($E1765="","",INDEX(资金日记账!$F$4:$F$603,428))</f>
        <v/>
      </c>
      <c r="L1765" s="32" t="str">
        <f>IF($E1765="","",INDEX(资金日记账!$X$4:$X$603,428))</f>
        <v/>
      </c>
      <c r="M1765" s="32"/>
      <c r="N1765" s="26" t="str">
        <f>IF($E1765="","",INDEX(资金日记账!$Y$4:$Y$603,428))</f>
        <v/>
      </c>
      <c r="O1765" s="26" t="str">
        <f t="shared" si="86"/>
        <v/>
      </c>
      <c r="P1765" s="10"/>
    </row>
    <row r="1766" ht="18" customHeight="1" spans="1:16">
      <c r="A1766" s="32" t="str">
        <f t="shared" si="85"/>
        <v/>
      </c>
      <c r="B1766" s="100" t="str">
        <f>IF($E1766="","",INDEX(资金日记账!$B$4:$B$603,429))</f>
        <v/>
      </c>
      <c r="C1766" s="26" t="str">
        <f>IF($E1766="","",IF(INDEX(资金日记账!$W$4:$W$603,429)="","记-"&amp;TEXT($B1766,"YYYYMM")&amp;"-资金",INDEX(资金日记账!$W$4:$W$603,429)))</f>
        <v/>
      </c>
      <c r="D1766" s="32" t="str">
        <f>IF($E1766="","",INDEX(资金日记账!$D$4:$D$603,429))</f>
        <v/>
      </c>
      <c r="E1766" s="26" t="str">
        <f>IF(INDEX(资金日记账!$N$4:$S$603,429,1)=0,"",INDEX(资金日记账!$N$4:$S$603,429,1))</f>
        <v/>
      </c>
      <c r="F1766" s="25" t="str">
        <f>IF($E1766="","",IFERROR(INDEX(科目表!$A$4:$A$81,MATCH($E1766,科目表!$B$4:$B$81,0)),""))</f>
        <v/>
      </c>
      <c r="G1766" s="26" t="str">
        <f>IF($E1766="","",IFERROR(INDEX(科目表!$E$4:$E$81,MATCH($E1766,科目表!$B$4:$B$81,0)),""))</f>
        <v/>
      </c>
      <c r="H1766" s="27" t="str">
        <f>IF($E1766="","",N(INDEX(资金日记账!$N$4:$S$603,429,2)))</f>
        <v/>
      </c>
      <c r="I1766" s="27" t="str">
        <f>IF($E1766="","",N(INDEX(资金日记账!$N$4:$S$603,429,3)))</f>
        <v/>
      </c>
      <c r="J1766" s="26" t="str">
        <f>IF($E1766="","",INDEX(资金日记账!$E$4:$E$603,429))</f>
        <v/>
      </c>
      <c r="K1766" s="26" t="str">
        <f>IF($E1766="","",INDEX(资金日记账!$F$4:$F$603,429))</f>
        <v/>
      </c>
      <c r="L1766" s="32" t="str">
        <f>IF($E1766="","",INDEX(资金日记账!$X$4:$X$603,429))</f>
        <v/>
      </c>
      <c r="M1766" s="32"/>
      <c r="N1766" s="26" t="str">
        <f>IF($E1766="","",INDEX(资金日记账!$Y$4:$Y$603,429))</f>
        <v/>
      </c>
      <c r="O1766" s="26" t="str">
        <f t="shared" si="86"/>
        <v/>
      </c>
      <c r="P1766" s="10"/>
    </row>
    <row r="1767" ht="18" customHeight="1" spans="1:16">
      <c r="A1767" s="32" t="str">
        <f t="shared" si="85"/>
        <v/>
      </c>
      <c r="B1767" s="100" t="str">
        <f>IF($E1767="","",INDEX(资金日记账!$B$4:$B$603,429))</f>
        <v/>
      </c>
      <c r="C1767" s="26" t="str">
        <f>IF($E1767="","",IF(INDEX(资金日记账!$W$4:$W$603,429)="","记-"&amp;TEXT($B1767,"YYYYMM")&amp;"-资金",INDEX(资金日记账!$W$4:$W$603,429)))</f>
        <v/>
      </c>
      <c r="D1767" s="32" t="str">
        <f>IF($E1767="","",INDEX(资金日记账!$D$4:$D$603,429))</f>
        <v/>
      </c>
      <c r="E1767" s="26" t="str">
        <f>IF(INDEX(资金日记账!$N$4:$S$603,429,4)=0,"",INDEX(资金日记账!$N$4:$S$603,429,4))</f>
        <v/>
      </c>
      <c r="F1767" s="25" t="str">
        <f>IF($E1767="","",IFERROR(INDEX(科目表!$A$4:$A$81,MATCH($E1767,科目表!$B$4:$B$81,0)),""))</f>
        <v/>
      </c>
      <c r="G1767" s="26" t="str">
        <f>IF($E1767="","",IFERROR(INDEX(科目表!$E$4:$E$81,MATCH($E1767,科目表!$B$4:$B$81,0)),""))</f>
        <v/>
      </c>
      <c r="H1767" s="27" t="str">
        <f>IF($E1767="","",N(INDEX(资金日记账!$N$4:$S$603,429,5)))</f>
        <v/>
      </c>
      <c r="I1767" s="27" t="str">
        <f>IF($E1767="","",N(INDEX(资金日记账!$N$4:$S$603,429,6)))</f>
        <v/>
      </c>
      <c r="J1767" s="26" t="str">
        <f>IF($E1767="","",INDEX(资金日记账!$E$4:$E$603,429))</f>
        <v/>
      </c>
      <c r="K1767" s="26" t="str">
        <f>IF($E1767="","",INDEX(资金日记账!$F$4:$F$603,429))</f>
        <v/>
      </c>
      <c r="L1767" s="32" t="str">
        <f>IF($E1767="","",INDEX(资金日记账!$X$4:$X$603,429))</f>
        <v/>
      </c>
      <c r="M1767" s="32"/>
      <c r="N1767" s="26" t="str">
        <f>IF($E1767="","",INDEX(资金日记账!$Y$4:$Y$603,429))</f>
        <v/>
      </c>
      <c r="O1767" s="26" t="str">
        <f t="shared" si="86"/>
        <v/>
      </c>
      <c r="P1767" s="10"/>
    </row>
    <row r="1768" ht="18" customHeight="1" spans="1:16">
      <c r="A1768" s="32" t="str">
        <f t="shared" si="85"/>
        <v/>
      </c>
      <c r="B1768" s="100" t="str">
        <f>IF($E1768="","",INDEX(资金日记账!$B$4:$B$603,430))</f>
        <v/>
      </c>
      <c r="C1768" s="26" t="str">
        <f>IF($E1768="","",IF(INDEX(资金日记账!$W$4:$W$603,430)="","记-"&amp;TEXT($B1768,"YYYYMM")&amp;"-资金",INDEX(资金日记账!$W$4:$W$603,430)))</f>
        <v/>
      </c>
      <c r="D1768" s="32" t="str">
        <f>IF($E1768="","",INDEX(资金日记账!$D$4:$D$603,430))</f>
        <v/>
      </c>
      <c r="E1768" s="26" t="str">
        <f>IF(INDEX(资金日记账!$N$4:$S$603,430,1)=0,"",INDEX(资金日记账!$N$4:$S$603,430,1))</f>
        <v/>
      </c>
      <c r="F1768" s="25" t="str">
        <f>IF($E1768="","",IFERROR(INDEX(科目表!$A$4:$A$81,MATCH($E1768,科目表!$B$4:$B$81,0)),""))</f>
        <v/>
      </c>
      <c r="G1768" s="26" t="str">
        <f>IF($E1768="","",IFERROR(INDEX(科目表!$E$4:$E$81,MATCH($E1768,科目表!$B$4:$B$81,0)),""))</f>
        <v/>
      </c>
      <c r="H1768" s="27" t="str">
        <f>IF($E1768="","",N(INDEX(资金日记账!$N$4:$S$603,430,2)))</f>
        <v/>
      </c>
      <c r="I1768" s="27" t="str">
        <f>IF($E1768="","",N(INDEX(资金日记账!$N$4:$S$603,430,3)))</f>
        <v/>
      </c>
      <c r="J1768" s="26" t="str">
        <f>IF($E1768="","",INDEX(资金日记账!$E$4:$E$603,430))</f>
        <v/>
      </c>
      <c r="K1768" s="26" t="str">
        <f>IF($E1768="","",INDEX(资金日记账!$F$4:$F$603,430))</f>
        <v/>
      </c>
      <c r="L1768" s="32" t="str">
        <f>IF($E1768="","",INDEX(资金日记账!$X$4:$X$603,430))</f>
        <v/>
      </c>
      <c r="M1768" s="32"/>
      <c r="N1768" s="26" t="str">
        <f>IF($E1768="","",INDEX(资金日记账!$Y$4:$Y$603,430))</f>
        <v/>
      </c>
      <c r="O1768" s="26" t="str">
        <f t="shared" si="86"/>
        <v/>
      </c>
      <c r="P1768" s="10"/>
    </row>
    <row r="1769" ht="18" customHeight="1" spans="1:16">
      <c r="A1769" s="32" t="str">
        <f t="shared" si="85"/>
        <v/>
      </c>
      <c r="B1769" s="100" t="str">
        <f>IF($E1769="","",INDEX(资金日记账!$B$4:$B$603,430))</f>
        <v/>
      </c>
      <c r="C1769" s="26" t="str">
        <f>IF($E1769="","",IF(INDEX(资金日记账!$W$4:$W$603,430)="","记-"&amp;TEXT($B1769,"YYYYMM")&amp;"-资金",INDEX(资金日记账!$W$4:$W$603,430)))</f>
        <v/>
      </c>
      <c r="D1769" s="32" t="str">
        <f>IF($E1769="","",INDEX(资金日记账!$D$4:$D$603,430))</f>
        <v/>
      </c>
      <c r="E1769" s="26" t="str">
        <f>IF(INDEX(资金日记账!$N$4:$S$603,430,4)=0,"",INDEX(资金日记账!$N$4:$S$603,430,4))</f>
        <v/>
      </c>
      <c r="F1769" s="25" t="str">
        <f>IF($E1769="","",IFERROR(INDEX(科目表!$A$4:$A$81,MATCH($E1769,科目表!$B$4:$B$81,0)),""))</f>
        <v/>
      </c>
      <c r="G1769" s="26" t="str">
        <f>IF($E1769="","",IFERROR(INDEX(科目表!$E$4:$E$81,MATCH($E1769,科目表!$B$4:$B$81,0)),""))</f>
        <v/>
      </c>
      <c r="H1769" s="27" t="str">
        <f>IF($E1769="","",N(INDEX(资金日记账!$N$4:$S$603,430,5)))</f>
        <v/>
      </c>
      <c r="I1769" s="27" t="str">
        <f>IF($E1769="","",N(INDEX(资金日记账!$N$4:$S$603,430,6)))</f>
        <v/>
      </c>
      <c r="J1769" s="26" t="str">
        <f>IF($E1769="","",INDEX(资金日记账!$E$4:$E$603,430))</f>
        <v/>
      </c>
      <c r="K1769" s="26" t="str">
        <f>IF($E1769="","",INDEX(资金日记账!$F$4:$F$603,430))</f>
        <v/>
      </c>
      <c r="L1769" s="32" t="str">
        <f>IF($E1769="","",INDEX(资金日记账!$X$4:$X$603,430))</f>
        <v/>
      </c>
      <c r="M1769" s="32"/>
      <c r="N1769" s="26" t="str">
        <f>IF($E1769="","",INDEX(资金日记账!$Y$4:$Y$603,430))</f>
        <v/>
      </c>
      <c r="O1769" s="26" t="str">
        <f t="shared" si="86"/>
        <v/>
      </c>
      <c r="P1769" s="10"/>
    </row>
    <row r="1770" ht="18" customHeight="1" spans="1:16">
      <c r="A1770" s="32" t="str">
        <f t="shared" si="85"/>
        <v/>
      </c>
      <c r="B1770" s="100" t="str">
        <f>IF($E1770="","",INDEX(资金日记账!$B$4:$B$603,431))</f>
        <v/>
      </c>
      <c r="C1770" s="26" t="str">
        <f>IF($E1770="","",IF(INDEX(资金日记账!$W$4:$W$603,431)="","记-"&amp;TEXT($B1770,"YYYYMM")&amp;"-资金",INDEX(资金日记账!$W$4:$W$603,431)))</f>
        <v/>
      </c>
      <c r="D1770" s="32" t="str">
        <f>IF($E1770="","",INDEX(资金日记账!$D$4:$D$603,431))</f>
        <v/>
      </c>
      <c r="E1770" s="26" t="str">
        <f>IF(INDEX(资金日记账!$N$4:$S$603,431,1)=0,"",INDEX(资金日记账!$N$4:$S$603,431,1))</f>
        <v/>
      </c>
      <c r="F1770" s="25" t="str">
        <f>IF($E1770="","",IFERROR(INDEX(科目表!$A$4:$A$81,MATCH($E1770,科目表!$B$4:$B$81,0)),""))</f>
        <v/>
      </c>
      <c r="G1770" s="26" t="str">
        <f>IF($E1770="","",IFERROR(INDEX(科目表!$E$4:$E$81,MATCH($E1770,科目表!$B$4:$B$81,0)),""))</f>
        <v/>
      </c>
      <c r="H1770" s="27" t="str">
        <f>IF($E1770="","",N(INDEX(资金日记账!$N$4:$S$603,431,2)))</f>
        <v/>
      </c>
      <c r="I1770" s="27" t="str">
        <f>IF($E1770="","",N(INDEX(资金日记账!$N$4:$S$603,431,3)))</f>
        <v/>
      </c>
      <c r="J1770" s="26" t="str">
        <f>IF($E1770="","",INDEX(资金日记账!$E$4:$E$603,431))</f>
        <v/>
      </c>
      <c r="K1770" s="26" t="str">
        <f>IF($E1770="","",INDEX(资金日记账!$F$4:$F$603,431))</f>
        <v/>
      </c>
      <c r="L1770" s="32" t="str">
        <f>IF($E1770="","",INDEX(资金日记账!$X$4:$X$603,431))</f>
        <v/>
      </c>
      <c r="M1770" s="32"/>
      <c r="N1770" s="26" t="str">
        <f>IF($E1770="","",INDEX(资金日记账!$Y$4:$Y$603,431))</f>
        <v/>
      </c>
      <c r="O1770" s="26" t="str">
        <f t="shared" si="86"/>
        <v/>
      </c>
      <c r="P1770" s="10"/>
    </row>
    <row r="1771" ht="18" customHeight="1" spans="1:16">
      <c r="A1771" s="32" t="str">
        <f t="shared" si="85"/>
        <v/>
      </c>
      <c r="B1771" s="100" t="str">
        <f>IF($E1771="","",INDEX(资金日记账!$B$4:$B$603,431))</f>
        <v/>
      </c>
      <c r="C1771" s="26" t="str">
        <f>IF($E1771="","",IF(INDEX(资金日记账!$W$4:$W$603,431)="","记-"&amp;TEXT($B1771,"YYYYMM")&amp;"-资金",INDEX(资金日记账!$W$4:$W$603,431)))</f>
        <v/>
      </c>
      <c r="D1771" s="32" t="str">
        <f>IF($E1771="","",INDEX(资金日记账!$D$4:$D$603,431))</f>
        <v/>
      </c>
      <c r="E1771" s="26" t="str">
        <f>IF(INDEX(资金日记账!$N$4:$S$603,431,4)=0,"",INDEX(资金日记账!$N$4:$S$603,431,4))</f>
        <v/>
      </c>
      <c r="F1771" s="25" t="str">
        <f>IF($E1771="","",IFERROR(INDEX(科目表!$A$4:$A$81,MATCH($E1771,科目表!$B$4:$B$81,0)),""))</f>
        <v/>
      </c>
      <c r="G1771" s="26" t="str">
        <f>IF($E1771="","",IFERROR(INDEX(科目表!$E$4:$E$81,MATCH($E1771,科目表!$B$4:$B$81,0)),""))</f>
        <v/>
      </c>
      <c r="H1771" s="27" t="str">
        <f>IF($E1771="","",N(INDEX(资金日记账!$N$4:$S$603,431,5)))</f>
        <v/>
      </c>
      <c r="I1771" s="27" t="str">
        <f>IF($E1771="","",N(INDEX(资金日记账!$N$4:$S$603,431,6)))</f>
        <v/>
      </c>
      <c r="J1771" s="26" t="str">
        <f>IF($E1771="","",INDEX(资金日记账!$E$4:$E$603,431))</f>
        <v/>
      </c>
      <c r="K1771" s="26" t="str">
        <f>IF($E1771="","",INDEX(资金日记账!$F$4:$F$603,431))</f>
        <v/>
      </c>
      <c r="L1771" s="32" t="str">
        <f>IF($E1771="","",INDEX(资金日记账!$X$4:$X$603,431))</f>
        <v/>
      </c>
      <c r="M1771" s="32"/>
      <c r="N1771" s="26" t="str">
        <f>IF($E1771="","",INDEX(资金日记账!$Y$4:$Y$603,431))</f>
        <v/>
      </c>
      <c r="O1771" s="26" t="str">
        <f t="shared" si="86"/>
        <v/>
      </c>
      <c r="P1771" s="10"/>
    </row>
    <row r="1772" ht="18" customHeight="1" spans="1:16">
      <c r="A1772" s="32" t="str">
        <f t="shared" si="85"/>
        <v/>
      </c>
      <c r="B1772" s="100" t="str">
        <f>IF($E1772="","",INDEX(资金日记账!$B$4:$B$603,432))</f>
        <v/>
      </c>
      <c r="C1772" s="26" t="str">
        <f>IF($E1772="","",IF(INDEX(资金日记账!$W$4:$W$603,432)="","记-"&amp;TEXT($B1772,"YYYYMM")&amp;"-资金",INDEX(资金日记账!$W$4:$W$603,432)))</f>
        <v/>
      </c>
      <c r="D1772" s="32" t="str">
        <f>IF($E1772="","",INDEX(资金日记账!$D$4:$D$603,432))</f>
        <v/>
      </c>
      <c r="E1772" s="26" t="str">
        <f>IF(INDEX(资金日记账!$N$4:$S$603,432,1)=0,"",INDEX(资金日记账!$N$4:$S$603,432,1))</f>
        <v/>
      </c>
      <c r="F1772" s="25" t="str">
        <f>IF($E1772="","",IFERROR(INDEX(科目表!$A$4:$A$81,MATCH($E1772,科目表!$B$4:$B$81,0)),""))</f>
        <v/>
      </c>
      <c r="G1772" s="26" t="str">
        <f>IF($E1772="","",IFERROR(INDEX(科目表!$E$4:$E$81,MATCH($E1772,科目表!$B$4:$B$81,0)),""))</f>
        <v/>
      </c>
      <c r="H1772" s="27" t="str">
        <f>IF($E1772="","",N(INDEX(资金日记账!$N$4:$S$603,432,2)))</f>
        <v/>
      </c>
      <c r="I1772" s="27" t="str">
        <f>IF($E1772="","",N(INDEX(资金日记账!$N$4:$S$603,432,3)))</f>
        <v/>
      </c>
      <c r="J1772" s="26" t="str">
        <f>IF($E1772="","",INDEX(资金日记账!$E$4:$E$603,432))</f>
        <v/>
      </c>
      <c r="K1772" s="26" t="str">
        <f>IF($E1772="","",INDEX(资金日记账!$F$4:$F$603,432))</f>
        <v/>
      </c>
      <c r="L1772" s="32" t="str">
        <f>IF($E1772="","",INDEX(资金日记账!$X$4:$X$603,432))</f>
        <v/>
      </c>
      <c r="M1772" s="32"/>
      <c r="N1772" s="26" t="str">
        <f>IF($E1772="","",INDEX(资金日记账!$Y$4:$Y$603,432))</f>
        <v/>
      </c>
      <c r="O1772" s="26" t="str">
        <f t="shared" si="86"/>
        <v/>
      </c>
      <c r="P1772" s="10"/>
    </row>
    <row r="1773" ht="18" customHeight="1" spans="1:16">
      <c r="A1773" s="32" t="str">
        <f t="shared" si="85"/>
        <v/>
      </c>
      <c r="B1773" s="100" t="str">
        <f>IF($E1773="","",INDEX(资金日记账!$B$4:$B$603,432))</f>
        <v/>
      </c>
      <c r="C1773" s="26" t="str">
        <f>IF($E1773="","",IF(INDEX(资金日记账!$W$4:$W$603,432)="","记-"&amp;TEXT($B1773,"YYYYMM")&amp;"-资金",INDEX(资金日记账!$W$4:$W$603,432)))</f>
        <v/>
      </c>
      <c r="D1773" s="32" t="str">
        <f>IF($E1773="","",INDEX(资金日记账!$D$4:$D$603,432))</f>
        <v/>
      </c>
      <c r="E1773" s="26" t="str">
        <f>IF(INDEX(资金日记账!$N$4:$S$603,432,4)=0,"",INDEX(资金日记账!$N$4:$S$603,432,4))</f>
        <v/>
      </c>
      <c r="F1773" s="25" t="str">
        <f>IF($E1773="","",IFERROR(INDEX(科目表!$A$4:$A$81,MATCH($E1773,科目表!$B$4:$B$81,0)),""))</f>
        <v/>
      </c>
      <c r="G1773" s="26" t="str">
        <f>IF($E1773="","",IFERROR(INDEX(科目表!$E$4:$E$81,MATCH($E1773,科目表!$B$4:$B$81,0)),""))</f>
        <v/>
      </c>
      <c r="H1773" s="27" t="str">
        <f>IF($E1773="","",N(INDEX(资金日记账!$N$4:$S$603,432,5)))</f>
        <v/>
      </c>
      <c r="I1773" s="27" t="str">
        <f>IF($E1773="","",N(INDEX(资金日记账!$N$4:$S$603,432,6)))</f>
        <v/>
      </c>
      <c r="J1773" s="26" t="str">
        <f>IF($E1773="","",INDEX(资金日记账!$E$4:$E$603,432))</f>
        <v/>
      </c>
      <c r="K1773" s="26" t="str">
        <f>IF($E1773="","",INDEX(资金日记账!$F$4:$F$603,432))</f>
        <v/>
      </c>
      <c r="L1773" s="32" t="str">
        <f>IF($E1773="","",INDEX(资金日记账!$X$4:$X$603,432))</f>
        <v/>
      </c>
      <c r="M1773" s="32"/>
      <c r="N1773" s="26" t="str">
        <f>IF($E1773="","",INDEX(资金日记账!$Y$4:$Y$603,432))</f>
        <v/>
      </c>
      <c r="O1773" s="26" t="str">
        <f t="shared" si="86"/>
        <v/>
      </c>
      <c r="P1773" s="10"/>
    </row>
    <row r="1774" ht="18" customHeight="1" spans="1:16">
      <c r="A1774" s="32" t="str">
        <f t="shared" si="85"/>
        <v/>
      </c>
      <c r="B1774" s="100" t="str">
        <f>IF($E1774="","",INDEX(资金日记账!$B$4:$B$603,433))</f>
        <v/>
      </c>
      <c r="C1774" s="26" t="str">
        <f>IF($E1774="","",IF(INDEX(资金日记账!$W$4:$W$603,433)="","记-"&amp;TEXT($B1774,"YYYYMM")&amp;"-资金",INDEX(资金日记账!$W$4:$W$603,433)))</f>
        <v/>
      </c>
      <c r="D1774" s="32" t="str">
        <f>IF($E1774="","",INDEX(资金日记账!$D$4:$D$603,433))</f>
        <v/>
      </c>
      <c r="E1774" s="26" t="str">
        <f>IF(INDEX(资金日记账!$N$4:$S$603,433,1)=0,"",INDEX(资金日记账!$N$4:$S$603,433,1))</f>
        <v/>
      </c>
      <c r="F1774" s="25" t="str">
        <f>IF($E1774="","",IFERROR(INDEX(科目表!$A$4:$A$81,MATCH($E1774,科目表!$B$4:$B$81,0)),""))</f>
        <v/>
      </c>
      <c r="G1774" s="26" t="str">
        <f>IF($E1774="","",IFERROR(INDEX(科目表!$E$4:$E$81,MATCH($E1774,科目表!$B$4:$B$81,0)),""))</f>
        <v/>
      </c>
      <c r="H1774" s="27" t="str">
        <f>IF($E1774="","",N(INDEX(资金日记账!$N$4:$S$603,433,2)))</f>
        <v/>
      </c>
      <c r="I1774" s="27" t="str">
        <f>IF($E1774="","",N(INDEX(资金日记账!$N$4:$S$603,433,3)))</f>
        <v/>
      </c>
      <c r="J1774" s="26" t="str">
        <f>IF($E1774="","",INDEX(资金日记账!$E$4:$E$603,433))</f>
        <v/>
      </c>
      <c r="K1774" s="26" t="str">
        <f>IF($E1774="","",INDEX(资金日记账!$F$4:$F$603,433))</f>
        <v/>
      </c>
      <c r="L1774" s="32" t="str">
        <f>IF($E1774="","",INDEX(资金日记账!$X$4:$X$603,433))</f>
        <v/>
      </c>
      <c r="M1774" s="32"/>
      <c r="N1774" s="26" t="str">
        <f>IF($E1774="","",INDEX(资金日记账!$Y$4:$Y$603,433))</f>
        <v/>
      </c>
      <c r="O1774" s="26" t="str">
        <f t="shared" si="86"/>
        <v/>
      </c>
      <c r="P1774" s="10"/>
    </row>
    <row r="1775" ht="18" customHeight="1" spans="1:16">
      <c r="A1775" s="32" t="str">
        <f t="shared" si="85"/>
        <v/>
      </c>
      <c r="B1775" s="100" t="str">
        <f>IF($E1775="","",INDEX(资金日记账!$B$4:$B$603,433))</f>
        <v/>
      </c>
      <c r="C1775" s="26" t="str">
        <f>IF($E1775="","",IF(INDEX(资金日记账!$W$4:$W$603,433)="","记-"&amp;TEXT($B1775,"YYYYMM")&amp;"-资金",INDEX(资金日记账!$W$4:$W$603,433)))</f>
        <v/>
      </c>
      <c r="D1775" s="32" t="str">
        <f>IF($E1775="","",INDEX(资金日记账!$D$4:$D$603,433))</f>
        <v/>
      </c>
      <c r="E1775" s="26" t="str">
        <f>IF(INDEX(资金日记账!$N$4:$S$603,433,4)=0,"",INDEX(资金日记账!$N$4:$S$603,433,4))</f>
        <v/>
      </c>
      <c r="F1775" s="25" t="str">
        <f>IF($E1775="","",IFERROR(INDEX(科目表!$A$4:$A$81,MATCH($E1775,科目表!$B$4:$B$81,0)),""))</f>
        <v/>
      </c>
      <c r="G1775" s="26" t="str">
        <f>IF($E1775="","",IFERROR(INDEX(科目表!$E$4:$E$81,MATCH($E1775,科目表!$B$4:$B$81,0)),""))</f>
        <v/>
      </c>
      <c r="H1775" s="27" t="str">
        <f>IF($E1775="","",N(INDEX(资金日记账!$N$4:$S$603,433,5)))</f>
        <v/>
      </c>
      <c r="I1775" s="27" t="str">
        <f>IF($E1775="","",N(INDEX(资金日记账!$N$4:$S$603,433,6)))</f>
        <v/>
      </c>
      <c r="J1775" s="26" t="str">
        <f>IF($E1775="","",INDEX(资金日记账!$E$4:$E$603,433))</f>
        <v/>
      </c>
      <c r="K1775" s="26" t="str">
        <f>IF($E1775="","",INDEX(资金日记账!$F$4:$F$603,433))</f>
        <v/>
      </c>
      <c r="L1775" s="32" t="str">
        <f>IF($E1775="","",INDEX(资金日记账!$X$4:$X$603,433))</f>
        <v/>
      </c>
      <c r="M1775" s="32"/>
      <c r="N1775" s="26" t="str">
        <f>IF($E1775="","",INDEX(资金日记账!$Y$4:$Y$603,433))</f>
        <v/>
      </c>
      <c r="O1775" s="26" t="str">
        <f t="shared" si="86"/>
        <v/>
      </c>
      <c r="P1775" s="10"/>
    </row>
    <row r="1776" ht="18" customHeight="1" spans="1:16">
      <c r="A1776" s="32" t="str">
        <f t="shared" si="85"/>
        <v/>
      </c>
      <c r="B1776" s="100" t="str">
        <f>IF($E1776="","",INDEX(资金日记账!$B$4:$B$603,434))</f>
        <v/>
      </c>
      <c r="C1776" s="26" t="str">
        <f>IF($E1776="","",IF(INDEX(资金日记账!$W$4:$W$603,434)="","记-"&amp;TEXT($B1776,"YYYYMM")&amp;"-资金",INDEX(资金日记账!$W$4:$W$603,434)))</f>
        <v/>
      </c>
      <c r="D1776" s="32" t="str">
        <f>IF($E1776="","",INDEX(资金日记账!$D$4:$D$603,434))</f>
        <v/>
      </c>
      <c r="E1776" s="26" t="str">
        <f>IF(INDEX(资金日记账!$N$4:$S$603,434,1)=0,"",INDEX(资金日记账!$N$4:$S$603,434,1))</f>
        <v/>
      </c>
      <c r="F1776" s="25" t="str">
        <f>IF($E1776="","",IFERROR(INDEX(科目表!$A$4:$A$81,MATCH($E1776,科目表!$B$4:$B$81,0)),""))</f>
        <v/>
      </c>
      <c r="G1776" s="26" t="str">
        <f>IF($E1776="","",IFERROR(INDEX(科目表!$E$4:$E$81,MATCH($E1776,科目表!$B$4:$B$81,0)),""))</f>
        <v/>
      </c>
      <c r="H1776" s="27" t="str">
        <f>IF($E1776="","",N(INDEX(资金日记账!$N$4:$S$603,434,2)))</f>
        <v/>
      </c>
      <c r="I1776" s="27" t="str">
        <f>IF($E1776="","",N(INDEX(资金日记账!$N$4:$S$603,434,3)))</f>
        <v/>
      </c>
      <c r="J1776" s="26" t="str">
        <f>IF($E1776="","",INDEX(资金日记账!$E$4:$E$603,434))</f>
        <v/>
      </c>
      <c r="K1776" s="26" t="str">
        <f>IF($E1776="","",INDEX(资金日记账!$F$4:$F$603,434))</f>
        <v/>
      </c>
      <c r="L1776" s="32" t="str">
        <f>IF($E1776="","",INDEX(资金日记账!$X$4:$X$603,434))</f>
        <v/>
      </c>
      <c r="M1776" s="32"/>
      <c r="N1776" s="26" t="str">
        <f>IF($E1776="","",INDEX(资金日记账!$Y$4:$Y$603,434))</f>
        <v/>
      </c>
      <c r="O1776" s="26" t="str">
        <f t="shared" si="86"/>
        <v/>
      </c>
      <c r="P1776" s="10"/>
    </row>
    <row r="1777" ht="18" customHeight="1" spans="1:16">
      <c r="A1777" s="32" t="str">
        <f t="shared" si="85"/>
        <v/>
      </c>
      <c r="B1777" s="100" t="str">
        <f>IF($E1777="","",INDEX(资金日记账!$B$4:$B$603,434))</f>
        <v/>
      </c>
      <c r="C1777" s="26" t="str">
        <f>IF($E1777="","",IF(INDEX(资金日记账!$W$4:$W$603,434)="","记-"&amp;TEXT($B1777,"YYYYMM")&amp;"-资金",INDEX(资金日记账!$W$4:$W$603,434)))</f>
        <v/>
      </c>
      <c r="D1777" s="32" t="str">
        <f>IF($E1777="","",INDEX(资金日记账!$D$4:$D$603,434))</f>
        <v/>
      </c>
      <c r="E1777" s="26" t="str">
        <f>IF(INDEX(资金日记账!$N$4:$S$603,434,4)=0,"",INDEX(资金日记账!$N$4:$S$603,434,4))</f>
        <v/>
      </c>
      <c r="F1777" s="25" t="str">
        <f>IF($E1777="","",IFERROR(INDEX(科目表!$A$4:$A$81,MATCH($E1777,科目表!$B$4:$B$81,0)),""))</f>
        <v/>
      </c>
      <c r="G1777" s="26" t="str">
        <f>IF($E1777="","",IFERROR(INDEX(科目表!$E$4:$E$81,MATCH($E1777,科目表!$B$4:$B$81,0)),""))</f>
        <v/>
      </c>
      <c r="H1777" s="27" t="str">
        <f>IF($E1777="","",N(INDEX(资金日记账!$N$4:$S$603,434,5)))</f>
        <v/>
      </c>
      <c r="I1777" s="27" t="str">
        <f>IF($E1777="","",N(INDEX(资金日记账!$N$4:$S$603,434,6)))</f>
        <v/>
      </c>
      <c r="J1777" s="26" t="str">
        <f>IF($E1777="","",INDEX(资金日记账!$E$4:$E$603,434))</f>
        <v/>
      </c>
      <c r="K1777" s="26" t="str">
        <f>IF($E1777="","",INDEX(资金日记账!$F$4:$F$603,434))</f>
        <v/>
      </c>
      <c r="L1777" s="32" t="str">
        <f>IF($E1777="","",INDEX(资金日记账!$X$4:$X$603,434))</f>
        <v/>
      </c>
      <c r="M1777" s="32"/>
      <c r="N1777" s="26" t="str">
        <f>IF($E1777="","",INDEX(资金日记账!$Y$4:$Y$603,434))</f>
        <v/>
      </c>
      <c r="O1777" s="26" t="str">
        <f t="shared" si="86"/>
        <v/>
      </c>
      <c r="P1777" s="10"/>
    </row>
    <row r="1778" ht="18" customHeight="1" spans="1:16">
      <c r="A1778" s="32" t="str">
        <f t="shared" si="85"/>
        <v/>
      </c>
      <c r="B1778" s="100" t="str">
        <f>IF($E1778="","",INDEX(资金日记账!$B$4:$B$603,435))</f>
        <v/>
      </c>
      <c r="C1778" s="26" t="str">
        <f>IF($E1778="","",IF(INDEX(资金日记账!$W$4:$W$603,435)="","记-"&amp;TEXT($B1778,"YYYYMM")&amp;"-资金",INDEX(资金日记账!$W$4:$W$603,435)))</f>
        <v/>
      </c>
      <c r="D1778" s="32" t="str">
        <f>IF($E1778="","",INDEX(资金日记账!$D$4:$D$603,435))</f>
        <v/>
      </c>
      <c r="E1778" s="26" t="str">
        <f>IF(INDEX(资金日记账!$N$4:$S$603,435,1)=0,"",INDEX(资金日记账!$N$4:$S$603,435,1))</f>
        <v/>
      </c>
      <c r="F1778" s="25" t="str">
        <f>IF($E1778="","",IFERROR(INDEX(科目表!$A$4:$A$81,MATCH($E1778,科目表!$B$4:$B$81,0)),""))</f>
        <v/>
      </c>
      <c r="G1778" s="26" t="str">
        <f>IF($E1778="","",IFERROR(INDEX(科目表!$E$4:$E$81,MATCH($E1778,科目表!$B$4:$B$81,0)),""))</f>
        <v/>
      </c>
      <c r="H1778" s="27" t="str">
        <f>IF($E1778="","",N(INDEX(资金日记账!$N$4:$S$603,435,2)))</f>
        <v/>
      </c>
      <c r="I1778" s="27" t="str">
        <f>IF($E1778="","",N(INDEX(资金日记账!$N$4:$S$603,435,3)))</f>
        <v/>
      </c>
      <c r="J1778" s="26" t="str">
        <f>IF($E1778="","",INDEX(资金日记账!$E$4:$E$603,435))</f>
        <v/>
      </c>
      <c r="K1778" s="26" t="str">
        <f>IF($E1778="","",INDEX(资金日记账!$F$4:$F$603,435))</f>
        <v/>
      </c>
      <c r="L1778" s="32" t="str">
        <f>IF($E1778="","",INDEX(资金日记账!$X$4:$X$603,435))</f>
        <v/>
      </c>
      <c r="M1778" s="32"/>
      <c r="N1778" s="26" t="str">
        <f>IF($E1778="","",INDEX(资金日记账!$Y$4:$Y$603,435))</f>
        <v/>
      </c>
      <c r="O1778" s="26" t="str">
        <f t="shared" si="86"/>
        <v/>
      </c>
      <c r="P1778" s="10"/>
    </row>
    <row r="1779" ht="18" customHeight="1" spans="1:16">
      <c r="A1779" s="32" t="str">
        <f t="shared" si="85"/>
        <v/>
      </c>
      <c r="B1779" s="100" t="str">
        <f>IF($E1779="","",INDEX(资金日记账!$B$4:$B$603,435))</f>
        <v/>
      </c>
      <c r="C1779" s="26" t="str">
        <f>IF($E1779="","",IF(INDEX(资金日记账!$W$4:$W$603,435)="","记-"&amp;TEXT($B1779,"YYYYMM")&amp;"-资金",INDEX(资金日记账!$W$4:$W$603,435)))</f>
        <v/>
      </c>
      <c r="D1779" s="32" t="str">
        <f>IF($E1779="","",INDEX(资金日记账!$D$4:$D$603,435))</f>
        <v/>
      </c>
      <c r="E1779" s="26" t="str">
        <f>IF(INDEX(资金日记账!$N$4:$S$603,435,4)=0,"",INDEX(资金日记账!$N$4:$S$603,435,4))</f>
        <v/>
      </c>
      <c r="F1779" s="25" t="str">
        <f>IF($E1779="","",IFERROR(INDEX(科目表!$A$4:$A$81,MATCH($E1779,科目表!$B$4:$B$81,0)),""))</f>
        <v/>
      </c>
      <c r="G1779" s="26" t="str">
        <f>IF($E1779="","",IFERROR(INDEX(科目表!$E$4:$E$81,MATCH($E1779,科目表!$B$4:$B$81,0)),""))</f>
        <v/>
      </c>
      <c r="H1779" s="27" t="str">
        <f>IF($E1779="","",N(INDEX(资金日记账!$N$4:$S$603,435,5)))</f>
        <v/>
      </c>
      <c r="I1779" s="27" t="str">
        <f>IF($E1779="","",N(INDEX(资金日记账!$N$4:$S$603,435,6)))</f>
        <v/>
      </c>
      <c r="J1779" s="26" t="str">
        <f>IF($E1779="","",INDEX(资金日记账!$E$4:$E$603,435))</f>
        <v/>
      </c>
      <c r="K1779" s="26" t="str">
        <f>IF($E1779="","",INDEX(资金日记账!$F$4:$F$603,435))</f>
        <v/>
      </c>
      <c r="L1779" s="32" t="str">
        <f>IF($E1779="","",INDEX(资金日记账!$X$4:$X$603,435))</f>
        <v/>
      </c>
      <c r="M1779" s="32"/>
      <c r="N1779" s="26" t="str">
        <f>IF($E1779="","",INDEX(资金日记账!$Y$4:$Y$603,435))</f>
        <v/>
      </c>
      <c r="O1779" s="26" t="str">
        <f t="shared" si="86"/>
        <v/>
      </c>
      <c r="P1779" s="10"/>
    </row>
    <row r="1780" ht="18" customHeight="1" spans="1:16">
      <c r="A1780" s="32" t="str">
        <f t="shared" si="85"/>
        <v/>
      </c>
      <c r="B1780" s="100" t="str">
        <f>IF($E1780="","",INDEX(资金日记账!$B$4:$B$603,436))</f>
        <v/>
      </c>
      <c r="C1780" s="26" t="str">
        <f>IF($E1780="","",IF(INDEX(资金日记账!$W$4:$W$603,436)="","记-"&amp;TEXT($B1780,"YYYYMM")&amp;"-资金",INDEX(资金日记账!$W$4:$W$603,436)))</f>
        <v/>
      </c>
      <c r="D1780" s="32" t="str">
        <f>IF($E1780="","",INDEX(资金日记账!$D$4:$D$603,436))</f>
        <v/>
      </c>
      <c r="E1780" s="26" t="str">
        <f>IF(INDEX(资金日记账!$N$4:$S$603,436,1)=0,"",INDEX(资金日记账!$N$4:$S$603,436,1))</f>
        <v/>
      </c>
      <c r="F1780" s="25" t="str">
        <f>IF($E1780="","",IFERROR(INDEX(科目表!$A$4:$A$81,MATCH($E1780,科目表!$B$4:$B$81,0)),""))</f>
        <v/>
      </c>
      <c r="G1780" s="26" t="str">
        <f>IF($E1780="","",IFERROR(INDEX(科目表!$E$4:$E$81,MATCH($E1780,科目表!$B$4:$B$81,0)),""))</f>
        <v/>
      </c>
      <c r="H1780" s="27" t="str">
        <f>IF($E1780="","",N(INDEX(资金日记账!$N$4:$S$603,436,2)))</f>
        <v/>
      </c>
      <c r="I1780" s="27" t="str">
        <f>IF($E1780="","",N(INDEX(资金日记账!$N$4:$S$603,436,3)))</f>
        <v/>
      </c>
      <c r="J1780" s="26" t="str">
        <f>IF($E1780="","",INDEX(资金日记账!$E$4:$E$603,436))</f>
        <v/>
      </c>
      <c r="K1780" s="26" t="str">
        <f>IF($E1780="","",INDEX(资金日记账!$F$4:$F$603,436))</f>
        <v/>
      </c>
      <c r="L1780" s="32" t="str">
        <f>IF($E1780="","",INDEX(资金日记账!$X$4:$X$603,436))</f>
        <v/>
      </c>
      <c r="M1780" s="32"/>
      <c r="N1780" s="26" t="str">
        <f>IF($E1780="","",INDEX(资金日记账!$Y$4:$Y$603,436))</f>
        <v/>
      </c>
      <c r="O1780" s="26" t="str">
        <f t="shared" si="86"/>
        <v/>
      </c>
      <c r="P1780" s="10"/>
    </row>
    <row r="1781" ht="18" customHeight="1" spans="1:16">
      <c r="A1781" s="32" t="str">
        <f t="shared" si="85"/>
        <v/>
      </c>
      <c r="B1781" s="100" t="str">
        <f>IF($E1781="","",INDEX(资金日记账!$B$4:$B$603,436))</f>
        <v/>
      </c>
      <c r="C1781" s="26" t="str">
        <f>IF($E1781="","",IF(INDEX(资金日记账!$W$4:$W$603,436)="","记-"&amp;TEXT($B1781,"YYYYMM")&amp;"-资金",INDEX(资金日记账!$W$4:$W$603,436)))</f>
        <v/>
      </c>
      <c r="D1781" s="32" t="str">
        <f>IF($E1781="","",INDEX(资金日记账!$D$4:$D$603,436))</f>
        <v/>
      </c>
      <c r="E1781" s="26" t="str">
        <f>IF(INDEX(资金日记账!$N$4:$S$603,436,4)=0,"",INDEX(资金日记账!$N$4:$S$603,436,4))</f>
        <v/>
      </c>
      <c r="F1781" s="25" t="str">
        <f>IF($E1781="","",IFERROR(INDEX(科目表!$A$4:$A$81,MATCH($E1781,科目表!$B$4:$B$81,0)),""))</f>
        <v/>
      </c>
      <c r="G1781" s="26" t="str">
        <f>IF($E1781="","",IFERROR(INDEX(科目表!$E$4:$E$81,MATCH($E1781,科目表!$B$4:$B$81,0)),""))</f>
        <v/>
      </c>
      <c r="H1781" s="27" t="str">
        <f>IF($E1781="","",N(INDEX(资金日记账!$N$4:$S$603,436,5)))</f>
        <v/>
      </c>
      <c r="I1781" s="27" t="str">
        <f>IF($E1781="","",N(INDEX(资金日记账!$N$4:$S$603,436,6)))</f>
        <v/>
      </c>
      <c r="J1781" s="26" t="str">
        <f>IF($E1781="","",INDEX(资金日记账!$E$4:$E$603,436))</f>
        <v/>
      </c>
      <c r="K1781" s="26" t="str">
        <f>IF($E1781="","",INDEX(资金日记账!$F$4:$F$603,436))</f>
        <v/>
      </c>
      <c r="L1781" s="32" t="str">
        <f>IF($E1781="","",INDEX(资金日记账!$X$4:$X$603,436))</f>
        <v/>
      </c>
      <c r="M1781" s="32"/>
      <c r="N1781" s="26" t="str">
        <f>IF($E1781="","",INDEX(资金日记账!$Y$4:$Y$603,436))</f>
        <v/>
      </c>
      <c r="O1781" s="26" t="str">
        <f t="shared" si="86"/>
        <v/>
      </c>
      <c r="P1781" s="10"/>
    </row>
    <row r="1782" ht="18" customHeight="1" spans="1:16">
      <c r="A1782" s="32" t="str">
        <f t="shared" si="85"/>
        <v/>
      </c>
      <c r="B1782" s="100" t="str">
        <f>IF($E1782="","",INDEX(资金日记账!$B$4:$B$603,437))</f>
        <v/>
      </c>
      <c r="C1782" s="26" t="str">
        <f>IF($E1782="","",IF(INDEX(资金日记账!$W$4:$W$603,437)="","记-"&amp;TEXT($B1782,"YYYYMM")&amp;"-资金",INDEX(资金日记账!$W$4:$W$603,437)))</f>
        <v/>
      </c>
      <c r="D1782" s="32" t="str">
        <f>IF($E1782="","",INDEX(资金日记账!$D$4:$D$603,437))</f>
        <v/>
      </c>
      <c r="E1782" s="26" t="str">
        <f>IF(INDEX(资金日记账!$N$4:$S$603,437,1)=0,"",INDEX(资金日记账!$N$4:$S$603,437,1))</f>
        <v/>
      </c>
      <c r="F1782" s="25" t="str">
        <f>IF($E1782="","",IFERROR(INDEX(科目表!$A$4:$A$81,MATCH($E1782,科目表!$B$4:$B$81,0)),""))</f>
        <v/>
      </c>
      <c r="G1782" s="26" t="str">
        <f>IF($E1782="","",IFERROR(INDEX(科目表!$E$4:$E$81,MATCH($E1782,科目表!$B$4:$B$81,0)),""))</f>
        <v/>
      </c>
      <c r="H1782" s="27" t="str">
        <f>IF($E1782="","",N(INDEX(资金日记账!$N$4:$S$603,437,2)))</f>
        <v/>
      </c>
      <c r="I1782" s="27" t="str">
        <f>IF($E1782="","",N(INDEX(资金日记账!$N$4:$S$603,437,3)))</f>
        <v/>
      </c>
      <c r="J1782" s="26" t="str">
        <f>IF($E1782="","",INDEX(资金日记账!$E$4:$E$603,437))</f>
        <v/>
      </c>
      <c r="K1782" s="26" t="str">
        <f>IF($E1782="","",INDEX(资金日记账!$F$4:$F$603,437))</f>
        <v/>
      </c>
      <c r="L1782" s="32" t="str">
        <f>IF($E1782="","",INDEX(资金日记账!$X$4:$X$603,437))</f>
        <v/>
      </c>
      <c r="M1782" s="32"/>
      <c r="N1782" s="26" t="str">
        <f>IF($E1782="","",INDEX(资金日记账!$Y$4:$Y$603,437))</f>
        <v/>
      </c>
      <c r="O1782" s="26" t="str">
        <f t="shared" si="86"/>
        <v/>
      </c>
      <c r="P1782" s="10"/>
    </row>
    <row r="1783" ht="18" customHeight="1" spans="1:16">
      <c r="A1783" s="32" t="str">
        <f t="shared" si="85"/>
        <v/>
      </c>
      <c r="B1783" s="100" t="str">
        <f>IF($E1783="","",INDEX(资金日记账!$B$4:$B$603,437))</f>
        <v/>
      </c>
      <c r="C1783" s="26" t="str">
        <f>IF($E1783="","",IF(INDEX(资金日记账!$W$4:$W$603,437)="","记-"&amp;TEXT($B1783,"YYYYMM")&amp;"-资金",INDEX(资金日记账!$W$4:$W$603,437)))</f>
        <v/>
      </c>
      <c r="D1783" s="32" t="str">
        <f>IF($E1783="","",INDEX(资金日记账!$D$4:$D$603,437))</f>
        <v/>
      </c>
      <c r="E1783" s="26" t="str">
        <f>IF(INDEX(资金日记账!$N$4:$S$603,437,4)=0,"",INDEX(资金日记账!$N$4:$S$603,437,4))</f>
        <v/>
      </c>
      <c r="F1783" s="25" t="str">
        <f>IF($E1783="","",IFERROR(INDEX(科目表!$A$4:$A$81,MATCH($E1783,科目表!$B$4:$B$81,0)),""))</f>
        <v/>
      </c>
      <c r="G1783" s="26" t="str">
        <f>IF($E1783="","",IFERROR(INDEX(科目表!$E$4:$E$81,MATCH($E1783,科目表!$B$4:$B$81,0)),""))</f>
        <v/>
      </c>
      <c r="H1783" s="27" t="str">
        <f>IF($E1783="","",N(INDEX(资金日记账!$N$4:$S$603,437,5)))</f>
        <v/>
      </c>
      <c r="I1783" s="27" t="str">
        <f>IF($E1783="","",N(INDEX(资金日记账!$N$4:$S$603,437,6)))</f>
        <v/>
      </c>
      <c r="J1783" s="26" t="str">
        <f>IF($E1783="","",INDEX(资金日记账!$E$4:$E$603,437))</f>
        <v/>
      </c>
      <c r="K1783" s="26" t="str">
        <f>IF($E1783="","",INDEX(资金日记账!$F$4:$F$603,437))</f>
        <v/>
      </c>
      <c r="L1783" s="32" t="str">
        <f>IF($E1783="","",INDEX(资金日记账!$X$4:$X$603,437))</f>
        <v/>
      </c>
      <c r="M1783" s="32"/>
      <c r="N1783" s="26" t="str">
        <f>IF($E1783="","",INDEX(资金日记账!$Y$4:$Y$603,437))</f>
        <v/>
      </c>
      <c r="O1783" s="26" t="str">
        <f t="shared" si="86"/>
        <v/>
      </c>
      <c r="P1783" s="10"/>
    </row>
    <row r="1784" ht="18" customHeight="1" spans="1:16">
      <c r="A1784" s="32" t="str">
        <f t="shared" si="85"/>
        <v/>
      </c>
      <c r="B1784" s="100" t="str">
        <f>IF($E1784="","",INDEX(资金日记账!$B$4:$B$603,438))</f>
        <v/>
      </c>
      <c r="C1784" s="26" t="str">
        <f>IF($E1784="","",IF(INDEX(资金日记账!$W$4:$W$603,438)="","记-"&amp;TEXT($B1784,"YYYYMM")&amp;"-资金",INDEX(资金日记账!$W$4:$W$603,438)))</f>
        <v/>
      </c>
      <c r="D1784" s="32" t="str">
        <f>IF($E1784="","",INDEX(资金日记账!$D$4:$D$603,438))</f>
        <v/>
      </c>
      <c r="E1784" s="26" t="str">
        <f>IF(INDEX(资金日记账!$N$4:$S$603,438,1)=0,"",INDEX(资金日记账!$N$4:$S$603,438,1))</f>
        <v/>
      </c>
      <c r="F1784" s="25" t="str">
        <f>IF($E1784="","",IFERROR(INDEX(科目表!$A$4:$A$81,MATCH($E1784,科目表!$B$4:$B$81,0)),""))</f>
        <v/>
      </c>
      <c r="G1784" s="26" t="str">
        <f>IF($E1784="","",IFERROR(INDEX(科目表!$E$4:$E$81,MATCH($E1784,科目表!$B$4:$B$81,0)),""))</f>
        <v/>
      </c>
      <c r="H1784" s="27" t="str">
        <f>IF($E1784="","",N(INDEX(资金日记账!$N$4:$S$603,438,2)))</f>
        <v/>
      </c>
      <c r="I1784" s="27" t="str">
        <f>IF($E1784="","",N(INDEX(资金日记账!$N$4:$S$603,438,3)))</f>
        <v/>
      </c>
      <c r="J1784" s="26" t="str">
        <f>IF($E1784="","",INDEX(资金日记账!$E$4:$E$603,438))</f>
        <v/>
      </c>
      <c r="K1784" s="26" t="str">
        <f>IF($E1784="","",INDEX(资金日记账!$F$4:$F$603,438))</f>
        <v/>
      </c>
      <c r="L1784" s="32" t="str">
        <f>IF($E1784="","",INDEX(资金日记账!$X$4:$X$603,438))</f>
        <v/>
      </c>
      <c r="M1784" s="32"/>
      <c r="N1784" s="26" t="str">
        <f>IF($E1784="","",INDEX(资金日记账!$Y$4:$Y$603,438))</f>
        <v/>
      </c>
      <c r="O1784" s="26" t="str">
        <f t="shared" si="86"/>
        <v/>
      </c>
      <c r="P1784" s="10"/>
    </row>
    <row r="1785" ht="18" customHeight="1" spans="1:16">
      <c r="A1785" s="32" t="str">
        <f t="shared" si="85"/>
        <v/>
      </c>
      <c r="B1785" s="100" t="str">
        <f>IF($E1785="","",INDEX(资金日记账!$B$4:$B$603,438))</f>
        <v/>
      </c>
      <c r="C1785" s="26" t="str">
        <f>IF($E1785="","",IF(INDEX(资金日记账!$W$4:$W$603,438)="","记-"&amp;TEXT($B1785,"YYYYMM")&amp;"-资金",INDEX(资金日记账!$W$4:$W$603,438)))</f>
        <v/>
      </c>
      <c r="D1785" s="32" t="str">
        <f>IF($E1785="","",INDEX(资金日记账!$D$4:$D$603,438))</f>
        <v/>
      </c>
      <c r="E1785" s="26" t="str">
        <f>IF(INDEX(资金日记账!$N$4:$S$603,438,4)=0,"",INDEX(资金日记账!$N$4:$S$603,438,4))</f>
        <v/>
      </c>
      <c r="F1785" s="25" t="str">
        <f>IF($E1785="","",IFERROR(INDEX(科目表!$A$4:$A$81,MATCH($E1785,科目表!$B$4:$B$81,0)),""))</f>
        <v/>
      </c>
      <c r="G1785" s="26" t="str">
        <f>IF($E1785="","",IFERROR(INDEX(科目表!$E$4:$E$81,MATCH($E1785,科目表!$B$4:$B$81,0)),""))</f>
        <v/>
      </c>
      <c r="H1785" s="27" t="str">
        <f>IF($E1785="","",N(INDEX(资金日记账!$N$4:$S$603,438,5)))</f>
        <v/>
      </c>
      <c r="I1785" s="27" t="str">
        <f>IF($E1785="","",N(INDEX(资金日记账!$N$4:$S$603,438,6)))</f>
        <v/>
      </c>
      <c r="J1785" s="26" t="str">
        <f>IF($E1785="","",INDEX(资金日记账!$E$4:$E$603,438))</f>
        <v/>
      </c>
      <c r="K1785" s="26" t="str">
        <f>IF($E1785="","",INDEX(资金日记账!$F$4:$F$603,438))</f>
        <v/>
      </c>
      <c r="L1785" s="32" t="str">
        <f>IF($E1785="","",INDEX(资金日记账!$X$4:$X$603,438))</f>
        <v/>
      </c>
      <c r="M1785" s="32"/>
      <c r="N1785" s="26" t="str">
        <f>IF($E1785="","",INDEX(资金日记账!$Y$4:$Y$603,438))</f>
        <v/>
      </c>
      <c r="O1785" s="26" t="str">
        <f t="shared" si="86"/>
        <v/>
      </c>
      <c r="P1785" s="10"/>
    </row>
    <row r="1786" ht="18" customHeight="1" spans="1:16">
      <c r="A1786" s="32" t="str">
        <f t="shared" si="85"/>
        <v/>
      </c>
      <c r="B1786" s="100" t="str">
        <f>IF($E1786="","",INDEX(资金日记账!$B$4:$B$603,439))</f>
        <v/>
      </c>
      <c r="C1786" s="26" t="str">
        <f>IF($E1786="","",IF(INDEX(资金日记账!$W$4:$W$603,439)="","记-"&amp;TEXT($B1786,"YYYYMM")&amp;"-资金",INDEX(资金日记账!$W$4:$W$603,439)))</f>
        <v/>
      </c>
      <c r="D1786" s="32" t="str">
        <f>IF($E1786="","",INDEX(资金日记账!$D$4:$D$603,439))</f>
        <v/>
      </c>
      <c r="E1786" s="26" t="str">
        <f>IF(INDEX(资金日记账!$N$4:$S$603,439,1)=0,"",INDEX(资金日记账!$N$4:$S$603,439,1))</f>
        <v/>
      </c>
      <c r="F1786" s="25" t="str">
        <f>IF($E1786="","",IFERROR(INDEX(科目表!$A$4:$A$81,MATCH($E1786,科目表!$B$4:$B$81,0)),""))</f>
        <v/>
      </c>
      <c r="G1786" s="26" t="str">
        <f>IF($E1786="","",IFERROR(INDEX(科目表!$E$4:$E$81,MATCH($E1786,科目表!$B$4:$B$81,0)),""))</f>
        <v/>
      </c>
      <c r="H1786" s="27" t="str">
        <f>IF($E1786="","",N(INDEX(资金日记账!$N$4:$S$603,439,2)))</f>
        <v/>
      </c>
      <c r="I1786" s="27" t="str">
        <f>IF($E1786="","",N(INDEX(资金日记账!$N$4:$S$603,439,3)))</f>
        <v/>
      </c>
      <c r="J1786" s="26" t="str">
        <f>IF($E1786="","",INDEX(资金日记账!$E$4:$E$603,439))</f>
        <v/>
      </c>
      <c r="K1786" s="26" t="str">
        <f>IF($E1786="","",INDEX(资金日记账!$F$4:$F$603,439))</f>
        <v/>
      </c>
      <c r="L1786" s="32" t="str">
        <f>IF($E1786="","",INDEX(资金日记账!$X$4:$X$603,439))</f>
        <v/>
      </c>
      <c r="M1786" s="32"/>
      <c r="N1786" s="26" t="str">
        <f>IF($E1786="","",INDEX(资金日记账!$Y$4:$Y$603,439))</f>
        <v/>
      </c>
      <c r="O1786" s="26" t="str">
        <f t="shared" si="86"/>
        <v/>
      </c>
      <c r="P1786" s="10"/>
    </row>
    <row r="1787" ht="18" customHeight="1" spans="1:16">
      <c r="A1787" s="32" t="str">
        <f t="shared" si="85"/>
        <v/>
      </c>
      <c r="B1787" s="100" t="str">
        <f>IF($E1787="","",INDEX(资金日记账!$B$4:$B$603,439))</f>
        <v/>
      </c>
      <c r="C1787" s="26" t="str">
        <f>IF($E1787="","",IF(INDEX(资金日记账!$W$4:$W$603,439)="","记-"&amp;TEXT($B1787,"YYYYMM")&amp;"-资金",INDEX(资金日记账!$W$4:$W$603,439)))</f>
        <v/>
      </c>
      <c r="D1787" s="32" t="str">
        <f>IF($E1787="","",INDEX(资金日记账!$D$4:$D$603,439))</f>
        <v/>
      </c>
      <c r="E1787" s="26" t="str">
        <f>IF(INDEX(资金日记账!$N$4:$S$603,439,4)=0,"",INDEX(资金日记账!$N$4:$S$603,439,4))</f>
        <v/>
      </c>
      <c r="F1787" s="25" t="str">
        <f>IF($E1787="","",IFERROR(INDEX(科目表!$A$4:$A$81,MATCH($E1787,科目表!$B$4:$B$81,0)),""))</f>
        <v/>
      </c>
      <c r="G1787" s="26" t="str">
        <f>IF($E1787="","",IFERROR(INDEX(科目表!$E$4:$E$81,MATCH($E1787,科目表!$B$4:$B$81,0)),""))</f>
        <v/>
      </c>
      <c r="H1787" s="27" t="str">
        <f>IF($E1787="","",N(INDEX(资金日记账!$N$4:$S$603,439,5)))</f>
        <v/>
      </c>
      <c r="I1787" s="27" t="str">
        <f>IF($E1787="","",N(INDEX(资金日记账!$N$4:$S$603,439,6)))</f>
        <v/>
      </c>
      <c r="J1787" s="26" t="str">
        <f>IF($E1787="","",INDEX(资金日记账!$E$4:$E$603,439))</f>
        <v/>
      </c>
      <c r="K1787" s="26" t="str">
        <f>IF($E1787="","",INDEX(资金日记账!$F$4:$F$603,439))</f>
        <v/>
      </c>
      <c r="L1787" s="32" t="str">
        <f>IF($E1787="","",INDEX(资金日记账!$X$4:$X$603,439))</f>
        <v/>
      </c>
      <c r="M1787" s="32"/>
      <c r="N1787" s="26" t="str">
        <f>IF($E1787="","",INDEX(资金日记账!$Y$4:$Y$603,439))</f>
        <v/>
      </c>
      <c r="O1787" s="26" t="str">
        <f t="shared" si="86"/>
        <v/>
      </c>
      <c r="P1787" s="10"/>
    </row>
    <row r="1788" ht="18" customHeight="1" spans="1:16">
      <c r="A1788" s="32" t="str">
        <f t="shared" si="85"/>
        <v/>
      </c>
      <c r="B1788" s="100" t="str">
        <f>IF($E1788="","",INDEX(资金日记账!$B$4:$B$603,440))</f>
        <v/>
      </c>
      <c r="C1788" s="26" t="str">
        <f>IF($E1788="","",IF(INDEX(资金日记账!$W$4:$W$603,440)="","记-"&amp;TEXT($B1788,"YYYYMM")&amp;"-资金",INDEX(资金日记账!$W$4:$W$603,440)))</f>
        <v/>
      </c>
      <c r="D1788" s="32" t="str">
        <f>IF($E1788="","",INDEX(资金日记账!$D$4:$D$603,440))</f>
        <v/>
      </c>
      <c r="E1788" s="26" t="str">
        <f>IF(INDEX(资金日记账!$N$4:$S$603,440,1)=0,"",INDEX(资金日记账!$N$4:$S$603,440,1))</f>
        <v/>
      </c>
      <c r="F1788" s="25" t="str">
        <f>IF($E1788="","",IFERROR(INDEX(科目表!$A$4:$A$81,MATCH($E1788,科目表!$B$4:$B$81,0)),""))</f>
        <v/>
      </c>
      <c r="G1788" s="26" t="str">
        <f>IF($E1788="","",IFERROR(INDEX(科目表!$E$4:$E$81,MATCH($E1788,科目表!$B$4:$B$81,0)),""))</f>
        <v/>
      </c>
      <c r="H1788" s="27" t="str">
        <f>IF($E1788="","",N(INDEX(资金日记账!$N$4:$S$603,440,2)))</f>
        <v/>
      </c>
      <c r="I1788" s="27" t="str">
        <f>IF($E1788="","",N(INDEX(资金日记账!$N$4:$S$603,440,3)))</f>
        <v/>
      </c>
      <c r="J1788" s="26" t="str">
        <f>IF($E1788="","",INDEX(资金日记账!$E$4:$E$603,440))</f>
        <v/>
      </c>
      <c r="K1788" s="26" t="str">
        <f>IF($E1788="","",INDEX(资金日记账!$F$4:$F$603,440))</f>
        <v/>
      </c>
      <c r="L1788" s="32" t="str">
        <f>IF($E1788="","",INDEX(资金日记账!$X$4:$X$603,440))</f>
        <v/>
      </c>
      <c r="M1788" s="32"/>
      <c r="N1788" s="26" t="str">
        <f>IF($E1788="","",INDEX(资金日记账!$Y$4:$Y$603,440))</f>
        <v/>
      </c>
      <c r="O1788" s="26" t="str">
        <f t="shared" si="86"/>
        <v/>
      </c>
      <c r="P1788" s="10"/>
    </row>
    <row r="1789" ht="18" customHeight="1" spans="1:16">
      <c r="A1789" s="32" t="str">
        <f t="shared" si="85"/>
        <v/>
      </c>
      <c r="B1789" s="100" t="str">
        <f>IF($E1789="","",INDEX(资金日记账!$B$4:$B$603,440))</f>
        <v/>
      </c>
      <c r="C1789" s="26" t="str">
        <f>IF($E1789="","",IF(INDEX(资金日记账!$W$4:$W$603,440)="","记-"&amp;TEXT($B1789,"YYYYMM")&amp;"-资金",INDEX(资金日记账!$W$4:$W$603,440)))</f>
        <v/>
      </c>
      <c r="D1789" s="32" t="str">
        <f>IF($E1789="","",INDEX(资金日记账!$D$4:$D$603,440))</f>
        <v/>
      </c>
      <c r="E1789" s="26" t="str">
        <f>IF(INDEX(资金日记账!$N$4:$S$603,440,4)=0,"",INDEX(资金日记账!$N$4:$S$603,440,4))</f>
        <v/>
      </c>
      <c r="F1789" s="25" t="str">
        <f>IF($E1789="","",IFERROR(INDEX(科目表!$A$4:$A$81,MATCH($E1789,科目表!$B$4:$B$81,0)),""))</f>
        <v/>
      </c>
      <c r="G1789" s="26" t="str">
        <f>IF($E1789="","",IFERROR(INDEX(科目表!$E$4:$E$81,MATCH($E1789,科目表!$B$4:$B$81,0)),""))</f>
        <v/>
      </c>
      <c r="H1789" s="27" t="str">
        <f>IF($E1789="","",N(INDEX(资金日记账!$N$4:$S$603,440,5)))</f>
        <v/>
      </c>
      <c r="I1789" s="27" t="str">
        <f>IF($E1789="","",N(INDEX(资金日记账!$N$4:$S$603,440,6)))</f>
        <v/>
      </c>
      <c r="J1789" s="26" t="str">
        <f>IF($E1789="","",INDEX(资金日记账!$E$4:$E$603,440))</f>
        <v/>
      </c>
      <c r="K1789" s="26" t="str">
        <f>IF($E1789="","",INDEX(资金日记账!$F$4:$F$603,440))</f>
        <v/>
      </c>
      <c r="L1789" s="32" t="str">
        <f>IF($E1789="","",INDEX(资金日记账!$X$4:$X$603,440))</f>
        <v/>
      </c>
      <c r="M1789" s="32"/>
      <c r="N1789" s="26" t="str">
        <f>IF($E1789="","",INDEX(资金日记账!$Y$4:$Y$603,440))</f>
        <v/>
      </c>
      <c r="O1789" s="26" t="str">
        <f t="shared" si="86"/>
        <v/>
      </c>
      <c r="P1789" s="10"/>
    </row>
    <row r="1790" ht="18" customHeight="1" spans="1:16">
      <c r="A1790" s="32" t="str">
        <f t="shared" si="85"/>
        <v/>
      </c>
      <c r="B1790" s="100" t="str">
        <f>IF($E1790="","",INDEX(资金日记账!$B$4:$B$603,441))</f>
        <v/>
      </c>
      <c r="C1790" s="26" t="str">
        <f>IF($E1790="","",IF(INDEX(资金日记账!$W$4:$W$603,441)="","记-"&amp;TEXT($B1790,"YYYYMM")&amp;"-资金",INDEX(资金日记账!$W$4:$W$603,441)))</f>
        <v/>
      </c>
      <c r="D1790" s="32" t="str">
        <f>IF($E1790="","",INDEX(资金日记账!$D$4:$D$603,441))</f>
        <v/>
      </c>
      <c r="E1790" s="26" t="str">
        <f>IF(INDEX(资金日记账!$N$4:$S$603,441,1)=0,"",INDEX(资金日记账!$N$4:$S$603,441,1))</f>
        <v/>
      </c>
      <c r="F1790" s="25" t="str">
        <f>IF($E1790="","",IFERROR(INDEX(科目表!$A$4:$A$81,MATCH($E1790,科目表!$B$4:$B$81,0)),""))</f>
        <v/>
      </c>
      <c r="G1790" s="26" t="str">
        <f>IF($E1790="","",IFERROR(INDEX(科目表!$E$4:$E$81,MATCH($E1790,科目表!$B$4:$B$81,0)),""))</f>
        <v/>
      </c>
      <c r="H1790" s="27" t="str">
        <f>IF($E1790="","",N(INDEX(资金日记账!$N$4:$S$603,441,2)))</f>
        <v/>
      </c>
      <c r="I1790" s="27" t="str">
        <f>IF($E1790="","",N(INDEX(资金日记账!$N$4:$S$603,441,3)))</f>
        <v/>
      </c>
      <c r="J1790" s="26" t="str">
        <f>IF($E1790="","",INDEX(资金日记账!$E$4:$E$603,441))</f>
        <v/>
      </c>
      <c r="K1790" s="26" t="str">
        <f>IF($E1790="","",INDEX(资金日记账!$F$4:$F$603,441))</f>
        <v/>
      </c>
      <c r="L1790" s="32" t="str">
        <f>IF($E1790="","",INDEX(资金日记账!$X$4:$X$603,441))</f>
        <v/>
      </c>
      <c r="M1790" s="32"/>
      <c r="N1790" s="26" t="str">
        <f>IF($E1790="","",INDEX(资金日记账!$Y$4:$Y$603,441))</f>
        <v/>
      </c>
      <c r="O1790" s="26" t="str">
        <f t="shared" si="86"/>
        <v/>
      </c>
      <c r="P1790" s="10"/>
    </row>
    <row r="1791" ht="18" customHeight="1" spans="1:16">
      <c r="A1791" s="32" t="str">
        <f t="shared" si="85"/>
        <v/>
      </c>
      <c r="B1791" s="100" t="str">
        <f>IF($E1791="","",INDEX(资金日记账!$B$4:$B$603,441))</f>
        <v/>
      </c>
      <c r="C1791" s="26" t="str">
        <f>IF($E1791="","",IF(INDEX(资金日记账!$W$4:$W$603,441)="","记-"&amp;TEXT($B1791,"YYYYMM")&amp;"-资金",INDEX(资金日记账!$W$4:$W$603,441)))</f>
        <v/>
      </c>
      <c r="D1791" s="32" t="str">
        <f>IF($E1791="","",INDEX(资金日记账!$D$4:$D$603,441))</f>
        <v/>
      </c>
      <c r="E1791" s="26" t="str">
        <f>IF(INDEX(资金日记账!$N$4:$S$603,441,4)=0,"",INDEX(资金日记账!$N$4:$S$603,441,4))</f>
        <v/>
      </c>
      <c r="F1791" s="25" t="str">
        <f>IF($E1791="","",IFERROR(INDEX(科目表!$A$4:$A$81,MATCH($E1791,科目表!$B$4:$B$81,0)),""))</f>
        <v/>
      </c>
      <c r="G1791" s="26" t="str">
        <f>IF($E1791="","",IFERROR(INDEX(科目表!$E$4:$E$81,MATCH($E1791,科目表!$B$4:$B$81,0)),""))</f>
        <v/>
      </c>
      <c r="H1791" s="27" t="str">
        <f>IF($E1791="","",N(INDEX(资金日记账!$N$4:$S$603,441,5)))</f>
        <v/>
      </c>
      <c r="I1791" s="27" t="str">
        <f>IF($E1791="","",N(INDEX(资金日记账!$N$4:$S$603,441,6)))</f>
        <v/>
      </c>
      <c r="J1791" s="26" t="str">
        <f>IF($E1791="","",INDEX(资金日记账!$E$4:$E$603,441))</f>
        <v/>
      </c>
      <c r="K1791" s="26" t="str">
        <f>IF($E1791="","",INDEX(资金日记账!$F$4:$F$603,441))</f>
        <v/>
      </c>
      <c r="L1791" s="32" t="str">
        <f>IF($E1791="","",INDEX(资金日记账!$X$4:$X$603,441))</f>
        <v/>
      </c>
      <c r="M1791" s="32"/>
      <c r="N1791" s="26" t="str">
        <f>IF($E1791="","",INDEX(资金日记账!$Y$4:$Y$603,441))</f>
        <v/>
      </c>
      <c r="O1791" s="26" t="str">
        <f t="shared" si="86"/>
        <v/>
      </c>
      <c r="P1791" s="10"/>
    </row>
    <row r="1792" ht="18" customHeight="1" spans="1:16">
      <c r="A1792" s="32" t="str">
        <f t="shared" si="85"/>
        <v/>
      </c>
      <c r="B1792" s="100" t="str">
        <f>IF($E1792="","",INDEX(资金日记账!$B$4:$B$603,442))</f>
        <v/>
      </c>
      <c r="C1792" s="26" t="str">
        <f>IF($E1792="","",IF(INDEX(资金日记账!$W$4:$W$603,442)="","记-"&amp;TEXT($B1792,"YYYYMM")&amp;"-资金",INDEX(资金日记账!$W$4:$W$603,442)))</f>
        <v/>
      </c>
      <c r="D1792" s="32" t="str">
        <f>IF($E1792="","",INDEX(资金日记账!$D$4:$D$603,442))</f>
        <v/>
      </c>
      <c r="E1792" s="26" t="str">
        <f>IF(INDEX(资金日记账!$N$4:$S$603,442,1)=0,"",INDEX(资金日记账!$N$4:$S$603,442,1))</f>
        <v/>
      </c>
      <c r="F1792" s="25" t="str">
        <f>IF($E1792="","",IFERROR(INDEX(科目表!$A$4:$A$81,MATCH($E1792,科目表!$B$4:$B$81,0)),""))</f>
        <v/>
      </c>
      <c r="G1792" s="26" t="str">
        <f>IF($E1792="","",IFERROR(INDEX(科目表!$E$4:$E$81,MATCH($E1792,科目表!$B$4:$B$81,0)),""))</f>
        <v/>
      </c>
      <c r="H1792" s="27" t="str">
        <f>IF($E1792="","",N(INDEX(资金日记账!$N$4:$S$603,442,2)))</f>
        <v/>
      </c>
      <c r="I1792" s="27" t="str">
        <f>IF($E1792="","",N(INDEX(资金日记账!$N$4:$S$603,442,3)))</f>
        <v/>
      </c>
      <c r="J1792" s="26" t="str">
        <f>IF($E1792="","",INDEX(资金日记账!$E$4:$E$603,442))</f>
        <v/>
      </c>
      <c r="K1792" s="26" t="str">
        <f>IF($E1792="","",INDEX(资金日记账!$F$4:$F$603,442))</f>
        <v/>
      </c>
      <c r="L1792" s="32" t="str">
        <f>IF($E1792="","",INDEX(资金日记账!$X$4:$X$603,442))</f>
        <v/>
      </c>
      <c r="M1792" s="32"/>
      <c r="N1792" s="26" t="str">
        <f>IF($E1792="","",INDEX(资金日记账!$Y$4:$Y$603,442))</f>
        <v/>
      </c>
      <c r="O1792" s="26" t="str">
        <f t="shared" si="86"/>
        <v/>
      </c>
      <c r="P1792" s="10"/>
    </row>
    <row r="1793" ht="18" customHeight="1" spans="1:16">
      <c r="A1793" s="32" t="str">
        <f t="shared" si="85"/>
        <v/>
      </c>
      <c r="B1793" s="100" t="str">
        <f>IF($E1793="","",INDEX(资金日记账!$B$4:$B$603,442))</f>
        <v/>
      </c>
      <c r="C1793" s="26" t="str">
        <f>IF($E1793="","",IF(INDEX(资金日记账!$W$4:$W$603,442)="","记-"&amp;TEXT($B1793,"YYYYMM")&amp;"-资金",INDEX(资金日记账!$W$4:$W$603,442)))</f>
        <v/>
      </c>
      <c r="D1793" s="32" t="str">
        <f>IF($E1793="","",INDEX(资金日记账!$D$4:$D$603,442))</f>
        <v/>
      </c>
      <c r="E1793" s="26" t="str">
        <f>IF(INDEX(资金日记账!$N$4:$S$603,442,4)=0,"",INDEX(资金日记账!$N$4:$S$603,442,4))</f>
        <v/>
      </c>
      <c r="F1793" s="25" t="str">
        <f>IF($E1793="","",IFERROR(INDEX(科目表!$A$4:$A$81,MATCH($E1793,科目表!$B$4:$B$81,0)),""))</f>
        <v/>
      </c>
      <c r="G1793" s="26" t="str">
        <f>IF($E1793="","",IFERROR(INDEX(科目表!$E$4:$E$81,MATCH($E1793,科目表!$B$4:$B$81,0)),""))</f>
        <v/>
      </c>
      <c r="H1793" s="27" t="str">
        <f>IF($E1793="","",N(INDEX(资金日记账!$N$4:$S$603,442,5)))</f>
        <v/>
      </c>
      <c r="I1793" s="27" t="str">
        <f>IF($E1793="","",N(INDEX(资金日记账!$N$4:$S$603,442,6)))</f>
        <v/>
      </c>
      <c r="J1793" s="26" t="str">
        <f>IF($E1793="","",INDEX(资金日记账!$E$4:$E$603,442))</f>
        <v/>
      </c>
      <c r="K1793" s="26" t="str">
        <f>IF($E1793="","",INDEX(资金日记账!$F$4:$F$603,442))</f>
        <v/>
      </c>
      <c r="L1793" s="32" t="str">
        <f>IF($E1793="","",INDEX(资金日记账!$X$4:$X$603,442))</f>
        <v/>
      </c>
      <c r="M1793" s="32"/>
      <c r="N1793" s="26" t="str">
        <f>IF($E1793="","",INDEX(资金日记账!$Y$4:$Y$603,442))</f>
        <v/>
      </c>
      <c r="O1793" s="26" t="str">
        <f t="shared" si="86"/>
        <v/>
      </c>
      <c r="P1793" s="10"/>
    </row>
    <row r="1794" ht="18" customHeight="1" spans="1:16">
      <c r="A1794" s="32" t="str">
        <f t="shared" si="85"/>
        <v/>
      </c>
      <c r="B1794" s="100" t="str">
        <f>IF($E1794="","",INDEX(资金日记账!$B$4:$B$603,443))</f>
        <v/>
      </c>
      <c r="C1794" s="26" t="str">
        <f>IF($E1794="","",IF(INDEX(资金日记账!$W$4:$W$603,443)="","记-"&amp;TEXT($B1794,"YYYYMM")&amp;"-资金",INDEX(资金日记账!$W$4:$W$603,443)))</f>
        <v/>
      </c>
      <c r="D1794" s="32" t="str">
        <f>IF($E1794="","",INDEX(资金日记账!$D$4:$D$603,443))</f>
        <v/>
      </c>
      <c r="E1794" s="26" t="str">
        <f>IF(INDEX(资金日记账!$N$4:$S$603,443,1)=0,"",INDEX(资金日记账!$N$4:$S$603,443,1))</f>
        <v/>
      </c>
      <c r="F1794" s="25" t="str">
        <f>IF($E1794="","",IFERROR(INDEX(科目表!$A$4:$A$81,MATCH($E1794,科目表!$B$4:$B$81,0)),""))</f>
        <v/>
      </c>
      <c r="G1794" s="26" t="str">
        <f>IF($E1794="","",IFERROR(INDEX(科目表!$E$4:$E$81,MATCH($E1794,科目表!$B$4:$B$81,0)),""))</f>
        <v/>
      </c>
      <c r="H1794" s="27" t="str">
        <f>IF($E1794="","",N(INDEX(资金日记账!$N$4:$S$603,443,2)))</f>
        <v/>
      </c>
      <c r="I1794" s="27" t="str">
        <f>IF($E1794="","",N(INDEX(资金日记账!$N$4:$S$603,443,3)))</f>
        <v/>
      </c>
      <c r="J1794" s="26" t="str">
        <f>IF($E1794="","",INDEX(资金日记账!$E$4:$E$603,443))</f>
        <v/>
      </c>
      <c r="K1794" s="26" t="str">
        <f>IF($E1794="","",INDEX(资金日记账!$F$4:$F$603,443))</f>
        <v/>
      </c>
      <c r="L1794" s="32" t="str">
        <f>IF($E1794="","",INDEX(资金日记账!$X$4:$X$603,443))</f>
        <v/>
      </c>
      <c r="M1794" s="32"/>
      <c r="N1794" s="26" t="str">
        <f>IF($E1794="","",INDEX(资金日记账!$Y$4:$Y$603,443))</f>
        <v/>
      </c>
      <c r="O1794" s="26" t="str">
        <f t="shared" si="86"/>
        <v/>
      </c>
      <c r="P1794" s="10"/>
    </row>
    <row r="1795" ht="18" customHeight="1" spans="1:16">
      <c r="A1795" s="32" t="str">
        <f t="shared" si="85"/>
        <v/>
      </c>
      <c r="B1795" s="100" t="str">
        <f>IF($E1795="","",INDEX(资金日记账!$B$4:$B$603,443))</f>
        <v/>
      </c>
      <c r="C1795" s="26" t="str">
        <f>IF($E1795="","",IF(INDEX(资金日记账!$W$4:$W$603,443)="","记-"&amp;TEXT($B1795,"YYYYMM")&amp;"-资金",INDEX(资金日记账!$W$4:$W$603,443)))</f>
        <v/>
      </c>
      <c r="D1795" s="32" t="str">
        <f>IF($E1795="","",INDEX(资金日记账!$D$4:$D$603,443))</f>
        <v/>
      </c>
      <c r="E1795" s="26" t="str">
        <f>IF(INDEX(资金日记账!$N$4:$S$603,443,4)=0,"",INDEX(资金日记账!$N$4:$S$603,443,4))</f>
        <v/>
      </c>
      <c r="F1795" s="25" t="str">
        <f>IF($E1795="","",IFERROR(INDEX(科目表!$A$4:$A$81,MATCH($E1795,科目表!$B$4:$B$81,0)),""))</f>
        <v/>
      </c>
      <c r="G1795" s="26" t="str">
        <f>IF($E1795="","",IFERROR(INDEX(科目表!$E$4:$E$81,MATCH($E1795,科目表!$B$4:$B$81,0)),""))</f>
        <v/>
      </c>
      <c r="H1795" s="27" t="str">
        <f>IF($E1795="","",N(INDEX(资金日记账!$N$4:$S$603,443,5)))</f>
        <v/>
      </c>
      <c r="I1795" s="27" t="str">
        <f>IF($E1795="","",N(INDEX(资金日记账!$N$4:$S$603,443,6)))</f>
        <v/>
      </c>
      <c r="J1795" s="26" t="str">
        <f>IF($E1795="","",INDEX(资金日记账!$E$4:$E$603,443))</f>
        <v/>
      </c>
      <c r="K1795" s="26" t="str">
        <f>IF($E1795="","",INDEX(资金日记账!$F$4:$F$603,443))</f>
        <v/>
      </c>
      <c r="L1795" s="32" t="str">
        <f>IF($E1795="","",INDEX(资金日记账!$X$4:$X$603,443))</f>
        <v/>
      </c>
      <c r="M1795" s="32"/>
      <c r="N1795" s="26" t="str">
        <f>IF($E1795="","",INDEX(资金日记账!$Y$4:$Y$603,443))</f>
        <v/>
      </c>
      <c r="O1795" s="26" t="str">
        <f t="shared" si="86"/>
        <v/>
      </c>
      <c r="P1795" s="10"/>
    </row>
    <row r="1796" ht="18" customHeight="1" spans="1:16">
      <c r="A1796" s="32" t="str">
        <f t="shared" ref="A1796:A1859" si="87">IF($E1796="","",ROW()-3)</f>
        <v/>
      </c>
      <c r="B1796" s="100" t="str">
        <f>IF($E1796="","",INDEX(资金日记账!$B$4:$B$603,444))</f>
        <v/>
      </c>
      <c r="C1796" s="26" t="str">
        <f>IF($E1796="","",IF(INDEX(资金日记账!$W$4:$W$603,444)="","记-"&amp;TEXT($B1796,"YYYYMM")&amp;"-资金",INDEX(资金日记账!$W$4:$W$603,444)))</f>
        <v/>
      </c>
      <c r="D1796" s="32" t="str">
        <f>IF($E1796="","",INDEX(资金日记账!$D$4:$D$603,444))</f>
        <v/>
      </c>
      <c r="E1796" s="26" t="str">
        <f>IF(INDEX(资金日记账!$N$4:$S$603,444,1)=0,"",INDEX(资金日记账!$N$4:$S$603,444,1))</f>
        <v/>
      </c>
      <c r="F1796" s="25" t="str">
        <f>IF($E1796="","",IFERROR(INDEX(科目表!$A$4:$A$81,MATCH($E1796,科目表!$B$4:$B$81,0)),""))</f>
        <v/>
      </c>
      <c r="G1796" s="26" t="str">
        <f>IF($E1796="","",IFERROR(INDEX(科目表!$E$4:$E$81,MATCH($E1796,科目表!$B$4:$B$81,0)),""))</f>
        <v/>
      </c>
      <c r="H1796" s="27" t="str">
        <f>IF($E1796="","",N(INDEX(资金日记账!$N$4:$S$603,444,2)))</f>
        <v/>
      </c>
      <c r="I1796" s="27" t="str">
        <f>IF($E1796="","",N(INDEX(资金日记账!$N$4:$S$603,444,3)))</f>
        <v/>
      </c>
      <c r="J1796" s="26" t="str">
        <f>IF($E1796="","",INDEX(资金日记账!$E$4:$E$603,444))</f>
        <v/>
      </c>
      <c r="K1796" s="26" t="str">
        <f>IF($E1796="","",INDEX(资金日记账!$F$4:$F$603,444))</f>
        <v/>
      </c>
      <c r="L1796" s="32" t="str">
        <f>IF($E1796="","",INDEX(资金日记账!$X$4:$X$603,444))</f>
        <v/>
      </c>
      <c r="M1796" s="32"/>
      <c r="N1796" s="26" t="str">
        <f>IF($E1796="","",INDEX(资金日记账!$Y$4:$Y$603,444))</f>
        <v/>
      </c>
      <c r="O1796" s="26" t="str">
        <f t="shared" si="86"/>
        <v/>
      </c>
      <c r="P1796" s="10"/>
    </row>
    <row r="1797" ht="18" customHeight="1" spans="1:16">
      <c r="A1797" s="32" t="str">
        <f t="shared" si="87"/>
        <v/>
      </c>
      <c r="B1797" s="100" t="str">
        <f>IF($E1797="","",INDEX(资金日记账!$B$4:$B$603,444))</f>
        <v/>
      </c>
      <c r="C1797" s="26" t="str">
        <f>IF($E1797="","",IF(INDEX(资金日记账!$W$4:$W$603,444)="","记-"&amp;TEXT($B1797,"YYYYMM")&amp;"-资金",INDEX(资金日记账!$W$4:$W$603,444)))</f>
        <v/>
      </c>
      <c r="D1797" s="32" t="str">
        <f>IF($E1797="","",INDEX(资金日记账!$D$4:$D$603,444))</f>
        <v/>
      </c>
      <c r="E1797" s="26" t="str">
        <f>IF(INDEX(资金日记账!$N$4:$S$603,444,4)=0,"",INDEX(资金日记账!$N$4:$S$603,444,4))</f>
        <v/>
      </c>
      <c r="F1797" s="25" t="str">
        <f>IF($E1797="","",IFERROR(INDEX(科目表!$A$4:$A$81,MATCH($E1797,科目表!$B$4:$B$81,0)),""))</f>
        <v/>
      </c>
      <c r="G1797" s="26" t="str">
        <f>IF($E1797="","",IFERROR(INDEX(科目表!$E$4:$E$81,MATCH($E1797,科目表!$B$4:$B$81,0)),""))</f>
        <v/>
      </c>
      <c r="H1797" s="27" t="str">
        <f>IF($E1797="","",N(INDEX(资金日记账!$N$4:$S$603,444,5)))</f>
        <v/>
      </c>
      <c r="I1797" s="27" t="str">
        <f>IF($E1797="","",N(INDEX(资金日记账!$N$4:$S$603,444,6)))</f>
        <v/>
      </c>
      <c r="J1797" s="26" t="str">
        <f>IF($E1797="","",INDEX(资金日记账!$E$4:$E$603,444))</f>
        <v/>
      </c>
      <c r="K1797" s="26" t="str">
        <f>IF($E1797="","",INDEX(资金日记账!$F$4:$F$603,444))</f>
        <v/>
      </c>
      <c r="L1797" s="32" t="str">
        <f>IF($E1797="","",INDEX(资金日记账!$X$4:$X$603,444))</f>
        <v/>
      </c>
      <c r="M1797" s="32"/>
      <c r="N1797" s="26" t="str">
        <f>IF($E1797="","",INDEX(资金日记账!$Y$4:$Y$603,444))</f>
        <v/>
      </c>
      <c r="O1797" s="26" t="str">
        <f t="shared" si="86"/>
        <v/>
      </c>
      <c r="P1797" s="10"/>
    </row>
    <row r="1798" ht="18" customHeight="1" spans="1:16">
      <c r="A1798" s="32" t="str">
        <f t="shared" si="87"/>
        <v/>
      </c>
      <c r="B1798" s="100" t="str">
        <f>IF($E1798="","",INDEX(资金日记账!$B$4:$B$603,445))</f>
        <v/>
      </c>
      <c r="C1798" s="26" t="str">
        <f>IF($E1798="","",IF(INDEX(资金日记账!$W$4:$W$603,445)="","记-"&amp;TEXT($B1798,"YYYYMM")&amp;"-资金",INDEX(资金日记账!$W$4:$W$603,445)))</f>
        <v/>
      </c>
      <c r="D1798" s="32" t="str">
        <f>IF($E1798="","",INDEX(资金日记账!$D$4:$D$603,445))</f>
        <v/>
      </c>
      <c r="E1798" s="26" t="str">
        <f>IF(INDEX(资金日记账!$N$4:$S$603,445,1)=0,"",INDEX(资金日记账!$N$4:$S$603,445,1))</f>
        <v/>
      </c>
      <c r="F1798" s="25" t="str">
        <f>IF($E1798="","",IFERROR(INDEX(科目表!$A$4:$A$81,MATCH($E1798,科目表!$B$4:$B$81,0)),""))</f>
        <v/>
      </c>
      <c r="G1798" s="26" t="str">
        <f>IF($E1798="","",IFERROR(INDEX(科目表!$E$4:$E$81,MATCH($E1798,科目表!$B$4:$B$81,0)),""))</f>
        <v/>
      </c>
      <c r="H1798" s="27" t="str">
        <f>IF($E1798="","",N(INDEX(资金日记账!$N$4:$S$603,445,2)))</f>
        <v/>
      </c>
      <c r="I1798" s="27" t="str">
        <f>IF($E1798="","",N(INDEX(资金日记账!$N$4:$S$603,445,3)))</f>
        <v/>
      </c>
      <c r="J1798" s="26" t="str">
        <f>IF($E1798="","",INDEX(资金日记账!$E$4:$E$603,445))</f>
        <v/>
      </c>
      <c r="K1798" s="26" t="str">
        <f>IF($E1798="","",INDEX(资金日记账!$F$4:$F$603,445))</f>
        <v/>
      </c>
      <c r="L1798" s="32" t="str">
        <f>IF($E1798="","",INDEX(资金日记账!$X$4:$X$603,445))</f>
        <v/>
      </c>
      <c r="M1798" s="32"/>
      <c r="N1798" s="26" t="str">
        <f>IF($E1798="","",INDEX(资金日记账!$Y$4:$Y$603,445))</f>
        <v/>
      </c>
      <c r="O1798" s="26" t="str">
        <f t="shared" si="86"/>
        <v/>
      </c>
      <c r="P1798" s="10"/>
    </row>
    <row r="1799" ht="18" customHeight="1" spans="1:16">
      <c r="A1799" s="32" t="str">
        <f t="shared" si="87"/>
        <v/>
      </c>
      <c r="B1799" s="100" t="str">
        <f>IF($E1799="","",INDEX(资金日记账!$B$4:$B$603,445))</f>
        <v/>
      </c>
      <c r="C1799" s="26" t="str">
        <f>IF($E1799="","",IF(INDEX(资金日记账!$W$4:$W$603,445)="","记-"&amp;TEXT($B1799,"YYYYMM")&amp;"-资金",INDEX(资金日记账!$W$4:$W$603,445)))</f>
        <v/>
      </c>
      <c r="D1799" s="32" t="str">
        <f>IF($E1799="","",INDEX(资金日记账!$D$4:$D$603,445))</f>
        <v/>
      </c>
      <c r="E1799" s="26" t="str">
        <f>IF(INDEX(资金日记账!$N$4:$S$603,445,4)=0,"",INDEX(资金日记账!$N$4:$S$603,445,4))</f>
        <v/>
      </c>
      <c r="F1799" s="25" t="str">
        <f>IF($E1799="","",IFERROR(INDEX(科目表!$A$4:$A$81,MATCH($E1799,科目表!$B$4:$B$81,0)),""))</f>
        <v/>
      </c>
      <c r="G1799" s="26" t="str">
        <f>IF($E1799="","",IFERROR(INDEX(科目表!$E$4:$E$81,MATCH($E1799,科目表!$B$4:$B$81,0)),""))</f>
        <v/>
      </c>
      <c r="H1799" s="27" t="str">
        <f>IF($E1799="","",N(INDEX(资金日记账!$N$4:$S$603,445,5)))</f>
        <v/>
      </c>
      <c r="I1799" s="27" t="str">
        <f>IF($E1799="","",N(INDEX(资金日记账!$N$4:$S$603,445,6)))</f>
        <v/>
      </c>
      <c r="J1799" s="26" t="str">
        <f>IF($E1799="","",INDEX(资金日记账!$E$4:$E$603,445))</f>
        <v/>
      </c>
      <c r="K1799" s="26" t="str">
        <f>IF($E1799="","",INDEX(资金日记账!$F$4:$F$603,445))</f>
        <v/>
      </c>
      <c r="L1799" s="32" t="str">
        <f>IF($E1799="","",INDEX(资金日记账!$X$4:$X$603,445))</f>
        <v/>
      </c>
      <c r="M1799" s="32"/>
      <c r="N1799" s="26" t="str">
        <f>IF($E1799="","",INDEX(资金日记账!$Y$4:$Y$603,445))</f>
        <v/>
      </c>
      <c r="O1799" s="26" t="str">
        <f t="shared" si="86"/>
        <v/>
      </c>
      <c r="P1799" s="10"/>
    </row>
    <row r="1800" ht="18" customHeight="1" spans="1:16">
      <c r="A1800" s="32" t="str">
        <f t="shared" si="87"/>
        <v/>
      </c>
      <c r="B1800" s="100" t="str">
        <f>IF($E1800="","",INDEX(资金日记账!$B$4:$B$603,446))</f>
        <v/>
      </c>
      <c r="C1800" s="26" t="str">
        <f>IF($E1800="","",IF(INDEX(资金日记账!$W$4:$W$603,446)="","记-"&amp;TEXT($B1800,"YYYYMM")&amp;"-资金",INDEX(资金日记账!$W$4:$W$603,446)))</f>
        <v/>
      </c>
      <c r="D1800" s="32" t="str">
        <f>IF($E1800="","",INDEX(资金日记账!$D$4:$D$603,446))</f>
        <v/>
      </c>
      <c r="E1800" s="26" t="str">
        <f>IF(INDEX(资金日记账!$N$4:$S$603,446,1)=0,"",INDEX(资金日记账!$N$4:$S$603,446,1))</f>
        <v/>
      </c>
      <c r="F1800" s="25" t="str">
        <f>IF($E1800="","",IFERROR(INDEX(科目表!$A$4:$A$81,MATCH($E1800,科目表!$B$4:$B$81,0)),""))</f>
        <v/>
      </c>
      <c r="G1800" s="26" t="str">
        <f>IF($E1800="","",IFERROR(INDEX(科目表!$E$4:$E$81,MATCH($E1800,科目表!$B$4:$B$81,0)),""))</f>
        <v/>
      </c>
      <c r="H1800" s="27" t="str">
        <f>IF($E1800="","",N(INDEX(资金日记账!$N$4:$S$603,446,2)))</f>
        <v/>
      </c>
      <c r="I1800" s="27" t="str">
        <f>IF($E1800="","",N(INDEX(资金日记账!$N$4:$S$603,446,3)))</f>
        <v/>
      </c>
      <c r="J1800" s="26" t="str">
        <f>IF($E1800="","",INDEX(资金日记账!$E$4:$E$603,446))</f>
        <v/>
      </c>
      <c r="K1800" s="26" t="str">
        <f>IF($E1800="","",INDEX(资金日记账!$F$4:$F$603,446))</f>
        <v/>
      </c>
      <c r="L1800" s="32" t="str">
        <f>IF($E1800="","",INDEX(资金日记账!$X$4:$X$603,446))</f>
        <v/>
      </c>
      <c r="M1800" s="32"/>
      <c r="N1800" s="26" t="str">
        <f>IF($E1800="","",INDEX(资金日记账!$Y$4:$Y$603,446))</f>
        <v/>
      </c>
      <c r="O1800" s="26" t="str">
        <f t="shared" si="86"/>
        <v/>
      </c>
      <c r="P1800" s="10"/>
    </row>
    <row r="1801" ht="18" customHeight="1" spans="1:16">
      <c r="A1801" s="32" t="str">
        <f t="shared" si="87"/>
        <v/>
      </c>
      <c r="B1801" s="100" t="str">
        <f>IF($E1801="","",INDEX(资金日记账!$B$4:$B$603,446))</f>
        <v/>
      </c>
      <c r="C1801" s="26" t="str">
        <f>IF($E1801="","",IF(INDEX(资金日记账!$W$4:$W$603,446)="","记-"&amp;TEXT($B1801,"YYYYMM")&amp;"-资金",INDEX(资金日记账!$W$4:$W$603,446)))</f>
        <v/>
      </c>
      <c r="D1801" s="32" t="str">
        <f>IF($E1801="","",INDEX(资金日记账!$D$4:$D$603,446))</f>
        <v/>
      </c>
      <c r="E1801" s="26" t="str">
        <f>IF(INDEX(资金日记账!$N$4:$S$603,446,4)=0,"",INDEX(资金日记账!$N$4:$S$603,446,4))</f>
        <v/>
      </c>
      <c r="F1801" s="25" t="str">
        <f>IF($E1801="","",IFERROR(INDEX(科目表!$A$4:$A$81,MATCH($E1801,科目表!$B$4:$B$81,0)),""))</f>
        <v/>
      </c>
      <c r="G1801" s="26" t="str">
        <f>IF($E1801="","",IFERROR(INDEX(科目表!$E$4:$E$81,MATCH($E1801,科目表!$B$4:$B$81,0)),""))</f>
        <v/>
      </c>
      <c r="H1801" s="27" t="str">
        <f>IF($E1801="","",N(INDEX(资金日记账!$N$4:$S$603,446,5)))</f>
        <v/>
      </c>
      <c r="I1801" s="27" t="str">
        <f>IF($E1801="","",N(INDEX(资金日记账!$N$4:$S$603,446,6)))</f>
        <v/>
      </c>
      <c r="J1801" s="26" t="str">
        <f>IF($E1801="","",INDEX(资金日记账!$E$4:$E$603,446))</f>
        <v/>
      </c>
      <c r="K1801" s="26" t="str">
        <f>IF($E1801="","",INDEX(资金日记账!$F$4:$F$603,446))</f>
        <v/>
      </c>
      <c r="L1801" s="32" t="str">
        <f>IF($E1801="","",INDEX(资金日记账!$X$4:$X$603,446))</f>
        <v/>
      </c>
      <c r="M1801" s="32"/>
      <c r="N1801" s="26" t="str">
        <f>IF($E1801="","",INDEX(资金日记账!$Y$4:$Y$603,446))</f>
        <v/>
      </c>
      <c r="O1801" s="26" t="str">
        <f t="shared" si="86"/>
        <v/>
      </c>
      <c r="P1801" s="10"/>
    </row>
    <row r="1802" ht="18" customHeight="1" spans="1:16">
      <c r="A1802" s="32" t="str">
        <f t="shared" si="87"/>
        <v/>
      </c>
      <c r="B1802" s="100" t="str">
        <f>IF($E1802="","",INDEX(资金日记账!$B$4:$B$603,447))</f>
        <v/>
      </c>
      <c r="C1802" s="26" t="str">
        <f>IF($E1802="","",IF(INDEX(资金日记账!$W$4:$W$603,447)="","记-"&amp;TEXT($B1802,"YYYYMM")&amp;"-资金",INDEX(资金日记账!$W$4:$W$603,447)))</f>
        <v/>
      </c>
      <c r="D1802" s="32" t="str">
        <f>IF($E1802="","",INDEX(资金日记账!$D$4:$D$603,447))</f>
        <v/>
      </c>
      <c r="E1802" s="26" t="str">
        <f>IF(INDEX(资金日记账!$N$4:$S$603,447,1)=0,"",INDEX(资金日记账!$N$4:$S$603,447,1))</f>
        <v/>
      </c>
      <c r="F1802" s="25" t="str">
        <f>IF($E1802="","",IFERROR(INDEX(科目表!$A$4:$A$81,MATCH($E1802,科目表!$B$4:$B$81,0)),""))</f>
        <v/>
      </c>
      <c r="G1802" s="26" t="str">
        <f>IF($E1802="","",IFERROR(INDEX(科目表!$E$4:$E$81,MATCH($E1802,科目表!$B$4:$B$81,0)),""))</f>
        <v/>
      </c>
      <c r="H1802" s="27" t="str">
        <f>IF($E1802="","",N(INDEX(资金日记账!$N$4:$S$603,447,2)))</f>
        <v/>
      </c>
      <c r="I1802" s="27" t="str">
        <f>IF($E1802="","",N(INDEX(资金日记账!$N$4:$S$603,447,3)))</f>
        <v/>
      </c>
      <c r="J1802" s="26" t="str">
        <f>IF($E1802="","",INDEX(资金日记账!$E$4:$E$603,447))</f>
        <v/>
      </c>
      <c r="K1802" s="26" t="str">
        <f>IF($E1802="","",INDEX(资金日记账!$F$4:$F$603,447))</f>
        <v/>
      </c>
      <c r="L1802" s="32" t="str">
        <f>IF($E1802="","",INDEX(资金日记账!$X$4:$X$603,447))</f>
        <v/>
      </c>
      <c r="M1802" s="32"/>
      <c r="N1802" s="26" t="str">
        <f>IF($E1802="","",INDEX(资金日记账!$Y$4:$Y$603,447))</f>
        <v/>
      </c>
      <c r="O1802" s="26" t="str">
        <f t="shared" si="86"/>
        <v/>
      </c>
      <c r="P1802" s="10"/>
    </row>
    <row r="1803" ht="18" customHeight="1" spans="1:16">
      <c r="A1803" s="32" t="str">
        <f t="shared" si="87"/>
        <v/>
      </c>
      <c r="B1803" s="100" t="str">
        <f>IF($E1803="","",INDEX(资金日记账!$B$4:$B$603,447))</f>
        <v/>
      </c>
      <c r="C1803" s="26" t="str">
        <f>IF($E1803="","",IF(INDEX(资金日记账!$W$4:$W$603,447)="","记-"&amp;TEXT($B1803,"YYYYMM")&amp;"-资金",INDEX(资金日记账!$W$4:$W$603,447)))</f>
        <v/>
      </c>
      <c r="D1803" s="32" t="str">
        <f>IF($E1803="","",INDEX(资金日记账!$D$4:$D$603,447))</f>
        <v/>
      </c>
      <c r="E1803" s="26" t="str">
        <f>IF(INDEX(资金日记账!$N$4:$S$603,447,4)=0,"",INDEX(资金日记账!$N$4:$S$603,447,4))</f>
        <v/>
      </c>
      <c r="F1803" s="25" t="str">
        <f>IF($E1803="","",IFERROR(INDEX(科目表!$A$4:$A$81,MATCH($E1803,科目表!$B$4:$B$81,0)),""))</f>
        <v/>
      </c>
      <c r="G1803" s="26" t="str">
        <f>IF($E1803="","",IFERROR(INDEX(科目表!$E$4:$E$81,MATCH($E1803,科目表!$B$4:$B$81,0)),""))</f>
        <v/>
      </c>
      <c r="H1803" s="27" t="str">
        <f>IF($E1803="","",N(INDEX(资金日记账!$N$4:$S$603,447,5)))</f>
        <v/>
      </c>
      <c r="I1803" s="27" t="str">
        <f>IF($E1803="","",N(INDEX(资金日记账!$N$4:$S$603,447,6)))</f>
        <v/>
      </c>
      <c r="J1803" s="26" t="str">
        <f>IF($E1803="","",INDEX(资金日记账!$E$4:$E$603,447))</f>
        <v/>
      </c>
      <c r="K1803" s="26" t="str">
        <f>IF($E1803="","",INDEX(资金日记账!$F$4:$F$603,447))</f>
        <v/>
      </c>
      <c r="L1803" s="32" t="str">
        <f>IF($E1803="","",INDEX(资金日记账!$X$4:$X$603,447))</f>
        <v/>
      </c>
      <c r="M1803" s="32"/>
      <c r="N1803" s="26" t="str">
        <f>IF($E1803="","",INDEX(资金日记账!$Y$4:$Y$603,447))</f>
        <v/>
      </c>
      <c r="O1803" s="26" t="str">
        <f t="shared" si="86"/>
        <v/>
      </c>
      <c r="P1803" s="10"/>
    </row>
    <row r="1804" ht="18" customHeight="1" spans="1:16">
      <c r="A1804" s="32" t="str">
        <f t="shared" si="87"/>
        <v/>
      </c>
      <c r="B1804" s="100" t="str">
        <f>IF($E1804="","",INDEX(资金日记账!$B$4:$B$603,448))</f>
        <v/>
      </c>
      <c r="C1804" s="26" t="str">
        <f>IF($E1804="","",IF(INDEX(资金日记账!$W$4:$W$603,448)="","记-"&amp;TEXT($B1804,"YYYYMM")&amp;"-资金",INDEX(资金日记账!$W$4:$W$603,448)))</f>
        <v/>
      </c>
      <c r="D1804" s="32" t="str">
        <f>IF($E1804="","",INDEX(资金日记账!$D$4:$D$603,448))</f>
        <v/>
      </c>
      <c r="E1804" s="26" t="str">
        <f>IF(INDEX(资金日记账!$N$4:$S$603,448,1)=0,"",INDEX(资金日记账!$N$4:$S$603,448,1))</f>
        <v/>
      </c>
      <c r="F1804" s="25" t="str">
        <f>IF($E1804="","",IFERROR(INDEX(科目表!$A$4:$A$81,MATCH($E1804,科目表!$B$4:$B$81,0)),""))</f>
        <v/>
      </c>
      <c r="G1804" s="26" t="str">
        <f>IF($E1804="","",IFERROR(INDEX(科目表!$E$4:$E$81,MATCH($E1804,科目表!$B$4:$B$81,0)),""))</f>
        <v/>
      </c>
      <c r="H1804" s="27" t="str">
        <f>IF($E1804="","",N(INDEX(资金日记账!$N$4:$S$603,448,2)))</f>
        <v/>
      </c>
      <c r="I1804" s="27" t="str">
        <f>IF($E1804="","",N(INDEX(资金日记账!$N$4:$S$603,448,3)))</f>
        <v/>
      </c>
      <c r="J1804" s="26" t="str">
        <f>IF($E1804="","",INDEX(资金日记账!$E$4:$E$603,448))</f>
        <v/>
      </c>
      <c r="K1804" s="26" t="str">
        <f>IF($E1804="","",INDEX(资金日记账!$F$4:$F$603,448))</f>
        <v/>
      </c>
      <c r="L1804" s="32" t="str">
        <f>IF($E1804="","",INDEX(资金日记账!$X$4:$X$603,448))</f>
        <v/>
      </c>
      <c r="M1804" s="32"/>
      <c r="N1804" s="26" t="str">
        <f>IF($E1804="","",INDEX(资金日记账!$Y$4:$Y$603,448))</f>
        <v/>
      </c>
      <c r="O1804" s="26" t="str">
        <f t="shared" si="86"/>
        <v/>
      </c>
      <c r="P1804" s="10"/>
    </row>
    <row r="1805" ht="18" customHeight="1" spans="1:16">
      <c r="A1805" s="32" t="str">
        <f t="shared" si="87"/>
        <v/>
      </c>
      <c r="B1805" s="100" t="str">
        <f>IF($E1805="","",INDEX(资金日记账!$B$4:$B$603,448))</f>
        <v/>
      </c>
      <c r="C1805" s="26" t="str">
        <f>IF($E1805="","",IF(INDEX(资金日记账!$W$4:$W$603,448)="","记-"&amp;TEXT($B1805,"YYYYMM")&amp;"-资金",INDEX(资金日记账!$W$4:$W$603,448)))</f>
        <v/>
      </c>
      <c r="D1805" s="32" t="str">
        <f>IF($E1805="","",INDEX(资金日记账!$D$4:$D$603,448))</f>
        <v/>
      </c>
      <c r="E1805" s="26" t="str">
        <f>IF(INDEX(资金日记账!$N$4:$S$603,448,4)=0,"",INDEX(资金日记账!$N$4:$S$603,448,4))</f>
        <v/>
      </c>
      <c r="F1805" s="25" t="str">
        <f>IF($E1805="","",IFERROR(INDEX(科目表!$A$4:$A$81,MATCH($E1805,科目表!$B$4:$B$81,0)),""))</f>
        <v/>
      </c>
      <c r="G1805" s="26" t="str">
        <f>IF($E1805="","",IFERROR(INDEX(科目表!$E$4:$E$81,MATCH($E1805,科目表!$B$4:$B$81,0)),""))</f>
        <v/>
      </c>
      <c r="H1805" s="27" t="str">
        <f>IF($E1805="","",N(INDEX(资金日记账!$N$4:$S$603,448,5)))</f>
        <v/>
      </c>
      <c r="I1805" s="27" t="str">
        <f>IF($E1805="","",N(INDEX(资金日记账!$N$4:$S$603,448,6)))</f>
        <v/>
      </c>
      <c r="J1805" s="26" t="str">
        <f>IF($E1805="","",INDEX(资金日记账!$E$4:$E$603,448))</f>
        <v/>
      </c>
      <c r="K1805" s="26" t="str">
        <f>IF($E1805="","",INDEX(资金日记账!$F$4:$F$603,448))</f>
        <v/>
      </c>
      <c r="L1805" s="32" t="str">
        <f>IF($E1805="","",INDEX(资金日记账!$X$4:$X$603,448))</f>
        <v/>
      </c>
      <c r="M1805" s="32"/>
      <c r="N1805" s="26" t="str">
        <f>IF($E1805="","",INDEX(资金日记账!$Y$4:$Y$603,448))</f>
        <v/>
      </c>
      <c r="O1805" s="26" t="str">
        <f t="shared" si="86"/>
        <v/>
      </c>
      <c r="P1805" s="10"/>
    </row>
    <row r="1806" ht="18" customHeight="1" spans="1:16">
      <c r="A1806" s="32" t="str">
        <f t="shared" si="87"/>
        <v/>
      </c>
      <c r="B1806" s="100" t="str">
        <f>IF($E1806="","",INDEX(资金日记账!$B$4:$B$603,449))</f>
        <v/>
      </c>
      <c r="C1806" s="26" t="str">
        <f>IF($E1806="","",IF(INDEX(资金日记账!$W$4:$W$603,449)="","记-"&amp;TEXT($B1806,"YYYYMM")&amp;"-资金",INDEX(资金日记账!$W$4:$W$603,449)))</f>
        <v/>
      </c>
      <c r="D1806" s="32" t="str">
        <f>IF($E1806="","",INDEX(资金日记账!$D$4:$D$603,449))</f>
        <v/>
      </c>
      <c r="E1806" s="26" t="str">
        <f>IF(INDEX(资金日记账!$N$4:$S$603,449,1)=0,"",INDEX(资金日记账!$N$4:$S$603,449,1))</f>
        <v/>
      </c>
      <c r="F1806" s="25" t="str">
        <f>IF($E1806="","",IFERROR(INDEX(科目表!$A$4:$A$81,MATCH($E1806,科目表!$B$4:$B$81,0)),""))</f>
        <v/>
      </c>
      <c r="G1806" s="26" t="str">
        <f>IF($E1806="","",IFERROR(INDEX(科目表!$E$4:$E$81,MATCH($E1806,科目表!$B$4:$B$81,0)),""))</f>
        <v/>
      </c>
      <c r="H1806" s="27" t="str">
        <f>IF($E1806="","",N(INDEX(资金日记账!$N$4:$S$603,449,2)))</f>
        <v/>
      </c>
      <c r="I1806" s="27" t="str">
        <f>IF($E1806="","",N(INDEX(资金日记账!$N$4:$S$603,449,3)))</f>
        <v/>
      </c>
      <c r="J1806" s="26" t="str">
        <f>IF($E1806="","",INDEX(资金日记账!$E$4:$E$603,449))</f>
        <v/>
      </c>
      <c r="K1806" s="26" t="str">
        <f>IF($E1806="","",INDEX(资金日记账!$F$4:$F$603,449))</f>
        <v/>
      </c>
      <c r="L1806" s="32" t="str">
        <f>IF($E1806="","",INDEX(资金日记账!$X$4:$X$603,449))</f>
        <v/>
      </c>
      <c r="M1806" s="32"/>
      <c r="N1806" s="26" t="str">
        <f>IF($E1806="","",INDEX(资金日记账!$Y$4:$Y$603,449))</f>
        <v/>
      </c>
      <c r="O1806" s="26" t="str">
        <f t="shared" ref="O1806:O1869" si="88">IF($E1806="","","自动B")</f>
        <v/>
      </c>
      <c r="P1806" s="10"/>
    </row>
    <row r="1807" ht="18" customHeight="1" spans="1:16">
      <c r="A1807" s="32" t="str">
        <f t="shared" si="87"/>
        <v/>
      </c>
      <c r="B1807" s="100" t="str">
        <f>IF($E1807="","",INDEX(资金日记账!$B$4:$B$603,449))</f>
        <v/>
      </c>
      <c r="C1807" s="26" t="str">
        <f>IF($E1807="","",IF(INDEX(资金日记账!$W$4:$W$603,449)="","记-"&amp;TEXT($B1807,"YYYYMM")&amp;"-资金",INDEX(资金日记账!$W$4:$W$603,449)))</f>
        <v/>
      </c>
      <c r="D1807" s="32" t="str">
        <f>IF($E1807="","",INDEX(资金日记账!$D$4:$D$603,449))</f>
        <v/>
      </c>
      <c r="E1807" s="26" t="str">
        <f>IF(INDEX(资金日记账!$N$4:$S$603,449,4)=0,"",INDEX(资金日记账!$N$4:$S$603,449,4))</f>
        <v/>
      </c>
      <c r="F1807" s="25" t="str">
        <f>IF($E1807="","",IFERROR(INDEX(科目表!$A$4:$A$81,MATCH($E1807,科目表!$B$4:$B$81,0)),""))</f>
        <v/>
      </c>
      <c r="G1807" s="26" t="str">
        <f>IF($E1807="","",IFERROR(INDEX(科目表!$E$4:$E$81,MATCH($E1807,科目表!$B$4:$B$81,0)),""))</f>
        <v/>
      </c>
      <c r="H1807" s="27" t="str">
        <f>IF($E1807="","",N(INDEX(资金日记账!$N$4:$S$603,449,5)))</f>
        <v/>
      </c>
      <c r="I1807" s="27" t="str">
        <f>IF($E1807="","",N(INDEX(资金日记账!$N$4:$S$603,449,6)))</f>
        <v/>
      </c>
      <c r="J1807" s="26" t="str">
        <f>IF($E1807="","",INDEX(资金日记账!$E$4:$E$603,449))</f>
        <v/>
      </c>
      <c r="K1807" s="26" t="str">
        <f>IF($E1807="","",INDEX(资金日记账!$F$4:$F$603,449))</f>
        <v/>
      </c>
      <c r="L1807" s="32" t="str">
        <f>IF($E1807="","",INDEX(资金日记账!$X$4:$X$603,449))</f>
        <v/>
      </c>
      <c r="M1807" s="32"/>
      <c r="N1807" s="26" t="str">
        <f>IF($E1807="","",INDEX(资金日记账!$Y$4:$Y$603,449))</f>
        <v/>
      </c>
      <c r="O1807" s="26" t="str">
        <f t="shared" si="88"/>
        <v/>
      </c>
      <c r="P1807" s="10"/>
    </row>
    <row r="1808" ht="18" customHeight="1" spans="1:16">
      <c r="A1808" s="32" t="str">
        <f t="shared" si="87"/>
        <v/>
      </c>
      <c r="B1808" s="100" t="str">
        <f>IF($E1808="","",INDEX(资金日记账!$B$4:$B$603,450))</f>
        <v/>
      </c>
      <c r="C1808" s="26" t="str">
        <f>IF($E1808="","",IF(INDEX(资金日记账!$W$4:$W$603,450)="","记-"&amp;TEXT($B1808,"YYYYMM")&amp;"-资金",INDEX(资金日记账!$W$4:$W$603,450)))</f>
        <v/>
      </c>
      <c r="D1808" s="32" t="str">
        <f>IF($E1808="","",INDEX(资金日记账!$D$4:$D$603,450))</f>
        <v/>
      </c>
      <c r="E1808" s="26" t="str">
        <f>IF(INDEX(资金日记账!$N$4:$S$603,450,1)=0,"",INDEX(资金日记账!$N$4:$S$603,450,1))</f>
        <v/>
      </c>
      <c r="F1808" s="25" t="str">
        <f>IF($E1808="","",IFERROR(INDEX(科目表!$A$4:$A$81,MATCH($E1808,科目表!$B$4:$B$81,0)),""))</f>
        <v/>
      </c>
      <c r="G1808" s="26" t="str">
        <f>IF($E1808="","",IFERROR(INDEX(科目表!$E$4:$E$81,MATCH($E1808,科目表!$B$4:$B$81,0)),""))</f>
        <v/>
      </c>
      <c r="H1808" s="27" t="str">
        <f>IF($E1808="","",N(INDEX(资金日记账!$N$4:$S$603,450,2)))</f>
        <v/>
      </c>
      <c r="I1808" s="27" t="str">
        <f>IF($E1808="","",N(INDEX(资金日记账!$N$4:$S$603,450,3)))</f>
        <v/>
      </c>
      <c r="J1808" s="26" t="str">
        <f>IF($E1808="","",INDEX(资金日记账!$E$4:$E$603,450))</f>
        <v/>
      </c>
      <c r="K1808" s="26" t="str">
        <f>IF($E1808="","",INDEX(资金日记账!$F$4:$F$603,450))</f>
        <v/>
      </c>
      <c r="L1808" s="32" t="str">
        <f>IF($E1808="","",INDEX(资金日记账!$X$4:$X$603,450))</f>
        <v/>
      </c>
      <c r="M1808" s="32"/>
      <c r="N1808" s="26" t="str">
        <f>IF($E1808="","",INDEX(资金日记账!$Y$4:$Y$603,450))</f>
        <v/>
      </c>
      <c r="O1808" s="26" t="str">
        <f t="shared" si="88"/>
        <v/>
      </c>
      <c r="P1808" s="10"/>
    </row>
    <row r="1809" ht="18" customHeight="1" spans="1:16">
      <c r="A1809" s="32" t="str">
        <f t="shared" si="87"/>
        <v/>
      </c>
      <c r="B1809" s="100" t="str">
        <f>IF($E1809="","",INDEX(资金日记账!$B$4:$B$603,450))</f>
        <v/>
      </c>
      <c r="C1809" s="26" t="str">
        <f>IF($E1809="","",IF(INDEX(资金日记账!$W$4:$W$603,450)="","记-"&amp;TEXT($B1809,"YYYYMM")&amp;"-资金",INDEX(资金日记账!$W$4:$W$603,450)))</f>
        <v/>
      </c>
      <c r="D1809" s="32" t="str">
        <f>IF($E1809="","",INDEX(资金日记账!$D$4:$D$603,450))</f>
        <v/>
      </c>
      <c r="E1809" s="26" t="str">
        <f>IF(INDEX(资金日记账!$N$4:$S$603,450,4)=0,"",INDEX(资金日记账!$N$4:$S$603,450,4))</f>
        <v/>
      </c>
      <c r="F1809" s="25" t="str">
        <f>IF($E1809="","",IFERROR(INDEX(科目表!$A$4:$A$81,MATCH($E1809,科目表!$B$4:$B$81,0)),""))</f>
        <v/>
      </c>
      <c r="G1809" s="26" t="str">
        <f>IF($E1809="","",IFERROR(INDEX(科目表!$E$4:$E$81,MATCH($E1809,科目表!$B$4:$B$81,0)),""))</f>
        <v/>
      </c>
      <c r="H1809" s="27" t="str">
        <f>IF($E1809="","",N(INDEX(资金日记账!$N$4:$S$603,450,5)))</f>
        <v/>
      </c>
      <c r="I1809" s="27" t="str">
        <f>IF($E1809="","",N(INDEX(资金日记账!$N$4:$S$603,450,6)))</f>
        <v/>
      </c>
      <c r="J1809" s="26" t="str">
        <f>IF($E1809="","",INDEX(资金日记账!$E$4:$E$603,450))</f>
        <v/>
      </c>
      <c r="K1809" s="26" t="str">
        <f>IF($E1809="","",INDEX(资金日记账!$F$4:$F$603,450))</f>
        <v/>
      </c>
      <c r="L1809" s="32" t="str">
        <f>IF($E1809="","",INDEX(资金日记账!$X$4:$X$603,450))</f>
        <v/>
      </c>
      <c r="M1809" s="32"/>
      <c r="N1809" s="26" t="str">
        <f>IF($E1809="","",INDEX(资金日记账!$Y$4:$Y$603,450))</f>
        <v/>
      </c>
      <c r="O1809" s="26" t="str">
        <f t="shared" si="88"/>
        <v/>
      </c>
      <c r="P1809" s="10"/>
    </row>
    <row r="1810" ht="18" customHeight="1" spans="1:16">
      <c r="A1810" s="32" t="str">
        <f t="shared" si="87"/>
        <v/>
      </c>
      <c r="B1810" s="100" t="str">
        <f>IF($E1810="","",INDEX(资金日记账!$B$4:$B$603,451))</f>
        <v/>
      </c>
      <c r="C1810" s="26" t="str">
        <f>IF($E1810="","",IF(INDEX(资金日记账!$W$4:$W$603,451)="","记-"&amp;TEXT($B1810,"YYYYMM")&amp;"-资金",INDEX(资金日记账!$W$4:$W$603,451)))</f>
        <v/>
      </c>
      <c r="D1810" s="32" t="str">
        <f>IF($E1810="","",INDEX(资金日记账!$D$4:$D$603,451))</f>
        <v/>
      </c>
      <c r="E1810" s="26" t="str">
        <f>IF(INDEX(资金日记账!$N$4:$S$603,451,1)=0,"",INDEX(资金日记账!$N$4:$S$603,451,1))</f>
        <v/>
      </c>
      <c r="F1810" s="25" t="str">
        <f>IF($E1810="","",IFERROR(INDEX(科目表!$A$4:$A$81,MATCH($E1810,科目表!$B$4:$B$81,0)),""))</f>
        <v/>
      </c>
      <c r="G1810" s="26" t="str">
        <f>IF($E1810="","",IFERROR(INDEX(科目表!$E$4:$E$81,MATCH($E1810,科目表!$B$4:$B$81,0)),""))</f>
        <v/>
      </c>
      <c r="H1810" s="27" t="str">
        <f>IF($E1810="","",N(INDEX(资金日记账!$N$4:$S$603,451,2)))</f>
        <v/>
      </c>
      <c r="I1810" s="27" t="str">
        <f>IF($E1810="","",N(INDEX(资金日记账!$N$4:$S$603,451,3)))</f>
        <v/>
      </c>
      <c r="J1810" s="26" t="str">
        <f>IF($E1810="","",INDEX(资金日记账!$E$4:$E$603,451))</f>
        <v/>
      </c>
      <c r="K1810" s="26" t="str">
        <f>IF($E1810="","",INDEX(资金日记账!$F$4:$F$603,451))</f>
        <v/>
      </c>
      <c r="L1810" s="32" t="str">
        <f>IF($E1810="","",INDEX(资金日记账!$X$4:$X$603,451))</f>
        <v/>
      </c>
      <c r="M1810" s="32"/>
      <c r="N1810" s="26" t="str">
        <f>IF($E1810="","",INDEX(资金日记账!$Y$4:$Y$603,451))</f>
        <v/>
      </c>
      <c r="O1810" s="26" t="str">
        <f t="shared" si="88"/>
        <v/>
      </c>
      <c r="P1810" s="10"/>
    </row>
    <row r="1811" ht="18" customHeight="1" spans="1:16">
      <c r="A1811" s="32" t="str">
        <f t="shared" si="87"/>
        <v/>
      </c>
      <c r="B1811" s="100" t="str">
        <f>IF($E1811="","",INDEX(资金日记账!$B$4:$B$603,451))</f>
        <v/>
      </c>
      <c r="C1811" s="26" t="str">
        <f>IF($E1811="","",IF(INDEX(资金日记账!$W$4:$W$603,451)="","记-"&amp;TEXT($B1811,"YYYYMM")&amp;"-资金",INDEX(资金日记账!$W$4:$W$603,451)))</f>
        <v/>
      </c>
      <c r="D1811" s="32" t="str">
        <f>IF($E1811="","",INDEX(资金日记账!$D$4:$D$603,451))</f>
        <v/>
      </c>
      <c r="E1811" s="26" t="str">
        <f>IF(INDEX(资金日记账!$N$4:$S$603,451,4)=0,"",INDEX(资金日记账!$N$4:$S$603,451,4))</f>
        <v/>
      </c>
      <c r="F1811" s="25" t="str">
        <f>IF($E1811="","",IFERROR(INDEX(科目表!$A$4:$A$81,MATCH($E1811,科目表!$B$4:$B$81,0)),""))</f>
        <v/>
      </c>
      <c r="G1811" s="26" t="str">
        <f>IF($E1811="","",IFERROR(INDEX(科目表!$E$4:$E$81,MATCH($E1811,科目表!$B$4:$B$81,0)),""))</f>
        <v/>
      </c>
      <c r="H1811" s="27" t="str">
        <f>IF($E1811="","",N(INDEX(资金日记账!$N$4:$S$603,451,5)))</f>
        <v/>
      </c>
      <c r="I1811" s="27" t="str">
        <f>IF($E1811="","",N(INDEX(资金日记账!$N$4:$S$603,451,6)))</f>
        <v/>
      </c>
      <c r="J1811" s="26" t="str">
        <f>IF($E1811="","",INDEX(资金日记账!$E$4:$E$603,451))</f>
        <v/>
      </c>
      <c r="K1811" s="26" t="str">
        <f>IF($E1811="","",INDEX(资金日记账!$F$4:$F$603,451))</f>
        <v/>
      </c>
      <c r="L1811" s="32" t="str">
        <f>IF($E1811="","",INDEX(资金日记账!$X$4:$X$603,451))</f>
        <v/>
      </c>
      <c r="M1811" s="32"/>
      <c r="N1811" s="26" t="str">
        <f>IF($E1811="","",INDEX(资金日记账!$Y$4:$Y$603,451))</f>
        <v/>
      </c>
      <c r="O1811" s="26" t="str">
        <f t="shared" si="88"/>
        <v/>
      </c>
      <c r="P1811" s="10"/>
    </row>
    <row r="1812" ht="18" customHeight="1" spans="1:16">
      <c r="A1812" s="32" t="str">
        <f t="shared" si="87"/>
        <v/>
      </c>
      <c r="B1812" s="100" t="str">
        <f>IF($E1812="","",INDEX(资金日记账!$B$4:$B$603,452))</f>
        <v/>
      </c>
      <c r="C1812" s="26" t="str">
        <f>IF($E1812="","",IF(INDEX(资金日记账!$W$4:$W$603,452)="","记-"&amp;TEXT($B1812,"YYYYMM")&amp;"-资金",INDEX(资金日记账!$W$4:$W$603,452)))</f>
        <v/>
      </c>
      <c r="D1812" s="32" t="str">
        <f>IF($E1812="","",INDEX(资金日记账!$D$4:$D$603,452))</f>
        <v/>
      </c>
      <c r="E1812" s="26" t="str">
        <f>IF(INDEX(资金日记账!$N$4:$S$603,452,1)=0,"",INDEX(资金日记账!$N$4:$S$603,452,1))</f>
        <v/>
      </c>
      <c r="F1812" s="25" t="str">
        <f>IF($E1812="","",IFERROR(INDEX(科目表!$A$4:$A$81,MATCH($E1812,科目表!$B$4:$B$81,0)),""))</f>
        <v/>
      </c>
      <c r="G1812" s="26" t="str">
        <f>IF($E1812="","",IFERROR(INDEX(科目表!$E$4:$E$81,MATCH($E1812,科目表!$B$4:$B$81,0)),""))</f>
        <v/>
      </c>
      <c r="H1812" s="27" t="str">
        <f>IF($E1812="","",N(INDEX(资金日记账!$N$4:$S$603,452,2)))</f>
        <v/>
      </c>
      <c r="I1812" s="27" t="str">
        <f>IF($E1812="","",N(INDEX(资金日记账!$N$4:$S$603,452,3)))</f>
        <v/>
      </c>
      <c r="J1812" s="26" t="str">
        <f>IF($E1812="","",INDEX(资金日记账!$E$4:$E$603,452))</f>
        <v/>
      </c>
      <c r="K1812" s="26" t="str">
        <f>IF($E1812="","",INDEX(资金日记账!$F$4:$F$603,452))</f>
        <v/>
      </c>
      <c r="L1812" s="32" t="str">
        <f>IF($E1812="","",INDEX(资金日记账!$X$4:$X$603,452))</f>
        <v/>
      </c>
      <c r="M1812" s="32"/>
      <c r="N1812" s="26" t="str">
        <f>IF($E1812="","",INDEX(资金日记账!$Y$4:$Y$603,452))</f>
        <v/>
      </c>
      <c r="O1812" s="26" t="str">
        <f t="shared" si="88"/>
        <v/>
      </c>
      <c r="P1812" s="10"/>
    </row>
    <row r="1813" ht="18" customHeight="1" spans="1:16">
      <c r="A1813" s="32" t="str">
        <f t="shared" si="87"/>
        <v/>
      </c>
      <c r="B1813" s="100" t="str">
        <f>IF($E1813="","",INDEX(资金日记账!$B$4:$B$603,452))</f>
        <v/>
      </c>
      <c r="C1813" s="26" t="str">
        <f>IF($E1813="","",IF(INDEX(资金日记账!$W$4:$W$603,452)="","记-"&amp;TEXT($B1813,"YYYYMM")&amp;"-资金",INDEX(资金日记账!$W$4:$W$603,452)))</f>
        <v/>
      </c>
      <c r="D1813" s="32" t="str">
        <f>IF($E1813="","",INDEX(资金日记账!$D$4:$D$603,452))</f>
        <v/>
      </c>
      <c r="E1813" s="26" t="str">
        <f>IF(INDEX(资金日记账!$N$4:$S$603,452,4)=0,"",INDEX(资金日记账!$N$4:$S$603,452,4))</f>
        <v/>
      </c>
      <c r="F1813" s="25" t="str">
        <f>IF($E1813="","",IFERROR(INDEX(科目表!$A$4:$A$81,MATCH($E1813,科目表!$B$4:$B$81,0)),""))</f>
        <v/>
      </c>
      <c r="G1813" s="26" t="str">
        <f>IF($E1813="","",IFERROR(INDEX(科目表!$E$4:$E$81,MATCH($E1813,科目表!$B$4:$B$81,0)),""))</f>
        <v/>
      </c>
      <c r="H1813" s="27" t="str">
        <f>IF($E1813="","",N(INDEX(资金日记账!$N$4:$S$603,452,5)))</f>
        <v/>
      </c>
      <c r="I1813" s="27" t="str">
        <f>IF($E1813="","",N(INDEX(资金日记账!$N$4:$S$603,452,6)))</f>
        <v/>
      </c>
      <c r="J1813" s="26" t="str">
        <f>IF($E1813="","",INDEX(资金日记账!$E$4:$E$603,452))</f>
        <v/>
      </c>
      <c r="K1813" s="26" t="str">
        <f>IF($E1813="","",INDEX(资金日记账!$F$4:$F$603,452))</f>
        <v/>
      </c>
      <c r="L1813" s="32" t="str">
        <f>IF($E1813="","",INDEX(资金日记账!$X$4:$X$603,452))</f>
        <v/>
      </c>
      <c r="M1813" s="32"/>
      <c r="N1813" s="26" t="str">
        <f>IF($E1813="","",INDEX(资金日记账!$Y$4:$Y$603,452))</f>
        <v/>
      </c>
      <c r="O1813" s="26" t="str">
        <f t="shared" si="88"/>
        <v/>
      </c>
      <c r="P1813" s="10"/>
    </row>
    <row r="1814" ht="18" customHeight="1" spans="1:16">
      <c r="A1814" s="32" t="str">
        <f t="shared" si="87"/>
        <v/>
      </c>
      <c r="B1814" s="100" t="str">
        <f>IF($E1814="","",INDEX(资金日记账!$B$4:$B$603,453))</f>
        <v/>
      </c>
      <c r="C1814" s="26" t="str">
        <f>IF($E1814="","",IF(INDEX(资金日记账!$W$4:$W$603,453)="","记-"&amp;TEXT($B1814,"YYYYMM")&amp;"-资金",INDEX(资金日记账!$W$4:$W$603,453)))</f>
        <v/>
      </c>
      <c r="D1814" s="32" t="str">
        <f>IF($E1814="","",INDEX(资金日记账!$D$4:$D$603,453))</f>
        <v/>
      </c>
      <c r="E1814" s="26" t="str">
        <f>IF(INDEX(资金日记账!$N$4:$S$603,453,1)=0,"",INDEX(资金日记账!$N$4:$S$603,453,1))</f>
        <v/>
      </c>
      <c r="F1814" s="25" t="str">
        <f>IF($E1814="","",IFERROR(INDEX(科目表!$A$4:$A$81,MATCH($E1814,科目表!$B$4:$B$81,0)),""))</f>
        <v/>
      </c>
      <c r="G1814" s="26" t="str">
        <f>IF($E1814="","",IFERROR(INDEX(科目表!$E$4:$E$81,MATCH($E1814,科目表!$B$4:$B$81,0)),""))</f>
        <v/>
      </c>
      <c r="H1814" s="27" t="str">
        <f>IF($E1814="","",N(INDEX(资金日记账!$N$4:$S$603,453,2)))</f>
        <v/>
      </c>
      <c r="I1814" s="27" t="str">
        <f>IF($E1814="","",N(INDEX(资金日记账!$N$4:$S$603,453,3)))</f>
        <v/>
      </c>
      <c r="J1814" s="26" t="str">
        <f>IF($E1814="","",INDEX(资金日记账!$E$4:$E$603,453))</f>
        <v/>
      </c>
      <c r="K1814" s="26" t="str">
        <f>IF($E1814="","",INDEX(资金日记账!$F$4:$F$603,453))</f>
        <v/>
      </c>
      <c r="L1814" s="32" t="str">
        <f>IF($E1814="","",INDEX(资金日记账!$X$4:$X$603,453))</f>
        <v/>
      </c>
      <c r="M1814" s="32"/>
      <c r="N1814" s="26" t="str">
        <f>IF($E1814="","",INDEX(资金日记账!$Y$4:$Y$603,453))</f>
        <v/>
      </c>
      <c r="O1814" s="26" t="str">
        <f t="shared" si="88"/>
        <v/>
      </c>
      <c r="P1814" s="10"/>
    </row>
    <row r="1815" ht="18" customHeight="1" spans="1:16">
      <c r="A1815" s="32" t="str">
        <f t="shared" si="87"/>
        <v/>
      </c>
      <c r="B1815" s="100" t="str">
        <f>IF($E1815="","",INDEX(资金日记账!$B$4:$B$603,453))</f>
        <v/>
      </c>
      <c r="C1815" s="26" t="str">
        <f>IF($E1815="","",IF(INDEX(资金日记账!$W$4:$W$603,453)="","记-"&amp;TEXT($B1815,"YYYYMM")&amp;"-资金",INDEX(资金日记账!$W$4:$W$603,453)))</f>
        <v/>
      </c>
      <c r="D1815" s="32" t="str">
        <f>IF($E1815="","",INDEX(资金日记账!$D$4:$D$603,453))</f>
        <v/>
      </c>
      <c r="E1815" s="26" t="str">
        <f>IF(INDEX(资金日记账!$N$4:$S$603,453,4)=0,"",INDEX(资金日记账!$N$4:$S$603,453,4))</f>
        <v/>
      </c>
      <c r="F1815" s="25" t="str">
        <f>IF($E1815="","",IFERROR(INDEX(科目表!$A$4:$A$81,MATCH($E1815,科目表!$B$4:$B$81,0)),""))</f>
        <v/>
      </c>
      <c r="G1815" s="26" t="str">
        <f>IF($E1815="","",IFERROR(INDEX(科目表!$E$4:$E$81,MATCH($E1815,科目表!$B$4:$B$81,0)),""))</f>
        <v/>
      </c>
      <c r="H1815" s="27" t="str">
        <f>IF($E1815="","",N(INDEX(资金日记账!$N$4:$S$603,453,5)))</f>
        <v/>
      </c>
      <c r="I1815" s="27" t="str">
        <f>IF($E1815="","",N(INDEX(资金日记账!$N$4:$S$603,453,6)))</f>
        <v/>
      </c>
      <c r="J1815" s="26" t="str">
        <f>IF($E1815="","",INDEX(资金日记账!$E$4:$E$603,453))</f>
        <v/>
      </c>
      <c r="K1815" s="26" t="str">
        <f>IF($E1815="","",INDEX(资金日记账!$F$4:$F$603,453))</f>
        <v/>
      </c>
      <c r="L1815" s="32" t="str">
        <f>IF($E1815="","",INDEX(资金日记账!$X$4:$X$603,453))</f>
        <v/>
      </c>
      <c r="M1815" s="32"/>
      <c r="N1815" s="26" t="str">
        <f>IF($E1815="","",INDEX(资金日记账!$Y$4:$Y$603,453))</f>
        <v/>
      </c>
      <c r="O1815" s="26" t="str">
        <f t="shared" si="88"/>
        <v/>
      </c>
      <c r="P1815" s="10"/>
    </row>
    <row r="1816" ht="18" customHeight="1" spans="1:16">
      <c r="A1816" s="32" t="str">
        <f t="shared" si="87"/>
        <v/>
      </c>
      <c r="B1816" s="100" t="str">
        <f>IF($E1816="","",INDEX(资金日记账!$B$4:$B$603,454))</f>
        <v/>
      </c>
      <c r="C1816" s="26" t="str">
        <f>IF($E1816="","",IF(INDEX(资金日记账!$W$4:$W$603,454)="","记-"&amp;TEXT($B1816,"YYYYMM")&amp;"-资金",INDEX(资金日记账!$W$4:$W$603,454)))</f>
        <v/>
      </c>
      <c r="D1816" s="32" t="str">
        <f>IF($E1816="","",INDEX(资金日记账!$D$4:$D$603,454))</f>
        <v/>
      </c>
      <c r="E1816" s="26" t="str">
        <f>IF(INDEX(资金日记账!$N$4:$S$603,454,1)=0,"",INDEX(资金日记账!$N$4:$S$603,454,1))</f>
        <v/>
      </c>
      <c r="F1816" s="25" t="str">
        <f>IF($E1816="","",IFERROR(INDEX(科目表!$A$4:$A$81,MATCH($E1816,科目表!$B$4:$B$81,0)),""))</f>
        <v/>
      </c>
      <c r="G1816" s="26" t="str">
        <f>IF($E1816="","",IFERROR(INDEX(科目表!$E$4:$E$81,MATCH($E1816,科目表!$B$4:$B$81,0)),""))</f>
        <v/>
      </c>
      <c r="H1816" s="27" t="str">
        <f>IF($E1816="","",N(INDEX(资金日记账!$N$4:$S$603,454,2)))</f>
        <v/>
      </c>
      <c r="I1816" s="27" t="str">
        <f>IF($E1816="","",N(INDEX(资金日记账!$N$4:$S$603,454,3)))</f>
        <v/>
      </c>
      <c r="J1816" s="26" t="str">
        <f>IF($E1816="","",INDEX(资金日记账!$E$4:$E$603,454))</f>
        <v/>
      </c>
      <c r="K1816" s="26" t="str">
        <f>IF($E1816="","",INDEX(资金日记账!$F$4:$F$603,454))</f>
        <v/>
      </c>
      <c r="L1816" s="32" t="str">
        <f>IF($E1816="","",INDEX(资金日记账!$X$4:$X$603,454))</f>
        <v/>
      </c>
      <c r="M1816" s="32"/>
      <c r="N1816" s="26" t="str">
        <f>IF($E1816="","",INDEX(资金日记账!$Y$4:$Y$603,454))</f>
        <v/>
      </c>
      <c r="O1816" s="26" t="str">
        <f t="shared" si="88"/>
        <v/>
      </c>
      <c r="P1816" s="10"/>
    </row>
    <row r="1817" ht="18" customHeight="1" spans="1:16">
      <c r="A1817" s="32" t="str">
        <f t="shared" si="87"/>
        <v/>
      </c>
      <c r="B1817" s="100" t="str">
        <f>IF($E1817="","",INDEX(资金日记账!$B$4:$B$603,454))</f>
        <v/>
      </c>
      <c r="C1817" s="26" t="str">
        <f>IF($E1817="","",IF(INDEX(资金日记账!$W$4:$W$603,454)="","记-"&amp;TEXT($B1817,"YYYYMM")&amp;"-资金",INDEX(资金日记账!$W$4:$W$603,454)))</f>
        <v/>
      </c>
      <c r="D1817" s="32" t="str">
        <f>IF($E1817="","",INDEX(资金日记账!$D$4:$D$603,454))</f>
        <v/>
      </c>
      <c r="E1817" s="26" t="str">
        <f>IF(INDEX(资金日记账!$N$4:$S$603,454,4)=0,"",INDEX(资金日记账!$N$4:$S$603,454,4))</f>
        <v/>
      </c>
      <c r="F1817" s="25" t="str">
        <f>IF($E1817="","",IFERROR(INDEX(科目表!$A$4:$A$81,MATCH($E1817,科目表!$B$4:$B$81,0)),""))</f>
        <v/>
      </c>
      <c r="G1817" s="26" t="str">
        <f>IF($E1817="","",IFERROR(INDEX(科目表!$E$4:$E$81,MATCH($E1817,科目表!$B$4:$B$81,0)),""))</f>
        <v/>
      </c>
      <c r="H1817" s="27" t="str">
        <f>IF($E1817="","",N(INDEX(资金日记账!$N$4:$S$603,454,5)))</f>
        <v/>
      </c>
      <c r="I1817" s="27" t="str">
        <f>IF($E1817="","",N(INDEX(资金日记账!$N$4:$S$603,454,6)))</f>
        <v/>
      </c>
      <c r="J1817" s="26" t="str">
        <f>IF($E1817="","",INDEX(资金日记账!$E$4:$E$603,454))</f>
        <v/>
      </c>
      <c r="K1817" s="26" t="str">
        <f>IF($E1817="","",INDEX(资金日记账!$F$4:$F$603,454))</f>
        <v/>
      </c>
      <c r="L1817" s="32" t="str">
        <f>IF($E1817="","",INDEX(资金日记账!$X$4:$X$603,454))</f>
        <v/>
      </c>
      <c r="M1817" s="32"/>
      <c r="N1817" s="26" t="str">
        <f>IF($E1817="","",INDEX(资金日记账!$Y$4:$Y$603,454))</f>
        <v/>
      </c>
      <c r="O1817" s="26" t="str">
        <f t="shared" si="88"/>
        <v/>
      </c>
      <c r="P1817" s="10"/>
    </row>
    <row r="1818" ht="18" customHeight="1" spans="1:16">
      <c r="A1818" s="32" t="str">
        <f t="shared" si="87"/>
        <v/>
      </c>
      <c r="B1818" s="100" t="str">
        <f>IF($E1818="","",INDEX(资金日记账!$B$4:$B$603,455))</f>
        <v/>
      </c>
      <c r="C1818" s="26" t="str">
        <f>IF($E1818="","",IF(INDEX(资金日记账!$W$4:$W$603,455)="","记-"&amp;TEXT($B1818,"YYYYMM")&amp;"-资金",INDEX(资金日记账!$W$4:$W$603,455)))</f>
        <v/>
      </c>
      <c r="D1818" s="32" t="str">
        <f>IF($E1818="","",INDEX(资金日记账!$D$4:$D$603,455))</f>
        <v/>
      </c>
      <c r="E1818" s="26" t="str">
        <f>IF(INDEX(资金日记账!$N$4:$S$603,455,1)=0,"",INDEX(资金日记账!$N$4:$S$603,455,1))</f>
        <v/>
      </c>
      <c r="F1818" s="25" t="str">
        <f>IF($E1818="","",IFERROR(INDEX(科目表!$A$4:$A$81,MATCH($E1818,科目表!$B$4:$B$81,0)),""))</f>
        <v/>
      </c>
      <c r="G1818" s="26" t="str">
        <f>IF($E1818="","",IFERROR(INDEX(科目表!$E$4:$E$81,MATCH($E1818,科目表!$B$4:$B$81,0)),""))</f>
        <v/>
      </c>
      <c r="H1818" s="27" t="str">
        <f>IF($E1818="","",N(INDEX(资金日记账!$N$4:$S$603,455,2)))</f>
        <v/>
      </c>
      <c r="I1818" s="27" t="str">
        <f>IF($E1818="","",N(INDEX(资金日记账!$N$4:$S$603,455,3)))</f>
        <v/>
      </c>
      <c r="J1818" s="26" t="str">
        <f>IF($E1818="","",INDEX(资金日记账!$E$4:$E$603,455))</f>
        <v/>
      </c>
      <c r="K1818" s="26" t="str">
        <f>IF($E1818="","",INDEX(资金日记账!$F$4:$F$603,455))</f>
        <v/>
      </c>
      <c r="L1818" s="32" t="str">
        <f>IF($E1818="","",INDEX(资金日记账!$X$4:$X$603,455))</f>
        <v/>
      </c>
      <c r="M1818" s="32"/>
      <c r="N1818" s="26" t="str">
        <f>IF($E1818="","",INDEX(资金日记账!$Y$4:$Y$603,455))</f>
        <v/>
      </c>
      <c r="O1818" s="26" t="str">
        <f t="shared" si="88"/>
        <v/>
      </c>
      <c r="P1818" s="10"/>
    </row>
    <row r="1819" ht="18" customHeight="1" spans="1:16">
      <c r="A1819" s="32" t="str">
        <f t="shared" si="87"/>
        <v/>
      </c>
      <c r="B1819" s="100" t="str">
        <f>IF($E1819="","",INDEX(资金日记账!$B$4:$B$603,455))</f>
        <v/>
      </c>
      <c r="C1819" s="26" t="str">
        <f>IF($E1819="","",IF(INDEX(资金日记账!$W$4:$W$603,455)="","记-"&amp;TEXT($B1819,"YYYYMM")&amp;"-资金",INDEX(资金日记账!$W$4:$W$603,455)))</f>
        <v/>
      </c>
      <c r="D1819" s="32" t="str">
        <f>IF($E1819="","",INDEX(资金日记账!$D$4:$D$603,455))</f>
        <v/>
      </c>
      <c r="E1819" s="26" t="str">
        <f>IF(INDEX(资金日记账!$N$4:$S$603,455,4)=0,"",INDEX(资金日记账!$N$4:$S$603,455,4))</f>
        <v/>
      </c>
      <c r="F1819" s="25" t="str">
        <f>IF($E1819="","",IFERROR(INDEX(科目表!$A$4:$A$81,MATCH($E1819,科目表!$B$4:$B$81,0)),""))</f>
        <v/>
      </c>
      <c r="G1819" s="26" t="str">
        <f>IF($E1819="","",IFERROR(INDEX(科目表!$E$4:$E$81,MATCH($E1819,科目表!$B$4:$B$81,0)),""))</f>
        <v/>
      </c>
      <c r="H1819" s="27" t="str">
        <f>IF($E1819="","",N(INDEX(资金日记账!$N$4:$S$603,455,5)))</f>
        <v/>
      </c>
      <c r="I1819" s="27" t="str">
        <f>IF($E1819="","",N(INDEX(资金日记账!$N$4:$S$603,455,6)))</f>
        <v/>
      </c>
      <c r="J1819" s="26" t="str">
        <f>IF($E1819="","",INDEX(资金日记账!$E$4:$E$603,455))</f>
        <v/>
      </c>
      <c r="K1819" s="26" t="str">
        <f>IF($E1819="","",INDEX(资金日记账!$F$4:$F$603,455))</f>
        <v/>
      </c>
      <c r="L1819" s="32" t="str">
        <f>IF($E1819="","",INDEX(资金日记账!$X$4:$X$603,455))</f>
        <v/>
      </c>
      <c r="M1819" s="32"/>
      <c r="N1819" s="26" t="str">
        <f>IF($E1819="","",INDEX(资金日记账!$Y$4:$Y$603,455))</f>
        <v/>
      </c>
      <c r="O1819" s="26" t="str">
        <f t="shared" si="88"/>
        <v/>
      </c>
      <c r="P1819" s="10"/>
    </row>
    <row r="1820" ht="18" customHeight="1" spans="1:16">
      <c r="A1820" s="32" t="str">
        <f t="shared" si="87"/>
        <v/>
      </c>
      <c r="B1820" s="100" t="str">
        <f>IF($E1820="","",INDEX(资金日记账!$B$4:$B$603,456))</f>
        <v/>
      </c>
      <c r="C1820" s="26" t="str">
        <f>IF($E1820="","",IF(INDEX(资金日记账!$W$4:$W$603,456)="","记-"&amp;TEXT($B1820,"YYYYMM")&amp;"-资金",INDEX(资金日记账!$W$4:$W$603,456)))</f>
        <v/>
      </c>
      <c r="D1820" s="32" t="str">
        <f>IF($E1820="","",INDEX(资金日记账!$D$4:$D$603,456))</f>
        <v/>
      </c>
      <c r="E1820" s="26" t="str">
        <f>IF(INDEX(资金日记账!$N$4:$S$603,456,1)=0,"",INDEX(资金日记账!$N$4:$S$603,456,1))</f>
        <v/>
      </c>
      <c r="F1820" s="25" t="str">
        <f>IF($E1820="","",IFERROR(INDEX(科目表!$A$4:$A$81,MATCH($E1820,科目表!$B$4:$B$81,0)),""))</f>
        <v/>
      </c>
      <c r="G1820" s="26" t="str">
        <f>IF($E1820="","",IFERROR(INDEX(科目表!$E$4:$E$81,MATCH($E1820,科目表!$B$4:$B$81,0)),""))</f>
        <v/>
      </c>
      <c r="H1820" s="27" t="str">
        <f>IF($E1820="","",N(INDEX(资金日记账!$N$4:$S$603,456,2)))</f>
        <v/>
      </c>
      <c r="I1820" s="27" t="str">
        <f>IF($E1820="","",N(INDEX(资金日记账!$N$4:$S$603,456,3)))</f>
        <v/>
      </c>
      <c r="J1820" s="26" t="str">
        <f>IF($E1820="","",INDEX(资金日记账!$E$4:$E$603,456))</f>
        <v/>
      </c>
      <c r="K1820" s="26" t="str">
        <f>IF($E1820="","",INDEX(资金日记账!$F$4:$F$603,456))</f>
        <v/>
      </c>
      <c r="L1820" s="32" t="str">
        <f>IF($E1820="","",INDEX(资金日记账!$X$4:$X$603,456))</f>
        <v/>
      </c>
      <c r="M1820" s="32"/>
      <c r="N1820" s="26" t="str">
        <f>IF($E1820="","",INDEX(资金日记账!$Y$4:$Y$603,456))</f>
        <v/>
      </c>
      <c r="O1820" s="26" t="str">
        <f t="shared" si="88"/>
        <v/>
      </c>
      <c r="P1820" s="10"/>
    </row>
    <row r="1821" ht="18" customHeight="1" spans="1:16">
      <c r="A1821" s="32" t="str">
        <f t="shared" si="87"/>
        <v/>
      </c>
      <c r="B1821" s="100" t="str">
        <f>IF($E1821="","",INDEX(资金日记账!$B$4:$B$603,456))</f>
        <v/>
      </c>
      <c r="C1821" s="26" t="str">
        <f>IF($E1821="","",IF(INDEX(资金日记账!$W$4:$W$603,456)="","记-"&amp;TEXT($B1821,"YYYYMM")&amp;"-资金",INDEX(资金日记账!$W$4:$W$603,456)))</f>
        <v/>
      </c>
      <c r="D1821" s="32" t="str">
        <f>IF($E1821="","",INDEX(资金日记账!$D$4:$D$603,456))</f>
        <v/>
      </c>
      <c r="E1821" s="26" t="str">
        <f>IF(INDEX(资金日记账!$N$4:$S$603,456,4)=0,"",INDEX(资金日记账!$N$4:$S$603,456,4))</f>
        <v/>
      </c>
      <c r="F1821" s="25" t="str">
        <f>IF($E1821="","",IFERROR(INDEX(科目表!$A$4:$A$81,MATCH($E1821,科目表!$B$4:$B$81,0)),""))</f>
        <v/>
      </c>
      <c r="G1821" s="26" t="str">
        <f>IF($E1821="","",IFERROR(INDEX(科目表!$E$4:$E$81,MATCH($E1821,科目表!$B$4:$B$81,0)),""))</f>
        <v/>
      </c>
      <c r="H1821" s="27" t="str">
        <f>IF($E1821="","",N(INDEX(资金日记账!$N$4:$S$603,456,5)))</f>
        <v/>
      </c>
      <c r="I1821" s="27" t="str">
        <f>IF($E1821="","",N(INDEX(资金日记账!$N$4:$S$603,456,6)))</f>
        <v/>
      </c>
      <c r="J1821" s="26" t="str">
        <f>IF($E1821="","",INDEX(资金日记账!$E$4:$E$603,456))</f>
        <v/>
      </c>
      <c r="K1821" s="26" t="str">
        <f>IF($E1821="","",INDEX(资金日记账!$F$4:$F$603,456))</f>
        <v/>
      </c>
      <c r="L1821" s="32" t="str">
        <f>IF($E1821="","",INDEX(资金日记账!$X$4:$X$603,456))</f>
        <v/>
      </c>
      <c r="M1821" s="32"/>
      <c r="N1821" s="26" t="str">
        <f>IF($E1821="","",INDEX(资金日记账!$Y$4:$Y$603,456))</f>
        <v/>
      </c>
      <c r="O1821" s="26" t="str">
        <f t="shared" si="88"/>
        <v/>
      </c>
      <c r="P1821" s="10"/>
    </row>
    <row r="1822" ht="18" customHeight="1" spans="1:16">
      <c r="A1822" s="32" t="str">
        <f t="shared" si="87"/>
        <v/>
      </c>
      <c r="B1822" s="100" t="str">
        <f>IF($E1822="","",INDEX(资金日记账!$B$4:$B$603,457))</f>
        <v/>
      </c>
      <c r="C1822" s="26" t="str">
        <f>IF($E1822="","",IF(INDEX(资金日记账!$W$4:$W$603,457)="","记-"&amp;TEXT($B1822,"YYYYMM")&amp;"-资金",INDEX(资金日记账!$W$4:$W$603,457)))</f>
        <v/>
      </c>
      <c r="D1822" s="32" t="str">
        <f>IF($E1822="","",INDEX(资金日记账!$D$4:$D$603,457))</f>
        <v/>
      </c>
      <c r="E1822" s="26" t="str">
        <f>IF(INDEX(资金日记账!$N$4:$S$603,457,1)=0,"",INDEX(资金日记账!$N$4:$S$603,457,1))</f>
        <v/>
      </c>
      <c r="F1822" s="25" t="str">
        <f>IF($E1822="","",IFERROR(INDEX(科目表!$A$4:$A$81,MATCH($E1822,科目表!$B$4:$B$81,0)),""))</f>
        <v/>
      </c>
      <c r="G1822" s="26" t="str">
        <f>IF($E1822="","",IFERROR(INDEX(科目表!$E$4:$E$81,MATCH($E1822,科目表!$B$4:$B$81,0)),""))</f>
        <v/>
      </c>
      <c r="H1822" s="27" t="str">
        <f>IF($E1822="","",N(INDEX(资金日记账!$N$4:$S$603,457,2)))</f>
        <v/>
      </c>
      <c r="I1822" s="27" t="str">
        <f>IF($E1822="","",N(INDEX(资金日记账!$N$4:$S$603,457,3)))</f>
        <v/>
      </c>
      <c r="J1822" s="26" t="str">
        <f>IF($E1822="","",INDEX(资金日记账!$E$4:$E$603,457))</f>
        <v/>
      </c>
      <c r="K1822" s="26" t="str">
        <f>IF($E1822="","",INDEX(资金日记账!$F$4:$F$603,457))</f>
        <v/>
      </c>
      <c r="L1822" s="32" t="str">
        <f>IF($E1822="","",INDEX(资金日记账!$X$4:$X$603,457))</f>
        <v/>
      </c>
      <c r="M1822" s="32"/>
      <c r="N1822" s="26" t="str">
        <f>IF($E1822="","",INDEX(资金日记账!$Y$4:$Y$603,457))</f>
        <v/>
      </c>
      <c r="O1822" s="26" t="str">
        <f t="shared" si="88"/>
        <v/>
      </c>
      <c r="P1822" s="10"/>
    </row>
    <row r="1823" ht="18" customHeight="1" spans="1:16">
      <c r="A1823" s="32" t="str">
        <f t="shared" si="87"/>
        <v/>
      </c>
      <c r="B1823" s="100" t="str">
        <f>IF($E1823="","",INDEX(资金日记账!$B$4:$B$603,457))</f>
        <v/>
      </c>
      <c r="C1823" s="26" t="str">
        <f>IF($E1823="","",IF(INDEX(资金日记账!$W$4:$W$603,457)="","记-"&amp;TEXT($B1823,"YYYYMM")&amp;"-资金",INDEX(资金日记账!$W$4:$W$603,457)))</f>
        <v/>
      </c>
      <c r="D1823" s="32" t="str">
        <f>IF($E1823="","",INDEX(资金日记账!$D$4:$D$603,457))</f>
        <v/>
      </c>
      <c r="E1823" s="26" t="str">
        <f>IF(INDEX(资金日记账!$N$4:$S$603,457,4)=0,"",INDEX(资金日记账!$N$4:$S$603,457,4))</f>
        <v/>
      </c>
      <c r="F1823" s="25" t="str">
        <f>IF($E1823="","",IFERROR(INDEX(科目表!$A$4:$A$81,MATCH($E1823,科目表!$B$4:$B$81,0)),""))</f>
        <v/>
      </c>
      <c r="G1823" s="26" t="str">
        <f>IF($E1823="","",IFERROR(INDEX(科目表!$E$4:$E$81,MATCH($E1823,科目表!$B$4:$B$81,0)),""))</f>
        <v/>
      </c>
      <c r="H1823" s="27" t="str">
        <f>IF($E1823="","",N(INDEX(资金日记账!$N$4:$S$603,457,5)))</f>
        <v/>
      </c>
      <c r="I1823" s="27" t="str">
        <f>IF($E1823="","",N(INDEX(资金日记账!$N$4:$S$603,457,6)))</f>
        <v/>
      </c>
      <c r="J1823" s="26" t="str">
        <f>IF($E1823="","",INDEX(资金日记账!$E$4:$E$603,457))</f>
        <v/>
      </c>
      <c r="K1823" s="26" t="str">
        <f>IF($E1823="","",INDEX(资金日记账!$F$4:$F$603,457))</f>
        <v/>
      </c>
      <c r="L1823" s="32" t="str">
        <f>IF($E1823="","",INDEX(资金日记账!$X$4:$X$603,457))</f>
        <v/>
      </c>
      <c r="M1823" s="32"/>
      <c r="N1823" s="26" t="str">
        <f>IF($E1823="","",INDEX(资金日记账!$Y$4:$Y$603,457))</f>
        <v/>
      </c>
      <c r="O1823" s="26" t="str">
        <f t="shared" si="88"/>
        <v/>
      </c>
      <c r="P1823" s="10"/>
    </row>
    <row r="1824" ht="18" customHeight="1" spans="1:16">
      <c r="A1824" s="32" t="str">
        <f t="shared" si="87"/>
        <v/>
      </c>
      <c r="B1824" s="100" t="str">
        <f>IF($E1824="","",INDEX(资金日记账!$B$4:$B$603,458))</f>
        <v/>
      </c>
      <c r="C1824" s="26" t="str">
        <f>IF($E1824="","",IF(INDEX(资金日记账!$W$4:$W$603,458)="","记-"&amp;TEXT($B1824,"YYYYMM")&amp;"-资金",INDEX(资金日记账!$W$4:$W$603,458)))</f>
        <v/>
      </c>
      <c r="D1824" s="32" t="str">
        <f>IF($E1824="","",INDEX(资金日记账!$D$4:$D$603,458))</f>
        <v/>
      </c>
      <c r="E1824" s="26" t="str">
        <f>IF(INDEX(资金日记账!$N$4:$S$603,458,1)=0,"",INDEX(资金日记账!$N$4:$S$603,458,1))</f>
        <v/>
      </c>
      <c r="F1824" s="25" t="str">
        <f>IF($E1824="","",IFERROR(INDEX(科目表!$A$4:$A$81,MATCH($E1824,科目表!$B$4:$B$81,0)),""))</f>
        <v/>
      </c>
      <c r="G1824" s="26" t="str">
        <f>IF($E1824="","",IFERROR(INDEX(科目表!$E$4:$E$81,MATCH($E1824,科目表!$B$4:$B$81,0)),""))</f>
        <v/>
      </c>
      <c r="H1824" s="27" t="str">
        <f>IF($E1824="","",N(INDEX(资金日记账!$N$4:$S$603,458,2)))</f>
        <v/>
      </c>
      <c r="I1824" s="27" t="str">
        <f>IF($E1824="","",N(INDEX(资金日记账!$N$4:$S$603,458,3)))</f>
        <v/>
      </c>
      <c r="J1824" s="26" t="str">
        <f>IF($E1824="","",INDEX(资金日记账!$E$4:$E$603,458))</f>
        <v/>
      </c>
      <c r="K1824" s="26" t="str">
        <f>IF($E1824="","",INDEX(资金日记账!$F$4:$F$603,458))</f>
        <v/>
      </c>
      <c r="L1824" s="32" t="str">
        <f>IF($E1824="","",INDEX(资金日记账!$X$4:$X$603,458))</f>
        <v/>
      </c>
      <c r="M1824" s="32"/>
      <c r="N1824" s="26" t="str">
        <f>IF($E1824="","",INDEX(资金日记账!$Y$4:$Y$603,458))</f>
        <v/>
      </c>
      <c r="O1824" s="26" t="str">
        <f t="shared" si="88"/>
        <v/>
      </c>
      <c r="P1824" s="10"/>
    </row>
    <row r="1825" ht="18" customHeight="1" spans="1:16">
      <c r="A1825" s="32" t="str">
        <f t="shared" si="87"/>
        <v/>
      </c>
      <c r="B1825" s="100" t="str">
        <f>IF($E1825="","",INDEX(资金日记账!$B$4:$B$603,458))</f>
        <v/>
      </c>
      <c r="C1825" s="26" t="str">
        <f>IF($E1825="","",IF(INDEX(资金日记账!$W$4:$W$603,458)="","记-"&amp;TEXT($B1825,"YYYYMM")&amp;"-资金",INDEX(资金日记账!$W$4:$W$603,458)))</f>
        <v/>
      </c>
      <c r="D1825" s="32" t="str">
        <f>IF($E1825="","",INDEX(资金日记账!$D$4:$D$603,458))</f>
        <v/>
      </c>
      <c r="E1825" s="26" t="str">
        <f>IF(INDEX(资金日记账!$N$4:$S$603,458,4)=0,"",INDEX(资金日记账!$N$4:$S$603,458,4))</f>
        <v/>
      </c>
      <c r="F1825" s="25" t="str">
        <f>IF($E1825="","",IFERROR(INDEX(科目表!$A$4:$A$81,MATCH($E1825,科目表!$B$4:$B$81,0)),""))</f>
        <v/>
      </c>
      <c r="G1825" s="26" t="str">
        <f>IF($E1825="","",IFERROR(INDEX(科目表!$E$4:$E$81,MATCH($E1825,科目表!$B$4:$B$81,0)),""))</f>
        <v/>
      </c>
      <c r="H1825" s="27" t="str">
        <f>IF($E1825="","",N(INDEX(资金日记账!$N$4:$S$603,458,5)))</f>
        <v/>
      </c>
      <c r="I1825" s="27" t="str">
        <f>IF($E1825="","",N(INDEX(资金日记账!$N$4:$S$603,458,6)))</f>
        <v/>
      </c>
      <c r="J1825" s="26" t="str">
        <f>IF($E1825="","",INDEX(资金日记账!$E$4:$E$603,458))</f>
        <v/>
      </c>
      <c r="K1825" s="26" t="str">
        <f>IF($E1825="","",INDEX(资金日记账!$F$4:$F$603,458))</f>
        <v/>
      </c>
      <c r="L1825" s="32" t="str">
        <f>IF($E1825="","",INDEX(资金日记账!$X$4:$X$603,458))</f>
        <v/>
      </c>
      <c r="M1825" s="32"/>
      <c r="N1825" s="26" t="str">
        <f>IF($E1825="","",INDEX(资金日记账!$Y$4:$Y$603,458))</f>
        <v/>
      </c>
      <c r="O1825" s="26" t="str">
        <f t="shared" si="88"/>
        <v/>
      </c>
      <c r="P1825" s="10"/>
    </row>
    <row r="1826" ht="18" customHeight="1" spans="1:16">
      <c r="A1826" s="32" t="str">
        <f t="shared" si="87"/>
        <v/>
      </c>
      <c r="B1826" s="100" t="str">
        <f>IF($E1826="","",INDEX(资金日记账!$B$4:$B$603,459))</f>
        <v/>
      </c>
      <c r="C1826" s="26" t="str">
        <f>IF($E1826="","",IF(INDEX(资金日记账!$W$4:$W$603,459)="","记-"&amp;TEXT($B1826,"YYYYMM")&amp;"-资金",INDEX(资金日记账!$W$4:$W$603,459)))</f>
        <v/>
      </c>
      <c r="D1826" s="32" t="str">
        <f>IF($E1826="","",INDEX(资金日记账!$D$4:$D$603,459))</f>
        <v/>
      </c>
      <c r="E1826" s="26" t="str">
        <f>IF(INDEX(资金日记账!$N$4:$S$603,459,1)=0,"",INDEX(资金日记账!$N$4:$S$603,459,1))</f>
        <v/>
      </c>
      <c r="F1826" s="25" t="str">
        <f>IF($E1826="","",IFERROR(INDEX(科目表!$A$4:$A$81,MATCH($E1826,科目表!$B$4:$B$81,0)),""))</f>
        <v/>
      </c>
      <c r="G1826" s="26" t="str">
        <f>IF($E1826="","",IFERROR(INDEX(科目表!$E$4:$E$81,MATCH($E1826,科目表!$B$4:$B$81,0)),""))</f>
        <v/>
      </c>
      <c r="H1826" s="27" t="str">
        <f>IF($E1826="","",N(INDEX(资金日记账!$N$4:$S$603,459,2)))</f>
        <v/>
      </c>
      <c r="I1826" s="27" t="str">
        <f>IF($E1826="","",N(INDEX(资金日记账!$N$4:$S$603,459,3)))</f>
        <v/>
      </c>
      <c r="J1826" s="26" t="str">
        <f>IF($E1826="","",INDEX(资金日记账!$E$4:$E$603,459))</f>
        <v/>
      </c>
      <c r="K1826" s="26" t="str">
        <f>IF($E1826="","",INDEX(资金日记账!$F$4:$F$603,459))</f>
        <v/>
      </c>
      <c r="L1826" s="32" t="str">
        <f>IF($E1826="","",INDEX(资金日记账!$X$4:$X$603,459))</f>
        <v/>
      </c>
      <c r="M1826" s="32"/>
      <c r="N1826" s="26" t="str">
        <f>IF($E1826="","",INDEX(资金日记账!$Y$4:$Y$603,459))</f>
        <v/>
      </c>
      <c r="O1826" s="26" t="str">
        <f t="shared" si="88"/>
        <v/>
      </c>
      <c r="P1826" s="10"/>
    </row>
    <row r="1827" ht="18" customHeight="1" spans="1:16">
      <c r="A1827" s="32" t="str">
        <f t="shared" si="87"/>
        <v/>
      </c>
      <c r="B1827" s="100" t="str">
        <f>IF($E1827="","",INDEX(资金日记账!$B$4:$B$603,459))</f>
        <v/>
      </c>
      <c r="C1827" s="26" t="str">
        <f>IF($E1827="","",IF(INDEX(资金日记账!$W$4:$W$603,459)="","记-"&amp;TEXT($B1827,"YYYYMM")&amp;"-资金",INDEX(资金日记账!$W$4:$W$603,459)))</f>
        <v/>
      </c>
      <c r="D1827" s="32" t="str">
        <f>IF($E1827="","",INDEX(资金日记账!$D$4:$D$603,459))</f>
        <v/>
      </c>
      <c r="E1827" s="26" t="str">
        <f>IF(INDEX(资金日记账!$N$4:$S$603,459,4)=0,"",INDEX(资金日记账!$N$4:$S$603,459,4))</f>
        <v/>
      </c>
      <c r="F1827" s="25" t="str">
        <f>IF($E1827="","",IFERROR(INDEX(科目表!$A$4:$A$81,MATCH($E1827,科目表!$B$4:$B$81,0)),""))</f>
        <v/>
      </c>
      <c r="G1827" s="26" t="str">
        <f>IF($E1827="","",IFERROR(INDEX(科目表!$E$4:$E$81,MATCH($E1827,科目表!$B$4:$B$81,0)),""))</f>
        <v/>
      </c>
      <c r="H1827" s="27" t="str">
        <f>IF($E1827="","",N(INDEX(资金日记账!$N$4:$S$603,459,5)))</f>
        <v/>
      </c>
      <c r="I1827" s="27" t="str">
        <f>IF($E1827="","",N(INDEX(资金日记账!$N$4:$S$603,459,6)))</f>
        <v/>
      </c>
      <c r="J1827" s="26" t="str">
        <f>IF($E1827="","",INDEX(资金日记账!$E$4:$E$603,459))</f>
        <v/>
      </c>
      <c r="K1827" s="26" t="str">
        <f>IF($E1827="","",INDEX(资金日记账!$F$4:$F$603,459))</f>
        <v/>
      </c>
      <c r="L1827" s="32" t="str">
        <f>IF($E1827="","",INDEX(资金日记账!$X$4:$X$603,459))</f>
        <v/>
      </c>
      <c r="M1827" s="32"/>
      <c r="N1827" s="26" t="str">
        <f>IF($E1827="","",INDEX(资金日记账!$Y$4:$Y$603,459))</f>
        <v/>
      </c>
      <c r="O1827" s="26" t="str">
        <f t="shared" si="88"/>
        <v/>
      </c>
      <c r="P1827" s="10"/>
    </row>
    <row r="1828" ht="18" customHeight="1" spans="1:16">
      <c r="A1828" s="32" t="str">
        <f t="shared" si="87"/>
        <v/>
      </c>
      <c r="B1828" s="100" t="str">
        <f>IF($E1828="","",INDEX(资金日记账!$B$4:$B$603,460))</f>
        <v/>
      </c>
      <c r="C1828" s="26" t="str">
        <f>IF($E1828="","",IF(INDEX(资金日记账!$W$4:$W$603,460)="","记-"&amp;TEXT($B1828,"YYYYMM")&amp;"-资金",INDEX(资金日记账!$W$4:$W$603,460)))</f>
        <v/>
      </c>
      <c r="D1828" s="32" t="str">
        <f>IF($E1828="","",INDEX(资金日记账!$D$4:$D$603,460))</f>
        <v/>
      </c>
      <c r="E1828" s="26" t="str">
        <f>IF(INDEX(资金日记账!$N$4:$S$603,460,1)=0,"",INDEX(资金日记账!$N$4:$S$603,460,1))</f>
        <v/>
      </c>
      <c r="F1828" s="25" t="str">
        <f>IF($E1828="","",IFERROR(INDEX(科目表!$A$4:$A$81,MATCH($E1828,科目表!$B$4:$B$81,0)),""))</f>
        <v/>
      </c>
      <c r="G1828" s="26" t="str">
        <f>IF($E1828="","",IFERROR(INDEX(科目表!$E$4:$E$81,MATCH($E1828,科目表!$B$4:$B$81,0)),""))</f>
        <v/>
      </c>
      <c r="H1828" s="27" t="str">
        <f>IF($E1828="","",N(INDEX(资金日记账!$N$4:$S$603,460,2)))</f>
        <v/>
      </c>
      <c r="I1828" s="27" t="str">
        <f>IF($E1828="","",N(INDEX(资金日记账!$N$4:$S$603,460,3)))</f>
        <v/>
      </c>
      <c r="J1828" s="26" t="str">
        <f>IF($E1828="","",INDEX(资金日记账!$E$4:$E$603,460))</f>
        <v/>
      </c>
      <c r="K1828" s="26" t="str">
        <f>IF($E1828="","",INDEX(资金日记账!$F$4:$F$603,460))</f>
        <v/>
      </c>
      <c r="L1828" s="32" t="str">
        <f>IF($E1828="","",INDEX(资金日记账!$X$4:$X$603,460))</f>
        <v/>
      </c>
      <c r="M1828" s="32"/>
      <c r="N1828" s="26" t="str">
        <f>IF($E1828="","",INDEX(资金日记账!$Y$4:$Y$603,460))</f>
        <v/>
      </c>
      <c r="O1828" s="26" t="str">
        <f t="shared" si="88"/>
        <v/>
      </c>
      <c r="P1828" s="10"/>
    </row>
    <row r="1829" ht="18" customHeight="1" spans="1:16">
      <c r="A1829" s="32" t="str">
        <f t="shared" si="87"/>
        <v/>
      </c>
      <c r="B1829" s="100" t="str">
        <f>IF($E1829="","",INDEX(资金日记账!$B$4:$B$603,460))</f>
        <v/>
      </c>
      <c r="C1829" s="26" t="str">
        <f>IF($E1829="","",IF(INDEX(资金日记账!$W$4:$W$603,460)="","记-"&amp;TEXT($B1829,"YYYYMM")&amp;"-资金",INDEX(资金日记账!$W$4:$W$603,460)))</f>
        <v/>
      </c>
      <c r="D1829" s="32" t="str">
        <f>IF($E1829="","",INDEX(资金日记账!$D$4:$D$603,460))</f>
        <v/>
      </c>
      <c r="E1829" s="26" t="str">
        <f>IF(INDEX(资金日记账!$N$4:$S$603,460,4)=0,"",INDEX(资金日记账!$N$4:$S$603,460,4))</f>
        <v/>
      </c>
      <c r="F1829" s="25" t="str">
        <f>IF($E1829="","",IFERROR(INDEX(科目表!$A$4:$A$81,MATCH($E1829,科目表!$B$4:$B$81,0)),""))</f>
        <v/>
      </c>
      <c r="G1829" s="26" t="str">
        <f>IF($E1829="","",IFERROR(INDEX(科目表!$E$4:$E$81,MATCH($E1829,科目表!$B$4:$B$81,0)),""))</f>
        <v/>
      </c>
      <c r="H1829" s="27" t="str">
        <f>IF($E1829="","",N(INDEX(资金日记账!$N$4:$S$603,460,5)))</f>
        <v/>
      </c>
      <c r="I1829" s="27" t="str">
        <f>IF($E1829="","",N(INDEX(资金日记账!$N$4:$S$603,460,6)))</f>
        <v/>
      </c>
      <c r="J1829" s="26" t="str">
        <f>IF($E1829="","",INDEX(资金日记账!$E$4:$E$603,460))</f>
        <v/>
      </c>
      <c r="K1829" s="26" t="str">
        <f>IF($E1829="","",INDEX(资金日记账!$F$4:$F$603,460))</f>
        <v/>
      </c>
      <c r="L1829" s="32" t="str">
        <f>IF($E1829="","",INDEX(资金日记账!$X$4:$X$603,460))</f>
        <v/>
      </c>
      <c r="M1829" s="32"/>
      <c r="N1829" s="26" t="str">
        <f>IF($E1829="","",INDEX(资金日记账!$Y$4:$Y$603,460))</f>
        <v/>
      </c>
      <c r="O1829" s="26" t="str">
        <f t="shared" si="88"/>
        <v/>
      </c>
      <c r="P1829" s="10"/>
    </row>
    <row r="1830" ht="18" customHeight="1" spans="1:16">
      <c r="A1830" s="32" t="str">
        <f t="shared" si="87"/>
        <v/>
      </c>
      <c r="B1830" s="100" t="str">
        <f>IF($E1830="","",INDEX(资金日记账!$B$4:$B$603,461))</f>
        <v/>
      </c>
      <c r="C1830" s="26" t="str">
        <f>IF($E1830="","",IF(INDEX(资金日记账!$W$4:$W$603,461)="","记-"&amp;TEXT($B1830,"YYYYMM")&amp;"-资金",INDEX(资金日记账!$W$4:$W$603,461)))</f>
        <v/>
      </c>
      <c r="D1830" s="32" t="str">
        <f>IF($E1830="","",INDEX(资金日记账!$D$4:$D$603,461))</f>
        <v/>
      </c>
      <c r="E1830" s="26" t="str">
        <f>IF(INDEX(资金日记账!$N$4:$S$603,461,1)=0,"",INDEX(资金日记账!$N$4:$S$603,461,1))</f>
        <v/>
      </c>
      <c r="F1830" s="25" t="str">
        <f>IF($E1830="","",IFERROR(INDEX(科目表!$A$4:$A$81,MATCH($E1830,科目表!$B$4:$B$81,0)),""))</f>
        <v/>
      </c>
      <c r="G1830" s="26" t="str">
        <f>IF($E1830="","",IFERROR(INDEX(科目表!$E$4:$E$81,MATCH($E1830,科目表!$B$4:$B$81,0)),""))</f>
        <v/>
      </c>
      <c r="H1830" s="27" t="str">
        <f>IF($E1830="","",N(INDEX(资金日记账!$N$4:$S$603,461,2)))</f>
        <v/>
      </c>
      <c r="I1830" s="27" t="str">
        <f>IF($E1830="","",N(INDEX(资金日记账!$N$4:$S$603,461,3)))</f>
        <v/>
      </c>
      <c r="J1830" s="26" t="str">
        <f>IF($E1830="","",INDEX(资金日记账!$E$4:$E$603,461))</f>
        <v/>
      </c>
      <c r="K1830" s="26" t="str">
        <f>IF($E1830="","",INDEX(资金日记账!$F$4:$F$603,461))</f>
        <v/>
      </c>
      <c r="L1830" s="32" t="str">
        <f>IF($E1830="","",INDEX(资金日记账!$X$4:$X$603,461))</f>
        <v/>
      </c>
      <c r="M1830" s="32"/>
      <c r="N1830" s="26" t="str">
        <f>IF($E1830="","",INDEX(资金日记账!$Y$4:$Y$603,461))</f>
        <v/>
      </c>
      <c r="O1830" s="26" t="str">
        <f t="shared" si="88"/>
        <v/>
      </c>
      <c r="P1830" s="10"/>
    </row>
    <row r="1831" ht="18" customHeight="1" spans="1:16">
      <c r="A1831" s="32" t="str">
        <f t="shared" si="87"/>
        <v/>
      </c>
      <c r="B1831" s="100" t="str">
        <f>IF($E1831="","",INDEX(资金日记账!$B$4:$B$603,461))</f>
        <v/>
      </c>
      <c r="C1831" s="26" t="str">
        <f>IF($E1831="","",IF(INDEX(资金日记账!$W$4:$W$603,461)="","记-"&amp;TEXT($B1831,"YYYYMM")&amp;"-资金",INDEX(资金日记账!$W$4:$W$603,461)))</f>
        <v/>
      </c>
      <c r="D1831" s="32" t="str">
        <f>IF($E1831="","",INDEX(资金日记账!$D$4:$D$603,461))</f>
        <v/>
      </c>
      <c r="E1831" s="26" t="str">
        <f>IF(INDEX(资金日记账!$N$4:$S$603,461,4)=0,"",INDEX(资金日记账!$N$4:$S$603,461,4))</f>
        <v/>
      </c>
      <c r="F1831" s="25" t="str">
        <f>IF($E1831="","",IFERROR(INDEX(科目表!$A$4:$A$81,MATCH($E1831,科目表!$B$4:$B$81,0)),""))</f>
        <v/>
      </c>
      <c r="G1831" s="26" t="str">
        <f>IF($E1831="","",IFERROR(INDEX(科目表!$E$4:$E$81,MATCH($E1831,科目表!$B$4:$B$81,0)),""))</f>
        <v/>
      </c>
      <c r="H1831" s="27" t="str">
        <f>IF($E1831="","",N(INDEX(资金日记账!$N$4:$S$603,461,5)))</f>
        <v/>
      </c>
      <c r="I1831" s="27" t="str">
        <f>IF($E1831="","",N(INDEX(资金日记账!$N$4:$S$603,461,6)))</f>
        <v/>
      </c>
      <c r="J1831" s="26" t="str">
        <f>IF($E1831="","",INDEX(资金日记账!$E$4:$E$603,461))</f>
        <v/>
      </c>
      <c r="K1831" s="26" t="str">
        <f>IF($E1831="","",INDEX(资金日记账!$F$4:$F$603,461))</f>
        <v/>
      </c>
      <c r="L1831" s="32" t="str">
        <f>IF($E1831="","",INDEX(资金日记账!$X$4:$X$603,461))</f>
        <v/>
      </c>
      <c r="M1831" s="32"/>
      <c r="N1831" s="26" t="str">
        <f>IF($E1831="","",INDEX(资金日记账!$Y$4:$Y$603,461))</f>
        <v/>
      </c>
      <c r="O1831" s="26" t="str">
        <f t="shared" si="88"/>
        <v/>
      </c>
      <c r="P1831" s="10"/>
    </row>
    <row r="1832" ht="18" customHeight="1" spans="1:16">
      <c r="A1832" s="32" t="str">
        <f t="shared" si="87"/>
        <v/>
      </c>
      <c r="B1832" s="100" t="str">
        <f>IF($E1832="","",INDEX(资金日记账!$B$4:$B$603,462))</f>
        <v/>
      </c>
      <c r="C1832" s="26" t="str">
        <f>IF($E1832="","",IF(INDEX(资金日记账!$W$4:$W$603,462)="","记-"&amp;TEXT($B1832,"YYYYMM")&amp;"-资金",INDEX(资金日记账!$W$4:$W$603,462)))</f>
        <v/>
      </c>
      <c r="D1832" s="32" t="str">
        <f>IF($E1832="","",INDEX(资金日记账!$D$4:$D$603,462))</f>
        <v/>
      </c>
      <c r="E1832" s="26" t="str">
        <f>IF(INDEX(资金日记账!$N$4:$S$603,462,1)=0,"",INDEX(资金日记账!$N$4:$S$603,462,1))</f>
        <v/>
      </c>
      <c r="F1832" s="25" t="str">
        <f>IF($E1832="","",IFERROR(INDEX(科目表!$A$4:$A$81,MATCH($E1832,科目表!$B$4:$B$81,0)),""))</f>
        <v/>
      </c>
      <c r="G1832" s="26" t="str">
        <f>IF($E1832="","",IFERROR(INDEX(科目表!$E$4:$E$81,MATCH($E1832,科目表!$B$4:$B$81,0)),""))</f>
        <v/>
      </c>
      <c r="H1832" s="27" t="str">
        <f>IF($E1832="","",N(INDEX(资金日记账!$N$4:$S$603,462,2)))</f>
        <v/>
      </c>
      <c r="I1832" s="27" t="str">
        <f>IF($E1832="","",N(INDEX(资金日记账!$N$4:$S$603,462,3)))</f>
        <v/>
      </c>
      <c r="J1832" s="26" t="str">
        <f>IF($E1832="","",INDEX(资金日记账!$E$4:$E$603,462))</f>
        <v/>
      </c>
      <c r="K1832" s="26" t="str">
        <f>IF($E1832="","",INDEX(资金日记账!$F$4:$F$603,462))</f>
        <v/>
      </c>
      <c r="L1832" s="32" t="str">
        <f>IF($E1832="","",INDEX(资金日记账!$X$4:$X$603,462))</f>
        <v/>
      </c>
      <c r="M1832" s="32"/>
      <c r="N1832" s="26" t="str">
        <f>IF($E1832="","",INDEX(资金日记账!$Y$4:$Y$603,462))</f>
        <v/>
      </c>
      <c r="O1832" s="26" t="str">
        <f t="shared" si="88"/>
        <v/>
      </c>
      <c r="P1832" s="10"/>
    </row>
    <row r="1833" ht="18" customHeight="1" spans="1:16">
      <c r="A1833" s="32" t="str">
        <f t="shared" si="87"/>
        <v/>
      </c>
      <c r="B1833" s="100" t="str">
        <f>IF($E1833="","",INDEX(资金日记账!$B$4:$B$603,462))</f>
        <v/>
      </c>
      <c r="C1833" s="26" t="str">
        <f>IF($E1833="","",IF(INDEX(资金日记账!$W$4:$W$603,462)="","记-"&amp;TEXT($B1833,"YYYYMM")&amp;"-资金",INDEX(资金日记账!$W$4:$W$603,462)))</f>
        <v/>
      </c>
      <c r="D1833" s="32" t="str">
        <f>IF($E1833="","",INDEX(资金日记账!$D$4:$D$603,462))</f>
        <v/>
      </c>
      <c r="E1833" s="26" t="str">
        <f>IF(INDEX(资金日记账!$N$4:$S$603,462,4)=0,"",INDEX(资金日记账!$N$4:$S$603,462,4))</f>
        <v/>
      </c>
      <c r="F1833" s="25" t="str">
        <f>IF($E1833="","",IFERROR(INDEX(科目表!$A$4:$A$81,MATCH($E1833,科目表!$B$4:$B$81,0)),""))</f>
        <v/>
      </c>
      <c r="G1833" s="26" t="str">
        <f>IF($E1833="","",IFERROR(INDEX(科目表!$E$4:$E$81,MATCH($E1833,科目表!$B$4:$B$81,0)),""))</f>
        <v/>
      </c>
      <c r="H1833" s="27" t="str">
        <f>IF($E1833="","",N(INDEX(资金日记账!$N$4:$S$603,462,5)))</f>
        <v/>
      </c>
      <c r="I1833" s="27" t="str">
        <f>IF($E1833="","",N(INDEX(资金日记账!$N$4:$S$603,462,6)))</f>
        <v/>
      </c>
      <c r="J1833" s="26" t="str">
        <f>IF($E1833="","",INDEX(资金日记账!$E$4:$E$603,462))</f>
        <v/>
      </c>
      <c r="K1833" s="26" t="str">
        <f>IF($E1833="","",INDEX(资金日记账!$F$4:$F$603,462))</f>
        <v/>
      </c>
      <c r="L1833" s="32" t="str">
        <f>IF($E1833="","",INDEX(资金日记账!$X$4:$X$603,462))</f>
        <v/>
      </c>
      <c r="M1833" s="32"/>
      <c r="N1833" s="26" t="str">
        <f>IF($E1833="","",INDEX(资金日记账!$Y$4:$Y$603,462))</f>
        <v/>
      </c>
      <c r="O1833" s="26" t="str">
        <f t="shared" si="88"/>
        <v/>
      </c>
      <c r="P1833" s="10"/>
    </row>
    <row r="1834" ht="18" customHeight="1" spans="1:16">
      <c r="A1834" s="32" t="str">
        <f t="shared" si="87"/>
        <v/>
      </c>
      <c r="B1834" s="100" t="str">
        <f>IF($E1834="","",INDEX(资金日记账!$B$4:$B$603,463))</f>
        <v/>
      </c>
      <c r="C1834" s="26" t="str">
        <f>IF($E1834="","",IF(INDEX(资金日记账!$W$4:$W$603,463)="","记-"&amp;TEXT($B1834,"YYYYMM")&amp;"-资金",INDEX(资金日记账!$W$4:$W$603,463)))</f>
        <v/>
      </c>
      <c r="D1834" s="32" t="str">
        <f>IF($E1834="","",INDEX(资金日记账!$D$4:$D$603,463))</f>
        <v/>
      </c>
      <c r="E1834" s="26" t="str">
        <f>IF(INDEX(资金日记账!$N$4:$S$603,463,1)=0,"",INDEX(资金日记账!$N$4:$S$603,463,1))</f>
        <v/>
      </c>
      <c r="F1834" s="25" t="str">
        <f>IF($E1834="","",IFERROR(INDEX(科目表!$A$4:$A$81,MATCH($E1834,科目表!$B$4:$B$81,0)),""))</f>
        <v/>
      </c>
      <c r="G1834" s="26" t="str">
        <f>IF($E1834="","",IFERROR(INDEX(科目表!$E$4:$E$81,MATCH($E1834,科目表!$B$4:$B$81,0)),""))</f>
        <v/>
      </c>
      <c r="H1834" s="27" t="str">
        <f>IF($E1834="","",N(INDEX(资金日记账!$N$4:$S$603,463,2)))</f>
        <v/>
      </c>
      <c r="I1834" s="27" t="str">
        <f>IF($E1834="","",N(INDEX(资金日记账!$N$4:$S$603,463,3)))</f>
        <v/>
      </c>
      <c r="J1834" s="26" t="str">
        <f>IF($E1834="","",INDEX(资金日记账!$E$4:$E$603,463))</f>
        <v/>
      </c>
      <c r="K1834" s="26" t="str">
        <f>IF($E1834="","",INDEX(资金日记账!$F$4:$F$603,463))</f>
        <v/>
      </c>
      <c r="L1834" s="32" t="str">
        <f>IF($E1834="","",INDEX(资金日记账!$X$4:$X$603,463))</f>
        <v/>
      </c>
      <c r="M1834" s="32"/>
      <c r="N1834" s="26" t="str">
        <f>IF($E1834="","",INDEX(资金日记账!$Y$4:$Y$603,463))</f>
        <v/>
      </c>
      <c r="O1834" s="26" t="str">
        <f t="shared" si="88"/>
        <v/>
      </c>
      <c r="P1834" s="10"/>
    </row>
    <row r="1835" ht="18" customHeight="1" spans="1:16">
      <c r="A1835" s="32" t="str">
        <f t="shared" si="87"/>
        <v/>
      </c>
      <c r="B1835" s="100" t="str">
        <f>IF($E1835="","",INDEX(资金日记账!$B$4:$B$603,463))</f>
        <v/>
      </c>
      <c r="C1835" s="26" t="str">
        <f>IF($E1835="","",IF(INDEX(资金日记账!$W$4:$W$603,463)="","记-"&amp;TEXT($B1835,"YYYYMM")&amp;"-资金",INDEX(资金日记账!$W$4:$W$603,463)))</f>
        <v/>
      </c>
      <c r="D1835" s="32" t="str">
        <f>IF($E1835="","",INDEX(资金日记账!$D$4:$D$603,463))</f>
        <v/>
      </c>
      <c r="E1835" s="26" t="str">
        <f>IF(INDEX(资金日记账!$N$4:$S$603,463,4)=0,"",INDEX(资金日记账!$N$4:$S$603,463,4))</f>
        <v/>
      </c>
      <c r="F1835" s="25" t="str">
        <f>IF($E1835="","",IFERROR(INDEX(科目表!$A$4:$A$81,MATCH($E1835,科目表!$B$4:$B$81,0)),""))</f>
        <v/>
      </c>
      <c r="G1835" s="26" t="str">
        <f>IF($E1835="","",IFERROR(INDEX(科目表!$E$4:$E$81,MATCH($E1835,科目表!$B$4:$B$81,0)),""))</f>
        <v/>
      </c>
      <c r="H1835" s="27" t="str">
        <f>IF($E1835="","",N(INDEX(资金日记账!$N$4:$S$603,463,5)))</f>
        <v/>
      </c>
      <c r="I1835" s="27" t="str">
        <f>IF($E1835="","",N(INDEX(资金日记账!$N$4:$S$603,463,6)))</f>
        <v/>
      </c>
      <c r="J1835" s="26" t="str">
        <f>IF($E1835="","",INDEX(资金日记账!$E$4:$E$603,463))</f>
        <v/>
      </c>
      <c r="K1835" s="26" t="str">
        <f>IF($E1835="","",INDEX(资金日记账!$F$4:$F$603,463))</f>
        <v/>
      </c>
      <c r="L1835" s="32" t="str">
        <f>IF($E1835="","",INDEX(资金日记账!$X$4:$X$603,463))</f>
        <v/>
      </c>
      <c r="M1835" s="32"/>
      <c r="N1835" s="26" t="str">
        <f>IF($E1835="","",INDEX(资金日记账!$Y$4:$Y$603,463))</f>
        <v/>
      </c>
      <c r="O1835" s="26" t="str">
        <f t="shared" si="88"/>
        <v/>
      </c>
      <c r="P1835" s="10"/>
    </row>
    <row r="1836" ht="18" customHeight="1" spans="1:16">
      <c r="A1836" s="32" t="str">
        <f t="shared" si="87"/>
        <v/>
      </c>
      <c r="B1836" s="100" t="str">
        <f>IF($E1836="","",INDEX(资金日记账!$B$4:$B$603,464))</f>
        <v/>
      </c>
      <c r="C1836" s="26" t="str">
        <f>IF($E1836="","",IF(INDEX(资金日记账!$W$4:$W$603,464)="","记-"&amp;TEXT($B1836,"YYYYMM")&amp;"-资金",INDEX(资金日记账!$W$4:$W$603,464)))</f>
        <v/>
      </c>
      <c r="D1836" s="32" t="str">
        <f>IF($E1836="","",INDEX(资金日记账!$D$4:$D$603,464))</f>
        <v/>
      </c>
      <c r="E1836" s="26" t="str">
        <f>IF(INDEX(资金日记账!$N$4:$S$603,464,1)=0,"",INDEX(资金日记账!$N$4:$S$603,464,1))</f>
        <v/>
      </c>
      <c r="F1836" s="25" t="str">
        <f>IF($E1836="","",IFERROR(INDEX(科目表!$A$4:$A$81,MATCH($E1836,科目表!$B$4:$B$81,0)),""))</f>
        <v/>
      </c>
      <c r="G1836" s="26" t="str">
        <f>IF($E1836="","",IFERROR(INDEX(科目表!$E$4:$E$81,MATCH($E1836,科目表!$B$4:$B$81,0)),""))</f>
        <v/>
      </c>
      <c r="H1836" s="27" t="str">
        <f>IF($E1836="","",N(INDEX(资金日记账!$N$4:$S$603,464,2)))</f>
        <v/>
      </c>
      <c r="I1836" s="27" t="str">
        <f>IF($E1836="","",N(INDEX(资金日记账!$N$4:$S$603,464,3)))</f>
        <v/>
      </c>
      <c r="J1836" s="26" t="str">
        <f>IF($E1836="","",INDEX(资金日记账!$E$4:$E$603,464))</f>
        <v/>
      </c>
      <c r="K1836" s="26" t="str">
        <f>IF($E1836="","",INDEX(资金日记账!$F$4:$F$603,464))</f>
        <v/>
      </c>
      <c r="L1836" s="32" t="str">
        <f>IF($E1836="","",INDEX(资金日记账!$X$4:$X$603,464))</f>
        <v/>
      </c>
      <c r="M1836" s="32"/>
      <c r="N1836" s="26" t="str">
        <f>IF($E1836="","",INDEX(资金日记账!$Y$4:$Y$603,464))</f>
        <v/>
      </c>
      <c r="O1836" s="26" t="str">
        <f t="shared" si="88"/>
        <v/>
      </c>
      <c r="P1836" s="10"/>
    </row>
    <row r="1837" ht="18" customHeight="1" spans="1:16">
      <c r="A1837" s="32" t="str">
        <f t="shared" si="87"/>
        <v/>
      </c>
      <c r="B1837" s="100" t="str">
        <f>IF($E1837="","",INDEX(资金日记账!$B$4:$B$603,464))</f>
        <v/>
      </c>
      <c r="C1837" s="26" t="str">
        <f>IF($E1837="","",IF(INDEX(资金日记账!$W$4:$W$603,464)="","记-"&amp;TEXT($B1837,"YYYYMM")&amp;"-资金",INDEX(资金日记账!$W$4:$W$603,464)))</f>
        <v/>
      </c>
      <c r="D1837" s="32" t="str">
        <f>IF($E1837="","",INDEX(资金日记账!$D$4:$D$603,464))</f>
        <v/>
      </c>
      <c r="E1837" s="26" t="str">
        <f>IF(INDEX(资金日记账!$N$4:$S$603,464,4)=0,"",INDEX(资金日记账!$N$4:$S$603,464,4))</f>
        <v/>
      </c>
      <c r="F1837" s="25" t="str">
        <f>IF($E1837="","",IFERROR(INDEX(科目表!$A$4:$A$81,MATCH($E1837,科目表!$B$4:$B$81,0)),""))</f>
        <v/>
      </c>
      <c r="G1837" s="26" t="str">
        <f>IF($E1837="","",IFERROR(INDEX(科目表!$E$4:$E$81,MATCH($E1837,科目表!$B$4:$B$81,0)),""))</f>
        <v/>
      </c>
      <c r="H1837" s="27" t="str">
        <f>IF($E1837="","",N(INDEX(资金日记账!$N$4:$S$603,464,5)))</f>
        <v/>
      </c>
      <c r="I1837" s="27" t="str">
        <f>IF($E1837="","",N(INDEX(资金日记账!$N$4:$S$603,464,6)))</f>
        <v/>
      </c>
      <c r="J1837" s="26" t="str">
        <f>IF($E1837="","",INDEX(资金日记账!$E$4:$E$603,464))</f>
        <v/>
      </c>
      <c r="K1837" s="26" t="str">
        <f>IF($E1837="","",INDEX(资金日记账!$F$4:$F$603,464))</f>
        <v/>
      </c>
      <c r="L1837" s="32" t="str">
        <f>IF($E1837="","",INDEX(资金日记账!$X$4:$X$603,464))</f>
        <v/>
      </c>
      <c r="M1837" s="32"/>
      <c r="N1837" s="26" t="str">
        <f>IF($E1837="","",INDEX(资金日记账!$Y$4:$Y$603,464))</f>
        <v/>
      </c>
      <c r="O1837" s="26" t="str">
        <f t="shared" si="88"/>
        <v/>
      </c>
      <c r="P1837" s="10"/>
    </row>
    <row r="1838" ht="18" customHeight="1" spans="1:16">
      <c r="A1838" s="32" t="str">
        <f t="shared" si="87"/>
        <v/>
      </c>
      <c r="B1838" s="100" t="str">
        <f>IF($E1838="","",INDEX(资金日记账!$B$4:$B$603,465))</f>
        <v/>
      </c>
      <c r="C1838" s="26" t="str">
        <f>IF($E1838="","",IF(INDEX(资金日记账!$W$4:$W$603,465)="","记-"&amp;TEXT($B1838,"YYYYMM")&amp;"-资金",INDEX(资金日记账!$W$4:$W$603,465)))</f>
        <v/>
      </c>
      <c r="D1838" s="32" t="str">
        <f>IF($E1838="","",INDEX(资金日记账!$D$4:$D$603,465))</f>
        <v/>
      </c>
      <c r="E1838" s="26" t="str">
        <f>IF(INDEX(资金日记账!$N$4:$S$603,465,1)=0,"",INDEX(资金日记账!$N$4:$S$603,465,1))</f>
        <v/>
      </c>
      <c r="F1838" s="25" t="str">
        <f>IF($E1838="","",IFERROR(INDEX(科目表!$A$4:$A$81,MATCH($E1838,科目表!$B$4:$B$81,0)),""))</f>
        <v/>
      </c>
      <c r="G1838" s="26" t="str">
        <f>IF($E1838="","",IFERROR(INDEX(科目表!$E$4:$E$81,MATCH($E1838,科目表!$B$4:$B$81,0)),""))</f>
        <v/>
      </c>
      <c r="H1838" s="27" t="str">
        <f>IF($E1838="","",N(INDEX(资金日记账!$N$4:$S$603,465,2)))</f>
        <v/>
      </c>
      <c r="I1838" s="27" t="str">
        <f>IF($E1838="","",N(INDEX(资金日记账!$N$4:$S$603,465,3)))</f>
        <v/>
      </c>
      <c r="J1838" s="26" t="str">
        <f>IF($E1838="","",INDEX(资金日记账!$E$4:$E$603,465))</f>
        <v/>
      </c>
      <c r="K1838" s="26" t="str">
        <f>IF($E1838="","",INDEX(资金日记账!$F$4:$F$603,465))</f>
        <v/>
      </c>
      <c r="L1838" s="32" t="str">
        <f>IF($E1838="","",INDEX(资金日记账!$X$4:$X$603,465))</f>
        <v/>
      </c>
      <c r="M1838" s="32"/>
      <c r="N1838" s="26" t="str">
        <f>IF($E1838="","",INDEX(资金日记账!$Y$4:$Y$603,465))</f>
        <v/>
      </c>
      <c r="O1838" s="26" t="str">
        <f t="shared" si="88"/>
        <v/>
      </c>
      <c r="P1838" s="10"/>
    </row>
    <row r="1839" ht="18" customHeight="1" spans="1:16">
      <c r="A1839" s="32" t="str">
        <f t="shared" si="87"/>
        <v/>
      </c>
      <c r="B1839" s="100" t="str">
        <f>IF($E1839="","",INDEX(资金日记账!$B$4:$B$603,465))</f>
        <v/>
      </c>
      <c r="C1839" s="26" t="str">
        <f>IF($E1839="","",IF(INDEX(资金日记账!$W$4:$W$603,465)="","记-"&amp;TEXT($B1839,"YYYYMM")&amp;"-资金",INDEX(资金日记账!$W$4:$W$603,465)))</f>
        <v/>
      </c>
      <c r="D1839" s="32" t="str">
        <f>IF($E1839="","",INDEX(资金日记账!$D$4:$D$603,465))</f>
        <v/>
      </c>
      <c r="E1839" s="26" t="str">
        <f>IF(INDEX(资金日记账!$N$4:$S$603,465,4)=0,"",INDEX(资金日记账!$N$4:$S$603,465,4))</f>
        <v/>
      </c>
      <c r="F1839" s="25" t="str">
        <f>IF($E1839="","",IFERROR(INDEX(科目表!$A$4:$A$81,MATCH($E1839,科目表!$B$4:$B$81,0)),""))</f>
        <v/>
      </c>
      <c r="G1839" s="26" t="str">
        <f>IF($E1839="","",IFERROR(INDEX(科目表!$E$4:$E$81,MATCH($E1839,科目表!$B$4:$B$81,0)),""))</f>
        <v/>
      </c>
      <c r="H1839" s="27" t="str">
        <f>IF($E1839="","",N(INDEX(资金日记账!$N$4:$S$603,465,5)))</f>
        <v/>
      </c>
      <c r="I1839" s="27" t="str">
        <f>IF($E1839="","",N(INDEX(资金日记账!$N$4:$S$603,465,6)))</f>
        <v/>
      </c>
      <c r="J1839" s="26" t="str">
        <f>IF($E1839="","",INDEX(资金日记账!$E$4:$E$603,465))</f>
        <v/>
      </c>
      <c r="K1839" s="26" t="str">
        <f>IF($E1839="","",INDEX(资金日记账!$F$4:$F$603,465))</f>
        <v/>
      </c>
      <c r="L1839" s="32" t="str">
        <f>IF($E1839="","",INDEX(资金日记账!$X$4:$X$603,465))</f>
        <v/>
      </c>
      <c r="M1839" s="32"/>
      <c r="N1839" s="26" t="str">
        <f>IF($E1839="","",INDEX(资金日记账!$Y$4:$Y$603,465))</f>
        <v/>
      </c>
      <c r="O1839" s="26" t="str">
        <f t="shared" si="88"/>
        <v/>
      </c>
      <c r="P1839" s="10"/>
    </row>
    <row r="1840" ht="18" customHeight="1" spans="1:16">
      <c r="A1840" s="32" t="str">
        <f t="shared" si="87"/>
        <v/>
      </c>
      <c r="B1840" s="100" t="str">
        <f>IF($E1840="","",INDEX(资金日记账!$B$4:$B$603,466))</f>
        <v/>
      </c>
      <c r="C1840" s="26" t="str">
        <f>IF($E1840="","",IF(INDEX(资金日记账!$W$4:$W$603,466)="","记-"&amp;TEXT($B1840,"YYYYMM")&amp;"-资金",INDEX(资金日记账!$W$4:$W$603,466)))</f>
        <v/>
      </c>
      <c r="D1840" s="32" t="str">
        <f>IF($E1840="","",INDEX(资金日记账!$D$4:$D$603,466))</f>
        <v/>
      </c>
      <c r="E1840" s="26" t="str">
        <f>IF(INDEX(资金日记账!$N$4:$S$603,466,1)=0,"",INDEX(资金日记账!$N$4:$S$603,466,1))</f>
        <v/>
      </c>
      <c r="F1840" s="25" t="str">
        <f>IF($E1840="","",IFERROR(INDEX(科目表!$A$4:$A$81,MATCH($E1840,科目表!$B$4:$B$81,0)),""))</f>
        <v/>
      </c>
      <c r="G1840" s="26" t="str">
        <f>IF($E1840="","",IFERROR(INDEX(科目表!$E$4:$E$81,MATCH($E1840,科目表!$B$4:$B$81,0)),""))</f>
        <v/>
      </c>
      <c r="H1840" s="27" t="str">
        <f>IF($E1840="","",N(INDEX(资金日记账!$N$4:$S$603,466,2)))</f>
        <v/>
      </c>
      <c r="I1840" s="27" t="str">
        <f>IF($E1840="","",N(INDEX(资金日记账!$N$4:$S$603,466,3)))</f>
        <v/>
      </c>
      <c r="J1840" s="26" t="str">
        <f>IF($E1840="","",INDEX(资金日记账!$E$4:$E$603,466))</f>
        <v/>
      </c>
      <c r="K1840" s="26" t="str">
        <f>IF($E1840="","",INDEX(资金日记账!$F$4:$F$603,466))</f>
        <v/>
      </c>
      <c r="L1840" s="32" t="str">
        <f>IF($E1840="","",INDEX(资金日记账!$X$4:$X$603,466))</f>
        <v/>
      </c>
      <c r="M1840" s="32"/>
      <c r="N1840" s="26" t="str">
        <f>IF($E1840="","",INDEX(资金日记账!$Y$4:$Y$603,466))</f>
        <v/>
      </c>
      <c r="O1840" s="26" t="str">
        <f t="shared" si="88"/>
        <v/>
      </c>
      <c r="P1840" s="10"/>
    </row>
    <row r="1841" ht="18" customHeight="1" spans="1:16">
      <c r="A1841" s="32" t="str">
        <f t="shared" si="87"/>
        <v/>
      </c>
      <c r="B1841" s="100" t="str">
        <f>IF($E1841="","",INDEX(资金日记账!$B$4:$B$603,466))</f>
        <v/>
      </c>
      <c r="C1841" s="26" t="str">
        <f>IF($E1841="","",IF(INDEX(资金日记账!$W$4:$W$603,466)="","记-"&amp;TEXT($B1841,"YYYYMM")&amp;"-资金",INDEX(资金日记账!$W$4:$W$603,466)))</f>
        <v/>
      </c>
      <c r="D1841" s="32" t="str">
        <f>IF($E1841="","",INDEX(资金日记账!$D$4:$D$603,466))</f>
        <v/>
      </c>
      <c r="E1841" s="26" t="str">
        <f>IF(INDEX(资金日记账!$N$4:$S$603,466,4)=0,"",INDEX(资金日记账!$N$4:$S$603,466,4))</f>
        <v/>
      </c>
      <c r="F1841" s="25" t="str">
        <f>IF($E1841="","",IFERROR(INDEX(科目表!$A$4:$A$81,MATCH($E1841,科目表!$B$4:$B$81,0)),""))</f>
        <v/>
      </c>
      <c r="G1841" s="26" t="str">
        <f>IF($E1841="","",IFERROR(INDEX(科目表!$E$4:$E$81,MATCH($E1841,科目表!$B$4:$B$81,0)),""))</f>
        <v/>
      </c>
      <c r="H1841" s="27" t="str">
        <f>IF($E1841="","",N(INDEX(资金日记账!$N$4:$S$603,466,5)))</f>
        <v/>
      </c>
      <c r="I1841" s="27" t="str">
        <f>IF($E1841="","",N(INDEX(资金日记账!$N$4:$S$603,466,6)))</f>
        <v/>
      </c>
      <c r="J1841" s="26" t="str">
        <f>IF($E1841="","",INDEX(资金日记账!$E$4:$E$603,466))</f>
        <v/>
      </c>
      <c r="K1841" s="26" t="str">
        <f>IF($E1841="","",INDEX(资金日记账!$F$4:$F$603,466))</f>
        <v/>
      </c>
      <c r="L1841" s="32" t="str">
        <f>IF($E1841="","",INDEX(资金日记账!$X$4:$X$603,466))</f>
        <v/>
      </c>
      <c r="M1841" s="32"/>
      <c r="N1841" s="26" t="str">
        <f>IF($E1841="","",INDEX(资金日记账!$Y$4:$Y$603,466))</f>
        <v/>
      </c>
      <c r="O1841" s="26" t="str">
        <f t="shared" si="88"/>
        <v/>
      </c>
      <c r="P1841" s="10"/>
    </row>
    <row r="1842" ht="18" customHeight="1" spans="1:16">
      <c r="A1842" s="32" t="str">
        <f t="shared" si="87"/>
        <v/>
      </c>
      <c r="B1842" s="100" t="str">
        <f>IF($E1842="","",INDEX(资金日记账!$B$4:$B$603,467))</f>
        <v/>
      </c>
      <c r="C1842" s="26" t="str">
        <f>IF($E1842="","",IF(INDEX(资金日记账!$W$4:$W$603,467)="","记-"&amp;TEXT($B1842,"YYYYMM")&amp;"-资金",INDEX(资金日记账!$W$4:$W$603,467)))</f>
        <v/>
      </c>
      <c r="D1842" s="32" t="str">
        <f>IF($E1842="","",INDEX(资金日记账!$D$4:$D$603,467))</f>
        <v/>
      </c>
      <c r="E1842" s="26" t="str">
        <f>IF(INDEX(资金日记账!$N$4:$S$603,467,1)=0,"",INDEX(资金日记账!$N$4:$S$603,467,1))</f>
        <v/>
      </c>
      <c r="F1842" s="25" t="str">
        <f>IF($E1842="","",IFERROR(INDEX(科目表!$A$4:$A$81,MATCH($E1842,科目表!$B$4:$B$81,0)),""))</f>
        <v/>
      </c>
      <c r="G1842" s="26" t="str">
        <f>IF($E1842="","",IFERROR(INDEX(科目表!$E$4:$E$81,MATCH($E1842,科目表!$B$4:$B$81,0)),""))</f>
        <v/>
      </c>
      <c r="H1842" s="27" t="str">
        <f>IF($E1842="","",N(INDEX(资金日记账!$N$4:$S$603,467,2)))</f>
        <v/>
      </c>
      <c r="I1842" s="27" t="str">
        <f>IF($E1842="","",N(INDEX(资金日记账!$N$4:$S$603,467,3)))</f>
        <v/>
      </c>
      <c r="J1842" s="26" t="str">
        <f>IF($E1842="","",INDEX(资金日记账!$E$4:$E$603,467))</f>
        <v/>
      </c>
      <c r="K1842" s="26" t="str">
        <f>IF($E1842="","",INDEX(资金日记账!$F$4:$F$603,467))</f>
        <v/>
      </c>
      <c r="L1842" s="32" t="str">
        <f>IF($E1842="","",INDEX(资金日记账!$X$4:$X$603,467))</f>
        <v/>
      </c>
      <c r="M1842" s="32"/>
      <c r="N1842" s="26" t="str">
        <f>IF($E1842="","",INDEX(资金日记账!$Y$4:$Y$603,467))</f>
        <v/>
      </c>
      <c r="O1842" s="26" t="str">
        <f t="shared" si="88"/>
        <v/>
      </c>
      <c r="P1842" s="10"/>
    </row>
    <row r="1843" ht="18" customHeight="1" spans="1:16">
      <c r="A1843" s="32" t="str">
        <f t="shared" si="87"/>
        <v/>
      </c>
      <c r="B1843" s="100" t="str">
        <f>IF($E1843="","",INDEX(资金日记账!$B$4:$B$603,467))</f>
        <v/>
      </c>
      <c r="C1843" s="26" t="str">
        <f>IF($E1843="","",IF(INDEX(资金日记账!$W$4:$W$603,467)="","记-"&amp;TEXT($B1843,"YYYYMM")&amp;"-资金",INDEX(资金日记账!$W$4:$W$603,467)))</f>
        <v/>
      </c>
      <c r="D1843" s="32" t="str">
        <f>IF($E1843="","",INDEX(资金日记账!$D$4:$D$603,467))</f>
        <v/>
      </c>
      <c r="E1843" s="26" t="str">
        <f>IF(INDEX(资金日记账!$N$4:$S$603,467,4)=0,"",INDEX(资金日记账!$N$4:$S$603,467,4))</f>
        <v/>
      </c>
      <c r="F1843" s="25" t="str">
        <f>IF($E1843="","",IFERROR(INDEX(科目表!$A$4:$A$81,MATCH($E1843,科目表!$B$4:$B$81,0)),""))</f>
        <v/>
      </c>
      <c r="G1843" s="26" t="str">
        <f>IF($E1843="","",IFERROR(INDEX(科目表!$E$4:$E$81,MATCH($E1843,科目表!$B$4:$B$81,0)),""))</f>
        <v/>
      </c>
      <c r="H1843" s="27" t="str">
        <f>IF($E1843="","",N(INDEX(资金日记账!$N$4:$S$603,467,5)))</f>
        <v/>
      </c>
      <c r="I1843" s="27" t="str">
        <f>IF($E1843="","",N(INDEX(资金日记账!$N$4:$S$603,467,6)))</f>
        <v/>
      </c>
      <c r="J1843" s="26" t="str">
        <f>IF($E1843="","",INDEX(资金日记账!$E$4:$E$603,467))</f>
        <v/>
      </c>
      <c r="K1843" s="26" t="str">
        <f>IF($E1843="","",INDEX(资金日记账!$F$4:$F$603,467))</f>
        <v/>
      </c>
      <c r="L1843" s="32" t="str">
        <f>IF($E1843="","",INDEX(资金日记账!$X$4:$X$603,467))</f>
        <v/>
      </c>
      <c r="M1843" s="32"/>
      <c r="N1843" s="26" t="str">
        <f>IF($E1843="","",INDEX(资金日记账!$Y$4:$Y$603,467))</f>
        <v/>
      </c>
      <c r="O1843" s="26" t="str">
        <f t="shared" si="88"/>
        <v/>
      </c>
      <c r="P1843" s="10"/>
    </row>
    <row r="1844" ht="18" customHeight="1" spans="1:16">
      <c r="A1844" s="32" t="str">
        <f t="shared" si="87"/>
        <v/>
      </c>
      <c r="B1844" s="100" t="str">
        <f>IF($E1844="","",INDEX(资金日记账!$B$4:$B$603,468))</f>
        <v/>
      </c>
      <c r="C1844" s="26" t="str">
        <f>IF($E1844="","",IF(INDEX(资金日记账!$W$4:$W$603,468)="","记-"&amp;TEXT($B1844,"YYYYMM")&amp;"-资金",INDEX(资金日记账!$W$4:$W$603,468)))</f>
        <v/>
      </c>
      <c r="D1844" s="32" t="str">
        <f>IF($E1844="","",INDEX(资金日记账!$D$4:$D$603,468))</f>
        <v/>
      </c>
      <c r="E1844" s="26" t="str">
        <f>IF(INDEX(资金日记账!$N$4:$S$603,468,1)=0,"",INDEX(资金日记账!$N$4:$S$603,468,1))</f>
        <v/>
      </c>
      <c r="F1844" s="25" t="str">
        <f>IF($E1844="","",IFERROR(INDEX(科目表!$A$4:$A$81,MATCH($E1844,科目表!$B$4:$B$81,0)),""))</f>
        <v/>
      </c>
      <c r="G1844" s="26" t="str">
        <f>IF($E1844="","",IFERROR(INDEX(科目表!$E$4:$E$81,MATCH($E1844,科目表!$B$4:$B$81,0)),""))</f>
        <v/>
      </c>
      <c r="H1844" s="27" t="str">
        <f>IF($E1844="","",N(INDEX(资金日记账!$N$4:$S$603,468,2)))</f>
        <v/>
      </c>
      <c r="I1844" s="27" t="str">
        <f>IF($E1844="","",N(INDEX(资金日记账!$N$4:$S$603,468,3)))</f>
        <v/>
      </c>
      <c r="J1844" s="26" t="str">
        <f>IF($E1844="","",INDEX(资金日记账!$E$4:$E$603,468))</f>
        <v/>
      </c>
      <c r="K1844" s="26" t="str">
        <f>IF($E1844="","",INDEX(资金日记账!$F$4:$F$603,468))</f>
        <v/>
      </c>
      <c r="L1844" s="32" t="str">
        <f>IF($E1844="","",INDEX(资金日记账!$X$4:$X$603,468))</f>
        <v/>
      </c>
      <c r="M1844" s="32"/>
      <c r="N1844" s="26" t="str">
        <f>IF($E1844="","",INDEX(资金日记账!$Y$4:$Y$603,468))</f>
        <v/>
      </c>
      <c r="O1844" s="26" t="str">
        <f t="shared" si="88"/>
        <v/>
      </c>
      <c r="P1844" s="10"/>
    </row>
    <row r="1845" ht="18" customHeight="1" spans="1:16">
      <c r="A1845" s="32" t="str">
        <f t="shared" si="87"/>
        <v/>
      </c>
      <c r="B1845" s="100" t="str">
        <f>IF($E1845="","",INDEX(资金日记账!$B$4:$B$603,468))</f>
        <v/>
      </c>
      <c r="C1845" s="26" t="str">
        <f>IF($E1845="","",IF(INDEX(资金日记账!$W$4:$W$603,468)="","记-"&amp;TEXT($B1845,"YYYYMM")&amp;"-资金",INDEX(资金日记账!$W$4:$W$603,468)))</f>
        <v/>
      </c>
      <c r="D1845" s="32" t="str">
        <f>IF($E1845="","",INDEX(资金日记账!$D$4:$D$603,468))</f>
        <v/>
      </c>
      <c r="E1845" s="26" t="str">
        <f>IF(INDEX(资金日记账!$N$4:$S$603,468,4)=0,"",INDEX(资金日记账!$N$4:$S$603,468,4))</f>
        <v/>
      </c>
      <c r="F1845" s="25" t="str">
        <f>IF($E1845="","",IFERROR(INDEX(科目表!$A$4:$A$81,MATCH($E1845,科目表!$B$4:$B$81,0)),""))</f>
        <v/>
      </c>
      <c r="G1845" s="26" t="str">
        <f>IF($E1845="","",IFERROR(INDEX(科目表!$E$4:$E$81,MATCH($E1845,科目表!$B$4:$B$81,0)),""))</f>
        <v/>
      </c>
      <c r="H1845" s="27" t="str">
        <f>IF($E1845="","",N(INDEX(资金日记账!$N$4:$S$603,468,5)))</f>
        <v/>
      </c>
      <c r="I1845" s="27" t="str">
        <f>IF($E1845="","",N(INDEX(资金日记账!$N$4:$S$603,468,6)))</f>
        <v/>
      </c>
      <c r="J1845" s="26" t="str">
        <f>IF($E1845="","",INDEX(资金日记账!$E$4:$E$603,468))</f>
        <v/>
      </c>
      <c r="K1845" s="26" t="str">
        <f>IF($E1845="","",INDEX(资金日记账!$F$4:$F$603,468))</f>
        <v/>
      </c>
      <c r="L1845" s="32" t="str">
        <f>IF($E1845="","",INDEX(资金日记账!$X$4:$X$603,468))</f>
        <v/>
      </c>
      <c r="M1845" s="32"/>
      <c r="N1845" s="26" t="str">
        <f>IF($E1845="","",INDEX(资金日记账!$Y$4:$Y$603,468))</f>
        <v/>
      </c>
      <c r="O1845" s="26" t="str">
        <f t="shared" si="88"/>
        <v/>
      </c>
      <c r="P1845" s="10"/>
    </row>
    <row r="1846" ht="18" customHeight="1" spans="1:16">
      <c r="A1846" s="32" t="str">
        <f t="shared" si="87"/>
        <v/>
      </c>
      <c r="B1846" s="100" t="str">
        <f>IF($E1846="","",INDEX(资金日记账!$B$4:$B$603,469))</f>
        <v/>
      </c>
      <c r="C1846" s="26" t="str">
        <f>IF($E1846="","",IF(INDEX(资金日记账!$W$4:$W$603,469)="","记-"&amp;TEXT($B1846,"YYYYMM")&amp;"-资金",INDEX(资金日记账!$W$4:$W$603,469)))</f>
        <v/>
      </c>
      <c r="D1846" s="32" t="str">
        <f>IF($E1846="","",INDEX(资金日记账!$D$4:$D$603,469))</f>
        <v/>
      </c>
      <c r="E1846" s="26" t="str">
        <f>IF(INDEX(资金日记账!$N$4:$S$603,469,1)=0,"",INDEX(资金日记账!$N$4:$S$603,469,1))</f>
        <v/>
      </c>
      <c r="F1846" s="25" t="str">
        <f>IF($E1846="","",IFERROR(INDEX(科目表!$A$4:$A$81,MATCH($E1846,科目表!$B$4:$B$81,0)),""))</f>
        <v/>
      </c>
      <c r="G1846" s="26" t="str">
        <f>IF($E1846="","",IFERROR(INDEX(科目表!$E$4:$E$81,MATCH($E1846,科目表!$B$4:$B$81,0)),""))</f>
        <v/>
      </c>
      <c r="H1846" s="27" t="str">
        <f>IF($E1846="","",N(INDEX(资金日记账!$N$4:$S$603,469,2)))</f>
        <v/>
      </c>
      <c r="I1846" s="27" t="str">
        <f>IF($E1846="","",N(INDEX(资金日记账!$N$4:$S$603,469,3)))</f>
        <v/>
      </c>
      <c r="J1846" s="26" t="str">
        <f>IF($E1846="","",INDEX(资金日记账!$E$4:$E$603,469))</f>
        <v/>
      </c>
      <c r="K1846" s="26" t="str">
        <f>IF($E1846="","",INDEX(资金日记账!$F$4:$F$603,469))</f>
        <v/>
      </c>
      <c r="L1846" s="32" t="str">
        <f>IF($E1846="","",INDEX(资金日记账!$X$4:$X$603,469))</f>
        <v/>
      </c>
      <c r="M1846" s="32"/>
      <c r="N1846" s="26" t="str">
        <f>IF($E1846="","",INDEX(资金日记账!$Y$4:$Y$603,469))</f>
        <v/>
      </c>
      <c r="O1846" s="26" t="str">
        <f t="shared" si="88"/>
        <v/>
      </c>
      <c r="P1846" s="10"/>
    </row>
    <row r="1847" ht="18" customHeight="1" spans="1:16">
      <c r="A1847" s="32" t="str">
        <f t="shared" si="87"/>
        <v/>
      </c>
      <c r="B1847" s="100" t="str">
        <f>IF($E1847="","",INDEX(资金日记账!$B$4:$B$603,469))</f>
        <v/>
      </c>
      <c r="C1847" s="26" t="str">
        <f>IF($E1847="","",IF(INDEX(资金日记账!$W$4:$W$603,469)="","记-"&amp;TEXT($B1847,"YYYYMM")&amp;"-资金",INDEX(资金日记账!$W$4:$W$603,469)))</f>
        <v/>
      </c>
      <c r="D1847" s="32" t="str">
        <f>IF($E1847="","",INDEX(资金日记账!$D$4:$D$603,469))</f>
        <v/>
      </c>
      <c r="E1847" s="26" t="str">
        <f>IF(INDEX(资金日记账!$N$4:$S$603,469,4)=0,"",INDEX(资金日记账!$N$4:$S$603,469,4))</f>
        <v/>
      </c>
      <c r="F1847" s="25" t="str">
        <f>IF($E1847="","",IFERROR(INDEX(科目表!$A$4:$A$81,MATCH($E1847,科目表!$B$4:$B$81,0)),""))</f>
        <v/>
      </c>
      <c r="G1847" s="26" t="str">
        <f>IF($E1847="","",IFERROR(INDEX(科目表!$E$4:$E$81,MATCH($E1847,科目表!$B$4:$B$81,0)),""))</f>
        <v/>
      </c>
      <c r="H1847" s="27" t="str">
        <f>IF($E1847="","",N(INDEX(资金日记账!$N$4:$S$603,469,5)))</f>
        <v/>
      </c>
      <c r="I1847" s="27" t="str">
        <f>IF($E1847="","",N(INDEX(资金日记账!$N$4:$S$603,469,6)))</f>
        <v/>
      </c>
      <c r="J1847" s="26" t="str">
        <f>IF($E1847="","",INDEX(资金日记账!$E$4:$E$603,469))</f>
        <v/>
      </c>
      <c r="K1847" s="26" t="str">
        <f>IF($E1847="","",INDEX(资金日记账!$F$4:$F$603,469))</f>
        <v/>
      </c>
      <c r="L1847" s="32" t="str">
        <f>IF($E1847="","",INDEX(资金日记账!$X$4:$X$603,469))</f>
        <v/>
      </c>
      <c r="M1847" s="32"/>
      <c r="N1847" s="26" t="str">
        <f>IF($E1847="","",INDEX(资金日记账!$Y$4:$Y$603,469))</f>
        <v/>
      </c>
      <c r="O1847" s="26" t="str">
        <f t="shared" si="88"/>
        <v/>
      </c>
      <c r="P1847" s="10"/>
    </row>
    <row r="1848" ht="18" customHeight="1" spans="1:16">
      <c r="A1848" s="32" t="str">
        <f t="shared" si="87"/>
        <v/>
      </c>
      <c r="B1848" s="100" t="str">
        <f>IF($E1848="","",INDEX(资金日记账!$B$4:$B$603,470))</f>
        <v/>
      </c>
      <c r="C1848" s="26" t="str">
        <f>IF($E1848="","",IF(INDEX(资金日记账!$W$4:$W$603,470)="","记-"&amp;TEXT($B1848,"YYYYMM")&amp;"-资金",INDEX(资金日记账!$W$4:$W$603,470)))</f>
        <v/>
      </c>
      <c r="D1848" s="32" t="str">
        <f>IF($E1848="","",INDEX(资金日记账!$D$4:$D$603,470))</f>
        <v/>
      </c>
      <c r="E1848" s="26" t="str">
        <f>IF(INDEX(资金日记账!$N$4:$S$603,470,1)=0,"",INDEX(资金日记账!$N$4:$S$603,470,1))</f>
        <v/>
      </c>
      <c r="F1848" s="25" t="str">
        <f>IF($E1848="","",IFERROR(INDEX(科目表!$A$4:$A$81,MATCH($E1848,科目表!$B$4:$B$81,0)),""))</f>
        <v/>
      </c>
      <c r="G1848" s="26" t="str">
        <f>IF($E1848="","",IFERROR(INDEX(科目表!$E$4:$E$81,MATCH($E1848,科目表!$B$4:$B$81,0)),""))</f>
        <v/>
      </c>
      <c r="H1848" s="27" t="str">
        <f>IF($E1848="","",N(INDEX(资金日记账!$N$4:$S$603,470,2)))</f>
        <v/>
      </c>
      <c r="I1848" s="27" t="str">
        <f>IF($E1848="","",N(INDEX(资金日记账!$N$4:$S$603,470,3)))</f>
        <v/>
      </c>
      <c r="J1848" s="26" t="str">
        <f>IF($E1848="","",INDEX(资金日记账!$E$4:$E$603,470))</f>
        <v/>
      </c>
      <c r="K1848" s="26" t="str">
        <f>IF($E1848="","",INDEX(资金日记账!$F$4:$F$603,470))</f>
        <v/>
      </c>
      <c r="L1848" s="32" t="str">
        <f>IF($E1848="","",INDEX(资金日记账!$X$4:$X$603,470))</f>
        <v/>
      </c>
      <c r="M1848" s="32"/>
      <c r="N1848" s="26" t="str">
        <f>IF($E1848="","",INDEX(资金日记账!$Y$4:$Y$603,470))</f>
        <v/>
      </c>
      <c r="O1848" s="26" t="str">
        <f t="shared" si="88"/>
        <v/>
      </c>
      <c r="P1848" s="10"/>
    </row>
    <row r="1849" ht="18" customHeight="1" spans="1:16">
      <c r="A1849" s="32" t="str">
        <f t="shared" si="87"/>
        <v/>
      </c>
      <c r="B1849" s="100" t="str">
        <f>IF($E1849="","",INDEX(资金日记账!$B$4:$B$603,470))</f>
        <v/>
      </c>
      <c r="C1849" s="26" t="str">
        <f>IF($E1849="","",IF(INDEX(资金日记账!$W$4:$W$603,470)="","记-"&amp;TEXT($B1849,"YYYYMM")&amp;"-资金",INDEX(资金日记账!$W$4:$W$603,470)))</f>
        <v/>
      </c>
      <c r="D1849" s="32" t="str">
        <f>IF($E1849="","",INDEX(资金日记账!$D$4:$D$603,470))</f>
        <v/>
      </c>
      <c r="E1849" s="26" t="str">
        <f>IF(INDEX(资金日记账!$N$4:$S$603,470,4)=0,"",INDEX(资金日记账!$N$4:$S$603,470,4))</f>
        <v/>
      </c>
      <c r="F1849" s="25" t="str">
        <f>IF($E1849="","",IFERROR(INDEX(科目表!$A$4:$A$81,MATCH($E1849,科目表!$B$4:$B$81,0)),""))</f>
        <v/>
      </c>
      <c r="G1849" s="26" t="str">
        <f>IF($E1849="","",IFERROR(INDEX(科目表!$E$4:$E$81,MATCH($E1849,科目表!$B$4:$B$81,0)),""))</f>
        <v/>
      </c>
      <c r="H1849" s="27" t="str">
        <f>IF($E1849="","",N(INDEX(资金日记账!$N$4:$S$603,470,5)))</f>
        <v/>
      </c>
      <c r="I1849" s="27" t="str">
        <f>IF($E1849="","",N(INDEX(资金日记账!$N$4:$S$603,470,6)))</f>
        <v/>
      </c>
      <c r="J1849" s="26" t="str">
        <f>IF($E1849="","",INDEX(资金日记账!$E$4:$E$603,470))</f>
        <v/>
      </c>
      <c r="K1849" s="26" t="str">
        <f>IF($E1849="","",INDEX(资金日记账!$F$4:$F$603,470))</f>
        <v/>
      </c>
      <c r="L1849" s="32" t="str">
        <f>IF($E1849="","",INDEX(资金日记账!$X$4:$X$603,470))</f>
        <v/>
      </c>
      <c r="M1849" s="32"/>
      <c r="N1849" s="26" t="str">
        <f>IF($E1849="","",INDEX(资金日记账!$Y$4:$Y$603,470))</f>
        <v/>
      </c>
      <c r="O1849" s="26" t="str">
        <f t="shared" si="88"/>
        <v/>
      </c>
      <c r="P1849" s="10"/>
    </row>
    <row r="1850" ht="18" customHeight="1" spans="1:16">
      <c r="A1850" s="32" t="str">
        <f t="shared" si="87"/>
        <v/>
      </c>
      <c r="B1850" s="100" t="str">
        <f>IF($E1850="","",INDEX(资金日记账!$B$4:$B$603,471))</f>
        <v/>
      </c>
      <c r="C1850" s="26" t="str">
        <f>IF($E1850="","",IF(INDEX(资金日记账!$W$4:$W$603,471)="","记-"&amp;TEXT($B1850,"YYYYMM")&amp;"-资金",INDEX(资金日记账!$W$4:$W$603,471)))</f>
        <v/>
      </c>
      <c r="D1850" s="32" t="str">
        <f>IF($E1850="","",INDEX(资金日记账!$D$4:$D$603,471))</f>
        <v/>
      </c>
      <c r="E1850" s="26" t="str">
        <f>IF(INDEX(资金日记账!$N$4:$S$603,471,1)=0,"",INDEX(资金日记账!$N$4:$S$603,471,1))</f>
        <v/>
      </c>
      <c r="F1850" s="25" t="str">
        <f>IF($E1850="","",IFERROR(INDEX(科目表!$A$4:$A$81,MATCH($E1850,科目表!$B$4:$B$81,0)),""))</f>
        <v/>
      </c>
      <c r="G1850" s="26" t="str">
        <f>IF($E1850="","",IFERROR(INDEX(科目表!$E$4:$E$81,MATCH($E1850,科目表!$B$4:$B$81,0)),""))</f>
        <v/>
      </c>
      <c r="H1850" s="27" t="str">
        <f>IF($E1850="","",N(INDEX(资金日记账!$N$4:$S$603,471,2)))</f>
        <v/>
      </c>
      <c r="I1850" s="27" t="str">
        <f>IF($E1850="","",N(INDEX(资金日记账!$N$4:$S$603,471,3)))</f>
        <v/>
      </c>
      <c r="J1850" s="26" t="str">
        <f>IF($E1850="","",INDEX(资金日记账!$E$4:$E$603,471))</f>
        <v/>
      </c>
      <c r="K1850" s="26" t="str">
        <f>IF($E1850="","",INDEX(资金日记账!$F$4:$F$603,471))</f>
        <v/>
      </c>
      <c r="L1850" s="32" t="str">
        <f>IF($E1850="","",INDEX(资金日记账!$X$4:$X$603,471))</f>
        <v/>
      </c>
      <c r="M1850" s="32"/>
      <c r="N1850" s="26" t="str">
        <f>IF($E1850="","",INDEX(资金日记账!$Y$4:$Y$603,471))</f>
        <v/>
      </c>
      <c r="O1850" s="26" t="str">
        <f t="shared" si="88"/>
        <v/>
      </c>
      <c r="P1850" s="10"/>
    </row>
    <row r="1851" ht="18" customHeight="1" spans="1:16">
      <c r="A1851" s="32" t="str">
        <f t="shared" si="87"/>
        <v/>
      </c>
      <c r="B1851" s="100" t="str">
        <f>IF($E1851="","",INDEX(资金日记账!$B$4:$B$603,471))</f>
        <v/>
      </c>
      <c r="C1851" s="26" t="str">
        <f>IF($E1851="","",IF(INDEX(资金日记账!$W$4:$W$603,471)="","记-"&amp;TEXT($B1851,"YYYYMM")&amp;"-资金",INDEX(资金日记账!$W$4:$W$603,471)))</f>
        <v/>
      </c>
      <c r="D1851" s="32" t="str">
        <f>IF($E1851="","",INDEX(资金日记账!$D$4:$D$603,471))</f>
        <v/>
      </c>
      <c r="E1851" s="26" t="str">
        <f>IF(INDEX(资金日记账!$N$4:$S$603,471,4)=0,"",INDEX(资金日记账!$N$4:$S$603,471,4))</f>
        <v/>
      </c>
      <c r="F1851" s="25" t="str">
        <f>IF($E1851="","",IFERROR(INDEX(科目表!$A$4:$A$81,MATCH($E1851,科目表!$B$4:$B$81,0)),""))</f>
        <v/>
      </c>
      <c r="G1851" s="26" t="str">
        <f>IF($E1851="","",IFERROR(INDEX(科目表!$E$4:$E$81,MATCH($E1851,科目表!$B$4:$B$81,0)),""))</f>
        <v/>
      </c>
      <c r="H1851" s="27" t="str">
        <f>IF($E1851="","",N(INDEX(资金日记账!$N$4:$S$603,471,5)))</f>
        <v/>
      </c>
      <c r="I1851" s="27" t="str">
        <f>IF($E1851="","",N(INDEX(资金日记账!$N$4:$S$603,471,6)))</f>
        <v/>
      </c>
      <c r="J1851" s="26" t="str">
        <f>IF($E1851="","",INDEX(资金日记账!$E$4:$E$603,471))</f>
        <v/>
      </c>
      <c r="K1851" s="26" t="str">
        <f>IF($E1851="","",INDEX(资金日记账!$F$4:$F$603,471))</f>
        <v/>
      </c>
      <c r="L1851" s="32" t="str">
        <f>IF($E1851="","",INDEX(资金日记账!$X$4:$X$603,471))</f>
        <v/>
      </c>
      <c r="M1851" s="32"/>
      <c r="N1851" s="26" t="str">
        <f>IF($E1851="","",INDEX(资金日记账!$Y$4:$Y$603,471))</f>
        <v/>
      </c>
      <c r="O1851" s="26" t="str">
        <f t="shared" si="88"/>
        <v/>
      </c>
      <c r="P1851" s="10"/>
    </row>
    <row r="1852" ht="18" customHeight="1" spans="1:16">
      <c r="A1852" s="32" t="str">
        <f t="shared" si="87"/>
        <v/>
      </c>
      <c r="B1852" s="100" t="str">
        <f>IF($E1852="","",INDEX(资金日记账!$B$4:$B$603,472))</f>
        <v/>
      </c>
      <c r="C1852" s="26" t="str">
        <f>IF($E1852="","",IF(INDEX(资金日记账!$W$4:$W$603,472)="","记-"&amp;TEXT($B1852,"YYYYMM")&amp;"-资金",INDEX(资金日记账!$W$4:$W$603,472)))</f>
        <v/>
      </c>
      <c r="D1852" s="32" t="str">
        <f>IF($E1852="","",INDEX(资金日记账!$D$4:$D$603,472))</f>
        <v/>
      </c>
      <c r="E1852" s="26" t="str">
        <f>IF(INDEX(资金日记账!$N$4:$S$603,472,1)=0,"",INDEX(资金日记账!$N$4:$S$603,472,1))</f>
        <v/>
      </c>
      <c r="F1852" s="25" t="str">
        <f>IF($E1852="","",IFERROR(INDEX(科目表!$A$4:$A$81,MATCH($E1852,科目表!$B$4:$B$81,0)),""))</f>
        <v/>
      </c>
      <c r="G1852" s="26" t="str">
        <f>IF($E1852="","",IFERROR(INDEX(科目表!$E$4:$E$81,MATCH($E1852,科目表!$B$4:$B$81,0)),""))</f>
        <v/>
      </c>
      <c r="H1852" s="27" t="str">
        <f>IF($E1852="","",N(INDEX(资金日记账!$N$4:$S$603,472,2)))</f>
        <v/>
      </c>
      <c r="I1852" s="27" t="str">
        <f>IF($E1852="","",N(INDEX(资金日记账!$N$4:$S$603,472,3)))</f>
        <v/>
      </c>
      <c r="J1852" s="26" t="str">
        <f>IF($E1852="","",INDEX(资金日记账!$E$4:$E$603,472))</f>
        <v/>
      </c>
      <c r="K1852" s="26" t="str">
        <f>IF($E1852="","",INDEX(资金日记账!$F$4:$F$603,472))</f>
        <v/>
      </c>
      <c r="L1852" s="32" t="str">
        <f>IF($E1852="","",INDEX(资金日记账!$X$4:$X$603,472))</f>
        <v/>
      </c>
      <c r="M1852" s="32"/>
      <c r="N1852" s="26" t="str">
        <f>IF($E1852="","",INDEX(资金日记账!$Y$4:$Y$603,472))</f>
        <v/>
      </c>
      <c r="O1852" s="26" t="str">
        <f t="shared" si="88"/>
        <v/>
      </c>
      <c r="P1852" s="10"/>
    </row>
    <row r="1853" ht="18" customHeight="1" spans="1:16">
      <c r="A1853" s="32" t="str">
        <f t="shared" si="87"/>
        <v/>
      </c>
      <c r="B1853" s="100" t="str">
        <f>IF($E1853="","",INDEX(资金日记账!$B$4:$B$603,472))</f>
        <v/>
      </c>
      <c r="C1853" s="26" t="str">
        <f>IF($E1853="","",IF(INDEX(资金日记账!$W$4:$W$603,472)="","记-"&amp;TEXT($B1853,"YYYYMM")&amp;"-资金",INDEX(资金日记账!$W$4:$W$603,472)))</f>
        <v/>
      </c>
      <c r="D1853" s="32" t="str">
        <f>IF($E1853="","",INDEX(资金日记账!$D$4:$D$603,472))</f>
        <v/>
      </c>
      <c r="E1853" s="26" t="str">
        <f>IF(INDEX(资金日记账!$N$4:$S$603,472,4)=0,"",INDEX(资金日记账!$N$4:$S$603,472,4))</f>
        <v/>
      </c>
      <c r="F1853" s="25" t="str">
        <f>IF($E1853="","",IFERROR(INDEX(科目表!$A$4:$A$81,MATCH($E1853,科目表!$B$4:$B$81,0)),""))</f>
        <v/>
      </c>
      <c r="G1853" s="26" t="str">
        <f>IF($E1853="","",IFERROR(INDEX(科目表!$E$4:$E$81,MATCH($E1853,科目表!$B$4:$B$81,0)),""))</f>
        <v/>
      </c>
      <c r="H1853" s="27" t="str">
        <f>IF($E1853="","",N(INDEX(资金日记账!$N$4:$S$603,472,5)))</f>
        <v/>
      </c>
      <c r="I1853" s="27" t="str">
        <f>IF($E1853="","",N(INDEX(资金日记账!$N$4:$S$603,472,6)))</f>
        <v/>
      </c>
      <c r="J1853" s="26" t="str">
        <f>IF($E1853="","",INDEX(资金日记账!$E$4:$E$603,472))</f>
        <v/>
      </c>
      <c r="K1853" s="26" t="str">
        <f>IF($E1853="","",INDEX(资金日记账!$F$4:$F$603,472))</f>
        <v/>
      </c>
      <c r="L1853" s="32" t="str">
        <f>IF($E1853="","",INDEX(资金日记账!$X$4:$X$603,472))</f>
        <v/>
      </c>
      <c r="M1853" s="32"/>
      <c r="N1853" s="26" t="str">
        <f>IF($E1853="","",INDEX(资金日记账!$Y$4:$Y$603,472))</f>
        <v/>
      </c>
      <c r="O1853" s="26" t="str">
        <f t="shared" si="88"/>
        <v/>
      </c>
      <c r="P1853" s="10"/>
    </row>
    <row r="1854" ht="18" customHeight="1" spans="1:16">
      <c r="A1854" s="32" t="str">
        <f t="shared" si="87"/>
        <v/>
      </c>
      <c r="B1854" s="100" t="str">
        <f>IF($E1854="","",INDEX(资金日记账!$B$4:$B$603,473))</f>
        <v/>
      </c>
      <c r="C1854" s="26" t="str">
        <f>IF($E1854="","",IF(INDEX(资金日记账!$W$4:$W$603,473)="","记-"&amp;TEXT($B1854,"YYYYMM")&amp;"-资金",INDEX(资金日记账!$W$4:$W$603,473)))</f>
        <v/>
      </c>
      <c r="D1854" s="32" t="str">
        <f>IF($E1854="","",INDEX(资金日记账!$D$4:$D$603,473))</f>
        <v/>
      </c>
      <c r="E1854" s="26" t="str">
        <f>IF(INDEX(资金日记账!$N$4:$S$603,473,1)=0,"",INDEX(资金日记账!$N$4:$S$603,473,1))</f>
        <v/>
      </c>
      <c r="F1854" s="25" t="str">
        <f>IF($E1854="","",IFERROR(INDEX(科目表!$A$4:$A$81,MATCH($E1854,科目表!$B$4:$B$81,0)),""))</f>
        <v/>
      </c>
      <c r="G1854" s="26" t="str">
        <f>IF($E1854="","",IFERROR(INDEX(科目表!$E$4:$E$81,MATCH($E1854,科目表!$B$4:$B$81,0)),""))</f>
        <v/>
      </c>
      <c r="H1854" s="27" t="str">
        <f>IF($E1854="","",N(INDEX(资金日记账!$N$4:$S$603,473,2)))</f>
        <v/>
      </c>
      <c r="I1854" s="27" t="str">
        <f>IF($E1854="","",N(INDEX(资金日记账!$N$4:$S$603,473,3)))</f>
        <v/>
      </c>
      <c r="J1854" s="26" t="str">
        <f>IF($E1854="","",INDEX(资金日记账!$E$4:$E$603,473))</f>
        <v/>
      </c>
      <c r="K1854" s="26" t="str">
        <f>IF($E1854="","",INDEX(资金日记账!$F$4:$F$603,473))</f>
        <v/>
      </c>
      <c r="L1854" s="32" t="str">
        <f>IF($E1854="","",INDEX(资金日记账!$X$4:$X$603,473))</f>
        <v/>
      </c>
      <c r="M1854" s="32"/>
      <c r="N1854" s="26" t="str">
        <f>IF($E1854="","",INDEX(资金日记账!$Y$4:$Y$603,473))</f>
        <v/>
      </c>
      <c r="O1854" s="26" t="str">
        <f t="shared" si="88"/>
        <v/>
      </c>
      <c r="P1854" s="10"/>
    </row>
    <row r="1855" ht="18" customHeight="1" spans="1:16">
      <c r="A1855" s="32" t="str">
        <f t="shared" si="87"/>
        <v/>
      </c>
      <c r="B1855" s="100" t="str">
        <f>IF($E1855="","",INDEX(资金日记账!$B$4:$B$603,473))</f>
        <v/>
      </c>
      <c r="C1855" s="26" t="str">
        <f>IF($E1855="","",IF(INDEX(资金日记账!$W$4:$W$603,473)="","记-"&amp;TEXT($B1855,"YYYYMM")&amp;"-资金",INDEX(资金日记账!$W$4:$W$603,473)))</f>
        <v/>
      </c>
      <c r="D1855" s="32" t="str">
        <f>IF($E1855="","",INDEX(资金日记账!$D$4:$D$603,473))</f>
        <v/>
      </c>
      <c r="E1855" s="26" t="str">
        <f>IF(INDEX(资金日记账!$N$4:$S$603,473,4)=0,"",INDEX(资金日记账!$N$4:$S$603,473,4))</f>
        <v/>
      </c>
      <c r="F1855" s="25" t="str">
        <f>IF($E1855="","",IFERROR(INDEX(科目表!$A$4:$A$81,MATCH($E1855,科目表!$B$4:$B$81,0)),""))</f>
        <v/>
      </c>
      <c r="G1855" s="26" t="str">
        <f>IF($E1855="","",IFERROR(INDEX(科目表!$E$4:$E$81,MATCH($E1855,科目表!$B$4:$B$81,0)),""))</f>
        <v/>
      </c>
      <c r="H1855" s="27" t="str">
        <f>IF($E1855="","",N(INDEX(资金日记账!$N$4:$S$603,473,5)))</f>
        <v/>
      </c>
      <c r="I1855" s="27" t="str">
        <f>IF($E1855="","",N(INDEX(资金日记账!$N$4:$S$603,473,6)))</f>
        <v/>
      </c>
      <c r="J1855" s="26" t="str">
        <f>IF($E1855="","",INDEX(资金日记账!$E$4:$E$603,473))</f>
        <v/>
      </c>
      <c r="K1855" s="26" t="str">
        <f>IF($E1855="","",INDEX(资金日记账!$F$4:$F$603,473))</f>
        <v/>
      </c>
      <c r="L1855" s="32" t="str">
        <f>IF($E1855="","",INDEX(资金日记账!$X$4:$X$603,473))</f>
        <v/>
      </c>
      <c r="M1855" s="32"/>
      <c r="N1855" s="26" t="str">
        <f>IF($E1855="","",INDEX(资金日记账!$Y$4:$Y$603,473))</f>
        <v/>
      </c>
      <c r="O1855" s="26" t="str">
        <f t="shared" si="88"/>
        <v/>
      </c>
      <c r="P1855" s="10"/>
    </row>
    <row r="1856" ht="18" customHeight="1" spans="1:16">
      <c r="A1856" s="32" t="str">
        <f t="shared" si="87"/>
        <v/>
      </c>
      <c r="B1856" s="100" t="str">
        <f>IF($E1856="","",INDEX(资金日记账!$B$4:$B$603,474))</f>
        <v/>
      </c>
      <c r="C1856" s="26" t="str">
        <f>IF($E1856="","",IF(INDEX(资金日记账!$W$4:$W$603,474)="","记-"&amp;TEXT($B1856,"YYYYMM")&amp;"-资金",INDEX(资金日记账!$W$4:$W$603,474)))</f>
        <v/>
      </c>
      <c r="D1856" s="32" t="str">
        <f>IF($E1856="","",INDEX(资金日记账!$D$4:$D$603,474))</f>
        <v/>
      </c>
      <c r="E1856" s="26" t="str">
        <f>IF(INDEX(资金日记账!$N$4:$S$603,474,1)=0,"",INDEX(资金日记账!$N$4:$S$603,474,1))</f>
        <v/>
      </c>
      <c r="F1856" s="25" t="str">
        <f>IF($E1856="","",IFERROR(INDEX(科目表!$A$4:$A$81,MATCH($E1856,科目表!$B$4:$B$81,0)),""))</f>
        <v/>
      </c>
      <c r="G1856" s="26" t="str">
        <f>IF($E1856="","",IFERROR(INDEX(科目表!$E$4:$E$81,MATCH($E1856,科目表!$B$4:$B$81,0)),""))</f>
        <v/>
      </c>
      <c r="H1856" s="27" t="str">
        <f>IF($E1856="","",N(INDEX(资金日记账!$N$4:$S$603,474,2)))</f>
        <v/>
      </c>
      <c r="I1856" s="27" t="str">
        <f>IF($E1856="","",N(INDEX(资金日记账!$N$4:$S$603,474,3)))</f>
        <v/>
      </c>
      <c r="J1856" s="26" t="str">
        <f>IF($E1856="","",INDEX(资金日记账!$E$4:$E$603,474))</f>
        <v/>
      </c>
      <c r="K1856" s="26" t="str">
        <f>IF($E1856="","",INDEX(资金日记账!$F$4:$F$603,474))</f>
        <v/>
      </c>
      <c r="L1856" s="32" t="str">
        <f>IF($E1856="","",INDEX(资金日记账!$X$4:$X$603,474))</f>
        <v/>
      </c>
      <c r="M1856" s="32"/>
      <c r="N1856" s="26" t="str">
        <f>IF($E1856="","",INDEX(资金日记账!$Y$4:$Y$603,474))</f>
        <v/>
      </c>
      <c r="O1856" s="26" t="str">
        <f t="shared" si="88"/>
        <v/>
      </c>
      <c r="P1856" s="10"/>
    </row>
    <row r="1857" ht="18" customHeight="1" spans="1:16">
      <c r="A1857" s="32" t="str">
        <f t="shared" si="87"/>
        <v/>
      </c>
      <c r="B1857" s="100" t="str">
        <f>IF($E1857="","",INDEX(资金日记账!$B$4:$B$603,474))</f>
        <v/>
      </c>
      <c r="C1857" s="26" t="str">
        <f>IF($E1857="","",IF(INDEX(资金日记账!$W$4:$W$603,474)="","记-"&amp;TEXT($B1857,"YYYYMM")&amp;"-资金",INDEX(资金日记账!$W$4:$W$603,474)))</f>
        <v/>
      </c>
      <c r="D1857" s="32" t="str">
        <f>IF($E1857="","",INDEX(资金日记账!$D$4:$D$603,474))</f>
        <v/>
      </c>
      <c r="E1857" s="26" t="str">
        <f>IF(INDEX(资金日记账!$N$4:$S$603,474,4)=0,"",INDEX(资金日记账!$N$4:$S$603,474,4))</f>
        <v/>
      </c>
      <c r="F1857" s="25" t="str">
        <f>IF($E1857="","",IFERROR(INDEX(科目表!$A$4:$A$81,MATCH($E1857,科目表!$B$4:$B$81,0)),""))</f>
        <v/>
      </c>
      <c r="G1857" s="26" t="str">
        <f>IF($E1857="","",IFERROR(INDEX(科目表!$E$4:$E$81,MATCH($E1857,科目表!$B$4:$B$81,0)),""))</f>
        <v/>
      </c>
      <c r="H1857" s="27" t="str">
        <f>IF($E1857="","",N(INDEX(资金日记账!$N$4:$S$603,474,5)))</f>
        <v/>
      </c>
      <c r="I1857" s="27" t="str">
        <f>IF($E1857="","",N(INDEX(资金日记账!$N$4:$S$603,474,6)))</f>
        <v/>
      </c>
      <c r="J1857" s="26" t="str">
        <f>IF($E1857="","",INDEX(资金日记账!$E$4:$E$603,474))</f>
        <v/>
      </c>
      <c r="K1857" s="26" t="str">
        <f>IF($E1857="","",INDEX(资金日记账!$F$4:$F$603,474))</f>
        <v/>
      </c>
      <c r="L1857" s="32" t="str">
        <f>IF($E1857="","",INDEX(资金日记账!$X$4:$X$603,474))</f>
        <v/>
      </c>
      <c r="M1857" s="32"/>
      <c r="N1857" s="26" t="str">
        <f>IF($E1857="","",INDEX(资金日记账!$Y$4:$Y$603,474))</f>
        <v/>
      </c>
      <c r="O1857" s="26" t="str">
        <f t="shared" si="88"/>
        <v/>
      </c>
      <c r="P1857" s="10"/>
    </row>
    <row r="1858" ht="18" customHeight="1" spans="1:16">
      <c r="A1858" s="32" t="str">
        <f t="shared" si="87"/>
        <v/>
      </c>
      <c r="B1858" s="100" t="str">
        <f>IF($E1858="","",INDEX(资金日记账!$B$4:$B$603,475))</f>
        <v/>
      </c>
      <c r="C1858" s="26" t="str">
        <f>IF($E1858="","",IF(INDEX(资金日记账!$W$4:$W$603,475)="","记-"&amp;TEXT($B1858,"YYYYMM")&amp;"-资金",INDEX(资金日记账!$W$4:$W$603,475)))</f>
        <v/>
      </c>
      <c r="D1858" s="32" t="str">
        <f>IF($E1858="","",INDEX(资金日记账!$D$4:$D$603,475))</f>
        <v/>
      </c>
      <c r="E1858" s="26" t="str">
        <f>IF(INDEX(资金日记账!$N$4:$S$603,475,1)=0,"",INDEX(资金日记账!$N$4:$S$603,475,1))</f>
        <v/>
      </c>
      <c r="F1858" s="25" t="str">
        <f>IF($E1858="","",IFERROR(INDEX(科目表!$A$4:$A$81,MATCH($E1858,科目表!$B$4:$B$81,0)),""))</f>
        <v/>
      </c>
      <c r="G1858" s="26" t="str">
        <f>IF($E1858="","",IFERROR(INDEX(科目表!$E$4:$E$81,MATCH($E1858,科目表!$B$4:$B$81,0)),""))</f>
        <v/>
      </c>
      <c r="H1858" s="27" t="str">
        <f>IF($E1858="","",N(INDEX(资金日记账!$N$4:$S$603,475,2)))</f>
        <v/>
      </c>
      <c r="I1858" s="27" t="str">
        <f>IF($E1858="","",N(INDEX(资金日记账!$N$4:$S$603,475,3)))</f>
        <v/>
      </c>
      <c r="J1858" s="26" t="str">
        <f>IF($E1858="","",INDEX(资金日记账!$E$4:$E$603,475))</f>
        <v/>
      </c>
      <c r="K1858" s="26" t="str">
        <f>IF($E1858="","",INDEX(资金日记账!$F$4:$F$603,475))</f>
        <v/>
      </c>
      <c r="L1858" s="32" t="str">
        <f>IF($E1858="","",INDEX(资金日记账!$X$4:$X$603,475))</f>
        <v/>
      </c>
      <c r="M1858" s="32"/>
      <c r="N1858" s="26" t="str">
        <f>IF($E1858="","",INDEX(资金日记账!$Y$4:$Y$603,475))</f>
        <v/>
      </c>
      <c r="O1858" s="26" t="str">
        <f t="shared" si="88"/>
        <v/>
      </c>
      <c r="P1858" s="10"/>
    </row>
    <row r="1859" ht="18" customHeight="1" spans="1:16">
      <c r="A1859" s="32" t="str">
        <f t="shared" si="87"/>
        <v/>
      </c>
      <c r="B1859" s="100" t="str">
        <f>IF($E1859="","",INDEX(资金日记账!$B$4:$B$603,475))</f>
        <v/>
      </c>
      <c r="C1859" s="26" t="str">
        <f>IF($E1859="","",IF(INDEX(资金日记账!$W$4:$W$603,475)="","记-"&amp;TEXT($B1859,"YYYYMM")&amp;"-资金",INDEX(资金日记账!$W$4:$W$603,475)))</f>
        <v/>
      </c>
      <c r="D1859" s="32" t="str">
        <f>IF($E1859="","",INDEX(资金日记账!$D$4:$D$603,475))</f>
        <v/>
      </c>
      <c r="E1859" s="26" t="str">
        <f>IF(INDEX(资金日记账!$N$4:$S$603,475,4)=0,"",INDEX(资金日记账!$N$4:$S$603,475,4))</f>
        <v/>
      </c>
      <c r="F1859" s="25" t="str">
        <f>IF($E1859="","",IFERROR(INDEX(科目表!$A$4:$A$81,MATCH($E1859,科目表!$B$4:$B$81,0)),""))</f>
        <v/>
      </c>
      <c r="G1859" s="26" t="str">
        <f>IF($E1859="","",IFERROR(INDEX(科目表!$E$4:$E$81,MATCH($E1859,科目表!$B$4:$B$81,0)),""))</f>
        <v/>
      </c>
      <c r="H1859" s="27" t="str">
        <f>IF($E1859="","",N(INDEX(资金日记账!$N$4:$S$603,475,5)))</f>
        <v/>
      </c>
      <c r="I1859" s="27" t="str">
        <f>IF($E1859="","",N(INDEX(资金日记账!$N$4:$S$603,475,6)))</f>
        <v/>
      </c>
      <c r="J1859" s="26" t="str">
        <f>IF($E1859="","",INDEX(资金日记账!$E$4:$E$603,475))</f>
        <v/>
      </c>
      <c r="K1859" s="26" t="str">
        <f>IF($E1859="","",INDEX(资金日记账!$F$4:$F$603,475))</f>
        <v/>
      </c>
      <c r="L1859" s="32" t="str">
        <f>IF($E1859="","",INDEX(资金日记账!$X$4:$X$603,475))</f>
        <v/>
      </c>
      <c r="M1859" s="32"/>
      <c r="N1859" s="26" t="str">
        <f>IF($E1859="","",INDEX(资金日记账!$Y$4:$Y$603,475))</f>
        <v/>
      </c>
      <c r="O1859" s="26" t="str">
        <f t="shared" si="88"/>
        <v/>
      </c>
      <c r="P1859" s="10"/>
    </row>
    <row r="1860" ht="18" customHeight="1" spans="1:16">
      <c r="A1860" s="32" t="str">
        <f t="shared" ref="A1860:A1923" si="89">IF($E1860="","",ROW()-3)</f>
        <v/>
      </c>
      <c r="B1860" s="100" t="str">
        <f>IF($E1860="","",INDEX(资金日记账!$B$4:$B$603,476))</f>
        <v/>
      </c>
      <c r="C1860" s="26" t="str">
        <f>IF($E1860="","",IF(INDEX(资金日记账!$W$4:$W$603,476)="","记-"&amp;TEXT($B1860,"YYYYMM")&amp;"-资金",INDEX(资金日记账!$W$4:$W$603,476)))</f>
        <v/>
      </c>
      <c r="D1860" s="32" t="str">
        <f>IF($E1860="","",INDEX(资金日记账!$D$4:$D$603,476))</f>
        <v/>
      </c>
      <c r="E1860" s="26" t="str">
        <f>IF(INDEX(资金日记账!$N$4:$S$603,476,1)=0,"",INDEX(资金日记账!$N$4:$S$603,476,1))</f>
        <v/>
      </c>
      <c r="F1860" s="25" t="str">
        <f>IF($E1860="","",IFERROR(INDEX(科目表!$A$4:$A$81,MATCH($E1860,科目表!$B$4:$B$81,0)),""))</f>
        <v/>
      </c>
      <c r="G1860" s="26" t="str">
        <f>IF($E1860="","",IFERROR(INDEX(科目表!$E$4:$E$81,MATCH($E1860,科目表!$B$4:$B$81,0)),""))</f>
        <v/>
      </c>
      <c r="H1860" s="27" t="str">
        <f>IF($E1860="","",N(INDEX(资金日记账!$N$4:$S$603,476,2)))</f>
        <v/>
      </c>
      <c r="I1860" s="27" t="str">
        <f>IF($E1860="","",N(INDEX(资金日记账!$N$4:$S$603,476,3)))</f>
        <v/>
      </c>
      <c r="J1860" s="26" t="str">
        <f>IF($E1860="","",INDEX(资金日记账!$E$4:$E$603,476))</f>
        <v/>
      </c>
      <c r="K1860" s="26" t="str">
        <f>IF($E1860="","",INDEX(资金日记账!$F$4:$F$603,476))</f>
        <v/>
      </c>
      <c r="L1860" s="32" t="str">
        <f>IF($E1860="","",INDEX(资金日记账!$X$4:$X$603,476))</f>
        <v/>
      </c>
      <c r="M1860" s="32"/>
      <c r="N1860" s="26" t="str">
        <f>IF($E1860="","",INDEX(资金日记账!$Y$4:$Y$603,476))</f>
        <v/>
      </c>
      <c r="O1860" s="26" t="str">
        <f t="shared" si="88"/>
        <v/>
      </c>
      <c r="P1860" s="10"/>
    </row>
    <row r="1861" ht="18" customHeight="1" spans="1:16">
      <c r="A1861" s="32" t="str">
        <f t="shared" si="89"/>
        <v/>
      </c>
      <c r="B1861" s="100" t="str">
        <f>IF($E1861="","",INDEX(资金日记账!$B$4:$B$603,476))</f>
        <v/>
      </c>
      <c r="C1861" s="26" t="str">
        <f>IF($E1861="","",IF(INDEX(资金日记账!$W$4:$W$603,476)="","记-"&amp;TEXT($B1861,"YYYYMM")&amp;"-资金",INDEX(资金日记账!$W$4:$W$603,476)))</f>
        <v/>
      </c>
      <c r="D1861" s="32" t="str">
        <f>IF($E1861="","",INDEX(资金日记账!$D$4:$D$603,476))</f>
        <v/>
      </c>
      <c r="E1861" s="26" t="str">
        <f>IF(INDEX(资金日记账!$N$4:$S$603,476,4)=0,"",INDEX(资金日记账!$N$4:$S$603,476,4))</f>
        <v/>
      </c>
      <c r="F1861" s="25" t="str">
        <f>IF($E1861="","",IFERROR(INDEX(科目表!$A$4:$A$81,MATCH($E1861,科目表!$B$4:$B$81,0)),""))</f>
        <v/>
      </c>
      <c r="G1861" s="26" t="str">
        <f>IF($E1861="","",IFERROR(INDEX(科目表!$E$4:$E$81,MATCH($E1861,科目表!$B$4:$B$81,0)),""))</f>
        <v/>
      </c>
      <c r="H1861" s="27" t="str">
        <f>IF($E1861="","",N(INDEX(资金日记账!$N$4:$S$603,476,5)))</f>
        <v/>
      </c>
      <c r="I1861" s="27" t="str">
        <f>IF($E1861="","",N(INDEX(资金日记账!$N$4:$S$603,476,6)))</f>
        <v/>
      </c>
      <c r="J1861" s="26" t="str">
        <f>IF($E1861="","",INDEX(资金日记账!$E$4:$E$603,476))</f>
        <v/>
      </c>
      <c r="K1861" s="26" t="str">
        <f>IF($E1861="","",INDEX(资金日记账!$F$4:$F$603,476))</f>
        <v/>
      </c>
      <c r="L1861" s="32" t="str">
        <f>IF($E1861="","",INDEX(资金日记账!$X$4:$X$603,476))</f>
        <v/>
      </c>
      <c r="M1861" s="32"/>
      <c r="N1861" s="26" t="str">
        <f>IF($E1861="","",INDEX(资金日记账!$Y$4:$Y$603,476))</f>
        <v/>
      </c>
      <c r="O1861" s="26" t="str">
        <f t="shared" si="88"/>
        <v/>
      </c>
      <c r="P1861" s="10"/>
    </row>
    <row r="1862" ht="18" customHeight="1" spans="1:16">
      <c r="A1862" s="32" t="str">
        <f t="shared" si="89"/>
        <v/>
      </c>
      <c r="B1862" s="100" t="str">
        <f>IF($E1862="","",INDEX(资金日记账!$B$4:$B$603,477))</f>
        <v/>
      </c>
      <c r="C1862" s="26" t="str">
        <f>IF($E1862="","",IF(INDEX(资金日记账!$W$4:$W$603,477)="","记-"&amp;TEXT($B1862,"YYYYMM")&amp;"-资金",INDEX(资金日记账!$W$4:$W$603,477)))</f>
        <v/>
      </c>
      <c r="D1862" s="32" t="str">
        <f>IF($E1862="","",INDEX(资金日记账!$D$4:$D$603,477))</f>
        <v/>
      </c>
      <c r="E1862" s="26" t="str">
        <f>IF(INDEX(资金日记账!$N$4:$S$603,477,1)=0,"",INDEX(资金日记账!$N$4:$S$603,477,1))</f>
        <v/>
      </c>
      <c r="F1862" s="25" t="str">
        <f>IF($E1862="","",IFERROR(INDEX(科目表!$A$4:$A$81,MATCH($E1862,科目表!$B$4:$B$81,0)),""))</f>
        <v/>
      </c>
      <c r="G1862" s="26" t="str">
        <f>IF($E1862="","",IFERROR(INDEX(科目表!$E$4:$E$81,MATCH($E1862,科目表!$B$4:$B$81,0)),""))</f>
        <v/>
      </c>
      <c r="H1862" s="27" t="str">
        <f>IF($E1862="","",N(INDEX(资金日记账!$N$4:$S$603,477,2)))</f>
        <v/>
      </c>
      <c r="I1862" s="27" t="str">
        <f>IF($E1862="","",N(INDEX(资金日记账!$N$4:$S$603,477,3)))</f>
        <v/>
      </c>
      <c r="J1862" s="26" t="str">
        <f>IF($E1862="","",INDEX(资金日记账!$E$4:$E$603,477))</f>
        <v/>
      </c>
      <c r="K1862" s="26" t="str">
        <f>IF($E1862="","",INDEX(资金日记账!$F$4:$F$603,477))</f>
        <v/>
      </c>
      <c r="L1862" s="32" t="str">
        <f>IF($E1862="","",INDEX(资金日记账!$X$4:$X$603,477))</f>
        <v/>
      </c>
      <c r="M1862" s="32"/>
      <c r="N1862" s="26" t="str">
        <f>IF($E1862="","",INDEX(资金日记账!$Y$4:$Y$603,477))</f>
        <v/>
      </c>
      <c r="O1862" s="26" t="str">
        <f t="shared" si="88"/>
        <v/>
      </c>
      <c r="P1862" s="10"/>
    </row>
    <row r="1863" ht="18" customHeight="1" spans="1:16">
      <c r="A1863" s="32" t="str">
        <f t="shared" si="89"/>
        <v/>
      </c>
      <c r="B1863" s="100" t="str">
        <f>IF($E1863="","",INDEX(资金日记账!$B$4:$B$603,477))</f>
        <v/>
      </c>
      <c r="C1863" s="26" t="str">
        <f>IF($E1863="","",IF(INDEX(资金日记账!$W$4:$W$603,477)="","记-"&amp;TEXT($B1863,"YYYYMM")&amp;"-资金",INDEX(资金日记账!$W$4:$W$603,477)))</f>
        <v/>
      </c>
      <c r="D1863" s="32" t="str">
        <f>IF($E1863="","",INDEX(资金日记账!$D$4:$D$603,477))</f>
        <v/>
      </c>
      <c r="E1863" s="26" t="str">
        <f>IF(INDEX(资金日记账!$N$4:$S$603,477,4)=0,"",INDEX(资金日记账!$N$4:$S$603,477,4))</f>
        <v/>
      </c>
      <c r="F1863" s="25" t="str">
        <f>IF($E1863="","",IFERROR(INDEX(科目表!$A$4:$A$81,MATCH($E1863,科目表!$B$4:$B$81,0)),""))</f>
        <v/>
      </c>
      <c r="G1863" s="26" t="str">
        <f>IF($E1863="","",IFERROR(INDEX(科目表!$E$4:$E$81,MATCH($E1863,科目表!$B$4:$B$81,0)),""))</f>
        <v/>
      </c>
      <c r="H1863" s="27" t="str">
        <f>IF($E1863="","",N(INDEX(资金日记账!$N$4:$S$603,477,5)))</f>
        <v/>
      </c>
      <c r="I1863" s="27" t="str">
        <f>IF($E1863="","",N(INDEX(资金日记账!$N$4:$S$603,477,6)))</f>
        <v/>
      </c>
      <c r="J1863" s="26" t="str">
        <f>IF($E1863="","",INDEX(资金日记账!$E$4:$E$603,477))</f>
        <v/>
      </c>
      <c r="K1863" s="26" t="str">
        <f>IF($E1863="","",INDEX(资金日记账!$F$4:$F$603,477))</f>
        <v/>
      </c>
      <c r="L1863" s="32" t="str">
        <f>IF($E1863="","",INDEX(资金日记账!$X$4:$X$603,477))</f>
        <v/>
      </c>
      <c r="M1863" s="32"/>
      <c r="N1863" s="26" t="str">
        <f>IF($E1863="","",INDEX(资金日记账!$Y$4:$Y$603,477))</f>
        <v/>
      </c>
      <c r="O1863" s="26" t="str">
        <f t="shared" si="88"/>
        <v/>
      </c>
      <c r="P1863" s="10"/>
    </row>
    <row r="1864" ht="18" customHeight="1" spans="1:16">
      <c r="A1864" s="32" t="str">
        <f t="shared" si="89"/>
        <v/>
      </c>
      <c r="B1864" s="100" t="str">
        <f>IF($E1864="","",INDEX(资金日记账!$B$4:$B$603,478))</f>
        <v/>
      </c>
      <c r="C1864" s="26" t="str">
        <f>IF($E1864="","",IF(INDEX(资金日记账!$W$4:$W$603,478)="","记-"&amp;TEXT($B1864,"YYYYMM")&amp;"-资金",INDEX(资金日记账!$W$4:$W$603,478)))</f>
        <v/>
      </c>
      <c r="D1864" s="32" t="str">
        <f>IF($E1864="","",INDEX(资金日记账!$D$4:$D$603,478))</f>
        <v/>
      </c>
      <c r="E1864" s="26" t="str">
        <f>IF(INDEX(资金日记账!$N$4:$S$603,478,1)=0,"",INDEX(资金日记账!$N$4:$S$603,478,1))</f>
        <v/>
      </c>
      <c r="F1864" s="25" t="str">
        <f>IF($E1864="","",IFERROR(INDEX(科目表!$A$4:$A$81,MATCH($E1864,科目表!$B$4:$B$81,0)),""))</f>
        <v/>
      </c>
      <c r="G1864" s="26" t="str">
        <f>IF($E1864="","",IFERROR(INDEX(科目表!$E$4:$E$81,MATCH($E1864,科目表!$B$4:$B$81,0)),""))</f>
        <v/>
      </c>
      <c r="H1864" s="27" t="str">
        <f>IF($E1864="","",N(INDEX(资金日记账!$N$4:$S$603,478,2)))</f>
        <v/>
      </c>
      <c r="I1864" s="27" t="str">
        <f>IF($E1864="","",N(INDEX(资金日记账!$N$4:$S$603,478,3)))</f>
        <v/>
      </c>
      <c r="J1864" s="26" t="str">
        <f>IF($E1864="","",INDEX(资金日记账!$E$4:$E$603,478))</f>
        <v/>
      </c>
      <c r="K1864" s="26" t="str">
        <f>IF($E1864="","",INDEX(资金日记账!$F$4:$F$603,478))</f>
        <v/>
      </c>
      <c r="L1864" s="32" t="str">
        <f>IF($E1864="","",INDEX(资金日记账!$X$4:$X$603,478))</f>
        <v/>
      </c>
      <c r="M1864" s="32"/>
      <c r="N1864" s="26" t="str">
        <f>IF($E1864="","",INDEX(资金日记账!$Y$4:$Y$603,478))</f>
        <v/>
      </c>
      <c r="O1864" s="26" t="str">
        <f t="shared" si="88"/>
        <v/>
      </c>
      <c r="P1864" s="10"/>
    </row>
    <row r="1865" ht="18" customHeight="1" spans="1:16">
      <c r="A1865" s="32" t="str">
        <f t="shared" si="89"/>
        <v/>
      </c>
      <c r="B1865" s="100" t="str">
        <f>IF($E1865="","",INDEX(资金日记账!$B$4:$B$603,478))</f>
        <v/>
      </c>
      <c r="C1865" s="26" t="str">
        <f>IF($E1865="","",IF(INDEX(资金日记账!$W$4:$W$603,478)="","记-"&amp;TEXT($B1865,"YYYYMM")&amp;"-资金",INDEX(资金日记账!$W$4:$W$603,478)))</f>
        <v/>
      </c>
      <c r="D1865" s="32" t="str">
        <f>IF($E1865="","",INDEX(资金日记账!$D$4:$D$603,478))</f>
        <v/>
      </c>
      <c r="E1865" s="26" t="str">
        <f>IF(INDEX(资金日记账!$N$4:$S$603,478,4)=0,"",INDEX(资金日记账!$N$4:$S$603,478,4))</f>
        <v/>
      </c>
      <c r="F1865" s="25" t="str">
        <f>IF($E1865="","",IFERROR(INDEX(科目表!$A$4:$A$81,MATCH($E1865,科目表!$B$4:$B$81,0)),""))</f>
        <v/>
      </c>
      <c r="G1865" s="26" t="str">
        <f>IF($E1865="","",IFERROR(INDEX(科目表!$E$4:$E$81,MATCH($E1865,科目表!$B$4:$B$81,0)),""))</f>
        <v/>
      </c>
      <c r="H1865" s="27" t="str">
        <f>IF($E1865="","",N(INDEX(资金日记账!$N$4:$S$603,478,5)))</f>
        <v/>
      </c>
      <c r="I1865" s="27" t="str">
        <f>IF($E1865="","",N(INDEX(资金日记账!$N$4:$S$603,478,6)))</f>
        <v/>
      </c>
      <c r="J1865" s="26" t="str">
        <f>IF($E1865="","",INDEX(资金日记账!$E$4:$E$603,478))</f>
        <v/>
      </c>
      <c r="K1865" s="26" t="str">
        <f>IF($E1865="","",INDEX(资金日记账!$F$4:$F$603,478))</f>
        <v/>
      </c>
      <c r="L1865" s="32" t="str">
        <f>IF($E1865="","",INDEX(资金日记账!$X$4:$X$603,478))</f>
        <v/>
      </c>
      <c r="M1865" s="32"/>
      <c r="N1865" s="26" t="str">
        <f>IF($E1865="","",INDEX(资金日记账!$Y$4:$Y$603,478))</f>
        <v/>
      </c>
      <c r="O1865" s="26" t="str">
        <f t="shared" si="88"/>
        <v/>
      </c>
      <c r="P1865" s="10"/>
    </row>
    <row r="1866" ht="18" customHeight="1" spans="1:16">
      <c r="A1866" s="32" t="str">
        <f t="shared" si="89"/>
        <v/>
      </c>
      <c r="B1866" s="100" t="str">
        <f>IF($E1866="","",INDEX(资金日记账!$B$4:$B$603,479))</f>
        <v/>
      </c>
      <c r="C1866" s="26" t="str">
        <f>IF($E1866="","",IF(INDEX(资金日记账!$W$4:$W$603,479)="","记-"&amp;TEXT($B1866,"YYYYMM")&amp;"-资金",INDEX(资金日记账!$W$4:$W$603,479)))</f>
        <v/>
      </c>
      <c r="D1866" s="32" t="str">
        <f>IF($E1866="","",INDEX(资金日记账!$D$4:$D$603,479))</f>
        <v/>
      </c>
      <c r="E1866" s="26" t="str">
        <f>IF(INDEX(资金日记账!$N$4:$S$603,479,1)=0,"",INDEX(资金日记账!$N$4:$S$603,479,1))</f>
        <v/>
      </c>
      <c r="F1866" s="25" t="str">
        <f>IF($E1866="","",IFERROR(INDEX(科目表!$A$4:$A$81,MATCH($E1866,科目表!$B$4:$B$81,0)),""))</f>
        <v/>
      </c>
      <c r="G1866" s="26" t="str">
        <f>IF($E1866="","",IFERROR(INDEX(科目表!$E$4:$E$81,MATCH($E1866,科目表!$B$4:$B$81,0)),""))</f>
        <v/>
      </c>
      <c r="H1866" s="27" t="str">
        <f>IF($E1866="","",N(INDEX(资金日记账!$N$4:$S$603,479,2)))</f>
        <v/>
      </c>
      <c r="I1866" s="27" t="str">
        <f>IF($E1866="","",N(INDEX(资金日记账!$N$4:$S$603,479,3)))</f>
        <v/>
      </c>
      <c r="J1866" s="26" t="str">
        <f>IF($E1866="","",INDEX(资金日记账!$E$4:$E$603,479))</f>
        <v/>
      </c>
      <c r="K1866" s="26" t="str">
        <f>IF($E1866="","",INDEX(资金日记账!$F$4:$F$603,479))</f>
        <v/>
      </c>
      <c r="L1866" s="32" t="str">
        <f>IF($E1866="","",INDEX(资金日记账!$X$4:$X$603,479))</f>
        <v/>
      </c>
      <c r="M1866" s="32"/>
      <c r="N1866" s="26" t="str">
        <f>IF($E1866="","",INDEX(资金日记账!$Y$4:$Y$603,479))</f>
        <v/>
      </c>
      <c r="O1866" s="26" t="str">
        <f t="shared" si="88"/>
        <v/>
      </c>
      <c r="P1866" s="10"/>
    </row>
    <row r="1867" ht="18" customHeight="1" spans="1:16">
      <c r="A1867" s="32" t="str">
        <f t="shared" si="89"/>
        <v/>
      </c>
      <c r="B1867" s="100" t="str">
        <f>IF($E1867="","",INDEX(资金日记账!$B$4:$B$603,479))</f>
        <v/>
      </c>
      <c r="C1867" s="26" t="str">
        <f>IF($E1867="","",IF(INDEX(资金日记账!$W$4:$W$603,479)="","记-"&amp;TEXT($B1867,"YYYYMM")&amp;"-资金",INDEX(资金日记账!$W$4:$W$603,479)))</f>
        <v/>
      </c>
      <c r="D1867" s="32" t="str">
        <f>IF($E1867="","",INDEX(资金日记账!$D$4:$D$603,479))</f>
        <v/>
      </c>
      <c r="E1867" s="26" t="str">
        <f>IF(INDEX(资金日记账!$N$4:$S$603,479,4)=0,"",INDEX(资金日记账!$N$4:$S$603,479,4))</f>
        <v/>
      </c>
      <c r="F1867" s="25" t="str">
        <f>IF($E1867="","",IFERROR(INDEX(科目表!$A$4:$A$81,MATCH($E1867,科目表!$B$4:$B$81,0)),""))</f>
        <v/>
      </c>
      <c r="G1867" s="26" t="str">
        <f>IF($E1867="","",IFERROR(INDEX(科目表!$E$4:$E$81,MATCH($E1867,科目表!$B$4:$B$81,0)),""))</f>
        <v/>
      </c>
      <c r="H1867" s="27" t="str">
        <f>IF($E1867="","",N(INDEX(资金日记账!$N$4:$S$603,479,5)))</f>
        <v/>
      </c>
      <c r="I1867" s="27" t="str">
        <f>IF($E1867="","",N(INDEX(资金日记账!$N$4:$S$603,479,6)))</f>
        <v/>
      </c>
      <c r="J1867" s="26" t="str">
        <f>IF($E1867="","",INDEX(资金日记账!$E$4:$E$603,479))</f>
        <v/>
      </c>
      <c r="K1867" s="26" t="str">
        <f>IF($E1867="","",INDEX(资金日记账!$F$4:$F$603,479))</f>
        <v/>
      </c>
      <c r="L1867" s="32" t="str">
        <f>IF($E1867="","",INDEX(资金日记账!$X$4:$X$603,479))</f>
        <v/>
      </c>
      <c r="M1867" s="32"/>
      <c r="N1867" s="26" t="str">
        <f>IF($E1867="","",INDEX(资金日记账!$Y$4:$Y$603,479))</f>
        <v/>
      </c>
      <c r="O1867" s="26" t="str">
        <f t="shared" si="88"/>
        <v/>
      </c>
      <c r="P1867" s="10"/>
    </row>
    <row r="1868" ht="18" customHeight="1" spans="1:16">
      <c r="A1868" s="32" t="str">
        <f t="shared" si="89"/>
        <v/>
      </c>
      <c r="B1868" s="100" t="str">
        <f>IF($E1868="","",INDEX(资金日记账!$B$4:$B$603,480))</f>
        <v/>
      </c>
      <c r="C1868" s="26" t="str">
        <f>IF($E1868="","",IF(INDEX(资金日记账!$W$4:$W$603,480)="","记-"&amp;TEXT($B1868,"YYYYMM")&amp;"-资金",INDEX(资金日记账!$W$4:$W$603,480)))</f>
        <v/>
      </c>
      <c r="D1868" s="32" t="str">
        <f>IF($E1868="","",INDEX(资金日记账!$D$4:$D$603,480))</f>
        <v/>
      </c>
      <c r="E1868" s="26" t="str">
        <f>IF(INDEX(资金日记账!$N$4:$S$603,480,1)=0,"",INDEX(资金日记账!$N$4:$S$603,480,1))</f>
        <v/>
      </c>
      <c r="F1868" s="25" t="str">
        <f>IF($E1868="","",IFERROR(INDEX(科目表!$A$4:$A$81,MATCH($E1868,科目表!$B$4:$B$81,0)),""))</f>
        <v/>
      </c>
      <c r="G1868" s="26" t="str">
        <f>IF($E1868="","",IFERROR(INDEX(科目表!$E$4:$E$81,MATCH($E1868,科目表!$B$4:$B$81,0)),""))</f>
        <v/>
      </c>
      <c r="H1868" s="27" t="str">
        <f>IF($E1868="","",N(INDEX(资金日记账!$N$4:$S$603,480,2)))</f>
        <v/>
      </c>
      <c r="I1868" s="27" t="str">
        <f>IF($E1868="","",N(INDEX(资金日记账!$N$4:$S$603,480,3)))</f>
        <v/>
      </c>
      <c r="J1868" s="26" t="str">
        <f>IF($E1868="","",INDEX(资金日记账!$E$4:$E$603,480))</f>
        <v/>
      </c>
      <c r="K1868" s="26" t="str">
        <f>IF($E1868="","",INDEX(资金日记账!$F$4:$F$603,480))</f>
        <v/>
      </c>
      <c r="L1868" s="32" t="str">
        <f>IF($E1868="","",INDEX(资金日记账!$X$4:$X$603,480))</f>
        <v/>
      </c>
      <c r="M1868" s="32"/>
      <c r="N1868" s="26" t="str">
        <f>IF($E1868="","",INDEX(资金日记账!$Y$4:$Y$603,480))</f>
        <v/>
      </c>
      <c r="O1868" s="26" t="str">
        <f t="shared" si="88"/>
        <v/>
      </c>
      <c r="P1868" s="10"/>
    </row>
    <row r="1869" ht="18" customHeight="1" spans="1:16">
      <c r="A1869" s="32" t="str">
        <f t="shared" si="89"/>
        <v/>
      </c>
      <c r="B1869" s="100" t="str">
        <f>IF($E1869="","",INDEX(资金日记账!$B$4:$B$603,480))</f>
        <v/>
      </c>
      <c r="C1869" s="26" t="str">
        <f>IF($E1869="","",IF(INDEX(资金日记账!$W$4:$W$603,480)="","记-"&amp;TEXT($B1869,"YYYYMM")&amp;"-资金",INDEX(资金日记账!$W$4:$W$603,480)))</f>
        <v/>
      </c>
      <c r="D1869" s="32" t="str">
        <f>IF($E1869="","",INDEX(资金日记账!$D$4:$D$603,480))</f>
        <v/>
      </c>
      <c r="E1869" s="26" t="str">
        <f>IF(INDEX(资金日记账!$N$4:$S$603,480,4)=0,"",INDEX(资金日记账!$N$4:$S$603,480,4))</f>
        <v/>
      </c>
      <c r="F1869" s="25" t="str">
        <f>IF($E1869="","",IFERROR(INDEX(科目表!$A$4:$A$81,MATCH($E1869,科目表!$B$4:$B$81,0)),""))</f>
        <v/>
      </c>
      <c r="G1869" s="26" t="str">
        <f>IF($E1869="","",IFERROR(INDEX(科目表!$E$4:$E$81,MATCH($E1869,科目表!$B$4:$B$81,0)),""))</f>
        <v/>
      </c>
      <c r="H1869" s="27" t="str">
        <f>IF($E1869="","",N(INDEX(资金日记账!$N$4:$S$603,480,5)))</f>
        <v/>
      </c>
      <c r="I1869" s="27" t="str">
        <f>IF($E1869="","",N(INDEX(资金日记账!$N$4:$S$603,480,6)))</f>
        <v/>
      </c>
      <c r="J1869" s="26" t="str">
        <f>IF($E1869="","",INDEX(资金日记账!$E$4:$E$603,480))</f>
        <v/>
      </c>
      <c r="K1869" s="26" t="str">
        <f>IF($E1869="","",INDEX(资金日记账!$F$4:$F$603,480))</f>
        <v/>
      </c>
      <c r="L1869" s="32" t="str">
        <f>IF($E1869="","",INDEX(资金日记账!$X$4:$X$603,480))</f>
        <v/>
      </c>
      <c r="M1869" s="32"/>
      <c r="N1869" s="26" t="str">
        <f>IF($E1869="","",INDEX(资金日记账!$Y$4:$Y$603,480))</f>
        <v/>
      </c>
      <c r="O1869" s="26" t="str">
        <f t="shared" si="88"/>
        <v/>
      </c>
      <c r="P1869" s="10"/>
    </row>
    <row r="1870" ht="18" customHeight="1" spans="1:16">
      <c r="A1870" s="32" t="str">
        <f t="shared" si="89"/>
        <v/>
      </c>
      <c r="B1870" s="100" t="str">
        <f>IF($E1870="","",INDEX(资金日记账!$B$4:$B$603,481))</f>
        <v/>
      </c>
      <c r="C1870" s="26" t="str">
        <f>IF($E1870="","",IF(INDEX(资金日记账!$W$4:$W$603,481)="","记-"&amp;TEXT($B1870,"YYYYMM")&amp;"-资金",INDEX(资金日记账!$W$4:$W$603,481)))</f>
        <v/>
      </c>
      <c r="D1870" s="32" t="str">
        <f>IF($E1870="","",INDEX(资金日记账!$D$4:$D$603,481))</f>
        <v/>
      </c>
      <c r="E1870" s="26" t="str">
        <f>IF(INDEX(资金日记账!$N$4:$S$603,481,1)=0,"",INDEX(资金日记账!$N$4:$S$603,481,1))</f>
        <v/>
      </c>
      <c r="F1870" s="25" t="str">
        <f>IF($E1870="","",IFERROR(INDEX(科目表!$A$4:$A$81,MATCH($E1870,科目表!$B$4:$B$81,0)),""))</f>
        <v/>
      </c>
      <c r="G1870" s="26" t="str">
        <f>IF($E1870="","",IFERROR(INDEX(科目表!$E$4:$E$81,MATCH($E1870,科目表!$B$4:$B$81,0)),""))</f>
        <v/>
      </c>
      <c r="H1870" s="27" t="str">
        <f>IF($E1870="","",N(INDEX(资金日记账!$N$4:$S$603,481,2)))</f>
        <v/>
      </c>
      <c r="I1870" s="27" t="str">
        <f>IF($E1870="","",N(INDEX(资金日记账!$N$4:$S$603,481,3)))</f>
        <v/>
      </c>
      <c r="J1870" s="26" t="str">
        <f>IF($E1870="","",INDEX(资金日记账!$E$4:$E$603,481))</f>
        <v/>
      </c>
      <c r="K1870" s="26" t="str">
        <f>IF($E1870="","",INDEX(资金日记账!$F$4:$F$603,481))</f>
        <v/>
      </c>
      <c r="L1870" s="32" t="str">
        <f>IF($E1870="","",INDEX(资金日记账!$X$4:$X$603,481))</f>
        <v/>
      </c>
      <c r="M1870" s="32"/>
      <c r="N1870" s="26" t="str">
        <f>IF($E1870="","",INDEX(资金日记账!$Y$4:$Y$603,481))</f>
        <v/>
      </c>
      <c r="O1870" s="26" t="str">
        <f t="shared" ref="O1870:O1933" si="90">IF($E1870="","","自动B")</f>
        <v/>
      </c>
      <c r="P1870" s="10"/>
    </row>
    <row r="1871" ht="18" customHeight="1" spans="1:16">
      <c r="A1871" s="32" t="str">
        <f t="shared" si="89"/>
        <v/>
      </c>
      <c r="B1871" s="100" t="str">
        <f>IF($E1871="","",INDEX(资金日记账!$B$4:$B$603,481))</f>
        <v/>
      </c>
      <c r="C1871" s="26" t="str">
        <f>IF($E1871="","",IF(INDEX(资金日记账!$W$4:$W$603,481)="","记-"&amp;TEXT($B1871,"YYYYMM")&amp;"-资金",INDEX(资金日记账!$W$4:$W$603,481)))</f>
        <v/>
      </c>
      <c r="D1871" s="32" t="str">
        <f>IF($E1871="","",INDEX(资金日记账!$D$4:$D$603,481))</f>
        <v/>
      </c>
      <c r="E1871" s="26" t="str">
        <f>IF(INDEX(资金日记账!$N$4:$S$603,481,4)=0,"",INDEX(资金日记账!$N$4:$S$603,481,4))</f>
        <v/>
      </c>
      <c r="F1871" s="25" t="str">
        <f>IF($E1871="","",IFERROR(INDEX(科目表!$A$4:$A$81,MATCH($E1871,科目表!$B$4:$B$81,0)),""))</f>
        <v/>
      </c>
      <c r="G1871" s="26" t="str">
        <f>IF($E1871="","",IFERROR(INDEX(科目表!$E$4:$E$81,MATCH($E1871,科目表!$B$4:$B$81,0)),""))</f>
        <v/>
      </c>
      <c r="H1871" s="27" t="str">
        <f>IF($E1871="","",N(INDEX(资金日记账!$N$4:$S$603,481,5)))</f>
        <v/>
      </c>
      <c r="I1871" s="27" t="str">
        <f>IF($E1871="","",N(INDEX(资金日记账!$N$4:$S$603,481,6)))</f>
        <v/>
      </c>
      <c r="J1871" s="26" t="str">
        <f>IF($E1871="","",INDEX(资金日记账!$E$4:$E$603,481))</f>
        <v/>
      </c>
      <c r="K1871" s="26" t="str">
        <f>IF($E1871="","",INDEX(资金日记账!$F$4:$F$603,481))</f>
        <v/>
      </c>
      <c r="L1871" s="32" t="str">
        <f>IF($E1871="","",INDEX(资金日记账!$X$4:$X$603,481))</f>
        <v/>
      </c>
      <c r="M1871" s="32"/>
      <c r="N1871" s="26" t="str">
        <f>IF($E1871="","",INDEX(资金日记账!$Y$4:$Y$603,481))</f>
        <v/>
      </c>
      <c r="O1871" s="26" t="str">
        <f t="shared" si="90"/>
        <v/>
      </c>
      <c r="P1871" s="10"/>
    </row>
    <row r="1872" ht="18" customHeight="1" spans="1:16">
      <c r="A1872" s="32" t="str">
        <f t="shared" si="89"/>
        <v/>
      </c>
      <c r="B1872" s="100" t="str">
        <f>IF($E1872="","",INDEX(资金日记账!$B$4:$B$603,482))</f>
        <v/>
      </c>
      <c r="C1872" s="26" t="str">
        <f>IF($E1872="","",IF(INDEX(资金日记账!$W$4:$W$603,482)="","记-"&amp;TEXT($B1872,"YYYYMM")&amp;"-资金",INDEX(资金日记账!$W$4:$W$603,482)))</f>
        <v/>
      </c>
      <c r="D1872" s="32" t="str">
        <f>IF($E1872="","",INDEX(资金日记账!$D$4:$D$603,482))</f>
        <v/>
      </c>
      <c r="E1872" s="26" t="str">
        <f>IF(INDEX(资金日记账!$N$4:$S$603,482,1)=0,"",INDEX(资金日记账!$N$4:$S$603,482,1))</f>
        <v/>
      </c>
      <c r="F1872" s="25" t="str">
        <f>IF($E1872="","",IFERROR(INDEX(科目表!$A$4:$A$81,MATCH($E1872,科目表!$B$4:$B$81,0)),""))</f>
        <v/>
      </c>
      <c r="G1872" s="26" t="str">
        <f>IF($E1872="","",IFERROR(INDEX(科目表!$E$4:$E$81,MATCH($E1872,科目表!$B$4:$B$81,0)),""))</f>
        <v/>
      </c>
      <c r="H1872" s="27" t="str">
        <f>IF($E1872="","",N(INDEX(资金日记账!$N$4:$S$603,482,2)))</f>
        <v/>
      </c>
      <c r="I1872" s="27" t="str">
        <f>IF($E1872="","",N(INDEX(资金日记账!$N$4:$S$603,482,3)))</f>
        <v/>
      </c>
      <c r="J1872" s="26" t="str">
        <f>IF($E1872="","",INDEX(资金日记账!$E$4:$E$603,482))</f>
        <v/>
      </c>
      <c r="K1872" s="26" t="str">
        <f>IF($E1872="","",INDEX(资金日记账!$F$4:$F$603,482))</f>
        <v/>
      </c>
      <c r="L1872" s="32" t="str">
        <f>IF($E1872="","",INDEX(资金日记账!$X$4:$X$603,482))</f>
        <v/>
      </c>
      <c r="M1872" s="32"/>
      <c r="N1872" s="26" t="str">
        <f>IF($E1872="","",INDEX(资金日记账!$Y$4:$Y$603,482))</f>
        <v/>
      </c>
      <c r="O1872" s="26" t="str">
        <f t="shared" si="90"/>
        <v/>
      </c>
      <c r="P1872" s="10"/>
    </row>
    <row r="1873" ht="18" customHeight="1" spans="1:16">
      <c r="A1873" s="32" t="str">
        <f t="shared" si="89"/>
        <v/>
      </c>
      <c r="B1873" s="100" t="str">
        <f>IF($E1873="","",INDEX(资金日记账!$B$4:$B$603,482))</f>
        <v/>
      </c>
      <c r="C1873" s="26" t="str">
        <f>IF($E1873="","",IF(INDEX(资金日记账!$W$4:$W$603,482)="","记-"&amp;TEXT($B1873,"YYYYMM")&amp;"-资金",INDEX(资金日记账!$W$4:$W$603,482)))</f>
        <v/>
      </c>
      <c r="D1873" s="32" t="str">
        <f>IF($E1873="","",INDEX(资金日记账!$D$4:$D$603,482))</f>
        <v/>
      </c>
      <c r="E1873" s="26" t="str">
        <f>IF(INDEX(资金日记账!$N$4:$S$603,482,4)=0,"",INDEX(资金日记账!$N$4:$S$603,482,4))</f>
        <v/>
      </c>
      <c r="F1873" s="25" t="str">
        <f>IF($E1873="","",IFERROR(INDEX(科目表!$A$4:$A$81,MATCH($E1873,科目表!$B$4:$B$81,0)),""))</f>
        <v/>
      </c>
      <c r="G1873" s="26" t="str">
        <f>IF($E1873="","",IFERROR(INDEX(科目表!$E$4:$E$81,MATCH($E1873,科目表!$B$4:$B$81,0)),""))</f>
        <v/>
      </c>
      <c r="H1873" s="27" t="str">
        <f>IF($E1873="","",N(INDEX(资金日记账!$N$4:$S$603,482,5)))</f>
        <v/>
      </c>
      <c r="I1873" s="27" t="str">
        <f>IF($E1873="","",N(INDEX(资金日记账!$N$4:$S$603,482,6)))</f>
        <v/>
      </c>
      <c r="J1873" s="26" t="str">
        <f>IF($E1873="","",INDEX(资金日记账!$E$4:$E$603,482))</f>
        <v/>
      </c>
      <c r="K1873" s="26" t="str">
        <f>IF($E1873="","",INDEX(资金日记账!$F$4:$F$603,482))</f>
        <v/>
      </c>
      <c r="L1873" s="32" t="str">
        <f>IF($E1873="","",INDEX(资金日记账!$X$4:$X$603,482))</f>
        <v/>
      </c>
      <c r="M1873" s="32"/>
      <c r="N1873" s="26" t="str">
        <f>IF($E1873="","",INDEX(资金日记账!$Y$4:$Y$603,482))</f>
        <v/>
      </c>
      <c r="O1873" s="26" t="str">
        <f t="shared" si="90"/>
        <v/>
      </c>
      <c r="P1873" s="10"/>
    </row>
    <row r="1874" ht="18" customHeight="1" spans="1:16">
      <c r="A1874" s="32" t="str">
        <f t="shared" si="89"/>
        <v/>
      </c>
      <c r="B1874" s="100" t="str">
        <f>IF($E1874="","",INDEX(资金日记账!$B$4:$B$603,483))</f>
        <v/>
      </c>
      <c r="C1874" s="26" t="str">
        <f>IF($E1874="","",IF(INDEX(资金日记账!$W$4:$W$603,483)="","记-"&amp;TEXT($B1874,"YYYYMM")&amp;"-资金",INDEX(资金日记账!$W$4:$W$603,483)))</f>
        <v/>
      </c>
      <c r="D1874" s="32" t="str">
        <f>IF($E1874="","",INDEX(资金日记账!$D$4:$D$603,483))</f>
        <v/>
      </c>
      <c r="E1874" s="26" t="str">
        <f>IF(INDEX(资金日记账!$N$4:$S$603,483,1)=0,"",INDEX(资金日记账!$N$4:$S$603,483,1))</f>
        <v/>
      </c>
      <c r="F1874" s="25" t="str">
        <f>IF($E1874="","",IFERROR(INDEX(科目表!$A$4:$A$81,MATCH($E1874,科目表!$B$4:$B$81,0)),""))</f>
        <v/>
      </c>
      <c r="G1874" s="26" t="str">
        <f>IF($E1874="","",IFERROR(INDEX(科目表!$E$4:$E$81,MATCH($E1874,科目表!$B$4:$B$81,0)),""))</f>
        <v/>
      </c>
      <c r="H1874" s="27" t="str">
        <f>IF($E1874="","",N(INDEX(资金日记账!$N$4:$S$603,483,2)))</f>
        <v/>
      </c>
      <c r="I1874" s="27" t="str">
        <f>IF($E1874="","",N(INDEX(资金日记账!$N$4:$S$603,483,3)))</f>
        <v/>
      </c>
      <c r="J1874" s="26" t="str">
        <f>IF($E1874="","",INDEX(资金日记账!$E$4:$E$603,483))</f>
        <v/>
      </c>
      <c r="K1874" s="26" t="str">
        <f>IF($E1874="","",INDEX(资金日记账!$F$4:$F$603,483))</f>
        <v/>
      </c>
      <c r="L1874" s="32" t="str">
        <f>IF($E1874="","",INDEX(资金日记账!$X$4:$X$603,483))</f>
        <v/>
      </c>
      <c r="M1874" s="32"/>
      <c r="N1874" s="26" t="str">
        <f>IF($E1874="","",INDEX(资金日记账!$Y$4:$Y$603,483))</f>
        <v/>
      </c>
      <c r="O1874" s="26" t="str">
        <f t="shared" si="90"/>
        <v/>
      </c>
      <c r="P1874" s="10"/>
    </row>
    <row r="1875" ht="18" customHeight="1" spans="1:16">
      <c r="A1875" s="32" t="str">
        <f t="shared" si="89"/>
        <v/>
      </c>
      <c r="B1875" s="100" t="str">
        <f>IF($E1875="","",INDEX(资金日记账!$B$4:$B$603,483))</f>
        <v/>
      </c>
      <c r="C1875" s="26" t="str">
        <f>IF($E1875="","",IF(INDEX(资金日记账!$W$4:$W$603,483)="","记-"&amp;TEXT($B1875,"YYYYMM")&amp;"-资金",INDEX(资金日记账!$W$4:$W$603,483)))</f>
        <v/>
      </c>
      <c r="D1875" s="32" t="str">
        <f>IF($E1875="","",INDEX(资金日记账!$D$4:$D$603,483))</f>
        <v/>
      </c>
      <c r="E1875" s="26" t="str">
        <f>IF(INDEX(资金日记账!$N$4:$S$603,483,4)=0,"",INDEX(资金日记账!$N$4:$S$603,483,4))</f>
        <v/>
      </c>
      <c r="F1875" s="25" t="str">
        <f>IF($E1875="","",IFERROR(INDEX(科目表!$A$4:$A$81,MATCH($E1875,科目表!$B$4:$B$81,0)),""))</f>
        <v/>
      </c>
      <c r="G1875" s="26" t="str">
        <f>IF($E1875="","",IFERROR(INDEX(科目表!$E$4:$E$81,MATCH($E1875,科目表!$B$4:$B$81,0)),""))</f>
        <v/>
      </c>
      <c r="H1875" s="27" t="str">
        <f>IF($E1875="","",N(INDEX(资金日记账!$N$4:$S$603,483,5)))</f>
        <v/>
      </c>
      <c r="I1875" s="27" t="str">
        <f>IF($E1875="","",N(INDEX(资金日记账!$N$4:$S$603,483,6)))</f>
        <v/>
      </c>
      <c r="J1875" s="26" t="str">
        <f>IF($E1875="","",INDEX(资金日记账!$E$4:$E$603,483))</f>
        <v/>
      </c>
      <c r="K1875" s="26" t="str">
        <f>IF($E1875="","",INDEX(资金日记账!$F$4:$F$603,483))</f>
        <v/>
      </c>
      <c r="L1875" s="32" t="str">
        <f>IF($E1875="","",INDEX(资金日记账!$X$4:$X$603,483))</f>
        <v/>
      </c>
      <c r="M1875" s="32"/>
      <c r="N1875" s="26" t="str">
        <f>IF($E1875="","",INDEX(资金日记账!$Y$4:$Y$603,483))</f>
        <v/>
      </c>
      <c r="O1875" s="26" t="str">
        <f t="shared" si="90"/>
        <v/>
      </c>
      <c r="P1875" s="10"/>
    </row>
    <row r="1876" ht="18" customHeight="1" spans="1:16">
      <c r="A1876" s="32" t="str">
        <f t="shared" si="89"/>
        <v/>
      </c>
      <c r="B1876" s="100" t="str">
        <f>IF($E1876="","",INDEX(资金日记账!$B$4:$B$603,484))</f>
        <v/>
      </c>
      <c r="C1876" s="26" t="str">
        <f>IF($E1876="","",IF(INDEX(资金日记账!$W$4:$W$603,484)="","记-"&amp;TEXT($B1876,"YYYYMM")&amp;"-资金",INDEX(资金日记账!$W$4:$W$603,484)))</f>
        <v/>
      </c>
      <c r="D1876" s="32" t="str">
        <f>IF($E1876="","",INDEX(资金日记账!$D$4:$D$603,484))</f>
        <v/>
      </c>
      <c r="E1876" s="26" t="str">
        <f>IF(INDEX(资金日记账!$N$4:$S$603,484,1)=0,"",INDEX(资金日记账!$N$4:$S$603,484,1))</f>
        <v/>
      </c>
      <c r="F1876" s="25" t="str">
        <f>IF($E1876="","",IFERROR(INDEX(科目表!$A$4:$A$81,MATCH($E1876,科目表!$B$4:$B$81,0)),""))</f>
        <v/>
      </c>
      <c r="G1876" s="26" t="str">
        <f>IF($E1876="","",IFERROR(INDEX(科目表!$E$4:$E$81,MATCH($E1876,科目表!$B$4:$B$81,0)),""))</f>
        <v/>
      </c>
      <c r="H1876" s="27" t="str">
        <f>IF($E1876="","",N(INDEX(资金日记账!$N$4:$S$603,484,2)))</f>
        <v/>
      </c>
      <c r="I1876" s="27" t="str">
        <f>IF($E1876="","",N(INDEX(资金日记账!$N$4:$S$603,484,3)))</f>
        <v/>
      </c>
      <c r="J1876" s="26" t="str">
        <f>IF($E1876="","",INDEX(资金日记账!$E$4:$E$603,484))</f>
        <v/>
      </c>
      <c r="K1876" s="26" t="str">
        <f>IF($E1876="","",INDEX(资金日记账!$F$4:$F$603,484))</f>
        <v/>
      </c>
      <c r="L1876" s="32" t="str">
        <f>IF($E1876="","",INDEX(资金日记账!$X$4:$X$603,484))</f>
        <v/>
      </c>
      <c r="M1876" s="32"/>
      <c r="N1876" s="26" t="str">
        <f>IF($E1876="","",INDEX(资金日记账!$Y$4:$Y$603,484))</f>
        <v/>
      </c>
      <c r="O1876" s="26" t="str">
        <f t="shared" si="90"/>
        <v/>
      </c>
      <c r="P1876" s="10"/>
    </row>
    <row r="1877" ht="18" customHeight="1" spans="1:16">
      <c r="A1877" s="32" t="str">
        <f t="shared" si="89"/>
        <v/>
      </c>
      <c r="B1877" s="100" t="str">
        <f>IF($E1877="","",INDEX(资金日记账!$B$4:$B$603,484))</f>
        <v/>
      </c>
      <c r="C1877" s="26" t="str">
        <f>IF($E1877="","",IF(INDEX(资金日记账!$W$4:$W$603,484)="","记-"&amp;TEXT($B1877,"YYYYMM")&amp;"-资金",INDEX(资金日记账!$W$4:$W$603,484)))</f>
        <v/>
      </c>
      <c r="D1877" s="32" t="str">
        <f>IF($E1877="","",INDEX(资金日记账!$D$4:$D$603,484))</f>
        <v/>
      </c>
      <c r="E1877" s="26" t="str">
        <f>IF(INDEX(资金日记账!$N$4:$S$603,484,4)=0,"",INDEX(资金日记账!$N$4:$S$603,484,4))</f>
        <v/>
      </c>
      <c r="F1877" s="25" t="str">
        <f>IF($E1877="","",IFERROR(INDEX(科目表!$A$4:$A$81,MATCH($E1877,科目表!$B$4:$B$81,0)),""))</f>
        <v/>
      </c>
      <c r="G1877" s="26" t="str">
        <f>IF($E1877="","",IFERROR(INDEX(科目表!$E$4:$E$81,MATCH($E1877,科目表!$B$4:$B$81,0)),""))</f>
        <v/>
      </c>
      <c r="H1877" s="27" t="str">
        <f>IF($E1877="","",N(INDEX(资金日记账!$N$4:$S$603,484,5)))</f>
        <v/>
      </c>
      <c r="I1877" s="27" t="str">
        <f>IF($E1877="","",N(INDEX(资金日记账!$N$4:$S$603,484,6)))</f>
        <v/>
      </c>
      <c r="J1877" s="26" t="str">
        <f>IF($E1877="","",INDEX(资金日记账!$E$4:$E$603,484))</f>
        <v/>
      </c>
      <c r="K1877" s="26" t="str">
        <f>IF($E1877="","",INDEX(资金日记账!$F$4:$F$603,484))</f>
        <v/>
      </c>
      <c r="L1877" s="32" t="str">
        <f>IF($E1877="","",INDEX(资金日记账!$X$4:$X$603,484))</f>
        <v/>
      </c>
      <c r="M1877" s="32"/>
      <c r="N1877" s="26" t="str">
        <f>IF($E1877="","",INDEX(资金日记账!$Y$4:$Y$603,484))</f>
        <v/>
      </c>
      <c r="O1877" s="26" t="str">
        <f t="shared" si="90"/>
        <v/>
      </c>
      <c r="P1877" s="10"/>
    </row>
    <row r="1878" ht="18" customHeight="1" spans="1:16">
      <c r="A1878" s="32" t="str">
        <f t="shared" si="89"/>
        <v/>
      </c>
      <c r="B1878" s="100" t="str">
        <f>IF($E1878="","",INDEX(资金日记账!$B$4:$B$603,485))</f>
        <v/>
      </c>
      <c r="C1878" s="26" t="str">
        <f>IF($E1878="","",IF(INDEX(资金日记账!$W$4:$W$603,485)="","记-"&amp;TEXT($B1878,"YYYYMM")&amp;"-资金",INDEX(资金日记账!$W$4:$W$603,485)))</f>
        <v/>
      </c>
      <c r="D1878" s="32" t="str">
        <f>IF($E1878="","",INDEX(资金日记账!$D$4:$D$603,485))</f>
        <v/>
      </c>
      <c r="E1878" s="26" t="str">
        <f>IF(INDEX(资金日记账!$N$4:$S$603,485,1)=0,"",INDEX(资金日记账!$N$4:$S$603,485,1))</f>
        <v/>
      </c>
      <c r="F1878" s="25" t="str">
        <f>IF($E1878="","",IFERROR(INDEX(科目表!$A$4:$A$81,MATCH($E1878,科目表!$B$4:$B$81,0)),""))</f>
        <v/>
      </c>
      <c r="G1878" s="26" t="str">
        <f>IF($E1878="","",IFERROR(INDEX(科目表!$E$4:$E$81,MATCH($E1878,科目表!$B$4:$B$81,0)),""))</f>
        <v/>
      </c>
      <c r="H1878" s="27" t="str">
        <f>IF($E1878="","",N(INDEX(资金日记账!$N$4:$S$603,485,2)))</f>
        <v/>
      </c>
      <c r="I1878" s="27" t="str">
        <f>IF($E1878="","",N(INDEX(资金日记账!$N$4:$S$603,485,3)))</f>
        <v/>
      </c>
      <c r="J1878" s="26" t="str">
        <f>IF($E1878="","",INDEX(资金日记账!$E$4:$E$603,485))</f>
        <v/>
      </c>
      <c r="K1878" s="26" t="str">
        <f>IF($E1878="","",INDEX(资金日记账!$F$4:$F$603,485))</f>
        <v/>
      </c>
      <c r="L1878" s="32" t="str">
        <f>IF($E1878="","",INDEX(资金日记账!$X$4:$X$603,485))</f>
        <v/>
      </c>
      <c r="M1878" s="32"/>
      <c r="N1878" s="26" t="str">
        <f>IF($E1878="","",INDEX(资金日记账!$Y$4:$Y$603,485))</f>
        <v/>
      </c>
      <c r="O1878" s="26" t="str">
        <f t="shared" si="90"/>
        <v/>
      </c>
      <c r="P1878" s="10"/>
    </row>
    <row r="1879" ht="18" customHeight="1" spans="1:16">
      <c r="A1879" s="32" t="str">
        <f t="shared" si="89"/>
        <v/>
      </c>
      <c r="B1879" s="100" t="str">
        <f>IF($E1879="","",INDEX(资金日记账!$B$4:$B$603,485))</f>
        <v/>
      </c>
      <c r="C1879" s="26" t="str">
        <f>IF($E1879="","",IF(INDEX(资金日记账!$W$4:$W$603,485)="","记-"&amp;TEXT($B1879,"YYYYMM")&amp;"-资金",INDEX(资金日记账!$W$4:$W$603,485)))</f>
        <v/>
      </c>
      <c r="D1879" s="32" t="str">
        <f>IF($E1879="","",INDEX(资金日记账!$D$4:$D$603,485))</f>
        <v/>
      </c>
      <c r="E1879" s="26" t="str">
        <f>IF(INDEX(资金日记账!$N$4:$S$603,485,4)=0,"",INDEX(资金日记账!$N$4:$S$603,485,4))</f>
        <v/>
      </c>
      <c r="F1879" s="25" t="str">
        <f>IF($E1879="","",IFERROR(INDEX(科目表!$A$4:$A$81,MATCH($E1879,科目表!$B$4:$B$81,0)),""))</f>
        <v/>
      </c>
      <c r="G1879" s="26" t="str">
        <f>IF($E1879="","",IFERROR(INDEX(科目表!$E$4:$E$81,MATCH($E1879,科目表!$B$4:$B$81,0)),""))</f>
        <v/>
      </c>
      <c r="H1879" s="27" t="str">
        <f>IF($E1879="","",N(INDEX(资金日记账!$N$4:$S$603,485,5)))</f>
        <v/>
      </c>
      <c r="I1879" s="27" t="str">
        <f>IF($E1879="","",N(INDEX(资金日记账!$N$4:$S$603,485,6)))</f>
        <v/>
      </c>
      <c r="J1879" s="26" t="str">
        <f>IF($E1879="","",INDEX(资金日记账!$E$4:$E$603,485))</f>
        <v/>
      </c>
      <c r="K1879" s="26" t="str">
        <f>IF($E1879="","",INDEX(资金日记账!$F$4:$F$603,485))</f>
        <v/>
      </c>
      <c r="L1879" s="32" t="str">
        <f>IF($E1879="","",INDEX(资金日记账!$X$4:$X$603,485))</f>
        <v/>
      </c>
      <c r="M1879" s="32"/>
      <c r="N1879" s="26" t="str">
        <f>IF($E1879="","",INDEX(资金日记账!$Y$4:$Y$603,485))</f>
        <v/>
      </c>
      <c r="O1879" s="26" t="str">
        <f t="shared" si="90"/>
        <v/>
      </c>
      <c r="P1879" s="10"/>
    </row>
    <row r="1880" ht="18" customHeight="1" spans="1:16">
      <c r="A1880" s="32" t="str">
        <f t="shared" si="89"/>
        <v/>
      </c>
      <c r="B1880" s="100" t="str">
        <f>IF($E1880="","",INDEX(资金日记账!$B$4:$B$603,486))</f>
        <v/>
      </c>
      <c r="C1880" s="26" t="str">
        <f>IF($E1880="","",IF(INDEX(资金日记账!$W$4:$W$603,486)="","记-"&amp;TEXT($B1880,"YYYYMM")&amp;"-资金",INDEX(资金日记账!$W$4:$W$603,486)))</f>
        <v/>
      </c>
      <c r="D1880" s="32" t="str">
        <f>IF($E1880="","",INDEX(资金日记账!$D$4:$D$603,486))</f>
        <v/>
      </c>
      <c r="E1880" s="26" t="str">
        <f>IF(INDEX(资金日记账!$N$4:$S$603,486,1)=0,"",INDEX(资金日记账!$N$4:$S$603,486,1))</f>
        <v/>
      </c>
      <c r="F1880" s="25" t="str">
        <f>IF($E1880="","",IFERROR(INDEX(科目表!$A$4:$A$81,MATCH($E1880,科目表!$B$4:$B$81,0)),""))</f>
        <v/>
      </c>
      <c r="G1880" s="26" t="str">
        <f>IF($E1880="","",IFERROR(INDEX(科目表!$E$4:$E$81,MATCH($E1880,科目表!$B$4:$B$81,0)),""))</f>
        <v/>
      </c>
      <c r="H1880" s="27" t="str">
        <f>IF($E1880="","",N(INDEX(资金日记账!$N$4:$S$603,486,2)))</f>
        <v/>
      </c>
      <c r="I1880" s="27" t="str">
        <f>IF($E1880="","",N(INDEX(资金日记账!$N$4:$S$603,486,3)))</f>
        <v/>
      </c>
      <c r="J1880" s="26" t="str">
        <f>IF($E1880="","",INDEX(资金日记账!$E$4:$E$603,486))</f>
        <v/>
      </c>
      <c r="K1880" s="26" t="str">
        <f>IF($E1880="","",INDEX(资金日记账!$F$4:$F$603,486))</f>
        <v/>
      </c>
      <c r="L1880" s="32" t="str">
        <f>IF($E1880="","",INDEX(资金日记账!$X$4:$X$603,486))</f>
        <v/>
      </c>
      <c r="M1880" s="32"/>
      <c r="N1880" s="26" t="str">
        <f>IF($E1880="","",INDEX(资金日记账!$Y$4:$Y$603,486))</f>
        <v/>
      </c>
      <c r="O1880" s="26" t="str">
        <f t="shared" si="90"/>
        <v/>
      </c>
      <c r="P1880" s="10"/>
    </row>
    <row r="1881" ht="18" customHeight="1" spans="1:16">
      <c r="A1881" s="32" t="str">
        <f t="shared" si="89"/>
        <v/>
      </c>
      <c r="B1881" s="100" t="str">
        <f>IF($E1881="","",INDEX(资金日记账!$B$4:$B$603,486))</f>
        <v/>
      </c>
      <c r="C1881" s="26" t="str">
        <f>IF($E1881="","",IF(INDEX(资金日记账!$W$4:$W$603,486)="","记-"&amp;TEXT($B1881,"YYYYMM")&amp;"-资金",INDEX(资金日记账!$W$4:$W$603,486)))</f>
        <v/>
      </c>
      <c r="D1881" s="32" t="str">
        <f>IF($E1881="","",INDEX(资金日记账!$D$4:$D$603,486))</f>
        <v/>
      </c>
      <c r="E1881" s="26" t="str">
        <f>IF(INDEX(资金日记账!$N$4:$S$603,486,4)=0,"",INDEX(资金日记账!$N$4:$S$603,486,4))</f>
        <v/>
      </c>
      <c r="F1881" s="25" t="str">
        <f>IF($E1881="","",IFERROR(INDEX(科目表!$A$4:$A$81,MATCH($E1881,科目表!$B$4:$B$81,0)),""))</f>
        <v/>
      </c>
      <c r="G1881" s="26" t="str">
        <f>IF($E1881="","",IFERROR(INDEX(科目表!$E$4:$E$81,MATCH($E1881,科目表!$B$4:$B$81,0)),""))</f>
        <v/>
      </c>
      <c r="H1881" s="27" t="str">
        <f>IF($E1881="","",N(INDEX(资金日记账!$N$4:$S$603,486,5)))</f>
        <v/>
      </c>
      <c r="I1881" s="27" t="str">
        <f>IF($E1881="","",N(INDEX(资金日记账!$N$4:$S$603,486,6)))</f>
        <v/>
      </c>
      <c r="J1881" s="26" t="str">
        <f>IF($E1881="","",INDEX(资金日记账!$E$4:$E$603,486))</f>
        <v/>
      </c>
      <c r="K1881" s="26" t="str">
        <f>IF($E1881="","",INDEX(资金日记账!$F$4:$F$603,486))</f>
        <v/>
      </c>
      <c r="L1881" s="32" t="str">
        <f>IF($E1881="","",INDEX(资金日记账!$X$4:$X$603,486))</f>
        <v/>
      </c>
      <c r="M1881" s="32"/>
      <c r="N1881" s="26" t="str">
        <f>IF($E1881="","",INDEX(资金日记账!$Y$4:$Y$603,486))</f>
        <v/>
      </c>
      <c r="O1881" s="26" t="str">
        <f t="shared" si="90"/>
        <v/>
      </c>
      <c r="P1881" s="10"/>
    </row>
    <row r="1882" ht="18" customHeight="1" spans="1:16">
      <c r="A1882" s="32" t="str">
        <f t="shared" si="89"/>
        <v/>
      </c>
      <c r="B1882" s="100" t="str">
        <f>IF($E1882="","",INDEX(资金日记账!$B$4:$B$603,487))</f>
        <v/>
      </c>
      <c r="C1882" s="26" t="str">
        <f>IF($E1882="","",IF(INDEX(资金日记账!$W$4:$W$603,487)="","记-"&amp;TEXT($B1882,"YYYYMM")&amp;"-资金",INDEX(资金日记账!$W$4:$W$603,487)))</f>
        <v/>
      </c>
      <c r="D1882" s="32" t="str">
        <f>IF($E1882="","",INDEX(资金日记账!$D$4:$D$603,487))</f>
        <v/>
      </c>
      <c r="E1882" s="26" t="str">
        <f>IF(INDEX(资金日记账!$N$4:$S$603,487,1)=0,"",INDEX(资金日记账!$N$4:$S$603,487,1))</f>
        <v/>
      </c>
      <c r="F1882" s="25" t="str">
        <f>IF($E1882="","",IFERROR(INDEX(科目表!$A$4:$A$81,MATCH($E1882,科目表!$B$4:$B$81,0)),""))</f>
        <v/>
      </c>
      <c r="G1882" s="26" t="str">
        <f>IF($E1882="","",IFERROR(INDEX(科目表!$E$4:$E$81,MATCH($E1882,科目表!$B$4:$B$81,0)),""))</f>
        <v/>
      </c>
      <c r="H1882" s="27" t="str">
        <f>IF($E1882="","",N(INDEX(资金日记账!$N$4:$S$603,487,2)))</f>
        <v/>
      </c>
      <c r="I1882" s="27" t="str">
        <f>IF($E1882="","",N(INDEX(资金日记账!$N$4:$S$603,487,3)))</f>
        <v/>
      </c>
      <c r="J1882" s="26" t="str">
        <f>IF($E1882="","",INDEX(资金日记账!$E$4:$E$603,487))</f>
        <v/>
      </c>
      <c r="K1882" s="26" t="str">
        <f>IF($E1882="","",INDEX(资金日记账!$F$4:$F$603,487))</f>
        <v/>
      </c>
      <c r="L1882" s="32" t="str">
        <f>IF($E1882="","",INDEX(资金日记账!$X$4:$X$603,487))</f>
        <v/>
      </c>
      <c r="M1882" s="32"/>
      <c r="N1882" s="26" t="str">
        <f>IF($E1882="","",INDEX(资金日记账!$Y$4:$Y$603,487))</f>
        <v/>
      </c>
      <c r="O1882" s="26" t="str">
        <f t="shared" si="90"/>
        <v/>
      </c>
      <c r="P1882" s="10"/>
    </row>
    <row r="1883" ht="18" customHeight="1" spans="1:16">
      <c r="A1883" s="32" t="str">
        <f t="shared" si="89"/>
        <v/>
      </c>
      <c r="B1883" s="100" t="str">
        <f>IF($E1883="","",INDEX(资金日记账!$B$4:$B$603,487))</f>
        <v/>
      </c>
      <c r="C1883" s="26" t="str">
        <f>IF($E1883="","",IF(INDEX(资金日记账!$W$4:$W$603,487)="","记-"&amp;TEXT($B1883,"YYYYMM")&amp;"-资金",INDEX(资金日记账!$W$4:$W$603,487)))</f>
        <v/>
      </c>
      <c r="D1883" s="32" t="str">
        <f>IF($E1883="","",INDEX(资金日记账!$D$4:$D$603,487))</f>
        <v/>
      </c>
      <c r="E1883" s="26" t="str">
        <f>IF(INDEX(资金日记账!$N$4:$S$603,487,4)=0,"",INDEX(资金日记账!$N$4:$S$603,487,4))</f>
        <v/>
      </c>
      <c r="F1883" s="25" t="str">
        <f>IF($E1883="","",IFERROR(INDEX(科目表!$A$4:$A$81,MATCH($E1883,科目表!$B$4:$B$81,0)),""))</f>
        <v/>
      </c>
      <c r="G1883" s="26" t="str">
        <f>IF($E1883="","",IFERROR(INDEX(科目表!$E$4:$E$81,MATCH($E1883,科目表!$B$4:$B$81,0)),""))</f>
        <v/>
      </c>
      <c r="H1883" s="27" t="str">
        <f>IF($E1883="","",N(INDEX(资金日记账!$N$4:$S$603,487,5)))</f>
        <v/>
      </c>
      <c r="I1883" s="27" t="str">
        <f>IF($E1883="","",N(INDEX(资金日记账!$N$4:$S$603,487,6)))</f>
        <v/>
      </c>
      <c r="J1883" s="26" t="str">
        <f>IF($E1883="","",INDEX(资金日记账!$E$4:$E$603,487))</f>
        <v/>
      </c>
      <c r="K1883" s="26" t="str">
        <f>IF($E1883="","",INDEX(资金日记账!$F$4:$F$603,487))</f>
        <v/>
      </c>
      <c r="L1883" s="32" t="str">
        <f>IF($E1883="","",INDEX(资金日记账!$X$4:$X$603,487))</f>
        <v/>
      </c>
      <c r="M1883" s="32"/>
      <c r="N1883" s="26" t="str">
        <f>IF($E1883="","",INDEX(资金日记账!$Y$4:$Y$603,487))</f>
        <v/>
      </c>
      <c r="O1883" s="26" t="str">
        <f t="shared" si="90"/>
        <v/>
      </c>
      <c r="P1883" s="10"/>
    </row>
    <row r="1884" ht="18" customHeight="1" spans="1:16">
      <c r="A1884" s="32" t="str">
        <f t="shared" si="89"/>
        <v/>
      </c>
      <c r="B1884" s="100" t="str">
        <f>IF($E1884="","",INDEX(资金日记账!$B$4:$B$603,488))</f>
        <v/>
      </c>
      <c r="C1884" s="26" t="str">
        <f>IF($E1884="","",IF(INDEX(资金日记账!$W$4:$W$603,488)="","记-"&amp;TEXT($B1884,"YYYYMM")&amp;"-资金",INDEX(资金日记账!$W$4:$W$603,488)))</f>
        <v/>
      </c>
      <c r="D1884" s="32" t="str">
        <f>IF($E1884="","",INDEX(资金日记账!$D$4:$D$603,488))</f>
        <v/>
      </c>
      <c r="E1884" s="26" t="str">
        <f>IF(INDEX(资金日记账!$N$4:$S$603,488,1)=0,"",INDEX(资金日记账!$N$4:$S$603,488,1))</f>
        <v/>
      </c>
      <c r="F1884" s="25" t="str">
        <f>IF($E1884="","",IFERROR(INDEX(科目表!$A$4:$A$81,MATCH($E1884,科目表!$B$4:$B$81,0)),""))</f>
        <v/>
      </c>
      <c r="G1884" s="26" t="str">
        <f>IF($E1884="","",IFERROR(INDEX(科目表!$E$4:$E$81,MATCH($E1884,科目表!$B$4:$B$81,0)),""))</f>
        <v/>
      </c>
      <c r="H1884" s="27" t="str">
        <f>IF($E1884="","",N(INDEX(资金日记账!$N$4:$S$603,488,2)))</f>
        <v/>
      </c>
      <c r="I1884" s="27" t="str">
        <f>IF($E1884="","",N(INDEX(资金日记账!$N$4:$S$603,488,3)))</f>
        <v/>
      </c>
      <c r="J1884" s="26" t="str">
        <f>IF($E1884="","",INDEX(资金日记账!$E$4:$E$603,488))</f>
        <v/>
      </c>
      <c r="K1884" s="26" t="str">
        <f>IF($E1884="","",INDEX(资金日记账!$F$4:$F$603,488))</f>
        <v/>
      </c>
      <c r="L1884" s="32" t="str">
        <f>IF($E1884="","",INDEX(资金日记账!$X$4:$X$603,488))</f>
        <v/>
      </c>
      <c r="M1884" s="32"/>
      <c r="N1884" s="26" t="str">
        <f>IF($E1884="","",INDEX(资金日记账!$Y$4:$Y$603,488))</f>
        <v/>
      </c>
      <c r="O1884" s="26" t="str">
        <f t="shared" si="90"/>
        <v/>
      </c>
      <c r="P1884" s="10"/>
    </row>
    <row r="1885" ht="18" customHeight="1" spans="1:16">
      <c r="A1885" s="32" t="str">
        <f t="shared" si="89"/>
        <v/>
      </c>
      <c r="B1885" s="100" t="str">
        <f>IF($E1885="","",INDEX(资金日记账!$B$4:$B$603,488))</f>
        <v/>
      </c>
      <c r="C1885" s="26" t="str">
        <f>IF($E1885="","",IF(INDEX(资金日记账!$W$4:$W$603,488)="","记-"&amp;TEXT($B1885,"YYYYMM")&amp;"-资金",INDEX(资金日记账!$W$4:$W$603,488)))</f>
        <v/>
      </c>
      <c r="D1885" s="32" t="str">
        <f>IF($E1885="","",INDEX(资金日记账!$D$4:$D$603,488))</f>
        <v/>
      </c>
      <c r="E1885" s="26" t="str">
        <f>IF(INDEX(资金日记账!$N$4:$S$603,488,4)=0,"",INDEX(资金日记账!$N$4:$S$603,488,4))</f>
        <v/>
      </c>
      <c r="F1885" s="25" t="str">
        <f>IF($E1885="","",IFERROR(INDEX(科目表!$A$4:$A$81,MATCH($E1885,科目表!$B$4:$B$81,0)),""))</f>
        <v/>
      </c>
      <c r="G1885" s="26" t="str">
        <f>IF($E1885="","",IFERROR(INDEX(科目表!$E$4:$E$81,MATCH($E1885,科目表!$B$4:$B$81,0)),""))</f>
        <v/>
      </c>
      <c r="H1885" s="27" t="str">
        <f>IF($E1885="","",N(INDEX(资金日记账!$N$4:$S$603,488,5)))</f>
        <v/>
      </c>
      <c r="I1885" s="27" t="str">
        <f>IF($E1885="","",N(INDEX(资金日记账!$N$4:$S$603,488,6)))</f>
        <v/>
      </c>
      <c r="J1885" s="26" t="str">
        <f>IF($E1885="","",INDEX(资金日记账!$E$4:$E$603,488))</f>
        <v/>
      </c>
      <c r="K1885" s="26" t="str">
        <f>IF($E1885="","",INDEX(资金日记账!$F$4:$F$603,488))</f>
        <v/>
      </c>
      <c r="L1885" s="32" t="str">
        <f>IF($E1885="","",INDEX(资金日记账!$X$4:$X$603,488))</f>
        <v/>
      </c>
      <c r="M1885" s="32"/>
      <c r="N1885" s="26" t="str">
        <f>IF($E1885="","",INDEX(资金日记账!$Y$4:$Y$603,488))</f>
        <v/>
      </c>
      <c r="O1885" s="26" t="str">
        <f t="shared" si="90"/>
        <v/>
      </c>
      <c r="P1885" s="10"/>
    </row>
    <row r="1886" ht="18" customHeight="1" spans="1:16">
      <c r="A1886" s="32" t="str">
        <f t="shared" si="89"/>
        <v/>
      </c>
      <c r="B1886" s="100" t="str">
        <f>IF($E1886="","",INDEX(资金日记账!$B$4:$B$603,489))</f>
        <v/>
      </c>
      <c r="C1886" s="26" t="str">
        <f>IF($E1886="","",IF(INDEX(资金日记账!$W$4:$W$603,489)="","记-"&amp;TEXT($B1886,"YYYYMM")&amp;"-资金",INDEX(资金日记账!$W$4:$W$603,489)))</f>
        <v/>
      </c>
      <c r="D1886" s="32" t="str">
        <f>IF($E1886="","",INDEX(资金日记账!$D$4:$D$603,489))</f>
        <v/>
      </c>
      <c r="E1886" s="26" t="str">
        <f>IF(INDEX(资金日记账!$N$4:$S$603,489,1)=0,"",INDEX(资金日记账!$N$4:$S$603,489,1))</f>
        <v/>
      </c>
      <c r="F1886" s="25" t="str">
        <f>IF($E1886="","",IFERROR(INDEX(科目表!$A$4:$A$81,MATCH($E1886,科目表!$B$4:$B$81,0)),""))</f>
        <v/>
      </c>
      <c r="G1886" s="26" t="str">
        <f>IF($E1886="","",IFERROR(INDEX(科目表!$E$4:$E$81,MATCH($E1886,科目表!$B$4:$B$81,0)),""))</f>
        <v/>
      </c>
      <c r="H1886" s="27" t="str">
        <f>IF($E1886="","",N(INDEX(资金日记账!$N$4:$S$603,489,2)))</f>
        <v/>
      </c>
      <c r="I1886" s="27" t="str">
        <f>IF($E1886="","",N(INDEX(资金日记账!$N$4:$S$603,489,3)))</f>
        <v/>
      </c>
      <c r="J1886" s="26" t="str">
        <f>IF($E1886="","",INDEX(资金日记账!$E$4:$E$603,489))</f>
        <v/>
      </c>
      <c r="K1886" s="26" t="str">
        <f>IF($E1886="","",INDEX(资金日记账!$F$4:$F$603,489))</f>
        <v/>
      </c>
      <c r="L1886" s="32" t="str">
        <f>IF($E1886="","",INDEX(资金日记账!$X$4:$X$603,489))</f>
        <v/>
      </c>
      <c r="M1886" s="32"/>
      <c r="N1886" s="26" t="str">
        <f>IF($E1886="","",INDEX(资金日记账!$Y$4:$Y$603,489))</f>
        <v/>
      </c>
      <c r="O1886" s="26" t="str">
        <f t="shared" si="90"/>
        <v/>
      </c>
      <c r="P1886" s="10"/>
    </row>
    <row r="1887" ht="18" customHeight="1" spans="1:16">
      <c r="A1887" s="32" t="str">
        <f t="shared" si="89"/>
        <v/>
      </c>
      <c r="B1887" s="100" t="str">
        <f>IF($E1887="","",INDEX(资金日记账!$B$4:$B$603,489))</f>
        <v/>
      </c>
      <c r="C1887" s="26" t="str">
        <f>IF($E1887="","",IF(INDEX(资金日记账!$W$4:$W$603,489)="","记-"&amp;TEXT($B1887,"YYYYMM")&amp;"-资金",INDEX(资金日记账!$W$4:$W$603,489)))</f>
        <v/>
      </c>
      <c r="D1887" s="32" t="str">
        <f>IF($E1887="","",INDEX(资金日记账!$D$4:$D$603,489))</f>
        <v/>
      </c>
      <c r="E1887" s="26" t="str">
        <f>IF(INDEX(资金日记账!$N$4:$S$603,489,4)=0,"",INDEX(资金日记账!$N$4:$S$603,489,4))</f>
        <v/>
      </c>
      <c r="F1887" s="25" t="str">
        <f>IF($E1887="","",IFERROR(INDEX(科目表!$A$4:$A$81,MATCH($E1887,科目表!$B$4:$B$81,0)),""))</f>
        <v/>
      </c>
      <c r="G1887" s="26" t="str">
        <f>IF($E1887="","",IFERROR(INDEX(科目表!$E$4:$E$81,MATCH($E1887,科目表!$B$4:$B$81,0)),""))</f>
        <v/>
      </c>
      <c r="H1887" s="27" t="str">
        <f>IF($E1887="","",N(INDEX(资金日记账!$N$4:$S$603,489,5)))</f>
        <v/>
      </c>
      <c r="I1887" s="27" t="str">
        <f>IF($E1887="","",N(INDEX(资金日记账!$N$4:$S$603,489,6)))</f>
        <v/>
      </c>
      <c r="J1887" s="26" t="str">
        <f>IF($E1887="","",INDEX(资金日记账!$E$4:$E$603,489))</f>
        <v/>
      </c>
      <c r="K1887" s="26" t="str">
        <f>IF($E1887="","",INDEX(资金日记账!$F$4:$F$603,489))</f>
        <v/>
      </c>
      <c r="L1887" s="32" t="str">
        <f>IF($E1887="","",INDEX(资金日记账!$X$4:$X$603,489))</f>
        <v/>
      </c>
      <c r="M1887" s="32"/>
      <c r="N1887" s="26" t="str">
        <f>IF($E1887="","",INDEX(资金日记账!$Y$4:$Y$603,489))</f>
        <v/>
      </c>
      <c r="O1887" s="26" t="str">
        <f t="shared" si="90"/>
        <v/>
      </c>
      <c r="P1887" s="10"/>
    </row>
    <row r="1888" ht="18" customHeight="1" spans="1:16">
      <c r="A1888" s="32" t="str">
        <f t="shared" si="89"/>
        <v/>
      </c>
      <c r="B1888" s="100" t="str">
        <f>IF($E1888="","",INDEX(资金日记账!$B$4:$B$603,490))</f>
        <v/>
      </c>
      <c r="C1888" s="26" t="str">
        <f>IF($E1888="","",IF(INDEX(资金日记账!$W$4:$W$603,490)="","记-"&amp;TEXT($B1888,"YYYYMM")&amp;"-资金",INDEX(资金日记账!$W$4:$W$603,490)))</f>
        <v/>
      </c>
      <c r="D1888" s="32" t="str">
        <f>IF($E1888="","",INDEX(资金日记账!$D$4:$D$603,490))</f>
        <v/>
      </c>
      <c r="E1888" s="26" t="str">
        <f>IF(INDEX(资金日记账!$N$4:$S$603,490,1)=0,"",INDEX(资金日记账!$N$4:$S$603,490,1))</f>
        <v/>
      </c>
      <c r="F1888" s="25" t="str">
        <f>IF($E1888="","",IFERROR(INDEX(科目表!$A$4:$A$81,MATCH($E1888,科目表!$B$4:$B$81,0)),""))</f>
        <v/>
      </c>
      <c r="G1888" s="26" t="str">
        <f>IF($E1888="","",IFERROR(INDEX(科目表!$E$4:$E$81,MATCH($E1888,科目表!$B$4:$B$81,0)),""))</f>
        <v/>
      </c>
      <c r="H1888" s="27" t="str">
        <f>IF($E1888="","",N(INDEX(资金日记账!$N$4:$S$603,490,2)))</f>
        <v/>
      </c>
      <c r="I1888" s="27" t="str">
        <f>IF($E1888="","",N(INDEX(资金日记账!$N$4:$S$603,490,3)))</f>
        <v/>
      </c>
      <c r="J1888" s="26" t="str">
        <f>IF($E1888="","",INDEX(资金日记账!$E$4:$E$603,490))</f>
        <v/>
      </c>
      <c r="K1888" s="26" t="str">
        <f>IF($E1888="","",INDEX(资金日记账!$F$4:$F$603,490))</f>
        <v/>
      </c>
      <c r="L1888" s="32" t="str">
        <f>IF($E1888="","",INDEX(资金日记账!$X$4:$X$603,490))</f>
        <v/>
      </c>
      <c r="M1888" s="32"/>
      <c r="N1888" s="26" t="str">
        <f>IF($E1888="","",INDEX(资金日记账!$Y$4:$Y$603,490))</f>
        <v/>
      </c>
      <c r="O1888" s="26" t="str">
        <f t="shared" si="90"/>
        <v/>
      </c>
      <c r="P1888" s="10"/>
    </row>
    <row r="1889" ht="18" customHeight="1" spans="1:16">
      <c r="A1889" s="32" t="str">
        <f t="shared" si="89"/>
        <v/>
      </c>
      <c r="B1889" s="100" t="str">
        <f>IF($E1889="","",INDEX(资金日记账!$B$4:$B$603,490))</f>
        <v/>
      </c>
      <c r="C1889" s="26" t="str">
        <f>IF($E1889="","",IF(INDEX(资金日记账!$W$4:$W$603,490)="","记-"&amp;TEXT($B1889,"YYYYMM")&amp;"-资金",INDEX(资金日记账!$W$4:$W$603,490)))</f>
        <v/>
      </c>
      <c r="D1889" s="32" t="str">
        <f>IF($E1889="","",INDEX(资金日记账!$D$4:$D$603,490))</f>
        <v/>
      </c>
      <c r="E1889" s="26" t="str">
        <f>IF(INDEX(资金日记账!$N$4:$S$603,490,4)=0,"",INDEX(资金日记账!$N$4:$S$603,490,4))</f>
        <v/>
      </c>
      <c r="F1889" s="25" t="str">
        <f>IF($E1889="","",IFERROR(INDEX(科目表!$A$4:$A$81,MATCH($E1889,科目表!$B$4:$B$81,0)),""))</f>
        <v/>
      </c>
      <c r="G1889" s="26" t="str">
        <f>IF($E1889="","",IFERROR(INDEX(科目表!$E$4:$E$81,MATCH($E1889,科目表!$B$4:$B$81,0)),""))</f>
        <v/>
      </c>
      <c r="H1889" s="27" t="str">
        <f>IF($E1889="","",N(INDEX(资金日记账!$N$4:$S$603,490,5)))</f>
        <v/>
      </c>
      <c r="I1889" s="27" t="str">
        <f>IF($E1889="","",N(INDEX(资金日记账!$N$4:$S$603,490,6)))</f>
        <v/>
      </c>
      <c r="J1889" s="26" t="str">
        <f>IF($E1889="","",INDEX(资金日记账!$E$4:$E$603,490))</f>
        <v/>
      </c>
      <c r="K1889" s="26" t="str">
        <f>IF($E1889="","",INDEX(资金日记账!$F$4:$F$603,490))</f>
        <v/>
      </c>
      <c r="L1889" s="32" t="str">
        <f>IF($E1889="","",INDEX(资金日记账!$X$4:$X$603,490))</f>
        <v/>
      </c>
      <c r="M1889" s="32"/>
      <c r="N1889" s="26" t="str">
        <f>IF($E1889="","",INDEX(资金日记账!$Y$4:$Y$603,490))</f>
        <v/>
      </c>
      <c r="O1889" s="26" t="str">
        <f t="shared" si="90"/>
        <v/>
      </c>
      <c r="P1889" s="10"/>
    </row>
    <row r="1890" ht="18" customHeight="1" spans="1:16">
      <c r="A1890" s="32" t="str">
        <f t="shared" si="89"/>
        <v/>
      </c>
      <c r="B1890" s="100" t="str">
        <f>IF($E1890="","",INDEX(资金日记账!$B$4:$B$603,491))</f>
        <v/>
      </c>
      <c r="C1890" s="26" t="str">
        <f>IF($E1890="","",IF(INDEX(资金日记账!$W$4:$W$603,491)="","记-"&amp;TEXT($B1890,"YYYYMM")&amp;"-资金",INDEX(资金日记账!$W$4:$W$603,491)))</f>
        <v/>
      </c>
      <c r="D1890" s="32" t="str">
        <f>IF($E1890="","",INDEX(资金日记账!$D$4:$D$603,491))</f>
        <v/>
      </c>
      <c r="E1890" s="26" t="str">
        <f>IF(INDEX(资金日记账!$N$4:$S$603,491,1)=0,"",INDEX(资金日记账!$N$4:$S$603,491,1))</f>
        <v/>
      </c>
      <c r="F1890" s="25" t="str">
        <f>IF($E1890="","",IFERROR(INDEX(科目表!$A$4:$A$81,MATCH($E1890,科目表!$B$4:$B$81,0)),""))</f>
        <v/>
      </c>
      <c r="G1890" s="26" t="str">
        <f>IF($E1890="","",IFERROR(INDEX(科目表!$E$4:$E$81,MATCH($E1890,科目表!$B$4:$B$81,0)),""))</f>
        <v/>
      </c>
      <c r="H1890" s="27" t="str">
        <f>IF($E1890="","",N(INDEX(资金日记账!$N$4:$S$603,491,2)))</f>
        <v/>
      </c>
      <c r="I1890" s="27" t="str">
        <f>IF($E1890="","",N(INDEX(资金日记账!$N$4:$S$603,491,3)))</f>
        <v/>
      </c>
      <c r="J1890" s="26" t="str">
        <f>IF($E1890="","",INDEX(资金日记账!$E$4:$E$603,491))</f>
        <v/>
      </c>
      <c r="K1890" s="26" t="str">
        <f>IF($E1890="","",INDEX(资金日记账!$F$4:$F$603,491))</f>
        <v/>
      </c>
      <c r="L1890" s="32" t="str">
        <f>IF($E1890="","",INDEX(资金日记账!$X$4:$X$603,491))</f>
        <v/>
      </c>
      <c r="M1890" s="32"/>
      <c r="N1890" s="26" t="str">
        <f>IF($E1890="","",INDEX(资金日记账!$Y$4:$Y$603,491))</f>
        <v/>
      </c>
      <c r="O1890" s="26" t="str">
        <f t="shared" si="90"/>
        <v/>
      </c>
      <c r="P1890" s="10"/>
    </row>
    <row r="1891" ht="18" customHeight="1" spans="1:16">
      <c r="A1891" s="32" t="str">
        <f t="shared" si="89"/>
        <v/>
      </c>
      <c r="B1891" s="100" t="str">
        <f>IF($E1891="","",INDEX(资金日记账!$B$4:$B$603,491))</f>
        <v/>
      </c>
      <c r="C1891" s="26" t="str">
        <f>IF($E1891="","",IF(INDEX(资金日记账!$W$4:$W$603,491)="","记-"&amp;TEXT($B1891,"YYYYMM")&amp;"-资金",INDEX(资金日记账!$W$4:$W$603,491)))</f>
        <v/>
      </c>
      <c r="D1891" s="32" t="str">
        <f>IF($E1891="","",INDEX(资金日记账!$D$4:$D$603,491))</f>
        <v/>
      </c>
      <c r="E1891" s="26" t="str">
        <f>IF(INDEX(资金日记账!$N$4:$S$603,491,4)=0,"",INDEX(资金日记账!$N$4:$S$603,491,4))</f>
        <v/>
      </c>
      <c r="F1891" s="25" t="str">
        <f>IF($E1891="","",IFERROR(INDEX(科目表!$A$4:$A$81,MATCH($E1891,科目表!$B$4:$B$81,0)),""))</f>
        <v/>
      </c>
      <c r="G1891" s="26" t="str">
        <f>IF($E1891="","",IFERROR(INDEX(科目表!$E$4:$E$81,MATCH($E1891,科目表!$B$4:$B$81,0)),""))</f>
        <v/>
      </c>
      <c r="H1891" s="27" t="str">
        <f>IF($E1891="","",N(INDEX(资金日记账!$N$4:$S$603,491,5)))</f>
        <v/>
      </c>
      <c r="I1891" s="27" t="str">
        <f>IF($E1891="","",N(INDEX(资金日记账!$N$4:$S$603,491,6)))</f>
        <v/>
      </c>
      <c r="J1891" s="26" t="str">
        <f>IF($E1891="","",INDEX(资金日记账!$E$4:$E$603,491))</f>
        <v/>
      </c>
      <c r="K1891" s="26" t="str">
        <f>IF($E1891="","",INDEX(资金日记账!$F$4:$F$603,491))</f>
        <v/>
      </c>
      <c r="L1891" s="32" t="str">
        <f>IF($E1891="","",INDEX(资金日记账!$X$4:$X$603,491))</f>
        <v/>
      </c>
      <c r="M1891" s="32"/>
      <c r="N1891" s="26" t="str">
        <f>IF($E1891="","",INDEX(资金日记账!$Y$4:$Y$603,491))</f>
        <v/>
      </c>
      <c r="O1891" s="26" t="str">
        <f t="shared" si="90"/>
        <v/>
      </c>
      <c r="P1891" s="10"/>
    </row>
    <row r="1892" ht="18" customHeight="1" spans="1:16">
      <c r="A1892" s="32" t="str">
        <f t="shared" si="89"/>
        <v/>
      </c>
      <c r="B1892" s="100" t="str">
        <f>IF($E1892="","",INDEX(资金日记账!$B$4:$B$603,492))</f>
        <v/>
      </c>
      <c r="C1892" s="26" t="str">
        <f>IF($E1892="","",IF(INDEX(资金日记账!$W$4:$W$603,492)="","记-"&amp;TEXT($B1892,"YYYYMM")&amp;"-资金",INDEX(资金日记账!$W$4:$W$603,492)))</f>
        <v/>
      </c>
      <c r="D1892" s="32" t="str">
        <f>IF($E1892="","",INDEX(资金日记账!$D$4:$D$603,492))</f>
        <v/>
      </c>
      <c r="E1892" s="26" t="str">
        <f>IF(INDEX(资金日记账!$N$4:$S$603,492,1)=0,"",INDEX(资金日记账!$N$4:$S$603,492,1))</f>
        <v/>
      </c>
      <c r="F1892" s="25" t="str">
        <f>IF($E1892="","",IFERROR(INDEX(科目表!$A$4:$A$81,MATCH($E1892,科目表!$B$4:$B$81,0)),""))</f>
        <v/>
      </c>
      <c r="G1892" s="26" t="str">
        <f>IF($E1892="","",IFERROR(INDEX(科目表!$E$4:$E$81,MATCH($E1892,科目表!$B$4:$B$81,0)),""))</f>
        <v/>
      </c>
      <c r="H1892" s="27" t="str">
        <f>IF($E1892="","",N(INDEX(资金日记账!$N$4:$S$603,492,2)))</f>
        <v/>
      </c>
      <c r="I1892" s="27" t="str">
        <f>IF($E1892="","",N(INDEX(资金日记账!$N$4:$S$603,492,3)))</f>
        <v/>
      </c>
      <c r="J1892" s="26" t="str">
        <f>IF($E1892="","",INDEX(资金日记账!$E$4:$E$603,492))</f>
        <v/>
      </c>
      <c r="K1892" s="26" t="str">
        <f>IF($E1892="","",INDEX(资金日记账!$F$4:$F$603,492))</f>
        <v/>
      </c>
      <c r="L1892" s="32" t="str">
        <f>IF($E1892="","",INDEX(资金日记账!$X$4:$X$603,492))</f>
        <v/>
      </c>
      <c r="M1892" s="32"/>
      <c r="N1892" s="26" t="str">
        <f>IF($E1892="","",INDEX(资金日记账!$Y$4:$Y$603,492))</f>
        <v/>
      </c>
      <c r="O1892" s="26" t="str">
        <f t="shared" si="90"/>
        <v/>
      </c>
      <c r="P1892" s="10"/>
    </row>
    <row r="1893" ht="18" customHeight="1" spans="1:16">
      <c r="A1893" s="32" t="str">
        <f t="shared" si="89"/>
        <v/>
      </c>
      <c r="B1893" s="100" t="str">
        <f>IF($E1893="","",INDEX(资金日记账!$B$4:$B$603,492))</f>
        <v/>
      </c>
      <c r="C1893" s="26" t="str">
        <f>IF($E1893="","",IF(INDEX(资金日记账!$W$4:$W$603,492)="","记-"&amp;TEXT($B1893,"YYYYMM")&amp;"-资金",INDEX(资金日记账!$W$4:$W$603,492)))</f>
        <v/>
      </c>
      <c r="D1893" s="32" t="str">
        <f>IF($E1893="","",INDEX(资金日记账!$D$4:$D$603,492))</f>
        <v/>
      </c>
      <c r="E1893" s="26" t="str">
        <f>IF(INDEX(资金日记账!$N$4:$S$603,492,4)=0,"",INDEX(资金日记账!$N$4:$S$603,492,4))</f>
        <v/>
      </c>
      <c r="F1893" s="25" t="str">
        <f>IF($E1893="","",IFERROR(INDEX(科目表!$A$4:$A$81,MATCH($E1893,科目表!$B$4:$B$81,0)),""))</f>
        <v/>
      </c>
      <c r="G1893" s="26" t="str">
        <f>IF($E1893="","",IFERROR(INDEX(科目表!$E$4:$E$81,MATCH($E1893,科目表!$B$4:$B$81,0)),""))</f>
        <v/>
      </c>
      <c r="H1893" s="27" t="str">
        <f>IF($E1893="","",N(INDEX(资金日记账!$N$4:$S$603,492,5)))</f>
        <v/>
      </c>
      <c r="I1893" s="27" t="str">
        <f>IF($E1893="","",N(INDEX(资金日记账!$N$4:$S$603,492,6)))</f>
        <v/>
      </c>
      <c r="J1893" s="26" t="str">
        <f>IF($E1893="","",INDEX(资金日记账!$E$4:$E$603,492))</f>
        <v/>
      </c>
      <c r="K1893" s="26" t="str">
        <f>IF($E1893="","",INDEX(资金日记账!$F$4:$F$603,492))</f>
        <v/>
      </c>
      <c r="L1893" s="32" t="str">
        <f>IF($E1893="","",INDEX(资金日记账!$X$4:$X$603,492))</f>
        <v/>
      </c>
      <c r="M1893" s="32"/>
      <c r="N1893" s="26" t="str">
        <f>IF($E1893="","",INDEX(资金日记账!$Y$4:$Y$603,492))</f>
        <v/>
      </c>
      <c r="O1893" s="26" t="str">
        <f t="shared" si="90"/>
        <v/>
      </c>
      <c r="P1893" s="10"/>
    </row>
    <row r="1894" ht="18" customHeight="1" spans="1:16">
      <c r="A1894" s="32" t="str">
        <f t="shared" si="89"/>
        <v/>
      </c>
      <c r="B1894" s="100" t="str">
        <f>IF($E1894="","",INDEX(资金日记账!$B$4:$B$603,493))</f>
        <v/>
      </c>
      <c r="C1894" s="26" t="str">
        <f>IF($E1894="","",IF(INDEX(资金日记账!$W$4:$W$603,493)="","记-"&amp;TEXT($B1894,"YYYYMM")&amp;"-资金",INDEX(资金日记账!$W$4:$W$603,493)))</f>
        <v/>
      </c>
      <c r="D1894" s="32" t="str">
        <f>IF($E1894="","",INDEX(资金日记账!$D$4:$D$603,493))</f>
        <v/>
      </c>
      <c r="E1894" s="26" t="str">
        <f>IF(INDEX(资金日记账!$N$4:$S$603,493,1)=0,"",INDEX(资金日记账!$N$4:$S$603,493,1))</f>
        <v/>
      </c>
      <c r="F1894" s="25" t="str">
        <f>IF($E1894="","",IFERROR(INDEX(科目表!$A$4:$A$81,MATCH($E1894,科目表!$B$4:$B$81,0)),""))</f>
        <v/>
      </c>
      <c r="G1894" s="26" t="str">
        <f>IF($E1894="","",IFERROR(INDEX(科目表!$E$4:$E$81,MATCH($E1894,科目表!$B$4:$B$81,0)),""))</f>
        <v/>
      </c>
      <c r="H1894" s="27" t="str">
        <f>IF($E1894="","",N(INDEX(资金日记账!$N$4:$S$603,493,2)))</f>
        <v/>
      </c>
      <c r="I1894" s="27" t="str">
        <f>IF($E1894="","",N(INDEX(资金日记账!$N$4:$S$603,493,3)))</f>
        <v/>
      </c>
      <c r="J1894" s="26" t="str">
        <f>IF($E1894="","",INDEX(资金日记账!$E$4:$E$603,493))</f>
        <v/>
      </c>
      <c r="K1894" s="26" t="str">
        <f>IF($E1894="","",INDEX(资金日记账!$F$4:$F$603,493))</f>
        <v/>
      </c>
      <c r="L1894" s="32" t="str">
        <f>IF($E1894="","",INDEX(资金日记账!$X$4:$X$603,493))</f>
        <v/>
      </c>
      <c r="M1894" s="32"/>
      <c r="N1894" s="26" t="str">
        <f>IF($E1894="","",INDEX(资金日记账!$Y$4:$Y$603,493))</f>
        <v/>
      </c>
      <c r="O1894" s="26" t="str">
        <f t="shared" si="90"/>
        <v/>
      </c>
      <c r="P1894" s="10"/>
    </row>
    <row r="1895" ht="18" customHeight="1" spans="1:16">
      <c r="A1895" s="32" t="str">
        <f t="shared" si="89"/>
        <v/>
      </c>
      <c r="B1895" s="100" t="str">
        <f>IF($E1895="","",INDEX(资金日记账!$B$4:$B$603,493))</f>
        <v/>
      </c>
      <c r="C1895" s="26" t="str">
        <f>IF($E1895="","",IF(INDEX(资金日记账!$W$4:$W$603,493)="","记-"&amp;TEXT($B1895,"YYYYMM")&amp;"-资金",INDEX(资金日记账!$W$4:$W$603,493)))</f>
        <v/>
      </c>
      <c r="D1895" s="32" t="str">
        <f>IF($E1895="","",INDEX(资金日记账!$D$4:$D$603,493))</f>
        <v/>
      </c>
      <c r="E1895" s="26" t="str">
        <f>IF(INDEX(资金日记账!$N$4:$S$603,493,4)=0,"",INDEX(资金日记账!$N$4:$S$603,493,4))</f>
        <v/>
      </c>
      <c r="F1895" s="25" t="str">
        <f>IF($E1895="","",IFERROR(INDEX(科目表!$A$4:$A$81,MATCH($E1895,科目表!$B$4:$B$81,0)),""))</f>
        <v/>
      </c>
      <c r="G1895" s="26" t="str">
        <f>IF($E1895="","",IFERROR(INDEX(科目表!$E$4:$E$81,MATCH($E1895,科目表!$B$4:$B$81,0)),""))</f>
        <v/>
      </c>
      <c r="H1895" s="27" t="str">
        <f>IF($E1895="","",N(INDEX(资金日记账!$N$4:$S$603,493,5)))</f>
        <v/>
      </c>
      <c r="I1895" s="27" t="str">
        <f>IF($E1895="","",N(INDEX(资金日记账!$N$4:$S$603,493,6)))</f>
        <v/>
      </c>
      <c r="J1895" s="26" t="str">
        <f>IF($E1895="","",INDEX(资金日记账!$E$4:$E$603,493))</f>
        <v/>
      </c>
      <c r="K1895" s="26" t="str">
        <f>IF($E1895="","",INDEX(资金日记账!$F$4:$F$603,493))</f>
        <v/>
      </c>
      <c r="L1895" s="32" t="str">
        <f>IF($E1895="","",INDEX(资金日记账!$X$4:$X$603,493))</f>
        <v/>
      </c>
      <c r="M1895" s="32"/>
      <c r="N1895" s="26" t="str">
        <f>IF($E1895="","",INDEX(资金日记账!$Y$4:$Y$603,493))</f>
        <v/>
      </c>
      <c r="O1895" s="26" t="str">
        <f t="shared" si="90"/>
        <v/>
      </c>
      <c r="P1895" s="10"/>
    </row>
    <row r="1896" ht="18" customHeight="1" spans="1:16">
      <c r="A1896" s="32" t="str">
        <f t="shared" si="89"/>
        <v/>
      </c>
      <c r="B1896" s="100" t="str">
        <f>IF($E1896="","",INDEX(资金日记账!$B$4:$B$603,494))</f>
        <v/>
      </c>
      <c r="C1896" s="26" t="str">
        <f>IF($E1896="","",IF(INDEX(资金日记账!$W$4:$W$603,494)="","记-"&amp;TEXT($B1896,"YYYYMM")&amp;"-资金",INDEX(资金日记账!$W$4:$W$603,494)))</f>
        <v/>
      </c>
      <c r="D1896" s="32" t="str">
        <f>IF($E1896="","",INDEX(资金日记账!$D$4:$D$603,494))</f>
        <v/>
      </c>
      <c r="E1896" s="26" t="str">
        <f>IF(INDEX(资金日记账!$N$4:$S$603,494,1)=0,"",INDEX(资金日记账!$N$4:$S$603,494,1))</f>
        <v/>
      </c>
      <c r="F1896" s="25" t="str">
        <f>IF($E1896="","",IFERROR(INDEX(科目表!$A$4:$A$81,MATCH($E1896,科目表!$B$4:$B$81,0)),""))</f>
        <v/>
      </c>
      <c r="G1896" s="26" t="str">
        <f>IF($E1896="","",IFERROR(INDEX(科目表!$E$4:$E$81,MATCH($E1896,科目表!$B$4:$B$81,0)),""))</f>
        <v/>
      </c>
      <c r="H1896" s="27" t="str">
        <f>IF($E1896="","",N(INDEX(资金日记账!$N$4:$S$603,494,2)))</f>
        <v/>
      </c>
      <c r="I1896" s="27" t="str">
        <f>IF($E1896="","",N(INDEX(资金日记账!$N$4:$S$603,494,3)))</f>
        <v/>
      </c>
      <c r="J1896" s="26" t="str">
        <f>IF($E1896="","",INDEX(资金日记账!$E$4:$E$603,494))</f>
        <v/>
      </c>
      <c r="K1896" s="26" t="str">
        <f>IF($E1896="","",INDEX(资金日记账!$F$4:$F$603,494))</f>
        <v/>
      </c>
      <c r="L1896" s="32" t="str">
        <f>IF($E1896="","",INDEX(资金日记账!$X$4:$X$603,494))</f>
        <v/>
      </c>
      <c r="M1896" s="32"/>
      <c r="N1896" s="26" t="str">
        <f>IF($E1896="","",INDEX(资金日记账!$Y$4:$Y$603,494))</f>
        <v/>
      </c>
      <c r="O1896" s="26" t="str">
        <f t="shared" si="90"/>
        <v/>
      </c>
      <c r="P1896" s="10"/>
    </row>
    <row r="1897" ht="18" customHeight="1" spans="1:16">
      <c r="A1897" s="32" t="str">
        <f t="shared" si="89"/>
        <v/>
      </c>
      <c r="B1897" s="100" t="str">
        <f>IF($E1897="","",INDEX(资金日记账!$B$4:$B$603,494))</f>
        <v/>
      </c>
      <c r="C1897" s="26" t="str">
        <f>IF($E1897="","",IF(INDEX(资金日记账!$W$4:$W$603,494)="","记-"&amp;TEXT($B1897,"YYYYMM")&amp;"-资金",INDEX(资金日记账!$W$4:$W$603,494)))</f>
        <v/>
      </c>
      <c r="D1897" s="32" t="str">
        <f>IF($E1897="","",INDEX(资金日记账!$D$4:$D$603,494))</f>
        <v/>
      </c>
      <c r="E1897" s="26" t="str">
        <f>IF(INDEX(资金日记账!$N$4:$S$603,494,4)=0,"",INDEX(资金日记账!$N$4:$S$603,494,4))</f>
        <v/>
      </c>
      <c r="F1897" s="25" t="str">
        <f>IF($E1897="","",IFERROR(INDEX(科目表!$A$4:$A$81,MATCH($E1897,科目表!$B$4:$B$81,0)),""))</f>
        <v/>
      </c>
      <c r="G1897" s="26" t="str">
        <f>IF($E1897="","",IFERROR(INDEX(科目表!$E$4:$E$81,MATCH($E1897,科目表!$B$4:$B$81,0)),""))</f>
        <v/>
      </c>
      <c r="H1897" s="27" t="str">
        <f>IF($E1897="","",N(INDEX(资金日记账!$N$4:$S$603,494,5)))</f>
        <v/>
      </c>
      <c r="I1897" s="27" t="str">
        <f>IF($E1897="","",N(INDEX(资金日记账!$N$4:$S$603,494,6)))</f>
        <v/>
      </c>
      <c r="J1897" s="26" t="str">
        <f>IF($E1897="","",INDEX(资金日记账!$E$4:$E$603,494))</f>
        <v/>
      </c>
      <c r="K1897" s="26" t="str">
        <f>IF($E1897="","",INDEX(资金日记账!$F$4:$F$603,494))</f>
        <v/>
      </c>
      <c r="L1897" s="32" t="str">
        <f>IF($E1897="","",INDEX(资金日记账!$X$4:$X$603,494))</f>
        <v/>
      </c>
      <c r="M1897" s="32"/>
      <c r="N1897" s="26" t="str">
        <f>IF($E1897="","",INDEX(资金日记账!$Y$4:$Y$603,494))</f>
        <v/>
      </c>
      <c r="O1897" s="26" t="str">
        <f t="shared" si="90"/>
        <v/>
      </c>
      <c r="P1897" s="10"/>
    </row>
    <row r="1898" ht="18" customHeight="1" spans="1:16">
      <c r="A1898" s="32" t="str">
        <f t="shared" si="89"/>
        <v/>
      </c>
      <c r="B1898" s="100" t="str">
        <f>IF($E1898="","",INDEX(资金日记账!$B$4:$B$603,495))</f>
        <v/>
      </c>
      <c r="C1898" s="26" t="str">
        <f>IF($E1898="","",IF(INDEX(资金日记账!$W$4:$W$603,495)="","记-"&amp;TEXT($B1898,"YYYYMM")&amp;"-资金",INDEX(资金日记账!$W$4:$W$603,495)))</f>
        <v/>
      </c>
      <c r="D1898" s="32" t="str">
        <f>IF($E1898="","",INDEX(资金日记账!$D$4:$D$603,495))</f>
        <v/>
      </c>
      <c r="E1898" s="26" t="str">
        <f>IF(INDEX(资金日记账!$N$4:$S$603,495,1)=0,"",INDEX(资金日记账!$N$4:$S$603,495,1))</f>
        <v/>
      </c>
      <c r="F1898" s="25" t="str">
        <f>IF($E1898="","",IFERROR(INDEX(科目表!$A$4:$A$81,MATCH($E1898,科目表!$B$4:$B$81,0)),""))</f>
        <v/>
      </c>
      <c r="G1898" s="26" t="str">
        <f>IF($E1898="","",IFERROR(INDEX(科目表!$E$4:$E$81,MATCH($E1898,科目表!$B$4:$B$81,0)),""))</f>
        <v/>
      </c>
      <c r="H1898" s="27" t="str">
        <f>IF($E1898="","",N(INDEX(资金日记账!$N$4:$S$603,495,2)))</f>
        <v/>
      </c>
      <c r="I1898" s="27" t="str">
        <f>IF($E1898="","",N(INDEX(资金日记账!$N$4:$S$603,495,3)))</f>
        <v/>
      </c>
      <c r="J1898" s="26" t="str">
        <f>IF($E1898="","",INDEX(资金日记账!$E$4:$E$603,495))</f>
        <v/>
      </c>
      <c r="K1898" s="26" t="str">
        <f>IF($E1898="","",INDEX(资金日记账!$F$4:$F$603,495))</f>
        <v/>
      </c>
      <c r="L1898" s="32" t="str">
        <f>IF($E1898="","",INDEX(资金日记账!$X$4:$X$603,495))</f>
        <v/>
      </c>
      <c r="M1898" s="32"/>
      <c r="N1898" s="26" t="str">
        <f>IF($E1898="","",INDEX(资金日记账!$Y$4:$Y$603,495))</f>
        <v/>
      </c>
      <c r="O1898" s="26" t="str">
        <f t="shared" si="90"/>
        <v/>
      </c>
      <c r="P1898" s="10"/>
    </row>
    <row r="1899" ht="18" customHeight="1" spans="1:16">
      <c r="A1899" s="32" t="str">
        <f t="shared" si="89"/>
        <v/>
      </c>
      <c r="B1899" s="100" t="str">
        <f>IF($E1899="","",INDEX(资金日记账!$B$4:$B$603,495))</f>
        <v/>
      </c>
      <c r="C1899" s="26" t="str">
        <f>IF($E1899="","",IF(INDEX(资金日记账!$W$4:$W$603,495)="","记-"&amp;TEXT($B1899,"YYYYMM")&amp;"-资金",INDEX(资金日记账!$W$4:$W$603,495)))</f>
        <v/>
      </c>
      <c r="D1899" s="32" t="str">
        <f>IF($E1899="","",INDEX(资金日记账!$D$4:$D$603,495))</f>
        <v/>
      </c>
      <c r="E1899" s="26" t="str">
        <f>IF(INDEX(资金日记账!$N$4:$S$603,495,4)=0,"",INDEX(资金日记账!$N$4:$S$603,495,4))</f>
        <v/>
      </c>
      <c r="F1899" s="25" t="str">
        <f>IF($E1899="","",IFERROR(INDEX(科目表!$A$4:$A$81,MATCH($E1899,科目表!$B$4:$B$81,0)),""))</f>
        <v/>
      </c>
      <c r="G1899" s="26" t="str">
        <f>IF($E1899="","",IFERROR(INDEX(科目表!$E$4:$E$81,MATCH($E1899,科目表!$B$4:$B$81,0)),""))</f>
        <v/>
      </c>
      <c r="H1899" s="27" t="str">
        <f>IF($E1899="","",N(INDEX(资金日记账!$N$4:$S$603,495,5)))</f>
        <v/>
      </c>
      <c r="I1899" s="27" t="str">
        <f>IF($E1899="","",N(INDEX(资金日记账!$N$4:$S$603,495,6)))</f>
        <v/>
      </c>
      <c r="J1899" s="26" t="str">
        <f>IF($E1899="","",INDEX(资金日记账!$E$4:$E$603,495))</f>
        <v/>
      </c>
      <c r="K1899" s="26" t="str">
        <f>IF($E1899="","",INDEX(资金日记账!$F$4:$F$603,495))</f>
        <v/>
      </c>
      <c r="L1899" s="32" t="str">
        <f>IF($E1899="","",INDEX(资金日记账!$X$4:$X$603,495))</f>
        <v/>
      </c>
      <c r="M1899" s="32"/>
      <c r="N1899" s="26" t="str">
        <f>IF($E1899="","",INDEX(资金日记账!$Y$4:$Y$603,495))</f>
        <v/>
      </c>
      <c r="O1899" s="26" t="str">
        <f t="shared" si="90"/>
        <v/>
      </c>
      <c r="P1899" s="10"/>
    </row>
    <row r="1900" ht="18" customHeight="1" spans="1:16">
      <c r="A1900" s="32" t="str">
        <f t="shared" si="89"/>
        <v/>
      </c>
      <c r="B1900" s="100" t="str">
        <f>IF($E1900="","",INDEX(资金日记账!$B$4:$B$603,496))</f>
        <v/>
      </c>
      <c r="C1900" s="26" t="str">
        <f>IF($E1900="","",IF(INDEX(资金日记账!$W$4:$W$603,496)="","记-"&amp;TEXT($B1900,"YYYYMM")&amp;"-资金",INDEX(资金日记账!$W$4:$W$603,496)))</f>
        <v/>
      </c>
      <c r="D1900" s="32" t="str">
        <f>IF($E1900="","",INDEX(资金日记账!$D$4:$D$603,496))</f>
        <v/>
      </c>
      <c r="E1900" s="26" t="str">
        <f>IF(INDEX(资金日记账!$N$4:$S$603,496,1)=0,"",INDEX(资金日记账!$N$4:$S$603,496,1))</f>
        <v/>
      </c>
      <c r="F1900" s="25" t="str">
        <f>IF($E1900="","",IFERROR(INDEX(科目表!$A$4:$A$81,MATCH($E1900,科目表!$B$4:$B$81,0)),""))</f>
        <v/>
      </c>
      <c r="G1900" s="26" t="str">
        <f>IF($E1900="","",IFERROR(INDEX(科目表!$E$4:$E$81,MATCH($E1900,科目表!$B$4:$B$81,0)),""))</f>
        <v/>
      </c>
      <c r="H1900" s="27" t="str">
        <f>IF($E1900="","",N(INDEX(资金日记账!$N$4:$S$603,496,2)))</f>
        <v/>
      </c>
      <c r="I1900" s="27" t="str">
        <f>IF($E1900="","",N(INDEX(资金日记账!$N$4:$S$603,496,3)))</f>
        <v/>
      </c>
      <c r="J1900" s="26" t="str">
        <f>IF($E1900="","",INDEX(资金日记账!$E$4:$E$603,496))</f>
        <v/>
      </c>
      <c r="K1900" s="26" t="str">
        <f>IF($E1900="","",INDEX(资金日记账!$F$4:$F$603,496))</f>
        <v/>
      </c>
      <c r="L1900" s="32" t="str">
        <f>IF($E1900="","",INDEX(资金日记账!$X$4:$X$603,496))</f>
        <v/>
      </c>
      <c r="M1900" s="32"/>
      <c r="N1900" s="26" t="str">
        <f>IF($E1900="","",INDEX(资金日记账!$Y$4:$Y$603,496))</f>
        <v/>
      </c>
      <c r="O1900" s="26" t="str">
        <f t="shared" si="90"/>
        <v/>
      </c>
      <c r="P1900" s="10"/>
    </row>
    <row r="1901" ht="18" customHeight="1" spans="1:16">
      <c r="A1901" s="32" t="str">
        <f t="shared" si="89"/>
        <v/>
      </c>
      <c r="B1901" s="100" t="str">
        <f>IF($E1901="","",INDEX(资金日记账!$B$4:$B$603,496))</f>
        <v/>
      </c>
      <c r="C1901" s="26" t="str">
        <f>IF($E1901="","",IF(INDEX(资金日记账!$W$4:$W$603,496)="","记-"&amp;TEXT($B1901,"YYYYMM")&amp;"-资金",INDEX(资金日记账!$W$4:$W$603,496)))</f>
        <v/>
      </c>
      <c r="D1901" s="32" t="str">
        <f>IF($E1901="","",INDEX(资金日记账!$D$4:$D$603,496))</f>
        <v/>
      </c>
      <c r="E1901" s="26" t="str">
        <f>IF(INDEX(资金日记账!$N$4:$S$603,496,4)=0,"",INDEX(资金日记账!$N$4:$S$603,496,4))</f>
        <v/>
      </c>
      <c r="F1901" s="25" t="str">
        <f>IF($E1901="","",IFERROR(INDEX(科目表!$A$4:$A$81,MATCH($E1901,科目表!$B$4:$B$81,0)),""))</f>
        <v/>
      </c>
      <c r="G1901" s="26" t="str">
        <f>IF($E1901="","",IFERROR(INDEX(科目表!$E$4:$E$81,MATCH($E1901,科目表!$B$4:$B$81,0)),""))</f>
        <v/>
      </c>
      <c r="H1901" s="27" t="str">
        <f>IF($E1901="","",N(INDEX(资金日记账!$N$4:$S$603,496,5)))</f>
        <v/>
      </c>
      <c r="I1901" s="27" t="str">
        <f>IF($E1901="","",N(INDEX(资金日记账!$N$4:$S$603,496,6)))</f>
        <v/>
      </c>
      <c r="J1901" s="26" t="str">
        <f>IF($E1901="","",INDEX(资金日记账!$E$4:$E$603,496))</f>
        <v/>
      </c>
      <c r="K1901" s="26" t="str">
        <f>IF($E1901="","",INDEX(资金日记账!$F$4:$F$603,496))</f>
        <v/>
      </c>
      <c r="L1901" s="32" t="str">
        <f>IF($E1901="","",INDEX(资金日记账!$X$4:$X$603,496))</f>
        <v/>
      </c>
      <c r="M1901" s="32"/>
      <c r="N1901" s="26" t="str">
        <f>IF($E1901="","",INDEX(资金日记账!$Y$4:$Y$603,496))</f>
        <v/>
      </c>
      <c r="O1901" s="26" t="str">
        <f t="shared" si="90"/>
        <v/>
      </c>
      <c r="P1901" s="10"/>
    </row>
    <row r="1902" ht="18" customHeight="1" spans="1:16">
      <c r="A1902" s="32" t="str">
        <f t="shared" si="89"/>
        <v/>
      </c>
      <c r="B1902" s="100" t="str">
        <f>IF($E1902="","",INDEX(资金日记账!$B$4:$B$603,497))</f>
        <v/>
      </c>
      <c r="C1902" s="26" t="str">
        <f>IF($E1902="","",IF(INDEX(资金日记账!$W$4:$W$603,497)="","记-"&amp;TEXT($B1902,"YYYYMM")&amp;"-资金",INDEX(资金日记账!$W$4:$W$603,497)))</f>
        <v/>
      </c>
      <c r="D1902" s="32" t="str">
        <f>IF($E1902="","",INDEX(资金日记账!$D$4:$D$603,497))</f>
        <v/>
      </c>
      <c r="E1902" s="26" t="str">
        <f>IF(INDEX(资金日记账!$N$4:$S$603,497,1)=0,"",INDEX(资金日记账!$N$4:$S$603,497,1))</f>
        <v/>
      </c>
      <c r="F1902" s="25" t="str">
        <f>IF($E1902="","",IFERROR(INDEX(科目表!$A$4:$A$81,MATCH($E1902,科目表!$B$4:$B$81,0)),""))</f>
        <v/>
      </c>
      <c r="G1902" s="26" t="str">
        <f>IF($E1902="","",IFERROR(INDEX(科目表!$E$4:$E$81,MATCH($E1902,科目表!$B$4:$B$81,0)),""))</f>
        <v/>
      </c>
      <c r="H1902" s="27" t="str">
        <f>IF($E1902="","",N(INDEX(资金日记账!$N$4:$S$603,497,2)))</f>
        <v/>
      </c>
      <c r="I1902" s="27" t="str">
        <f>IF($E1902="","",N(INDEX(资金日记账!$N$4:$S$603,497,3)))</f>
        <v/>
      </c>
      <c r="J1902" s="26" t="str">
        <f>IF($E1902="","",INDEX(资金日记账!$E$4:$E$603,497))</f>
        <v/>
      </c>
      <c r="K1902" s="26" t="str">
        <f>IF($E1902="","",INDEX(资金日记账!$F$4:$F$603,497))</f>
        <v/>
      </c>
      <c r="L1902" s="32" t="str">
        <f>IF($E1902="","",INDEX(资金日记账!$X$4:$X$603,497))</f>
        <v/>
      </c>
      <c r="M1902" s="32"/>
      <c r="N1902" s="26" t="str">
        <f>IF($E1902="","",INDEX(资金日记账!$Y$4:$Y$603,497))</f>
        <v/>
      </c>
      <c r="O1902" s="26" t="str">
        <f t="shared" si="90"/>
        <v/>
      </c>
      <c r="P1902" s="10"/>
    </row>
    <row r="1903" ht="18" customHeight="1" spans="1:16">
      <c r="A1903" s="32" t="str">
        <f t="shared" si="89"/>
        <v/>
      </c>
      <c r="B1903" s="100" t="str">
        <f>IF($E1903="","",INDEX(资金日记账!$B$4:$B$603,497))</f>
        <v/>
      </c>
      <c r="C1903" s="26" t="str">
        <f>IF($E1903="","",IF(INDEX(资金日记账!$W$4:$W$603,497)="","记-"&amp;TEXT($B1903,"YYYYMM")&amp;"-资金",INDEX(资金日记账!$W$4:$W$603,497)))</f>
        <v/>
      </c>
      <c r="D1903" s="32" t="str">
        <f>IF($E1903="","",INDEX(资金日记账!$D$4:$D$603,497))</f>
        <v/>
      </c>
      <c r="E1903" s="26" t="str">
        <f>IF(INDEX(资金日记账!$N$4:$S$603,497,4)=0,"",INDEX(资金日记账!$N$4:$S$603,497,4))</f>
        <v/>
      </c>
      <c r="F1903" s="25" t="str">
        <f>IF($E1903="","",IFERROR(INDEX(科目表!$A$4:$A$81,MATCH($E1903,科目表!$B$4:$B$81,0)),""))</f>
        <v/>
      </c>
      <c r="G1903" s="26" t="str">
        <f>IF($E1903="","",IFERROR(INDEX(科目表!$E$4:$E$81,MATCH($E1903,科目表!$B$4:$B$81,0)),""))</f>
        <v/>
      </c>
      <c r="H1903" s="27" t="str">
        <f>IF($E1903="","",N(INDEX(资金日记账!$N$4:$S$603,497,5)))</f>
        <v/>
      </c>
      <c r="I1903" s="27" t="str">
        <f>IF($E1903="","",N(INDEX(资金日记账!$N$4:$S$603,497,6)))</f>
        <v/>
      </c>
      <c r="J1903" s="26" t="str">
        <f>IF($E1903="","",INDEX(资金日记账!$E$4:$E$603,497))</f>
        <v/>
      </c>
      <c r="K1903" s="26" t="str">
        <f>IF($E1903="","",INDEX(资金日记账!$F$4:$F$603,497))</f>
        <v/>
      </c>
      <c r="L1903" s="32" t="str">
        <f>IF($E1903="","",INDEX(资金日记账!$X$4:$X$603,497))</f>
        <v/>
      </c>
      <c r="M1903" s="32"/>
      <c r="N1903" s="26" t="str">
        <f>IF($E1903="","",INDEX(资金日记账!$Y$4:$Y$603,497))</f>
        <v/>
      </c>
      <c r="O1903" s="26" t="str">
        <f t="shared" si="90"/>
        <v/>
      </c>
      <c r="P1903" s="10"/>
    </row>
    <row r="1904" ht="18" customHeight="1" spans="1:16">
      <c r="A1904" s="32" t="str">
        <f t="shared" si="89"/>
        <v/>
      </c>
      <c r="B1904" s="100" t="str">
        <f>IF($E1904="","",INDEX(资金日记账!$B$4:$B$603,498))</f>
        <v/>
      </c>
      <c r="C1904" s="26" t="str">
        <f>IF($E1904="","",IF(INDEX(资金日记账!$W$4:$W$603,498)="","记-"&amp;TEXT($B1904,"YYYYMM")&amp;"-资金",INDEX(资金日记账!$W$4:$W$603,498)))</f>
        <v/>
      </c>
      <c r="D1904" s="32" t="str">
        <f>IF($E1904="","",INDEX(资金日记账!$D$4:$D$603,498))</f>
        <v/>
      </c>
      <c r="E1904" s="26" t="str">
        <f>IF(INDEX(资金日记账!$N$4:$S$603,498,1)=0,"",INDEX(资金日记账!$N$4:$S$603,498,1))</f>
        <v/>
      </c>
      <c r="F1904" s="25" t="str">
        <f>IF($E1904="","",IFERROR(INDEX(科目表!$A$4:$A$81,MATCH($E1904,科目表!$B$4:$B$81,0)),""))</f>
        <v/>
      </c>
      <c r="G1904" s="26" t="str">
        <f>IF($E1904="","",IFERROR(INDEX(科目表!$E$4:$E$81,MATCH($E1904,科目表!$B$4:$B$81,0)),""))</f>
        <v/>
      </c>
      <c r="H1904" s="27" t="str">
        <f>IF($E1904="","",N(INDEX(资金日记账!$N$4:$S$603,498,2)))</f>
        <v/>
      </c>
      <c r="I1904" s="27" t="str">
        <f>IF($E1904="","",N(INDEX(资金日记账!$N$4:$S$603,498,3)))</f>
        <v/>
      </c>
      <c r="J1904" s="26" t="str">
        <f>IF($E1904="","",INDEX(资金日记账!$E$4:$E$603,498))</f>
        <v/>
      </c>
      <c r="K1904" s="26" t="str">
        <f>IF($E1904="","",INDEX(资金日记账!$F$4:$F$603,498))</f>
        <v/>
      </c>
      <c r="L1904" s="32" t="str">
        <f>IF($E1904="","",INDEX(资金日记账!$X$4:$X$603,498))</f>
        <v/>
      </c>
      <c r="M1904" s="32"/>
      <c r="N1904" s="26" t="str">
        <f>IF($E1904="","",INDEX(资金日记账!$Y$4:$Y$603,498))</f>
        <v/>
      </c>
      <c r="O1904" s="26" t="str">
        <f t="shared" si="90"/>
        <v/>
      </c>
      <c r="P1904" s="10"/>
    </row>
    <row r="1905" ht="18" customHeight="1" spans="1:16">
      <c r="A1905" s="32" t="str">
        <f t="shared" si="89"/>
        <v/>
      </c>
      <c r="B1905" s="100" t="str">
        <f>IF($E1905="","",INDEX(资金日记账!$B$4:$B$603,498))</f>
        <v/>
      </c>
      <c r="C1905" s="26" t="str">
        <f>IF($E1905="","",IF(INDEX(资金日记账!$W$4:$W$603,498)="","记-"&amp;TEXT($B1905,"YYYYMM")&amp;"-资金",INDEX(资金日记账!$W$4:$W$603,498)))</f>
        <v/>
      </c>
      <c r="D1905" s="32" t="str">
        <f>IF($E1905="","",INDEX(资金日记账!$D$4:$D$603,498))</f>
        <v/>
      </c>
      <c r="E1905" s="26" t="str">
        <f>IF(INDEX(资金日记账!$N$4:$S$603,498,4)=0,"",INDEX(资金日记账!$N$4:$S$603,498,4))</f>
        <v/>
      </c>
      <c r="F1905" s="25" t="str">
        <f>IF($E1905="","",IFERROR(INDEX(科目表!$A$4:$A$81,MATCH($E1905,科目表!$B$4:$B$81,0)),""))</f>
        <v/>
      </c>
      <c r="G1905" s="26" t="str">
        <f>IF($E1905="","",IFERROR(INDEX(科目表!$E$4:$E$81,MATCH($E1905,科目表!$B$4:$B$81,0)),""))</f>
        <v/>
      </c>
      <c r="H1905" s="27" t="str">
        <f>IF($E1905="","",N(INDEX(资金日记账!$N$4:$S$603,498,5)))</f>
        <v/>
      </c>
      <c r="I1905" s="27" t="str">
        <f>IF($E1905="","",N(INDEX(资金日记账!$N$4:$S$603,498,6)))</f>
        <v/>
      </c>
      <c r="J1905" s="26" t="str">
        <f>IF($E1905="","",INDEX(资金日记账!$E$4:$E$603,498))</f>
        <v/>
      </c>
      <c r="K1905" s="26" t="str">
        <f>IF($E1905="","",INDEX(资金日记账!$F$4:$F$603,498))</f>
        <v/>
      </c>
      <c r="L1905" s="32" t="str">
        <f>IF($E1905="","",INDEX(资金日记账!$X$4:$X$603,498))</f>
        <v/>
      </c>
      <c r="M1905" s="32"/>
      <c r="N1905" s="26" t="str">
        <f>IF($E1905="","",INDEX(资金日记账!$Y$4:$Y$603,498))</f>
        <v/>
      </c>
      <c r="O1905" s="26" t="str">
        <f t="shared" si="90"/>
        <v/>
      </c>
      <c r="P1905" s="10"/>
    </row>
    <row r="1906" ht="18" customHeight="1" spans="1:16">
      <c r="A1906" s="32" t="str">
        <f t="shared" si="89"/>
        <v/>
      </c>
      <c r="B1906" s="100" t="str">
        <f>IF($E1906="","",INDEX(资金日记账!$B$4:$B$603,499))</f>
        <v/>
      </c>
      <c r="C1906" s="26" t="str">
        <f>IF($E1906="","",IF(INDEX(资金日记账!$W$4:$W$603,499)="","记-"&amp;TEXT($B1906,"YYYYMM")&amp;"-资金",INDEX(资金日记账!$W$4:$W$603,499)))</f>
        <v/>
      </c>
      <c r="D1906" s="32" t="str">
        <f>IF($E1906="","",INDEX(资金日记账!$D$4:$D$603,499))</f>
        <v/>
      </c>
      <c r="E1906" s="26" t="str">
        <f>IF(INDEX(资金日记账!$N$4:$S$603,499,1)=0,"",INDEX(资金日记账!$N$4:$S$603,499,1))</f>
        <v/>
      </c>
      <c r="F1906" s="25" t="str">
        <f>IF($E1906="","",IFERROR(INDEX(科目表!$A$4:$A$81,MATCH($E1906,科目表!$B$4:$B$81,0)),""))</f>
        <v/>
      </c>
      <c r="G1906" s="26" t="str">
        <f>IF($E1906="","",IFERROR(INDEX(科目表!$E$4:$E$81,MATCH($E1906,科目表!$B$4:$B$81,0)),""))</f>
        <v/>
      </c>
      <c r="H1906" s="27" t="str">
        <f>IF($E1906="","",N(INDEX(资金日记账!$N$4:$S$603,499,2)))</f>
        <v/>
      </c>
      <c r="I1906" s="27" t="str">
        <f>IF($E1906="","",N(INDEX(资金日记账!$N$4:$S$603,499,3)))</f>
        <v/>
      </c>
      <c r="J1906" s="26" t="str">
        <f>IF($E1906="","",INDEX(资金日记账!$E$4:$E$603,499))</f>
        <v/>
      </c>
      <c r="K1906" s="26" t="str">
        <f>IF($E1906="","",INDEX(资金日记账!$F$4:$F$603,499))</f>
        <v/>
      </c>
      <c r="L1906" s="32" t="str">
        <f>IF($E1906="","",INDEX(资金日记账!$X$4:$X$603,499))</f>
        <v/>
      </c>
      <c r="M1906" s="32"/>
      <c r="N1906" s="26" t="str">
        <f>IF($E1906="","",INDEX(资金日记账!$Y$4:$Y$603,499))</f>
        <v/>
      </c>
      <c r="O1906" s="26" t="str">
        <f t="shared" si="90"/>
        <v/>
      </c>
      <c r="P1906" s="10"/>
    </row>
    <row r="1907" ht="18" customHeight="1" spans="1:16">
      <c r="A1907" s="32" t="str">
        <f t="shared" si="89"/>
        <v/>
      </c>
      <c r="B1907" s="100" t="str">
        <f>IF($E1907="","",INDEX(资金日记账!$B$4:$B$603,499))</f>
        <v/>
      </c>
      <c r="C1907" s="26" t="str">
        <f>IF($E1907="","",IF(INDEX(资金日记账!$W$4:$W$603,499)="","记-"&amp;TEXT($B1907,"YYYYMM")&amp;"-资金",INDEX(资金日记账!$W$4:$W$603,499)))</f>
        <v/>
      </c>
      <c r="D1907" s="32" t="str">
        <f>IF($E1907="","",INDEX(资金日记账!$D$4:$D$603,499))</f>
        <v/>
      </c>
      <c r="E1907" s="26" t="str">
        <f>IF(INDEX(资金日记账!$N$4:$S$603,499,4)=0,"",INDEX(资金日记账!$N$4:$S$603,499,4))</f>
        <v/>
      </c>
      <c r="F1907" s="25" t="str">
        <f>IF($E1907="","",IFERROR(INDEX(科目表!$A$4:$A$81,MATCH($E1907,科目表!$B$4:$B$81,0)),""))</f>
        <v/>
      </c>
      <c r="G1907" s="26" t="str">
        <f>IF($E1907="","",IFERROR(INDEX(科目表!$E$4:$E$81,MATCH($E1907,科目表!$B$4:$B$81,0)),""))</f>
        <v/>
      </c>
      <c r="H1907" s="27" t="str">
        <f>IF($E1907="","",N(INDEX(资金日记账!$N$4:$S$603,499,5)))</f>
        <v/>
      </c>
      <c r="I1907" s="27" t="str">
        <f>IF($E1907="","",N(INDEX(资金日记账!$N$4:$S$603,499,6)))</f>
        <v/>
      </c>
      <c r="J1907" s="26" t="str">
        <f>IF($E1907="","",INDEX(资金日记账!$E$4:$E$603,499))</f>
        <v/>
      </c>
      <c r="K1907" s="26" t="str">
        <f>IF($E1907="","",INDEX(资金日记账!$F$4:$F$603,499))</f>
        <v/>
      </c>
      <c r="L1907" s="32" t="str">
        <f>IF($E1907="","",INDEX(资金日记账!$X$4:$X$603,499))</f>
        <v/>
      </c>
      <c r="M1907" s="32"/>
      <c r="N1907" s="26" t="str">
        <f>IF($E1907="","",INDEX(资金日记账!$Y$4:$Y$603,499))</f>
        <v/>
      </c>
      <c r="O1907" s="26" t="str">
        <f t="shared" si="90"/>
        <v/>
      </c>
      <c r="P1907" s="10"/>
    </row>
    <row r="1908" ht="18" customHeight="1" spans="1:16">
      <c r="A1908" s="32" t="str">
        <f t="shared" si="89"/>
        <v/>
      </c>
      <c r="B1908" s="100" t="str">
        <f>IF($E1908="","",INDEX(资金日记账!$B$4:$B$603,500))</f>
        <v/>
      </c>
      <c r="C1908" s="26" t="str">
        <f>IF($E1908="","",IF(INDEX(资金日记账!$W$4:$W$603,500)="","记-"&amp;TEXT($B1908,"YYYYMM")&amp;"-资金",INDEX(资金日记账!$W$4:$W$603,500)))</f>
        <v/>
      </c>
      <c r="D1908" s="32" t="str">
        <f>IF($E1908="","",INDEX(资金日记账!$D$4:$D$603,500))</f>
        <v/>
      </c>
      <c r="E1908" s="26" t="str">
        <f>IF(INDEX(资金日记账!$N$4:$S$603,500,1)=0,"",INDEX(资金日记账!$N$4:$S$603,500,1))</f>
        <v/>
      </c>
      <c r="F1908" s="25" t="str">
        <f>IF($E1908="","",IFERROR(INDEX(科目表!$A$4:$A$81,MATCH($E1908,科目表!$B$4:$B$81,0)),""))</f>
        <v/>
      </c>
      <c r="G1908" s="26" t="str">
        <f>IF($E1908="","",IFERROR(INDEX(科目表!$E$4:$E$81,MATCH($E1908,科目表!$B$4:$B$81,0)),""))</f>
        <v/>
      </c>
      <c r="H1908" s="27" t="str">
        <f>IF($E1908="","",N(INDEX(资金日记账!$N$4:$S$603,500,2)))</f>
        <v/>
      </c>
      <c r="I1908" s="27" t="str">
        <f>IF($E1908="","",N(INDEX(资金日记账!$N$4:$S$603,500,3)))</f>
        <v/>
      </c>
      <c r="J1908" s="26" t="str">
        <f>IF($E1908="","",INDEX(资金日记账!$E$4:$E$603,500))</f>
        <v/>
      </c>
      <c r="K1908" s="26" t="str">
        <f>IF($E1908="","",INDEX(资金日记账!$F$4:$F$603,500))</f>
        <v/>
      </c>
      <c r="L1908" s="32" t="str">
        <f>IF($E1908="","",INDEX(资金日记账!$X$4:$X$603,500))</f>
        <v/>
      </c>
      <c r="M1908" s="32"/>
      <c r="N1908" s="26" t="str">
        <f>IF($E1908="","",INDEX(资金日记账!$Y$4:$Y$603,500))</f>
        <v/>
      </c>
      <c r="O1908" s="26" t="str">
        <f t="shared" si="90"/>
        <v/>
      </c>
      <c r="P1908" s="10"/>
    </row>
    <row r="1909" ht="18" customHeight="1" spans="1:16">
      <c r="A1909" s="32" t="str">
        <f t="shared" si="89"/>
        <v/>
      </c>
      <c r="B1909" s="100" t="str">
        <f>IF($E1909="","",INDEX(资金日记账!$B$4:$B$603,500))</f>
        <v/>
      </c>
      <c r="C1909" s="26" t="str">
        <f>IF($E1909="","",IF(INDEX(资金日记账!$W$4:$W$603,500)="","记-"&amp;TEXT($B1909,"YYYYMM")&amp;"-资金",INDEX(资金日记账!$W$4:$W$603,500)))</f>
        <v/>
      </c>
      <c r="D1909" s="32" t="str">
        <f>IF($E1909="","",INDEX(资金日记账!$D$4:$D$603,500))</f>
        <v/>
      </c>
      <c r="E1909" s="26" t="str">
        <f>IF(INDEX(资金日记账!$N$4:$S$603,500,4)=0,"",INDEX(资金日记账!$N$4:$S$603,500,4))</f>
        <v/>
      </c>
      <c r="F1909" s="25" t="str">
        <f>IF($E1909="","",IFERROR(INDEX(科目表!$A$4:$A$81,MATCH($E1909,科目表!$B$4:$B$81,0)),""))</f>
        <v/>
      </c>
      <c r="G1909" s="26" t="str">
        <f>IF($E1909="","",IFERROR(INDEX(科目表!$E$4:$E$81,MATCH($E1909,科目表!$B$4:$B$81,0)),""))</f>
        <v/>
      </c>
      <c r="H1909" s="27" t="str">
        <f>IF($E1909="","",N(INDEX(资金日记账!$N$4:$S$603,500,5)))</f>
        <v/>
      </c>
      <c r="I1909" s="27" t="str">
        <f>IF($E1909="","",N(INDEX(资金日记账!$N$4:$S$603,500,6)))</f>
        <v/>
      </c>
      <c r="J1909" s="26" t="str">
        <f>IF($E1909="","",INDEX(资金日记账!$E$4:$E$603,500))</f>
        <v/>
      </c>
      <c r="K1909" s="26" t="str">
        <f>IF($E1909="","",INDEX(资金日记账!$F$4:$F$603,500))</f>
        <v/>
      </c>
      <c r="L1909" s="32" t="str">
        <f>IF($E1909="","",INDEX(资金日记账!$X$4:$X$603,500))</f>
        <v/>
      </c>
      <c r="M1909" s="32"/>
      <c r="N1909" s="26" t="str">
        <f>IF($E1909="","",INDEX(资金日记账!$Y$4:$Y$603,500))</f>
        <v/>
      </c>
      <c r="O1909" s="26" t="str">
        <f t="shared" si="90"/>
        <v/>
      </c>
      <c r="P1909" s="10"/>
    </row>
    <row r="1910" ht="18" customHeight="1" spans="1:16">
      <c r="A1910" s="32" t="str">
        <f t="shared" si="89"/>
        <v/>
      </c>
      <c r="B1910" s="100" t="str">
        <f>IF($E1910="","",INDEX(资金日记账!$B$4:$B$603,501))</f>
        <v/>
      </c>
      <c r="C1910" s="26" t="str">
        <f>IF($E1910="","",IF(INDEX(资金日记账!$W$4:$W$603,501)="","记-"&amp;TEXT($B1910,"YYYYMM")&amp;"-资金",INDEX(资金日记账!$W$4:$W$603,501)))</f>
        <v/>
      </c>
      <c r="D1910" s="32" t="str">
        <f>IF($E1910="","",INDEX(资金日记账!$D$4:$D$603,501))</f>
        <v/>
      </c>
      <c r="E1910" s="26" t="str">
        <f>IF(INDEX(资金日记账!$N$4:$S$603,501,1)=0,"",INDEX(资金日记账!$N$4:$S$603,501,1))</f>
        <v/>
      </c>
      <c r="F1910" s="25" t="str">
        <f>IF($E1910="","",IFERROR(INDEX(科目表!$A$4:$A$81,MATCH($E1910,科目表!$B$4:$B$81,0)),""))</f>
        <v/>
      </c>
      <c r="G1910" s="26" t="str">
        <f>IF($E1910="","",IFERROR(INDEX(科目表!$E$4:$E$81,MATCH($E1910,科目表!$B$4:$B$81,0)),""))</f>
        <v/>
      </c>
      <c r="H1910" s="27" t="str">
        <f>IF($E1910="","",N(INDEX(资金日记账!$N$4:$S$603,501,2)))</f>
        <v/>
      </c>
      <c r="I1910" s="27" t="str">
        <f>IF($E1910="","",N(INDEX(资金日记账!$N$4:$S$603,501,3)))</f>
        <v/>
      </c>
      <c r="J1910" s="26" t="str">
        <f>IF($E1910="","",INDEX(资金日记账!$E$4:$E$603,501))</f>
        <v/>
      </c>
      <c r="K1910" s="26" t="str">
        <f>IF($E1910="","",INDEX(资金日记账!$F$4:$F$603,501))</f>
        <v/>
      </c>
      <c r="L1910" s="32" t="str">
        <f>IF($E1910="","",INDEX(资金日记账!$X$4:$X$603,501))</f>
        <v/>
      </c>
      <c r="M1910" s="32"/>
      <c r="N1910" s="26" t="str">
        <f>IF($E1910="","",INDEX(资金日记账!$Y$4:$Y$603,501))</f>
        <v/>
      </c>
      <c r="O1910" s="26" t="str">
        <f t="shared" si="90"/>
        <v/>
      </c>
      <c r="P1910" s="10"/>
    </row>
    <row r="1911" ht="18" customHeight="1" spans="1:16">
      <c r="A1911" s="32" t="str">
        <f t="shared" si="89"/>
        <v/>
      </c>
      <c r="B1911" s="100" t="str">
        <f>IF($E1911="","",INDEX(资金日记账!$B$4:$B$603,501))</f>
        <v/>
      </c>
      <c r="C1911" s="26" t="str">
        <f>IF($E1911="","",IF(INDEX(资金日记账!$W$4:$W$603,501)="","记-"&amp;TEXT($B1911,"YYYYMM")&amp;"-资金",INDEX(资金日记账!$W$4:$W$603,501)))</f>
        <v/>
      </c>
      <c r="D1911" s="32" t="str">
        <f>IF($E1911="","",INDEX(资金日记账!$D$4:$D$603,501))</f>
        <v/>
      </c>
      <c r="E1911" s="26" t="str">
        <f>IF(INDEX(资金日记账!$N$4:$S$603,501,4)=0,"",INDEX(资金日记账!$N$4:$S$603,501,4))</f>
        <v/>
      </c>
      <c r="F1911" s="25" t="str">
        <f>IF($E1911="","",IFERROR(INDEX(科目表!$A$4:$A$81,MATCH($E1911,科目表!$B$4:$B$81,0)),""))</f>
        <v/>
      </c>
      <c r="G1911" s="26" t="str">
        <f>IF($E1911="","",IFERROR(INDEX(科目表!$E$4:$E$81,MATCH($E1911,科目表!$B$4:$B$81,0)),""))</f>
        <v/>
      </c>
      <c r="H1911" s="27" t="str">
        <f>IF($E1911="","",N(INDEX(资金日记账!$N$4:$S$603,501,5)))</f>
        <v/>
      </c>
      <c r="I1911" s="27" t="str">
        <f>IF($E1911="","",N(INDEX(资金日记账!$N$4:$S$603,501,6)))</f>
        <v/>
      </c>
      <c r="J1911" s="26" t="str">
        <f>IF($E1911="","",INDEX(资金日记账!$E$4:$E$603,501))</f>
        <v/>
      </c>
      <c r="K1911" s="26" t="str">
        <f>IF($E1911="","",INDEX(资金日记账!$F$4:$F$603,501))</f>
        <v/>
      </c>
      <c r="L1911" s="32" t="str">
        <f>IF($E1911="","",INDEX(资金日记账!$X$4:$X$603,501))</f>
        <v/>
      </c>
      <c r="M1911" s="32"/>
      <c r="N1911" s="26" t="str">
        <f>IF($E1911="","",INDEX(资金日记账!$Y$4:$Y$603,501))</f>
        <v/>
      </c>
      <c r="O1911" s="26" t="str">
        <f t="shared" si="90"/>
        <v/>
      </c>
      <c r="P1911" s="10"/>
    </row>
    <row r="1912" ht="18" customHeight="1" spans="1:16">
      <c r="A1912" s="32" t="str">
        <f t="shared" si="89"/>
        <v/>
      </c>
      <c r="B1912" s="100" t="str">
        <f>IF($E1912="","",INDEX(资金日记账!$B$4:$B$603,502))</f>
        <v/>
      </c>
      <c r="C1912" s="26" t="str">
        <f>IF($E1912="","",IF(INDEX(资金日记账!$W$4:$W$603,502)="","记-"&amp;TEXT($B1912,"YYYYMM")&amp;"-资金",INDEX(资金日记账!$W$4:$W$603,502)))</f>
        <v/>
      </c>
      <c r="D1912" s="32" t="str">
        <f>IF($E1912="","",INDEX(资金日记账!$D$4:$D$603,502))</f>
        <v/>
      </c>
      <c r="E1912" s="26" t="str">
        <f>IF(INDEX(资金日记账!$N$4:$S$603,502,1)=0,"",INDEX(资金日记账!$N$4:$S$603,502,1))</f>
        <v/>
      </c>
      <c r="F1912" s="25" t="str">
        <f>IF($E1912="","",IFERROR(INDEX(科目表!$A$4:$A$81,MATCH($E1912,科目表!$B$4:$B$81,0)),""))</f>
        <v/>
      </c>
      <c r="G1912" s="26" t="str">
        <f>IF($E1912="","",IFERROR(INDEX(科目表!$E$4:$E$81,MATCH($E1912,科目表!$B$4:$B$81,0)),""))</f>
        <v/>
      </c>
      <c r="H1912" s="27" t="str">
        <f>IF($E1912="","",N(INDEX(资金日记账!$N$4:$S$603,502,2)))</f>
        <v/>
      </c>
      <c r="I1912" s="27" t="str">
        <f>IF($E1912="","",N(INDEX(资金日记账!$N$4:$S$603,502,3)))</f>
        <v/>
      </c>
      <c r="J1912" s="26" t="str">
        <f>IF($E1912="","",INDEX(资金日记账!$E$4:$E$603,502))</f>
        <v/>
      </c>
      <c r="K1912" s="26" t="str">
        <f>IF($E1912="","",INDEX(资金日记账!$F$4:$F$603,502))</f>
        <v/>
      </c>
      <c r="L1912" s="32" t="str">
        <f>IF($E1912="","",INDEX(资金日记账!$X$4:$X$603,502))</f>
        <v/>
      </c>
      <c r="M1912" s="32"/>
      <c r="N1912" s="26" t="str">
        <f>IF($E1912="","",INDEX(资金日记账!$Y$4:$Y$603,502))</f>
        <v/>
      </c>
      <c r="O1912" s="26" t="str">
        <f t="shared" si="90"/>
        <v/>
      </c>
      <c r="P1912" s="10"/>
    </row>
    <row r="1913" ht="18" customHeight="1" spans="1:16">
      <c r="A1913" s="32" t="str">
        <f t="shared" si="89"/>
        <v/>
      </c>
      <c r="B1913" s="100" t="str">
        <f>IF($E1913="","",INDEX(资金日记账!$B$4:$B$603,502))</f>
        <v/>
      </c>
      <c r="C1913" s="26" t="str">
        <f>IF($E1913="","",IF(INDEX(资金日记账!$W$4:$W$603,502)="","记-"&amp;TEXT($B1913,"YYYYMM")&amp;"-资金",INDEX(资金日记账!$W$4:$W$603,502)))</f>
        <v/>
      </c>
      <c r="D1913" s="32" t="str">
        <f>IF($E1913="","",INDEX(资金日记账!$D$4:$D$603,502))</f>
        <v/>
      </c>
      <c r="E1913" s="26" t="str">
        <f>IF(INDEX(资金日记账!$N$4:$S$603,502,4)=0,"",INDEX(资金日记账!$N$4:$S$603,502,4))</f>
        <v/>
      </c>
      <c r="F1913" s="25" t="str">
        <f>IF($E1913="","",IFERROR(INDEX(科目表!$A$4:$A$81,MATCH($E1913,科目表!$B$4:$B$81,0)),""))</f>
        <v/>
      </c>
      <c r="G1913" s="26" t="str">
        <f>IF($E1913="","",IFERROR(INDEX(科目表!$E$4:$E$81,MATCH($E1913,科目表!$B$4:$B$81,0)),""))</f>
        <v/>
      </c>
      <c r="H1913" s="27" t="str">
        <f>IF($E1913="","",N(INDEX(资金日记账!$N$4:$S$603,502,5)))</f>
        <v/>
      </c>
      <c r="I1913" s="27" t="str">
        <f>IF($E1913="","",N(INDEX(资金日记账!$N$4:$S$603,502,6)))</f>
        <v/>
      </c>
      <c r="J1913" s="26" t="str">
        <f>IF($E1913="","",INDEX(资金日记账!$E$4:$E$603,502))</f>
        <v/>
      </c>
      <c r="K1913" s="26" t="str">
        <f>IF($E1913="","",INDEX(资金日记账!$F$4:$F$603,502))</f>
        <v/>
      </c>
      <c r="L1913" s="32" t="str">
        <f>IF($E1913="","",INDEX(资金日记账!$X$4:$X$603,502))</f>
        <v/>
      </c>
      <c r="M1913" s="32"/>
      <c r="N1913" s="26" t="str">
        <f>IF($E1913="","",INDEX(资金日记账!$Y$4:$Y$603,502))</f>
        <v/>
      </c>
      <c r="O1913" s="26" t="str">
        <f t="shared" si="90"/>
        <v/>
      </c>
      <c r="P1913" s="10"/>
    </row>
    <row r="1914" ht="18" customHeight="1" spans="1:16">
      <c r="A1914" s="32" t="str">
        <f t="shared" si="89"/>
        <v/>
      </c>
      <c r="B1914" s="100" t="str">
        <f>IF($E1914="","",INDEX(资金日记账!$B$4:$B$603,503))</f>
        <v/>
      </c>
      <c r="C1914" s="26" t="str">
        <f>IF($E1914="","",IF(INDEX(资金日记账!$W$4:$W$603,503)="","记-"&amp;TEXT($B1914,"YYYYMM")&amp;"-资金",INDEX(资金日记账!$W$4:$W$603,503)))</f>
        <v/>
      </c>
      <c r="D1914" s="32" t="str">
        <f>IF($E1914="","",INDEX(资金日记账!$D$4:$D$603,503))</f>
        <v/>
      </c>
      <c r="E1914" s="26" t="str">
        <f>IF(INDEX(资金日记账!$N$4:$S$603,503,1)=0,"",INDEX(资金日记账!$N$4:$S$603,503,1))</f>
        <v/>
      </c>
      <c r="F1914" s="25" t="str">
        <f>IF($E1914="","",IFERROR(INDEX(科目表!$A$4:$A$81,MATCH($E1914,科目表!$B$4:$B$81,0)),""))</f>
        <v/>
      </c>
      <c r="G1914" s="26" t="str">
        <f>IF($E1914="","",IFERROR(INDEX(科目表!$E$4:$E$81,MATCH($E1914,科目表!$B$4:$B$81,0)),""))</f>
        <v/>
      </c>
      <c r="H1914" s="27" t="str">
        <f>IF($E1914="","",N(INDEX(资金日记账!$N$4:$S$603,503,2)))</f>
        <v/>
      </c>
      <c r="I1914" s="27" t="str">
        <f>IF($E1914="","",N(INDEX(资金日记账!$N$4:$S$603,503,3)))</f>
        <v/>
      </c>
      <c r="J1914" s="26" t="str">
        <f>IF($E1914="","",INDEX(资金日记账!$E$4:$E$603,503))</f>
        <v/>
      </c>
      <c r="K1914" s="26" t="str">
        <f>IF($E1914="","",INDEX(资金日记账!$F$4:$F$603,503))</f>
        <v/>
      </c>
      <c r="L1914" s="32" t="str">
        <f>IF($E1914="","",INDEX(资金日记账!$X$4:$X$603,503))</f>
        <v/>
      </c>
      <c r="M1914" s="32"/>
      <c r="N1914" s="26" t="str">
        <f>IF($E1914="","",INDEX(资金日记账!$Y$4:$Y$603,503))</f>
        <v/>
      </c>
      <c r="O1914" s="26" t="str">
        <f t="shared" si="90"/>
        <v/>
      </c>
      <c r="P1914" s="10"/>
    </row>
    <row r="1915" ht="18" customHeight="1" spans="1:16">
      <c r="A1915" s="32" t="str">
        <f t="shared" si="89"/>
        <v/>
      </c>
      <c r="B1915" s="100" t="str">
        <f>IF($E1915="","",INDEX(资金日记账!$B$4:$B$603,503))</f>
        <v/>
      </c>
      <c r="C1915" s="26" t="str">
        <f>IF($E1915="","",IF(INDEX(资金日记账!$W$4:$W$603,503)="","记-"&amp;TEXT($B1915,"YYYYMM")&amp;"-资金",INDEX(资金日记账!$W$4:$W$603,503)))</f>
        <v/>
      </c>
      <c r="D1915" s="32" t="str">
        <f>IF($E1915="","",INDEX(资金日记账!$D$4:$D$603,503))</f>
        <v/>
      </c>
      <c r="E1915" s="26" t="str">
        <f>IF(INDEX(资金日记账!$N$4:$S$603,503,4)=0,"",INDEX(资金日记账!$N$4:$S$603,503,4))</f>
        <v/>
      </c>
      <c r="F1915" s="25" t="str">
        <f>IF($E1915="","",IFERROR(INDEX(科目表!$A$4:$A$81,MATCH($E1915,科目表!$B$4:$B$81,0)),""))</f>
        <v/>
      </c>
      <c r="G1915" s="26" t="str">
        <f>IF($E1915="","",IFERROR(INDEX(科目表!$E$4:$E$81,MATCH($E1915,科目表!$B$4:$B$81,0)),""))</f>
        <v/>
      </c>
      <c r="H1915" s="27" t="str">
        <f>IF($E1915="","",N(INDEX(资金日记账!$N$4:$S$603,503,5)))</f>
        <v/>
      </c>
      <c r="I1915" s="27" t="str">
        <f>IF($E1915="","",N(INDEX(资金日记账!$N$4:$S$603,503,6)))</f>
        <v/>
      </c>
      <c r="J1915" s="26" t="str">
        <f>IF($E1915="","",INDEX(资金日记账!$E$4:$E$603,503))</f>
        <v/>
      </c>
      <c r="K1915" s="26" t="str">
        <f>IF($E1915="","",INDEX(资金日记账!$F$4:$F$603,503))</f>
        <v/>
      </c>
      <c r="L1915" s="32" t="str">
        <f>IF($E1915="","",INDEX(资金日记账!$X$4:$X$603,503))</f>
        <v/>
      </c>
      <c r="M1915" s="32"/>
      <c r="N1915" s="26" t="str">
        <f>IF($E1915="","",INDEX(资金日记账!$Y$4:$Y$603,503))</f>
        <v/>
      </c>
      <c r="O1915" s="26" t="str">
        <f t="shared" si="90"/>
        <v/>
      </c>
      <c r="P1915" s="10"/>
    </row>
    <row r="1916" ht="18" customHeight="1" spans="1:16">
      <c r="A1916" s="32" t="str">
        <f t="shared" si="89"/>
        <v/>
      </c>
      <c r="B1916" s="100" t="str">
        <f>IF($E1916="","",INDEX(资金日记账!$B$4:$B$603,504))</f>
        <v/>
      </c>
      <c r="C1916" s="26" t="str">
        <f>IF($E1916="","",IF(INDEX(资金日记账!$W$4:$W$603,504)="","记-"&amp;TEXT($B1916,"YYYYMM")&amp;"-资金",INDEX(资金日记账!$W$4:$W$603,504)))</f>
        <v/>
      </c>
      <c r="D1916" s="32" t="str">
        <f>IF($E1916="","",INDEX(资金日记账!$D$4:$D$603,504))</f>
        <v/>
      </c>
      <c r="E1916" s="26" t="str">
        <f>IF(INDEX(资金日记账!$N$4:$S$603,504,1)=0,"",INDEX(资金日记账!$N$4:$S$603,504,1))</f>
        <v/>
      </c>
      <c r="F1916" s="25" t="str">
        <f>IF($E1916="","",IFERROR(INDEX(科目表!$A$4:$A$81,MATCH($E1916,科目表!$B$4:$B$81,0)),""))</f>
        <v/>
      </c>
      <c r="G1916" s="26" t="str">
        <f>IF($E1916="","",IFERROR(INDEX(科目表!$E$4:$E$81,MATCH($E1916,科目表!$B$4:$B$81,0)),""))</f>
        <v/>
      </c>
      <c r="H1916" s="27" t="str">
        <f>IF($E1916="","",N(INDEX(资金日记账!$N$4:$S$603,504,2)))</f>
        <v/>
      </c>
      <c r="I1916" s="27" t="str">
        <f>IF($E1916="","",N(INDEX(资金日记账!$N$4:$S$603,504,3)))</f>
        <v/>
      </c>
      <c r="J1916" s="26" t="str">
        <f>IF($E1916="","",INDEX(资金日记账!$E$4:$E$603,504))</f>
        <v/>
      </c>
      <c r="K1916" s="26" t="str">
        <f>IF($E1916="","",INDEX(资金日记账!$F$4:$F$603,504))</f>
        <v/>
      </c>
      <c r="L1916" s="32" t="str">
        <f>IF($E1916="","",INDEX(资金日记账!$X$4:$X$603,504))</f>
        <v/>
      </c>
      <c r="M1916" s="32"/>
      <c r="N1916" s="26" t="str">
        <f>IF($E1916="","",INDEX(资金日记账!$Y$4:$Y$603,504))</f>
        <v/>
      </c>
      <c r="O1916" s="26" t="str">
        <f t="shared" si="90"/>
        <v/>
      </c>
      <c r="P1916" s="10"/>
    </row>
    <row r="1917" ht="18" customHeight="1" spans="1:16">
      <c r="A1917" s="32" t="str">
        <f t="shared" si="89"/>
        <v/>
      </c>
      <c r="B1917" s="100" t="str">
        <f>IF($E1917="","",INDEX(资金日记账!$B$4:$B$603,504))</f>
        <v/>
      </c>
      <c r="C1917" s="26" t="str">
        <f>IF($E1917="","",IF(INDEX(资金日记账!$W$4:$W$603,504)="","记-"&amp;TEXT($B1917,"YYYYMM")&amp;"-资金",INDEX(资金日记账!$W$4:$W$603,504)))</f>
        <v/>
      </c>
      <c r="D1917" s="32" t="str">
        <f>IF($E1917="","",INDEX(资金日记账!$D$4:$D$603,504))</f>
        <v/>
      </c>
      <c r="E1917" s="26" t="str">
        <f>IF(INDEX(资金日记账!$N$4:$S$603,504,4)=0,"",INDEX(资金日记账!$N$4:$S$603,504,4))</f>
        <v/>
      </c>
      <c r="F1917" s="25" t="str">
        <f>IF($E1917="","",IFERROR(INDEX(科目表!$A$4:$A$81,MATCH($E1917,科目表!$B$4:$B$81,0)),""))</f>
        <v/>
      </c>
      <c r="G1917" s="26" t="str">
        <f>IF($E1917="","",IFERROR(INDEX(科目表!$E$4:$E$81,MATCH($E1917,科目表!$B$4:$B$81,0)),""))</f>
        <v/>
      </c>
      <c r="H1917" s="27" t="str">
        <f>IF($E1917="","",N(INDEX(资金日记账!$N$4:$S$603,504,5)))</f>
        <v/>
      </c>
      <c r="I1917" s="27" t="str">
        <f>IF($E1917="","",N(INDEX(资金日记账!$N$4:$S$603,504,6)))</f>
        <v/>
      </c>
      <c r="J1917" s="26" t="str">
        <f>IF($E1917="","",INDEX(资金日记账!$E$4:$E$603,504))</f>
        <v/>
      </c>
      <c r="K1917" s="26" t="str">
        <f>IF($E1917="","",INDEX(资金日记账!$F$4:$F$603,504))</f>
        <v/>
      </c>
      <c r="L1917" s="32" t="str">
        <f>IF($E1917="","",INDEX(资金日记账!$X$4:$X$603,504))</f>
        <v/>
      </c>
      <c r="M1917" s="32"/>
      <c r="N1917" s="26" t="str">
        <f>IF($E1917="","",INDEX(资金日记账!$Y$4:$Y$603,504))</f>
        <v/>
      </c>
      <c r="O1917" s="26" t="str">
        <f t="shared" si="90"/>
        <v/>
      </c>
      <c r="P1917" s="10"/>
    </row>
    <row r="1918" ht="18" customHeight="1" spans="1:16">
      <c r="A1918" s="32" t="str">
        <f t="shared" si="89"/>
        <v/>
      </c>
      <c r="B1918" s="100" t="str">
        <f>IF($E1918="","",INDEX(资金日记账!$B$4:$B$603,505))</f>
        <v/>
      </c>
      <c r="C1918" s="26" t="str">
        <f>IF($E1918="","",IF(INDEX(资金日记账!$W$4:$W$603,505)="","记-"&amp;TEXT($B1918,"YYYYMM")&amp;"-资金",INDEX(资金日记账!$W$4:$W$603,505)))</f>
        <v/>
      </c>
      <c r="D1918" s="32" t="str">
        <f>IF($E1918="","",INDEX(资金日记账!$D$4:$D$603,505))</f>
        <v/>
      </c>
      <c r="E1918" s="26" t="str">
        <f>IF(INDEX(资金日记账!$N$4:$S$603,505,1)=0,"",INDEX(资金日记账!$N$4:$S$603,505,1))</f>
        <v/>
      </c>
      <c r="F1918" s="25" t="str">
        <f>IF($E1918="","",IFERROR(INDEX(科目表!$A$4:$A$81,MATCH($E1918,科目表!$B$4:$B$81,0)),""))</f>
        <v/>
      </c>
      <c r="G1918" s="26" t="str">
        <f>IF($E1918="","",IFERROR(INDEX(科目表!$E$4:$E$81,MATCH($E1918,科目表!$B$4:$B$81,0)),""))</f>
        <v/>
      </c>
      <c r="H1918" s="27" t="str">
        <f>IF($E1918="","",N(INDEX(资金日记账!$N$4:$S$603,505,2)))</f>
        <v/>
      </c>
      <c r="I1918" s="27" t="str">
        <f>IF($E1918="","",N(INDEX(资金日记账!$N$4:$S$603,505,3)))</f>
        <v/>
      </c>
      <c r="J1918" s="26" t="str">
        <f>IF($E1918="","",INDEX(资金日记账!$E$4:$E$603,505))</f>
        <v/>
      </c>
      <c r="K1918" s="26" t="str">
        <f>IF($E1918="","",INDEX(资金日记账!$F$4:$F$603,505))</f>
        <v/>
      </c>
      <c r="L1918" s="32" t="str">
        <f>IF($E1918="","",INDEX(资金日记账!$X$4:$X$603,505))</f>
        <v/>
      </c>
      <c r="M1918" s="32"/>
      <c r="N1918" s="26" t="str">
        <f>IF($E1918="","",INDEX(资金日记账!$Y$4:$Y$603,505))</f>
        <v/>
      </c>
      <c r="O1918" s="26" t="str">
        <f t="shared" si="90"/>
        <v/>
      </c>
      <c r="P1918" s="10"/>
    </row>
    <row r="1919" ht="18" customHeight="1" spans="1:16">
      <c r="A1919" s="32" t="str">
        <f t="shared" si="89"/>
        <v/>
      </c>
      <c r="B1919" s="100" t="str">
        <f>IF($E1919="","",INDEX(资金日记账!$B$4:$B$603,505))</f>
        <v/>
      </c>
      <c r="C1919" s="26" t="str">
        <f>IF($E1919="","",IF(INDEX(资金日记账!$W$4:$W$603,505)="","记-"&amp;TEXT($B1919,"YYYYMM")&amp;"-资金",INDEX(资金日记账!$W$4:$W$603,505)))</f>
        <v/>
      </c>
      <c r="D1919" s="32" t="str">
        <f>IF($E1919="","",INDEX(资金日记账!$D$4:$D$603,505))</f>
        <v/>
      </c>
      <c r="E1919" s="26" t="str">
        <f>IF(INDEX(资金日记账!$N$4:$S$603,505,4)=0,"",INDEX(资金日记账!$N$4:$S$603,505,4))</f>
        <v/>
      </c>
      <c r="F1919" s="25" t="str">
        <f>IF($E1919="","",IFERROR(INDEX(科目表!$A$4:$A$81,MATCH($E1919,科目表!$B$4:$B$81,0)),""))</f>
        <v/>
      </c>
      <c r="G1919" s="26" t="str">
        <f>IF($E1919="","",IFERROR(INDEX(科目表!$E$4:$E$81,MATCH($E1919,科目表!$B$4:$B$81,0)),""))</f>
        <v/>
      </c>
      <c r="H1919" s="27" t="str">
        <f>IF($E1919="","",N(INDEX(资金日记账!$N$4:$S$603,505,5)))</f>
        <v/>
      </c>
      <c r="I1919" s="27" t="str">
        <f>IF($E1919="","",N(INDEX(资金日记账!$N$4:$S$603,505,6)))</f>
        <v/>
      </c>
      <c r="J1919" s="26" t="str">
        <f>IF($E1919="","",INDEX(资金日记账!$E$4:$E$603,505))</f>
        <v/>
      </c>
      <c r="K1919" s="26" t="str">
        <f>IF($E1919="","",INDEX(资金日记账!$F$4:$F$603,505))</f>
        <v/>
      </c>
      <c r="L1919" s="32" t="str">
        <f>IF($E1919="","",INDEX(资金日记账!$X$4:$X$603,505))</f>
        <v/>
      </c>
      <c r="M1919" s="32"/>
      <c r="N1919" s="26" t="str">
        <f>IF($E1919="","",INDEX(资金日记账!$Y$4:$Y$603,505))</f>
        <v/>
      </c>
      <c r="O1919" s="26" t="str">
        <f t="shared" si="90"/>
        <v/>
      </c>
      <c r="P1919" s="10"/>
    </row>
    <row r="1920" ht="18" customHeight="1" spans="1:16">
      <c r="A1920" s="32" t="str">
        <f t="shared" si="89"/>
        <v/>
      </c>
      <c r="B1920" s="100" t="str">
        <f>IF($E1920="","",INDEX(资金日记账!$B$4:$B$603,506))</f>
        <v/>
      </c>
      <c r="C1920" s="26" t="str">
        <f>IF($E1920="","",IF(INDEX(资金日记账!$W$4:$W$603,506)="","记-"&amp;TEXT($B1920,"YYYYMM")&amp;"-资金",INDEX(资金日记账!$W$4:$W$603,506)))</f>
        <v/>
      </c>
      <c r="D1920" s="32" t="str">
        <f>IF($E1920="","",INDEX(资金日记账!$D$4:$D$603,506))</f>
        <v/>
      </c>
      <c r="E1920" s="26" t="str">
        <f>IF(INDEX(资金日记账!$N$4:$S$603,506,1)=0,"",INDEX(资金日记账!$N$4:$S$603,506,1))</f>
        <v/>
      </c>
      <c r="F1920" s="25" t="str">
        <f>IF($E1920="","",IFERROR(INDEX(科目表!$A$4:$A$81,MATCH($E1920,科目表!$B$4:$B$81,0)),""))</f>
        <v/>
      </c>
      <c r="G1920" s="26" t="str">
        <f>IF($E1920="","",IFERROR(INDEX(科目表!$E$4:$E$81,MATCH($E1920,科目表!$B$4:$B$81,0)),""))</f>
        <v/>
      </c>
      <c r="H1920" s="27" t="str">
        <f>IF($E1920="","",N(INDEX(资金日记账!$N$4:$S$603,506,2)))</f>
        <v/>
      </c>
      <c r="I1920" s="27" t="str">
        <f>IF($E1920="","",N(INDEX(资金日记账!$N$4:$S$603,506,3)))</f>
        <v/>
      </c>
      <c r="J1920" s="26" t="str">
        <f>IF($E1920="","",INDEX(资金日记账!$E$4:$E$603,506))</f>
        <v/>
      </c>
      <c r="K1920" s="26" t="str">
        <f>IF($E1920="","",INDEX(资金日记账!$F$4:$F$603,506))</f>
        <v/>
      </c>
      <c r="L1920" s="32" t="str">
        <f>IF($E1920="","",INDEX(资金日记账!$X$4:$X$603,506))</f>
        <v/>
      </c>
      <c r="M1920" s="32"/>
      <c r="N1920" s="26" t="str">
        <f>IF($E1920="","",INDEX(资金日记账!$Y$4:$Y$603,506))</f>
        <v/>
      </c>
      <c r="O1920" s="26" t="str">
        <f t="shared" si="90"/>
        <v/>
      </c>
      <c r="P1920" s="10"/>
    </row>
    <row r="1921" ht="18" customHeight="1" spans="1:16">
      <c r="A1921" s="32" t="str">
        <f t="shared" si="89"/>
        <v/>
      </c>
      <c r="B1921" s="100" t="str">
        <f>IF($E1921="","",INDEX(资金日记账!$B$4:$B$603,506))</f>
        <v/>
      </c>
      <c r="C1921" s="26" t="str">
        <f>IF($E1921="","",IF(INDEX(资金日记账!$W$4:$W$603,506)="","记-"&amp;TEXT($B1921,"YYYYMM")&amp;"-资金",INDEX(资金日记账!$W$4:$W$603,506)))</f>
        <v/>
      </c>
      <c r="D1921" s="32" t="str">
        <f>IF($E1921="","",INDEX(资金日记账!$D$4:$D$603,506))</f>
        <v/>
      </c>
      <c r="E1921" s="26" t="str">
        <f>IF(INDEX(资金日记账!$N$4:$S$603,506,4)=0,"",INDEX(资金日记账!$N$4:$S$603,506,4))</f>
        <v/>
      </c>
      <c r="F1921" s="25" t="str">
        <f>IF($E1921="","",IFERROR(INDEX(科目表!$A$4:$A$81,MATCH($E1921,科目表!$B$4:$B$81,0)),""))</f>
        <v/>
      </c>
      <c r="G1921" s="26" t="str">
        <f>IF($E1921="","",IFERROR(INDEX(科目表!$E$4:$E$81,MATCH($E1921,科目表!$B$4:$B$81,0)),""))</f>
        <v/>
      </c>
      <c r="H1921" s="27" t="str">
        <f>IF($E1921="","",N(INDEX(资金日记账!$N$4:$S$603,506,5)))</f>
        <v/>
      </c>
      <c r="I1921" s="27" t="str">
        <f>IF($E1921="","",N(INDEX(资金日记账!$N$4:$S$603,506,6)))</f>
        <v/>
      </c>
      <c r="J1921" s="26" t="str">
        <f>IF($E1921="","",INDEX(资金日记账!$E$4:$E$603,506))</f>
        <v/>
      </c>
      <c r="K1921" s="26" t="str">
        <f>IF($E1921="","",INDEX(资金日记账!$F$4:$F$603,506))</f>
        <v/>
      </c>
      <c r="L1921" s="32" t="str">
        <f>IF($E1921="","",INDEX(资金日记账!$X$4:$X$603,506))</f>
        <v/>
      </c>
      <c r="M1921" s="32"/>
      <c r="N1921" s="26" t="str">
        <f>IF($E1921="","",INDEX(资金日记账!$Y$4:$Y$603,506))</f>
        <v/>
      </c>
      <c r="O1921" s="26" t="str">
        <f t="shared" si="90"/>
        <v/>
      </c>
      <c r="P1921" s="10"/>
    </row>
    <row r="1922" ht="18" customHeight="1" spans="1:16">
      <c r="A1922" s="32" t="str">
        <f t="shared" si="89"/>
        <v/>
      </c>
      <c r="B1922" s="100" t="str">
        <f>IF($E1922="","",INDEX(资金日记账!$B$4:$B$603,507))</f>
        <v/>
      </c>
      <c r="C1922" s="26" t="str">
        <f>IF($E1922="","",IF(INDEX(资金日记账!$W$4:$W$603,507)="","记-"&amp;TEXT($B1922,"YYYYMM")&amp;"-资金",INDEX(资金日记账!$W$4:$W$603,507)))</f>
        <v/>
      </c>
      <c r="D1922" s="32" t="str">
        <f>IF($E1922="","",INDEX(资金日记账!$D$4:$D$603,507))</f>
        <v/>
      </c>
      <c r="E1922" s="26" t="str">
        <f>IF(INDEX(资金日记账!$N$4:$S$603,507,1)=0,"",INDEX(资金日记账!$N$4:$S$603,507,1))</f>
        <v/>
      </c>
      <c r="F1922" s="25" t="str">
        <f>IF($E1922="","",IFERROR(INDEX(科目表!$A$4:$A$81,MATCH($E1922,科目表!$B$4:$B$81,0)),""))</f>
        <v/>
      </c>
      <c r="G1922" s="26" t="str">
        <f>IF($E1922="","",IFERROR(INDEX(科目表!$E$4:$E$81,MATCH($E1922,科目表!$B$4:$B$81,0)),""))</f>
        <v/>
      </c>
      <c r="H1922" s="27" t="str">
        <f>IF($E1922="","",N(INDEX(资金日记账!$N$4:$S$603,507,2)))</f>
        <v/>
      </c>
      <c r="I1922" s="27" t="str">
        <f>IF($E1922="","",N(INDEX(资金日记账!$N$4:$S$603,507,3)))</f>
        <v/>
      </c>
      <c r="J1922" s="26" t="str">
        <f>IF($E1922="","",INDEX(资金日记账!$E$4:$E$603,507))</f>
        <v/>
      </c>
      <c r="K1922" s="26" t="str">
        <f>IF($E1922="","",INDEX(资金日记账!$F$4:$F$603,507))</f>
        <v/>
      </c>
      <c r="L1922" s="32" t="str">
        <f>IF($E1922="","",INDEX(资金日记账!$X$4:$X$603,507))</f>
        <v/>
      </c>
      <c r="M1922" s="32"/>
      <c r="N1922" s="26" t="str">
        <f>IF($E1922="","",INDEX(资金日记账!$Y$4:$Y$603,507))</f>
        <v/>
      </c>
      <c r="O1922" s="26" t="str">
        <f t="shared" si="90"/>
        <v/>
      </c>
      <c r="P1922" s="10"/>
    </row>
    <row r="1923" ht="18" customHeight="1" spans="1:16">
      <c r="A1923" s="32" t="str">
        <f t="shared" si="89"/>
        <v/>
      </c>
      <c r="B1923" s="100" t="str">
        <f>IF($E1923="","",INDEX(资金日记账!$B$4:$B$603,507))</f>
        <v/>
      </c>
      <c r="C1923" s="26" t="str">
        <f>IF($E1923="","",IF(INDEX(资金日记账!$W$4:$W$603,507)="","记-"&amp;TEXT($B1923,"YYYYMM")&amp;"-资金",INDEX(资金日记账!$W$4:$W$603,507)))</f>
        <v/>
      </c>
      <c r="D1923" s="32" t="str">
        <f>IF($E1923="","",INDEX(资金日记账!$D$4:$D$603,507))</f>
        <v/>
      </c>
      <c r="E1923" s="26" t="str">
        <f>IF(INDEX(资金日记账!$N$4:$S$603,507,4)=0,"",INDEX(资金日记账!$N$4:$S$603,507,4))</f>
        <v/>
      </c>
      <c r="F1923" s="25" t="str">
        <f>IF($E1923="","",IFERROR(INDEX(科目表!$A$4:$A$81,MATCH($E1923,科目表!$B$4:$B$81,0)),""))</f>
        <v/>
      </c>
      <c r="G1923" s="26" t="str">
        <f>IF($E1923="","",IFERROR(INDEX(科目表!$E$4:$E$81,MATCH($E1923,科目表!$B$4:$B$81,0)),""))</f>
        <v/>
      </c>
      <c r="H1923" s="27" t="str">
        <f>IF($E1923="","",N(INDEX(资金日记账!$N$4:$S$603,507,5)))</f>
        <v/>
      </c>
      <c r="I1923" s="27" t="str">
        <f>IF($E1923="","",N(INDEX(资金日记账!$N$4:$S$603,507,6)))</f>
        <v/>
      </c>
      <c r="J1923" s="26" t="str">
        <f>IF($E1923="","",INDEX(资金日记账!$E$4:$E$603,507))</f>
        <v/>
      </c>
      <c r="K1923" s="26" t="str">
        <f>IF($E1923="","",INDEX(资金日记账!$F$4:$F$603,507))</f>
        <v/>
      </c>
      <c r="L1923" s="32" t="str">
        <f>IF($E1923="","",INDEX(资金日记账!$X$4:$X$603,507))</f>
        <v/>
      </c>
      <c r="M1923" s="32"/>
      <c r="N1923" s="26" t="str">
        <f>IF($E1923="","",INDEX(资金日记账!$Y$4:$Y$603,507))</f>
        <v/>
      </c>
      <c r="O1923" s="26" t="str">
        <f t="shared" si="90"/>
        <v/>
      </c>
      <c r="P1923" s="10"/>
    </row>
    <row r="1924" ht="18" customHeight="1" spans="1:16">
      <c r="A1924" s="32" t="str">
        <f t="shared" ref="A1924:A1987" si="91">IF($E1924="","",ROW()-3)</f>
        <v/>
      </c>
      <c r="B1924" s="100" t="str">
        <f>IF($E1924="","",INDEX(资金日记账!$B$4:$B$603,508))</f>
        <v/>
      </c>
      <c r="C1924" s="26" t="str">
        <f>IF($E1924="","",IF(INDEX(资金日记账!$W$4:$W$603,508)="","记-"&amp;TEXT($B1924,"YYYYMM")&amp;"-资金",INDEX(资金日记账!$W$4:$W$603,508)))</f>
        <v/>
      </c>
      <c r="D1924" s="32" t="str">
        <f>IF($E1924="","",INDEX(资金日记账!$D$4:$D$603,508))</f>
        <v/>
      </c>
      <c r="E1924" s="26" t="str">
        <f>IF(INDEX(资金日记账!$N$4:$S$603,508,1)=0,"",INDEX(资金日记账!$N$4:$S$603,508,1))</f>
        <v/>
      </c>
      <c r="F1924" s="25" t="str">
        <f>IF($E1924="","",IFERROR(INDEX(科目表!$A$4:$A$81,MATCH($E1924,科目表!$B$4:$B$81,0)),""))</f>
        <v/>
      </c>
      <c r="G1924" s="26" t="str">
        <f>IF($E1924="","",IFERROR(INDEX(科目表!$E$4:$E$81,MATCH($E1924,科目表!$B$4:$B$81,0)),""))</f>
        <v/>
      </c>
      <c r="H1924" s="27" t="str">
        <f>IF($E1924="","",N(INDEX(资金日记账!$N$4:$S$603,508,2)))</f>
        <v/>
      </c>
      <c r="I1924" s="27" t="str">
        <f>IF($E1924="","",N(INDEX(资金日记账!$N$4:$S$603,508,3)))</f>
        <v/>
      </c>
      <c r="J1924" s="26" t="str">
        <f>IF($E1924="","",INDEX(资金日记账!$E$4:$E$603,508))</f>
        <v/>
      </c>
      <c r="K1924" s="26" t="str">
        <f>IF($E1924="","",INDEX(资金日记账!$F$4:$F$603,508))</f>
        <v/>
      </c>
      <c r="L1924" s="32" t="str">
        <f>IF($E1924="","",INDEX(资金日记账!$X$4:$X$603,508))</f>
        <v/>
      </c>
      <c r="M1924" s="32"/>
      <c r="N1924" s="26" t="str">
        <f>IF($E1924="","",INDEX(资金日记账!$Y$4:$Y$603,508))</f>
        <v/>
      </c>
      <c r="O1924" s="26" t="str">
        <f t="shared" si="90"/>
        <v/>
      </c>
      <c r="P1924" s="10"/>
    </row>
    <row r="1925" ht="18" customHeight="1" spans="1:16">
      <c r="A1925" s="32" t="str">
        <f t="shared" si="91"/>
        <v/>
      </c>
      <c r="B1925" s="100" t="str">
        <f>IF($E1925="","",INDEX(资金日记账!$B$4:$B$603,508))</f>
        <v/>
      </c>
      <c r="C1925" s="26" t="str">
        <f>IF($E1925="","",IF(INDEX(资金日记账!$W$4:$W$603,508)="","记-"&amp;TEXT($B1925,"YYYYMM")&amp;"-资金",INDEX(资金日记账!$W$4:$W$603,508)))</f>
        <v/>
      </c>
      <c r="D1925" s="32" t="str">
        <f>IF($E1925="","",INDEX(资金日记账!$D$4:$D$603,508))</f>
        <v/>
      </c>
      <c r="E1925" s="26" t="str">
        <f>IF(INDEX(资金日记账!$N$4:$S$603,508,4)=0,"",INDEX(资金日记账!$N$4:$S$603,508,4))</f>
        <v/>
      </c>
      <c r="F1925" s="25" t="str">
        <f>IF($E1925="","",IFERROR(INDEX(科目表!$A$4:$A$81,MATCH($E1925,科目表!$B$4:$B$81,0)),""))</f>
        <v/>
      </c>
      <c r="G1925" s="26" t="str">
        <f>IF($E1925="","",IFERROR(INDEX(科目表!$E$4:$E$81,MATCH($E1925,科目表!$B$4:$B$81,0)),""))</f>
        <v/>
      </c>
      <c r="H1925" s="27" t="str">
        <f>IF($E1925="","",N(INDEX(资金日记账!$N$4:$S$603,508,5)))</f>
        <v/>
      </c>
      <c r="I1925" s="27" t="str">
        <f>IF($E1925="","",N(INDEX(资金日记账!$N$4:$S$603,508,6)))</f>
        <v/>
      </c>
      <c r="J1925" s="26" t="str">
        <f>IF($E1925="","",INDEX(资金日记账!$E$4:$E$603,508))</f>
        <v/>
      </c>
      <c r="K1925" s="26" t="str">
        <f>IF($E1925="","",INDEX(资金日记账!$F$4:$F$603,508))</f>
        <v/>
      </c>
      <c r="L1925" s="32" t="str">
        <f>IF($E1925="","",INDEX(资金日记账!$X$4:$X$603,508))</f>
        <v/>
      </c>
      <c r="M1925" s="32"/>
      <c r="N1925" s="26" t="str">
        <f>IF($E1925="","",INDEX(资金日记账!$Y$4:$Y$603,508))</f>
        <v/>
      </c>
      <c r="O1925" s="26" t="str">
        <f t="shared" si="90"/>
        <v/>
      </c>
      <c r="P1925" s="10"/>
    </row>
    <row r="1926" ht="18" customHeight="1" spans="1:16">
      <c r="A1926" s="32" t="str">
        <f t="shared" si="91"/>
        <v/>
      </c>
      <c r="B1926" s="100" t="str">
        <f>IF($E1926="","",INDEX(资金日记账!$B$4:$B$603,509))</f>
        <v/>
      </c>
      <c r="C1926" s="26" t="str">
        <f>IF($E1926="","",IF(INDEX(资金日记账!$W$4:$W$603,509)="","记-"&amp;TEXT($B1926,"YYYYMM")&amp;"-资金",INDEX(资金日记账!$W$4:$W$603,509)))</f>
        <v/>
      </c>
      <c r="D1926" s="32" t="str">
        <f>IF($E1926="","",INDEX(资金日记账!$D$4:$D$603,509))</f>
        <v/>
      </c>
      <c r="E1926" s="26" t="str">
        <f>IF(INDEX(资金日记账!$N$4:$S$603,509,1)=0,"",INDEX(资金日记账!$N$4:$S$603,509,1))</f>
        <v/>
      </c>
      <c r="F1926" s="25" t="str">
        <f>IF($E1926="","",IFERROR(INDEX(科目表!$A$4:$A$81,MATCH($E1926,科目表!$B$4:$B$81,0)),""))</f>
        <v/>
      </c>
      <c r="G1926" s="26" t="str">
        <f>IF($E1926="","",IFERROR(INDEX(科目表!$E$4:$E$81,MATCH($E1926,科目表!$B$4:$B$81,0)),""))</f>
        <v/>
      </c>
      <c r="H1926" s="27" t="str">
        <f>IF($E1926="","",N(INDEX(资金日记账!$N$4:$S$603,509,2)))</f>
        <v/>
      </c>
      <c r="I1926" s="27" t="str">
        <f>IF($E1926="","",N(INDEX(资金日记账!$N$4:$S$603,509,3)))</f>
        <v/>
      </c>
      <c r="J1926" s="26" t="str">
        <f>IF($E1926="","",INDEX(资金日记账!$E$4:$E$603,509))</f>
        <v/>
      </c>
      <c r="K1926" s="26" t="str">
        <f>IF($E1926="","",INDEX(资金日记账!$F$4:$F$603,509))</f>
        <v/>
      </c>
      <c r="L1926" s="32" t="str">
        <f>IF($E1926="","",INDEX(资金日记账!$X$4:$X$603,509))</f>
        <v/>
      </c>
      <c r="M1926" s="32"/>
      <c r="N1926" s="26" t="str">
        <f>IF($E1926="","",INDEX(资金日记账!$Y$4:$Y$603,509))</f>
        <v/>
      </c>
      <c r="O1926" s="26" t="str">
        <f t="shared" si="90"/>
        <v/>
      </c>
      <c r="P1926" s="10"/>
    </row>
    <row r="1927" ht="18" customHeight="1" spans="1:16">
      <c r="A1927" s="32" t="str">
        <f t="shared" si="91"/>
        <v/>
      </c>
      <c r="B1927" s="100" t="str">
        <f>IF($E1927="","",INDEX(资金日记账!$B$4:$B$603,509))</f>
        <v/>
      </c>
      <c r="C1927" s="26" t="str">
        <f>IF($E1927="","",IF(INDEX(资金日记账!$W$4:$W$603,509)="","记-"&amp;TEXT($B1927,"YYYYMM")&amp;"-资金",INDEX(资金日记账!$W$4:$W$603,509)))</f>
        <v/>
      </c>
      <c r="D1927" s="32" t="str">
        <f>IF($E1927="","",INDEX(资金日记账!$D$4:$D$603,509))</f>
        <v/>
      </c>
      <c r="E1927" s="26" t="str">
        <f>IF(INDEX(资金日记账!$N$4:$S$603,509,4)=0,"",INDEX(资金日记账!$N$4:$S$603,509,4))</f>
        <v/>
      </c>
      <c r="F1927" s="25" t="str">
        <f>IF($E1927="","",IFERROR(INDEX(科目表!$A$4:$A$81,MATCH($E1927,科目表!$B$4:$B$81,0)),""))</f>
        <v/>
      </c>
      <c r="G1927" s="26" t="str">
        <f>IF($E1927="","",IFERROR(INDEX(科目表!$E$4:$E$81,MATCH($E1927,科目表!$B$4:$B$81,0)),""))</f>
        <v/>
      </c>
      <c r="H1927" s="27" t="str">
        <f>IF($E1927="","",N(INDEX(资金日记账!$N$4:$S$603,509,5)))</f>
        <v/>
      </c>
      <c r="I1927" s="27" t="str">
        <f>IF($E1927="","",N(INDEX(资金日记账!$N$4:$S$603,509,6)))</f>
        <v/>
      </c>
      <c r="J1927" s="26" t="str">
        <f>IF($E1927="","",INDEX(资金日记账!$E$4:$E$603,509))</f>
        <v/>
      </c>
      <c r="K1927" s="26" t="str">
        <f>IF($E1927="","",INDEX(资金日记账!$F$4:$F$603,509))</f>
        <v/>
      </c>
      <c r="L1927" s="32" t="str">
        <f>IF($E1927="","",INDEX(资金日记账!$X$4:$X$603,509))</f>
        <v/>
      </c>
      <c r="M1927" s="32"/>
      <c r="N1927" s="26" t="str">
        <f>IF($E1927="","",INDEX(资金日记账!$Y$4:$Y$603,509))</f>
        <v/>
      </c>
      <c r="O1927" s="26" t="str">
        <f t="shared" si="90"/>
        <v/>
      </c>
      <c r="P1927" s="10"/>
    </row>
    <row r="1928" ht="18" customHeight="1" spans="1:16">
      <c r="A1928" s="32" t="str">
        <f t="shared" si="91"/>
        <v/>
      </c>
      <c r="B1928" s="100" t="str">
        <f>IF($E1928="","",INDEX(资金日记账!$B$4:$B$603,510))</f>
        <v/>
      </c>
      <c r="C1928" s="26" t="str">
        <f>IF($E1928="","",IF(INDEX(资金日记账!$W$4:$W$603,510)="","记-"&amp;TEXT($B1928,"YYYYMM")&amp;"-资金",INDEX(资金日记账!$W$4:$W$603,510)))</f>
        <v/>
      </c>
      <c r="D1928" s="32" t="str">
        <f>IF($E1928="","",INDEX(资金日记账!$D$4:$D$603,510))</f>
        <v/>
      </c>
      <c r="E1928" s="26" t="str">
        <f>IF(INDEX(资金日记账!$N$4:$S$603,510,1)=0,"",INDEX(资金日记账!$N$4:$S$603,510,1))</f>
        <v/>
      </c>
      <c r="F1928" s="25" t="str">
        <f>IF($E1928="","",IFERROR(INDEX(科目表!$A$4:$A$81,MATCH($E1928,科目表!$B$4:$B$81,0)),""))</f>
        <v/>
      </c>
      <c r="G1928" s="26" t="str">
        <f>IF($E1928="","",IFERROR(INDEX(科目表!$E$4:$E$81,MATCH($E1928,科目表!$B$4:$B$81,0)),""))</f>
        <v/>
      </c>
      <c r="H1928" s="27" t="str">
        <f>IF($E1928="","",N(INDEX(资金日记账!$N$4:$S$603,510,2)))</f>
        <v/>
      </c>
      <c r="I1928" s="27" t="str">
        <f>IF($E1928="","",N(INDEX(资金日记账!$N$4:$S$603,510,3)))</f>
        <v/>
      </c>
      <c r="J1928" s="26" t="str">
        <f>IF($E1928="","",INDEX(资金日记账!$E$4:$E$603,510))</f>
        <v/>
      </c>
      <c r="K1928" s="26" t="str">
        <f>IF($E1928="","",INDEX(资金日记账!$F$4:$F$603,510))</f>
        <v/>
      </c>
      <c r="L1928" s="32" t="str">
        <f>IF($E1928="","",INDEX(资金日记账!$X$4:$X$603,510))</f>
        <v/>
      </c>
      <c r="M1928" s="32"/>
      <c r="N1928" s="26" t="str">
        <f>IF($E1928="","",INDEX(资金日记账!$Y$4:$Y$603,510))</f>
        <v/>
      </c>
      <c r="O1928" s="26" t="str">
        <f t="shared" si="90"/>
        <v/>
      </c>
      <c r="P1928" s="10"/>
    </row>
    <row r="1929" ht="18" customHeight="1" spans="1:16">
      <c r="A1929" s="32" t="str">
        <f t="shared" si="91"/>
        <v/>
      </c>
      <c r="B1929" s="100" t="str">
        <f>IF($E1929="","",INDEX(资金日记账!$B$4:$B$603,510))</f>
        <v/>
      </c>
      <c r="C1929" s="26" t="str">
        <f>IF($E1929="","",IF(INDEX(资金日记账!$W$4:$W$603,510)="","记-"&amp;TEXT($B1929,"YYYYMM")&amp;"-资金",INDEX(资金日记账!$W$4:$W$603,510)))</f>
        <v/>
      </c>
      <c r="D1929" s="32" t="str">
        <f>IF($E1929="","",INDEX(资金日记账!$D$4:$D$603,510))</f>
        <v/>
      </c>
      <c r="E1929" s="26" t="str">
        <f>IF(INDEX(资金日记账!$N$4:$S$603,510,4)=0,"",INDEX(资金日记账!$N$4:$S$603,510,4))</f>
        <v/>
      </c>
      <c r="F1929" s="25" t="str">
        <f>IF($E1929="","",IFERROR(INDEX(科目表!$A$4:$A$81,MATCH($E1929,科目表!$B$4:$B$81,0)),""))</f>
        <v/>
      </c>
      <c r="G1929" s="26" t="str">
        <f>IF($E1929="","",IFERROR(INDEX(科目表!$E$4:$E$81,MATCH($E1929,科目表!$B$4:$B$81,0)),""))</f>
        <v/>
      </c>
      <c r="H1929" s="27" t="str">
        <f>IF($E1929="","",N(INDEX(资金日记账!$N$4:$S$603,510,5)))</f>
        <v/>
      </c>
      <c r="I1929" s="27" t="str">
        <f>IF($E1929="","",N(INDEX(资金日记账!$N$4:$S$603,510,6)))</f>
        <v/>
      </c>
      <c r="J1929" s="26" t="str">
        <f>IF($E1929="","",INDEX(资金日记账!$E$4:$E$603,510))</f>
        <v/>
      </c>
      <c r="K1929" s="26" t="str">
        <f>IF($E1929="","",INDEX(资金日记账!$F$4:$F$603,510))</f>
        <v/>
      </c>
      <c r="L1929" s="32" t="str">
        <f>IF($E1929="","",INDEX(资金日记账!$X$4:$X$603,510))</f>
        <v/>
      </c>
      <c r="M1929" s="32"/>
      <c r="N1929" s="26" t="str">
        <f>IF($E1929="","",INDEX(资金日记账!$Y$4:$Y$603,510))</f>
        <v/>
      </c>
      <c r="O1929" s="26" t="str">
        <f t="shared" si="90"/>
        <v/>
      </c>
      <c r="P1929" s="10"/>
    </row>
    <row r="1930" ht="18" customHeight="1" spans="1:16">
      <c r="A1930" s="32" t="str">
        <f t="shared" si="91"/>
        <v/>
      </c>
      <c r="B1930" s="100" t="str">
        <f>IF($E1930="","",INDEX(资金日记账!$B$4:$B$603,511))</f>
        <v/>
      </c>
      <c r="C1930" s="26" t="str">
        <f>IF($E1930="","",IF(INDEX(资金日记账!$W$4:$W$603,511)="","记-"&amp;TEXT($B1930,"YYYYMM")&amp;"-资金",INDEX(资金日记账!$W$4:$W$603,511)))</f>
        <v/>
      </c>
      <c r="D1930" s="32" t="str">
        <f>IF($E1930="","",INDEX(资金日记账!$D$4:$D$603,511))</f>
        <v/>
      </c>
      <c r="E1930" s="26" t="str">
        <f>IF(INDEX(资金日记账!$N$4:$S$603,511,1)=0,"",INDEX(资金日记账!$N$4:$S$603,511,1))</f>
        <v/>
      </c>
      <c r="F1930" s="25" t="str">
        <f>IF($E1930="","",IFERROR(INDEX(科目表!$A$4:$A$81,MATCH($E1930,科目表!$B$4:$B$81,0)),""))</f>
        <v/>
      </c>
      <c r="G1930" s="26" t="str">
        <f>IF($E1930="","",IFERROR(INDEX(科目表!$E$4:$E$81,MATCH($E1930,科目表!$B$4:$B$81,0)),""))</f>
        <v/>
      </c>
      <c r="H1930" s="27" t="str">
        <f>IF($E1930="","",N(INDEX(资金日记账!$N$4:$S$603,511,2)))</f>
        <v/>
      </c>
      <c r="I1930" s="27" t="str">
        <f>IF($E1930="","",N(INDEX(资金日记账!$N$4:$S$603,511,3)))</f>
        <v/>
      </c>
      <c r="J1930" s="26" t="str">
        <f>IF($E1930="","",INDEX(资金日记账!$E$4:$E$603,511))</f>
        <v/>
      </c>
      <c r="K1930" s="26" t="str">
        <f>IF($E1930="","",INDEX(资金日记账!$F$4:$F$603,511))</f>
        <v/>
      </c>
      <c r="L1930" s="32" t="str">
        <f>IF($E1930="","",INDEX(资金日记账!$X$4:$X$603,511))</f>
        <v/>
      </c>
      <c r="M1930" s="32"/>
      <c r="N1930" s="26" t="str">
        <f>IF($E1930="","",INDEX(资金日记账!$Y$4:$Y$603,511))</f>
        <v/>
      </c>
      <c r="O1930" s="26" t="str">
        <f t="shared" si="90"/>
        <v/>
      </c>
      <c r="P1930" s="10"/>
    </row>
    <row r="1931" ht="18" customHeight="1" spans="1:16">
      <c r="A1931" s="32" t="str">
        <f t="shared" si="91"/>
        <v/>
      </c>
      <c r="B1931" s="100" t="str">
        <f>IF($E1931="","",INDEX(资金日记账!$B$4:$B$603,511))</f>
        <v/>
      </c>
      <c r="C1931" s="26" t="str">
        <f>IF($E1931="","",IF(INDEX(资金日记账!$W$4:$W$603,511)="","记-"&amp;TEXT($B1931,"YYYYMM")&amp;"-资金",INDEX(资金日记账!$W$4:$W$603,511)))</f>
        <v/>
      </c>
      <c r="D1931" s="32" t="str">
        <f>IF($E1931="","",INDEX(资金日记账!$D$4:$D$603,511))</f>
        <v/>
      </c>
      <c r="E1931" s="26" t="str">
        <f>IF(INDEX(资金日记账!$N$4:$S$603,511,4)=0,"",INDEX(资金日记账!$N$4:$S$603,511,4))</f>
        <v/>
      </c>
      <c r="F1931" s="25" t="str">
        <f>IF($E1931="","",IFERROR(INDEX(科目表!$A$4:$A$81,MATCH($E1931,科目表!$B$4:$B$81,0)),""))</f>
        <v/>
      </c>
      <c r="G1931" s="26" t="str">
        <f>IF($E1931="","",IFERROR(INDEX(科目表!$E$4:$E$81,MATCH($E1931,科目表!$B$4:$B$81,0)),""))</f>
        <v/>
      </c>
      <c r="H1931" s="27" t="str">
        <f>IF($E1931="","",N(INDEX(资金日记账!$N$4:$S$603,511,5)))</f>
        <v/>
      </c>
      <c r="I1931" s="27" t="str">
        <f>IF($E1931="","",N(INDEX(资金日记账!$N$4:$S$603,511,6)))</f>
        <v/>
      </c>
      <c r="J1931" s="26" t="str">
        <f>IF($E1931="","",INDEX(资金日记账!$E$4:$E$603,511))</f>
        <v/>
      </c>
      <c r="K1931" s="26" t="str">
        <f>IF($E1931="","",INDEX(资金日记账!$F$4:$F$603,511))</f>
        <v/>
      </c>
      <c r="L1931" s="32" t="str">
        <f>IF($E1931="","",INDEX(资金日记账!$X$4:$X$603,511))</f>
        <v/>
      </c>
      <c r="M1931" s="32"/>
      <c r="N1931" s="26" t="str">
        <f>IF($E1931="","",INDEX(资金日记账!$Y$4:$Y$603,511))</f>
        <v/>
      </c>
      <c r="O1931" s="26" t="str">
        <f t="shared" si="90"/>
        <v/>
      </c>
      <c r="P1931" s="10"/>
    </row>
    <row r="1932" ht="18" customHeight="1" spans="1:16">
      <c r="A1932" s="32" t="str">
        <f t="shared" si="91"/>
        <v/>
      </c>
      <c r="B1932" s="100" t="str">
        <f>IF($E1932="","",INDEX(资金日记账!$B$4:$B$603,512))</f>
        <v/>
      </c>
      <c r="C1932" s="26" t="str">
        <f>IF($E1932="","",IF(INDEX(资金日记账!$W$4:$W$603,512)="","记-"&amp;TEXT($B1932,"YYYYMM")&amp;"-资金",INDEX(资金日记账!$W$4:$W$603,512)))</f>
        <v/>
      </c>
      <c r="D1932" s="32" t="str">
        <f>IF($E1932="","",INDEX(资金日记账!$D$4:$D$603,512))</f>
        <v/>
      </c>
      <c r="E1932" s="26" t="str">
        <f>IF(INDEX(资金日记账!$N$4:$S$603,512,1)=0,"",INDEX(资金日记账!$N$4:$S$603,512,1))</f>
        <v/>
      </c>
      <c r="F1932" s="25" t="str">
        <f>IF($E1932="","",IFERROR(INDEX(科目表!$A$4:$A$81,MATCH($E1932,科目表!$B$4:$B$81,0)),""))</f>
        <v/>
      </c>
      <c r="G1932" s="26" t="str">
        <f>IF($E1932="","",IFERROR(INDEX(科目表!$E$4:$E$81,MATCH($E1932,科目表!$B$4:$B$81,0)),""))</f>
        <v/>
      </c>
      <c r="H1932" s="27" t="str">
        <f>IF($E1932="","",N(INDEX(资金日记账!$N$4:$S$603,512,2)))</f>
        <v/>
      </c>
      <c r="I1932" s="27" t="str">
        <f>IF($E1932="","",N(INDEX(资金日记账!$N$4:$S$603,512,3)))</f>
        <v/>
      </c>
      <c r="J1932" s="26" t="str">
        <f>IF($E1932="","",INDEX(资金日记账!$E$4:$E$603,512))</f>
        <v/>
      </c>
      <c r="K1932" s="26" t="str">
        <f>IF($E1932="","",INDEX(资金日记账!$F$4:$F$603,512))</f>
        <v/>
      </c>
      <c r="L1932" s="32" t="str">
        <f>IF($E1932="","",INDEX(资金日记账!$X$4:$X$603,512))</f>
        <v/>
      </c>
      <c r="M1932" s="32"/>
      <c r="N1932" s="26" t="str">
        <f>IF($E1932="","",INDEX(资金日记账!$Y$4:$Y$603,512))</f>
        <v/>
      </c>
      <c r="O1932" s="26" t="str">
        <f t="shared" si="90"/>
        <v/>
      </c>
      <c r="P1932" s="10"/>
    </row>
    <row r="1933" ht="18" customHeight="1" spans="1:16">
      <c r="A1933" s="32" t="str">
        <f t="shared" si="91"/>
        <v/>
      </c>
      <c r="B1933" s="100" t="str">
        <f>IF($E1933="","",INDEX(资金日记账!$B$4:$B$603,512))</f>
        <v/>
      </c>
      <c r="C1933" s="26" t="str">
        <f>IF($E1933="","",IF(INDEX(资金日记账!$W$4:$W$603,512)="","记-"&amp;TEXT($B1933,"YYYYMM")&amp;"-资金",INDEX(资金日记账!$W$4:$W$603,512)))</f>
        <v/>
      </c>
      <c r="D1933" s="32" t="str">
        <f>IF($E1933="","",INDEX(资金日记账!$D$4:$D$603,512))</f>
        <v/>
      </c>
      <c r="E1933" s="26" t="str">
        <f>IF(INDEX(资金日记账!$N$4:$S$603,512,4)=0,"",INDEX(资金日记账!$N$4:$S$603,512,4))</f>
        <v/>
      </c>
      <c r="F1933" s="25" t="str">
        <f>IF($E1933="","",IFERROR(INDEX(科目表!$A$4:$A$81,MATCH($E1933,科目表!$B$4:$B$81,0)),""))</f>
        <v/>
      </c>
      <c r="G1933" s="26" t="str">
        <f>IF($E1933="","",IFERROR(INDEX(科目表!$E$4:$E$81,MATCH($E1933,科目表!$B$4:$B$81,0)),""))</f>
        <v/>
      </c>
      <c r="H1933" s="27" t="str">
        <f>IF($E1933="","",N(INDEX(资金日记账!$N$4:$S$603,512,5)))</f>
        <v/>
      </c>
      <c r="I1933" s="27" t="str">
        <f>IF($E1933="","",N(INDEX(资金日记账!$N$4:$S$603,512,6)))</f>
        <v/>
      </c>
      <c r="J1933" s="26" t="str">
        <f>IF($E1933="","",INDEX(资金日记账!$E$4:$E$603,512))</f>
        <v/>
      </c>
      <c r="K1933" s="26" t="str">
        <f>IF($E1933="","",INDEX(资金日记账!$F$4:$F$603,512))</f>
        <v/>
      </c>
      <c r="L1933" s="32" t="str">
        <f>IF($E1933="","",INDEX(资金日记账!$X$4:$X$603,512))</f>
        <v/>
      </c>
      <c r="M1933" s="32"/>
      <c r="N1933" s="26" t="str">
        <f>IF($E1933="","",INDEX(资金日记账!$Y$4:$Y$603,512))</f>
        <v/>
      </c>
      <c r="O1933" s="26" t="str">
        <f t="shared" si="90"/>
        <v/>
      </c>
      <c r="P1933" s="10"/>
    </row>
    <row r="1934" ht="18" customHeight="1" spans="1:16">
      <c r="A1934" s="32" t="str">
        <f t="shared" si="91"/>
        <v/>
      </c>
      <c r="B1934" s="100" t="str">
        <f>IF($E1934="","",INDEX(资金日记账!$B$4:$B$603,513))</f>
        <v/>
      </c>
      <c r="C1934" s="26" t="str">
        <f>IF($E1934="","",IF(INDEX(资金日记账!$W$4:$W$603,513)="","记-"&amp;TEXT($B1934,"YYYYMM")&amp;"-资金",INDEX(资金日记账!$W$4:$W$603,513)))</f>
        <v/>
      </c>
      <c r="D1934" s="32" t="str">
        <f>IF($E1934="","",INDEX(资金日记账!$D$4:$D$603,513))</f>
        <v/>
      </c>
      <c r="E1934" s="26" t="str">
        <f>IF(INDEX(资金日记账!$N$4:$S$603,513,1)=0,"",INDEX(资金日记账!$N$4:$S$603,513,1))</f>
        <v/>
      </c>
      <c r="F1934" s="25" t="str">
        <f>IF($E1934="","",IFERROR(INDEX(科目表!$A$4:$A$81,MATCH($E1934,科目表!$B$4:$B$81,0)),""))</f>
        <v/>
      </c>
      <c r="G1934" s="26" t="str">
        <f>IF($E1934="","",IFERROR(INDEX(科目表!$E$4:$E$81,MATCH($E1934,科目表!$B$4:$B$81,0)),""))</f>
        <v/>
      </c>
      <c r="H1934" s="27" t="str">
        <f>IF($E1934="","",N(INDEX(资金日记账!$N$4:$S$603,513,2)))</f>
        <v/>
      </c>
      <c r="I1934" s="27" t="str">
        <f>IF($E1934="","",N(INDEX(资金日记账!$N$4:$S$603,513,3)))</f>
        <v/>
      </c>
      <c r="J1934" s="26" t="str">
        <f>IF($E1934="","",INDEX(资金日记账!$E$4:$E$603,513))</f>
        <v/>
      </c>
      <c r="K1934" s="26" t="str">
        <f>IF($E1934="","",INDEX(资金日记账!$F$4:$F$603,513))</f>
        <v/>
      </c>
      <c r="L1934" s="32" t="str">
        <f>IF($E1934="","",INDEX(资金日记账!$X$4:$X$603,513))</f>
        <v/>
      </c>
      <c r="M1934" s="32"/>
      <c r="N1934" s="26" t="str">
        <f>IF($E1934="","",INDEX(资金日记账!$Y$4:$Y$603,513))</f>
        <v/>
      </c>
      <c r="O1934" s="26" t="str">
        <f t="shared" ref="O1934:O1997" si="92">IF($E1934="","","自动B")</f>
        <v/>
      </c>
      <c r="P1934" s="10"/>
    </row>
    <row r="1935" ht="18" customHeight="1" spans="1:16">
      <c r="A1935" s="32" t="str">
        <f t="shared" si="91"/>
        <v/>
      </c>
      <c r="B1935" s="100" t="str">
        <f>IF($E1935="","",INDEX(资金日记账!$B$4:$B$603,513))</f>
        <v/>
      </c>
      <c r="C1935" s="26" t="str">
        <f>IF($E1935="","",IF(INDEX(资金日记账!$W$4:$W$603,513)="","记-"&amp;TEXT($B1935,"YYYYMM")&amp;"-资金",INDEX(资金日记账!$W$4:$W$603,513)))</f>
        <v/>
      </c>
      <c r="D1935" s="32" t="str">
        <f>IF($E1935="","",INDEX(资金日记账!$D$4:$D$603,513))</f>
        <v/>
      </c>
      <c r="E1935" s="26" t="str">
        <f>IF(INDEX(资金日记账!$N$4:$S$603,513,4)=0,"",INDEX(资金日记账!$N$4:$S$603,513,4))</f>
        <v/>
      </c>
      <c r="F1935" s="25" t="str">
        <f>IF($E1935="","",IFERROR(INDEX(科目表!$A$4:$A$81,MATCH($E1935,科目表!$B$4:$B$81,0)),""))</f>
        <v/>
      </c>
      <c r="G1935" s="26" t="str">
        <f>IF($E1935="","",IFERROR(INDEX(科目表!$E$4:$E$81,MATCH($E1935,科目表!$B$4:$B$81,0)),""))</f>
        <v/>
      </c>
      <c r="H1935" s="27" t="str">
        <f>IF($E1935="","",N(INDEX(资金日记账!$N$4:$S$603,513,5)))</f>
        <v/>
      </c>
      <c r="I1935" s="27" t="str">
        <f>IF($E1935="","",N(INDEX(资金日记账!$N$4:$S$603,513,6)))</f>
        <v/>
      </c>
      <c r="J1935" s="26" t="str">
        <f>IF($E1935="","",INDEX(资金日记账!$E$4:$E$603,513))</f>
        <v/>
      </c>
      <c r="K1935" s="26" t="str">
        <f>IF($E1935="","",INDEX(资金日记账!$F$4:$F$603,513))</f>
        <v/>
      </c>
      <c r="L1935" s="32" t="str">
        <f>IF($E1935="","",INDEX(资金日记账!$X$4:$X$603,513))</f>
        <v/>
      </c>
      <c r="M1935" s="32"/>
      <c r="N1935" s="26" t="str">
        <f>IF($E1935="","",INDEX(资金日记账!$Y$4:$Y$603,513))</f>
        <v/>
      </c>
      <c r="O1935" s="26" t="str">
        <f t="shared" si="92"/>
        <v/>
      </c>
      <c r="P1935" s="10"/>
    </row>
    <row r="1936" ht="18" customHeight="1" spans="1:16">
      <c r="A1936" s="32" t="str">
        <f t="shared" si="91"/>
        <v/>
      </c>
      <c r="B1936" s="100" t="str">
        <f>IF($E1936="","",INDEX(资金日记账!$B$4:$B$603,514))</f>
        <v/>
      </c>
      <c r="C1936" s="26" t="str">
        <f>IF($E1936="","",IF(INDEX(资金日记账!$W$4:$W$603,514)="","记-"&amp;TEXT($B1936,"YYYYMM")&amp;"-资金",INDEX(资金日记账!$W$4:$W$603,514)))</f>
        <v/>
      </c>
      <c r="D1936" s="32" t="str">
        <f>IF($E1936="","",INDEX(资金日记账!$D$4:$D$603,514))</f>
        <v/>
      </c>
      <c r="E1936" s="26" t="str">
        <f>IF(INDEX(资金日记账!$N$4:$S$603,514,1)=0,"",INDEX(资金日记账!$N$4:$S$603,514,1))</f>
        <v/>
      </c>
      <c r="F1936" s="25" t="str">
        <f>IF($E1936="","",IFERROR(INDEX(科目表!$A$4:$A$81,MATCH($E1936,科目表!$B$4:$B$81,0)),""))</f>
        <v/>
      </c>
      <c r="G1936" s="26" t="str">
        <f>IF($E1936="","",IFERROR(INDEX(科目表!$E$4:$E$81,MATCH($E1936,科目表!$B$4:$B$81,0)),""))</f>
        <v/>
      </c>
      <c r="H1936" s="27" t="str">
        <f>IF($E1936="","",N(INDEX(资金日记账!$N$4:$S$603,514,2)))</f>
        <v/>
      </c>
      <c r="I1936" s="27" t="str">
        <f>IF($E1936="","",N(INDEX(资金日记账!$N$4:$S$603,514,3)))</f>
        <v/>
      </c>
      <c r="J1936" s="26" t="str">
        <f>IF($E1936="","",INDEX(资金日记账!$E$4:$E$603,514))</f>
        <v/>
      </c>
      <c r="K1936" s="26" t="str">
        <f>IF($E1936="","",INDEX(资金日记账!$F$4:$F$603,514))</f>
        <v/>
      </c>
      <c r="L1936" s="32" t="str">
        <f>IF($E1936="","",INDEX(资金日记账!$X$4:$X$603,514))</f>
        <v/>
      </c>
      <c r="M1936" s="32"/>
      <c r="N1936" s="26" t="str">
        <f>IF($E1936="","",INDEX(资金日记账!$Y$4:$Y$603,514))</f>
        <v/>
      </c>
      <c r="O1936" s="26" t="str">
        <f t="shared" si="92"/>
        <v/>
      </c>
      <c r="P1936" s="10"/>
    </row>
    <row r="1937" ht="18" customHeight="1" spans="1:16">
      <c r="A1937" s="32" t="str">
        <f t="shared" si="91"/>
        <v/>
      </c>
      <c r="B1937" s="100" t="str">
        <f>IF($E1937="","",INDEX(资金日记账!$B$4:$B$603,514))</f>
        <v/>
      </c>
      <c r="C1937" s="26" t="str">
        <f>IF($E1937="","",IF(INDEX(资金日记账!$W$4:$W$603,514)="","记-"&amp;TEXT($B1937,"YYYYMM")&amp;"-资金",INDEX(资金日记账!$W$4:$W$603,514)))</f>
        <v/>
      </c>
      <c r="D1937" s="32" t="str">
        <f>IF($E1937="","",INDEX(资金日记账!$D$4:$D$603,514))</f>
        <v/>
      </c>
      <c r="E1937" s="26" t="str">
        <f>IF(INDEX(资金日记账!$N$4:$S$603,514,4)=0,"",INDEX(资金日记账!$N$4:$S$603,514,4))</f>
        <v/>
      </c>
      <c r="F1937" s="25" t="str">
        <f>IF($E1937="","",IFERROR(INDEX(科目表!$A$4:$A$81,MATCH($E1937,科目表!$B$4:$B$81,0)),""))</f>
        <v/>
      </c>
      <c r="G1937" s="26" t="str">
        <f>IF($E1937="","",IFERROR(INDEX(科目表!$E$4:$E$81,MATCH($E1937,科目表!$B$4:$B$81,0)),""))</f>
        <v/>
      </c>
      <c r="H1937" s="27" t="str">
        <f>IF($E1937="","",N(INDEX(资金日记账!$N$4:$S$603,514,5)))</f>
        <v/>
      </c>
      <c r="I1937" s="27" t="str">
        <f>IF($E1937="","",N(INDEX(资金日记账!$N$4:$S$603,514,6)))</f>
        <v/>
      </c>
      <c r="J1937" s="26" t="str">
        <f>IF($E1937="","",INDEX(资金日记账!$E$4:$E$603,514))</f>
        <v/>
      </c>
      <c r="K1937" s="26" t="str">
        <f>IF($E1937="","",INDEX(资金日记账!$F$4:$F$603,514))</f>
        <v/>
      </c>
      <c r="L1937" s="32" t="str">
        <f>IF($E1937="","",INDEX(资金日记账!$X$4:$X$603,514))</f>
        <v/>
      </c>
      <c r="M1937" s="32"/>
      <c r="N1937" s="26" t="str">
        <f>IF($E1937="","",INDEX(资金日记账!$Y$4:$Y$603,514))</f>
        <v/>
      </c>
      <c r="O1937" s="26" t="str">
        <f t="shared" si="92"/>
        <v/>
      </c>
      <c r="P1937" s="10"/>
    </row>
    <row r="1938" ht="18" customHeight="1" spans="1:16">
      <c r="A1938" s="32" t="str">
        <f t="shared" si="91"/>
        <v/>
      </c>
      <c r="B1938" s="100" t="str">
        <f>IF($E1938="","",INDEX(资金日记账!$B$4:$B$603,515))</f>
        <v/>
      </c>
      <c r="C1938" s="26" t="str">
        <f>IF($E1938="","",IF(INDEX(资金日记账!$W$4:$W$603,515)="","记-"&amp;TEXT($B1938,"YYYYMM")&amp;"-资金",INDEX(资金日记账!$W$4:$W$603,515)))</f>
        <v/>
      </c>
      <c r="D1938" s="32" t="str">
        <f>IF($E1938="","",INDEX(资金日记账!$D$4:$D$603,515))</f>
        <v/>
      </c>
      <c r="E1938" s="26" t="str">
        <f>IF(INDEX(资金日记账!$N$4:$S$603,515,1)=0,"",INDEX(资金日记账!$N$4:$S$603,515,1))</f>
        <v/>
      </c>
      <c r="F1938" s="25" t="str">
        <f>IF($E1938="","",IFERROR(INDEX(科目表!$A$4:$A$81,MATCH($E1938,科目表!$B$4:$B$81,0)),""))</f>
        <v/>
      </c>
      <c r="G1938" s="26" t="str">
        <f>IF($E1938="","",IFERROR(INDEX(科目表!$E$4:$E$81,MATCH($E1938,科目表!$B$4:$B$81,0)),""))</f>
        <v/>
      </c>
      <c r="H1938" s="27" t="str">
        <f>IF($E1938="","",N(INDEX(资金日记账!$N$4:$S$603,515,2)))</f>
        <v/>
      </c>
      <c r="I1938" s="27" t="str">
        <f>IF($E1938="","",N(INDEX(资金日记账!$N$4:$S$603,515,3)))</f>
        <v/>
      </c>
      <c r="J1938" s="26" t="str">
        <f>IF($E1938="","",INDEX(资金日记账!$E$4:$E$603,515))</f>
        <v/>
      </c>
      <c r="K1938" s="26" t="str">
        <f>IF($E1938="","",INDEX(资金日记账!$F$4:$F$603,515))</f>
        <v/>
      </c>
      <c r="L1938" s="32" t="str">
        <f>IF($E1938="","",INDEX(资金日记账!$X$4:$X$603,515))</f>
        <v/>
      </c>
      <c r="M1938" s="32"/>
      <c r="N1938" s="26" t="str">
        <f>IF($E1938="","",INDEX(资金日记账!$Y$4:$Y$603,515))</f>
        <v/>
      </c>
      <c r="O1938" s="26" t="str">
        <f t="shared" si="92"/>
        <v/>
      </c>
      <c r="P1938" s="10"/>
    </row>
    <row r="1939" ht="18" customHeight="1" spans="1:16">
      <c r="A1939" s="32" t="str">
        <f t="shared" si="91"/>
        <v/>
      </c>
      <c r="B1939" s="100" t="str">
        <f>IF($E1939="","",INDEX(资金日记账!$B$4:$B$603,515))</f>
        <v/>
      </c>
      <c r="C1939" s="26" t="str">
        <f>IF($E1939="","",IF(INDEX(资金日记账!$W$4:$W$603,515)="","记-"&amp;TEXT($B1939,"YYYYMM")&amp;"-资金",INDEX(资金日记账!$W$4:$W$603,515)))</f>
        <v/>
      </c>
      <c r="D1939" s="32" t="str">
        <f>IF($E1939="","",INDEX(资金日记账!$D$4:$D$603,515))</f>
        <v/>
      </c>
      <c r="E1939" s="26" t="str">
        <f>IF(INDEX(资金日记账!$N$4:$S$603,515,4)=0,"",INDEX(资金日记账!$N$4:$S$603,515,4))</f>
        <v/>
      </c>
      <c r="F1939" s="25" t="str">
        <f>IF($E1939="","",IFERROR(INDEX(科目表!$A$4:$A$81,MATCH($E1939,科目表!$B$4:$B$81,0)),""))</f>
        <v/>
      </c>
      <c r="G1939" s="26" t="str">
        <f>IF($E1939="","",IFERROR(INDEX(科目表!$E$4:$E$81,MATCH($E1939,科目表!$B$4:$B$81,0)),""))</f>
        <v/>
      </c>
      <c r="H1939" s="27" t="str">
        <f>IF($E1939="","",N(INDEX(资金日记账!$N$4:$S$603,515,5)))</f>
        <v/>
      </c>
      <c r="I1939" s="27" t="str">
        <f>IF($E1939="","",N(INDEX(资金日记账!$N$4:$S$603,515,6)))</f>
        <v/>
      </c>
      <c r="J1939" s="26" t="str">
        <f>IF($E1939="","",INDEX(资金日记账!$E$4:$E$603,515))</f>
        <v/>
      </c>
      <c r="K1939" s="26" t="str">
        <f>IF($E1939="","",INDEX(资金日记账!$F$4:$F$603,515))</f>
        <v/>
      </c>
      <c r="L1939" s="32" t="str">
        <f>IF($E1939="","",INDEX(资金日记账!$X$4:$X$603,515))</f>
        <v/>
      </c>
      <c r="M1939" s="32"/>
      <c r="N1939" s="26" t="str">
        <f>IF($E1939="","",INDEX(资金日记账!$Y$4:$Y$603,515))</f>
        <v/>
      </c>
      <c r="O1939" s="26" t="str">
        <f t="shared" si="92"/>
        <v/>
      </c>
      <c r="P1939" s="10"/>
    </row>
    <row r="1940" ht="18" customHeight="1" spans="1:16">
      <c r="A1940" s="32" t="str">
        <f t="shared" si="91"/>
        <v/>
      </c>
      <c r="B1940" s="100" t="str">
        <f>IF($E1940="","",INDEX(资金日记账!$B$4:$B$603,516))</f>
        <v/>
      </c>
      <c r="C1940" s="26" t="str">
        <f>IF($E1940="","",IF(INDEX(资金日记账!$W$4:$W$603,516)="","记-"&amp;TEXT($B1940,"YYYYMM")&amp;"-资金",INDEX(资金日记账!$W$4:$W$603,516)))</f>
        <v/>
      </c>
      <c r="D1940" s="32" t="str">
        <f>IF($E1940="","",INDEX(资金日记账!$D$4:$D$603,516))</f>
        <v/>
      </c>
      <c r="E1940" s="26" t="str">
        <f>IF(INDEX(资金日记账!$N$4:$S$603,516,1)=0,"",INDEX(资金日记账!$N$4:$S$603,516,1))</f>
        <v/>
      </c>
      <c r="F1940" s="25" t="str">
        <f>IF($E1940="","",IFERROR(INDEX(科目表!$A$4:$A$81,MATCH($E1940,科目表!$B$4:$B$81,0)),""))</f>
        <v/>
      </c>
      <c r="G1940" s="26" t="str">
        <f>IF($E1940="","",IFERROR(INDEX(科目表!$E$4:$E$81,MATCH($E1940,科目表!$B$4:$B$81,0)),""))</f>
        <v/>
      </c>
      <c r="H1940" s="27" t="str">
        <f>IF($E1940="","",N(INDEX(资金日记账!$N$4:$S$603,516,2)))</f>
        <v/>
      </c>
      <c r="I1940" s="27" t="str">
        <f>IF($E1940="","",N(INDEX(资金日记账!$N$4:$S$603,516,3)))</f>
        <v/>
      </c>
      <c r="J1940" s="26" t="str">
        <f>IF($E1940="","",INDEX(资金日记账!$E$4:$E$603,516))</f>
        <v/>
      </c>
      <c r="K1940" s="26" t="str">
        <f>IF($E1940="","",INDEX(资金日记账!$F$4:$F$603,516))</f>
        <v/>
      </c>
      <c r="L1940" s="32" t="str">
        <f>IF($E1940="","",INDEX(资金日记账!$X$4:$X$603,516))</f>
        <v/>
      </c>
      <c r="M1940" s="32"/>
      <c r="N1940" s="26" t="str">
        <f>IF($E1940="","",INDEX(资金日记账!$Y$4:$Y$603,516))</f>
        <v/>
      </c>
      <c r="O1940" s="26" t="str">
        <f t="shared" si="92"/>
        <v/>
      </c>
      <c r="P1940" s="10"/>
    </row>
    <row r="1941" ht="18" customHeight="1" spans="1:16">
      <c r="A1941" s="32" t="str">
        <f t="shared" si="91"/>
        <v/>
      </c>
      <c r="B1941" s="100" t="str">
        <f>IF($E1941="","",INDEX(资金日记账!$B$4:$B$603,516))</f>
        <v/>
      </c>
      <c r="C1941" s="26" t="str">
        <f>IF($E1941="","",IF(INDEX(资金日记账!$W$4:$W$603,516)="","记-"&amp;TEXT($B1941,"YYYYMM")&amp;"-资金",INDEX(资金日记账!$W$4:$W$603,516)))</f>
        <v/>
      </c>
      <c r="D1941" s="32" t="str">
        <f>IF($E1941="","",INDEX(资金日记账!$D$4:$D$603,516))</f>
        <v/>
      </c>
      <c r="E1941" s="26" t="str">
        <f>IF(INDEX(资金日记账!$N$4:$S$603,516,4)=0,"",INDEX(资金日记账!$N$4:$S$603,516,4))</f>
        <v/>
      </c>
      <c r="F1941" s="25" t="str">
        <f>IF($E1941="","",IFERROR(INDEX(科目表!$A$4:$A$81,MATCH($E1941,科目表!$B$4:$B$81,0)),""))</f>
        <v/>
      </c>
      <c r="G1941" s="26" t="str">
        <f>IF($E1941="","",IFERROR(INDEX(科目表!$E$4:$E$81,MATCH($E1941,科目表!$B$4:$B$81,0)),""))</f>
        <v/>
      </c>
      <c r="H1941" s="27" t="str">
        <f>IF($E1941="","",N(INDEX(资金日记账!$N$4:$S$603,516,5)))</f>
        <v/>
      </c>
      <c r="I1941" s="27" t="str">
        <f>IF($E1941="","",N(INDEX(资金日记账!$N$4:$S$603,516,6)))</f>
        <v/>
      </c>
      <c r="J1941" s="26" t="str">
        <f>IF($E1941="","",INDEX(资金日记账!$E$4:$E$603,516))</f>
        <v/>
      </c>
      <c r="K1941" s="26" t="str">
        <f>IF($E1941="","",INDEX(资金日记账!$F$4:$F$603,516))</f>
        <v/>
      </c>
      <c r="L1941" s="32" t="str">
        <f>IF($E1941="","",INDEX(资金日记账!$X$4:$X$603,516))</f>
        <v/>
      </c>
      <c r="M1941" s="32"/>
      <c r="N1941" s="26" t="str">
        <f>IF($E1941="","",INDEX(资金日记账!$Y$4:$Y$603,516))</f>
        <v/>
      </c>
      <c r="O1941" s="26" t="str">
        <f t="shared" si="92"/>
        <v/>
      </c>
      <c r="P1941" s="10"/>
    </row>
    <row r="1942" ht="18" customHeight="1" spans="1:16">
      <c r="A1942" s="32" t="str">
        <f t="shared" si="91"/>
        <v/>
      </c>
      <c r="B1942" s="100" t="str">
        <f>IF($E1942="","",INDEX(资金日记账!$B$4:$B$603,517))</f>
        <v/>
      </c>
      <c r="C1942" s="26" t="str">
        <f>IF($E1942="","",IF(INDEX(资金日记账!$W$4:$W$603,517)="","记-"&amp;TEXT($B1942,"YYYYMM")&amp;"-资金",INDEX(资金日记账!$W$4:$W$603,517)))</f>
        <v/>
      </c>
      <c r="D1942" s="32" t="str">
        <f>IF($E1942="","",INDEX(资金日记账!$D$4:$D$603,517))</f>
        <v/>
      </c>
      <c r="E1942" s="26" t="str">
        <f>IF(INDEX(资金日记账!$N$4:$S$603,517,1)=0,"",INDEX(资金日记账!$N$4:$S$603,517,1))</f>
        <v/>
      </c>
      <c r="F1942" s="25" t="str">
        <f>IF($E1942="","",IFERROR(INDEX(科目表!$A$4:$A$81,MATCH($E1942,科目表!$B$4:$B$81,0)),""))</f>
        <v/>
      </c>
      <c r="G1942" s="26" t="str">
        <f>IF($E1942="","",IFERROR(INDEX(科目表!$E$4:$E$81,MATCH($E1942,科目表!$B$4:$B$81,0)),""))</f>
        <v/>
      </c>
      <c r="H1942" s="27" t="str">
        <f>IF($E1942="","",N(INDEX(资金日记账!$N$4:$S$603,517,2)))</f>
        <v/>
      </c>
      <c r="I1942" s="27" t="str">
        <f>IF($E1942="","",N(INDEX(资金日记账!$N$4:$S$603,517,3)))</f>
        <v/>
      </c>
      <c r="J1942" s="26" t="str">
        <f>IF($E1942="","",INDEX(资金日记账!$E$4:$E$603,517))</f>
        <v/>
      </c>
      <c r="K1942" s="26" t="str">
        <f>IF($E1942="","",INDEX(资金日记账!$F$4:$F$603,517))</f>
        <v/>
      </c>
      <c r="L1942" s="32" t="str">
        <f>IF($E1942="","",INDEX(资金日记账!$X$4:$X$603,517))</f>
        <v/>
      </c>
      <c r="M1942" s="32"/>
      <c r="N1942" s="26" t="str">
        <f>IF($E1942="","",INDEX(资金日记账!$Y$4:$Y$603,517))</f>
        <v/>
      </c>
      <c r="O1942" s="26" t="str">
        <f t="shared" si="92"/>
        <v/>
      </c>
      <c r="P1942" s="10"/>
    </row>
    <row r="1943" ht="18" customHeight="1" spans="1:16">
      <c r="A1943" s="32" t="str">
        <f t="shared" si="91"/>
        <v/>
      </c>
      <c r="B1943" s="100" t="str">
        <f>IF($E1943="","",INDEX(资金日记账!$B$4:$B$603,517))</f>
        <v/>
      </c>
      <c r="C1943" s="26" t="str">
        <f>IF($E1943="","",IF(INDEX(资金日记账!$W$4:$W$603,517)="","记-"&amp;TEXT($B1943,"YYYYMM")&amp;"-资金",INDEX(资金日记账!$W$4:$W$603,517)))</f>
        <v/>
      </c>
      <c r="D1943" s="32" t="str">
        <f>IF($E1943="","",INDEX(资金日记账!$D$4:$D$603,517))</f>
        <v/>
      </c>
      <c r="E1943" s="26" t="str">
        <f>IF(INDEX(资金日记账!$N$4:$S$603,517,4)=0,"",INDEX(资金日记账!$N$4:$S$603,517,4))</f>
        <v/>
      </c>
      <c r="F1943" s="25" t="str">
        <f>IF($E1943="","",IFERROR(INDEX(科目表!$A$4:$A$81,MATCH($E1943,科目表!$B$4:$B$81,0)),""))</f>
        <v/>
      </c>
      <c r="G1943" s="26" t="str">
        <f>IF($E1943="","",IFERROR(INDEX(科目表!$E$4:$E$81,MATCH($E1943,科目表!$B$4:$B$81,0)),""))</f>
        <v/>
      </c>
      <c r="H1943" s="27" t="str">
        <f>IF($E1943="","",N(INDEX(资金日记账!$N$4:$S$603,517,5)))</f>
        <v/>
      </c>
      <c r="I1943" s="27" t="str">
        <f>IF($E1943="","",N(INDEX(资金日记账!$N$4:$S$603,517,6)))</f>
        <v/>
      </c>
      <c r="J1943" s="26" t="str">
        <f>IF($E1943="","",INDEX(资金日记账!$E$4:$E$603,517))</f>
        <v/>
      </c>
      <c r="K1943" s="26" t="str">
        <f>IF($E1943="","",INDEX(资金日记账!$F$4:$F$603,517))</f>
        <v/>
      </c>
      <c r="L1943" s="32" t="str">
        <f>IF($E1943="","",INDEX(资金日记账!$X$4:$X$603,517))</f>
        <v/>
      </c>
      <c r="M1943" s="32"/>
      <c r="N1943" s="26" t="str">
        <f>IF($E1943="","",INDEX(资金日记账!$Y$4:$Y$603,517))</f>
        <v/>
      </c>
      <c r="O1943" s="26" t="str">
        <f t="shared" si="92"/>
        <v/>
      </c>
      <c r="P1943" s="10"/>
    </row>
    <row r="1944" ht="18" customHeight="1" spans="1:16">
      <c r="A1944" s="32" t="str">
        <f t="shared" si="91"/>
        <v/>
      </c>
      <c r="B1944" s="100" t="str">
        <f>IF($E1944="","",INDEX(资金日记账!$B$4:$B$603,518))</f>
        <v/>
      </c>
      <c r="C1944" s="26" t="str">
        <f>IF($E1944="","",IF(INDEX(资金日记账!$W$4:$W$603,518)="","记-"&amp;TEXT($B1944,"YYYYMM")&amp;"-资金",INDEX(资金日记账!$W$4:$W$603,518)))</f>
        <v/>
      </c>
      <c r="D1944" s="32" t="str">
        <f>IF($E1944="","",INDEX(资金日记账!$D$4:$D$603,518))</f>
        <v/>
      </c>
      <c r="E1944" s="26" t="str">
        <f>IF(INDEX(资金日记账!$N$4:$S$603,518,1)=0,"",INDEX(资金日记账!$N$4:$S$603,518,1))</f>
        <v/>
      </c>
      <c r="F1944" s="25" t="str">
        <f>IF($E1944="","",IFERROR(INDEX(科目表!$A$4:$A$81,MATCH($E1944,科目表!$B$4:$B$81,0)),""))</f>
        <v/>
      </c>
      <c r="G1944" s="26" t="str">
        <f>IF($E1944="","",IFERROR(INDEX(科目表!$E$4:$E$81,MATCH($E1944,科目表!$B$4:$B$81,0)),""))</f>
        <v/>
      </c>
      <c r="H1944" s="27" t="str">
        <f>IF($E1944="","",N(INDEX(资金日记账!$N$4:$S$603,518,2)))</f>
        <v/>
      </c>
      <c r="I1944" s="27" t="str">
        <f>IF($E1944="","",N(INDEX(资金日记账!$N$4:$S$603,518,3)))</f>
        <v/>
      </c>
      <c r="J1944" s="26" t="str">
        <f>IF($E1944="","",INDEX(资金日记账!$E$4:$E$603,518))</f>
        <v/>
      </c>
      <c r="K1944" s="26" t="str">
        <f>IF($E1944="","",INDEX(资金日记账!$F$4:$F$603,518))</f>
        <v/>
      </c>
      <c r="L1944" s="32" t="str">
        <f>IF($E1944="","",INDEX(资金日记账!$X$4:$X$603,518))</f>
        <v/>
      </c>
      <c r="M1944" s="32"/>
      <c r="N1944" s="26" t="str">
        <f>IF($E1944="","",INDEX(资金日记账!$Y$4:$Y$603,518))</f>
        <v/>
      </c>
      <c r="O1944" s="26" t="str">
        <f t="shared" si="92"/>
        <v/>
      </c>
      <c r="P1944" s="10"/>
    </row>
    <row r="1945" ht="18" customHeight="1" spans="1:16">
      <c r="A1945" s="32" t="str">
        <f t="shared" si="91"/>
        <v/>
      </c>
      <c r="B1945" s="100" t="str">
        <f>IF($E1945="","",INDEX(资金日记账!$B$4:$B$603,518))</f>
        <v/>
      </c>
      <c r="C1945" s="26" t="str">
        <f>IF($E1945="","",IF(INDEX(资金日记账!$W$4:$W$603,518)="","记-"&amp;TEXT($B1945,"YYYYMM")&amp;"-资金",INDEX(资金日记账!$W$4:$W$603,518)))</f>
        <v/>
      </c>
      <c r="D1945" s="32" t="str">
        <f>IF($E1945="","",INDEX(资金日记账!$D$4:$D$603,518))</f>
        <v/>
      </c>
      <c r="E1945" s="26" t="str">
        <f>IF(INDEX(资金日记账!$N$4:$S$603,518,4)=0,"",INDEX(资金日记账!$N$4:$S$603,518,4))</f>
        <v/>
      </c>
      <c r="F1945" s="25" t="str">
        <f>IF($E1945="","",IFERROR(INDEX(科目表!$A$4:$A$81,MATCH($E1945,科目表!$B$4:$B$81,0)),""))</f>
        <v/>
      </c>
      <c r="G1945" s="26" t="str">
        <f>IF($E1945="","",IFERROR(INDEX(科目表!$E$4:$E$81,MATCH($E1945,科目表!$B$4:$B$81,0)),""))</f>
        <v/>
      </c>
      <c r="H1945" s="27" t="str">
        <f>IF($E1945="","",N(INDEX(资金日记账!$N$4:$S$603,518,5)))</f>
        <v/>
      </c>
      <c r="I1945" s="27" t="str">
        <f>IF($E1945="","",N(INDEX(资金日记账!$N$4:$S$603,518,6)))</f>
        <v/>
      </c>
      <c r="J1945" s="26" t="str">
        <f>IF($E1945="","",INDEX(资金日记账!$E$4:$E$603,518))</f>
        <v/>
      </c>
      <c r="K1945" s="26" t="str">
        <f>IF($E1945="","",INDEX(资金日记账!$F$4:$F$603,518))</f>
        <v/>
      </c>
      <c r="L1945" s="32" t="str">
        <f>IF($E1945="","",INDEX(资金日记账!$X$4:$X$603,518))</f>
        <v/>
      </c>
      <c r="M1945" s="32"/>
      <c r="N1945" s="26" t="str">
        <f>IF($E1945="","",INDEX(资金日记账!$Y$4:$Y$603,518))</f>
        <v/>
      </c>
      <c r="O1945" s="26" t="str">
        <f t="shared" si="92"/>
        <v/>
      </c>
      <c r="P1945" s="10"/>
    </row>
    <row r="1946" ht="18" customHeight="1" spans="1:16">
      <c r="A1946" s="32" t="str">
        <f t="shared" si="91"/>
        <v/>
      </c>
      <c r="B1946" s="100" t="str">
        <f>IF($E1946="","",INDEX(资金日记账!$B$4:$B$603,519))</f>
        <v/>
      </c>
      <c r="C1946" s="26" t="str">
        <f>IF($E1946="","",IF(INDEX(资金日记账!$W$4:$W$603,519)="","记-"&amp;TEXT($B1946,"YYYYMM")&amp;"-资金",INDEX(资金日记账!$W$4:$W$603,519)))</f>
        <v/>
      </c>
      <c r="D1946" s="32" t="str">
        <f>IF($E1946="","",INDEX(资金日记账!$D$4:$D$603,519))</f>
        <v/>
      </c>
      <c r="E1946" s="26" t="str">
        <f>IF(INDEX(资金日记账!$N$4:$S$603,519,1)=0,"",INDEX(资金日记账!$N$4:$S$603,519,1))</f>
        <v/>
      </c>
      <c r="F1946" s="25" t="str">
        <f>IF($E1946="","",IFERROR(INDEX(科目表!$A$4:$A$81,MATCH($E1946,科目表!$B$4:$B$81,0)),""))</f>
        <v/>
      </c>
      <c r="G1946" s="26" t="str">
        <f>IF($E1946="","",IFERROR(INDEX(科目表!$E$4:$E$81,MATCH($E1946,科目表!$B$4:$B$81,0)),""))</f>
        <v/>
      </c>
      <c r="H1946" s="27" t="str">
        <f>IF($E1946="","",N(INDEX(资金日记账!$N$4:$S$603,519,2)))</f>
        <v/>
      </c>
      <c r="I1946" s="27" t="str">
        <f>IF($E1946="","",N(INDEX(资金日记账!$N$4:$S$603,519,3)))</f>
        <v/>
      </c>
      <c r="J1946" s="26" t="str">
        <f>IF($E1946="","",INDEX(资金日记账!$E$4:$E$603,519))</f>
        <v/>
      </c>
      <c r="K1946" s="26" t="str">
        <f>IF($E1946="","",INDEX(资金日记账!$F$4:$F$603,519))</f>
        <v/>
      </c>
      <c r="L1946" s="32" t="str">
        <f>IF($E1946="","",INDEX(资金日记账!$X$4:$X$603,519))</f>
        <v/>
      </c>
      <c r="M1946" s="32"/>
      <c r="N1946" s="26" t="str">
        <f>IF($E1946="","",INDEX(资金日记账!$Y$4:$Y$603,519))</f>
        <v/>
      </c>
      <c r="O1946" s="26" t="str">
        <f t="shared" si="92"/>
        <v/>
      </c>
      <c r="P1946" s="10"/>
    </row>
    <row r="1947" ht="18" customHeight="1" spans="1:16">
      <c r="A1947" s="32" t="str">
        <f t="shared" si="91"/>
        <v/>
      </c>
      <c r="B1947" s="100" t="str">
        <f>IF($E1947="","",INDEX(资金日记账!$B$4:$B$603,519))</f>
        <v/>
      </c>
      <c r="C1947" s="26" t="str">
        <f>IF($E1947="","",IF(INDEX(资金日记账!$W$4:$W$603,519)="","记-"&amp;TEXT($B1947,"YYYYMM")&amp;"-资金",INDEX(资金日记账!$W$4:$W$603,519)))</f>
        <v/>
      </c>
      <c r="D1947" s="32" t="str">
        <f>IF($E1947="","",INDEX(资金日记账!$D$4:$D$603,519))</f>
        <v/>
      </c>
      <c r="E1947" s="26" t="str">
        <f>IF(INDEX(资金日记账!$N$4:$S$603,519,4)=0,"",INDEX(资金日记账!$N$4:$S$603,519,4))</f>
        <v/>
      </c>
      <c r="F1947" s="25" t="str">
        <f>IF($E1947="","",IFERROR(INDEX(科目表!$A$4:$A$81,MATCH($E1947,科目表!$B$4:$B$81,0)),""))</f>
        <v/>
      </c>
      <c r="G1947" s="26" t="str">
        <f>IF($E1947="","",IFERROR(INDEX(科目表!$E$4:$E$81,MATCH($E1947,科目表!$B$4:$B$81,0)),""))</f>
        <v/>
      </c>
      <c r="H1947" s="27" t="str">
        <f>IF($E1947="","",N(INDEX(资金日记账!$N$4:$S$603,519,5)))</f>
        <v/>
      </c>
      <c r="I1947" s="27" t="str">
        <f>IF($E1947="","",N(INDEX(资金日记账!$N$4:$S$603,519,6)))</f>
        <v/>
      </c>
      <c r="J1947" s="26" t="str">
        <f>IF($E1947="","",INDEX(资金日记账!$E$4:$E$603,519))</f>
        <v/>
      </c>
      <c r="K1947" s="26" t="str">
        <f>IF($E1947="","",INDEX(资金日记账!$F$4:$F$603,519))</f>
        <v/>
      </c>
      <c r="L1947" s="32" t="str">
        <f>IF($E1947="","",INDEX(资金日记账!$X$4:$X$603,519))</f>
        <v/>
      </c>
      <c r="M1947" s="32"/>
      <c r="N1947" s="26" t="str">
        <f>IF($E1947="","",INDEX(资金日记账!$Y$4:$Y$603,519))</f>
        <v/>
      </c>
      <c r="O1947" s="26" t="str">
        <f t="shared" si="92"/>
        <v/>
      </c>
      <c r="P1947" s="10"/>
    </row>
    <row r="1948" ht="18" customHeight="1" spans="1:16">
      <c r="A1948" s="32" t="str">
        <f t="shared" si="91"/>
        <v/>
      </c>
      <c r="B1948" s="100" t="str">
        <f>IF($E1948="","",INDEX(资金日记账!$B$4:$B$603,520))</f>
        <v/>
      </c>
      <c r="C1948" s="26" t="str">
        <f>IF($E1948="","",IF(INDEX(资金日记账!$W$4:$W$603,520)="","记-"&amp;TEXT($B1948,"YYYYMM")&amp;"-资金",INDEX(资金日记账!$W$4:$W$603,520)))</f>
        <v/>
      </c>
      <c r="D1948" s="32" t="str">
        <f>IF($E1948="","",INDEX(资金日记账!$D$4:$D$603,520))</f>
        <v/>
      </c>
      <c r="E1948" s="26" t="str">
        <f>IF(INDEX(资金日记账!$N$4:$S$603,520,1)=0,"",INDEX(资金日记账!$N$4:$S$603,520,1))</f>
        <v/>
      </c>
      <c r="F1948" s="25" t="str">
        <f>IF($E1948="","",IFERROR(INDEX(科目表!$A$4:$A$81,MATCH($E1948,科目表!$B$4:$B$81,0)),""))</f>
        <v/>
      </c>
      <c r="G1948" s="26" t="str">
        <f>IF($E1948="","",IFERROR(INDEX(科目表!$E$4:$E$81,MATCH($E1948,科目表!$B$4:$B$81,0)),""))</f>
        <v/>
      </c>
      <c r="H1948" s="27" t="str">
        <f>IF($E1948="","",N(INDEX(资金日记账!$N$4:$S$603,520,2)))</f>
        <v/>
      </c>
      <c r="I1948" s="27" t="str">
        <f>IF($E1948="","",N(INDEX(资金日记账!$N$4:$S$603,520,3)))</f>
        <v/>
      </c>
      <c r="J1948" s="26" t="str">
        <f>IF($E1948="","",INDEX(资金日记账!$E$4:$E$603,520))</f>
        <v/>
      </c>
      <c r="K1948" s="26" t="str">
        <f>IF($E1948="","",INDEX(资金日记账!$F$4:$F$603,520))</f>
        <v/>
      </c>
      <c r="L1948" s="32" t="str">
        <f>IF($E1948="","",INDEX(资金日记账!$X$4:$X$603,520))</f>
        <v/>
      </c>
      <c r="M1948" s="32"/>
      <c r="N1948" s="26" t="str">
        <f>IF($E1948="","",INDEX(资金日记账!$Y$4:$Y$603,520))</f>
        <v/>
      </c>
      <c r="O1948" s="26" t="str">
        <f t="shared" si="92"/>
        <v/>
      </c>
      <c r="P1948" s="10"/>
    </row>
    <row r="1949" ht="18" customHeight="1" spans="1:16">
      <c r="A1949" s="32" t="str">
        <f t="shared" si="91"/>
        <v/>
      </c>
      <c r="B1949" s="100" t="str">
        <f>IF($E1949="","",INDEX(资金日记账!$B$4:$B$603,520))</f>
        <v/>
      </c>
      <c r="C1949" s="26" t="str">
        <f>IF($E1949="","",IF(INDEX(资金日记账!$W$4:$W$603,520)="","记-"&amp;TEXT($B1949,"YYYYMM")&amp;"-资金",INDEX(资金日记账!$W$4:$W$603,520)))</f>
        <v/>
      </c>
      <c r="D1949" s="32" t="str">
        <f>IF($E1949="","",INDEX(资金日记账!$D$4:$D$603,520))</f>
        <v/>
      </c>
      <c r="E1949" s="26" t="str">
        <f>IF(INDEX(资金日记账!$N$4:$S$603,520,4)=0,"",INDEX(资金日记账!$N$4:$S$603,520,4))</f>
        <v/>
      </c>
      <c r="F1949" s="25" t="str">
        <f>IF($E1949="","",IFERROR(INDEX(科目表!$A$4:$A$81,MATCH($E1949,科目表!$B$4:$B$81,0)),""))</f>
        <v/>
      </c>
      <c r="G1949" s="26" t="str">
        <f>IF($E1949="","",IFERROR(INDEX(科目表!$E$4:$E$81,MATCH($E1949,科目表!$B$4:$B$81,0)),""))</f>
        <v/>
      </c>
      <c r="H1949" s="27" t="str">
        <f>IF($E1949="","",N(INDEX(资金日记账!$N$4:$S$603,520,5)))</f>
        <v/>
      </c>
      <c r="I1949" s="27" t="str">
        <f>IF($E1949="","",N(INDEX(资金日记账!$N$4:$S$603,520,6)))</f>
        <v/>
      </c>
      <c r="J1949" s="26" t="str">
        <f>IF($E1949="","",INDEX(资金日记账!$E$4:$E$603,520))</f>
        <v/>
      </c>
      <c r="K1949" s="26" t="str">
        <f>IF($E1949="","",INDEX(资金日记账!$F$4:$F$603,520))</f>
        <v/>
      </c>
      <c r="L1949" s="32" t="str">
        <f>IF($E1949="","",INDEX(资金日记账!$X$4:$X$603,520))</f>
        <v/>
      </c>
      <c r="M1949" s="32"/>
      <c r="N1949" s="26" t="str">
        <f>IF($E1949="","",INDEX(资金日记账!$Y$4:$Y$603,520))</f>
        <v/>
      </c>
      <c r="O1949" s="26" t="str">
        <f t="shared" si="92"/>
        <v/>
      </c>
      <c r="P1949" s="10"/>
    </row>
    <row r="1950" ht="18" customHeight="1" spans="1:16">
      <c r="A1950" s="32" t="str">
        <f t="shared" si="91"/>
        <v/>
      </c>
      <c r="B1950" s="100" t="str">
        <f>IF($E1950="","",INDEX(资金日记账!$B$4:$B$603,521))</f>
        <v/>
      </c>
      <c r="C1950" s="26" t="str">
        <f>IF($E1950="","",IF(INDEX(资金日记账!$W$4:$W$603,521)="","记-"&amp;TEXT($B1950,"YYYYMM")&amp;"-资金",INDEX(资金日记账!$W$4:$W$603,521)))</f>
        <v/>
      </c>
      <c r="D1950" s="32" t="str">
        <f>IF($E1950="","",INDEX(资金日记账!$D$4:$D$603,521))</f>
        <v/>
      </c>
      <c r="E1950" s="26" t="str">
        <f>IF(INDEX(资金日记账!$N$4:$S$603,521,1)=0,"",INDEX(资金日记账!$N$4:$S$603,521,1))</f>
        <v/>
      </c>
      <c r="F1950" s="25" t="str">
        <f>IF($E1950="","",IFERROR(INDEX(科目表!$A$4:$A$81,MATCH($E1950,科目表!$B$4:$B$81,0)),""))</f>
        <v/>
      </c>
      <c r="G1950" s="26" t="str">
        <f>IF($E1950="","",IFERROR(INDEX(科目表!$E$4:$E$81,MATCH($E1950,科目表!$B$4:$B$81,0)),""))</f>
        <v/>
      </c>
      <c r="H1950" s="27" t="str">
        <f>IF($E1950="","",N(INDEX(资金日记账!$N$4:$S$603,521,2)))</f>
        <v/>
      </c>
      <c r="I1950" s="27" t="str">
        <f>IF($E1950="","",N(INDEX(资金日记账!$N$4:$S$603,521,3)))</f>
        <v/>
      </c>
      <c r="J1950" s="26" t="str">
        <f>IF($E1950="","",INDEX(资金日记账!$E$4:$E$603,521))</f>
        <v/>
      </c>
      <c r="K1950" s="26" t="str">
        <f>IF($E1950="","",INDEX(资金日记账!$F$4:$F$603,521))</f>
        <v/>
      </c>
      <c r="L1950" s="32" t="str">
        <f>IF($E1950="","",INDEX(资金日记账!$X$4:$X$603,521))</f>
        <v/>
      </c>
      <c r="M1950" s="32"/>
      <c r="N1950" s="26" t="str">
        <f>IF($E1950="","",INDEX(资金日记账!$Y$4:$Y$603,521))</f>
        <v/>
      </c>
      <c r="O1950" s="26" t="str">
        <f t="shared" si="92"/>
        <v/>
      </c>
      <c r="P1950" s="10"/>
    </row>
    <row r="1951" ht="18" customHeight="1" spans="1:16">
      <c r="A1951" s="32" t="str">
        <f t="shared" si="91"/>
        <v/>
      </c>
      <c r="B1951" s="100" t="str">
        <f>IF($E1951="","",INDEX(资金日记账!$B$4:$B$603,521))</f>
        <v/>
      </c>
      <c r="C1951" s="26" t="str">
        <f>IF($E1951="","",IF(INDEX(资金日记账!$W$4:$W$603,521)="","记-"&amp;TEXT($B1951,"YYYYMM")&amp;"-资金",INDEX(资金日记账!$W$4:$W$603,521)))</f>
        <v/>
      </c>
      <c r="D1951" s="32" t="str">
        <f>IF($E1951="","",INDEX(资金日记账!$D$4:$D$603,521))</f>
        <v/>
      </c>
      <c r="E1951" s="26" t="str">
        <f>IF(INDEX(资金日记账!$N$4:$S$603,521,4)=0,"",INDEX(资金日记账!$N$4:$S$603,521,4))</f>
        <v/>
      </c>
      <c r="F1951" s="25" t="str">
        <f>IF($E1951="","",IFERROR(INDEX(科目表!$A$4:$A$81,MATCH($E1951,科目表!$B$4:$B$81,0)),""))</f>
        <v/>
      </c>
      <c r="G1951" s="26" t="str">
        <f>IF($E1951="","",IFERROR(INDEX(科目表!$E$4:$E$81,MATCH($E1951,科目表!$B$4:$B$81,0)),""))</f>
        <v/>
      </c>
      <c r="H1951" s="27" t="str">
        <f>IF($E1951="","",N(INDEX(资金日记账!$N$4:$S$603,521,5)))</f>
        <v/>
      </c>
      <c r="I1951" s="27" t="str">
        <f>IF($E1951="","",N(INDEX(资金日记账!$N$4:$S$603,521,6)))</f>
        <v/>
      </c>
      <c r="J1951" s="26" t="str">
        <f>IF($E1951="","",INDEX(资金日记账!$E$4:$E$603,521))</f>
        <v/>
      </c>
      <c r="K1951" s="26" t="str">
        <f>IF($E1951="","",INDEX(资金日记账!$F$4:$F$603,521))</f>
        <v/>
      </c>
      <c r="L1951" s="32" t="str">
        <f>IF($E1951="","",INDEX(资金日记账!$X$4:$X$603,521))</f>
        <v/>
      </c>
      <c r="M1951" s="32"/>
      <c r="N1951" s="26" t="str">
        <f>IF($E1951="","",INDEX(资金日记账!$Y$4:$Y$603,521))</f>
        <v/>
      </c>
      <c r="O1951" s="26" t="str">
        <f t="shared" si="92"/>
        <v/>
      </c>
      <c r="P1951" s="10"/>
    </row>
    <row r="1952" ht="18" customHeight="1" spans="1:16">
      <c r="A1952" s="32" t="str">
        <f t="shared" si="91"/>
        <v/>
      </c>
      <c r="B1952" s="100" t="str">
        <f>IF($E1952="","",INDEX(资金日记账!$B$4:$B$603,522))</f>
        <v/>
      </c>
      <c r="C1952" s="26" t="str">
        <f>IF($E1952="","",IF(INDEX(资金日记账!$W$4:$W$603,522)="","记-"&amp;TEXT($B1952,"YYYYMM")&amp;"-资金",INDEX(资金日记账!$W$4:$W$603,522)))</f>
        <v/>
      </c>
      <c r="D1952" s="32" t="str">
        <f>IF($E1952="","",INDEX(资金日记账!$D$4:$D$603,522))</f>
        <v/>
      </c>
      <c r="E1952" s="26" t="str">
        <f>IF(INDEX(资金日记账!$N$4:$S$603,522,1)=0,"",INDEX(资金日记账!$N$4:$S$603,522,1))</f>
        <v/>
      </c>
      <c r="F1952" s="25" t="str">
        <f>IF($E1952="","",IFERROR(INDEX(科目表!$A$4:$A$81,MATCH($E1952,科目表!$B$4:$B$81,0)),""))</f>
        <v/>
      </c>
      <c r="G1952" s="26" t="str">
        <f>IF($E1952="","",IFERROR(INDEX(科目表!$E$4:$E$81,MATCH($E1952,科目表!$B$4:$B$81,0)),""))</f>
        <v/>
      </c>
      <c r="H1952" s="27" t="str">
        <f>IF($E1952="","",N(INDEX(资金日记账!$N$4:$S$603,522,2)))</f>
        <v/>
      </c>
      <c r="I1952" s="27" t="str">
        <f>IF($E1952="","",N(INDEX(资金日记账!$N$4:$S$603,522,3)))</f>
        <v/>
      </c>
      <c r="J1952" s="26" t="str">
        <f>IF($E1952="","",INDEX(资金日记账!$E$4:$E$603,522))</f>
        <v/>
      </c>
      <c r="K1952" s="26" t="str">
        <f>IF($E1952="","",INDEX(资金日记账!$F$4:$F$603,522))</f>
        <v/>
      </c>
      <c r="L1952" s="32" t="str">
        <f>IF($E1952="","",INDEX(资金日记账!$X$4:$X$603,522))</f>
        <v/>
      </c>
      <c r="M1952" s="32"/>
      <c r="N1952" s="26" t="str">
        <f>IF($E1952="","",INDEX(资金日记账!$Y$4:$Y$603,522))</f>
        <v/>
      </c>
      <c r="O1952" s="26" t="str">
        <f t="shared" si="92"/>
        <v/>
      </c>
      <c r="P1952" s="10"/>
    </row>
    <row r="1953" ht="18" customHeight="1" spans="1:16">
      <c r="A1953" s="32" t="str">
        <f t="shared" si="91"/>
        <v/>
      </c>
      <c r="B1953" s="100" t="str">
        <f>IF($E1953="","",INDEX(资金日记账!$B$4:$B$603,522))</f>
        <v/>
      </c>
      <c r="C1953" s="26" t="str">
        <f>IF($E1953="","",IF(INDEX(资金日记账!$W$4:$W$603,522)="","记-"&amp;TEXT($B1953,"YYYYMM")&amp;"-资金",INDEX(资金日记账!$W$4:$W$603,522)))</f>
        <v/>
      </c>
      <c r="D1953" s="32" t="str">
        <f>IF($E1953="","",INDEX(资金日记账!$D$4:$D$603,522))</f>
        <v/>
      </c>
      <c r="E1953" s="26" t="str">
        <f>IF(INDEX(资金日记账!$N$4:$S$603,522,4)=0,"",INDEX(资金日记账!$N$4:$S$603,522,4))</f>
        <v/>
      </c>
      <c r="F1953" s="25" t="str">
        <f>IF($E1953="","",IFERROR(INDEX(科目表!$A$4:$A$81,MATCH($E1953,科目表!$B$4:$B$81,0)),""))</f>
        <v/>
      </c>
      <c r="G1953" s="26" t="str">
        <f>IF($E1953="","",IFERROR(INDEX(科目表!$E$4:$E$81,MATCH($E1953,科目表!$B$4:$B$81,0)),""))</f>
        <v/>
      </c>
      <c r="H1953" s="27" t="str">
        <f>IF($E1953="","",N(INDEX(资金日记账!$N$4:$S$603,522,5)))</f>
        <v/>
      </c>
      <c r="I1953" s="27" t="str">
        <f>IF($E1953="","",N(INDEX(资金日记账!$N$4:$S$603,522,6)))</f>
        <v/>
      </c>
      <c r="J1953" s="26" t="str">
        <f>IF($E1953="","",INDEX(资金日记账!$E$4:$E$603,522))</f>
        <v/>
      </c>
      <c r="K1953" s="26" t="str">
        <f>IF($E1953="","",INDEX(资金日记账!$F$4:$F$603,522))</f>
        <v/>
      </c>
      <c r="L1953" s="32" t="str">
        <f>IF($E1953="","",INDEX(资金日记账!$X$4:$X$603,522))</f>
        <v/>
      </c>
      <c r="M1953" s="32"/>
      <c r="N1953" s="26" t="str">
        <f>IF($E1953="","",INDEX(资金日记账!$Y$4:$Y$603,522))</f>
        <v/>
      </c>
      <c r="O1953" s="26" t="str">
        <f t="shared" si="92"/>
        <v/>
      </c>
      <c r="P1953" s="10"/>
    </row>
    <row r="1954" ht="18" customHeight="1" spans="1:16">
      <c r="A1954" s="32" t="str">
        <f t="shared" si="91"/>
        <v/>
      </c>
      <c r="B1954" s="100" t="str">
        <f>IF($E1954="","",INDEX(资金日记账!$B$4:$B$603,523))</f>
        <v/>
      </c>
      <c r="C1954" s="26" t="str">
        <f>IF($E1954="","",IF(INDEX(资金日记账!$W$4:$W$603,523)="","记-"&amp;TEXT($B1954,"YYYYMM")&amp;"-资金",INDEX(资金日记账!$W$4:$W$603,523)))</f>
        <v/>
      </c>
      <c r="D1954" s="32" t="str">
        <f>IF($E1954="","",INDEX(资金日记账!$D$4:$D$603,523))</f>
        <v/>
      </c>
      <c r="E1954" s="26" t="str">
        <f>IF(INDEX(资金日记账!$N$4:$S$603,523,1)=0,"",INDEX(资金日记账!$N$4:$S$603,523,1))</f>
        <v/>
      </c>
      <c r="F1954" s="25" t="str">
        <f>IF($E1954="","",IFERROR(INDEX(科目表!$A$4:$A$81,MATCH($E1954,科目表!$B$4:$B$81,0)),""))</f>
        <v/>
      </c>
      <c r="G1954" s="26" t="str">
        <f>IF($E1954="","",IFERROR(INDEX(科目表!$E$4:$E$81,MATCH($E1954,科目表!$B$4:$B$81,0)),""))</f>
        <v/>
      </c>
      <c r="H1954" s="27" t="str">
        <f>IF($E1954="","",N(INDEX(资金日记账!$N$4:$S$603,523,2)))</f>
        <v/>
      </c>
      <c r="I1954" s="27" t="str">
        <f>IF($E1954="","",N(INDEX(资金日记账!$N$4:$S$603,523,3)))</f>
        <v/>
      </c>
      <c r="J1954" s="26" t="str">
        <f>IF($E1954="","",INDEX(资金日记账!$E$4:$E$603,523))</f>
        <v/>
      </c>
      <c r="K1954" s="26" t="str">
        <f>IF($E1954="","",INDEX(资金日记账!$F$4:$F$603,523))</f>
        <v/>
      </c>
      <c r="L1954" s="32" t="str">
        <f>IF($E1954="","",INDEX(资金日记账!$X$4:$X$603,523))</f>
        <v/>
      </c>
      <c r="M1954" s="32"/>
      <c r="N1954" s="26" t="str">
        <f>IF($E1954="","",INDEX(资金日记账!$Y$4:$Y$603,523))</f>
        <v/>
      </c>
      <c r="O1954" s="26" t="str">
        <f t="shared" si="92"/>
        <v/>
      </c>
      <c r="P1954" s="10"/>
    </row>
    <row r="1955" ht="18" customHeight="1" spans="1:16">
      <c r="A1955" s="32" t="str">
        <f t="shared" si="91"/>
        <v/>
      </c>
      <c r="B1955" s="100" t="str">
        <f>IF($E1955="","",INDEX(资金日记账!$B$4:$B$603,523))</f>
        <v/>
      </c>
      <c r="C1955" s="26" t="str">
        <f>IF($E1955="","",IF(INDEX(资金日记账!$W$4:$W$603,523)="","记-"&amp;TEXT($B1955,"YYYYMM")&amp;"-资金",INDEX(资金日记账!$W$4:$W$603,523)))</f>
        <v/>
      </c>
      <c r="D1955" s="32" t="str">
        <f>IF($E1955="","",INDEX(资金日记账!$D$4:$D$603,523))</f>
        <v/>
      </c>
      <c r="E1955" s="26" t="str">
        <f>IF(INDEX(资金日记账!$N$4:$S$603,523,4)=0,"",INDEX(资金日记账!$N$4:$S$603,523,4))</f>
        <v/>
      </c>
      <c r="F1955" s="25" t="str">
        <f>IF($E1955="","",IFERROR(INDEX(科目表!$A$4:$A$81,MATCH($E1955,科目表!$B$4:$B$81,0)),""))</f>
        <v/>
      </c>
      <c r="G1955" s="26" t="str">
        <f>IF($E1955="","",IFERROR(INDEX(科目表!$E$4:$E$81,MATCH($E1955,科目表!$B$4:$B$81,0)),""))</f>
        <v/>
      </c>
      <c r="H1955" s="27" t="str">
        <f>IF($E1955="","",N(INDEX(资金日记账!$N$4:$S$603,523,5)))</f>
        <v/>
      </c>
      <c r="I1955" s="27" t="str">
        <f>IF($E1955="","",N(INDEX(资金日记账!$N$4:$S$603,523,6)))</f>
        <v/>
      </c>
      <c r="J1955" s="26" t="str">
        <f>IF($E1955="","",INDEX(资金日记账!$E$4:$E$603,523))</f>
        <v/>
      </c>
      <c r="K1955" s="26" t="str">
        <f>IF($E1955="","",INDEX(资金日记账!$F$4:$F$603,523))</f>
        <v/>
      </c>
      <c r="L1955" s="32" t="str">
        <f>IF($E1955="","",INDEX(资金日记账!$X$4:$X$603,523))</f>
        <v/>
      </c>
      <c r="M1955" s="32"/>
      <c r="N1955" s="26" t="str">
        <f>IF($E1955="","",INDEX(资金日记账!$Y$4:$Y$603,523))</f>
        <v/>
      </c>
      <c r="O1955" s="26" t="str">
        <f t="shared" si="92"/>
        <v/>
      </c>
      <c r="P1955" s="10"/>
    </row>
    <row r="1956" ht="18" customHeight="1" spans="1:16">
      <c r="A1956" s="32" t="str">
        <f t="shared" si="91"/>
        <v/>
      </c>
      <c r="B1956" s="100" t="str">
        <f>IF($E1956="","",INDEX(资金日记账!$B$4:$B$603,524))</f>
        <v/>
      </c>
      <c r="C1956" s="26" t="str">
        <f>IF($E1956="","",IF(INDEX(资金日记账!$W$4:$W$603,524)="","记-"&amp;TEXT($B1956,"YYYYMM")&amp;"-资金",INDEX(资金日记账!$W$4:$W$603,524)))</f>
        <v/>
      </c>
      <c r="D1956" s="32" t="str">
        <f>IF($E1956="","",INDEX(资金日记账!$D$4:$D$603,524))</f>
        <v/>
      </c>
      <c r="E1956" s="26" t="str">
        <f>IF(INDEX(资金日记账!$N$4:$S$603,524,1)=0,"",INDEX(资金日记账!$N$4:$S$603,524,1))</f>
        <v/>
      </c>
      <c r="F1956" s="25" t="str">
        <f>IF($E1956="","",IFERROR(INDEX(科目表!$A$4:$A$81,MATCH($E1956,科目表!$B$4:$B$81,0)),""))</f>
        <v/>
      </c>
      <c r="G1956" s="26" t="str">
        <f>IF($E1956="","",IFERROR(INDEX(科目表!$E$4:$E$81,MATCH($E1956,科目表!$B$4:$B$81,0)),""))</f>
        <v/>
      </c>
      <c r="H1956" s="27" t="str">
        <f>IF($E1956="","",N(INDEX(资金日记账!$N$4:$S$603,524,2)))</f>
        <v/>
      </c>
      <c r="I1956" s="27" t="str">
        <f>IF($E1956="","",N(INDEX(资金日记账!$N$4:$S$603,524,3)))</f>
        <v/>
      </c>
      <c r="J1956" s="26" t="str">
        <f>IF($E1956="","",INDEX(资金日记账!$E$4:$E$603,524))</f>
        <v/>
      </c>
      <c r="K1956" s="26" t="str">
        <f>IF($E1956="","",INDEX(资金日记账!$F$4:$F$603,524))</f>
        <v/>
      </c>
      <c r="L1956" s="32" t="str">
        <f>IF($E1956="","",INDEX(资金日记账!$X$4:$X$603,524))</f>
        <v/>
      </c>
      <c r="M1956" s="32"/>
      <c r="N1956" s="26" t="str">
        <f>IF($E1956="","",INDEX(资金日记账!$Y$4:$Y$603,524))</f>
        <v/>
      </c>
      <c r="O1956" s="26" t="str">
        <f t="shared" si="92"/>
        <v/>
      </c>
      <c r="P1956" s="10"/>
    </row>
    <row r="1957" ht="18" customHeight="1" spans="1:16">
      <c r="A1957" s="32" t="str">
        <f t="shared" si="91"/>
        <v/>
      </c>
      <c r="B1957" s="100" t="str">
        <f>IF($E1957="","",INDEX(资金日记账!$B$4:$B$603,524))</f>
        <v/>
      </c>
      <c r="C1957" s="26" t="str">
        <f>IF($E1957="","",IF(INDEX(资金日记账!$W$4:$W$603,524)="","记-"&amp;TEXT($B1957,"YYYYMM")&amp;"-资金",INDEX(资金日记账!$W$4:$W$603,524)))</f>
        <v/>
      </c>
      <c r="D1957" s="32" t="str">
        <f>IF($E1957="","",INDEX(资金日记账!$D$4:$D$603,524))</f>
        <v/>
      </c>
      <c r="E1957" s="26" t="str">
        <f>IF(INDEX(资金日记账!$N$4:$S$603,524,4)=0,"",INDEX(资金日记账!$N$4:$S$603,524,4))</f>
        <v/>
      </c>
      <c r="F1957" s="25" t="str">
        <f>IF($E1957="","",IFERROR(INDEX(科目表!$A$4:$A$81,MATCH($E1957,科目表!$B$4:$B$81,0)),""))</f>
        <v/>
      </c>
      <c r="G1957" s="26" t="str">
        <f>IF($E1957="","",IFERROR(INDEX(科目表!$E$4:$E$81,MATCH($E1957,科目表!$B$4:$B$81,0)),""))</f>
        <v/>
      </c>
      <c r="H1957" s="27" t="str">
        <f>IF($E1957="","",N(INDEX(资金日记账!$N$4:$S$603,524,5)))</f>
        <v/>
      </c>
      <c r="I1957" s="27" t="str">
        <f>IF($E1957="","",N(INDEX(资金日记账!$N$4:$S$603,524,6)))</f>
        <v/>
      </c>
      <c r="J1957" s="26" t="str">
        <f>IF($E1957="","",INDEX(资金日记账!$E$4:$E$603,524))</f>
        <v/>
      </c>
      <c r="K1957" s="26" t="str">
        <f>IF($E1957="","",INDEX(资金日记账!$F$4:$F$603,524))</f>
        <v/>
      </c>
      <c r="L1957" s="32" t="str">
        <f>IF($E1957="","",INDEX(资金日记账!$X$4:$X$603,524))</f>
        <v/>
      </c>
      <c r="M1957" s="32"/>
      <c r="N1957" s="26" t="str">
        <f>IF($E1957="","",INDEX(资金日记账!$Y$4:$Y$603,524))</f>
        <v/>
      </c>
      <c r="O1957" s="26" t="str">
        <f t="shared" si="92"/>
        <v/>
      </c>
      <c r="P1957" s="10"/>
    </row>
    <row r="1958" ht="18" customHeight="1" spans="1:16">
      <c r="A1958" s="32" t="str">
        <f t="shared" si="91"/>
        <v/>
      </c>
      <c r="B1958" s="100" t="str">
        <f>IF($E1958="","",INDEX(资金日记账!$B$4:$B$603,525))</f>
        <v/>
      </c>
      <c r="C1958" s="26" t="str">
        <f>IF($E1958="","",IF(INDEX(资金日记账!$W$4:$W$603,525)="","记-"&amp;TEXT($B1958,"YYYYMM")&amp;"-资金",INDEX(资金日记账!$W$4:$W$603,525)))</f>
        <v/>
      </c>
      <c r="D1958" s="32" t="str">
        <f>IF($E1958="","",INDEX(资金日记账!$D$4:$D$603,525))</f>
        <v/>
      </c>
      <c r="E1958" s="26" t="str">
        <f>IF(INDEX(资金日记账!$N$4:$S$603,525,1)=0,"",INDEX(资金日记账!$N$4:$S$603,525,1))</f>
        <v/>
      </c>
      <c r="F1958" s="25" t="str">
        <f>IF($E1958="","",IFERROR(INDEX(科目表!$A$4:$A$81,MATCH($E1958,科目表!$B$4:$B$81,0)),""))</f>
        <v/>
      </c>
      <c r="G1958" s="26" t="str">
        <f>IF($E1958="","",IFERROR(INDEX(科目表!$E$4:$E$81,MATCH($E1958,科目表!$B$4:$B$81,0)),""))</f>
        <v/>
      </c>
      <c r="H1958" s="27" t="str">
        <f>IF($E1958="","",N(INDEX(资金日记账!$N$4:$S$603,525,2)))</f>
        <v/>
      </c>
      <c r="I1958" s="27" t="str">
        <f>IF($E1958="","",N(INDEX(资金日记账!$N$4:$S$603,525,3)))</f>
        <v/>
      </c>
      <c r="J1958" s="26" t="str">
        <f>IF($E1958="","",INDEX(资金日记账!$E$4:$E$603,525))</f>
        <v/>
      </c>
      <c r="K1958" s="26" t="str">
        <f>IF($E1958="","",INDEX(资金日记账!$F$4:$F$603,525))</f>
        <v/>
      </c>
      <c r="L1958" s="32" t="str">
        <f>IF($E1958="","",INDEX(资金日记账!$X$4:$X$603,525))</f>
        <v/>
      </c>
      <c r="M1958" s="32"/>
      <c r="N1958" s="26" t="str">
        <f>IF($E1958="","",INDEX(资金日记账!$Y$4:$Y$603,525))</f>
        <v/>
      </c>
      <c r="O1958" s="26" t="str">
        <f t="shared" si="92"/>
        <v/>
      </c>
      <c r="P1958" s="10"/>
    </row>
    <row r="1959" ht="18" customHeight="1" spans="1:16">
      <c r="A1959" s="32" t="str">
        <f t="shared" si="91"/>
        <v/>
      </c>
      <c r="B1959" s="100" t="str">
        <f>IF($E1959="","",INDEX(资金日记账!$B$4:$B$603,525))</f>
        <v/>
      </c>
      <c r="C1959" s="26" t="str">
        <f>IF($E1959="","",IF(INDEX(资金日记账!$W$4:$W$603,525)="","记-"&amp;TEXT($B1959,"YYYYMM")&amp;"-资金",INDEX(资金日记账!$W$4:$W$603,525)))</f>
        <v/>
      </c>
      <c r="D1959" s="32" t="str">
        <f>IF($E1959="","",INDEX(资金日记账!$D$4:$D$603,525))</f>
        <v/>
      </c>
      <c r="E1959" s="26" t="str">
        <f>IF(INDEX(资金日记账!$N$4:$S$603,525,4)=0,"",INDEX(资金日记账!$N$4:$S$603,525,4))</f>
        <v/>
      </c>
      <c r="F1959" s="25" t="str">
        <f>IF($E1959="","",IFERROR(INDEX(科目表!$A$4:$A$81,MATCH($E1959,科目表!$B$4:$B$81,0)),""))</f>
        <v/>
      </c>
      <c r="G1959" s="26" t="str">
        <f>IF($E1959="","",IFERROR(INDEX(科目表!$E$4:$E$81,MATCH($E1959,科目表!$B$4:$B$81,0)),""))</f>
        <v/>
      </c>
      <c r="H1959" s="27" t="str">
        <f>IF($E1959="","",N(INDEX(资金日记账!$N$4:$S$603,525,5)))</f>
        <v/>
      </c>
      <c r="I1959" s="27" t="str">
        <f>IF($E1959="","",N(INDEX(资金日记账!$N$4:$S$603,525,6)))</f>
        <v/>
      </c>
      <c r="J1959" s="26" t="str">
        <f>IF($E1959="","",INDEX(资金日记账!$E$4:$E$603,525))</f>
        <v/>
      </c>
      <c r="K1959" s="26" t="str">
        <f>IF($E1959="","",INDEX(资金日记账!$F$4:$F$603,525))</f>
        <v/>
      </c>
      <c r="L1959" s="32" t="str">
        <f>IF($E1959="","",INDEX(资金日记账!$X$4:$X$603,525))</f>
        <v/>
      </c>
      <c r="M1959" s="32"/>
      <c r="N1959" s="26" t="str">
        <f>IF($E1959="","",INDEX(资金日记账!$Y$4:$Y$603,525))</f>
        <v/>
      </c>
      <c r="O1959" s="26" t="str">
        <f t="shared" si="92"/>
        <v/>
      </c>
      <c r="P1959" s="10"/>
    </row>
    <row r="1960" ht="18" customHeight="1" spans="1:16">
      <c r="A1960" s="32" t="str">
        <f t="shared" si="91"/>
        <v/>
      </c>
      <c r="B1960" s="100" t="str">
        <f>IF($E1960="","",INDEX(资金日记账!$B$4:$B$603,526))</f>
        <v/>
      </c>
      <c r="C1960" s="26" t="str">
        <f>IF($E1960="","",IF(INDEX(资金日记账!$W$4:$W$603,526)="","记-"&amp;TEXT($B1960,"YYYYMM")&amp;"-资金",INDEX(资金日记账!$W$4:$W$603,526)))</f>
        <v/>
      </c>
      <c r="D1960" s="32" t="str">
        <f>IF($E1960="","",INDEX(资金日记账!$D$4:$D$603,526))</f>
        <v/>
      </c>
      <c r="E1960" s="26" t="str">
        <f>IF(INDEX(资金日记账!$N$4:$S$603,526,1)=0,"",INDEX(资金日记账!$N$4:$S$603,526,1))</f>
        <v/>
      </c>
      <c r="F1960" s="25" t="str">
        <f>IF($E1960="","",IFERROR(INDEX(科目表!$A$4:$A$81,MATCH($E1960,科目表!$B$4:$B$81,0)),""))</f>
        <v/>
      </c>
      <c r="G1960" s="26" t="str">
        <f>IF($E1960="","",IFERROR(INDEX(科目表!$E$4:$E$81,MATCH($E1960,科目表!$B$4:$B$81,0)),""))</f>
        <v/>
      </c>
      <c r="H1960" s="27" t="str">
        <f>IF($E1960="","",N(INDEX(资金日记账!$N$4:$S$603,526,2)))</f>
        <v/>
      </c>
      <c r="I1960" s="27" t="str">
        <f>IF($E1960="","",N(INDEX(资金日记账!$N$4:$S$603,526,3)))</f>
        <v/>
      </c>
      <c r="J1960" s="26" t="str">
        <f>IF($E1960="","",INDEX(资金日记账!$E$4:$E$603,526))</f>
        <v/>
      </c>
      <c r="K1960" s="26" t="str">
        <f>IF($E1960="","",INDEX(资金日记账!$F$4:$F$603,526))</f>
        <v/>
      </c>
      <c r="L1960" s="32" t="str">
        <f>IF($E1960="","",INDEX(资金日记账!$X$4:$X$603,526))</f>
        <v/>
      </c>
      <c r="M1960" s="32"/>
      <c r="N1960" s="26" t="str">
        <f>IF($E1960="","",INDEX(资金日记账!$Y$4:$Y$603,526))</f>
        <v/>
      </c>
      <c r="O1960" s="26" t="str">
        <f t="shared" si="92"/>
        <v/>
      </c>
      <c r="P1960" s="10"/>
    </row>
    <row r="1961" ht="18" customHeight="1" spans="1:16">
      <c r="A1961" s="32" t="str">
        <f t="shared" si="91"/>
        <v/>
      </c>
      <c r="B1961" s="100" t="str">
        <f>IF($E1961="","",INDEX(资金日记账!$B$4:$B$603,526))</f>
        <v/>
      </c>
      <c r="C1961" s="26" t="str">
        <f>IF($E1961="","",IF(INDEX(资金日记账!$W$4:$W$603,526)="","记-"&amp;TEXT($B1961,"YYYYMM")&amp;"-资金",INDEX(资金日记账!$W$4:$W$603,526)))</f>
        <v/>
      </c>
      <c r="D1961" s="32" t="str">
        <f>IF($E1961="","",INDEX(资金日记账!$D$4:$D$603,526))</f>
        <v/>
      </c>
      <c r="E1961" s="26" t="str">
        <f>IF(INDEX(资金日记账!$N$4:$S$603,526,4)=0,"",INDEX(资金日记账!$N$4:$S$603,526,4))</f>
        <v/>
      </c>
      <c r="F1961" s="25" t="str">
        <f>IF($E1961="","",IFERROR(INDEX(科目表!$A$4:$A$81,MATCH($E1961,科目表!$B$4:$B$81,0)),""))</f>
        <v/>
      </c>
      <c r="G1961" s="26" t="str">
        <f>IF($E1961="","",IFERROR(INDEX(科目表!$E$4:$E$81,MATCH($E1961,科目表!$B$4:$B$81,0)),""))</f>
        <v/>
      </c>
      <c r="H1961" s="27" t="str">
        <f>IF($E1961="","",N(INDEX(资金日记账!$N$4:$S$603,526,5)))</f>
        <v/>
      </c>
      <c r="I1961" s="27" t="str">
        <f>IF($E1961="","",N(INDEX(资金日记账!$N$4:$S$603,526,6)))</f>
        <v/>
      </c>
      <c r="J1961" s="26" t="str">
        <f>IF($E1961="","",INDEX(资金日记账!$E$4:$E$603,526))</f>
        <v/>
      </c>
      <c r="K1961" s="26" t="str">
        <f>IF($E1961="","",INDEX(资金日记账!$F$4:$F$603,526))</f>
        <v/>
      </c>
      <c r="L1961" s="32" t="str">
        <f>IF($E1961="","",INDEX(资金日记账!$X$4:$X$603,526))</f>
        <v/>
      </c>
      <c r="M1961" s="32"/>
      <c r="N1961" s="26" t="str">
        <f>IF($E1961="","",INDEX(资金日记账!$Y$4:$Y$603,526))</f>
        <v/>
      </c>
      <c r="O1961" s="26" t="str">
        <f t="shared" si="92"/>
        <v/>
      </c>
      <c r="P1961" s="10"/>
    </row>
    <row r="1962" ht="18" customHeight="1" spans="1:16">
      <c r="A1962" s="32" t="str">
        <f t="shared" si="91"/>
        <v/>
      </c>
      <c r="B1962" s="100" t="str">
        <f>IF($E1962="","",INDEX(资金日记账!$B$4:$B$603,527))</f>
        <v/>
      </c>
      <c r="C1962" s="26" t="str">
        <f>IF($E1962="","",IF(INDEX(资金日记账!$W$4:$W$603,527)="","记-"&amp;TEXT($B1962,"YYYYMM")&amp;"-资金",INDEX(资金日记账!$W$4:$W$603,527)))</f>
        <v/>
      </c>
      <c r="D1962" s="32" t="str">
        <f>IF($E1962="","",INDEX(资金日记账!$D$4:$D$603,527))</f>
        <v/>
      </c>
      <c r="E1962" s="26" t="str">
        <f>IF(INDEX(资金日记账!$N$4:$S$603,527,1)=0,"",INDEX(资金日记账!$N$4:$S$603,527,1))</f>
        <v/>
      </c>
      <c r="F1962" s="25" t="str">
        <f>IF($E1962="","",IFERROR(INDEX(科目表!$A$4:$A$81,MATCH($E1962,科目表!$B$4:$B$81,0)),""))</f>
        <v/>
      </c>
      <c r="G1962" s="26" t="str">
        <f>IF($E1962="","",IFERROR(INDEX(科目表!$E$4:$E$81,MATCH($E1962,科目表!$B$4:$B$81,0)),""))</f>
        <v/>
      </c>
      <c r="H1962" s="27" t="str">
        <f>IF($E1962="","",N(INDEX(资金日记账!$N$4:$S$603,527,2)))</f>
        <v/>
      </c>
      <c r="I1962" s="27" t="str">
        <f>IF($E1962="","",N(INDEX(资金日记账!$N$4:$S$603,527,3)))</f>
        <v/>
      </c>
      <c r="J1962" s="26" t="str">
        <f>IF($E1962="","",INDEX(资金日记账!$E$4:$E$603,527))</f>
        <v/>
      </c>
      <c r="K1962" s="26" t="str">
        <f>IF($E1962="","",INDEX(资金日记账!$F$4:$F$603,527))</f>
        <v/>
      </c>
      <c r="L1962" s="32" t="str">
        <f>IF($E1962="","",INDEX(资金日记账!$X$4:$X$603,527))</f>
        <v/>
      </c>
      <c r="M1962" s="32"/>
      <c r="N1962" s="26" t="str">
        <f>IF($E1962="","",INDEX(资金日记账!$Y$4:$Y$603,527))</f>
        <v/>
      </c>
      <c r="O1962" s="26" t="str">
        <f t="shared" si="92"/>
        <v/>
      </c>
      <c r="P1962" s="10"/>
    </row>
    <row r="1963" ht="18" customHeight="1" spans="1:16">
      <c r="A1963" s="32" t="str">
        <f t="shared" si="91"/>
        <v/>
      </c>
      <c r="B1963" s="100" t="str">
        <f>IF($E1963="","",INDEX(资金日记账!$B$4:$B$603,527))</f>
        <v/>
      </c>
      <c r="C1963" s="26" t="str">
        <f>IF($E1963="","",IF(INDEX(资金日记账!$W$4:$W$603,527)="","记-"&amp;TEXT($B1963,"YYYYMM")&amp;"-资金",INDEX(资金日记账!$W$4:$W$603,527)))</f>
        <v/>
      </c>
      <c r="D1963" s="32" t="str">
        <f>IF($E1963="","",INDEX(资金日记账!$D$4:$D$603,527))</f>
        <v/>
      </c>
      <c r="E1963" s="26" t="str">
        <f>IF(INDEX(资金日记账!$N$4:$S$603,527,4)=0,"",INDEX(资金日记账!$N$4:$S$603,527,4))</f>
        <v/>
      </c>
      <c r="F1963" s="25" t="str">
        <f>IF($E1963="","",IFERROR(INDEX(科目表!$A$4:$A$81,MATCH($E1963,科目表!$B$4:$B$81,0)),""))</f>
        <v/>
      </c>
      <c r="G1963" s="26" t="str">
        <f>IF($E1963="","",IFERROR(INDEX(科目表!$E$4:$E$81,MATCH($E1963,科目表!$B$4:$B$81,0)),""))</f>
        <v/>
      </c>
      <c r="H1963" s="27" t="str">
        <f>IF($E1963="","",N(INDEX(资金日记账!$N$4:$S$603,527,5)))</f>
        <v/>
      </c>
      <c r="I1963" s="27" t="str">
        <f>IF($E1963="","",N(INDEX(资金日记账!$N$4:$S$603,527,6)))</f>
        <v/>
      </c>
      <c r="J1963" s="26" t="str">
        <f>IF($E1963="","",INDEX(资金日记账!$E$4:$E$603,527))</f>
        <v/>
      </c>
      <c r="K1963" s="26" t="str">
        <f>IF($E1963="","",INDEX(资金日记账!$F$4:$F$603,527))</f>
        <v/>
      </c>
      <c r="L1963" s="32" t="str">
        <f>IF($E1963="","",INDEX(资金日记账!$X$4:$X$603,527))</f>
        <v/>
      </c>
      <c r="M1963" s="32"/>
      <c r="N1963" s="26" t="str">
        <f>IF($E1963="","",INDEX(资金日记账!$Y$4:$Y$603,527))</f>
        <v/>
      </c>
      <c r="O1963" s="26" t="str">
        <f t="shared" si="92"/>
        <v/>
      </c>
      <c r="P1963" s="10"/>
    </row>
    <row r="1964" ht="18" customHeight="1" spans="1:16">
      <c r="A1964" s="32" t="str">
        <f t="shared" si="91"/>
        <v/>
      </c>
      <c r="B1964" s="100" t="str">
        <f>IF($E1964="","",INDEX(资金日记账!$B$4:$B$603,528))</f>
        <v/>
      </c>
      <c r="C1964" s="26" t="str">
        <f>IF($E1964="","",IF(INDEX(资金日记账!$W$4:$W$603,528)="","记-"&amp;TEXT($B1964,"YYYYMM")&amp;"-资金",INDEX(资金日记账!$W$4:$W$603,528)))</f>
        <v/>
      </c>
      <c r="D1964" s="32" t="str">
        <f>IF($E1964="","",INDEX(资金日记账!$D$4:$D$603,528))</f>
        <v/>
      </c>
      <c r="E1964" s="26" t="str">
        <f>IF(INDEX(资金日记账!$N$4:$S$603,528,1)=0,"",INDEX(资金日记账!$N$4:$S$603,528,1))</f>
        <v/>
      </c>
      <c r="F1964" s="25" t="str">
        <f>IF($E1964="","",IFERROR(INDEX(科目表!$A$4:$A$81,MATCH($E1964,科目表!$B$4:$B$81,0)),""))</f>
        <v/>
      </c>
      <c r="G1964" s="26" t="str">
        <f>IF($E1964="","",IFERROR(INDEX(科目表!$E$4:$E$81,MATCH($E1964,科目表!$B$4:$B$81,0)),""))</f>
        <v/>
      </c>
      <c r="H1964" s="27" t="str">
        <f>IF($E1964="","",N(INDEX(资金日记账!$N$4:$S$603,528,2)))</f>
        <v/>
      </c>
      <c r="I1964" s="27" t="str">
        <f>IF($E1964="","",N(INDEX(资金日记账!$N$4:$S$603,528,3)))</f>
        <v/>
      </c>
      <c r="J1964" s="26" t="str">
        <f>IF($E1964="","",INDEX(资金日记账!$E$4:$E$603,528))</f>
        <v/>
      </c>
      <c r="K1964" s="26" t="str">
        <f>IF($E1964="","",INDEX(资金日记账!$F$4:$F$603,528))</f>
        <v/>
      </c>
      <c r="L1964" s="32" t="str">
        <f>IF($E1964="","",INDEX(资金日记账!$X$4:$X$603,528))</f>
        <v/>
      </c>
      <c r="M1964" s="32"/>
      <c r="N1964" s="26" t="str">
        <f>IF($E1964="","",INDEX(资金日记账!$Y$4:$Y$603,528))</f>
        <v/>
      </c>
      <c r="O1964" s="26" t="str">
        <f t="shared" si="92"/>
        <v/>
      </c>
      <c r="P1964" s="10"/>
    </row>
    <row r="1965" ht="18" customHeight="1" spans="1:16">
      <c r="A1965" s="32" t="str">
        <f t="shared" si="91"/>
        <v/>
      </c>
      <c r="B1965" s="100" t="str">
        <f>IF($E1965="","",INDEX(资金日记账!$B$4:$B$603,528))</f>
        <v/>
      </c>
      <c r="C1965" s="26" t="str">
        <f>IF($E1965="","",IF(INDEX(资金日记账!$W$4:$W$603,528)="","记-"&amp;TEXT($B1965,"YYYYMM")&amp;"-资金",INDEX(资金日记账!$W$4:$W$603,528)))</f>
        <v/>
      </c>
      <c r="D1965" s="32" t="str">
        <f>IF($E1965="","",INDEX(资金日记账!$D$4:$D$603,528))</f>
        <v/>
      </c>
      <c r="E1965" s="26" t="str">
        <f>IF(INDEX(资金日记账!$N$4:$S$603,528,4)=0,"",INDEX(资金日记账!$N$4:$S$603,528,4))</f>
        <v/>
      </c>
      <c r="F1965" s="25" t="str">
        <f>IF($E1965="","",IFERROR(INDEX(科目表!$A$4:$A$81,MATCH($E1965,科目表!$B$4:$B$81,0)),""))</f>
        <v/>
      </c>
      <c r="G1965" s="26" t="str">
        <f>IF($E1965="","",IFERROR(INDEX(科目表!$E$4:$E$81,MATCH($E1965,科目表!$B$4:$B$81,0)),""))</f>
        <v/>
      </c>
      <c r="H1965" s="27" t="str">
        <f>IF($E1965="","",N(INDEX(资金日记账!$N$4:$S$603,528,5)))</f>
        <v/>
      </c>
      <c r="I1965" s="27" t="str">
        <f>IF($E1965="","",N(INDEX(资金日记账!$N$4:$S$603,528,6)))</f>
        <v/>
      </c>
      <c r="J1965" s="26" t="str">
        <f>IF($E1965="","",INDEX(资金日记账!$E$4:$E$603,528))</f>
        <v/>
      </c>
      <c r="K1965" s="26" t="str">
        <f>IF($E1965="","",INDEX(资金日记账!$F$4:$F$603,528))</f>
        <v/>
      </c>
      <c r="L1965" s="32" t="str">
        <f>IF($E1965="","",INDEX(资金日记账!$X$4:$X$603,528))</f>
        <v/>
      </c>
      <c r="M1965" s="32"/>
      <c r="N1965" s="26" t="str">
        <f>IF($E1965="","",INDEX(资金日记账!$Y$4:$Y$603,528))</f>
        <v/>
      </c>
      <c r="O1965" s="26" t="str">
        <f t="shared" si="92"/>
        <v/>
      </c>
      <c r="P1965" s="10"/>
    </row>
    <row r="1966" ht="18" customHeight="1" spans="1:16">
      <c r="A1966" s="32" t="str">
        <f t="shared" si="91"/>
        <v/>
      </c>
      <c r="B1966" s="100" t="str">
        <f>IF($E1966="","",INDEX(资金日记账!$B$4:$B$603,529))</f>
        <v/>
      </c>
      <c r="C1966" s="26" t="str">
        <f>IF($E1966="","",IF(INDEX(资金日记账!$W$4:$W$603,529)="","记-"&amp;TEXT($B1966,"YYYYMM")&amp;"-资金",INDEX(资金日记账!$W$4:$W$603,529)))</f>
        <v/>
      </c>
      <c r="D1966" s="32" t="str">
        <f>IF($E1966="","",INDEX(资金日记账!$D$4:$D$603,529))</f>
        <v/>
      </c>
      <c r="E1966" s="26" t="str">
        <f>IF(INDEX(资金日记账!$N$4:$S$603,529,1)=0,"",INDEX(资金日记账!$N$4:$S$603,529,1))</f>
        <v/>
      </c>
      <c r="F1966" s="25" t="str">
        <f>IF($E1966="","",IFERROR(INDEX(科目表!$A$4:$A$81,MATCH($E1966,科目表!$B$4:$B$81,0)),""))</f>
        <v/>
      </c>
      <c r="G1966" s="26" t="str">
        <f>IF($E1966="","",IFERROR(INDEX(科目表!$E$4:$E$81,MATCH($E1966,科目表!$B$4:$B$81,0)),""))</f>
        <v/>
      </c>
      <c r="H1966" s="27" t="str">
        <f>IF($E1966="","",N(INDEX(资金日记账!$N$4:$S$603,529,2)))</f>
        <v/>
      </c>
      <c r="I1966" s="27" t="str">
        <f>IF($E1966="","",N(INDEX(资金日记账!$N$4:$S$603,529,3)))</f>
        <v/>
      </c>
      <c r="J1966" s="26" t="str">
        <f>IF($E1966="","",INDEX(资金日记账!$E$4:$E$603,529))</f>
        <v/>
      </c>
      <c r="K1966" s="26" t="str">
        <f>IF($E1966="","",INDEX(资金日记账!$F$4:$F$603,529))</f>
        <v/>
      </c>
      <c r="L1966" s="32" t="str">
        <f>IF($E1966="","",INDEX(资金日记账!$X$4:$X$603,529))</f>
        <v/>
      </c>
      <c r="M1966" s="32"/>
      <c r="N1966" s="26" t="str">
        <f>IF($E1966="","",INDEX(资金日记账!$Y$4:$Y$603,529))</f>
        <v/>
      </c>
      <c r="O1966" s="26" t="str">
        <f t="shared" si="92"/>
        <v/>
      </c>
      <c r="P1966" s="10"/>
    </row>
    <row r="1967" ht="18" customHeight="1" spans="1:16">
      <c r="A1967" s="32" t="str">
        <f t="shared" si="91"/>
        <v/>
      </c>
      <c r="B1967" s="100" t="str">
        <f>IF($E1967="","",INDEX(资金日记账!$B$4:$B$603,529))</f>
        <v/>
      </c>
      <c r="C1967" s="26" t="str">
        <f>IF($E1967="","",IF(INDEX(资金日记账!$W$4:$W$603,529)="","记-"&amp;TEXT($B1967,"YYYYMM")&amp;"-资金",INDEX(资金日记账!$W$4:$W$603,529)))</f>
        <v/>
      </c>
      <c r="D1967" s="32" t="str">
        <f>IF($E1967="","",INDEX(资金日记账!$D$4:$D$603,529))</f>
        <v/>
      </c>
      <c r="E1967" s="26" t="str">
        <f>IF(INDEX(资金日记账!$N$4:$S$603,529,4)=0,"",INDEX(资金日记账!$N$4:$S$603,529,4))</f>
        <v/>
      </c>
      <c r="F1967" s="25" t="str">
        <f>IF($E1967="","",IFERROR(INDEX(科目表!$A$4:$A$81,MATCH($E1967,科目表!$B$4:$B$81,0)),""))</f>
        <v/>
      </c>
      <c r="G1967" s="26" t="str">
        <f>IF($E1967="","",IFERROR(INDEX(科目表!$E$4:$E$81,MATCH($E1967,科目表!$B$4:$B$81,0)),""))</f>
        <v/>
      </c>
      <c r="H1967" s="27" t="str">
        <f>IF($E1967="","",N(INDEX(资金日记账!$N$4:$S$603,529,5)))</f>
        <v/>
      </c>
      <c r="I1967" s="27" t="str">
        <f>IF($E1967="","",N(INDEX(资金日记账!$N$4:$S$603,529,6)))</f>
        <v/>
      </c>
      <c r="J1967" s="26" t="str">
        <f>IF($E1967="","",INDEX(资金日记账!$E$4:$E$603,529))</f>
        <v/>
      </c>
      <c r="K1967" s="26" t="str">
        <f>IF($E1967="","",INDEX(资金日记账!$F$4:$F$603,529))</f>
        <v/>
      </c>
      <c r="L1967" s="32" t="str">
        <f>IF($E1967="","",INDEX(资金日记账!$X$4:$X$603,529))</f>
        <v/>
      </c>
      <c r="M1967" s="32"/>
      <c r="N1967" s="26" t="str">
        <f>IF($E1967="","",INDEX(资金日记账!$Y$4:$Y$603,529))</f>
        <v/>
      </c>
      <c r="O1967" s="26" t="str">
        <f t="shared" si="92"/>
        <v/>
      </c>
      <c r="P1967" s="10"/>
    </row>
    <row r="1968" ht="18" customHeight="1" spans="1:16">
      <c r="A1968" s="32" t="str">
        <f t="shared" si="91"/>
        <v/>
      </c>
      <c r="B1968" s="100" t="str">
        <f>IF($E1968="","",INDEX(资金日记账!$B$4:$B$603,530))</f>
        <v/>
      </c>
      <c r="C1968" s="26" t="str">
        <f>IF($E1968="","",IF(INDEX(资金日记账!$W$4:$W$603,530)="","记-"&amp;TEXT($B1968,"YYYYMM")&amp;"-资金",INDEX(资金日记账!$W$4:$W$603,530)))</f>
        <v/>
      </c>
      <c r="D1968" s="32" t="str">
        <f>IF($E1968="","",INDEX(资金日记账!$D$4:$D$603,530))</f>
        <v/>
      </c>
      <c r="E1968" s="26" t="str">
        <f>IF(INDEX(资金日记账!$N$4:$S$603,530,1)=0,"",INDEX(资金日记账!$N$4:$S$603,530,1))</f>
        <v/>
      </c>
      <c r="F1968" s="25" t="str">
        <f>IF($E1968="","",IFERROR(INDEX(科目表!$A$4:$A$81,MATCH($E1968,科目表!$B$4:$B$81,0)),""))</f>
        <v/>
      </c>
      <c r="G1968" s="26" t="str">
        <f>IF($E1968="","",IFERROR(INDEX(科目表!$E$4:$E$81,MATCH($E1968,科目表!$B$4:$B$81,0)),""))</f>
        <v/>
      </c>
      <c r="H1968" s="27" t="str">
        <f>IF($E1968="","",N(INDEX(资金日记账!$N$4:$S$603,530,2)))</f>
        <v/>
      </c>
      <c r="I1968" s="27" t="str">
        <f>IF($E1968="","",N(INDEX(资金日记账!$N$4:$S$603,530,3)))</f>
        <v/>
      </c>
      <c r="J1968" s="26" t="str">
        <f>IF($E1968="","",INDEX(资金日记账!$E$4:$E$603,530))</f>
        <v/>
      </c>
      <c r="K1968" s="26" t="str">
        <f>IF($E1968="","",INDEX(资金日记账!$F$4:$F$603,530))</f>
        <v/>
      </c>
      <c r="L1968" s="32" t="str">
        <f>IF($E1968="","",INDEX(资金日记账!$X$4:$X$603,530))</f>
        <v/>
      </c>
      <c r="M1968" s="32"/>
      <c r="N1968" s="26" t="str">
        <f>IF($E1968="","",INDEX(资金日记账!$Y$4:$Y$603,530))</f>
        <v/>
      </c>
      <c r="O1968" s="26" t="str">
        <f t="shared" si="92"/>
        <v/>
      </c>
      <c r="P1968" s="10"/>
    </row>
    <row r="1969" ht="18" customHeight="1" spans="1:16">
      <c r="A1969" s="32" t="str">
        <f t="shared" si="91"/>
        <v/>
      </c>
      <c r="B1969" s="100" t="str">
        <f>IF($E1969="","",INDEX(资金日记账!$B$4:$B$603,530))</f>
        <v/>
      </c>
      <c r="C1969" s="26" t="str">
        <f>IF($E1969="","",IF(INDEX(资金日记账!$W$4:$W$603,530)="","记-"&amp;TEXT($B1969,"YYYYMM")&amp;"-资金",INDEX(资金日记账!$W$4:$W$603,530)))</f>
        <v/>
      </c>
      <c r="D1969" s="32" t="str">
        <f>IF($E1969="","",INDEX(资金日记账!$D$4:$D$603,530))</f>
        <v/>
      </c>
      <c r="E1969" s="26" t="str">
        <f>IF(INDEX(资金日记账!$N$4:$S$603,530,4)=0,"",INDEX(资金日记账!$N$4:$S$603,530,4))</f>
        <v/>
      </c>
      <c r="F1969" s="25" t="str">
        <f>IF($E1969="","",IFERROR(INDEX(科目表!$A$4:$A$81,MATCH($E1969,科目表!$B$4:$B$81,0)),""))</f>
        <v/>
      </c>
      <c r="G1969" s="26" t="str">
        <f>IF($E1969="","",IFERROR(INDEX(科目表!$E$4:$E$81,MATCH($E1969,科目表!$B$4:$B$81,0)),""))</f>
        <v/>
      </c>
      <c r="H1969" s="27" t="str">
        <f>IF($E1969="","",N(INDEX(资金日记账!$N$4:$S$603,530,5)))</f>
        <v/>
      </c>
      <c r="I1969" s="27" t="str">
        <f>IF($E1969="","",N(INDEX(资金日记账!$N$4:$S$603,530,6)))</f>
        <v/>
      </c>
      <c r="J1969" s="26" t="str">
        <f>IF($E1969="","",INDEX(资金日记账!$E$4:$E$603,530))</f>
        <v/>
      </c>
      <c r="K1969" s="26" t="str">
        <f>IF($E1969="","",INDEX(资金日记账!$F$4:$F$603,530))</f>
        <v/>
      </c>
      <c r="L1969" s="32" t="str">
        <f>IF($E1969="","",INDEX(资金日记账!$X$4:$X$603,530))</f>
        <v/>
      </c>
      <c r="M1969" s="32"/>
      <c r="N1969" s="26" t="str">
        <f>IF($E1969="","",INDEX(资金日记账!$Y$4:$Y$603,530))</f>
        <v/>
      </c>
      <c r="O1969" s="26" t="str">
        <f t="shared" si="92"/>
        <v/>
      </c>
      <c r="P1969" s="10"/>
    </row>
    <row r="1970" ht="18" customHeight="1" spans="1:16">
      <c r="A1970" s="32" t="str">
        <f t="shared" si="91"/>
        <v/>
      </c>
      <c r="B1970" s="100" t="str">
        <f>IF($E1970="","",INDEX(资金日记账!$B$4:$B$603,531))</f>
        <v/>
      </c>
      <c r="C1970" s="26" t="str">
        <f>IF($E1970="","",IF(INDEX(资金日记账!$W$4:$W$603,531)="","记-"&amp;TEXT($B1970,"YYYYMM")&amp;"-资金",INDEX(资金日记账!$W$4:$W$603,531)))</f>
        <v/>
      </c>
      <c r="D1970" s="32" t="str">
        <f>IF($E1970="","",INDEX(资金日记账!$D$4:$D$603,531))</f>
        <v/>
      </c>
      <c r="E1970" s="26" t="str">
        <f>IF(INDEX(资金日记账!$N$4:$S$603,531,1)=0,"",INDEX(资金日记账!$N$4:$S$603,531,1))</f>
        <v/>
      </c>
      <c r="F1970" s="25" t="str">
        <f>IF($E1970="","",IFERROR(INDEX(科目表!$A$4:$A$81,MATCH($E1970,科目表!$B$4:$B$81,0)),""))</f>
        <v/>
      </c>
      <c r="G1970" s="26" t="str">
        <f>IF($E1970="","",IFERROR(INDEX(科目表!$E$4:$E$81,MATCH($E1970,科目表!$B$4:$B$81,0)),""))</f>
        <v/>
      </c>
      <c r="H1970" s="27" t="str">
        <f>IF($E1970="","",N(INDEX(资金日记账!$N$4:$S$603,531,2)))</f>
        <v/>
      </c>
      <c r="I1970" s="27" t="str">
        <f>IF($E1970="","",N(INDEX(资金日记账!$N$4:$S$603,531,3)))</f>
        <v/>
      </c>
      <c r="J1970" s="26" t="str">
        <f>IF($E1970="","",INDEX(资金日记账!$E$4:$E$603,531))</f>
        <v/>
      </c>
      <c r="K1970" s="26" t="str">
        <f>IF($E1970="","",INDEX(资金日记账!$F$4:$F$603,531))</f>
        <v/>
      </c>
      <c r="L1970" s="32" t="str">
        <f>IF($E1970="","",INDEX(资金日记账!$X$4:$X$603,531))</f>
        <v/>
      </c>
      <c r="M1970" s="32"/>
      <c r="N1970" s="26" t="str">
        <f>IF($E1970="","",INDEX(资金日记账!$Y$4:$Y$603,531))</f>
        <v/>
      </c>
      <c r="O1970" s="26" t="str">
        <f t="shared" si="92"/>
        <v/>
      </c>
      <c r="P1970" s="10"/>
    </row>
    <row r="1971" ht="18" customHeight="1" spans="1:16">
      <c r="A1971" s="32" t="str">
        <f t="shared" si="91"/>
        <v/>
      </c>
      <c r="B1971" s="100" t="str">
        <f>IF($E1971="","",INDEX(资金日记账!$B$4:$B$603,531))</f>
        <v/>
      </c>
      <c r="C1971" s="26" t="str">
        <f>IF($E1971="","",IF(INDEX(资金日记账!$W$4:$W$603,531)="","记-"&amp;TEXT($B1971,"YYYYMM")&amp;"-资金",INDEX(资金日记账!$W$4:$W$603,531)))</f>
        <v/>
      </c>
      <c r="D1971" s="32" t="str">
        <f>IF($E1971="","",INDEX(资金日记账!$D$4:$D$603,531))</f>
        <v/>
      </c>
      <c r="E1971" s="26" t="str">
        <f>IF(INDEX(资金日记账!$N$4:$S$603,531,4)=0,"",INDEX(资金日记账!$N$4:$S$603,531,4))</f>
        <v/>
      </c>
      <c r="F1971" s="25" t="str">
        <f>IF($E1971="","",IFERROR(INDEX(科目表!$A$4:$A$81,MATCH($E1971,科目表!$B$4:$B$81,0)),""))</f>
        <v/>
      </c>
      <c r="G1971" s="26" t="str">
        <f>IF($E1971="","",IFERROR(INDEX(科目表!$E$4:$E$81,MATCH($E1971,科目表!$B$4:$B$81,0)),""))</f>
        <v/>
      </c>
      <c r="H1971" s="27" t="str">
        <f>IF($E1971="","",N(INDEX(资金日记账!$N$4:$S$603,531,5)))</f>
        <v/>
      </c>
      <c r="I1971" s="27" t="str">
        <f>IF($E1971="","",N(INDEX(资金日记账!$N$4:$S$603,531,6)))</f>
        <v/>
      </c>
      <c r="J1971" s="26" t="str">
        <f>IF($E1971="","",INDEX(资金日记账!$E$4:$E$603,531))</f>
        <v/>
      </c>
      <c r="K1971" s="26" t="str">
        <f>IF($E1971="","",INDEX(资金日记账!$F$4:$F$603,531))</f>
        <v/>
      </c>
      <c r="L1971" s="32" t="str">
        <f>IF($E1971="","",INDEX(资金日记账!$X$4:$X$603,531))</f>
        <v/>
      </c>
      <c r="M1971" s="32"/>
      <c r="N1971" s="26" t="str">
        <f>IF($E1971="","",INDEX(资金日记账!$Y$4:$Y$603,531))</f>
        <v/>
      </c>
      <c r="O1971" s="26" t="str">
        <f t="shared" si="92"/>
        <v/>
      </c>
      <c r="P1971" s="10"/>
    </row>
    <row r="1972" ht="18" customHeight="1" spans="1:16">
      <c r="A1972" s="32" t="str">
        <f t="shared" si="91"/>
        <v/>
      </c>
      <c r="B1972" s="100" t="str">
        <f>IF($E1972="","",INDEX(资金日记账!$B$4:$B$603,532))</f>
        <v/>
      </c>
      <c r="C1972" s="26" t="str">
        <f>IF($E1972="","",IF(INDEX(资金日记账!$W$4:$W$603,532)="","记-"&amp;TEXT($B1972,"YYYYMM")&amp;"-资金",INDEX(资金日记账!$W$4:$W$603,532)))</f>
        <v/>
      </c>
      <c r="D1972" s="32" t="str">
        <f>IF($E1972="","",INDEX(资金日记账!$D$4:$D$603,532))</f>
        <v/>
      </c>
      <c r="E1972" s="26" t="str">
        <f>IF(INDEX(资金日记账!$N$4:$S$603,532,1)=0,"",INDEX(资金日记账!$N$4:$S$603,532,1))</f>
        <v/>
      </c>
      <c r="F1972" s="25" t="str">
        <f>IF($E1972="","",IFERROR(INDEX(科目表!$A$4:$A$81,MATCH($E1972,科目表!$B$4:$B$81,0)),""))</f>
        <v/>
      </c>
      <c r="G1972" s="26" t="str">
        <f>IF($E1972="","",IFERROR(INDEX(科目表!$E$4:$E$81,MATCH($E1972,科目表!$B$4:$B$81,0)),""))</f>
        <v/>
      </c>
      <c r="H1972" s="27" t="str">
        <f>IF($E1972="","",N(INDEX(资金日记账!$N$4:$S$603,532,2)))</f>
        <v/>
      </c>
      <c r="I1972" s="27" t="str">
        <f>IF($E1972="","",N(INDEX(资金日记账!$N$4:$S$603,532,3)))</f>
        <v/>
      </c>
      <c r="J1972" s="26" t="str">
        <f>IF($E1972="","",INDEX(资金日记账!$E$4:$E$603,532))</f>
        <v/>
      </c>
      <c r="K1972" s="26" t="str">
        <f>IF($E1972="","",INDEX(资金日记账!$F$4:$F$603,532))</f>
        <v/>
      </c>
      <c r="L1972" s="32" t="str">
        <f>IF($E1972="","",INDEX(资金日记账!$X$4:$X$603,532))</f>
        <v/>
      </c>
      <c r="M1972" s="32"/>
      <c r="N1972" s="26" t="str">
        <f>IF($E1972="","",INDEX(资金日记账!$Y$4:$Y$603,532))</f>
        <v/>
      </c>
      <c r="O1972" s="26" t="str">
        <f t="shared" si="92"/>
        <v/>
      </c>
      <c r="P1972" s="10"/>
    </row>
    <row r="1973" ht="18" customHeight="1" spans="1:16">
      <c r="A1973" s="32" t="str">
        <f t="shared" si="91"/>
        <v/>
      </c>
      <c r="B1973" s="100" t="str">
        <f>IF($E1973="","",INDEX(资金日记账!$B$4:$B$603,532))</f>
        <v/>
      </c>
      <c r="C1973" s="26" t="str">
        <f>IF($E1973="","",IF(INDEX(资金日记账!$W$4:$W$603,532)="","记-"&amp;TEXT($B1973,"YYYYMM")&amp;"-资金",INDEX(资金日记账!$W$4:$W$603,532)))</f>
        <v/>
      </c>
      <c r="D1973" s="32" t="str">
        <f>IF($E1973="","",INDEX(资金日记账!$D$4:$D$603,532))</f>
        <v/>
      </c>
      <c r="E1973" s="26" t="str">
        <f>IF(INDEX(资金日记账!$N$4:$S$603,532,4)=0,"",INDEX(资金日记账!$N$4:$S$603,532,4))</f>
        <v/>
      </c>
      <c r="F1973" s="25" t="str">
        <f>IF($E1973="","",IFERROR(INDEX(科目表!$A$4:$A$81,MATCH($E1973,科目表!$B$4:$B$81,0)),""))</f>
        <v/>
      </c>
      <c r="G1973" s="26" t="str">
        <f>IF($E1973="","",IFERROR(INDEX(科目表!$E$4:$E$81,MATCH($E1973,科目表!$B$4:$B$81,0)),""))</f>
        <v/>
      </c>
      <c r="H1973" s="27" t="str">
        <f>IF($E1973="","",N(INDEX(资金日记账!$N$4:$S$603,532,5)))</f>
        <v/>
      </c>
      <c r="I1973" s="27" t="str">
        <f>IF($E1973="","",N(INDEX(资金日记账!$N$4:$S$603,532,6)))</f>
        <v/>
      </c>
      <c r="J1973" s="26" t="str">
        <f>IF($E1973="","",INDEX(资金日记账!$E$4:$E$603,532))</f>
        <v/>
      </c>
      <c r="K1973" s="26" t="str">
        <f>IF($E1973="","",INDEX(资金日记账!$F$4:$F$603,532))</f>
        <v/>
      </c>
      <c r="L1973" s="32" t="str">
        <f>IF($E1973="","",INDEX(资金日记账!$X$4:$X$603,532))</f>
        <v/>
      </c>
      <c r="M1973" s="32"/>
      <c r="N1973" s="26" t="str">
        <f>IF($E1973="","",INDEX(资金日记账!$Y$4:$Y$603,532))</f>
        <v/>
      </c>
      <c r="O1973" s="26" t="str">
        <f t="shared" si="92"/>
        <v/>
      </c>
      <c r="P1973" s="10"/>
    </row>
    <row r="1974" ht="18" customHeight="1" spans="1:16">
      <c r="A1974" s="32" t="str">
        <f t="shared" si="91"/>
        <v/>
      </c>
      <c r="B1974" s="100" t="str">
        <f>IF($E1974="","",INDEX(资金日记账!$B$4:$B$603,533))</f>
        <v/>
      </c>
      <c r="C1974" s="26" t="str">
        <f>IF($E1974="","",IF(INDEX(资金日记账!$W$4:$W$603,533)="","记-"&amp;TEXT($B1974,"YYYYMM")&amp;"-资金",INDEX(资金日记账!$W$4:$W$603,533)))</f>
        <v/>
      </c>
      <c r="D1974" s="32" t="str">
        <f>IF($E1974="","",INDEX(资金日记账!$D$4:$D$603,533))</f>
        <v/>
      </c>
      <c r="E1974" s="26" t="str">
        <f>IF(INDEX(资金日记账!$N$4:$S$603,533,1)=0,"",INDEX(资金日记账!$N$4:$S$603,533,1))</f>
        <v/>
      </c>
      <c r="F1974" s="25" t="str">
        <f>IF($E1974="","",IFERROR(INDEX(科目表!$A$4:$A$81,MATCH($E1974,科目表!$B$4:$B$81,0)),""))</f>
        <v/>
      </c>
      <c r="G1974" s="26" t="str">
        <f>IF($E1974="","",IFERROR(INDEX(科目表!$E$4:$E$81,MATCH($E1974,科目表!$B$4:$B$81,0)),""))</f>
        <v/>
      </c>
      <c r="H1974" s="27" t="str">
        <f>IF($E1974="","",N(INDEX(资金日记账!$N$4:$S$603,533,2)))</f>
        <v/>
      </c>
      <c r="I1974" s="27" t="str">
        <f>IF($E1974="","",N(INDEX(资金日记账!$N$4:$S$603,533,3)))</f>
        <v/>
      </c>
      <c r="J1974" s="26" t="str">
        <f>IF($E1974="","",INDEX(资金日记账!$E$4:$E$603,533))</f>
        <v/>
      </c>
      <c r="K1974" s="26" t="str">
        <f>IF($E1974="","",INDEX(资金日记账!$F$4:$F$603,533))</f>
        <v/>
      </c>
      <c r="L1974" s="32" t="str">
        <f>IF($E1974="","",INDEX(资金日记账!$X$4:$X$603,533))</f>
        <v/>
      </c>
      <c r="M1974" s="32"/>
      <c r="N1974" s="26" t="str">
        <f>IF($E1974="","",INDEX(资金日记账!$Y$4:$Y$603,533))</f>
        <v/>
      </c>
      <c r="O1974" s="26" t="str">
        <f t="shared" si="92"/>
        <v/>
      </c>
      <c r="P1974" s="10"/>
    </row>
    <row r="1975" ht="18" customHeight="1" spans="1:16">
      <c r="A1975" s="32" t="str">
        <f t="shared" si="91"/>
        <v/>
      </c>
      <c r="B1975" s="100" t="str">
        <f>IF($E1975="","",INDEX(资金日记账!$B$4:$B$603,533))</f>
        <v/>
      </c>
      <c r="C1975" s="26" t="str">
        <f>IF($E1975="","",IF(INDEX(资金日记账!$W$4:$W$603,533)="","记-"&amp;TEXT($B1975,"YYYYMM")&amp;"-资金",INDEX(资金日记账!$W$4:$W$603,533)))</f>
        <v/>
      </c>
      <c r="D1975" s="32" t="str">
        <f>IF($E1975="","",INDEX(资金日记账!$D$4:$D$603,533))</f>
        <v/>
      </c>
      <c r="E1975" s="26" t="str">
        <f>IF(INDEX(资金日记账!$N$4:$S$603,533,4)=0,"",INDEX(资金日记账!$N$4:$S$603,533,4))</f>
        <v/>
      </c>
      <c r="F1975" s="25" t="str">
        <f>IF($E1975="","",IFERROR(INDEX(科目表!$A$4:$A$81,MATCH($E1975,科目表!$B$4:$B$81,0)),""))</f>
        <v/>
      </c>
      <c r="G1975" s="26" t="str">
        <f>IF($E1975="","",IFERROR(INDEX(科目表!$E$4:$E$81,MATCH($E1975,科目表!$B$4:$B$81,0)),""))</f>
        <v/>
      </c>
      <c r="H1975" s="27" t="str">
        <f>IF($E1975="","",N(INDEX(资金日记账!$N$4:$S$603,533,5)))</f>
        <v/>
      </c>
      <c r="I1975" s="27" t="str">
        <f>IF($E1975="","",N(INDEX(资金日记账!$N$4:$S$603,533,6)))</f>
        <v/>
      </c>
      <c r="J1975" s="26" t="str">
        <f>IF($E1975="","",INDEX(资金日记账!$E$4:$E$603,533))</f>
        <v/>
      </c>
      <c r="K1975" s="26" t="str">
        <f>IF($E1975="","",INDEX(资金日记账!$F$4:$F$603,533))</f>
        <v/>
      </c>
      <c r="L1975" s="32" t="str">
        <f>IF($E1975="","",INDEX(资金日记账!$X$4:$X$603,533))</f>
        <v/>
      </c>
      <c r="M1975" s="32"/>
      <c r="N1975" s="26" t="str">
        <f>IF($E1975="","",INDEX(资金日记账!$Y$4:$Y$603,533))</f>
        <v/>
      </c>
      <c r="O1975" s="26" t="str">
        <f t="shared" si="92"/>
        <v/>
      </c>
      <c r="P1975" s="10"/>
    </row>
    <row r="1976" ht="18" customHeight="1" spans="1:16">
      <c r="A1976" s="32" t="str">
        <f t="shared" si="91"/>
        <v/>
      </c>
      <c r="B1976" s="100" t="str">
        <f>IF($E1976="","",INDEX(资金日记账!$B$4:$B$603,534))</f>
        <v/>
      </c>
      <c r="C1976" s="26" t="str">
        <f>IF($E1976="","",IF(INDEX(资金日记账!$W$4:$W$603,534)="","记-"&amp;TEXT($B1976,"YYYYMM")&amp;"-资金",INDEX(资金日记账!$W$4:$W$603,534)))</f>
        <v/>
      </c>
      <c r="D1976" s="32" t="str">
        <f>IF($E1976="","",INDEX(资金日记账!$D$4:$D$603,534))</f>
        <v/>
      </c>
      <c r="E1976" s="26" t="str">
        <f>IF(INDEX(资金日记账!$N$4:$S$603,534,1)=0,"",INDEX(资金日记账!$N$4:$S$603,534,1))</f>
        <v/>
      </c>
      <c r="F1976" s="25" t="str">
        <f>IF($E1976="","",IFERROR(INDEX(科目表!$A$4:$A$81,MATCH($E1976,科目表!$B$4:$B$81,0)),""))</f>
        <v/>
      </c>
      <c r="G1976" s="26" t="str">
        <f>IF($E1976="","",IFERROR(INDEX(科目表!$E$4:$E$81,MATCH($E1976,科目表!$B$4:$B$81,0)),""))</f>
        <v/>
      </c>
      <c r="H1976" s="27" t="str">
        <f>IF($E1976="","",N(INDEX(资金日记账!$N$4:$S$603,534,2)))</f>
        <v/>
      </c>
      <c r="I1976" s="27" t="str">
        <f>IF($E1976="","",N(INDEX(资金日记账!$N$4:$S$603,534,3)))</f>
        <v/>
      </c>
      <c r="J1976" s="26" t="str">
        <f>IF($E1976="","",INDEX(资金日记账!$E$4:$E$603,534))</f>
        <v/>
      </c>
      <c r="K1976" s="26" t="str">
        <f>IF($E1976="","",INDEX(资金日记账!$F$4:$F$603,534))</f>
        <v/>
      </c>
      <c r="L1976" s="32" t="str">
        <f>IF($E1976="","",INDEX(资金日记账!$X$4:$X$603,534))</f>
        <v/>
      </c>
      <c r="M1976" s="32"/>
      <c r="N1976" s="26" t="str">
        <f>IF($E1976="","",INDEX(资金日记账!$Y$4:$Y$603,534))</f>
        <v/>
      </c>
      <c r="O1976" s="26" t="str">
        <f t="shared" si="92"/>
        <v/>
      </c>
      <c r="P1976" s="10"/>
    </row>
    <row r="1977" ht="18" customHeight="1" spans="1:16">
      <c r="A1977" s="32" t="str">
        <f t="shared" si="91"/>
        <v/>
      </c>
      <c r="B1977" s="100" t="str">
        <f>IF($E1977="","",INDEX(资金日记账!$B$4:$B$603,534))</f>
        <v/>
      </c>
      <c r="C1977" s="26" t="str">
        <f>IF($E1977="","",IF(INDEX(资金日记账!$W$4:$W$603,534)="","记-"&amp;TEXT($B1977,"YYYYMM")&amp;"-资金",INDEX(资金日记账!$W$4:$W$603,534)))</f>
        <v/>
      </c>
      <c r="D1977" s="32" t="str">
        <f>IF($E1977="","",INDEX(资金日记账!$D$4:$D$603,534))</f>
        <v/>
      </c>
      <c r="E1977" s="26" t="str">
        <f>IF(INDEX(资金日记账!$N$4:$S$603,534,4)=0,"",INDEX(资金日记账!$N$4:$S$603,534,4))</f>
        <v/>
      </c>
      <c r="F1977" s="25" t="str">
        <f>IF($E1977="","",IFERROR(INDEX(科目表!$A$4:$A$81,MATCH($E1977,科目表!$B$4:$B$81,0)),""))</f>
        <v/>
      </c>
      <c r="G1977" s="26" t="str">
        <f>IF($E1977="","",IFERROR(INDEX(科目表!$E$4:$E$81,MATCH($E1977,科目表!$B$4:$B$81,0)),""))</f>
        <v/>
      </c>
      <c r="H1977" s="27" t="str">
        <f>IF($E1977="","",N(INDEX(资金日记账!$N$4:$S$603,534,5)))</f>
        <v/>
      </c>
      <c r="I1977" s="27" t="str">
        <f>IF($E1977="","",N(INDEX(资金日记账!$N$4:$S$603,534,6)))</f>
        <v/>
      </c>
      <c r="J1977" s="26" t="str">
        <f>IF($E1977="","",INDEX(资金日记账!$E$4:$E$603,534))</f>
        <v/>
      </c>
      <c r="K1977" s="26" t="str">
        <f>IF($E1977="","",INDEX(资金日记账!$F$4:$F$603,534))</f>
        <v/>
      </c>
      <c r="L1977" s="32" t="str">
        <f>IF($E1977="","",INDEX(资金日记账!$X$4:$X$603,534))</f>
        <v/>
      </c>
      <c r="M1977" s="32"/>
      <c r="N1977" s="26" t="str">
        <f>IF($E1977="","",INDEX(资金日记账!$Y$4:$Y$603,534))</f>
        <v/>
      </c>
      <c r="O1977" s="26" t="str">
        <f t="shared" si="92"/>
        <v/>
      </c>
      <c r="P1977" s="10"/>
    </row>
    <row r="1978" ht="18" customHeight="1" spans="1:16">
      <c r="A1978" s="32" t="str">
        <f t="shared" si="91"/>
        <v/>
      </c>
      <c r="B1978" s="100" t="str">
        <f>IF($E1978="","",INDEX(资金日记账!$B$4:$B$603,535))</f>
        <v/>
      </c>
      <c r="C1978" s="26" t="str">
        <f>IF($E1978="","",IF(INDEX(资金日记账!$W$4:$W$603,535)="","记-"&amp;TEXT($B1978,"YYYYMM")&amp;"-资金",INDEX(资金日记账!$W$4:$W$603,535)))</f>
        <v/>
      </c>
      <c r="D1978" s="32" t="str">
        <f>IF($E1978="","",INDEX(资金日记账!$D$4:$D$603,535))</f>
        <v/>
      </c>
      <c r="E1978" s="26" t="str">
        <f>IF(INDEX(资金日记账!$N$4:$S$603,535,1)=0,"",INDEX(资金日记账!$N$4:$S$603,535,1))</f>
        <v/>
      </c>
      <c r="F1978" s="25" t="str">
        <f>IF($E1978="","",IFERROR(INDEX(科目表!$A$4:$A$81,MATCH($E1978,科目表!$B$4:$B$81,0)),""))</f>
        <v/>
      </c>
      <c r="G1978" s="26" t="str">
        <f>IF($E1978="","",IFERROR(INDEX(科目表!$E$4:$E$81,MATCH($E1978,科目表!$B$4:$B$81,0)),""))</f>
        <v/>
      </c>
      <c r="H1978" s="27" t="str">
        <f>IF($E1978="","",N(INDEX(资金日记账!$N$4:$S$603,535,2)))</f>
        <v/>
      </c>
      <c r="I1978" s="27" t="str">
        <f>IF($E1978="","",N(INDEX(资金日记账!$N$4:$S$603,535,3)))</f>
        <v/>
      </c>
      <c r="J1978" s="26" t="str">
        <f>IF($E1978="","",INDEX(资金日记账!$E$4:$E$603,535))</f>
        <v/>
      </c>
      <c r="K1978" s="26" t="str">
        <f>IF($E1978="","",INDEX(资金日记账!$F$4:$F$603,535))</f>
        <v/>
      </c>
      <c r="L1978" s="32" t="str">
        <f>IF($E1978="","",INDEX(资金日记账!$X$4:$X$603,535))</f>
        <v/>
      </c>
      <c r="M1978" s="32"/>
      <c r="N1978" s="26" t="str">
        <f>IF($E1978="","",INDEX(资金日记账!$Y$4:$Y$603,535))</f>
        <v/>
      </c>
      <c r="O1978" s="26" t="str">
        <f t="shared" si="92"/>
        <v/>
      </c>
      <c r="P1978" s="10"/>
    </row>
    <row r="1979" ht="18" customHeight="1" spans="1:16">
      <c r="A1979" s="32" t="str">
        <f t="shared" si="91"/>
        <v/>
      </c>
      <c r="B1979" s="100" t="str">
        <f>IF($E1979="","",INDEX(资金日记账!$B$4:$B$603,535))</f>
        <v/>
      </c>
      <c r="C1979" s="26" t="str">
        <f>IF($E1979="","",IF(INDEX(资金日记账!$W$4:$W$603,535)="","记-"&amp;TEXT($B1979,"YYYYMM")&amp;"-资金",INDEX(资金日记账!$W$4:$W$603,535)))</f>
        <v/>
      </c>
      <c r="D1979" s="32" t="str">
        <f>IF($E1979="","",INDEX(资金日记账!$D$4:$D$603,535))</f>
        <v/>
      </c>
      <c r="E1979" s="26" t="str">
        <f>IF(INDEX(资金日记账!$N$4:$S$603,535,4)=0,"",INDEX(资金日记账!$N$4:$S$603,535,4))</f>
        <v/>
      </c>
      <c r="F1979" s="25" t="str">
        <f>IF($E1979="","",IFERROR(INDEX(科目表!$A$4:$A$81,MATCH($E1979,科目表!$B$4:$B$81,0)),""))</f>
        <v/>
      </c>
      <c r="G1979" s="26" t="str">
        <f>IF($E1979="","",IFERROR(INDEX(科目表!$E$4:$E$81,MATCH($E1979,科目表!$B$4:$B$81,0)),""))</f>
        <v/>
      </c>
      <c r="H1979" s="27" t="str">
        <f>IF($E1979="","",N(INDEX(资金日记账!$N$4:$S$603,535,5)))</f>
        <v/>
      </c>
      <c r="I1979" s="27" t="str">
        <f>IF($E1979="","",N(INDEX(资金日记账!$N$4:$S$603,535,6)))</f>
        <v/>
      </c>
      <c r="J1979" s="26" t="str">
        <f>IF($E1979="","",INDEX(资金日记账!$E$4:$E$603,535))</f>
        <v/>
      </c>
      <c r="K1979" s="26" t="str">
        <f>IF($E1979="","",INDEX(资金日记账!$F$4:$F$603,535))</f>
        <v/>
      </c>
      <c r="L1979" s="32" t="str">
        <f>IF($E1979="","",INDEX(资金日记账!$X$4:$X$603,535))</f>
        <v/>
      </c>
      <c r="M1979" s="32"/>
      <c r="N1979" s="26" t="str">
        <f>IF($E1979="","",INDEX(资金日记账!$Y$4:$Y$603,535))</f>
        <v/>
      </c>
      <c r="O1979" s="26" t="str">
        <f t="shared" si="92"/>
        <v/>
      </c>
      <c r="P1979" s="10"/>
    </row>
    <row r="1980" ht="18" customHeight="1" spans="1:16">
      <c r="A1980" s="32" t="str">
        <f t="shared" si="91"/>
        <v/>
      </c>
      <c r="B1980" s="100" t="str">
        <f>IF($E1980="","",INDEX(资金日记账!$B$4:$B$603,536))</f>
        <v/>
      </c>
      <c r="C1980" s="26" t="str">
        <f>IF($E1980="","",IF(INDEX(资金日记账!$W$4:$W$603,536)="","记-"&amp;TEXT($B1980,"YYYYMM")&amp;"-资金",INDEX(资金日记账!$W$4:$W$603,536)))</f>
        <v/>
      </c>
      <c r="D1980" s="32" t="str">
        <f>IF($E1980="","",INDEX(资金日记账!$D$4:$D$603,536))</f>
        <v/>
      </c>
      <c r="E1980" s="26" t="str">
        <f>IF(INDEX(资金日记账!$N$4:$S$603,536,1)=0,"",INDEX(资金日记账!$N$4:$S$603,536,1))</f>
        <v/>
      </c>
      <c r="F1980" s="25" t="str">
        <f>IF($E1980="","",IFERROR(INDEX(科目表!$A$4:$A$81,MATCH($E1980,科目表!$B$4:$B$81,0)),""))</f>
        <v/>
      </c>
      <c r="G1980" s="26" t="str">
        <f>IF($E1980="","",IFERROR(INDEX(科目表!$E$4:$E$81,MATCH($E1980,科目表!$B$4:$B$81,0)),""))</f>
        <v/>
      </c>
      <c r="H1980" s="27" t="str">
        <f>IF($E1980="","",N(INDEX(资金日记账!$N$4:$S$603,536,2)))</f>
        <v/>
      </c>
      <c r="I1980" s="27" t="str">
        <f>IF($E1980="","",N(INDEX(资金日记账!$N$4:$S$603,536,3)))</f>
        <v/>
      </c>
      <c r="J1980" s="26" t="str">
        <f>IF($E1980="","",INDEX(资金日记账!$E$4:$E$603,536))</f>
        <v/>
      </c>
      <c r="K1980" s="26" t="str">
        <f>IF($E1980="","",INDEX(资金日记账!$F$4:$F$603,536))</f>
        <v/>
      </c>
      <c r="L1980" s="32" t="str">
        <f>IF($E1980="","",INDEX(资金日记账!$X$4:$X$603,536))</f>
        <v/>
      </c>
      <c r="M1980" s="32"/>
      <c r="N1980" s="26" t="str">
        <f>IF($E1980="","",INDEX(资金日记账!$Y$4:$Y$603,536))</f>
        <v/>
      </c>
      <c r="O1980" s="26" t="str">
        <f t="shared" si="92"/>
        <v/>
      </c>
      <c r="P1980" s="10"/>
    </row>
    <row r="1981" ht="18" customHeight="1" spans="1:16">
      <c r="A1981" s="32" t="str">
        <f t="shared" si="91"/>
        <v/>
      </c>
      <c r="B1981" s="100" t="str">
        <f>IF($E1981="","",INDEX(资金日记账!$B$4:$B$603,536))</f>
        <v/>
      </c>
      <c r="C1981" s="26" t="str">
        <f>IF($E1981="","",IF(INDEX(资金日记账!$W$4:$W$603,536)="","记-"&amp;TEXT($B1981,"YYYYMM")&amp;"-资金",INDEX(资金日记账!$W$4:$W$603,536)))</f>
        <v/>
      </c>
      <c r="D1981" s="32" t="str">
        <f>IF($E1981="","",INDEX(资金日记账!$D$4:$D$603,536))</f>
        <v/>
      </c>
      <c r="E1981" s="26" t="str">
        <f>IF(INDEX(资金日记账!$N$4:$S$603,536,4)=0,"",INDEX(资金日记账!$N$4:$S$603,536,4))</f>
        <v/>
      </c>
      <c r="F1981" s="25" t="str">
        <f>IF($E1981="","",IFERROR(INDEX(科目表!$A$4:$A$81,MATCH($E1981,科目表!$B$4:$B$81,0)),""))</f>
        <v/>
      </c>
      <c r="G1981" s="26" t="str">
        <f>IF($E1981="","",IFERROR(INDEX(科目表!$E$4:$E$81,MATCH($E1981,科目表!$B$4:$B$81,0)),""))</f>
        <v/>
      </c>
      <c r="H1981" s="27" t="str">
        <f>IF($E1981="","",N(INDEX(资金日记账!$N$4:$S$603,536,5)))</f>
        <v/>
      </c>
      <c r="I1981" s="27" t="str">
        <f>IF($E1981="","",N(INDEX(资金日记账!$N$4:$S$603,536,6)))</f>
        <v/>
      </c>
      <c r="J1981" s="26" t="str">
        <f>IF($E1981="","",INDEX(资金日记账!$E$4:$E$603,536))</f>
        <v/>
      </c>
      <c r="K1981" s="26" t="str">
        <f>IF($E1981="","",INDEX(资金日记账!$F$4:$F$603,536))</f>
        <v/>
      </c>
      <c r="L1981" s="32" t="str">
        <f>IF($E1981="","",INDEX(资金日记账!$X$4:$X$603,536))</f>
        <v/>
      </c>
      <c r="M1981" s="32"/>
      <c r="N1981" s="26" t="str">
        <f>IF($E1981="","",INDEX(资金日记账!$Y$4:$Y$603,536))</f>
        <v/>
      </c>
      <c r="O1981" s="26" t="str">
        <f t="shared" si="92"/>
        <v/>
      </c>
      <c r="P1981" s="10"/>
    </row>
    <row r="1982" ht="18" customHeight="1" spans="1:16">
      <c r="A1982" s="32" t="str">
        <f t="shared" si="91"/>
        <v/>
      </c>
      <c r="B1982" s="100" t="str">
        <f>IF($E1982="","",INDEX(资金日记账!$B$4:$B$603,537))</f>
        <v/>
      </c>
      <c r="C1982" s="26" t="str">
        <f>IF($E1982="","",IF(INDEX(资金日记账!$W$4:$W$603,537)="","记-"&amp;TEXT($B1982,"YYYYMM")&amp;"-资金",INDEX(资金日记账!$W$4:$W$603,537)))</f>
        <v/>
      </c>
      <c r="D1982" s="32" t="str">
        <f>IF($E1982="","",INDEX(资金日记账!$D$4:$D$603,537))</f>
        <v/>
      </c>
      <c r="E1982" s="26" t="str">
        <f>IF(INDEX(资金日记账!$N$4:$S$603,537,1)=0,"",INDEX(资金日记账!$N$4:$S$603,537,1))</f>
        <v/>
      </c>
      <c r="F1982" s="25" t="str">
        <f>IF($E1982="","",IFERROR(INDEX(科目表!$A$4:$A$81,MATCH($E1982,科目表!$B$4:$B$81,0)),""))</f>
        <v/>
      </c>
      <c r="G1982" s="26" t="str">
        <f>IF($E1982="","",IFERROR(INDEX(科目表!$E$4:$E$81,MATCH($E1982,科目表!$B$4:$B$81,0)),""))</f>
        <v/>
      </c>
      <c r="H1982" s="27" t="str">
        <f>IF($E1982="","",N(INDEX(资金日记账!$N$4:$S$603,537,2)))</f>
        <v/>
      </c>
      <c r="I1982" s="27" t="str">
        <f>IF($E1982="","",N(INDEX(资金日记账!$N$4:$S$603,537,3)))</f>
        <v/>
      </c>
      <c r="J1982" s="26" t="str">
        <f>IF($E1982="","",INDEX(资金日记账!$E$4:$E$603,537))</f>
        <v/>
      </c>
      <c r="K1982" s="26" t="str">
        <f>IF($E1982="","",INDEX(资金日记账!$F$4:$F$603,537))</f>
        <v/>
      </c>
      <c r="L1982" s="32" t="str">
        <f>IF($E1982="","",INDEX(资金日记账!$X$4:$X$603,537))</f>
        <v/>
      </c>
      <c r="M1982" s="32"/>
      <c r="N1982" s="26" t="str">
        <f>IF($E1982="","",INDEX(资金日记账!$Y$4:$Y$603,537))</f>
        <v/>
      </c>
      <c r="O1982" s="26" t="str">
        <f t="shared" si="92"/>
        <v/>
      </c>
      <c r="P1982" s="10"/>
    </row>
    <row r="1983" ht="18" customHeight="1" spans="1:16">
      <c r="A1983" s="32" t="str">
        <f t="shared" si="91"/>
        <v/>
      </c>
      <c r="B1983" s="100" t="str">
        <f>IF($E1983="","",INDEX(资金日记账!$B$4:$B$603,537))</f>
        <v/>
      </c>
      <c r="C1983" s="26" t="str">
        <f>IF($E1983="","",IF(INDEX(资金日记账!$W$4:$W$603,537)="","记-"&amp;TEXT($B1983,"YYYYMM")&amp;"-资金",INDEX(资金日记账!$W$4:$W$603,537)))</f>
        <v/>
      </c>
      <c r="D1983" s="32" t="str">
        <f>IF($E1983="","",INDEX(资金日记账!$D$4:$D$603,537))</f>
        <v/>
      </c>
      <c r="E1983" s="26" t="str">
        <f>IF(INDEX(资金日记账!$N$4:$S$603,537,4)=0,"",INDEX(资金日记账!$N$4:$S$603,537,4))</f>
        <v/>
      </c>
      <c r="F1983" s="25" t="str">
        <f>IF($E1983="","",IFERROR(INDEX(科目表!$A$4:$A$81,MATCH($E1983,科目表!$B$4:$B$81,0)),""))</f>
        <v/>
      </c>
      <c r="G1983" s="26" t="str">
        <f>IF($E1983="","",IFERROR(INDEX(科目表!$E$4:$E$81,MATCH($E1983,科目表!$B$4:$B$81,0)),""))</f>
        <v/>
      </c>
      <c r="H1983" s="27" t="str">
        <f>IF($E1983="","",N(INDEX(资金日记账!$N$4:$S$603,537,5)))</f>
        <v/>
      </c>
      <c r="I1983" s="27" t="str">
        <f>IF($E1983="","",N(INDEX(资金日记账!$N$4:$S$603,537,6)))</f>
        <v/>
      </c>
      <c r="J1983" s="26" t="str">
        <f>IF($E1983="","",INDEX(资金日记账!$E$4:$E$603,537))</f>
        <v/>
      </c>
      <c r="K1983" s="26" t="str">
        <f>IF($E1983="","",INDEX(资金日记账!$F$4:$F$603,537))</f>
        <v/>
      </c>
      <c r="L1983" s="32" t="str">
        <f>IF($E1983="","",INDEX(资金日记账!$X$4:$X$603,537))</f>
        <v/>
      </c>
      <c r="M1983" s="32"/>
      <c r="N1983" s="26" t="str">
        <f>IF($E1983="","",INDEX(资金日记账!$Y$4:$Y$603,537))</f>
        <v/>
      </c>
      <c r="O1983" s="26" t="str">
        <f t="shared" si="92"/>
        <v/>
      </c>
      <c r="P1983" s="10"/>
    </row>
    <row r="1984" ht="18" customHeight="1" spans="1:16">
      <c r="A1984" s="32" t="str">
        <f t="shared" si="91"/>
        <v/>
      </c>
      <c r="B1984" s="100" t="str">
        <f>IF($E1984="","",INDEX(资金日记账!$B$4:$B$603,538))</f>
        <v/>
      </c>
      <c r="C1984" s="26" t="str">
        <f>IF($E1984="","",IF(INDEX(资金日记账!$W$4:$W$603,538)="","记-"&amp;TEXT($B1984,"YYYYMM")&amp;"-资金",INDEX(资金日记账!$W$4:$W$603,538)))</f>
        <v/>
      </c>
      <c r="D1984" s="32" t="str">
        <f>IF($E1984="","",INDEX(资金日记账!$D$4:$D$603,538))</f>
        <v/>
      </c>
      <c r="E1984" s="26" t="str">
        <f>IF(INDEX(资金日记账!$N$4:$S$603,538,1)=0,"",INDEX(资金日记账!$N$4:$S$603,538,1))</f>
        <v/>
      </c>
      <c r="F1984" s="25" t="str">
        <f>IF($E1984="","",IFERROR(INDEX(科目表!$A$4:$A$81,MATCH($E1984,科目表!$B$4:$B$81,0)),""))</f>
        <v/>
      </c>
      <c r="G1984" s="26" t="str">
        <f>IF($E1984="","",IFERROR(INDEX(科目表!$E$4:$E$81,MATCH($E1984,科目表!$B$4:$B$81,0)),""))</f>
        <v/>
      </c>
      <c r="H1984" s="27" t="str">
        <f>IF($E1984="","",N(INDEX(资金日记账!$N$4:$S$603,538,2)))</f>
        <v/>
      </c>
      <c r="I1984" s="27" t="str">
        <f>IF($E1984="","",N(INDEX(资金日记账!$N$4:$S$603,538,3)))</f>
        <v/>
      </c>
      <c r="J1984" s="26" t="str">
        <f>IF($E1984="","",INDEX(资金日记账!$E$4:$E$603,538))</f>
        <v/>
      </c>
      <c r="K1984" s="26" t="str">
        <f>IF($E1984="","",INDEX(资金日记账!$F$4:$F$603,538))</f>
        <v/>
      </c>
      <c r="L1984" s="32" t="str">
        <f>IF($E1984="","",INDEX(资金日记账!$X$4:$X$603,538))</f>
        <v/>
      </c>
      <c r="M1984" s="32"/>
      <c r="N1984" s="26" t="str">
        <f>IF($E1984="","",INDEX(资金日记账!$Y$4:$Y$603,538))</f>
        <v/>
      </c>
      <c r="O1984" s="26" t="str">
        <f t="shared" si="92"/>
        <v/>
      </c>
      <c r="P1984" s="10"/>
    </row>
    <row r="1985" ht="18" customHeight="1" spans="1:16">
      <c r="A1985" s="32" t="str">
        <f t="shared" si="91"/>
        <v/>
      </c>
      <c r="B1985" s="100" t="str">
        <f>IF($E1985="","",INDEX(资金日记账!$B$4:$B$603,538))</f>
        <v/>
      </c>
      <c r="C1985" s="26" t="str">
        <f>IF($E1985="","",IF(INDEX(资金日记账!$W$4:$W$603,538)="","记-"&amp;TEXT($B1985,"YYYYMM")&amp;"-资金",INDEX(资金日记账!$W$4:$W$603,538)))</f>
        <v/>
      </c>
      <c r="D1985" s="32" t="str">
        <f>IF($E1985="","",INDEX(资金日记账!$D$4:$D$603,538))</f>
        <v/>
      </c>
      <c r="E1985" s="26" t="str">
        <f>IF(INDEX(资金日记账!$N$4:$S$603,538,4)=0,"",INDEX(资金日记账!$N$4:$S$603,538,4))</f>
        <v/>
      </c>
      <c r="F1985" s="25" t="str">
        <f>IF($E1985="","",IFERROR(INDEX(科目表!$A$4:$A$81,MATCH($E1985,科目表!$B$4:$B$81,0)),""))</f>
        <v/>
      </c>
      <c r="G1985" s="26" t="str">
        <f>IF($E1985="","",IFERROR(INDEX(科目表!$E$4:$E$81,MATCH($E1985,科目表!$B$4:$B$81,0)),""))</f>
        <v/>
      </c>
      <c r="H1985" s="27" t="str">
        <f>IF($E1985="","",N(INDEX(资金日记账!$N$4:$S$603,538,5)))</f>
        <v/>
      </c>
      <c r="I1985" s="27" t="str">
        <f>IF($E1985="","",N(INDEX(资金日记账!$N$4:$S$603,538,6)))</f>
        <v/>
      </c>
      <c r="J1985" s="26" t="str">
        <f>IF($E1985="","",INDEX(资金日记账!$E$4:$E$603,538))</f>
        <v/>
      </c>
      <c r="K1985" s="26" t="str">
        <f>IF($E1985="","",INDEX(资金日记账!$F$4:$F$603,538))</f>
        <v/>
      </c>
      <c r="L1985" s="32" t="str">
        <f>IF($E1985="","",INDEX(资金日记账!$X$4:$X$603,538))</f>
        <v/>
      </c>
      <c r="M1985" s="32"/>
      <c r="N1985" s="26" t="str">
        <f>IF($E1985="","",INDEX(资金日记账!$Y$4:$Y$603,538))</f>
        <v/>
      </c>
      <c r="O1985" s="26" t="str">
        <f t="shared" si="92"/>
        <v/>
      </c>
      <c r="P1985" s="10"/>
    </row>
    <row r="1986" ht="18" customHeight="1" spans="1:16">
      <c r="A1986" s="32" t="str">
        <f t="shared" si="91"/>
        <v/>
      </c>
      <c r="B1986" s="100" t="str">
        <f>IF($E1986="","",INDEX(资金日记账!$B$4:$B$603,539))</f>
        <v/>
      </c>
      <c r="C1986" s="26" t="str">
        <f>IF($E1986="","",IF(INDEX(资金日记账!$W$4:$W$603,539)="","记-"&amp;TEXT($B1986,"YYYYMM")&amp;"-资金",INDEX(资金日记账!$W$4:$W$603,539)))</f>
        <v/>
      </c>
      <c r="D1986" s="32" t="str">
        <f>IF($E1986="","",INDEX(资金日记账!$D$4:$D$603,539))</f>
        <v/>
      </c>
      <c r="E1986" s="26" t="str">
        <f>IF(INDEX(资金日记账!$N$4:$S$603,539,1)=0,"",INDEX(资金日记账!$N$4:$S$603,539,1))</f>
        <v/>
      </c>
      <c r="F1986" s="25" t="str">
        <f>IF($E1986="","",IFERROR(INDEX(科目表!$A$4:$A$81,MATCH($E1986,科目表!$B$4:$B$81,0)),""))</f>
        <v/>
      </c>
      <c r="G1986" s="26" t="str">
        <f>IF($E1986="","",IFERROR(INDEX(科目表!$E$4:$E$81,MATCH($E1986,科目表!$B$4:$B$81,0)),""))</f>
        <v/>
      </c>
      <c r="H1986" s="27" t="str">
        <f>IF($E1986="","",N(INDEX(资金日记账!$N$4:$S$603,539,2)))</f>
        <v/>
      </c>
      <c r="I1986" s="27" t="str">
        <f>IF($E1986="","",N(INDEX(资金日记账!$N$4:$S$603,539,3)))</f>
        <v/>
      </c>
      <c r="J1986" s="26" t="str">
        <f>IF($E1986="","",INDEX(资金日记账!$E$4:$E$603,539))</f>
        <v/>
      </c>
      <c r="K1986" s="26" t="str">
        <f>IF($E1986="","",INDEX(资金日记账!$F$4:$F$603,539))</f>
        <v/>
      </c>
      <c r="L1986" s="32" t="str">
        <f>IF($E1986="","",INDEX(资金日记账!$X$4:$X$603,539))</f>
        <v/>
      </c>
      <c r="M1986" s="32"/>
      <c r="N1986" s="26" t="str">
        <f>IF($E1986="","",INDEX(资金日记账!$Y$4:$Y$603,539))</f>
        <v/>
      </c>
      <c r="O1986" s="26" t="str">
        <f t="shared" si="92"/>
        <v/>
      </c>
      <c r="P1986" s="10"/>
    </row>
    <row r="1987" ht="18" customHeight="1" spans="1:16">
      <c r="A1987" s="32" t="str">
        <f t="shared" si="91"/>
        <v/>
      </c>
      <c r="B1987" s="100" t="str">
        <f>IF($E1987="","",INDEX(资金日记账!$B$4:$B$603,539))</f>
        <v/>
      </c>
      <c r="C1987" s="26" t="str">
        <f>IF($E1987="","",IF(INDEX(资金日记账!$W$4:$W$603,539)="","记-"&amp;TEXT($B1987,"YYYYMM")&amp;"-资金",INDEX(资金日记账!$W$4:$W$603,539)))</f>
        <v/>
      </c>
      <c r="D1987" s="32" t="str">
        <f>IF($E1987="","",INDEX(资金日记账!$D$4:$D$603,539))</f>
        <v/>
      </c>
      <c r="E1987" s="26" t="str">
        <f>IF(INDEX(资金日记账!$N$4:$S$603,539,4)=0,"",INDEX(资金日记账!$N$4:$S$603,539,4))</f>
        <v/>
      </c>
      <c r="F1987" s="25" t="str">
        <f>IF($E1987="","",IFERROR(INDEX(科目表!$A$4:$A$81,MATCH($E1987,科目表!$B$4:$B$81,0)),""))</f>
        <v/>
      </c>
      <c r="G1987" s="26" t="str">
        <f>IF($E1987="","",IFERROR(INDEX(科目表!$E$4:$E$81,MATCH($E1987,科目表!$B$4:$B$81,0)),""))</f>
        <v/>
      </c>
      <c r="H1987" s="27" t="str">
        <f>IF($E1987="","",N(INDEX(资金日记账!$N$4:$S$603,539,5)))</f>
        <v/>
      </c>
      <c r="I1987" s="27" t="str">
        <f>IF($E1987="","",N(INDEX(资金日记账!$N$4:$S$603,539,6)))</f>
        <v/>
      </c>
      <c r="J1987" s="26" t="str">
        <f>IF($E1987="","",INDEX(资金日记账!$E$4:$E$603,539))</f>
        <v/>
      </c>
      <c r="K1987" s="26" t="str">
        <f>IF($E1987="","",INDEX(资金日记账!$F$4:$F$603,539))</f>
        <v/>
      </c>
      <c r="L1987" s="32" t="str">
        <f>IF($E1987="","",INDEX(资金日记账!$X$4:$X$603,539))</f>
        <v/>
      </c>
      <c r="M1987" s="32"/>
      <c r="N1987" s="26" t="str">
        <f>IF($E1987="","",INDEX(资金日记账!$Y$4:$Y$603,539))</f>
        <v/>
      </c>
      <c r="O1987" s="26" t="str">
        <f t="shared" si="92"/>
        <v/>
      </c>
      <c r="P1987" s="10"/>
    </row>
    <row r="1988" ht="18" customHeight="1" spans="1:16">
      <c r="A1988" s="32" t="str">
        <f t="shared" ref="A1988:A2051" si="93">IF($E1988="","",ROW()-3)</f>
        <v/>
      </c>
      <c r="B1988" s="100" t="str">
        <f>IF($E1988="","",INDEX(资金日记账!$B$4:$B$603,540))</f>
        <v/>
      </c>
      <c r="C1988" s="26" t="str">
        <f>IF($E1988="","",IF(INDEX(资金日记账!$W$4:$W$603,540)="","记-"&amp;TEXT($B1988,"YYYYMM")&amp;"-资金",INDEX(资金日记账!$W$4:$W$603,540)))</f>
        <v/>
      </c>
      <c r="D1988" s="32" t="str">
        <f>IF($E1988="","",INDEX(资金日记账!$D$4:$D$603,540))</f>
        <v/>
      </c>
      <c r="E1988" s="26" t="str">
        <f>IF(INDEX(资金日记账!$N$4:$S$603,540,1)=0,"",INDEX(资金日记账!$N$4:$S$603,540,1))</f>
        <v/>
      </c>
      <c r="F1988" s="25" t="str">
        <f>IF($E1988="","",IFERROR(INDEX(科目表!$A$4:$A$81,MATCH($E1988,科目表!$B$4:$B$81,0)),""))</f>
        <v/>
      </c>
      <c r="G1988" s="26" t="str">
        <f>IF($E1988="","",IFERROR(INDEX(科目表!$E$4:$E$81,MATCH($E1988,科目表!$B$4:$B$81,0)),""))</f>
        <v/>
      </c>
      <c r="H1988" s="27" t="str">
        <f>IF($E1988="","",N(INDEX(资金日记账!$N$4:$S$603,540,2)))</f>
        <v/>
      </c>
      <c r="I1988" s="27" t="str">
        <f>IF($E1988="","",N(INDEX(资金日记账!$N$4:$S$603,540,3)))</f>
        <v/>
      </c>
      <c r="J1988" s="26" t="str">
        <f>IF($E1988="","",INDEX(资金日记账!$E$4:$E$603,540))</f>
        <v/>
      </c>
      <c r="K1988" s="26" t="str">
        <f>IF($E1988="","",INDEX(资金日记账!$F$4:$F$603,540))</f>
        <v/>
      </c>
      <c r="L1988" s="32" t="str">
        <f>IF($E1988="","",INDEX(资金日记账!$X$4:$X$603,540))</f>
        <v/>
      </c>
      <c r="M1988" s="32"/>
      <c r="N1988" s="26" t="str">
        <f>IF($E1988="","",INDEX(资金日记账!$Y$4:$Y$603,540))</f>
        <v/>
      </c>
      <c r="O1988" s="26" t="str">
        <f t="shared" si="92"/>
        <v/>
      </c>
      <c r="P1988" s="10"/>
    </row>
    <row r="1989" ht="18" customHeight="1" spans="1:16">
      <c r="A1989" s="32" t="str">
        <f t="shared" si="93"/>
        <v/>
      </c>
      <c r="B1989" s="100" t="str">
        <f>IF($E1989="","",INDEX(资金日记账!$B$4:$B$603,540))</f>
        <v/>
      </c>
      <c r="C1989" s="26" t="str">
        <f>IF($E1989="","",IF(INDEX(资金日记账!$W$4:$W$603,540)="","记-"&amp;TEXT($B1989,"YYYYMM")&amp;"-资金",INDEX(资金日记账!$W$4:$W$603,540)))</f>
        <v/>
      </c>
      <c r="D1989" s="32" t="str">
        <f>IF($E1989="","",INDEX(资金日记账!$D$4:$D$603,540))</f>
        <v/>
      </c>
      <c r="E1989" s="26" t="str">
        <f>IF(INDEX(资金日记账!$N$4:$S$603,540,4)=0,"",INDEX(资金日记账!$N$4:$S$603,540,4))</f>
        <v/>
      </c>
      <c r="F1989" s="25" t="str">
        <f>IF($E1989="","",IFERROR(INDEX(科目表!$A$4:$A$81,MATCH($E1989,科目表!$B$4:$B$81,0)),""))</f>
        <v/>
      </c>
      <c r="G1989" s="26" t="str">
        <f>IF($E1989="","",IFERROR(INDEX(科目表!$E$4:$E$81,MATCH($E1989,科目表!$B$4:$B$81,0)),""))</f>
        <v/>
      </c>
      <c r="H1989" s="27" t="str">
        <f>IF($E1989="","",N(INDEX(资金日记账!$N$4:$S$603,540,5)))</f>
        <v/>
      </c>
      <c r="I1989" s="27" t="str">
        <f>IF($E1989="","",N(INDEX(资金日记账!$N$4:$S$603,540,6)))</f>
        <v/>
      </c>
      <c r="J1989" s="26" t="str">
        <f>IF($E1989="","",INDEX(资金日记账!$E$4:$E$603,540))</f>
        <v/>
      </c>
      <c r="K1989" s="26" t="str">
        <f>IF($E1989="","",INDEX(资金日记账!$F$4:$F$603,540))</f>
        <v/>
      </c>
      <c r="L1989" s="32" t="str">
        <f>IF($E1989="","",INDEX(资金日记账!$X$4:$X$603,540))</f>
        <v/>
      </c>
      <c r="M1989" s="32"/>
      <c r="N1989" s="26" t="str">
        <f>IF($E1989="","",INDEX(资金日记账!$Y$4:$Y$603,540))</f>
        <v/>
      </c>
      <c r="O1989" s="26" t="str">
        <f t="shared" si="92"/>
        <v/>
      </c>
      <c r="P1989" s="10"/>
    </row>
    <row r="1990" ht="18" customHeight="1" spans="1:16">
      <c r="A1990" s="32" t="str">
        <f t="shared" si="93"/>
        <v/>
      </c>
      <c r="B1990" s="100" t="str">
        <f>IF($E1990="","",INDEX(资金日记账!$B$4:$B$603,541))</f>
        <v/>
      </c>
      <c r="C1990" s="26" t="str">
        <f>IF($E1990="","",IF(INDEX(资金日记账!$W$4:$W$603,541)="","记-"&amp;TEXT($B1990,"YYYYMM")&amp;"-资金",INDEX(资金日记账!$W$4:$W$603,541)))</f>
        <v/>
      </c>
      <c r="D1990" s="32" t="str">
        <f>IF($E1990="","",INDEX(资金日记账!$D$4:$D$603,541))</f>
        <v/>
      </c>
      <c r="E1990" s="26" t="str">
        <f>IF(INDEX(资金日记账!$N$4:$S$603,541,1)=0,"",INDEX(资金日记账!$N$4:$S$603,541,1))</f>
        <v/>
      </c>
      <c r="F1990" s="25" t="str">
        <f>IF($E1990="","",IFERROR(INDEX(科目表!$A$4:$A$81,MATCH($E1990,科目表!$B$4:$B$81,0)),""))</f>
        <v/>
      </c>
      <c r="G1990" s="26" t="str">
        <f>IF($E1990="","",IFERROR(INDEX(科目表!$E$4:$E$81,MATCH($E1990,科目表!$B$4:$B$81,0)),""))</f>
        <v/>
      </c>
      <c r="H1990" s="27" t="str">
        <f>IF($E1990="","",N(INDEX(资金日记账!$N$4:$S$603,541,2)))</f>
        <v/>
      </c>
      <c r="I1990" s="27" t="str">
        <f>IF($E1990="","",N(INDEX(资金日记账!$N$4:$S$603,541,3)))</f>
        <v/>
      </c>
      <c r="J1990" s="26" t="str">
        <f>IF($E1990="","",INDEX(资金日记账!$E$4:$E$603,541))</f>
        <v/>
      </c>
      <c r="K1990" s="26" t="str">
        <f>IF($E1990="","",INDEX(资金日记账!$F$4:$F$603,541))</f>
        <v/>
      </c>
      <c r="L1990" s="32" t="str">
        <f>IF($E1990="","",INDEX(资金日记账!$X$4:$X$603,541))</f>
        <v/>
      </c>
      <c r="M1990" s="32"/>
      <c r="N1990" s="26" t="str">
        <f>IF($E1990="","",INDEX(资金日记账!$Y$4:$Y$603,541))</f>
        <v/>
      </c>
      <c r="O1990" s="26" t="str">
        <f t="shared" si="92"/>
        <v/>
      </c>
      <c r="P1990" s="10"/>
    </row>
    <row r="1991" ht="18" customHeight="1" spans="1:16">
      <c r="A1991" s="32" t="str">
        <f t="shared" si="93"/>
        <v/>
      </c>
      <c r="B1991" s="100" t="str">
        <f>IF($E1991="","",INDEX(资金日记账!$B$4:$B$603,541))</f>
        <v/>
      </c>
      <c r="C1991" s="26" t="str">
        <f>IF($E1991="","",IF(INDEX(资金日记账!$W$4:$W$603,541)="","记-"&amp;TEXT($B1991,"YYYYMM")&amp;"-资金",INDEX(资金日记账!$W$4:$W$603,541)))</f>
        <v/>
      </c>
      <c r="D1991" s="32" t="str">
        <f>IF($E1991="","",INDEX(资金日记账!$D$4:$D$603,541))</f>
        <v/>
      </c>
      <c r="E1991" s="26" t="str">
        <f>IF(INDEX(资金日记账!$N$4:$S$603,541,4)=0,"",INDEX(资金日记账!$N$4:$S$603,541,4))</f>
        <v/>
      </c>
      <c r="F1991" s="25" t="str">
        <f>IF($E1991="","",IFERROR(INDEX(科目表!$A$4:$A$81,MATCH($E1991,科目表!$B$4:$B$81,0)),""))</f>
        <v/>
      </c>
      <c r="G1991" s="26" t="str">
        <f>IF($E1991="","",IFERROR(INDEX(科目表!$E$4:$E$81,MATCH($E1991,科目表!$B$4:$B$81,0)),""))</f>
        <v/>
      </c>
      <c r="H1991" s="27" t="str">
        <f>IF($E1991="","",N(INDEX(资金日记账!$N$4:$S$603,541,5)))</f>
        <v/>
      </c>
      <c r="I1991" s="27" t="str">
        <f>IF($E1991="","",N(INDEX(资金日记账!$N$4:$S$603,541,6)))</f>
        <v/>
      </c>
      <c r="J1991" s="26" t="str">
        <f>IF($E1991="","",INDEX(资金日记账!$E$4:$E$603,541))</f>
        <v/>
      </c>
      <c r="K1991" s="26" t="str">
        <f>IF($E1991="","",INDEX(资金日记账!$F$4:$F$603,541))</f>
        <v/>
      </c>
      <c r="L1991" s="32" t="str">
        <f>IF($E1991="","",INDEX(资金日记账!$X$4:$X$603,541))</f>
        <v/>
      </c>
      <c r="M1991" s="32"/>
      <c r="N1991" s="26" t="str">
        <f>IF($E1991="","",INDEX(资金日记账!$Y$4:$Y$603,541))</f>
        <v/>
      </c>
      <c r="O1991" s="26" t="str">
        <f t="shared" si="92"/>
        <v/>
      </c>
      <c r="P1991" s="10"/>
    </row>
    <row r="1992" ht="18" customHeight="1" spans="1:16">
      <c r="A1992" s="32" t="str">
        <f t="shared" si="93"/>
        <v/>
      </c>
      <c r="B1992" s="100" t="str">
        <f>IF($E1992="","",INDEX(资金日记账!$B$4:$B$603,542))</f>
        <v/>
      </c>
      <c r="C1992" s="26" t="str">
        <f>IF($E1992="","",IF(INDEX(资金日记账!$W$4:$W$603,542)="","记-"&amp;TEXT($B1992,"YYYYMM")&amp;"-资金",INDEX(资金日记账!$W$4:$W$603,542)))</f>
        <v/>
      </c>
      <c r="D1992" s="32" t="str">
        <f>IF($E1992="","",INDEX(资金日记账!$D$4:$D$603,542))</f>
        <v/>
      </c>
      <c r="E1992" s="26" t="str">
        <f>IF(INDEX(资金日记账!$N$4:$S$603,542,1)=0,"",INDEX(资金日记账!$N$4:$S$603,542,1))</f>
        <v/>
      </c>
      <c r="F1992" s="25" t="str">
        <f>IF($E1992="","",IFERROR(INDEX(科目表!$A$4:$A$81,MATCH($E1992,科目表!$B$4:$B$81,0)),""))</f>
        <v/>
      </c>
      <c r="G1992" s="26" t="str">
        <f>IF($E1992="","",IFERROR(INDEX(科目表!$E$4:$E$81,MATCH($E1992,科目表!$B$4:$B$81,0)),""))</f>
        <v/>
      </c>
      <c r="H1992" s="27" t="str">
        <f>IF($E1992="","",N(INDEX(资金日记账!$N$4:$S$603,542,2)))</f>
        <v/>
      </c>
      <c r="I1992" s="27" t="str">
        <f>IF($E1992="","",N(INDEX(资金日记账!$N$4:$S$603,542,3)))</f>
        <v/>
      </c>
      <c r="J1992" s="26" t="str">
        <f>IF($E1992="","",INDEX(资金日记账!$E$4:$E$603,542))</f>
        <v/>
      </c>
      <c r="K1992" s="26" t="str">
        <f>IF($E1992="","",INDEX(资金日记账!$F$4:$F$603,542))</f>
        <v/>
      </c>
      <c r="L1992" s="32" t="str">
        <f>IF($E1992="","",INDEX(资金日记账!$X$4:$X$603,542))</f>
        <v/>
      </c>
      <c r="M1992" s="32"/>
      <c r="N1992" s="26" t="str">
        <f>IF($E1992="","",INDEX(资金日记账!$Y$4:$Y$603,542))</f>
        <v/>
      </c>
      <c r="O1992" s="26" t="str">
        <f t="shared" si="92"/>
        <v/>
      </c>
      <c r="P1992" s="10"/>
    </row>
    <row r="1993" ht="18" customHeight="1" spans="1:16">
      <c r="A1993" s="32" t="str">
        <f t="shared" si="93"/>
        <v/>
      </c>
      <c r="B1993" s="100" t="str">
        <f>IF($E1993="","",INDEX(资金日记账!$B$4:$B$603,542))</f>
        <v/>
      </c>
      <c r="C1993" s="26" t="str">
        <f>IF($E1993="","",IF(INDEX(资金日记账!$W$4:$W$603,542)="","记-"&amp;TEXT($B1993,"YYYYMM")&amp;"-资金",INDEX(资金日记账!$W$4:$W$603,542)))</f>
        <v/>
      </c>
      <c r="D1993" s="32" t="str">
        <f>IF($E1993="","",INDEX(资金日记账!$D$4:$D$603,542))</f>
        <v/>
      </c>
      <c r="E1993" s="26" t="str">
        <f>IF(INDEX(资金日记账!$N$4:$S$603,542,4)=0,"",INDEX(资金日记账!$N$4:$S$603,542,4))</f>
        <v/>
      </c>
      <c r="F1993" s="25" t="str">
        <f>IF($E1993="","",IFERROR(INDEX(科目表!$A$4:$A$81,MATCH($E1993,科目表!$B$4:$B$81,0)),""))</f>
        <v/>
      </c>
      <c r="G1993" s="26" t="str">
        <f>IF($E1993="","",IFERROR(INDEX(科目表!$E$4:$E$81,MATCH($E1993,科目表!$B$4:$B$81,0)),""))</f>
        <v/>
      </c>
      <c r="H1993" s="27" t="str">
        <f>IF($E1993="","",N(INDEX(资金日记账!$N$4:$S$603,542,5)))</f>
        <v/>
      </c>
      <c r="I1993" s="27" t="str">
        <f>IF($E1993="","",N(INDEX(资金日记账!$N$4:$S$603,542,6)))</f>
        <v/>
      </c>
      <c r="J1993" s="26" t="str">
        <f>IF($E1993="","",INDEX(资金日记账!$E$4:$E$603,542))</f>
        <v/>
      </c>
      <c r="K1993" s="26" t="str">
        <f>IF($E1993="","",INDEX(资金日记账!$F$4:$F$603,542))</f>
        <v/>
      </c>
      <c r="L1993" s="32" t="str">
        <f>IF($E1993="","",INDEX(资金日记账!$X$4:$X$603,542))</f>
        <v/>
      </c>
      <c r="M1993" s="32"/>
      <c r="N1993" s="26" t="str">
        <f>IF($E1993="","",INDEX(资金日记账!$Y$4:$Y$603,542))</f>
        <v/>
      </c>
      <c r="O1993" s="26" t="str">
        <f t="shared" si="92"/>
        <v/>
      </c>
      <c r="P1993" s="10"/>
    </row>
    <row r="1994" ht="18" customHeight="1" spans="1:16">
      <c r="A1994" s="32" t="str">
        <f t="shared" si="93"/>
        <v/>
      </c>
      <c r="B1994" s="100" t="str">
        <f>IF($E1994="","",INDEX(资金日记账!$B$4:$B$603,543))</f>
        <v/>
      </c>
      <c r="C1994" s="26" t="str">
        <f>IF($E1994="","",IF(INDEX(资金日记账!$W$4:$W$603,543)="","记-"&amp;TEXT($B1994,"YYYYMM")&amp;"-资金",INDEX(资金日记账!$W$4:$W$603,543)))</f>
        <v/>
      </c>
      <c r="D1994" s="32" t="str">
        <f>IF($E1994="","",INDEX(资金日记账!$D$4:$D$603,543))</f>
        <v/>
      </c>
      <c r="E1994" s="26" t="str">
        <f>IF(INDEX(资金日记账!$N$4:$S$603,543,1)=0,"",INDEX(资金日记账!$N$4:$S$603,543,1))</f>
        <v/>
      </c>
      <c r="F1994" s="25" t="str">
        <f>IF($E1994="","",IFERROR(INDEX(科目表!$A$4:$A$81,MATCH($E1994,科目表!$B$4:$B$81,0)),""))</f>
        <v/>
      </c>
      <c r="G1994" s="26" t="str">
        <f>IF($E1994="","",IFERROR(INDEX(科目表!$E$4:$E$81,MATCH($E1994,科目表!$B$4:$B$81,0)),""))</f>
        <v/>
      </c>
      <c r="H1994" s="27" t="str">
        <f>IF($E1994="","",N(INDEX(资金日记账!$N$4:$S$603,543,2)))</f>
        <v/>
      </c>
      <c r="I1994" s="27" t="str">
        <f>IF($E1994="","",N(INDEX(资金日记账!$N$4:$S$603,543,3)))</f>
        <v/>
      </c>
      <c r="J1994" s="26" t="str">
        <f>IF($E1994="","",INDEX(资金日记账!$E$4:$E$603,543))</f>
        <v/>
      </c>
      <c r="K1994" s="26" t="str">
        <f>IF($E1994="","",INDEX(资金日记账!$F$4:$F$603,543))</f>
        <v/>
      </c>
      <c r="L1994" s="32" t="str">
        <f>IF($E1994="","",INDEX(资金日记账!$X$4:$X$603,543))</f>
        <v/>
      </c>
      <c r="M1994" s="32"/>
      <c r="N1994" s="26" t="str">
        <f>IF($E1994="","",INDEX(资金日记账!$Y$4:$Y$603,543))</f>
        <v/>
      </c>
      <c r="O1994" s="26" t="str">
        <f t="shared" si="92"/>
        <v/>
      </c>
      <c r="P1994" s="10"/>
    </row>
    <row r="1995" ht="18" customHeight="1" spans="1:16">
      <c r="A1995" s="32" t="str">
        <f t="shared" si="93"/>
        <v/>
      </c>
      <c r="B1995" s="100" t="str">
        <f>IF($E1995="","",INDEX(资金日记账!$B$4:$B$603,543))</f>
        <v/>
      </c>
      <c r="C1995" s="26" t="str">
        <f>IF($E1995="","",IF(INDEX(资金日记账!$W$4:$W$603,543)="","记-"&amp;TEXT($B1995,"YYYYMM")&amp;"-资金",INDEX(资金日记账!$W$4:$W$603,543)))</f>
        <v/>
      </c>
      <c r="D1995" s="32" t="str">
        <f>IF($E1995="","",INDEX(资金日记账!$D$4:$D$603,543))</f>
        <v/>
      </c>
      <c r="E1995" s="26" t="str">
        <f>IF(INDEX(资金日记账!$N$4:$S$603,543,4)=0,"",INDEX(资金日记账!$N$4:$S$603,543,4))</f>
        <v/>
      </c>
      <c r="F1995" s="25" t="str">
        <f>IF($E1995="","",IFERROR(INDEX(科目表!$A$4:$A$81,MATCH($E1995,科目表!$B$4:$B$81,0)),""))</f>
        <v/>
      </c>
      <c r="G1995" s="26" t="str">
        <f>IF($E1995="","",IFERROR(INDEX(科目表!$E$4:$E$81,MATCH($E1995,科目表!$B$4:$B$81,0)),""))</f>
        <v/>
      </c>
      <c r="H1995" s="27" t="str">
        <f>IF($E1995="","",N(INDEX(资金日记账!$N$4:$S$603,543,5)))</f>
        <v/>
      </c>
      <c r="I1995" s="27" t="str">
        <f>IF($E1995="","",N(INDEX(资金日记账!$N$4:$S$603,543,6)))</f>
        <v/>
      </c>
      <c r="J1995" s="26" t="str">
        <f>IF($E1995="","",INDEX(资金日记账!$E$4:$E$603,543))</f>
        <v/>
      </c>
      <c r="K1995" s="26" t="str">
        <f>IF($E1995="","",INDEX(资金日记账!$F$4:$F$603,543))</f>
        <v/>
      </c>
      <c r="L1995" s="32" t="str">
        <f>IF($E1995="","",INDEX(资金日记账!$X$4:$X$603,543))</f>
        <v/>
      </c>
      <c r="M1995" s="32"/>
      <c r="N1995" s="26" t="str">
        <f>IF($E1995="","",INDEX(资金日记账!$Y$4:$Y$603,543))</f>
        <v/>
      </c>
      <c r="O1995" s="26" t="str">
        <f t="shared" si="92"/>
        <v/>
      </c>
      <c r="P1995" s="10"/>
    </row>
    <row r="1996" ht="18" customHeight="1" spans="1:16">
      <c r="A1996" s="32" t="str">
        <f t="shared" si="93"/>
        <v/>
      </c>
      <c r="B1996" s="100" t="str">
        <f>IF($E1996="","",INDEX(资金日记账!$B$4:$B$603,544))</f>
        <v/>
      </c>
      <c r="C1996" s="26" t="str">
        <f>IF($E1996="","",IF(INDEX(资金日记账!$W$4:$W$603,544)="","记-"&amp;TEXT($B1996,"YYYYMM")&amp;"-资金",INDEX(资金日记账!$W$4:$W$603,544)))</f>
        <v/>
      </c>
      <c r="D1996" s="32" t="str">
        <f>IF($E1996="","",INDEX(资金日记账!$D$4:$D$603,544))</f>
        <v/>
      </c>
      <c r="E1996" s="26" t="str">
        <f>IF(INDEX(资金日记账!$N$4:$S$603,544,1)=0,"",INDEX(资金日记账!$N$4:$S$603,544,1))</f>
        <v/>
      </c>
      <c r="F1996" s="25" t="str">
        <f>IF($E1996="","",IFERROR(INDEX(科目表!$A$4:$A$81,MATCH($E1996,科目表!$B$4:$B$81,0)),""))</f>
        <v/>
      </c>
      <c r="G1996" s="26" t="str">
        <f>IF($E1996="","",IFERROR(INDEX(科目表!$E$4:$E$81,MATCH($E1996,科目表!$B$4:$B$81,0)),""))</f>
        <v/>
      </c>
      <c r="H1996" s="27" t="str">
        <f>IF($E1996="","",N(INDEX(资金日记账!$N$4:$S$603,544,2)))</f>
        <v/>
      </c>
      <c r="I1996" s="27" t="str">
        <f>IF($E1996="","",N(INDEX(资金日记账!$N$4:$S$603,544,3)))</f>
        <v/>
      </c>
      <c r="J1996" s="26" t="str">
        <f>IF($E1996="","",INDEX(资金日记账!$E$4:$E$603,544))</f>
        <v/>
      </c>
      <c r="K1996" s="26" t="str">
        <f>IF($E1996="","",INDEX(资金日记账!$F$4:$F$603,544))</f>
        <v/>
      </c>
      <c r="L1996" s="32" t="str">
        <f>IF($E1996="","",INDEX(资金日记账!$X$4:$X$603,544))</f>
        <v/>
      </c>
      <c r="M1996" s="32"/>
      <c r="N1996" s="26" t="str">
        <f>IF($E1996="","",INDEX(资金日记账!$Y$4:$Y$603,544))</f>
        <v/>
      </c>
      <c r="O1996" s="26" t="str">
        <f t="shared" si="92"/>
        <v/>
      </c>
      <c r="P1996" s="10"/>
    </row>
    <row r="1997" ht="18" customHeight="1" spans="1:16">
      <c r="A1997" s="32" t="str">
        <f t="shared" si="93"/>
        <v/>
      </c>
      <c r="B1997" s="100" t="str">
        <f>IF($E1997="","",INDEX(资金日记账!$B$4:$B$603,544))</f>
        <v/>
      </c>
      <c r="C1997" s="26" t="str">
        <f>IF($E1997="","",IF(INDEX(资金日记账!$W$4:$W$603,544)="","记-"&amp;TEXT($B1997,"YYYYMM")&amp;"-资金",INDEX(资金日记账!$W$4:$W$603,544)))</f>
        <v/>
      </c>
      <c r="D1997" s="32" t="str">
        <f>IF($E1997="","",INDEX(资金日记账!$D$4:$D$603,544))</f>
        <v/>
      </c>
      <c r="E1997" s="26" t="str">
        <f>IF(INDEX(资金日记账!$N$4:$S$603,544,4)=0,"",INDEX(资金日记账!$N$4:$S$603,544,4))</f>
        <v/>
      </c>
      <c r="F1997" s="25" t="str">
        <f>IF($E1997="","",IFERROR(INDEX(科目表!$A$4:$A$81,MATCH($E1997,科目表!$B$4:$B$81,0)),""))</f>
        <v/>
      </c>
      <c r="G1997" s="26" t="str">
        <f>IF($E1997="","",IFERROR(INDEX(科目表!$E$4:$E$81,MATCH($E1997,科目表!$B$4:$B$81,0)),""))</f>
        <v/>
      </c>
      <c r="H1997" s="27" t="str">
        <f>IF($E1997="","",N(INDEX(资金日记账!$N$4:$S$603,544,5)))</f>
        <v/>
      </c>
      <c r="I1997" s="27" t="str">
        <f>IF($E1997="","",N(INDEX(资金日记账!$N$4:$S$603,544,6)))</f>
        <v/>
      </c>
      <c r="J1997" s="26" t="str">
        <f>IF($E1997="","",INDEX(资金日记账!$E$4:$E$603,544))</f>
        <v/>
      </c>
      <c r="K1997" s="26" t="str">
        <f>IF($E1997="","",INDEX(资金日记账!$F$4:$F$603,544))</f>
        <v/>
      </c>
      <c r="L1997" s="32" t="str">
        <f>IF($E1997="","",INDEX(资金日记账!$X$4:$X$603,544))</f>
        <v/>
      </c>
      <c r="M1997" s="32"/>
      <c r="N1997" s="26" t="str">
        <f>IF($E1997="","",INDEX(资金日记账!$Y$4:$Y$603,544))</f>
        <v/>
      </c>
      <c r="O1997" s="26" t="str">
        <f t="shared" si="92"/>
        <v/>
      </c>
      <c r="P1997" s="10"/>
    </row>
    <row r="1998" ht="18" customHeight="1" spans="1:16">
      <c r="A1998" s="32" t="str">
        <f t="shared" si="93"/>
        <v/>
      </c>
      <c r="B1998" s="100" t="str">
        <f>IF($E1998="","",INDEX(资金日记账!$B$4:$B$603,545))</f>
        <v/>
      </c>
      <c r="C1998" s="26" t="str">
        <f>IF($E1998="","",IF(INDEX(资金日记账!$W$4:$W$603,545)="","记-"&amp;TEXT($B1998,"YYYYMM")&amp;"-资金",INDEX(资金日记账!$W$4:$W$603,545)))</f>
        <v/>
      </c>
      <c r="D1998" s="32" t="str">
        <f>IF($E1998="","",INDEX(资金日记账!$D$4:$D$603,545))</f>
        <v/>
      </c>
      <c r="E1998" s="26" t="str">
        <f>IF(INDEX(资金日记账!$N$4:$S$603,545,1)=0,"",INDEX(资金日记账!$N$4:$S$603,545,1))</f>
        <v/>
      </c>
      <c r="F1998" s="25" t="str">
        <f>IF($E1998="","",IFERROR(INDEX(科目表!$A$4:$A$81,MATCH($E1998,科目表!$B$4:$B$81,0)),""))</f>
        <v/>
      </c>
      <c r="G1998" s="26" t="str">
        <f>IF($E1998="","",IFERROR(INDEX(科目表!$E$4:$E$81,MATCH($E1998,科目表!$B$4:$B$81,0)),""))</f>
        <v/>
      </c>
      <c r="H1998" s="27" t="str">
        <f>IF($E1998="","",N(INDEX(资金日记账!$N$4:$S$603,545,2)))</f>
        <v/>
      </c>
      <c r="I1998" s="27" t="str">
        <f>IF($E1998="","",N(INDEX(资金日记账!$N$4:$S$603,545,3)))</f>
        <v/>
      </c>
      <c r="J1998" s="26" t="str">
        <f>IF($E1998="","",INDEX(资金日记账!$E$4:$E$603,545))</f>
        <v/>
      </c>
      <c r="K1998" s="26" t="str">
        <f>IF($E1998="","",INDEX(资金日记账!$F$4:$F$603,545))</f>
        <v/>
      </c>
      <c r="L1998" s="32" t="str">
        <f>IF($E1998="","",INDEX(资金日记账!$X$4:$X$603,545))</f>
        <v/>
      </c>
      <c r="M1998" s="32"/>
      <c r="N1998" s="26" t="str">
        <f>IF($E1998="","",INDEX(资金日记账!$Y$4:$Y$603,545))</f>
        <v/>
      </c>
      <c r="O1998" s="26" t="str">
        <f t="shared" ref="O1998:O2061" si="94">IF($E1998="","","自动B")</f>
        <v/>
      </c>
      <c r="P1998" s="10"/>
    </row>
    <row r="1999" ht="18" customHeight="1" spans="1:16">
      <c r="A1999" s="32" t="str">
        <f t="shared" si="93"/>
        <v/>
      </c>
      <c r="B1999" s="100" t="str">
        <f>IF($E1999="","",INDEX(资金日记账!$B$4:$B$603,545))</f>
        <v/>
      </c>
      <c r="C1999" s="26" t="str">
        <f>IF($E1999="","",IF(INDEX(资金日记账!$W$4:$W$603,545)="","记-"&amp;TEXT($B1999,"YYYYMM")&amp;"-资金",INDEX(资金日记账!$W$4:$W$603,545)))</f>
        <v/>
      </c>
      <c r="D1999" s="32" t="str">
        <f>IF($E1999="","",INDEX(资金日记账!$D$4:$D$603,545))</f>
        <v/>
      </c>
      <c r="E1999" s="26" t="str">
        <f>IF(INDEX(资金日记账!$N$4:$S$603,545,4)=0,"",INDEX(资金日记账!$N$4:$S$603,545,4))</f>
        <v/>
      </c>
      <c r="F1999" s="25" t="str">
        <f>IF($E1999="","",IFERROR(INDEX(科目表!$A$4:$A$81,MATCH($E1999,科目表!$B$4:$B$81,0)),""))</f>
        <v/>
      </c>
      <c r="G1999" s="26" t="str">
        <f>IF($E1999="","",IFERROR(INDEX(科目表!$E$4:$E$81,MATCH($E1999,科目表!$B$4:$B$81,0)),""))</f>
        <v/>
      </c>
      <c r="H1999" s="27" t="str">
        <f>IF($E1999="","",N(INDEX(资金日记账!$N$4:$S$603,545,5)))</f>
        <v/>
      </c>
      <c r="I1999" s="27" t="str">
        <f>IF($E1999="","",N(INDEX(资金日记账!$N$4:$S$603,545,6)))</f>
        <v/>
      </c>
      <c r="J1999" s="26" t="str">
        <f>IF($E1999="","",INDEX(资金日记账!$E$4:$E$603,545))</f>
        <v/>
      </c>
      <c r="K1999" s="26" t="str">
        <f>IF($E1999="","",INDEX(资金日记账!$F$4:$F$603,545))</f>
        <v/>
      </c>
      <c r="L1999" s="32" t="str">
        <f>IF($E1999="","",INDEX(资金日记账!$X$4:$X$603,545))</f>
        <v/>
      </c>
      <c r="M1999" s="32"/>
      <c r="N1999" s="26" t="str">
        <f>IF($E1999="","",INDEX(资金日记账!$Y$4:$Y$603,545))</f>
        <v/>
      </c>
      <c r="O1999" s="26" t="str">
        <f t="shared" si="94"/>
        <v/>
      </c>
      <c r="P1999" s="10"/>
    </row>
    <row r="2000" ht="18" customHeight="1" spans="1:16">
      <c r="A2000" s="32" t="str">
        <f t="shared" si="93"/>
        <v/>
      </c>
      <c r="B2000" s="100" t="str">
        <f>IF($E2000="","",INDEX(资金日记账!$B$4:$B$603,546))</f>
        <v/>
      </c>
      <c r="C2000" s="26" t="str">
        <f>IF($E2000="","",IF(INDEX(资金日记账!$W$4:$W$603,546)="","记-"&amp;TEXT($B2000,"YYYYMM")&amp;"-资金",INDEX(资金日记账!$W$4:$W$603,546)))</f>
        <v/>
      </c>
      <c r="D2000" s="32" t="str">
        <f>IF($E2000="","",INDEX(资金日记账!$D$4:$D$603,546))</f>
        <v/>
      </c>
      <c r="E2000" s="26" t="str">
        <f>IF(INDEX(资金日记账!$N$4:$S$603,546,1)=0,"",INDEX(资金日记账!$N$4:$S$603,546,1))</f>
        <v/>
      </c>
      <c r="F2000" s="25" t="str">
        <f>IF($E2000="","",IFERROR(INDEX(科目表!$A$4:$A$81,MATCH($E2000,科目表!$B$4:$B$81,0)),""))</f>
        <v/>
      </c>
      <c r="G2000" s="26" t="str">
        <f>IF($E2000="","",IFERROR(INDEX(科目表!$E$4:$E$81,MATCH($E2000,科目表!$B$4:$B$81,0)),""))</f>
        <v/>
      </c>
      <c r="H2000" s="27" t="str">
        <f>IF($E2000="","",N(INDEX(资金日记账!$N$4:$S$603,546,2)))</f>
        <v/>
      </c>
      <c r="I2000" s="27" t="str">
        <f>IF($E2000="","",N(INDEX(资金日记账!$N$4:$S$603,546,3)))</f>
        <v/>
      </c>
      <c r="J2000" s="26" t="str">
        <f>IF($E2000="","",INDEX(资金日记账!$E$4:$E$603,546))</f>
        <v/>
      </c>
      <c r="K2000" s="26" t="str">
        <f>IF($E2000="","",INDEX(资金日记账!$F$4:$F$603,546))</f>
        <v/>
      </c>
      <c r="L2000" s="32" t="str">
        <f>IF($E2000="","",INDEX(资金日记账!$X$4:$X$603,546))</f>
        <v/>
      </c>
      <c r="M2000" s="32"/>
      <c r="N2000" s="26" t="str">
        <f>IF($E2000="","",INDEX(资金日记账!$Y$4:$Y$603,546))</f>
        <v/>
      </c>
      <c r="O2000" s="26" t="str">
        <f t="shared" si="94"/>
        <v/>
      </c>
      <c r="P2000" s="10"/>
    </row>
    <row r="2001" ht="18" customHeight="1" spans="1:16">
      <c r="A2001" s="32" t="str">
        <f t="shared" si="93"/>
        <v/>
      </c>
      <c r="B2001" s="100" t="str">
        <f>IF($E2001="","",INDEX(资金日记账!$B$4:$B$603,546))</f>
        <v/>
      </c>
      <c r="C2001" s="26" t="str">
        <f>IF($E2001="","",IF(INDEX(资金日记账!$W$4:$W$603,546)="","记-"&amp;TEXT($B2001,"YYYYMM")&amp;"-资金",INDEX(资金日记账!$W$4:$W$603,546)))</f>
        <v/>
      </c>
      <c r="D2001" s="32" t="str">
        <f>IF($E2001="","",INDEX(资金日记账!$D$4:$D$603,546))</f>
        <v/>
      </c>
      <c r="E2001" s="26" t="str">
        <f>IF(INDEX(资金日记账!$N$4:$S$603,546,4)=0,"",INDEX(资金日记账!$N$4:$S$603,546,4))</f>
        <v/>
      </c>
      <c r="F2001" s="25" t="str">
        <f>IF($E2001="","",IFERROR(INDEX(科目表!$A$4:$A$81,MATCH($E2001,科目表!$B$4:$B$81,0)),""))</f>
        <v/>
      </c>
      <c r="G2001" s="26" t="str">
        <f>IF($E2001="","",IFERROR(INDEX(科目表!$E$4:$E$81,MATCH($E2001,科目表!$B$4:$B$81,0)),""))</f>
        <v/>
      </c>
      <c r="H2001" s="27" t="str">
        <f>IF($E2001="","",N(INDEX(资金日记账!$N$4:$S$603,546,5)))</f>
        <v/>
      </c>
      <c r="I2001" s="27" t="str">
        <f>IF($E2001="","",N(INDEX(资金日记账!$N$4:$S$603,546,6)))</f>
        <v/>
      </c>
      <c r="J2001" s="26" t="str">
        <f>IF($E2001="","",INDEX(资金日记账!$E$4:$E$603,546))</f>
        <v/>
      </c>
      <c r="K2001" s="26" t="str">
        <f>IF($E2001="","",INDEX(资金日记账!$F$4:$F$603,546))</f>
        <v/>
      </c>
      <c r="L2001" s="32" t="str">
        <f>IF($E2001="","",INDEX(资金日记账!$X$4:$X$603,546))</f>
        <v/>
      </c>
      <c r="M2001" s="32"/>
      <c r="N2001" s="26" t="str">
        <f>IF($E2001="","",INDEX(资金日记账!$Y$4:$Y$603,546))</f>
        <v/>
      </c>
      <c r="O2001" s="26" t="str">
        <f t="shared" si="94"/>
        <v/>
      </c>
      <c r="P2001" s="10"/>
    </row>
    <row r="2002" ht="18" customHeight="1" spans="1:16">
      <c r="A2002" s="32" t="str">
        <f t="shared" si="93"/>
        <v/>
      </c>
      <c r="B2002" s="100" t="str">
        <f>IF($E2002="","",INDEX(资金日记账!$B$4:$B$603,547))</f>
        <v/>
      </c>
      <c r="C2002" s="26" t="str">
        <f>IF($E2002="","",IF(INDEX(资金日记账!$W$4:$W$603,547)="","记-"&amp;TEXT($B2002,"YYYYMM")&amp;"-资金",INDEX(资金日记账!$W$4:$W$603,547)))</f>
        <v/>
      </c>
      <c r="D2002" s="32" t="str">
        <f>IF($E2002="","",INDEX(资金日记账!$D$4:$D$603,547))</f>
        <v/>
      </c>
      <c r="E2002" s="26" t="str">
        <f>IF(INDEX(资金日记账!$N$4:$S$603,547,1)=0,"",INDEX(资金日记账!$N$4:$S$603,547,1))</f>
        <v/>
      </c>
      <c r="F2002" s="25" t="str">
        <f>IF($E2002="","",IFERROR(INDEX(科目表!$A$4:$A$81,MATCH($E2002,科目表!$B$4:$B$81,0)),""))</f>
        <v/>
      </c>
      <c r="G2002" s="26" t="str">
        <f>IF($E2002="","",IFERROR(INDEX(科目表!$E$4:$E$81,MATCH($E2002,科目表!$B$4:$B$81,0)),""))</f>
        <v/>
      </c>
      <c r="H2002" s="27" t="str">
        <f>IF($E2002="","",N(INDEX(资金日记账!$N$4:$S$603,547,2)))</f>
        <v/>
      </c>
      <c r="I2002" s="27" t="str">
        <f>IF($E2002="","",N(INDEX(资金日记账!$N$4:$S$603,547,3)))</f>
        <v/>
      </c>
      <c r="J2002" s="26" t="str">
        <f>IF($E2002="","",INDEX(资金日记账!$E$4:$E$603,547))</f>
        <v/>
      </c>
      <c r="K2002" s="26" t="str">
        <f>IF($E2002="","",INDEX(资金日记账!$F$4:$F$603,547))</f>
        <v/>
      </c>
      <c r="L2002" s="32" t="str">
        <f>IF($E2002="","",INDEX(资金日记账!$X$4:$X$603,547))</f>
        <v/>
      </c>
      <c r="M2002" s="32"/>
      <c r="N2002" s="26" t="str">
        <f>IF($E2002="","",INDEX(资金日记账!$Y$4:$Y$603,547))</f>
        <v/>
      </c>
      <c r="O2002" s="26" t="str">
        <f t="shared" si="94"/>
        <v/>
      </c>
      <c r="P2002" s="10"/>
    </row>
    <row r="2003" ht="18" customHeight="1" spans="1:16">
      <c r="A2003" s="32" t="str">
        <f t="shared" si="93"/>
        <v/>
      </c>
      <c r="B2003" s="100" t="str">
        <f>IF($E2003="","",INDEX(资金日记账!$B$4:$B$603,547))</f>
        <v/>
      </c>
      <c r="C2003" s="26" t="str">
        <f>IF($E2003="","",IF(INDEX(资金日记账!$W$4:$W$603,547)="","记-"&amp;TEXT($B2003,"YYYYMM")&amp;"-资金",INDEX(资金日记账!$W$4:$W$603,547)))</f>
        <v/>
      </c>
      <c r="D2003" s="32" t="str">
        <f>IF($E2003="","",INDEX(资金日记账!$D$4:$D$603,547))</f>
        <v/>
      </c>
      <c r="E2003" s="26" t="str">
        <f>IF(INDEX(资金日记账!$N$4:$S$603,547,4)=0,"",INDEX(资金日记账!$N$4:$S$603,547,4))</f>
        <v/>
      </c>
      <c r="F2003" s="25" t="str">
        <f>IF($E2003="","",IFERROR(INDEX(科目表!$A$4:$A$81,MATCH($E2003,科目表!$B$4:$B$81,0)),""))</f>
        <v/>
      </c>
      <c r="G2003" s="26" t="str">
        <f>IF($E2003="","",IFERROR(INDEX(科目表!$E$4:$E$81,MATCH($E2003,科目表!$B$4:$B$81,0)),""))</f>
        <v/>
      </c>
      <c r="H2003" s="27" t="str">
        <f>IF($E2003="","",N(INDEX(资金日记账!$N$4:$S$603,547,5)))</f>
        <v/>
      </c>
      <c r="I2003" s="27" t="str">
        <f>IF($E2003="","",N(INDEX(资金日记账!$N$4:$S$603,547,6)))</f>
        <v/>
      </c>
      <c r="J2003" s="26" t="str">
        <f>IF($E2003="","",INDEX(资金日记账!$E$4:$E$603,547))</f>
        <v/>
      </c>
      <c r="K2003" s="26" t="str">
        <f>IF($E2003="","",INDEX(资金日记账!$F$4:$F$603,547))</f>
        <v/>
      </c>
      <c r="L2003" s="32" t="str">
        <f>IF($E2003="","",INDEX(资金日记账!$X$4:$X$603,547))</f>
        <v/>
      </c>
      <c r="M2003" s="32"/>
      <c r="N2003" s="26" t="str">
        <f>IF($E2003="","",INDEX(资金日记账!$Y$4:$Y$603,547))</f>
        <v/>
      </c>
      <c r="O2003" s="26" t="str">
        <f t="shared" si="94"/>
        <v/>
      </c>
      <c r="P2003" s="10"/>
    </row>
    <row r="2004" ht="18" customHeight="1" spans="1:16">
      <c r="A2004" s="32" t="str">
        <f t="shared" si="93"/>
        <v/>
      </c>
      <c r="B2004" s="100" t="str">
        <f>IF($E2004="","",INDEX(资金日记账!$B$4:$B$603,548))</f>
        <v/>
      </c>
      <c r="C2004" s="26" t="str">
        <f>IF($E2004="","",IF(INDEX(资金日记账!$W$4:$W$603,548)="","记-"&amp;TEXT($B2004,"YYYYMM")&amp;"-资金",INDEX(资金日记账!$W$4:$W$603,548)))</f>
        <v/>
      </c>
      <c r="D2004" s="32" t="str">
        <f>IF($E2004="","",INDEX(资金日记账!$D$4:$D$603,548))</f>
        <v/>
      </c>
      <c r="E2004" s="26" t="str">
        <f>IF(INDEX(资金日记账!$N$4:$S$603,548,1)=0,"",INDEX(资金日记账!$N$4:$S$603,548,1))</f>
        <v/>
      </c>
      <c r="F2004" s="25" t="str">
        <f>IF($E2004="","",IFERROR(INDEX(科目表!$A$4:$A$81,MATCH($E2004,科目表!$B$4:$B$81,0)),""))</f>
        <v/>
      </c>
      <c r="G2004" s="26" t="str">
        <f>IF($E2004="","",IFERROR(INDEX(科目表!$E$4:$E$81,MATCH($E2004,科目表!$B$4:$B$81,0)),""))</f>
        <v/>
      </c>
      <c r="H2004" s="27" t="str">
        <f>IF($E2004="","",N(INDEX(资金日记账!$N$4:$S$603,548,2)))</f>
        <v/>
      </c>
      <c r="I2004" s="27" t="str">
        <f>IF($E2004="","",N(INDEX(资金日记账!$N$4:$S$603,548,3)))</f>
        <v/>
      </c>
      <c r="J2004" s="26" t="str">
        <f>IF($E2004="","",INDEX(资金日记账!$E$4:$E$603,548))</f>
        <v/>
      </c>
      <c r="K2004" s="26" t="str">
        <f>IF($E2004="","",INDEX(资金日记账!$F$4:$F$603,548))</f>
        <v/>
      </c>
      <c r="L2004" s="32" t="str">
        <f>IF($E2004="","",INDEX(资金日记账!$X$4:$X$603,548))</f>
        <v/>
      </c>
      <c r="M2004" s="32"/>
      <c r="N2004" s="26" t="str">
        <f>IF($E2004="","",INDEX(资金日记账!$Y$4:$Y$603,548))</f>
        <v/>
      </c>
      <c r="O2004" s="26" t="str">
        <f t="shared" si="94"/>
        <v/>
      </c>
      <c r="P2004" s="10"/>
    </row>
    <row r="2005" ht="18" customHeight="1" spans="1:16">
      <c r="A2005" s="32" t="str">
        <f t="shared" si="93"/>
        <v/>
      </c>
      <c r="B2005" s="100" t="str">
        <f>IF($E2005="","",INDEX(资金日记账!$B$4:$B$603,548))</f>
        <v/>
      </c>
      <c r="C2005" s="26" t="str">
        <f>IF($E2005="","",IF(INDEX(资金日记账!$W$4:$W$603,548)="","记-"&amp;TEXT($B2005,"YYYYMM")&amp;"-资金",INDEX(资金日记账!$W$4:$W$603,548)))</f>
        <v/>
      </c>
      <c r="D2005" s="32" t="str">
        <f>IF($E2005="","",INDEX(资金日记账!$D$4:$D$603,548))</f>
        <v/>
      </c>
      <c r="E2005" s="26" t="str">
        <f>IF(INDEX(资金日记账!$N$4:$S$603,548,4)=0,"",INDEX(资金日记账!$N$4:$S$603,548,4))</f>
        <v/>
      </c>
      <c r="F2005" s="25" t="str">
        <f>IF($E2005="","",IFERROR(INDEX(科目表!$A$4:$A$81,MATCH($E2005,科目表!$B$4:$B$81,0)),""))</f>
        <v/>
      </c>
      <c r="G2005" s="26" t="str">
        <f>IF($E2005="","",IFERROR(INDEX(科目表!$E$4:$E$81,MATCH($E2005,科目表!$B$4:$B$81,0)),""))</f>
        <v/>
      </c>
      <c r="H2005" s="27" t="str">
        <f>IF($E2005="","",N(INDEX(资金日记账!$N$4:$S$603,548,5)))</f>
        <v/>
      </c>
      <c r="I2005" s="27" t="str">
        <f>IF($E2005="","",N(INDEX(资金日记账!$N$4:$S$603,548,6)))</f>
        <v/>
      </c>
      <c r="J2005" s="26" t="str">
        <f>IF($E2005="","",INDEX(资金日记账!$E$4:$E$603,548))</f>
        <v/>
      </c>
      <c r="K2005" s="26" t="str">
        <f>IF($E2005="","",INDEX(资金日记账!$F$4:$F$603,548))</f>
        <v/>
      </c>
      <c r="L2005" s="32" t="str">
        <f>IF($E2005="","",INDEX(资金日记账!$X$4:$X$603,548))</f>
        <v/>
      </c>
      <c r="M2005" s="32"/>
      <c r="N2005" s="26" t="str">
        <f>IF($E2005="","",INDEX(资金日记账!$Y$4:$Y$603,548))</f>
        <v/>
      </c>
      <c r="O2005" s="26" t="str">
        <f t="shared" si="94"/>
        <v/>
      </c>
      <c r="P2005" s="10"/>
    </row>
    <row r="2006" ht="18" customHeight="1" spans="1:16">
      <c r="A2006" s="32" t="str">
        <f t="shared" si="93"/>
        <v/>
      </c>
      <c r="B2006" s="100" t="str">
        <f>IF($E2006="","",INDEX(资金日记账!$B$4:$B$603,549))</f>
        <v/>
      </c>
      <c r="C2006" s="26" t="str">
        <f>IF($E2006="","",IF(INDEX(资金日记账!$W$4:$W$603,549)="","记-"&amp;TEXT($B2006,"YYYYMM")&amp;"-资金",INDEX(资金日记账!$W$4:$W$603,549)))</f>
        <v/>
      </c>
      <c r="D2006" s="32" t="str">
        <f>IF($E2006="","",INDEX(资金日记账!$D$4:$D$603,549))</f>
        <v/>
      </c>
      <c r="E2006" s="26" t="str">
        <f>IF(INDEX(资金日记账!$N$4:$S$603,549,1)=0,"",INDEX(资金日记账!$N$4:$S$603,549,1))</f>
        <v/>
      </c>
      <c r="F2006" s="25" t="str">
        <f>IF($E2006="","",IFERROR(INDEX(科目表!$A$4:$A$81,MATCH($E2006,科目表!$B$4:$B$81,0)),""))</f>
        <v/>
      </c>
      <c r="G2006" s="26" t="str">
        <f>IF($E2006="","",IFERROR(INDEX(科目表!$E$4:$E$81,MATCH($E2006,科目表!$B$4:$B$81,0)),""))</f>
        <v/>
      </c>
      <c r="H2006" s="27" t="str">
        <f>IF($E2006="","",N(INDEX(资金日记账!$N$4:$S$603,549,2)))</f>
        <v/>
      </c>
      <c r="I2006" s="27" t="str">
        <f>IF($E2006="","",N(INDEX(资金日记账!$N$4:$S$603,549,3)))</f>
        <v/>
      </c>
      <c r="J2006" s="26" t="str">
        <f>IF($E2006="","",INDEX(资金日记账!$E$4:$E$603,549))</f>
        <v/>
      </c>
      <c r="K2006" s="26" t="str">
        <f>IF($E2006="","",INDEX(资金日记账!$F$4:$F$603,549))</f>
        <v/>
      </c>
      <c r="L2006" s="32" t="str">
        <f>IF($E2006="","",INDEX(资金日记账!$X$4:$X$603,549))</f>
        <v/>
      </c>
      <c r="M2006" s="32"/>
      <c r="N2006" s="26" t="str">
        <f>IF($E2006="","",INDEX(资金日记账!$Y$4:$Y$603,549))</f>
        <v/>
      </c>
      <c r="O2006" s="26" t="str">
        <f t="shared" si="94"/>
        <v/>
      </c>
      <c r="P2006" s="10"/>
    </row>
    <row r="2007" ht="18" customHeight="1" spans="1:16">
      <c r="A2007" s="32" t="str">
        <f t="shared" si="93"/>
        <v/>
      </c>
      <c r="B2007" s="100" t="str">
        <f>IF($E2007="","",INDEX(资金日记账!$B$4:$B$603,549))</f>
        <v/>
      </c>
      <c r="C2007" s="26" t="str">
        <f>IF($E2007="","",IF(INDEX(资金日记账!$W$4:$W$603,549)="","记-"&amp;TEXT($B2007,"YYYYMM")&amp;"-资金",INDEX(资金日记账!$W$4:$W$603,549)))</f>
        <v/>
      </c>
      <c r="D2007" s="32" t="str">
        <f>IF($E2007="","",INDEX(资金日记账!$D$4:$D$603,549))</f>
        <v/>
      </c>
      <c r="E2007" s="26" t="str">
        <f>IF(INDEX(资金日记账!$N$4:$S$603,549,4)=0,"",INDEX(资金日记账!$N$4:$S$603,549,4))</f>
        <v/>
      </c>
      <c r="F2007" s="25" t="str">
        <f>IF($E2007="","",IFERROR(INDEX(科目表!$A$4:$A$81,MATCH($E2007,科目表!$B$4:$B$81,0)),""))</f>
        <v/>
      </c>
      <c r="G2007" s="26" t="str">
        <f>IF($E2007="","",IFERROR(INDEX(科目表!$E$4:$E$81,MATCH($E2007,科目表!$B$4:$B$81,0)),""))</f>
        <v/>
      </c>
      <c r="H2007" s="27" t="str">
        <f>IF($E2007="","",N(INDEX(资金日记账!$N$4:$S$603,549,5)))</f>
        <v/>
      </c>
      <c r="I2007" s="27" t="str">
        <f>IF($E2007="","",N(INDEX(资金日记账!$N$4:$S$603,549,6)))</f>
        <v/>
      </c>
      <c r="J2007" s="26" t="str">
        <f>IF($E2007="","",INDEX(资金日记账!$E$4:$E$603,549))</f>
        <v/>
      </c>
      <c r="K2007" s="26" t="str">
        <f>IF($E2007="","",INDEX(资金日记账!$F$4:$F$603,549))</f>
        <v/>
      </c>
      <c r="L2007" s="32" t="str">
        <f>IF($E2007="","",INDEX(资金日记账!$X$4:$X$603,549))</f>
        <v/>
      </c>
      <c r="M2007" s="32"/>
      <c r="N2007" s="26" t="str">
        <f>IF($E2007="","",INDEX(资金日记账!$Y$4:$Y$603,549))</f>
        <v/>
      </c>
      <c r="O2007" s="26" t="str">
        <f t="shared" si="94"/>
        <v/>
      </c>
      <c r="P2007" s="10"/>
    </row>
    <row r="2008" ht="18" customHeight="1" spans="1:16">
      <c r="A2008" s="32" t="str">
        <f t="shared" si="93"/>
        <v/>
      </c>
      <c r="B2008" s="100" t="str">
        <f>IF($E2008="","",INDEX(资金日记账!$B$4:$B$603,550))</f>
        <v/>
      </c>
      <c r="C2008" s="26" t="str">
        <f>IF($E2008="","",IF(INDEX(资金日记账!$W$4:$W$603,550)="","记-"&amp;TEXT($B2008,"YYYYMM")&amp;"-资金",INDEX(资金日记账!$W$4:$W$603,550)))</f>
        <v/>
      </c>
      <c r="D2008" s="32" t="str">
        <f>IF($E2008="","",INDEX(资金日记账!$D$4:$D$603,550))</f>
        <v/>
      </c>
      <c r="E2008" s="26" t="str">
        <f>IF(INDEX(资金日记账!$N$4:$S$603,550,1)=0,"",INDEX(资金日记账!$N$4:$S$603,550,1))</f>
        <v/>
      </c>
      <c r="F2008" s="25" t="str">
        <f>IF($E2008="","",IFERROR(INDEX(科目表!$A$4:$A$81,MATCH($E2008,科目表!$B$4:$B$81,0)),""))</f>
        <v/>
      </c>
      <c r="G2008" s="26" t="str">
        <f>IF($E2008="","",IFERROR(INDEX(科目表!$E$4:$E$81,MATCH($E2008,科目表!$B$4:$B$81,0)),""))</f>
        <v/>
      </c>
      <c r="H2008" s="27" t="str">
        <f>IF($E2008="","",N(INDEX(资金日记账!$N$4:$S$603,550,2)))</f>
        <v/>
      </c>
      <c r="I2008" s="27" t="str">
        <f>IF($E2008="","",N(INDEX(资金日记账!$N$4:$S$603,550,3)))</f>
        <v/>
      </c>
      <c r="J2008" s="26" t="str">
        <f>IF($E2008="","",INDEX(资金日记账!$E$4:$E$603,550))</f>
        <v/>
      </c>
      <c r="K2008" s="26" t="str">
        <f>IF($E2008="","",INDEX(资金日记账!$F$4:$F$603,550))</f>
        <v/>
      </c>
      <c r="L2008" s="32" t="str">
        <f>IF($E2008="","",INDEX(资金日记账!$X$4:$X$603,550))</f>
        <v/>
      </c>
      <c r="M2008" s="32"/>
      <c r="N2008" s="26" t="str">
        <f>IF($E2008="","",INDEX(资金日记账!$Y$4:$Y$603,550))</f>
        <v/>
      </c>
      <c r="O2008" s="26" t="str">
        <f t="shared" si="94"/>
        <v/>
      </c>
      <c r="P2008" s="10"/>
    </row>
    <row r="2009" ht="18" customHeight="1" spans="1:16">
      <c r="A2009" s="32" t="str">
        <f t="shared" si="93"/>
        <v/>
      </c>
      <c r="B2009" s="100" t="str">
        <f>IF($E2009="","",INDEX(资金日记账!$B$4:$B$603,550))</f>
        <v/>
      </c>
      <c r="C2009" s="26" t="str">
        <f>IF($E2009="","",IF(INDEX(资金日记账!$W$4:$W$603,550)="","记-"&amp;TEXT($B2009,"YYYYMM")&amp;"-资金",INDEX(资金日记账!$W$4:$W$603,550)))</f>
        <v/>
      </c>
      <c r="D2009" s="32" t="str">
        <f>IF($E2009="","",INDEX(资金日记账!$D$4:$D$603,550))</f>
        <v/>
      </c>
      <c r="E2009" s="26" t="str">
        <f>IF(INDEX(资金日记账!$N$4:$S$603,550,4)=0,"",INDEX(资金日记账!$N$4:$S$603,550,4))</f>
        <v/>
      </c>
      <c r="F2009" s="25" t="str">
        <f>IF($E2009="","",IFERROR(INDEX(科目表!$A$4:$A$81,MATCH($E2009,科目表!$B$4:$B$81,0)),""))</f>
        <v/>
      </c>
      <c r="G2009" s="26" t="str">
        <f>IF($E2009="","",IFERROR(INDEX(科目表!$E$4:$E$81,MATCH($E2009,科目表!$B$4:$B$81,0)),""))</f>
        <v/>
      </c>
      <c r="H2009" s="27" t="str">
        <f>IF($E2009="","",N(INDEX(资金日记账!$N$4:$S$603,550,5)))</f>
        <v/>
      </c>
      <c r="I2009" s="27" t="str">
        <f>IF($E2009="","",N(INDEX(资金日记账!$N$4:$S$603,550,6)))</f>
        <v/>
      </c>
      <c r="J2009" s="26" t="str">
        <f>IF($E2009="","",INDEX(资金日记账!$E$4:$E$603,550))</f>
        <v/>
      </c>
      <c r="K2009" s="26" t="str">
        <f>IF($E2009="","",INDEX(资金日记账!$F$4:$F$603,550))</f>
        <v/>
      </c>
      <c r="L2009" s="32" t="str">
        <f>IF($E2009="","",INDEX(资金日记账!$X$4:$X$603,550))</f>
        <v/>
      </c>
      <c r="M2009" s="32"/>
      <c r="N2009" s="26" t="str">
        <f>IF($E2009="","",INDEX(资金日记账!$Y$4:$Y$603,550))</f>
        <v/>
      </c>
      <c r="O2009" s="26" t="str">
        <f t="shared" si="94"/>
        <v/>
      </c>
      <c r="P2009" s="10"/>
    </row>
    <row r="2010" ht="18" customHeight="1" spans="1:16">
      <c r="A2010" s="32" t="str">
        <f t="shared" si="93"/>
        <v/>
      </c>
      <c r="B2010" s="100" t="str">
        <f>IF($E2010="","",INDEX(资金日记账!$B$4:$B$603,551))</f>
        <v/>
      </c>
      <c r="C2010" s="26" t="str">
        <f>IF($E2010="","",IF(INDEX(资金日记账!$W$4:$W$603,551)="","记-"&amp;TEXT($B2010,"YYYYMM")&amp;"-资金",INDEX(资金日记账!$W$4:$W$603,551)))</f>
        <v/>
      </c>
      <c r="D2010" s="32" t="str">
        <f>IF($E2010="","",INDEX(资金日记账!$D$4:$D$603,551))</f>
        <v/>
      </c>
      <c r="E2010" s="26" t="str">
        <f>IF(INDEX(资金日记账!$N$4:$S$603,551,1)=0,"",INDEX(资金日记账!$N$4:$S$603,551,1))</f>
        <v/>
      </c>
      <c r="F2010" s="25" t="str">
        <f>IF($E2010="","",IFERROR(INDEX(科目表!$A$4:$A$81,MATCH($E2010,科目表!$B$4:$B$81,0)),""))</f>
        <v/>
      </c>
      <c r="G2010" s="26" t="str">
        <f>IF($E2010="","",IFERROR(INDEX(科目表!$E$4:$E$81,MATCH($E2010,科目表!$B$4:$B$81,0)),""))</f>
        <v/>
      </c>
      <c r="H2010" s="27" t="str">
        <f>IF($E2010="","",N(INDEX(资金日记账!$N$4:$S$603,551,2)))</f>
        <v/>
      </c>
      <c r="I2010" s="27" t="str">
        <f>IF($E2010="","",N(INDEX(资金日记账!$N$4:$S$603,551,3)))</f>
        <v/>
      </c>
      <c r="J2010" s="26" t="str">
        <f>IF($E2010="","",INDEX(资金日记账!$E$4:$E$603,551))</f>
        <v/>
      </c>
      <c r="K2010" s="26" t="str">
        <f>IF($E2010="","",INDEX(资金日记账!$F$4:$F$603,551))</f>
        <v/>
      </c>
      <c r="L2010" s="32" t="str">
        <f>IF($E2010="","",INDEX(资金日记账!$X$4:$X$603,551))</f>
        <v/>
      </c>
      <c r="M2010" s="32"/>
      <c r="N2010" s="26" t="str">
        <f>IF($E2010="","",INDEX(资金日记账!$Y$4:$Y$603,551))</f>
        <v/>
      </c>
      <c r="O2010" s="26" t="str">
        <f t="shared" si="94"/>
        <v/>
      </c>
      <c r="P2010" s="10"/>
    </row>
    <row r="2011" ht="18" customHeight="1" spans="1:16">
      <c r="A2011" s="32" t="str">
        <f t="shared" si="93"/>
        <v/>
      </c>
      <c r="B2011" s="100" t="str">
        <f>IF($E2011="","",INDEX(资金日记账!$B$4:$B$603,551))</f>
        <v/>
      </c>
      <c r="C2011" s="26" t="str">
        <f>IF($E2011="","",IF(INDEX(资金日记账!$W$4:$W$603,551)="","记-"&amp;TEXT($B2011,"YYYYMM")&amp;"-资金",INDEX(资金日记账!$W$4:$W$603,551)))</f>
        <v/>
      </c>
      <c r="D2011" s="32" t="str">
        <f>IF($E2011="","",INDEX(资金日记账!$D$4:$D$603,551))</f>
        <v/>
      </c>
      <c r="E2011" s="26" t="str">
        <f>IF(INDEX(资金日记账!$N$4:$S$603,551,4)=0,"",INDEX(资金日记账!$N$4:$S$603,551,4))</f>
        <v/>
      </c>
      <c r="F2011" s="25" t="str">
        <f>IF($E2011="","",IFERROR(INDEX(科目表!$A$4:$A$81,MATCH($E2011,科目表!$B$4:$B$81,0)),""))</f>
        <v/>
      </c>
      <c r="G2011" s="26" t="str">
        <f>IF($E2011="","",IFERROR(INDEX(科目表!$E$4:$E$81,MATCH($E2011,科目表!$B$4:$B$81,0)),""))</f>
        <v/>
      </c>
      <c r="H2011" s="27" t="str">
        <f>IF($E2011="","",N(INDEX(资金日记账!$N$4:$S$603,551,5)))</f>
        <v/>
      </c>
      <c r="I2011" s="27" t="str">
        <f>IF($E2011="","",N(INDEX(资金日记账!$N$4:$S$603,551,6)))</f>
        <v/>
      </c>
      <c r="J2011" s="26" t="str">
        <f>IF($E2011="","",INDEX(资金日记账!$E$4:$E$603,551))</f>
        <v/>
      </c>
      <c r="K2011" s="26" t="str">
        <f>IF($E2011="","",INDEX(资金日记账!$F$4:$F$603,551))</f>
        <v/>
      </c>
      <c r="L2011" s="32" t="str">
        <f>IF($E2011="","",INDEX(资金日记账!$X$4:$X$603,551))</f>
        <v/>
      </c>
      <c r="M2011" s="32"/>
      <c r="N2011" s="26" t="str">
        <f>IF($E2011="","",INDEX(资金日记账!$Y$4:$Y$603,551))</f>
        <v/>
      </c>
      <c r="O2011" s="26" t="str">
        <f t="shared" si="94"/>
        <v/>
      </c>
      <c r="P2011" s="10"/>
    </row>
    <row r="2012" ht="18" customHeight="1" spans="1:16">
      <c r="A2012" s="32" t="str">
        <f t="shared" si="93"/>
        <v/>
      </c>
      <c r="B2012" s="100" t="str">
        <f>IF($E2012="","",INDEX(资金日记账!$B$4:$B$603,552))</f>
        <v/>
      </c>
      <c r="C2012" s="26" t="str">
        <f>IF($E2012="","",IF(INDEX(资金日记账!$W$4:$W$603,552)="","记-"&amp;TEXT($B2012,"YYYYMM")&amp;"-资金",INDEX(资金日记账!$W$4:$W$603,552)))</f>
        <v/>
      </c>
      <c r="D2012" s="32" t="str">
        <f>IF($E2012="","",INDEX(资金日记账!$D$4:$D$603,552))</f>
        <v/>
      </c>
      <c r="E2012" s="26" t="str">
        <f>IF(INDEX(资金日记账!$N$4:$S$603,552,1)=0,"",INDEX(资金日记账!$N$4:$S$603,552,1))</f>
        <v/>
      </c>
      <c r="F2012" s="25" t="str">
        <f>IF($E2012="","",IFERROR(INDEX(科目表!$A$4:$A$81,MATCH($E2012,科目表!$B$4:$B$81,0)),""))</f>
        <v/>
      </c>
      <c r="G2012" s="26" t="str">
        <f>IF($E2012="","",IFERROR(INDEX(科目表!$E$4:$E$81,MATCH($E2012,科目表!$B$4:$B$81,0)),""))</f>
        <v/>
      </c>
      <c r="H2012" s="27" t="str">
        <f>IF($E2012="","",N(INDEX(资金日记账!$N$4:$S$603,552,2)))</f>
        <v/>
      </c>
      <c r="I2012" s="27" t="str">
        <f>IF($E2012="","",N(INDEX(资金日记账!$N$4:$S$603,552,3)))</f>
        <v/>
      </c>
      <c r="J2012" s="26" t="str">
        <f>IF($E2012="","",INDEX(资金日记账!$E$4:$E$603,552))</f>
        <v/>
      </c>
      <c r="K2012" s="26" t="str">
        <f>IF($E2012="","",INDEX(资金日记账!$F$4:$F$603,552))</f>
        <v/>
      </c>
      <c r="L2012" s="32" t="str">
        <f>IF($E2012="","",INDEX(资金日记账!$X$4:$X$603,552))</f>
        <v/>
      </c>
      <c r="M2012" s="32"/>
      <c r="N2012" s="26" t="str">
        <f>IF($E2012="","",INDEX(资金日记账!$Y$4:$Y$603,552))</f>
        <v/>
      </c>
      <c r="O2012" s="26" t="str">
        <f t="shared" si="94"/>
        <v/>
      </c>
      <c r="P2012" s="10"/>
    </row>
    <row r="2013" ht="18" customHeight="1" spans="1:16">
      <c r="A2013" s="32" t="str">
        <f t="shared" si="93"/>
        <v/>
      </c>
      <c r="B2013" s="100" t="str">
        <f>IF($E2013="","",INDEX(资金日记账!$B$4:$B$603,552))</f>
        <v/>
      </c>
      <c r="C2013" s="26" t="str">
        <f>IF($E2013="","",IF(INDEX(资金日记账!$W$4:$W$603,552)="","记-"&amp;TEXT($B2013,"YYYYMM")&amp;"-资金",INDEX(资金日记账!$W$4:$W$603,552)))</f>
        <v/>
      </c>
      <c r="D2013" s="32" t="str">
        <f>IF($E2013="","",INDEX(资金日记账!$D$4:$D$603,552))</f>
        <v/>
      </c>
      <c r="E2013" s="26" t="str">
        <f>IF(INDEX(资金日记账!$N$4:$S$603,552,4)=0,"",INDEX(资金日记账!$N$4:$S$603,552,4))</f>
        <v/>
      </c>
      <c r="F2013" s="25" t="str">
        <f>IF($E2013="","",IFERROR(INDEX(科目表!$A$4:$A$81,MATCH($E2013,科目表!$B$4:$B$81,0)),""))</f>
        <v/>
      </c>
      <c r="G2013" s="26" t="str">
        <f>IF($E2013="","",IFERROR(INDEX(科目表!$E$4:$E$81,MATCH($E2013,科目表!$B$4:$B$81,0)),""))</f>
        <v/>
      </c>
      <c r="H2013" s="27" t="str">
        <f>IF($E2013="","",N(INDEX(资金日记账!$N$4:$S$603,552,5)))</f>
        <v/>
      </c>
      <c r="I2013" s="27" t="str">
        <f>IF($E2013="","",N(INDEX(资金日记账!$N$4:$S$603,552,6)))</f>
        <v/>
      </c>
      <c r="J2013" s="26" t="str">
        <f>IF($E2013="","",INDEX(资金日记账!$E$4:$E$603,552))</f>
        <v/>
      </c>
      <c r="K2013" s="26" t="str">
        <f>IF($E2013="","",INDEX(资金日记账!$F$4:$F$603,552))</f>
        <v/>
      </c>
      <c r="L2013" s="32" t="str">
        <f>IF($E2013="","",INDEX(资金日记账!$X$4:$X$603,552))</f>
        <v/>
      </c>
      <c r="M2013" s="32"/>
      <c r="N2013" s="26" t="str">
        <f>IF($E2013="","",INDEX(资金日记账!$Y$4:$Y$603,552))</f>
        <v/>
      </c>
      <c r="O2013" s="26" t="str">
        <f t="shared" si="94"/>
        <v/>
      </c>
      <c r="P2013" s="10"/>
    </row>
    <row r="2014" ht="18" customHeight="1" spans="1:16">
      <c r="A2014" s="32" t="str">
        <f t="shared" si="93"/>
        <v/>
      </c>
      <c r="B2014" s="100" t="str">
        <f>IF($E2014="","",INDEX(资金日记账!$B$4:$B$603,553))</f>
        <v/>
      </c>
      <c r="C2014" s="26" t="str">
        <f>IF($E2014="","",IF(INDEX(资金日记账!$W$4:$W$603,553)="","记-"&amp;TEXT($B2014,"YYYYMM")&amp;"-资金",INDEX(资金日记账!$W$4:$W$603,553)))</f>
        <v/>
      </c>
      <c r="D2014" s="32" t="str">
        <f>IF($E2014="","",INDEX(资金日记账!$D$4:$D$603,553))</f>
        <v/>
      </c>
      <c r="E2014" s="26" t="str">
        <f>IF(INDEX(资金日记账!$N$4:$S$603,553,1)=0,"",INDEX(资金日记账!$N$4:$S$603,553,1))</f>
        <v/>
      </c>
      <c r="F2014" s="25" t="str">
        <f>IF($E2014="","",IFERROR(INDEX(科目表!$A$4:$A$81,MATCH($E2014,科目表!$B$4:$B$81,0)),""))</f>
        <v/>
      </c>
      <c r="G2014" s="26" t="str">
        <f>IF($E2014="","",IFERROR(INDEX(科目表!$E$4:$E$81,MATCH($E2014,科目表!$B$4:$B$81,0)),""))</f>
        <v/>
      </c>
      <c r="H2014" s="27" t="str">
        <f>IF($E2014="","",N(INDEX(资金日记账!$N$4:$S$603,553,2)))</f>
        <v/>
      </c>
      <c r="I2014" s="27" t="str">
        <f>IF($E2014="","",N(INDEX(资金日记账!$N$4:$S$603,553,3)))</f>
        <v/>
      </c>
      <c r="J2014" s="26" t="str">
        <f>IF($E2014="","",INDEX(资金日记账!$E$4:$E$603,553))</f>
        <v/>
      </c>
      <c r="K2014" s="26" t="str">
        <f>IF($E2014="","",INDEX(资金日记账!$F$4:$F$603,553))</f>
        <v/>
      </c>
      <c r="L2014" s="32" t="str">
        <f>IF($E2014="","",INDEX(资金日记账!$X$4:$X$603,553))</f>
        <v/>
      </c>
      <c r="M2014" s="32"/>
      <c r="N2014" s="26" t="str">
        <f>IF($E2014="","",INDEX(资金日记账!$Y$4:$Y$603,553))</f>
        <v/>
      </c>
      <c r="O2014" s="26" t="str">
        <f t="shared" si="94"/>
        <v/>
      </c>
      <c r="P2014" s="10"/>
    </row>
    <row r="2015" ht="18" customHeight="1" spans="1:16">
      <c r="A2015" s="32" t="str">
        <f t="shared" si="93"/>
        <v/>
      </c>
      <c r="B2015" s="100" t="str">
        <f>IF($E2015="","",INDEX(资金日记账!$B$4:$B$603,553))</f>
        <v/>
      </c>
      <c r="C2015" s="26" t="str">
        <f>IF($E2015="","",IF(INDEX(资金日记账!$W$4:$W$603,553)="","记-"&amp;TEXT($B2015,"YYYYMM")&amp;"-资金",INDEX(资金日记账!$W$4:$W$603,553)))</f>
        <v/>
      </c>
      <c r="D2015" s="32" t="str">
        <f>IF($E2015="","",INDEX(资金日记账!$D$4:$D$603,553))</f>
        <v/>
      </c>
      <c r="E2015" s="26" t="str">
        <f>IF(INDEX(资金日记账!$N$4:$S$603,553,4)=0,"",INDEX(资金日记账!$N$4:$S$603,553,4))</f>
        <v/>
      </c>
      <c r="F2015" s="25" t="str">
        <f>IF($E2015="","",IFERROR(INDEX(科目表!$A$4:$A$81,MATCH($E2015,科目表!$B$4:$B$81,0)),""))</f>
        <v/>
      </c>
      <c r="G2015" s="26" t="str">
        <f>IF($E2015="","",IFERROR(INDEX(科目表!$E$4:$E$81,MATCH($E2015,科目表!$B$4:$B$81,0)),""))</f>
        <v/>
      </c>
      <c r="H2015" s="27" t="str">
        <f>IF($E2015="","",N(INDEX(资金日记账!$N$4:$S$603,553,5)))</f>
        <v/>
      </c>
      <c r="I2015" s="27" t="str">
        <f>IF($E2015="","",N(INDEX(资金日记账!$N$4:$S$603,553,6)))</f>
        <v/>
      </c>
      <c r="J2015" s="26" t="str">
        <f>IF($E2015="","",INDEX(资金日记账!$E$4:$E$603,553))</f>
        <v/>
      </c>
      <c r="K2015" s="26" t="str">
        <f>IF($E2015="","",INDEX(资金日记账!$F$4:$F$603,553))</f>
        <v/>
      </c>
      <c r="L2015" s="32" t="str">
        <f>IF($E2015="","",INDEX(资金日记账!$X$4:$X$603,553))</f>
        <v/>
      </c>
      <c r="M2015" s="32"/>
      <c r="N2015" s="26" t="str">
        <f>IF($E2015="","",INDEX(资金日记账!$Y$4:$Y$603,553))</f>
        <v/>
      </c>
      <c r="O2015" s="26" t="str">
        <f t="shared" si="94"/>
        <v/>
      </c>
      <c r="P2015" s="10"/>
    </row>
    <row r="2016" ht="18" customHeight="1" spans="1:16">
      <c r="A2016" s="32" t="str">
        <f t="shared" si="93"/>
        <v/>
      </c>
      <c r="B2016" s="100" t="str">
        <f>IF($E2016="","",INDEX(资金日记账!$B$4:$B$603,554))</f>
        <v/>
      </c>
      <c r="C2016" s="26" t="str">
        <f>IF($E2016="","",IF(INDEX(资金日记账!$W$4:$W$603,554)="","记-"&amp;TEXT($B2016,"YYYYMM")&amp;"-资金",INDEX(资金日记账!$W$4:$W$603,554)))</f>
        <v/>
      </c>
      <c r="D2016" s="32" t="str">
        <f>IF($E2016="","",INDEX(资金日记账!$D$4:$D$603,554))</f>
        <v/>
      </c>
      <c r="E2016" s="26" t="str">
        <f>IF(INDEX(资金日记账!$N$4:$S$603,554,1)=0,"",INDEX(资金日记账!$N$4:$S$603,554,1))</f>
        <v/>
      </c>
      <c r="F2016" s="25" t="str">
        <f>IF($E2016="","",IFERROR(INDEX(科目表!$A$4:$A$81,MATCH($E2016,科目表!$B$4:$B$81,0)),""))</f>
        <v/>
      </c>
      <c r="G2016" s="26" t="str">
        <f>IF($E2016="","",IFERROR(INDEX(科目表!$E$4:$E$81,MATCH($E2016,科目表!$B$4:$B$81,0)),""))</f>
        <v/>
      </c>
      <c r="H2016" s="27" t="str">
        <f>IF($E2016="","",N(INDEX(资金日记账!$N$4:$S$603,554,2)))</f>
        <v/>
      </c>
      <c r="I2016" s="27" t="str">
        <f>IF($E2016="","",N(INDEX(资金日记账!$N$4:$S$603,554,3)))</f>
        <v/>
      </c>
      <c r="J2016" s="26" t="str">
        <f>IF($E2016="","",INDEX(资金日记账!$E$4:$E$603,554))</f>
        <v/>
      </c>
      <c r="K2016" s="26" t="str">
        <f>IF($E2016="","",INDEX(资金日记账!$F$4:$F$603,554))</f>
        <v/>
      </c>
      <c r="L2016" s="32" t="str">
        <f>IF($E2016="","",INDEX(资金日记账!$X$4:$X$603,554))</f>
        <v/>
      </c>
      <c r="M2016" s="32"/>
      <c r="N2016" s="26" t="str">
        <f>IF($E2016="","",INDEX(资金日记账!$Y$4:$Y$603,554))</f>
        <v/>
      </c>
      <c r="O2016" s="26" t="str">
        <f t="shared" si="94"/>
        <v/>
      </c>
      <c r="P2016" s="10"/>
    </row>
    <row r="2017" ht="18" customHeight="1" spans="1:16">
      <c r="A2017" s="32" t="str">
        <f t="shared" si="93"/>
        <v/>
      </c>
      <c r="B2017" s="100" t="str">
        <f>IF($E2017="","",INDEX(资金日记账!$B$4:$B$603,554))</f>
        <v/>
      </c>
      <c r="C2017" s="26" t="str">
        <f>IF($E2017="","",IF(INDEX(资金日记账!$W$4:$W$603,554)="","记-"&amp;TEXT($B2017,"YYYYMM")&amp;"-资金",INDEX(资金日记账!$W$4:$W$603,554)))</f>
        <v/>
      </c>
      <c r="D2017" s="32" t="str">
        <f>IF($E2017="","",INDEX(资金日记账!$D$4:$D$603,554))</f>
        <v/>
      </c>
      <c r="E2017" s="26" t="str">
        <f>IF(INDEX(资金日记账!$N$4:$S$603,554,4)=0,"",INDEX(资金日记账!$N$4:$S$603,554,4))</f>
        <v/>
      </c>
      <c r="F2017" s="25" t="str">
        <f>IF($E2017="","",IFERROR(INDEX(科目表!$A$4:$A$81,MATCH($E2017,科目表!$B$4:$B$81,0)),""))</f>
        <v/>
      </c>
      <c r="G2017" s="26" t="str">
        <f>IF($E2017="","",IFERROR(INDEX(科目表!$E$4:$E$81,MATCH($E2017,科目表!$B$4:$B$81,0)),""))</f>
        <v/>
      </c>
      <c r="H2017" s="27" t="str">
        <f>IF($E2017="","",N(INDEX(资金日记账!$N$4:$S$603,554,5)))</f>
        <v/>
      </c>
      <c r="I2017" s="27" t="str">
        <f>IF($E2017="","",N(INDEX(资金日记账!$N$4:$S$603,554,6)))</f>
        <v/>
      </c>
      <c r="J2017" s="26" t="str">
        <f>IF($E2017="","",INDEX(资金日记账!$E$4:$E$603,554))</f>
        <v/>
      </c>
      <c r="K2017" s="26" t="str">
        <f>IF($E2017="","",INDEX(资金日记账!$F$4:$F$603,554))</f>
        <v/>
      </c>
      <c r="L2017" s="32" t="str">
        <f>IF($E2017="","",INDEX(资金日记账!$X$4:$X$603,554))</f>
        <v/>
      </c>
      <c r="M2017" s="32"/>
      <c r="N2017" s="26" t="str">
        <f>IF($E2017="","",INDEX(资金日记账!$Y$4:$Y$603,554))</f>
        <v/>
      </c>
      <c r="O2017" s="26" t="str">
        <f t="shared" si="94"/>
        <v/>
      </c>
      <c r="P2017" s="10"/>
    </row>
    <row r="2018" ht="18" customHeight="1" spans="1:16">
      <c r="A2018" s="32" t="str">
        <f t="shared" si="93"/>
        <v/>
      </c>
      <c r="B2018" s="100" t="str">
        <f>IF($E2018="","",INDEX(资金日记账!$B$4:$B$603,555))</f>
        <v/>
      </c>
      <c r="C2018" s="26" t="str">
        <f>IF($E2018="","",IF(INDEX(资金日记账!$W$4:$W$603,555)="","记-"&amp;TEXT($B2018,"YYYYMM")&amp;"-资金",INDEX(资金日记账!$W$4:$W$603,555)))</f>
        <v/>
      </c>
      <c r="D2018" s="32" t="str">
        <f>IF($E2018="","",INDEX(资金日记账!$D$4:$D$603,555))</f>
        <v/>
      </c>
      <c r="E2018" s="26" t="str">
        <f>IF(INDEX(资金日记账!$N$4:$S$603,555,1)=0,"",INDEX(资金日记账!$N$4:$S$603,555,1))</f>
        <v/>
      </c>
      <c r="F2018" s="25" t="str">
        <f>IF($E2018="","",IFERROR(INDEX(科目表!$A$4:$A$81,MATCH($E2018,科目表!$B$4:$B$81,0)),""))</f>
        <v/>
      </c>
      <c r="G2018" s="26" t="str">
        <f>IF($E2018="","",IFERROR(INDEX(科目表!$E$4:$E$81,MATCH($E2018,科目表!$B$4:$B$81,0)),""))</f>
        <v/>
      </c>
      <c r="H2018" s="27" t="str">
        <f>IF($E2018="","",N(INDEX(资金日记账!$N$4:$S$603,555,2)))</f>
        <v/>
      </c>
      <c r="I2018" s="27" t="str">
        <f>IF($E2018="","",N(INDEX(资金日记账!$N$4:$S$603,555,3)))</f>
        <v/>
      </c>
      <c r="J2018" s="26" t="str">
        <f>IF($E2018="","",INDEX(资金日记账!$E$4:$E$603,555))</f>
        <v/>
      </c>
      <c r="K2018" s="26" t="str">
        <f>IF($E2018="","",INDEX(资金日记账!$F$4:$F$603,555))</f>
        <v/>
      </c>
      <c r="L2018" s="32" t="str">
        <f>IF($E2018="","",INDEX(资金日记账!$X$4:$X$603,555))</f>
        <v/>
      </c>
      <c r="M2018" s="32"/>
      <c r="N2018" s="26" t="str">
        <f>IF($E2018="","",INDEX(资金日记账!$Y$4:$Y$603,555))</f>
        <v/>
      </c>
      <c r="O2018" s="26" t="str">
        <f t="shared" si="94"/>
        <v/>
      </c>
      <c r="P2018" s="10"/>
    </row>
    <row r="2019" ht="18" customHeight="1" spans="1:16">
      <c r="A2019" s="32" t="str">
        <f t="shared" si="93"/>
        <v/>
      </c>
      <c r="B2019" s="100" t="str">
        <f>IF($E2019="","",INDEX(资金日记账!$B$4:$B$603,555))</f>
        <v/>
      </c>
      <c r="C2019" s="26" t="str">
        <f>IF($E2019="","",IF(INDEX(资金日记账!$W$4:$W$603,555)="","记-"&amp;TEXT($B2019,"YYYYMM")&amp;"-资金",INDEX(资金日记账!$W$4:$W$603,555)))</f>
        <v/>
      </c>
      <c r="D2019" s="32" t="str">
        <f>IF($E2019="","",INDEX(资金日记账!$D$4:$D$603,555))</f>
        <v/>
      </c>
      <c r="E2019" s="26" t="str">
        <f>IF(INDEX(资金日记账!$N$4:$S$603,555,4)=0,"",INDEX(资金日记账!$N$4:$S$603,555,4))</f>
        <v/>
      </c>
      <c r="F2019" s="25" t="str">
        <f>IF($E2019="","",IFERROR(INDEX(科目表!$A$4:$A$81,MATCH($E2019,科目表!$B$4:$B$81,0)),""))</f>
        <v/>
      </c>
      <c r="G2019" s="26" t="str">
        <f>IF($E2019="","",IFERROR(INDEX(科目表!$E$4:$E$81,MATCH($E2019,科目表!$B$4:$B$81,0)),""))</f>
        <v/>
      </c>
      <c r="H2019" s="27" t="str">
        <f>IF($E2019="","",N(INDEX(资金日记账!$N$4:$S$603,555,5)))</f>
        <v/>
      </c>
      <c r="I2019" s="27" t="str">
        <f>IF($E2019="","",N(INDEX(资金日记账!$N$4:$S$603,555,6)))</f>
        <v/>
      </c>
      <c r="J2019" s="26" t="str">
        <f>IF($E2019="","",INDEX(资金日记账!$E$4:$E$603,555))</f>
        <v/>
      </c>
      <c r="K2019" s="26" t="str">
        <f>IF($E2019="","",INDEX(资金日记账!$F$4:$F$603,555))</f>
        <v/>
      </c>
      <c r="L2019" s="32" t="str">
        <f>IF($E2019="","",INDEX(资金日记账!$X$4:$X$603,555))</f>
        <v/>
      </c>
      <c r="M2019" s="32"/>
      <c r="N2019" s="26" t="str">
        <f>IF($E2019="","",INDEX(资金日记账!$Y$4:$Y$603,555))</f>
        <v/>
      </c>
      <c r="O2019" s="26" t="str">
        <f t="shared" si="94"/>
        <v/>
      </c>
      <c r="P2019" s="10"/>
    </row>
    <row r="2020" ht="18" customHeight="1" spans="1:16">
      <c r="A2020" s="32" t="str">
        <f t="shared" si="93"/>
        <v/>
      </c>
      <c r="B2020" s="100" t="str">
        <f>IF($E2020="","",INDEX(资金日记账!$B$4:$B$603,556))</f>
        <v/>
      </c>
      <c r="C2020" s="26" t="str">
        <f>IF($E2020="","",IF(INDEX(资金日记账!$W$4:$W$603,556)="","记-"&amp;TEXT($B2020,"YYYYMM")&amp;"-资金",INDEX(资金日记账!$W$4:$W$603,556)))</f>
        <v/>
      </c>
      <c r="D2020" s="32" t="str">
        <f>IF($E2020="","",INDEX(资金日记账!$D$4:$D$603,556))</f>
        <v/>
      </c>
      <c r="E2020" s="26" t="str">
        <f>IF(INDEX(资金日记账!$N$4:$S$603,556,1)=0,"",INDEX(资金日记账!$N$4:$S$603,556,1))</f>
        <v/>
      </c>
      <c r="F2020" s="25" t="str">
        <f>IF($E2020="","",IFERROR(INDEX(科目表!$A$4:$A$81,MATCH($E2020,科目表!$B$4:$B$81,0)),""))</f>
        <v/>
      </c>
      <c r="G2020" s="26" t="str">
        <f>IF($E2020="","",IFERROR(INDEX(科目表!$E$4:$E$81,MATCH($E2020,科目表!$B$4:$B$81,0)),""))</f>
        <v/>
      </c>
      <c r="H2020" s="27" t="str">
        <f>IF($E2020="","",N(INDEX(资金日记账!$N$4:$S$603,556,2)))</f>
        <v/>
      </c>
      <c r="I2020" s="27" t="str">
        <f>IF($E2020="","",N(INDEX(资金日记账!$N$4:$S$603,556,3)))</f>
        <v/>
      </c>
      <c r="J2020" s="26" t="str">
        <f>IF($E2020="","",INDEX(资金日记账!$E$4:$E$603,556))</f>
        <v/>
      </c>
      <c r="K2020" s="26" t="str">
        <f>IF($E2020="","",INDEX(资金日记账!$F$4:$F$603,556))</f>
        <v/>
      </c>
      <c r="L2020" s="32" t="str">
        <f>IF($E2020="","",INDEX(资金日记账!$X$4:$X$603,556))</f>
        <v/>
      </c>
      <c r="M2020" s="32"/>
      <c r="N2020" s="26" t="str">
        <f>IF($E2020="","",INDEX(资金日记账!$Y$4:$Y$603,556))</f>
        <v/>
      </c>
      <c r="O2020" s="26" t="str">
        <f t="shared" si="94"/>
        <v/>
      </c>
      <c r="P2020" s="10"/>
    </row>
    <row r="2021" ht="18" customHeight="1" spans="1:16">
      <c r="A2021" s="32" t="str">
        <f t="shared" si="93"/>
        <v/>
      </c>
      <c r="B2021" s="100" t="str">
        <f>IF($E2021="","",INDEX(资金日记账!$B$4:$B$603,556))</f>
        <v/>
      </c>
      <c r="C2021" s="26" t="str">
        <f>IF($E2021="","",IF(INDEX(资金日记账!$W$4:$W$603,556)="","记-"&amp;TEXT($B2021,"YYYYMM")&amp;"-资金",INDEX(资金日记账!$W$4:$W$603,556)))</f>
        <v/>
      </c>
      <c r="D2021" s="32" t="str">
        <f>IF($E2021="","",INDEX(资金日记账!$D$4:$D$603,556))</f>
        <v/>
      </c>
      <c r="E2021" s="26" t="str">
        <f>IF(INDEX(资金日记账!$N$4:$S$603,556,4)=0,"",INDEX(资金日记账!$N$4:$S$603,556,4))</f>
        <v/>
      </c>
      <c r="F2021" s="25" t="str">
        <f>IF($E2021="","",IFERROR(INDEX(科目表!$A$4:$A$81,MATCH($E2021,科目表!$B$4:$B$81,0)),""))</f>
        <v/>
      </c>
      <c r="G2021" s="26" t="str">
        <f>IF($E2021="","",IFERROR(INDEX(科目表!$E$4:$E$81,MATCH($E2021,科目表!$B$4:$B$81,0)),""))</f>
        <v/>
      </c>
      <c r="H2021" s="27" t="str">
        <f>IF($E2021="","",N(INDEX(资金日记账!$N$4:$S$603,556,5)))</f>
        <v/>
      </c>
      <c r="I2021" s="27" t="str">
        <f>IF($E2021="","",N(INDEX(资金日记账!$N$4:$S$603,556,6)))</f>
        <v/>
      </c>
      <c r="J2021" s="26" t="str">
        <f>IF($E2021="","",INDEX(资金日记账!$E$4:$E$603,556))</f>
        <v/>
      </c>
      <c r="K2021" s="26" t="str">
        <f>IF($E2021="","",INDEX(资金日记账!$F$4:$F$603,556))</f>
        <v/>
      </c>
      <c r="L2021" s="32" t="str">
        <f>IF($E2021="","",INDEX(资金日记账!$X$4:$X$603,556))</f>
        <v/>
      </c>
      <c r="M2021" s="32"/>
      <c r="N2021" s="26" t="str">
        <f>IF($E2021="","",INDEX(资金日记账!$Y$4:$Y$603,556))</f>
        <v/>
      </c>
      <c r="O2021" s="26" t="str">
        <f t="shared" si="94"/>
        <v/>
      </c>
      <c r="P2021" s="10"/>
    </row>
    <row r="2022" ht="18" customHeight="1" spans="1:16">
      <c r="A2022" s="32" t="str">
        <f t="shared" si="93"/>
        <v/>
      </c>
      <c r="B2022" s="100" t="str">
        <f>IF($E2022="","",INDEX(资金日记账!$B$4:$B$603,557))</f>
        <v/>
      </c>
      <c r="C2022" s="26" t="str">
        <f>IF($E2022="","",IF(INDEX(资金日记账!$W$4:$W$603,557)="","记-"&amp;TEXT($B2022,"YYYYMM")&amp;"-资金",INDEX(资金日记账!$W$4:$W$603,557)))</f>
        <v/>
      </c>
      <c r="D2022" s="32" t="str">
        <f>IF($E2022="","",INDEX(资金日记账!$D$4:$D$603,557))</f>
        <v/>
      </c>
      <c r="E2022" s="26" t="str">
        <f>IF(INDEX(资金日记账!$N$4:$S$603,557,1)=0,"",INDEX(资金日记账!$N$4:$S$603,557,1))</f>
        <v/>
      </c>
      <c r="F2022" s="25" t="str">
        <f>IF($E2022="","",IFERROR(INDEX(科目表!$A$4:$A$81,MATCH($E2022,科目表!$B$4:$B$81,0)),""))</f>
        <v/>
      </c>
      <c r="G2022" s="26" t="str">
        <f>IF($E2022="","",IFERROR(INDEX(科目表!$E$4:$E$81,MATCH($E2022,科目表!$B$4:$B$81,0)),""))</f>
        <v/>
      </c>
      <c r="H2022" s="27" t="str">
        <f>IF($E2022="","",N(INDEX(资金日记账!$N$4:$S$603,557,2)))</f>
        <v/>
      </c>
      <c r="I2022" s="27" t="str">
        <f>IF($E2022="","",N(INDEX(资金日记账!$N$4:$S$603,557,3)))</f>
        <v/>
      </c>
      <c r="J2022" s="26" t="str">
        <f>IF($E2022="","",INDEX(资金日记账!$E$4:$E$603,557))</f>
        <v/>
      </c>
      <c r="K2022" s="26" t="str">
        <f>IF($E2022="","",INDEX(资金日记账!$F$4:$F$603,557))</f>
        <v/>
      </c>
      <c r="L2022" s="32" t="str">
        <f>IF($E2022="","",INDEX(资金日记账!$X$4:$X$603,557))</f>
        <v/>
      </c>
      <c r="M2022" s="32"/>
      <c r="N2022" s="26" t="str">
        <f>IF($E2022="","",INDEX(资金日记账!$Y$4:$Y$603,557))</f>
        <v/>
      </c>
      <c r="O2022" s="26" t="str">
        <f t="shared" si="94"/>
        <v/>
      </c>
      <c r="P2022" s="10"/>
    </row>
    <row r="2023" ht="18" customHeight="1" spans="1:16">
      <c r="A2023" s="32" t="str">
        <f t="shared" si="93"/>
        <v/>
      </c>
      <c r="B2023" s="100" t="str">
        <f>IF($E2023="","",INDEX(资金日记账!$B$4:$B$603,557))</f>
        <v/>
      </c>
      <c r="C2023" s="26" t="str">
        <f>IF($E2023="","",IF(INDEX(资金日记账!$W$4:$W$603,557)="","记-"&amp;TEXT($B2023,"YYYYMM")&amp;"-资金",INDEX(资金日记账!$W$4:$W$603,557)))</f>
        <v/>
      </c>
      <c r="D2023" s="32" t="str">
        <f>IF($E2023="","",INDEX(资金日记账!$D$4:$D$603,557))</f>
        <v/>
      </c>
      <c r="E2023" s="26" t="str">
        <f>IF(INDEX(资金日记账!$N$4:$S$603,557,4)=0,"",INDEX(资金日记账!$N$4:$S$603,557,4))</f>
        <v/>
      </c>
      <c r="F2023" s="25" t="str">
        <f>IF($E2023="","",IFERROR(INDEX(科目表!$A$4:$A$81,MATCH($E2023,科目表!$B$4:$B$81,0)),""))</f>
        <v/>
      </c>
      <c r="G2023" s="26" t="str">
        <f>IF($E2023="","",IFERROR(INDEX(科目表!$E$4:$E$81,MATCH($E2023,科目表!$B$4:$B$81,0)),""))</f>
        <v/>
      </c>
      <c r="H2023" s="27" t="str">
        <f>IF($E2023="","",N(INDEX(资金日记账!$N$4:$S$603,557,5)))</f>
        <v/>
      </c>
      <c r="I2023" s="27" t="str">
        <f>IF($E2023="","",N(INDEX(资金日记账!$N$4:$S$603,557,6)))</f>
        <v/>
      </c>
      <c r="J2023" s="26" t="str">
        <f>IF($E2023="","",INDEX(资金日记账!$E$4:$E$603,557))</f>
        <v/>
      </c>
      <c r="K2023" s="26" t="str">
        <f>IF($E2023="","",INDEX(资金日记账!$F$4:$F$603,557))</f>
        <v/>
      </c>
      <c r="L2023" s="32" t="str">
        <f>IF($E2023="","",INDEX(资金日记账!$X$4:$X$603,557))</f>
        <v/>
      </c>
      <c r="M2023" s="32"/>
      <c r="N2023" s="26" t="str">
        <f>IF($E2023="","",INDEX(资金日记账!$Y$4:$Y$603,557))</f>
        <v/>
      </c>
      <c r="O2023" s="26" t="str">
        <f t="shared" si="94"/>
        <v/>
      </c>
      <c r="P2023" s="10"/>
    </row>
    <row r="2024" ht="18" customHeight="1" spans="1:16">
      <c r="A2024" s="32" t="str">
        <f t="shared" si="93"/>
        <v/>
      </c>
      <c r="B2024" s="100" t="str">
        <f>IF($E2024="","",INDEX(资金日记账!$B$4:$B$603,558))</f>
        <v/>
      </c>
      <c r="C2024" s="26" t="str">
        <f>IF($E2024="","",IF(INDEX(资金日记账!$W$4:$W$603,558)="","记-"&amp;TEXT($B2024,"YYYYMM")&amp;"-资金",INDEX(资金日记账!$W$4:$W$603,558)))</f>
        <v/>
      </c>
      <c r="D2024" s="32" t="str">
        <f>IF($E2024="","",INDEX(资金日记账!$D$4:$D$603,558))</f>
        <v/>
      </c>
      <c r="E2024" s="26" t="str">
        <f>IF(INDEX(资金日记账!$N$4:$S$603,558,1)=0,"",INDEX(资金日记账!$N$4:$S$603,558,1))</f>
        <v/>
      </c>
      <c r="F2024" s="25" t="str">
        <f>IF($E2024="","",IFERROR(INDEX(科目表!$A$4:$A$81,MATCH($E2024,科目表!$B$4:$B$81,0)),""))</f>
        <v/>
      </c>
      <c r="G2024" s="26" t="str">
        <f>IF($E2024="","",IFERROR(INDEX(科目表!$E$4:$E$81,MATCH($E2024,科目表!$B$4:$B$81,0)),""))</f>
        <v/>
      </c>
      <c r="H2024" s="27" t="str">
        <f>IF($E2024="","",N(INDEX(资金日记账!$N$4:$S$603,558,2)))</f>
        <v/>
      </c>
      <c r="I2024" s="27" t="str">
        <f>IF($E2024="","",N(INDEX(资金日记账!$N$4:$S$603,558,3)))</f>
        <v/>
      </c>
      <c r="J2024" s="26" t="str">
        <f>IF($E2024="","",INDEX(资金日记账!$E$4:$E$603,558))</f>
        <v/>
      </c>
      <c r="K2024" s="26" t="str">
        <f>IF($E2024="","",INDEX(资金日记账!$F$4:$F$603,558))</f>
        <v/>
      </c>
      <c r="L2024" s="32" t="str">
        <f>IF($E2024="","",INDEX(资金日记账!$X$4:$X$603,558))</f>
        <v/>
      </c>
      <c r="M2024" s="32"/>
      <c r="N2024" s="26" t="str">
        <f>IF($E2024="","",INDEX(资金日记账!$Y$4:$Y$603,558))</f>
        <v/>
      </c>
      <c r="O2024" s="26" t="str">
        <f t="shared" si="94"/>
        <v/>
      </c>
      <c r="P2024" s="10"/>
    </row>
    <row r="2025" ht="18" customHeight="1" spans="1:16">
      <c r="A2025" s="32" t="str">
        <f t="shared" si="93"/>
        <v/>
      </c>
      <c r="B2025" s="100" t="str">
        <f>IF($E2025="","",INDEX(资金日记账!$B$4:$B$603,558))</f>
        <v/>
      </c>
      <c r="C2025" s="26" t="str">
        <f>IF($E2025="","",IF(INDEX(资金日记账!$W$4:$W$603,558)="","记-"&amp;TEXT($B2025,"YYYYMM")&amp;"-资金",INDEX(资金日记账!$W$4:$W$603,558)))</f>
        <v/>
      </c>
      <c r="D2025" s="32" t="str">
        <f>IF($E2025="","",INDEX(资金日记账!$D$4:$D$603,558))</f>
        <v/>
      </c>
      <c r="E2025" s="26" t="str">
        <f>IF(INDEX(资金日记账!$N$4:$S$603,558,4)=0,"",INDEX(资金日记账!$N$4:$S$603,558,4))</f>
        <v/>
      </c>
      <c r="F2025" s="25" t="str">
        <f>IF($E2025="","",IFERROR(INDEX(科目表!$A$4:$A$81,MATCH($E2025,科目表!$B$4:$B$81,0)),""))</f>
        <v/>
      </c>
      <c r="G2025" s="26" t="str">
        <f>IF($E2025="","",IFERROR(INDEX(科目表!$E$4:$E$81,MATCH($E2025,科目表!$B$4:$B$81,0)),""))</f>
        <v/>
      </c>
      <c r="H2025" s="27" t="str">
        <f>IF($E2025="","",N(INDEX(资金日记账!$N$4:$S$603,558,5)))</f>
        <v/>
      </c>
      <c r="I2025" s="27" t="str">
        <f>IF($E2025="","",N(INDEX(资金日记账!$N$4:$S$603,558,6)))</f>
        <v/>
      </c>
      <c r="J2025" s="26" t="str">
        <f>IF($E2025="","",INDEX(资金日记账!$E$4:$E$603,558))</f>
        <v/>
      </c>
      <c r="K2025" s="26" t="str">
        <f>IF($E2025="","",INDEX(资金日记账!$F$4:$F$603,558))</f>
        <v/>
      </c>
      <c r="L2025" s="32" t="str">
        <f>IF($E2025="","",INDEX(资金日记账!$X$4:$X$603,558))</f>
        <v/>
      </c>
      <c r="M2025" s="32"/>
      <c r="N2025" s="26" t="str">
        <f>IF($E2025="","",INDEX(资金日记账!$Y$4:$Y$603,558))</f>
        <v/>
      </c>
      <c r="O2025" s="26" t="str">
        <f t="shared" si="94"/>
        <v/>
      </c>
      <c r="P2025" s="10"/>
    </row>
    <row r="2026" ht="18" customHeight="1" spans="1:16">
      <c r="A2026" s="32" t="str">
        <f t="shared" si="93"/>
        <v/>
      </c>
      <c r="B2026" s="100" t="str">
        <f>IF($E2026="","",INDEX(资金日记账!$B$4:$B$603,559))</f>
        <v/>
      </c>
      <c r="C2026" s="26" t="str">
        <f>IF($E2026="","",IF(INDEX(资金日记账!$W$4:$W$603,559)="","记-"&amp;TEXT($B2026,"YYYYMM")&amp;"-资金",INDEX(资金日记账!$W$4:$W$603,559)))</f>
        <v/>
      </c>
      <c r="D2026" s="32" t="str">
        <f>IF($E2026="","",INDEX(资金日记账!$D$4:$D$603,559))</f>
        <v/>
      </c>
      <c r="E2026" s="26" t="str">
        <f>IF(INDEX(资金日记账!$N$4:$S$603,559,1)=0,"",INDEX(资金日记账!$N$4:$S$603,559,1))</f>
        <v/>
      </c>
      <c r="F2026" s="25" t="str">
        <f>IF($E2026="","",IFERROR(INDEX(科目表!$A$4:$A$81,MATCH($E2026,科目表!$B$4:$B$81,0)),""))</f>
        <v/>
      </c>
      <c r="G2026" s="26" t="str">
        <f>IF($E2026="","",IFERROR(INDEX(科目表!$E$4:$E$81,MATCH($E2026,科目表!$B$4:$B$81,0)),""))</f>
        <v/>
      </c>
      <c r="H2026" s="27" t="str">
        <f>IF($E2026="","",N(INDEX(资金日记账!$N$4:$S$603,559,2)))</f>
        <v/>
      </c>
      <c r="I2026" s="27" t="str">
        <f>IF($E2026="","",N(INDEX(资金日记账!$N$4:$S$603,559,3)))</f>
        <v/>
      </c>
      <c r="J2026" s="26" t="str">
        <f>IF($E2026="","",INDEX(资金日记账!$E$4:$E$603,559))</f>
        <v/>
      </c>
      <c r="K2026" s="26" t="str">
        <f>IF($E2026="","",INDEX(资金日记账!$F$4:$F$603,559))</f>
        <v/>
      </c>
      <c r="L2026" s="32" t="str">
        <f>IF($E2026="","",INDEX(资金日记账!$X$4:$X$603,559))</f>
        <v/>
      </c>
      <c r="M2026" s="32"/>
      <c r="N2026" s="26" t="str">
        <f>IF($E2026="","",INDEX(资金日记账!$Y$4:$Y$603,559))</f>
        <v/>
      </c>
      <c r="O2026" s="26" t="str">
        <f t="shared" si="94"/>
        <v/>
      </c>
      <c r="P2026" s="10"/>
    </row>
    <row r="2027" ht="18" customHeight="1" spans="1:16">
      <c r="A2027" s="32" t="str">
        <f t="shared" si="93"/>
        <v/>
      </c>
      <c r="B2027" s="100" t="str">
        <f>IF($E2027="","",INDEX(资金日记账!$B$4:$B$603,559))</f>
        <v/>
      </c>
      <c r="C2027" s="26" t="str">
        <f>IF($E2027="","",IF(INDEX(资金日记账!$W$4:$W$603,559)="","记-"&amp;TEXT($B2027,"YYYYMM")&amp;"-资金",INDEX(资金日记账!$W$4:$W$603,559)))</f>
        <v/>
      </c>
      <c r="D2027" s="32" t="str">
        <f>IF($E2027="","",INDEX(资金日记账!$D$4:$D$603,559))</f>
        <v/>
      </c>
      <c r="E2027" s="26" t="str">
        <f>IF(INDEX(资金日记账!$N$4:$S$603,559,4)=0,"",INDEX(资金日记账!$N$4:$S$603,559,4))</f>
        <v/>
      </c>
      <c r="F2027" s="25" t="str">
        <f>IF($E2027="","",IFERROR(INDEX(科目表!$A$4:$A$81,MATCH($E2027,科目表!$B$4:$B$81,0)),""))</f>
        <v/>
      </c>
      <c r="G2027" s="26" t="str">
        <f>IF($E2027="","",IFERROR(INDEX(科目表!$E$4:$E$81,MATCH($E2027,科目表!$B$4:$B$81,0)),""))</f>
        <v/>
      </c>
      <c r="H2027" s="27" t="str">
        <f>IF($E2027="","",N(INDEX(资金日记账!$N$4:$S$603,559,5)))</f>
        <v/>
      </c>
      <c r="I2027" s="27" t="str">
        <f>IF($E2027="","",N(INDEX(资金日记账!$N$4:$S$603,559,6)))</f>
        <v/>
      </c>
      <c r="J2027" s="26" t="str">
        <f>IF($E2027="","",INDEX(资金日记账!$E$4:$E$603,559))</f>
        <v/>
      </c>
      <c r="K2027" s="26" t="str">
        <f>IF($E2027="","",INDEX(资金日记账!$F$4:$F$603,559))</f>
        <v/>
      </c>
      <c r="L2027" s="32" t="str">
        <f>IF($E2027="","",INDEX(资金日记账!$X$4:$X$603,559))</f>
        <v/>
      </c>
      <c r="M2027" s="32"/>
      <c r="N2027" s="26" t="str">
        <f>IF($E2027="","",INDEX(资金日记账!$Y$4:$Y$603,559))</f>
        <v/>
      </c>
      <c r="O2027" s="26" t="str">
        <f t="shared" si="94"/>
        <v/>
      </c>
      <c r="P2027" s="10"/>
    </row>
    <row r="2028" ht="18" customHeight="1" spans="1:16">
      <c r="A2028" s="32" t="str">
        <f t="shared" si="93"/>
        <v/>
      </c>
      <c r="B2028" s="100" t="str">
        <f>IF($E2028="","",INDEX(资金日记账!$B$4:$B$603,560))</f>
        <v/>
      </c>
      <c r="C2028" s="26" t="str">
        <f>IF($E2028="","",IF(INDEX(资金日记账!$W$4:$W$603,560)="","记-"&amp;TEXT($B2028,"YYYYMM")&amp;"-资金",INDEX(资金日记账!$W$4:$W$603,560)))</f>
        <v/>
      </c>
      <c r="D2028" s="32" t="str">
        <f>IF($E2028="","",INDEX(资金日记账!$D$4:$D$603,560))</f>
        <v/>
      </c>
      <c r="E2028" s="26" t="str">
        <f>IF(INDEX(资金日记账!$N$4:$S$603,560,1)=0,"",INDEX(资金日记账!$N$4:$S$603,560,1))</f>
        <v/>
      </c>
      <c r="F2028" s="25" t="str">
        <f>IF($E2028="","",IFERROR(INDEX(科目表!$A$4:$A$81,MATCH($E2028,科目表!$B$4:$B$81,0)),""))</f>
        <v/>
      </c>
      <c r="G2028" s="26" t="str">
        <f>IF($E2028="","",IFERROR(INDEX(科目表!$E$4:$E$81,MATCH($E2028,科目表!$B$4:$B$81,0)),""))</f>
        <v/>
      </c>
      <c r="H2028" s="27" t="str">
        <f>IF($E2028="","",N(INDEX(资金日记账!$N$4:$S$603,560,2)))</f>
        <v/>
      </c>
      <c r="I2028" s="27" t="str">
        <f>IF($E2028="","",N(INDEX(资金日记账!$N$4:$S$603,560,3)))</f>
        <v/>
      </c>
      <c r="J2028" s="26" t="str">
        <f>IF($E2028="","",INDEX(资金日记账!$E$4:$E$603,560))</f>
        <v/>
      </c>
      <c r="K2028" s="26" t="str">
        <f>IF($E2028="","",INDEX(资金日记账!$F$4:$F$603,560))</f>
        <v/>
      </c>
      <c r="L2028" s="32" t="str">
        <f>IF($E2028="","",INDEX(资金日记账!$X$4:$X$603,560))</f>
        <v/>
      </c>
      <c r="M2028" s="32"/>
      <c r="N2028" s="26" t="str">
        <f>IF($E2028="","",INDEX(资金日记账!$Y$4:$Y$603,560))</f>
        <v/>
      </c>
      <c r="O2028" s="26" t="str">
        <f t="shared" si="94"/>
        <v/>
      </c>
      <c r="P2028" s="10"/>
    </row>
    <row r="2029" ht="18" customHeight="1" spans="1:16">
      <c r="A2029" s="32" t="str">
        <f t="shared" si="93"/>
        <v/>
      </c>
      <c r="B2029" s="100" t="str">
        <f>IF($E2029="","",INDEX(资金日记账!$B$4:$B$603,560))</f>
        <v/>
      </c>
      <c r="C2029" s="26" t="str">
        <f>IF($E2029="","",IF(INDEX(资金日记账!$W$4:$W$603,560)="","记-"&amp;TEXT($B2029,"YYYYMM")&amp;"-资金",INDEX(资金日记账!$W$4:$W$603,560)))</f>
        <v/>
      </c>
      <c r="D2029" s="32" t="str">
        <f>IF($E2029="","",INDEX(资金日记账!$D$4:$D$603,560))</f>
        <v/>
      </c>
      <c r="E2029" s="26" t="str">
        <f>IF(INDEX(资金日记账!$N$4:$S$603,560,4)=0,"",INDEX(资金日记账!$N$4:$S$603,560,4))</f>
        <v/>
      </c>
      <c r="F2029" s="25" t="str">
        <f>IF($E2029="","",IFERROR(INDEX(科目表!$A$4:$A$81,MATCH($E2029,科目表!$B$4:$B$81,0)),""))</f>
        <v/>
      </c>
      <c r="G2029" s="26" t="str">
        <f>IF($E2029="","",IFERROR(INDEX(科目表!$E$4:$E$81,MATCH($E2029,科目表!$B$4:$B$81,0)),""))</f>
        <v/>
      </c>
      <c r="H2029" s="27" t="str">
        <f>IF($E2029="","",N(INDEX(资金日记账!$N$4:$S$603,560,5)))</f>
        <v/>
      </c>
      <c r="I2029" s="27" t="str">
        <f>IF($E2029="","",N(INDEX(资金日记账!$N$4:$S$603,560,6)))</f>
        <v/>
      </c>
      <c r="J2029" s="26" t="str">
        <f>IF($E2029="","",INDEX(资金日记账!$E$4:$E$603,560))</f>
        <v/>
      </c>
      <c r="K2029" s="26" t="str">
        <f>IF($E2029="","",INDEX(资金日记账!$F$4:$F$603,560))</f>
        <v/>
      </c>
      <c r="L2029" s="32" t="str">
        <f>IF($E2029="","",INDEX(资金日记账!$X$4:$X$603,560))</f>
        <v/>
      </c>
      <c r="M2029" s="32"/>
      <c r="N2029" s="26" t="str">
        <f>IF($E2029="","",INDEX(资金日记账!$Y$4:$Y$603,560))</f>
        <v/>
      </c>
      <c r="O2029" s="26" t="str">
        <f t="shared" si="94"/>
        <v/>
      </c>
      <c r="P2029" s="10"/>
    </row>
    <row r="2030" ht="18" customHeight="1" spans="1:16">
      <c r="A2030" s="32" t="str">
        <f t="shared" si="93"/>
        <v/>
      </c>
      <c r="B2030" s="100" t="str">
        <f>IF($E2030="","",INDEX(资金日记账!$B$4:$B$603,561))</f>
        <v/>
      </c>
      <c r="C2030" s="26" t="str">
        <f>IF($E2030="","",IF(INDEX(资金日记账!$W$4:$W$603,561)="","记-"&amp;TEXT($B2030,"YYYYMM")&amp;"-资金",INDEX(资金日记账!$W$4:$W$603,561)))</f>
        <v/>
      </c>
      <c r="D2030" s="32" t="str">
        <f>IF($E2030="","",INDEX(资金日记账!$D$4:$D$603,561))</f>
        <v/>
      </c>
      <c r="E2030" s="26" t="str">
        <f>IF(INDEX(资金日记账!$N$4:$S$603,561,1)=0,"",INDEX(资金日记账!$N$4:$S$603,561,1))</f>
        <v/>
      </c>
      <c r="F2030" s="25" t="str">
        <f>IF($E2030="","",IFERROR(INDEX(科目表!$A$4:$A$81,MATCH($E2030,科目表!$B$4:$B$81,0)),""))</f>
        <v/>
      </c>
      <c r="G2030" s="26" t="str">
        <f>IF($E2030="","",IFERROR(INDEX(科目表!$E$4:$E$81,MATCH($E2030,科目表!$B$4:$B$81,0)),""))</f>
        <v/>
      </c>
      <c r="H2030" s="27" t="str">
        <f>IF($E2030="","",N(INDEX(资金日记账!$N$4:$S$603,561,2)))</f>
        <v/>
      </c>
      <c r="I2030" s="27" t="str">
        <f>IF($E2030="","",N(INDEX(资金日记账!$N$4:$S$603,561,3)))</f>
        <v/>
      </c>
      <c r="J2030" s="26" t="str">
        <f>IF($E2030="","",INDEX(资金日记账!$E$4:$E$603,561))</f>
        <v/>
      </c>
      <c r="K2030" s="26" t="str">
        <f>IF($E2030="","",INDEX(资金日记账!$F$4:$F$603,561))</f>
        <v/>
      </c>
      <c r="L2030" s="32" t="str">
        <f>IF($E2030="","",INDEX(资金日记账!$X$4:$X$603,561))</f>
        <v/>
      </c>
      <c r="M2030" s="32"/>
      <c r="N2030" s="26" t="str">
        <f>IF($E2030="","",INDEX(资金日记账!$Y$4:$Y$603,561))</f>
        <v/>
      </c>
      <c r="O2030" s="26" t="str">
        <f t="shared" si="94"/>
        <v/>
      </c>
      <c r="P2030" s="10"/>
    </row>
    <row r="2031" ht="18" customHeight="1" spans="1:16">
      <c r="A2031" s="32" t="str">
        <f t="shared" si="93"/>
        <v/>
      </c>
      <c r="B2031" s="100" t="str">
        <f>IF($E2031="","",INDEX(资金日记账!$B$4:$B$603,561))</f>
        <v/>
      </c>
      <c r="C2031" s="26" t="str">
        <f>IF($E2031="","",IF(INDEX(资金日记账!$W$4:$W$603,561)="","记-"&amp;TEXT($B2031,"YYYYMM")&amp;"-资金",INDEX(资金日记账!$W$4:$W$603,561)))</f>
        <v/>
      </c>
      <c r="D2031" s="32" t="str">
        <f>IF($E2031="","",INDEX(资金日记账!$D$4:$D$603,561))</f>
        <v/>
      </c>
      <c r="E2031" s="26" t="str">
        <f>IF(INDEX(资金日记账!$N$4:$S$603,561,4)=0,"",INDEX(资金日记账!$N$4:$S$603,561,4))</f>
        <v/>
      </c>
      <c r="F2031" s="25" t="str">
        <f>IF($E2031="","",IFERROR(INDEX(科目表!$A$4:$A$81,MATCH($E2031,科目表!$B$4:$B$81,0)),""))</f>
        <v/>
      </c>
      <c r="G2031" s="26" t="str">
        <f>IF($E2031="","",IFERROR(INDEX(科目表!$E$4:$E$81,MATCH($E2031,科目表!$B$4:$B$81,0)),""))</f>
        <v/>
      </c>
      <c r="H2031" s="27" t="str">
        <f>IF($E2031="","",N(INDEX(资金日记账!$N$4:$S$603,561,5)))</f>
        <v/>
      </c>
      <c r="I2031" s="27" t="str">
        <f>IF($E2031="","",N(INDEX(资金日记账!$N$4:$S$603,561,6)))</f>
        <v/>
      </c>
      <c r="J2031" s="26" t="str">
        <f>IF($E2031="","",INDEX(资金日记账!$E$4:$E$603,561))</f>
        <v/>
      </c>
      <c r="K2031" s="26" t="str">
        <f>IF($E2031="","",INDEX(资金日记账!$F$4:$F$603,561))</f>
        <v/>
      </c>
      <c r="L2031" s="32" t="str">
        <f>IF($E2031="","",INDEX(资金日记账!$X$4:$X$603,561))</f>
        <v/>
      </c>
      <c r="M2031" s="32"/>
      <c r="N2031" s="26" t="str">
        <f>IF($E2031="","",INDEX(资金日记账!$Y$4:$Y$603,561))</f>
        <v/>
      </c>
      <c r="O2031" s="26" t="str">
        <f t="shared" si="94"/>
        <v/>
      </c>
      <c r="P2031" s="10"/>
    </row>
    <row r="2032" ht="18" customHeight="1" spans="1:16">
      <c r="A2032" s="32" t="str">
        <f t="shared" si="93"/>
        <v/>
      </c>
      <c r="B2032" s="100" t="str">
        <f>IF($E2032="","",INDEX(资金日记账!$B$4:$B$603,562))</f>
        <v/>
      </c>
      <c r="C2032" s="26" t="str">
        <f>IF($E2032="","",IF(INDEX(资金日记账!$W$4:$W$603,562)="","记-"&amp;TEXT($B2032,"YYYYMM")&amp;"-资金",INDEX(资金日记账!$W$4:$W$603,562)))</f>
        <v/>
      </c>
      <c r="D2032" s="32" t="str">
        <f>IF($E2032="","",INDEX(资金日记账!$D$4:$D$603,562))</f>
        <v/>
      </c>
      <c r="E2032" s="26" t="str">
        <f>IF(INDEX(资金日记账!$N$4:$S$603,562,1)=0,"",INDEX(资金日记账!$N$4:$S$603,562,1))</f>
        <v/>
      </c>
      <c r="F2032" s="25" t="str">
        <f>IF($E2032="","",IFERROR(INDEX(科目表!$A$4:$A$81,MATCH($E2032,科目表!$B$4:$B$81,0)),""))</f>
        <v/>
      </c>
      <c r="G2032" s="26" t="str">
        <f>IF($E2032="","",IFERROR(INDEX(科目表!$E$4:$E$81,MATCH($E2032,科目表!$B$4:$B$81,0)),""))</f>
        <v/>
      </c>
      <c r="H2032" s="27" t="str">
        <f>IF($E2032="","",N(INDEX(资金日记账!$N$4:$S$603,562,2)))</f>
        <v/>
      </c>
      <c r="I2032" s="27" t="str">
        <f>IF($E2032="","",N(INDEX(资金日记账!$N$4:$S$603,562,3)))</f>
        <v/>
      </c>
      <c r="J2032" s="26" t="str">
        <f>IF($E2032="","",INDEX(资金日记账!$E$4:$E$603,562))</f>
        <v/>
      </c>
      <c r="K2032" s="26" t="str">
        <f>IF($E2032="","",INDEX(资金日记账!$F$4:$F$603,562))</f>
        <v/>
      </c>
      <c r="L2032" s="32" t="str">
        <f>IF($E2032="","",INDEX(资金日记账!$X$4:$X$603,562))</f>
        <v/>
      </c>
      <c r="M2032" s="32"/>
      <c r="N2032" s="26" t="str">
        <f>IF($E2032="","",INDEX(资金日记账!$Y$4:$Y$603,562))</f>
        <v/>
      </c>
      <c r="O2032" s="26" t="str">
        <f t="shared" si="94"/>
        <v/>
      </c>
      <c r="P2032" s="10"/>
    </row>
    <row r="2033" ht="18" customHeight="1" spans="1:16">
      <c r="A2033" s="32" t="str">
        <f t="shared" si="93"/>
        <v/>
      </c>
      <c r="B2033" s="100" t="str">
        <f>IF($E2033="","",INDEX(资金日记账!$B$4:$B$603,562))</f>
        <v/>
      </c>
      <c r="C2033" s="26" t="str">
        <f>IF($E2033="","",IF(INDEX(资金日记账!$W$4:$W$603,562)="","记-"&amp;TEXT($B2033,"YYYYMM")&amp;"-资金",INDEX(资金日记账!$W$4:$W$603,562)))</f>
        <v/>
      </c>
      <c r="D2033" s="32" t="str">
        <f>IF($E2033="","",INDEX(资金日记账!$D$4:$D$603,562))</f>
        <v/>
      </c>
      <c r="E2033" s="26" t="str">
        <f>IF(INDEX(资金日记账!$N$4:$S$603,562,4)=0,"",INDEX(资金日记账!$N$4:$S$603,562,4))</f>
        <v/>
      </c>
      <c r="F2033" s="25" t="str">
        <f>IF($E2033="","",IFERROR(INDEX(科目表!$A$4:$A$81,MATCH($E2033,科目表!$B$4:$B$81,0)),""))</f>
        <v/>
      </c>
      <c r="G2033" s="26" t="str">
        <f>IF($E2033="","",IFERROR(INDEX(科目表!$E$4:$E$81,MATCH($E2033,科目表!$B$4:$B$81,0)),""))</f>
        <v/>
      </c>
      <c r="H2033" s="27" t="str">
        <f>IF($E2033="","",N(INDEX(资金日记账!$N$4:$S$603,562,5)))</f>
        <v/>
      </c>
      <c r="I2033" s="27" t="str">
        <f>IF($E2033="","",N(INDEX(资金日记账!$N$4:$S$603,562,6)))</f>
        <v/>
      </c>
      <c r="J2033" s="26" t="str">
        <f>IF($E2033="","",INDEX(资金日记账!$E$4:$E$603,562))</f>
        <v/>
      </c>
      <c r="K2033" s="26" t="str">
        <f>IF($E2033="","",INDEX(资金日记账!$F$4:$F$603,562))</f>
        <v/>
      </c>
      <c r="L2033" s="32" t="str">
        <f>IF($E2033="","",INDEX(资金日记账!$X$4:$X$603,562))</f>
        <v/>
      </c>
      <c r="M2033" s="32"/>
      <c r="N2033" s="26" t="str">
        <f>IF($E2033="","",INDEX(资金日记账!$Y$4:$Y$603,562))</f>
        <v/>
      </c>
      <c r="O2033" s="26" t="str">
        <f t="shared" si="94"/>
        <v/>
      </c>
      <c r="P2033" s="10"/>
    </row>
    <row r="2034" ht="18" customHeight="1" spans="1:16">
      <c r="A2034" s="32" t="str">
        <f t="shared" si="93"/>
        <v/>
      </c>
      <c r="B2034" s="100" t="str">
        <f>IF($E2034="","",INDEX(资金日记账!$B$4:$B$603,563))</f>
        <v/>
      </c>
      <c r="C2034" s="26" t="str">
        <f>IF($E2034="","",IF(INDEX(资金日记账!$W$4:$W$603,563)="","记-"&amp;TEXT($B2034,"YYYYMM")&amp;"-资金",INDEX(资金日记账!$W$4:$W$603,563)))</f>
        <v/>
      </c>
      <c r="D2034" s="32" t="str">
        <f>IF($E2034="","",INDEX(资金日记账!$D$4:$D$603,563))</f>
        <v/>
      </c>
      <c r="E2034" s="26" t="str">
        <f>IF(INDEX(资金日记账!$N$4:$S$603,563,1)=0,"",INDEX(资金日记账!$N$4:$S$603,563,1))</f>
        <v/>
      </c>
      <c r="F2034" s="25" t="str">
        <f>IF($E2034="","",IFERROR(INDEX(科目表!$A$4:$A$81,MATCH($E2034,科目表!$B$4:$B$81,0)),""))</f>
        <v/>
      </c>
      <c r="G2034" s="26" t="str">
        <f>IF($E2034="","",IFERROR(INDEX(科目表!$E$4:$E$81,MATCH($E2034,科目表!$B$4:$B$81,0)),""))</f>
        <v/>
      </c>
      <c r="H2034" s="27" t="str">
        <f>IF($E2034="","",N(INDEX(资金日记账!$N$4:$S$603,563,2)))</f>
        <v/>
      </c>
      <c r="I2034" s="27" t="str">
        <f>IF($E2034="","",N(INDEX(资金日记账!$N$4:$S$603,563,3)))</f>
        <v/>
      </c>
      <c r="J2034" s="26" t="str">
        <f>IF($E2034="","",INDEX(资金日记账!$E$4:$E$603,563))</f>
        <v/>
      </c>
      <c r="K2034" s="26" t="str">
        <f>IF($E2034="","",INDEX(资金日记账!$F$4:$F$603,563))</f>
        <v/>
      </c>
      <c r="L2034" s="32" t="str">
        <f>IF($E2034="","",INDEX(资金日记账!$X$4:$X$603,563))</f>
        <v/>
      </c>
      <c r="M2034" s="32"/>
      <c r="N2034" s="26" t="str">
        <f>IF($E2034="","",INDEX(资金日记账!$Y$4:$Y$603,563))</f>
        <v/>
      </c>
      <c r="O2034" s="26" t="str">
        <f t="shared" si="94"/>
        <v/>
      </c>
      <c r="P2034" s="10"/>
    </row>
    <row r="2035" ht="18" customHeight="1" spans="1:16">
      <c r="A2035" s="32" t="str">
        <f t="shared" si="93"/>
        <v/>
      </c>
      <c r="B2035" s="100" t="str">
        <f>IF($E2035="","",INDEX(资金日记账!$B$4:$B$603,563))</f>
        <v/>
      </c>
      <c r="C2035" s="26" t="str">
        <f>IF($E2035="","",IF(INDEX(资金日记账!$W$4:$W$603,563)="","记-"&amp;TEXT($B2035,"YYYYMM")&amp;"-资金",INDEX(资金日记账!$W$4:$W$603,563)))</f>
        <v/>
      </c>
      <c r="D2035" s="32" t="str">
        <f>IF($E2035="","",INDEX(资金日记账!$D$4:$D$603,563))</f>
        <v/>
      </c>
      <c r="E2035" s="26" t="str">
        <f>IF(INDEX(资金日记账!$N$4:$S$603,563,4)=0,"",INDEX(资金日记账!$N$4:$S$603,563,4))</f>
        <v/>
      </c>
      <c r="F2035" s="25" t="str">
        <f>IF($E2035="","",IFERROR(INDEX(科目表!$A$4:$A$81,MATCH($E2035,科目表!$B$4:$B$81,0)),""))</f>
        <v/>
      </c>
      <c r="G2035" s="26" t="str">
        <f>IF($E2035="","",IFERROR(INDEX(科目表!$E$4:$E$81,MATCH($E2035,科目表!$B$4:$B$81,0)),""))</f>
        <v/>
      </c>
      <c r="H2035" s="27" t="str">
        <f>IF($E2035="","",N(INDEX(资金日记账!$N$4:$S$603,563,5)))</f>
        <v/>
      </c>
      <c r="I2035" s="27" t="str">
        <f>IF($E2035="","",N(INDEX(资金日记账!$N$4:$S$603,563,6)))</f>
        <v/>
      </c>
      <c r="J2035" s="26" t="str">
        <f>IF($E2035="","",INDEX(资金日记账!$E$4:$E$603,563))</f>
        <v/>
      </c>
      <c r="K2035" s="26" t="str">
        <f>IF($E2035="","",INDEX(资金日记账!$F$4:$F$603,563))</f>
        <v/>
      </c>
      <c r="L2035" s="32" t="str">
        <f>IF($E2035="","",INDEX(资金日记账!$X$4:$X$603,563))</f>
        <v/>
      </c>
      <c r="M2035" s="32"/>
      <c r="N2035" s="26" t="str">
        <f>IF($E2035="","",INDEX(资金日记账!$Y$4:$Y$603,563))</f>
        <v/>
      </c>
      <c r="O2035" s="26" t="str">
        <f t="shared" si="94"/>
        <v/>
      </c>
      <c r="P2035" s="10"/>
    </row>
    <row r="2036" ht="18" customHeight="1" spans="1:16">
      <c r="A2036" s="32" t="str">
        <f t="shared" si="93"/>
        <v/>
      </c>
      <c r="B2036" s="100" t="str">
        <f>IF($E2036="","",INDEX(资金日记账!$B$4:$B$603,564))</f>
        <v/>
      </c>
      <c r="C2036" s="26" t="str">
        <f>IF($E2036="","",IF(INDEX(资金日记账!$W$4:$W$603,564)="","记-"&amp;TEXT($B2036,"YYYYMM")&amp;"-资金",INDEX(资金日记账!$W$4:$W$603,564)))</f>
        <v/>
      </c>
      <c r="D2036" s="32" t="str">
        <f>IF($E2036="","",INDEX(资金日记账!$D$4:$D$603,564))</f>
        <v/>
      </c>
      <c r="E2036" s="26" t="str">
        <f>IF(INDEX(资金日记账!$N$4:$S$603,564,1)=0,"",INDEX(资金日记账!$N$4:$S$603,564,1))</f>
        <v/>
      </c>
      <c r="F2036" s="25" t="str">
        <f>IF($E2036="","",IFERROR(INDEX(科目表!$A$4:$A$81,MATCH($E2036,科目表!$B$4:$B$81,0)),""))</f>
        <v/>
      </c>
      <c r="G2036" s="26" t="str">
        <f>IF($E2036="","",IFERROR(INDEX(科目表!$E$4:$E$81,MATCH($E2036,科目表!$B$4:$B$81,0)),""))</f>
        <v/>
      </c>
      <c r="H2036" s="27" t="str">
        <f>IF($E2036="","",N(INDEX(资金日记账!$N$4:$S$603,564,2)))</f>
        <v/>
      </c>
      <c r="I2036" s="27" t="str">
        <f>IF($E2036="","",N(INDEX(资金日记账!$N$4:$S$603,564,3)))</f>
        <v/>
      </c>
      <c r="J2036" s="26" t="str">
        <f>IF($E2036="","",INDEX(资金日记账!$E$4:$E$603,564))</f>
        <v/>
      </c>
      <c r="K2036" s="26" t="str">
        <f>IF($E2036="","",INDEX(资金日记账!$F$4:$F$603,564))</f>
        <v/>
      </c>
      <c r="L2036" s="32" t="str">
        <f>IF($E2036="","",INDEX(资金日记账!$X$4:$X$603,564))</f>
        <v/>
      </c>
      <c r="M2036" s="32"/>
      <c r="N2036" s="26" t="str">
        <f>IF($E2036="","",INDEX(资金日记账!$Y$4:$Y$603,564))</f>
        <v/>
      </c>
      <c r="O2036" s="26" t="str">
        <f t="shared" si="94"/>
        <v/>
      </c>
      <c r="P2036" s="10"/>
    </row>
    <row r="2037" ht="18" customHeight="1" spans="1:16">
      <c r="A2037" s="32" t="str">
        <f t="shared" si="93"/>
        <v/>
      </c>
      <c r="B2037" s="100" t="str">
        <f>IF($E2037="","",INDEX(资金日记账!$B$4:$B$603,564))</f>
        <v/>
      </c>
      <c r="C2037" s="26" t="str">
        <f>IF($E2037="","",IF(INDEX(资金日记账!$W$4:$W$603,564)="","记-"&amp;TEXT($B2037,"YYYYMM")&amp;"-资金",INDEX(资金日记账!$W$4:$W$603,564)))</f>
        <v/>
      </c>
      <c r="D2037" s="32" t="str">
        <f>IF($E2037="","",INDEX(资金日记账!$D$4:$D$603,564))</f>
        <v/>
      </c>
      <c r="E2037" s="26" t="str">
        <f>IF(INDEX(资金日记账!$N$4:$S$603,564,4)=0,"",INDEX(资金日记账!$N$4:$S$603,564,4))</f>
        <v/>
      </c>
      <c r="F2037" s="25" t="str">
        <f>IF($E2037="","",IFERROR(INDEX(科目表!$A$4:$A$81,MATCH($E2037,科目表!$B$4:$B$81,0)),""))</f>
        <v/>
      </c>
      <c r="G2037" s="26" t="str">
        <f>IF($E2037="","",IFERROR(INDEX(科目表!$E$4:$E$81,MATCH($E2037,科目表!$B$4:$B$81,0)),""))</f>
        <v/>
      </c>
      <c r="H2037" s="27" t="str">
        <f>IF($E2037="","",N(INDEX(资金日记账!$N$4:$S$603,564,5)))</f>
        <v/>
      </c>
      <c r="I2037" s="27" t="str">
        <f>IF($E2037="","",N(INDEX(资金日记账!$N$4:$S$603,564,6)))</f>
        <v/>
      </c>
      <c r="J2037" s="26" t="str">
        <f>IF($E2037="","",INDEX(资金日记账!$E$4:$E$603,564))</f>
        <v/>
      </c>
      <c r="K2037" s="26" t="str">
        <f>IF($E2037="","",INDEX(资金日记账!$F$4:$F$603,564))</f>
        <v/>
      </c>
      <c r="L2037" s="32" t="str">
        <f>IF($E2037="","",INDEX(资金日记账!$X$4:$X$603,564))</f>
        <v/>
      </c>
      <c r="M2037" s="32"/>
      <c r="N2037" s="26" t="str">
        <f>IF($E2037="","",INDEX(资金日记账!$Y$4:$Y$603,564))</f>
        <v/>
      </c>
      <c r="O2037" s="26" t="str">
        <f t="shared" si="94"/>
        <v/>
      </c>
      <c r="P2037" s="10"/>
    </row>
    <row r="2038" ht="18" customHeight="1" spans="1:16">
      <c r="A2038" s="32" t="str">
        <f t="shared" si="93"/>
        <v/>
      </c>
      <c r="B2038" s="100" t="str">
        <f>IF($E2038="","",INDEX(资金日记账!$B$4:$B$603,565))</f>
        <v/>
      </c>
      <c r="C2038" s="26" t="str">
        <f>IF($E2038="","",IF(INDEX(资金日记账!$W$4:$W$603,565)="","记-"&amp;TEXT($B2038,"YYYYMM")&amp;"-资金",INDEX(资金日记账!$W$4:$W$603,565)))</f>
        <v/>
      </c>
      <c r="D2038" s="32" t="str">
        <f>IF($E2038="","",INDEX(资金日记账!$D$4:$D$603,565))</f>
        <v/>
      </c>
      <c r="E2038" s="26" t="str">
        <f>IF(INDEX(资金日记账!$N$4:$S$603,565,1)=0,"",INDEX(资金日记账!$N$4:$S$603,565,1))</f>
        <v/>
      </c>
      <c r="F2038" s="25" t="str">
        <f>IF($E2038="","",IFERROR(INDEX(科目表!$A$4:$A$81,MATCH($E2038,科目表!$B$4:$B$81,0)),""))</f>
        <v/>
      </c>
      <c r="G2038" s="26" t="str">
        <f>IF($E2038="","",IFERROR(INDEX(科目表!$E$4:$E$81,MATCH($E2038,科目表!$B$4:$B$81,0)),""))</f>
        <v/>
      </c>
      <c r="H2038" s="27" t="str">
        <f>IF($E2038="","",N(INDEX(资金日记账!$N$4:$S$603,565,2)))</f>
        <v/>
      </c>
      <c r="I2038" s="27" t="str">
        <f>IF($E2038="","",N(INDEX(资金日记账!$N$4:$S$603,565,3)))</f>
        <v/>
      </c>
      <c r="J2038" s="26" t="str">
        <f>IF($E2038="","",INDEX(资金日记账!$E$4:$E$603,565))</f>
        <v/>
      </c>
      <c r="K2038" s="26" t="str">
        <f>IF($E2038="","",INDEX(资金日记账!$F$4:$F$603,565))</f>
        <v/>
      </c>
      <c r="L2038" s="32" t="str">
        <f>IF($E2038="","",INDEX(资金日记账!$X$4:$X$603,565))</f>
        <v/>
      </c>
      <c r="M2038" s="32"/>
      <c r="N2038" s="26" t="str">
        <f>IF($E2038="","",INDEX(资金日记账!$Y$4:$Y$603,565))</f>
        <v/>
      </c>
      <c r="O2038" s="26" t="str">
        <f t="shared" si="94"/>
        <v/>
      </c>
      <c r="P2038" s="10"/>
    </row>
    <row r="2039" ht="18" customHeight="1" spans="1:16">
      <c r="A2039" s="32" t="str">
        <f t="shared" si="93"/>
        <v/>
      </c>
      <c r="B2039" s="100" t="str">
        <f>IF($E2039="","",INDEX(资金日记账!$B$4:$B$603,565))</f>
        <v/>
      </c>
      <c r="C2039" s="26" t="str">
        <f>IF($E2039="","",IF(INDEX(资金日记账!$W$4:$W$603,565)="","记-"&amp;TEXT($B2039,"YYYYMM")&amp;"-资金",INDEX(资金日记账!$W$4:$W$603,565)))</f>
        <v/>
      </c>
      <c r="D2039" s="32" t="str">
        <f>IF($E2039="","",INDEX(资金日记账!$D$4:$D$603,565))</f>
        <v/>
      </c>
      <c r="E2039" s="26" t="str">
        <f>IF(INDEX(资金日记账!$N$4:$S$603,565,4)=0,"",INDEX(资金日记账!$N$4:$S$603,565,4))</f>
        <v/>
      </c>
      <c r="F2039" s="25" t="str">
        <f>IF($E2039="","",IFERROR(INDEX(科目表!$A$4:$A$81,MATCH($E2039,科目表!$B$4:$B$81,0)),""))</f>
        <v/>
      </c>
      <c r="G2039" s="26" t="str">
        <f>IF($E2039="","",IFERROR(INDEX(科目表!$E$4:$E$81,MATCH($E2039,科目表!$B$4:$B$81,0)),""))</f>
        <v/>
      </c>
      <c r="H2039" s="27" t="str">
        <f>IF($E2039="","",N(INDEX(资金日记账!$N$4:$S$603,565,5)))</f>
        <v/>
      </c>
      <c r="I2039" s="27" t="str">
        <f>IF($E2039="","",N(INDEX(资金日记账!$N$4:$S$603,565,6)))</f>
        <v/>
      </c>
      <c r="J2039" s="26" t="str">
        <f>IF($E2039="","",INDEX(资金日记账!$E$4:$E$603,565))</f>
        <v/>
      </c>
      <c r="K2039" s="26" t="str">
        <f>IF($E2039="","",INDEX(资金日记账!$F$4:$F$603,565))</f>
        <v/>
      </c>
      <c r="L2039" s="32" t="str">
        <f>IF($E2039="","",INDEX(资金日记账!$X$4:$X$603,565))</f>
        <v/>
      </c>
      <c r="M2039" s="32"/>
      <c r="N2039" s="26" t="str">
        <f>IF($E2039="","",INDEX(资金日记账!$Y$4:$Y$603,565))</f>
        <v/>
      </c>
      <c r="O2039" s="26" t="str">
        <f t="shared" si="94"/>
        <v/>
      </c>
      <c r="P2039" s="10"/>
    </row>
    <row r="2040" ht="18" customHeight="1" spans="1:16">
      <c r="A2040" s="32" t="str">
        <f t="shared" si="93"/>
        <v/>
      </c>
      <c r="B2040" s="100" t="str">
        <f>IF($E2040="","",INDEX(资金日记账!$B$4:$B$603,566))</f>
        <v/>
      </c>
      <c r="C2040" s="26" t="str">
        <f>IF($E2040="","",IF(INDEX(资金日记账!$W$4:$W$603,566)="","记-"&amp;TEXT($B2040,"YYYYMM")&amp;"-资金",INDEX(资金日记账!$W$4:$W$603,566)))</f>
        <v/>
      </c>
      <c r="D2040" s="32" t="str">
        <f>IF($E2040="","",INDEX(资金日记账!$D$4:$D$603,566))</f>
        <v/>
      </c>
      <c r="E2040" s="26" t="str">
        <f>IF(INDEX(资金日记账!$N$4:$S$603,566,1)=0,"",INDEX(资金日记账!$N$4:$S$603,566,1))</f>
        <v/>
      </c>
      <c r="F2040" s="25" t="str">
        <f>IF($E2040="","",IFERROR(INDEX(科目表!$A$4:$A$81,MATCH($E2040,科目表!$B$4:$B$81,0)),""))</f>
        <v/>
      </c>
      <c r="G2040" s="26" t="str">
        <f>IF($E2040="","",IFERROR(INDEX(科目表!$E$4:$E$81,MATCH($E2040,科目表!$B$4:$B$81,0)),""))</f>
        <v/>
      </c>
      <c r="H2040" s="27" t="str">
        <f>IF($E2040="","",N(INDEX(资金日记账!$N$4:$S$603,566,2)))</f>
        <v/>
      </c>
      <c r="I2040" s="27" t="str">
        <f>IF($E2040="","",N(INDEX(资金日记账!$N$4:$S$603,566,3)))</f>
        <v/>
      </c>
      <c r="J2040" s="26" t="str">
        <f>IF($E2040="","",INDEX(资金日记账!$E$4:$E$603,566))</f>
        <v/>
      </c>
      <c r="K2040" s="26" t="str">
        <f>IF($E2040="","",INDEX(资金日记账!$F$4:$F$603,566))</f>
        <v/>
      </c>
      <c r="L2040" s="32" t="str">
        <f>IF($E2040="","",INDEX(资金日记账!$X$4:$X$603,566))</f>
        <v/>
      </c>
      <c r="M2040" s="32"/>
      <c r="N2040" s="26" t="str">
        <f>IF($E2040="","",INDEX(资金日记账!$Y$4:$Y$603,566))</f>
        <v/>
      </c>
      <c r="O2040" s="26" t="str">
        <f t="shared" si="94"/>
        <v/>
      </c>
      <c r="P2040" s="10"/>
    </row>
    <row r="2041" ht="18" customHeight="1" spans="1:16">
      <c r="A2041" s="32" t="str">
        <f t="shared" si="93"/>
        <v/>
      </c>
      <c r="B2041" s="100" t="str">
        <f>IF($E2041="","",INDEX(资金日记账!$B$4:$B$603,566))</f>
        <v/>
      </c>
      <c r="C2041" s="26" t="str">
        <f>IF($E2041="","",IF(INDEX(资金日记账!$W$4:$W$603,566)="","记-"&amp;TEXT($B2041,"YYYYMM")&amp;"-资金",INDEX(资金日记账!$W$4:$W$603,566)))</f>
        <v/>
      </c>
      <c r="D2041" s="32" t="str">
        <f>IF($E2041="","",INDEX(资金日记账!$D$4:$D$603,566))</f>
        <v/>
      </c>
      <c r="E2041" s="26" t="str">
        <f>IF(INDEX(资金日记账!$N$4:$S$603,566,4)=0,"",INDEX(资金日记账!$N$4:$S$603,566,4))</f>
        <v/>
      </c>
      <c r="F2041" s="25" t="str">
        <f>IF($E2041="","",IFERROR(INDEX(科目表!$A$4:$A$81,MATCH($E2041,科目表!$B$4:$B$81,0)),""))</f>
        <v/>
      </c>
      <c r="G2041" s="26" t="str">
        <f>IF($E2041="","",IFERROR(INDEX(科目表!$E$4:$E$81,MATCH($E2041,科目表!$B$4:$B$81,0)),""))</f>
        <v/>
      </c>
      <c r="H2041" s="27" t="str">
        <f>IF($E2041="","",N(INDEX(资金日记账!$N$4:$S$603,566,5)))</f>
        <v/>
      </c>
      <c r="I2041" s="27" t="str">
        <f>IF($E2041="","",N(INDEX(资金日记账!$N$4:$S$603,566,6)))</f>
        <v/>
      </c>
      <c r="J2041" s="26" t="str">
        <f>IF($E2041="","",INDEX(资金日记账!$E$4:$E$603,566))</f>
        <v/>
      </c>
      <c r="K2041" s="26" t="str">
        <f>IF($E2041="","",INDEX(资金日记账!$F$4:$F$603,566))</f>
        <v/>
      </c>
      <c r="L2041" s="32" t="str">
        <f>IF($E2041="","",INDEX(资金日记账!$X$4:$X$603,566))</f>
        <v/>
      </c>
      <c r="M2041" s="32"/>
      <c r="N2041" s="26" t="str">
        <f>IF($E2041="","",INDEX(资金日记账!$Y$4:$Y$603,566))</f>
        <v/>
      </c>
      <c r="O2041" s="26" t="str">
        <f t="shared" si="94"/>
        <v/>
      </c>
      <c r="P2041" s="10"/>
    </row>
    <row r="2042" ht="18" customHeight="1" spans="1:16">
      <c r="A2042" s="32" t="str">
        <f t="shared" si="93"/>
        <v/>
      </c>
      <c r="B2042" s="100" t="str">
        <f>IF($E2042="","",INDEX(资金日记账!$B$4:$B$603,567))</f>
        <v/>
      </c>
      <c r="C2042" s="26" t="str">
        <f>IF($E2042="","",IF(INDEX(资金日记账!$W$4:$W$603,567)="","记-"&amp;TEXT($B2042,"YYYYMM")&amp;"-资金",INDEX(资金日记账!$W$4:$W$603,567)))</f>
        <v/>
      </c>
      <c r="D2042" s="32" t="str">
        <f>IF($E2042="","",INDEX(资金日记账!$D$4:$D$603,567))</f>
        <v/>
      </c>
      <c r="E2042" s="26" t="str">
        <f>IF(INDEX(资金日记账!$N$4:$S$603,567,1)=0,"",INDEX(资金日记账!$N$4:$S$603,567,1))</f>
        <v/>
      </c>
      <c r="F2042" s="25" t="str">
        <f>IF($E2042="","",IFERROR(INDEX(科目表!$A$4:$A$81,MATCH($E2042,科目表!$B$4:$B$81,0)),""))</f>
        <v/>
      </c>
      <c r="G2042" s="26" t="str">
        <f>IF($E2042="","",IFERROR(INDEX(科目表!$E$4:$E$81,MATCH($E2042,科目表!$B$4:$B$81,0)),""))</f>
        <v/>
      </c>
      <c r="H2042" s="27" t="str">
        <f>IF($E2042="","",N(INDEX(资金日记账!$N$4:$S$603,567,2)))</f>
        <v/>
      </c>
      <c r="I2042" s="27" t="str">
        <f>IF($E2042="","",N(INDEX(资金日记账!$N$4:$S$603,567,3)))</f>
        <v/>
      </c>
      <c r="J2042" s="26" t="str">
        <f>IF($E2042="","",INDEX(资金日记账!$E$4:$E$603,567))</f>
        <v/>
      </c>
      <c r="K2042" s="26" t="str">
        <f>IF($E2042="","",INDEX(资金日记账!$F$4:$F$603,567))</f>
        <v/>
      </c>
      <c r="L2042" s="32" t="str">
        <f>IF($E2042="","",INDEX(资金日记账!$X$4:$X$603,567))</f>
        <v/>
      </c>
      <c r="M2042" s="32"/>
      <c r="N2042" s="26" t="str">
        <f>IF($E2042="","",INDEX(资金日记账!$Y$4:$Y$603,567))</f>
        <v/>
      </c>
      <c r="O2042" s="26" t="str">
        <f t="shared" si="94"/>
        <v/>
      </c>
      <c r="P2042" s="10"/>
    </row>
    <row r="2043" ht="18" customHeight="1" spans="1:16">
      <c r="A2043" s="32" t="str">
        <f t="shared" si="93"/>
        <v/>
      </c>
      <c r="B2043" s="100" t="str">
        <f>IF($E2043="","",INDEX(资金日记账!$B$4:$B$603,567))</f>
        <v/>
      </c>
      <c r="C2043" s="26" t="str">
        <f>IF($E2043="","",IF(INDEX(资金日记账!$W$4:$W$603,567)="","记-"&amp;TEXT($B2043,"YYYYMM")&amp;"-资金",INDEX(资金日记账!$W$4:$W$603,567)))</f>
        <v/>
      </c>
      <c r="D2043" s="32" t="str">
        <f>IF($E2043="","",INDEX(资金日记账!$D$4:$D$603,567))</f>
        <v/>
      </c>
      <c r="E2043" s="26" t="str">
        <f>IF(INDEX(资金日记账!$N$4:$S$603,567,4)=0,"",INDEX(资金日记账!$N$4:$S$603,567,4))</f>
        <v/>
      </c>
      <c r="F2043" s="25" t="str">
        <f>IF($E2043="","",IFERROR(INDEX(科目表!$A$4:$A$81,MATCH($E2043,科目表!$B$4:$B$81,0)),""))</f>
        <v/>
      </c>
      <c r="G2043" s="26" t="str">
        <f>IF($E2043="","",IFERROR(INDEX(科目表!$E$4:$E$81,MATCH($E2043,科目表!$B$4:$B$81,0)),""))</f>
        <v/>
      </c>
      <c r="H2043" s="27" t="str">
        <f>IF($E2043="","",N(INDEX(资金日记账!$N$4:$S$603,567,5)))</f>
        <v/>
      </c>
      <c r="I2043" s="27" t="str">
        <f>IF($E2043="","",N(INDEX(资金日记账!$N$4:$S$603,567,6)))</f>
        <v/>
      </c>
      <c r="J2043" s="26" t="str">
        <f>IF($E2043="","",INDEX(资金日记账!$E$4:$E$603,567))</f>
        <v/>
      </c>
      <c r="K2043" s="26" t="str">
        <f>IF($E2043="","",INDEX(资金日记账!$F$4:$F$603,567))</f>
        <v/>
      </c>
      <c r="L2043" s="32" t="str">
        <f>IF($E2043="","",INDEX(资金日记账!$X$4:$X$603,567))</f>
        <v/>
      </c>
      <c r="M2043" s="32"/>
      <c r="N2043" s="26" t="str">
        <f>IF($E2043="","",INDEX(资金日记账!$Y$4:$Y$603,567))</f>
        <v/>
      </c>
      <c r="O2043" s="26" t="str">
        <f t="shared" si="94"/>
        <v/>
      </c>
      <c r="P2043" s="10"/>
    </row>
    <row r="2044" ht="18" customHeight="1" spans="1:16">
      <c r="A2044" s="32" t="str">
        <f t="shared" si="93"/>
        <v/>
      </c>
      <c r="B2044" s="100" t="str">
        <f>IF($E2044="","",INDEX(资金日记账!$B$4:$B$603,568))</f>
        <v/>
      </c>
      <c r="C2044" s="26" t="str">
        <f>IF($E2044="","",IF(INDEX(资金日记账!$W$4:$W$603,568)="","记-"&amp;TEXT($B2044,"YYYYMM")&amp;"-资金",INDEX(资金日记账!$W$4:$W$603,568)))</f>
        <v/>
      </c>
      <c r="D2044" s="32" t="str">
        <f>IF($E2044="","",INDEX(资金日记账!$D$4:$D$603,568))</f>
        <v/>
      </c>
      <c r="E2044" s="26" t="str">
        <f>IF(INDEX(资金日记账!$N$4:$S$603,568,1)=0,"",INDEX(资金日记账!$N$4:$S$603,568,1))</f>
        <v/>
      </c>
      <c r="F2044" s="25" t="str">
        <f>IF($E2044="","",IFERROR(INDEX(科目表!$A$4:$A$81,MATCH($E2044,科目表!$B$4:$B$81,0)),""))</f>
        <v/>
      </c>
      <c r="G2044" s="26" t="str">
        <f>IF($E2044="","",IFERROR(INDEX(科目表!$E$4:$E$81,MATCH($E2044,科目表!$B$4:$B$81,0)),""))</f>
        <v/>
      </c>
      <c r="H2044" s="27" t="str">
        <f>IF($E2044="","",N(INDEX(资金日记账!$N$4:$S$603,568,2)))</f>
        <v/>
      </c>
      <c r="I2044" s="27" t="str">
        <f>IF($E2044="","",N(INDEX(资金日记账!$N$4:$S$603,568,3)))</f>
        <v/>
      </c>
      <c r="J2044" s="26" t="str">
        <f>IF($E2044="","",INDEX(资金日记账!$E$4:$E$603,568))</f>
        <v/>
      </c>
      <c r="K2044" s="26" t="str">
        <f>IF($E2044="","",INDEX(资金日记账!$F$4:$F$603,568))</f>
        <v/>
      </c>
      <c r="L2044" s="32" t="str">
        <f>IF($E2044="","",INDEX(资金日记账!$X$4:$X$603,568))</f>
        <v/>
      </c>
      <c r="M2044" s="32"/>
      <c r="N2044" s="26" t="str">
        <f>IF($E2044="","",INDEX(资金日记账!$Y$4:$Y$603,568))</f>
        <v/>
      </c>
      <c r="O2044" s="26" t="str">
        <f t="shared" si="94"/>
        <v/>
      </c>
      <c r="P2044" s="10"/>
    </row>
    <row r="2045" ht="18" customHeight="1" spans="1:16">
      <c r="A2045" s="32" t="str">
        <f t="shared" si="93"/>
        <v/>
      </c>
      <c r="B2045" s="100" t="str">
        <f>IF($E2045="","",INDEX(资金日记账!$B$4:$B$603,568))</f>
        <v/>
      </c>
      <c r="C2045" s="26" t="str">
        <f>IF($E2045="","",IF(INDEX(资金日记账!$W$4:$W$603,568)="","记-"&amp;TEXT($B2045,"YYYYMM")&amp;"-资金",INDEX(资金日记账!$W$4:$W$603,568)))</f>
        <v/>
      </c>
      <c r="D2045" s="32" t="str">
        <f>IF($E2045="","",INDEX(资金日记账!$D$4:$D$603,568))</f>
        <v/>
      </c>
      <c r="E2045" s="26" t="str">
        <f>IF(INDEX(资金日记账!$N$4:$S$603,568,4)=0,"",INDEX(资金日记账!$N$4:$S$603,568,4))</f>
        <v/>
      </c>
      <c r="F2045" s="25" t="str">
        <f>IF($E2045="","",IFERROR(INDEX(科目表!$A$4:$A$81,MATCH($E2045,科目表!$B$4:$B$81,0)),""))</f>
        <v/>
      </c>
      <c r="G2045" s="26" t="str">
        <f>IF($E2045="","",IFERROR(INDEX(科目表!$E$4:$E$81,MATCH($E2045,科目表!$B$4:$B$81,0)),""))</f>
        <v/>
      </c>
      <c r="H2045" s="27" t="str">
        <f>IF($E2045="","",N(INDEX(资金日记账!$N$4:$S$603,568,5)))</f>
        <v/>
      </c>
      <c r="I2045" s="27" t="str">
        <f>IF($E2045="","",N(INDEX(资金日记账!$N$4:$S$603,568,6)))</f>
        <v/>
      </c>
      <c r="J2045" s="26" t="str">
        <f>IF($E2045="","",INDEX(资金日记账!$E$4:$E$603,568))</f>
        <v/>
      </c>
      <c r="K2045" s="26" t="str">
        <f>IF($E2045="","",INDEX(资金日记账!$F$4:$F$603,568))</f>
        <v/>
      </c>
      <c r="L2045" s="32" t="str">
        <f>IF($E2045="","",INDEX(资金日记账!$X$4:$X$603,568))</f>
        <v/>
      </c>
      <c r="M2045" s="32"/>
      <c r="N2045" s="26" t="str">
        <f>IF($E2045="","",INDEX(资金日记账!$Y$4:$Y$603,568))</f>
        <v/>
      </c>
      <c r="O2045" s="26" t="str">
        <f t="shared" si="94"/>
        <v/>
      </c>
      <c r="P2045" s="10"/>
    </row>
    <row r="2046" ht="18" customHeight="1" spans="1:16">
      <c r="A2046" s="32" t="str">
        <f t="shared" si="93"/>
        <v/>
      </c>
      <c r="B2046" s="100" t="str">
        <f>IF($E2046="","",INDEX(资金日记账!$B$4:$B$603,569))</f>
        <v/>
      </c>
      <c r="C2046" s="26" t="str">
        <f>IF($E2046="","",IF(INDEX(资金日记账!$W$4:$W$603,569)="","记-"&amp;TEXT($B2046,"YYYYMM")&amp;"-资金",INDEX(资金日记账!$W$4:$W$603,569)))</f>
        <v/>
      </c>
      <c r="D2046" s="32" t="str">
        <f>IF($E2046="","",INDEX(资金日记账!$D$4:$D$603,569))</f>
        <v/>
      </c>
      <c r="E2046" s="26" t="str">
        <f>IF(INDEX(资金日记账!$N$4:$S$603,569,1)=0,"",INDEX(资金日记账!$N$4:$S$603,569,1))</f>
        <v/>
      </c>
      <c r="F2046" s="25" t="str">
        <f>IF($E2046="","",IFERROR(INDEX(科目表!$A$4:$A$81,MATCH($E2046,科目表!$B$4:$B$81,0)),""))</f>
        <v/>
      </c>
      <c r="G2046" s="26" t="str">
        <f>IF($E2046="","",IFERROR(INDEX(科目表!$E$4:$E$81,MATCH($E2046,科目表!$B$4:$B$81,0)),""))</f>
        <v/>
      </c>
      <c r="H2046" s="27" t="str">
        <f>IF($E2046="","",N(INDEX(资金日记账!$N$4:$S$603,569,2)))</f>
        <v/>
      </c>
      <c r="I2046" s="27" t="str">
        <f>IF($E2046="","",N(INDEX(资金日记账!$N$4:$S$603,569,3)))</f>
        <v/>
      </c>
      <c r="J2046" s="26" t="str">
        <f>IF($E2046="","",INDEX(资金日记账!$E$4:$E$603,569))</f>
        <v/>
      </c>
      <c r="K2046" s="26" t="str">
        <f>IF($E2046="","",INDEX(资金日记账!$F$4:$F$603,569))</f>
        <v/>
      </c>
      <c r="L2046" s="32" t="str">
        <f>IF($E2046="","",INDEX(资金日记账!$X$4:$X$603,569))</f>
        <v/>
      </c>
      <c r="M2046" s="32"/>
      <c r="N2046" s="26" t="str">
        <f>IF($E2046="","",INDEX(资金日记账!$Y$4:$Y$603,569))</f>
        <v/>
      </c>
      <c r="O2046" s="26" t="str">
        <f t="shared" si="94"/>
        <v/>
      </c>
      <c r="P2046" s="10"/>
    </row>
    <row r="2047" ht="18" customHeight="1" spans="1:16">
      <c r="A2047" s="32" t="str">
        <f t="shared" si="93"/>
        <v/>
      </c>
      <c r="B2047" s="100" t="str">
        <f>IF($E2047="","",INDEX(资金日记账!$B$4:$B$603,569))</f>
        <v/>
      </c>
      <c r="C2047" s="26" t="str">
        <f>IF($E2047="","",IF(INDEX(资金日记账!$W$4:$W$603,569)="","记-"&amp;TEXT($B2047,"YYYYMM")&amp;"-资金",INDEX(资金日记账!$W$4:$W$603,569)))</f>
        <v/>
      </c>
      <c r="D2047" s="32" t="str">
        <f>IF($E2047="","",INDEX(资金日记账!$D$4:$D$603,569))</f>
        <v/>
      </c>
      <c r="E2047" s="26" t="str">
        <f>IF(INDEX(资金日记账!$N$4:$S$603,569,4)=0,"",INDEX(资金日记账!$N$4:$S$603,569,4))</f>
        <v/>
      </c>
      <c r="F2047" s="25" t="str">
        <f>IF($E2047="","",IFERROR(INDEX(科目表!$A$4:$A$81,MATCH($E2047,科目表!$B$4:$B$81,0)),""))</f>
        <v/>
      </c>
      <c r="G2047" s="26" t="str">
        <f>IF($E2047="","",IFERROR(INDEX(科目表!$E$4:$E$81,MATCH($E2047,科目表!$B$4:$B$81,0)),""))</f>
        <v/>
      </c>
      <c r="H2047" s="27" t="str">
        <f>IF($E2047="","",N(INDEX(资金日记账!$N$4:$S$603,569,5)))</f>
        <v/>
      </c>
      <c r="I2047" s="27" t="str">
        <f>IF($E2047="","",N(INDEX(资金日记账!$N$4:$S$603,569,6)))</f>
        <v/>
      </c>
      <c r="J2047" s="26" t="str">
        <f>IF($E2047="","",INDEX(资金日记账!$E$4:$E$603,569))</f>
        <v/>
      </c>
      <c r="K2047" s="26" t="str">
        <f>IF($E2047="","",INDEX(资金日记账!$F$4:$F$603,569))</f>
        <v/>
      </c>
      <c r="L2047" s="32" t="str">
        <f>IF($E2047="","",INDEX(资金日记账!$X$4:$X$603,569))</f>
        <v/>
      </c>
      <c r="M2047" s="32"/>
      <c r="N2047" s="26" t="str">
        <f>IF($E2047="","",INDEX(资金日记账!$Y$4:$Y$603,569))</f>
        <v/>
      </c>
      <c r="O2047" s="26" t="str">
        <f t="shared" si="94"/>
        <v/>
      </c>
      <c r="P2047" s="10"/>
    </row>
    <row r="2048" ht="18" customHeight="1" spans="1:16">
      <c r="A2048" s="32" t="str">
        <f t="shared" si="93"/>
        <v/>
      </c>
      <c r="B2048" s="100" t="str">
        <f>IF($E2048="","",INDEX(资金日记账!$B$4:$B$603,570))</f>
        <v/>
      </c>
      <c r="C2048" s="26" t="str">
        <f>IF($E2048="","",IF(INDEX(资金日记账!$W$4:$W$603,570)="","记-"&amp;TEXT($B2048,"YYYYMM")&amp;"-资金",INDEX(资金日记账!$W$4:$W$603,570)))</f>
        <v/>
      </c>
      <c r="D2048" s="32" t="str">
        <f>IF($E2048="","",INDEX(资金日记账!$D$4:$D$603,570))</f>
        <v/>
      </c>
      <c r="E2048" s="26" t="str">
        <f>IF(INDEX(资金日记账!$N$4:$S$603,570,1)=0,"",INDEX(资金日记账!$N$4:$S$603,570,1))</f>
        <v/>
      </c>
      <c r="F2048" s="25" t="str">
        <f>IF($E2048="","",IFERROR(INDEX(科目表!$A$4:$A$81,MATCH($E2048,科目表!$B$4:$B$81,0)),""))</f>
        <v/>
      </c>
      <c r="G2048" s="26" t="str">
        <f>IF($E2048="","",IFERROR(INDEX(科目表!$E$4:$E$81,MATCH($E2048,科目表!$B$4:$B$81,0)),""))</f>
        <v/>
      </c>
      <c r="H2048" s="27" t="str">
        <f>IF($E2048="","",N(INDEX(资金日记账!$N$4:$S$603,570,2)))</f>
        <v/>
      </c>
      <c r="I2048" s="27" t="str">
        <f>IF($E2048="","",N(INDEX(资金日记账!$N$4:$S$603,570,3)))</f>
        <v/>
      </c>
      <c r="J2048" s="26" t="str">
        <f>IF($E2048="","",INDEX(资金日记账!$E$4:$E$603,570))</f>
        <v/>
      </c>
      <c r="K2048" s="26" t="str">
        <f>IF($E2048="","",INDEX(资金日记账!$F$4:$F$603,570))</f>
        <v/>
      </c>
      <c r="L2048" s="32" t="str">
        <f>IF($E2048="","",INDEX(资金日记账!$X$4:$X$603,570))</f>
        <v/>
      </c>
      <c r="M2048" s="32"/>
      <c r="N2048" s="26" t="str">
        <f>IF($E2048="","",INDEX(资金日记账!$Y$4:$Y$603,570))</f>
        <v/>
      </c>
      <c r="O2048" s="26" t="str">
        <f t="shared" si="94"/>
        <v/>
      </c>
      <c r="P2048" s="10"/>
    </row>
    <row r="2049" ht="18" customHeight="1" spans="1:16">
      <c r="A2049" s="32" t="str">
        <f t="shared" si="93"/>
        <v/>
      </c>
      <c r="B2049" s="100" t="str">
        <f>IF($E2049="","",INDEX(资金日记账!$B$4:$B$603,570))</f>
        <v/>
      </c>
      <c r="C2049" s="26" t="str">
        <f>IF($E2049="","",IF(INDEX(资金日记账!$W$4:$W$603,570)="","记-"&amp;TEXT($B2049,"YYYYMM")&amp;"-资金",INDEX(资金日记账!$W$4:$W$603,570)))</f>
        <v/>
      </c>
      <c r="D2049" s="32" t="str">
        <f>IF($E2049="","",INDEX(资金日记账!$D$4:$D$603,570))</f>
        <v/>
      </c>
      <c r="E2049" s="26" t="str">
        <f>IF(INDEX(资金日记账!$N$4:$S$603,570,4)=0,"",INDEX(资金日记账!$N$4:$S$603,570,4))</f>
        <v/>
      </c>
      <c r="F2049" s="25" t="str">
        <f>IF($E2049="","",IFERROR(INDEX(科目表!$A$4:$A$81,MATCH($E2049,科目表!$B$4:$B$81,0)),""))</f>
        <v/>
      </c>
      <c r="G2049" s="26" t="str">
        <f>IF($E2049="","",IFERROR(INDEX(科目表!$E$4:$E$81,MATCH($E2049,科目表!$B$4:$B$81,0)),""))</f>
        <v/>
      </c>
      <c r="H2049" s="27" t="str">
        <f>IF($E2049="","",N(INDEX(资金日记账!$N$4:$S$603,570,5)))</f>
        <v/>
      </c>
      <c r="I2049" s="27" t="str">
        <f>IF($E2049="","",N(INDEX(资金日记账!$N$4:$S$603,570,6)))</f>
        <v/>
      </c>
      <c r="J2049" s="26" t="str">
        <f>IF($E2049="","",INDEX(资金日记账!$E$4:$E$603,570))</f>
        <v/>
      </c>
      <c r="K2049" s="26" t="str">
        <f>IF($E2049="","",INDEX(资金日记账!$F$4:$F$603,570))</f>
        <v/>
      </c>
      <c r="L2049" s="32" t="str">
        <f>IF($E2049="","",INDEX(资金日记账!$X$4:$X$603,570))</f>
        <v/>
      </c>
      <c r="M2049" s="32"/>
      <c r="N2049" s="26" t="str">
        <f>IF($E2049="","",INDEX(资金日记账!$Y$4:$Y$603,570))</f>
        <v/>
      </c>
      <c r="O2049" s="26" t="str">
        <f t="shared" si="94"/>
        <v/>
      </c>
      <c r="P2049" s="10"/>
    </row>
    <row r="2050" ht="18" customHeight="1" spans="1:16">
      <c r="A2050" s="32" t="str">
        <f t="shared" si="93"/>
        <v/>
      </c>
      <c r="B2050" s="100" t="str">
        <f>IF($E2050="","",INDEX(资金日记账!$B$4:$B$603,571))</f>
        <v/>
      </c>
      <c r="C2050" s="26" t="str">
        <f>IF($E2050="","",IF(INDEX(资金日记账!$W$4:$W$603,571)="","记-"&amp;TEXT($B2050,"YYYYMM")&amp;"-资金",INDEX(资金日记账!$W$4:$W$603,571)))</f>
        <v/>
      </c>
      <c r="D2050" s="32" t="str">
        <f>IF($E2050="","",INDEX(资金日记账!$D$4:$D$603,571))</f>
        <v/>
      </c>
      <c r="E2050" s="26" t="str">
        <f>IF(INDEX(资金日记账!$N$4:$S$603,571,1)=0,"",INDEX(资金日记账!$N$4:$S$603,571,1))</f>
        <v/>
      </c>
      <c r="F2050" s="25" t="str">
        <f>IF($E2050="","",IFERROR(INDEX(科目表!$A$4:$A$81,MATCH($E2050,科目表!$B$4:$B$81,0)),""))</f>
        <v/>
      </c>
      <c r="G2050" s="26" t="str">
        <f>IF($E2050="","",IFERROR(INDEX(科目表!$E$4:$E$81,MATCH($E2050,科目表!$B$4:$B$81,0)),""))</f>
        <v/>
      </c>
      <c r="H2050" s="27" t="str">
        <f>IF($E2050="","",N(INDEX(资金日记账!$N$4:$S$603,571,2)))</f>
        <v/>
      </c>
      <c r="I2050" s="27" t="str">
        <f>IF($E2050="","",N(INDEX(资金日记账!$N$4:$S$603,571,3)))</f>
        <v/>
      </c>
      <c r="J2050" s="26" t="str">
        <f>IF($E2050="","",INDEX(资金日记账!$E$4:$E$603,571))</f>
        <v/>
      </c>
      <c r="K2050" s="26" t="str">
        <f>IF($E2050="","",INDEX(资金日记账!$F$4:$F$603,571))</f>
        <v/>
      </c>
      <c r="L2050" s="32" t="str">
        <f>IF($E2050="","",INDEX(资金日记账!$X$4:$X$603,571))</f>
        <v/>
      </c>
      <c r="M2050" s="32"/>
      <c r="N2050" s="26" t="str">
        <f>IF($E2050="","",INDEX(资金日记账!$Y$4:$Y$603,571))</f>
        <v/>
      </c>
      <c r="O2050" s="26" t="str">
        <f t="shared" si="94"/>
        <v/>
      </c>
      <c r="P2050" s="10"/>
    </row>
    <row r="2051" ht="18" customHeight="1" spans="1:16">
      <c r="A2051" s="32" t="str">
        <f t="shared" si="93"/>
        <v/>
      </c>
      <c r="B2051" s="100" t="str">
        <f>IF($E2051="","",INDEX(资金日记账!$B$4:$B$603,571))</f>
        <v/>
      </c>
      <c r="C2051" s="26" t="str">
        <f>IF($E2051="","",IF(INDEX(资金日记账!$W$4:$W$603,571)="","记-"&amp;TEXT($B2051,"YYYYMM")&amp;"-资金",INDEX(资金日记账!$W$4:$W$603,571)))</f>
        <v/>
      </c>
      <c r="D2051" s="32" t="str">
        <f>IF($E2051="","",INDEX(资金日记账!$D$4:$D$603,571))</f>
        <v/>
      </c>
      <c r="E2051" s="26" t="str">
        <f>IF(INDEX(资金日记账!$N$4:$S$603,571,4)=0,"",INDEX(资金日记账!$N$4:$S$603,571,4))</f>
        <v/>
      </c>
      <c r="F2051" s="25" t="str">
        <f>IF($E2051="","",IFERROR(INDEX(科目表!$A$4:$A$81,MATCH($E2051,科目表!$B$4:$B$81,0)),""))</f>
        <v/>
      </c>
      <c r="G2051" s="26" t="str">
        <f>IF($E2051="","",IFERROR(INDEX(科目表!$E$4:$E$81,MATCH($E2051,科目表!$B$4:$B$81,0)),""))</f>
        <v/>
      </c>
      <c r="H2051" s="27" t="str">
        <f>IF($E2051="","",N(INDEX(资金日记账!$N$4:$S$603,571,5)))</f>
        <v/>
      </c>
      <c r="I2051" s="27" t="str">
        <f>IF($E2051="","",N(INDEX(资金日记账!$N$4:$S$603,571,6)))</f>
        <v/>
      </c>
      <c r="J2051" s="26" t="str">
        <f>IF($E2051="","",INDEX(资金日记账!$E$4:$E$603,571))</f>
        <v/>
      </c>
      <c r="K2051" s="26" t="str">
        <f>IF($E2051="","",INDEX(资金日记账!$F$4:$F$603,571))</f>
        <v/>
      </c>
      <c r="L2051" s="32" t="str">
        <f>IF($E2051="","",INDEX(资金日记账!$X$4:$X$603,571))</f>
        <v/>
      </c>
      <c r="M2051" s="32"/>
      <c r="N2051" s="26" t="str">
        <f>IF($E2051="","",INDEX(资金日记账!$Y$4:$Y$603,571))</f>
        <v/>
      </c>
      <c r="O2051" s="26" t="str">
        <f t="shared" si="94"/>
        <v/>
      </c>
      <c r="P2051" s="10"/>
    </row>
    <row r="2052" ht="18" customHeight="1" spans="1:16">
      <c r="A2052" s="32" t="str">
        <f t="shared" ref="A2052:A2115" si="95">IF($E2052="","",ROW()-3)</f>
        <v/>
      </c>
      <c r="B2052" s="100" t="str">
        <f>IF($E2052="","",INDEX(资金日记账!$B$4:$B$603,572))</f>
        <v/>
      </c>
      <c r="C2052" s="26" t="str">
        <f>IF($E2052="","",IF(INDEX(资金日记账!$W$4:$W$603,572)="","记-"&amp;TEXT($B2052,"YYYYMM")&amp;"-资金",INDEX(资金日记账!$W$4:$W$603,572)))</f>
        <v/>
      </c>
      <c r="D2052" s="32" t="str">
        <f>IF($E2052="","",INDEX(资金日记账!$D$4:$D$603,572))</f>
        <v/>
      </c>
      <c r="E2052" s="26" t="str">
        <f>IF(INDEX(资金日记账!$N$4:$S$603,572,1)=0,"",INDEX(资金日记账!$N$4:$S$603,572,1))</f>
        <v/>
      </c>
      <c r="F2052" s="25" t="str">
        <f>IF($E2052="","",IFERROR(INDEX(科目表!$A$4:$A$81,MATCH($E2052,科目表!$B$4:$B$81,0)),""))</f>
        <v/>
      </c>
      <c r="G2052" s="26" t="str">
        <f>IF($E2052="","",IFERROR(INDEX(科目表!$E$4:$E$81,MATCH($E2052,科目表!$B$4:$B$81,0)),""))</f>
        <v/>
      </c>
      <c r="H2052" s="27" t="str">
        <f>IF($E2052="","",N(INDEX(资金日记账!$N$4:$S$603,572,2)))</f>
        <v/>
      </c>
      <c r="I2052" s="27" t="str">
        <f>IF($E2052="","",N(INDEX(资金日记账!$N$4:$S$603,572,3)))</f>
        <v/>
      </c>
      <c r="J2052" s="26" t="str">
        <f>IF($E2052="","",INDEX(资金日记账!$E$4:$E$603,572))</f>
        <v/>
      </c>
      <c r="K2052" s="26" t="str">
        <f>IF($E2052="","",INDEX(资金日记账!$F$4:$F$603,572))</f>
        <v/>
      </c>
      <c r="L2052" s="32" t="str">
        <f>IF($E2052="","",INDEX(资金日记账!$X$4:$X$603,572))</f>
        <v/>
      </c>
      <c r="M2052" s="32"/>
      <c r="N2052" s="26" t="str">
        <f>IF($E2052="","",INDEX(资金日记账!$Y$4:$Y$603,572))</f>
        <v/>
      </c>
      <c r="O2052" s="26" t="str">
        <f t="shared" si="94"/>
        <v/>
      </c>
      <c r="P2052" s="10"/>
    </row>
    <row r="2053" ht="18" customHeight="1" spans="1:16">
      <c r="A2053" s="32" t="str">
        <f t="shared" si="95"/>
        <v/>
      </c>
      <c r="B2053" s="100" t="str">
        <f>IF($E2053="","",INDEX(资金日记账!$B$4:$B$603,572))</f>
        <v/>
      </c>
      <c r="C2053" s="26" t="str">
        <f>IF($E2053="","",IF(INDEX(资金日记账!$W$4:$W$603,572)="","记-"&amp;TEXT($B2053,"YYYYMM")&amp;"-资金",INDEX(资金日记账!$W$4:$W$603,572)))</f>
        <v/>
      </c>
      <c r="D2053" s="32" t="str">
        <f>IF($E2053="","",INDEX(资金日记账!$D$4:$D$603,572))</f>
        <v/>
      </c>
      <c r="E2053" s="26" t="str">
        <f>IF(INDEX(资金日记账!$N$4:$S$603,572,4)=0,"",INDEX(资金日记账!$N$4:$S$603,572,4))</f>
        <v/>
      </c>
      <c r="F2053" s="25" t="str">
        <f>IF($E2053="","",IFERROR(INDEX(科目表!$A$4:$A$81,MATCH($E2053,科目表!$B$4:$B$81,0)),""))</f>
        <v/>
      </c>
      <c r="G2053" s="26" t="str">
        <f>IF($E2053="","",IFERROR(INDEX(科目表!$E$4:$E$81,MATCH($E2053,科目表!$B$4:$B$81,0)),""))</f>
        <v/>
      </c>
      <c r="H2053" s="27" t="str">
        <f>IF($E2053="","",N(INDEX(资金日记账!$N$4:$S$603,572,5)))</f>
        <v/>
      </c>
      <c r="I2053" s="27" t="str">
        <f>IF($E2053="","",N(INDEX(资金日记账!$N$4:$S$603,572,6)))</f>
        <v/>
      </c>
      <c r="J2053" s="26" t="str">
        <f>IF($E2053="","",INDEX(资金日记账!$E$4:$E$603,572))</f>
        <v/>
      </c>
      <c r="K2053" s="26" t="str">
        <f>IF($E2053="","",INDEX(资金日记账!$F$4:$F$603,572))</f>
        <v/>
      </c>
      <c r="L2053" s="32" t="str">
        <f>IF($E2053="","",INDEX(资金日记账!$X$4:$X$603,572))</f>
        <v/>
      </c>
      <c r="M2053" s="32"/>
      <c r="N2053" s="26" t="str">
        <f>IF($E2053="","",INDEX(资金日记账!$Y$4:$Y$603,572))</f>
        <v/>
      </c>
      <c r="O2053" s="26" t="str">
        <f t="shared" si="94"/>
        <v/>
      </c>
      <c r="P2053" s="10"/>
    </row>
    <row r="2054" ht="18" customHeight="1" spans="1:16">
      <c r="A2054" s="32" t="str">
        <f t="shared" si="95"/>
        <v/>
      </c>
      <c r="B2054" s="100" t="str">
        <f>IF($E2054="","",INDEX(资金日记账!$B$4:$B$603,573))</f>
        <v/>
      </c>
      <c r="C2054" s="26" t="str">
        <f>IF($E2054="","",IF(INDEX(资金日记账!$W$4:$W$603,573)="","记-"&amp;TEXT($B2054,"YYYYMM")&amp;"-资金",INDEX(资金日记账!$W$4:$W$603,573)))</f>
        <v/>
      </c>
      <c r="D2054" s="32" t="str">
        <f>IF($E2054="","",INDEX(资金日记账!$D$4:$D$603,573))</f>
        <v/>
      </c>
      <c r="E2054" s="26" t="str">
        <f>IF(INDEX(资金日记账!$N$4:$S$603,573,1)=0,"",INDEX(资金日记账!$N$4:$S$603,573,1))</f>
        <v/>
      </c>
      <c r="F2054" s="25" t="str">
        <f>IF($E2054="","",IFERROR(INDEX(科目表!$A$4:$A$81,MATCH($E2054,科目表!$B$4:$B$81,0)),""))</f>
        <v/>
      </c>
      <c r="G2054" s="26" t="str">
        <f>IF($E2054="","",IFERROR(INDEX(科目表!$E$4:$E$81,MATCH($E2054,科目表!$B$4:$B$81,0)),""))</f>
        <v/>
      </c>
      <c r="H2054" s="27" t="str">
        <f>IF($E2054="","",N(INDEX(资金日记账!$N$4:$S$603,573,2)))</f>
        <v/>
      </c>
      <c r="I2054" s="27" t="str">
        <f>IF($E2054="","",N(INDEX(资金日记账!$N$4:$S$603,573,3)))</f>
        <v/>
      </c>
      <c r="J2054" s="26" t="str">
        <f>IF($E2054="","",INDEX(资金日记账!$E$4:$E$603,573))</f>
        <v/>
      </c>
      <c r="K2054" s="26" t="str">
        <f>IF($E2054="","",INDEX(资金日记账!$F$4:$F$603,573))</f>
        <v/>
      </c>
      <c r="L2054" s="32" t="str">
        <f>IF($E2054="","",INDEX(资金日记账!$X$4:$X$603,573))</f>
        <v/>
      </c>
      <c r="M2054" s="32"/>
      <c r="N2054" s="26" t="str">
        <f>IF($E2054="","",INDEX(资金日记账!$Y$4:$Y$603,573))</f>
        <v/>
      </c>
      <c r="O2054" s="26" t="str">
        <f t="shared" si="94"/>
        <v/>
      </c>
      <c r="P2054" s="10"/>
    </row>
    <row r="2055" ht="18" customHeight="1" spans="1:16">
      <c r="A2055" s="32" t="str">
        <f t="shared" si="95"/>
        <v/>
      </c>
      <c r="B2055" s="100" t="str">
        <f>IF($E2055="","",INDEX(资金日记账!$B$4:$B$603,573))</f>
        <v/>
      </c>
      <c r="C2055" s="26" t="str">
        <f>IF($E2055="","",IF(INDEX(资金日记账!$W$4:$W$603,573)="","记-"&amp;TEXT($B2055,"YYYYMM")&amp;"-资金",INDEX(资金日记账!$W$4:$W$603,573)))</f>
        <v/>
      </c>
      <c r="D2055" s="32" t="str">
        <f>IF($E2055="","",INDEX(资金日记账!$D$4:$D$603,573))</f>
        <v/>
      </c>
      <c r="E2055" s="26" t="str">
        <f>IF(INDEX(资金日记账!$N$4:$S$603,573,4)=0,"",INDEX(资金日记账!$N$4:$S$603,573,4))</f>
        <v/>
      </c>
      <c r="F2055" s="25" t="str">
        <f>IF($E2055="","",IFERROR(INDEX(科目表!$A$4:$A$81,MATCH($E2055,科目表!$B$4:$B$81,0)),""))</f>
        <v/>
      </c>
      <c r="G2055" s="26" t="str">
        <f>IF($E2055="","",IFERROR(INDEX(科目表!$E$4:$E$81,MATCH($E2055,科目表!$B$4:$B$81,0)),""))</f>
        <v/>
      </c>
      <c r="H2055" s="27" t="str">
        <f>IF($E2055="","",N(INDEX(资金日记账!$N$4:$S$603,573,5)))</f>
        <v/>
      </c>
      <c r="I2055" s="27" t="str">
        <f>IF($E2055="","",N(INDEX(资金日记账!$N$4:$S$603,573,6)))</f>
        <v/>
      </c>
      <c r="J2055" s="26" t="str">
        <f>IF($E2055="","",INDEX(资金日记账!$E$4:$E$603,573))</f>
        <v/>
      </c>
      <c r="K2055" s="26" t="str">
        <f>IF($E2055="","",INDEX(资金日记账!$F$4:$F$603,573))</f>
        <v/>
      </c>
      <c r="L2055" s="32" t="str">
        <f>IF($E2055="","",INDEX(资金日记账!$X$4:$X$603,573))</f>
        <v/>
      </c>
      <c r="M2055" s="32"/>
      <c r="N2055" s="26" t="str">
        <f>IF($E2055="","",INDEX(资金日记账!$Y$4:$Y$603,573))</f>
        <v/>
      </c>
      <c r="O2055" s="26" t="str">
        <f t="shared" si="94"/>
        <v/>
      </c>
      <c r="P2055" s="10"/>
    </row>
    <row r="2056" ht="18" customHeight="1" spans="1:16">
      <c r="A2056" s="32" t="str">
        <f t="shared" si="95"/>
        <v/>
      </c>
      <c r="B2056" s="100" t="str">
        <f>IF($E2056="","",INDEX(资金日记账!$B$4:$B$603,574))</f>
        <v/>
      </c>
      <c r="C2056" s="26" t="str">
        <f>IF($E2056="","",IF(INDEX(资金日记账!$W$4:$W$603,574)="","记-"&amp;TEXT($B2056,"YYYYMM")&amp;"-资金",INDEX(资金日记账!$W$4:$W$603,574)))</f>
        <v/>
      </c>
      <c r="D2056" s="32" t="str">
        <f>IF($E2056="","",INDEX(资金日记账!$D$4:$D$603,574))</f>
        <v/>
      </c>
      <c r="E2056" s="26" t="str">
        <f>IF(INDEX(资金日记账!$N$4:$S$603,574,1)=0,"",INDEX(资金日记账!$N$4:$S$603,574,1))</f>
        <v/>
      </c>
      <c r="F2056" s="25" t="str">
        <f>IF($E2056="","",IFERROR(INDEX(科目表!$A$4:$A$81,MATCH($E2056,科目表!$B$4:$B$81,0)),""))</f>
        <v/>
      </c>
      <c r="G2056" s="26" t="str">
        <f>IF($E2056="","",IFERROR(INDEX(科目表!$E$4:$E$81,MATCH($E2056,科目表!$B$4:$B$81,0)),""))</f>
        <v/>
      </c>
      <c r="H2056" s="27" t="str">
        <f>IF($E2056="","",N(INDEX(资金日记账!$N$4:$S$603,574,2)))</f>
        <v/>
      </c>
      <c r="I2056" s="27" t="str">
        <f>IF($E2056="","",N(INDEX(资金日记账!$N$4:$S$603,574,3)))</f>
        <v/>
      </c>
      <c r="J2056" s="26" t="str">
        <f>IF($E2056="","",INDEX(资金日记账!$E$4:$E$603,574))</f>
        <v/>
      </c>
      <c r="K2056" s="26" t="str">
        <f>IF($E2056="","",INDEX(资金日记账!$F$4:$F$603,574))</f>
        <v/>
      </c>
      <c r="L2056" s="32" t="str">
        <f>IF($E2056="","",INDEX(资金日记账!$X$4:$X$603,574))</f>
        <v/>
      </c>
      <c r="M2056" s="32"/>
      <c r="N2056" s="26" t="str">
        <f>IF($E2056="","",INDEX(资金日记账!$Y$4:$Y$603,574))</f>
        <v/>
      </c>
      <c r="O2056" s="26" t="str">
        <f t="shared" si="94"/>
        <v/>
      </c>
      <c r="P2056" s="10"/>
    </row>
    <row r="2057" ht="18" customHeight="1" spans="1:16">
      <c r="A2057" s="32" t="str">
        <f t="shared" si="95"/>
        <v/>
      </c>
      <c r="B2057" s="100" t="str">
        <f>IF($E2057="","",INDEX(资金日记账!$B$4:$B$603,574))</f>
        <v/>
      </c>
      <c r="C2057" s="26" t="str">
        <f>IF($E2057="","",IF(INDEX(资金日记账!$W$4:$W$603,574)="","记-"&amp;TEXT($B2057,"YYYYMM")&amp;"-资金",INDEX(资金日记账!$W$4:$W$603,574)))</f>
        <v/>
      </c>
      <c r="D2057" s="32" t="str">
        <f>IF($E2057="","",INDEX(资金日记账!$D$4:$D$603,574))</f>
        <v/>
      </c>
      <c r="E2057" s="26" t="str">
        <f>IF(INDEX(资金日记账!$N$4:$S$603,574,4)=0,"",INDEX(资金日记账!$N$4:$S$603,574,4))</f>
        <v/>
      </c>
      <c r="F2057" s="25" t="str">
        <f>IF($E2057="","",IFERROR(INDEX(科目表!$A$4:$A$81,MATCH($E2057,科目表!$B$4:$B$81,0)),""))</f>
        <v/>
      </c>
      <c r="G2057" s="26" t="str">
        <f>IF($E2057="","",IFERROR(INDEX(科目表!$E$4:$E$81,MATCH($E2057,科目表!$B$4:$B$81,0)),""))</f>
        <v/>
      </c>
      <c r="H2057" s="27" t="str">
        <f>IF($E2057="","",N(INDEX(资金日记账!$N$4:$S$603,574,5)))</f>
        <v/>
      </c>
      <c r="I2057" s="27" t="str">
        <f>IF($E2057="","",N(INDEX(资金日记账!$N$4:$S$603,574,6)))</f>
        <v/>
      </c>
      <c r="J2057" s="26" t="str">
        <f>IF($E2057="","",INDEX(资金日记账!$E$4:$E$603,574))</f>
        <v/>
      </c>
      <c r="K2057" s="26" t="str">
        <f>IF($E2057="","",INDEX(资金日记账!$F$4:$F$603,574))</f>
        <v/>
      </c>
      <c r="L2057" s="32" t="str">
        <f>IF($E2057="","",INDEX(资金日记账!$X$4:$X$603,574))</f>
        <v/>
      </c>
      <c r="M2057" s="32"/>
      <c r="N2057" s="26" t="str">
        <f>IF($E2057="","",INDEX(资金日记账!$Y$4:$Y$603,574))</f>
        <v/>
      </c>
      <c r="O2057" s="26" t="str">
        <f t="shared" si="94"/>
        <v/>
      </c>
      <c r="P2057" s="10"/>
    </row>
    <row r="2058" ht="18" customHeight="1" spans="1:16">
      <c r="A2058" s="32" t="str">
        <f t="shared" si="95"/>
        <v/>
      </c>
      <c r="B2058" s="100" t="str">
        <f>IF($E2058="","",INDEX(资金日记账!$B$4:$B$603,575))</f>
        <v/>
      </c>
      <c r="C2058" s="26" t="str">
        <f>IF($E2058="","",IF(INDEX(资金日记账!$W$4:$W$603,575)="","记-"&amp;TEXT($B2058,"YYYYMM")&amp;"-资金",INDEX(资金日记账!$W$4:$W$603,575)))</f>
        <v/>
      </c>
      <c r="D2058" s="32" t="str">
        <f>IF($E2058="","",INDEX(资金日记账!$D$4:$D$603,575))</f>
        <v/>
      </c>
      <c r="E2058" s="26" t="str">
        <f>IF(INDEX(资金日记账!$N$4:$S$603,575,1)=0,"",INDEX(资金日记账!$N$4:$S$603,575,1))</f>
        <v/>
      </c>
      <c r="F2058" s="25" t="str">
        <f>IF($E2058="","",IFERROR(INDEX(科目表!$A$4:$A$81,MATCH($E2058,科目表!$B$4:$B$81,0)),""))</f>
        <v/>
      </c>
      <c r="G2058" s="26" t="str">
        <f>IF($E2058="","",IFERROR(INDEX(科目表!$E$4:$E$81,MATCH($E2058,科目表!$B$4:$B$81,0)),""))</f>
        <v/>
      </c>
      <c r="H2058" s="27" t="str">
        <f>IF($E2058="","",N(INDEX(资金日记账!$N$4:$S$603,575,2)))</f>
        <v/>
      </c>
      <c r="I2058" s="27" t="str">
        <f>IF($E2058="","",N(INDEX(资金日记账!$N$4:$S$603,575,3)))</f>
        <v/>
      </c>
      <c r="J2058" s="26" t="str">
        <f>IF($E2058="","",INDEX(资金日记账!$E$4:$E$603,575))</f>
        <v/>
      </c>
      <c r="K2058" s="26" t="str">
        <f>IF($E2058="","",INDEX(资金日记账!$F$4:$F$603,575))</f>
        <v/>
      </c>
      <c r="L2058" s="32" t="str">
        <f>IF($E2058="","",INDEX(资金日记账!$X$4:$X$603,575))</f>
        <v/>
      </c>
      <c r="M2058" s="32"/>
      <c r="N2058" s="26" t="str">
        <f>IF($E2058="","",INDEX(资金日记账!$Y$4:$Y$603,575))</f>
        <v/>
      </c>
      <c r="O2058" s="26" t="str">
        <f t="shared" si="94"/>
        <v/>
      </c>
      <c r="P2058" s="10"/>
    </row>
    <row r="2059" ht="18" customHeight="1" spans="1:16">
      <c r="A2059" s="32" t="str">
        <f t="shared" si="95"/>
        <v/>
      </c>
      <c r="B2059" s="100" t="str">
        <f>IF($E2059="","",INDEX(资金日记账!$B$4:$B$603,575))</f>
        <v/>
      </c>
      <c r="C2059" s="26" t="str">
        <f>IF($E2059="","",IF(INDEX(资金日记账!$W$4:$W$603,575)="","记-"&amp;TEXT($B2059,"YYYYMM")&amp;"-资金",INDEX(资金日记账!$W$4:$W$603,575)))</f>
        <v/>
      </c>
      <c r="D2059" s="32" t="str">
        <f>IF($E2059="","",INDEX(资金日记账!$D$4:$D$603,575))</f>
        <v/>
      </c>
      <c r="E2059" s="26" t="str">
        <f>IF(INDEX(资金日记账!$N$4:$S$603,575,4)=0,"",INDEX(资金日记账!$N$4:$S$603,575,4))</f>
        <v/>
      </c>
      <c r="F2059" s="25" t="str">
        <f>IF($E2059="","",IFERROR(INDEX(科目表!$A$4:$A$81,MATCH($E2059,科目表!$B$4:$B$81,0)),""))</f>
        <v/>
      </c>
      <c r="G2059" s="26" t="str">
        <f>IF($E2059="","",IFERROR(INDEX(科目表!$E$4:$E$81,MATCH($E2059,科目表!$B$4:$B$81,0)),""))</f>
        <v/>
      </c>
      <c r="H2059" s="27" t="str">
        <f>IF($E2059="","",N(INDEX(资金日记账!$N$4:$S$603,575,5)))</f>
        <v/>
      </c>
      <c r="I2059" s="27" t="str">
        <f>IF($E2059="","",N(INDEX(资金日记账!$N$4:$S$603,575,6)))</f>
        <v/>
      </c>
      <c r="J2059" s="26" t="str">
        <f>IF($E2059="","",INDEX(资金日记账!$E$4:$E$603,575))</f>
        <v/>
      </c>
      <c r="K2059" s="26" t="str">
        <f>IF($E2059="","",INDEX(资金日记账!$F$4:$F$603,575))</f>
        <v/>
      </c>
      <c r="L2059" s="32" t="str">
        <f>IF($E2059="","",INDEX(资金日记账!$X$4:$X$603,575))</f>
        <v/>
      </c>
      <c r="M2059" s="32"/>
      <c r="N2059" s="26" t="str">
        <f>IF($E2059="","",INDEX(资金日记账!$Y$4:$Y$603,575))</f>
        <v/>
      </c>
      <c r="O2059" s="26" t="str">
        <f t="shared" si="94"/>
        <v/>
      </c>
      <c r="P2059" s="10"/>
    </row>
    <row r="2060" ht="18" customHeight="1" spans="1:16">
      <c r="A2060" s="32" t="str">
        <f t="shared" si="95"/>
        <v/>
      </c>
      <c r="B2060" s="100" t="str">
        <f>IF($E2060="","",INDEX(资金日记账!$B$4:$B$603,576))</f>
        <v/>
      </c>
      <c r="C2060" s="26" t="str">
        <f>IF($E2060="","",IF(INDEX(资金日记账!$W$4:$W$603,576)="","记-"&amp;TEXT($B2060,"YYYYMM")&amp;"-资金",INDEX(资金日记账!$W$4:$W$603,576)))</f>
        <v/>
      </c>
      <c r="D2060" s="32" t="str">
        <f>IF($E2060="","",INDEX(资金日记账!$D$4:$D$603,576))</f>
        <v/>
      </c>
      <c r="E2060" s="26" t="str">
        <f>IF(INDEX(资金日记账!$N$4:$S$603,576,1)=0,"",INDEX(资金日记账!$N$4:$S$603,576,1))</f>
        <v/>
      </c>
      <c r="F2060" s="25" t="str">
        <f>IF($E2060="","",IFERROR(INDEX(科目表!$A$4:$A$81,MATCH($E2060,科目表!$B$4:$B$81,0)),""))</f>
        <v/>
      </c>
      <c r="G2060" s="26" t="str">
        <f>IF($E2060="","",IFERROR(INDEX(科目表!$E$4:$E$81,MATCH($E2060,科目表!$B$4:$B$81,0)),""))</f>
        <v/>
      </c>
      <c r="H2060" s="27" t="str">
        <f>IF($E2060="","",N(INDEX(资金日记账!$N$4:$S$603,576,2)))</f>
        <v/>
      </c>
      <c r="I2060" s="27" t="str">
        <f>IF($E2060="","",N(INDEX(资金日记账!$N$4:$S$603,576,3)))</f>
        <v/>
      </c>
      <c r="J2060" s="26" t="str">
        <f>IF($E2060="","",INDEX(资金日记账!$E$4:$E$603,576))</f>
        <v/>
      </c>
      <c r="K2060" s="26" t="str">
        <f>IF($E2060="","",INDEX(资金日记账!$F$4:$F$603,576))</f>
        <v/>
      </c>
      <c r="L2060" s="32" t="str">
        <f>IF($E2060="","",INDEX(资金日记账!$X$4:$X$603,576))</f>
        <v/>
      </c>
      <c r="M2060" s="32"/>
      <c r="N2060" s="26" t="str">
        <f>IF($E2060="","",INDEX(资金日记账!$Y$4:$Y$603,576))</f>
        <v/>
      </c>
      <c r="O2060" s="26" t="str">
        <f t="shared" si="94"/>
        <v/>
      </c>
      <c r="P2060" s="10"/>
    </row>
    <row r="2061" ht="18" customHeight="1" spans="1:16">
      <c r="A2061" s="32" t="str">
        <f t="shared" si="95"/>
        <v/>
      </c>
      <c r="B2061" s="100" t="str">
        <f>IF($E2061="","",INDEX(资金日记账!$B$4:$B$603,576))</f>
        <v/>
      </c>
      <c r="C2061" s="26" t="str">
        <f>IF($E2061="","",IF(INDEX(资金日记账!$W$4:$W$603,576)="","记-"&amp;TEXT($B2061,"YYYYMM")&amp;"-资金",INDEX(资金日记账!$W$4:$W$603,576)))</f>
        <v/>
      </c>
      <c r="D2061" s="32" t="str">
        <f>IF($E2061="","",INDEX(资金日记账!$D$4:$D$603,576))</f>
        <v/>
      </c>
      <c r="E2061" s="26" t="str">
        <f>IF(INDEX(资金日记账!$N$4:$S$603,576,4)=0,"",INDEX(资金日记账!$N$4:$S$603,576,4))</f>
        <v/>
      </c>
      <c r="F2061" s="25" t="str">
        <f>IF($E2061="","",IFERROR(INDEX(科目表!$A$4:$A$81,MATCH($E2061,科目表!$B$4:$B$81,0)),""))</f>
        <v/>
      </c>
      <c r="G2061" s="26" t="str">
        <f>IF($E2061="","",IFERROR(INDEX(科目表!$E$4:$E$81,MATCH($E2061,科目表!$B$4:$B$81,0)),""))</f>
        <v/>
      </c>
      <c r="H2061" s="27" t="str">
        <f>IF($E2061="","",N(INDEX(资金日记账!$N$4:$S$603,576,5)))</f>
        <v/>
      </c>
      <c r="I2061" s="27" t="str">
        <f>IF($E2061="","",N(INDEX(资金日记账!$N$4:$S$603,576,6)))</f>
        <v/>
      </c>
      <c r="J2061" s="26" t="str">
        <f>IF($E2061="","",INDEX(资金日记账!$E$4:$E$603,576))</f>
        <v/>
      </c>
      <c r="K2061" s="26" t="str">
        <f>IF($E2061="","",INDEX(资金日记账!$F$4:$F$603,576))</f>
        <v/>
      </c>
      <c r="L2061" s="32" t="str">
        <f>IF($E2061="","",INDEX(资金日记账!$X$4:$X$603,576))</f>
        <v/>
      </c>
      <c r="M2061" s="32"/>
      <c r="N2061" s="26" t="str">
        <f>IF($E2061="","",INDEX(资金日记账!$Y$4:$Y$603,576))</f>
        <v/>
      </c>
      <c r="O2061" s="26" t="str">
        <f t="shared" si="94"/>
        <v/>
      </c>
      <c r="P2061" s="10"/>
    </row>
    <row r="2062" ht="18" customHeight="1" spans="1:16">
      <c r="A2062" s="32" t="str">
        <f t="shared" si="95"/>
        <v/>
      </c>
      <c r="B2062" s="100" t="str">
        <f>IF($E2062="","",INDEX(资金日记账!$B$4:$B$603,577))</f>
        <v/>
      </c>
      <c r="C2062" s="26" t="str">
        <f>IF($E2062="","",IF(INDEX(资金日记账!$W$4:$W$603,577)="","记-"&amp;TEXT($B2062,"YYYYMM")&amp;"-资金",INDEX(资金日记账!$W$4:$W$603,577)))</f>
        <v/>
      </c>
      <c r="D2062" s="32" t="str">
        <f>IF($E2062="","",INDEX(资金日记账!$D$4:$D$603,577))</f>
        <v/>
      </c>
      <c r="E2062" s="26" t="str">
        <f>IF(INDEX(资金日记账!$N$4:$S$603,577,1)=0,"",INDEX(资金日记账!$N$4:$S$603,577,1))</f>
        <v/>
      </c>
      <c r="F2062" s="25" t="str">
        <f>IF($E2062="","",IFERROR(INDEX(科目表!$A$4:$A$81,MATCH($E2062,科目表!$B$4:$B$81,0)),""))</f>
        <v/>
      </c>
      <c r="G2062" s="26" t="str">
        <f>IF($E2062="","",IFERROR(INDEX(科目表!$E$4:$E$81,MATCH($E2062,科目表!$B$4:$B$81,0)),""))</f>
        <v/>
      </c>
      <c r="H2062" s="27" t="str">
        <f>IF($E2062="","",N(INDEX(资金日记账!$N$4:$S$603,577,2)))</f>
        <v/>
      </c>
      <c r="I2062" s="27" t="str">
        <f>IF($E2062="","",N(INDEX(资金日记账!$N$4:$S$603,577,3)))</f>
        <v/>
      </c>
      <c r="J2062" s="26" t="str">
        <f>IF($E2062="","",INDEX(资金日记账!$E$4:$E$603,577))</f>
        <v/>
      </c>
      <c r="K2062" s="26" t="str">
        <f>IF($E2062="","",INDEX(资金日记账!$F$4:$F$603,577))</f>
        <v/>
      </c>
      <c r="L2062" s="32" t="str">
        <f>IF($E2062="","",INDEX(资金日记账!$X$4:$X$603,577))</f>
        <v/>
      </c>
      <c r="M2062" s="32"/>
      <c r="N2062" s="26" t="str">
        <f>IF($E2062="","",INDEX(资金日记账!$Y$4:$Y$603,577))</f>
        <v/>
      </c>
      <c r="O2062" s="26" t="str">
        <f t="shared" ref="O2062:O2109" si="96">IF($E2062="","","自动B")</f>
        <v/>
      </c>
      <c r="P2062" s="10"/>
    </row>
    <row r="2063" ht="18" customHeight="1" spans="1:16">
      <c r="A2063" s="32" t="str">
        <f t="shared" si="95"/>
        <v/>
      </c>
      <c r="B2063" s="100" t="str">
        <f>IF($E2063="","",INDEX(资金日记账!$B$4:$B$603,577))</f>
        <v/>
      </c>
      <c r="C2063" s="26" t="str">
        <f>IF($E2063="","",IF(INDEX(资金日记账!$W$4:$W$603,577)="","记-"&amp;TEXT($B2063,"YYYYMM")&amp;"-资金",INDEX(资金日记账!$W$4:$W$603,577)))</f>
        <v/>
      </c>
      <c r="D2063" s="32" t="str">
        <f>IF($E2063="","",INDEX(资金日记账!$D$4:$D$603,577))</f>
        <v/>
      </c>
      <c r="E2063" s="26" t="str">
        <f>IF(INDEX(资金日记账!$N$4:$S$603,577,4)=0,"",INDEX(资金日记账!$N$4:$S$603,577,4))</f>
        <v/>
      </c>
      <c r="F2063" s="25" t="str">
        <f>IF($E2063="","",IFERROR(INDEX(科目表!$A$4:$A$81,MATCH($E2063,科目表!$B$4:$B$81,0)),""))</f>
        <v/>
      </c>
      <c r="G2063" s="26" t="str">
        <f>IF($E2063="","",IFERROR(INDEX(科目表!$E$4:$E$81,MATCH($E2063,科目表!$B$4:$B$81,0)),""))</f>
        <v/>
      </c>
      <c r="H2063" s="27" t="str">
        <f>IF($E2063="","",N(INDEX(资金日记账!$N$4:$S$603,577,5)))</f>
        <v/>
      </c>
      <c r="I2063" s="27" t="str">
        <f>IF($E2063="","",N(INDEX(资金日记账!$N$4:$S$603,577,6)))</f>
        <v/>
      </c>
      <c r="J2063" s="26" t="str">
        <f>IF($E2063="","",INDEX(资金日记账!$E$4:$E$603,577))</f>
        <v/>
      </c>
      <c r="K2063" s="26" t="str">
        <f>IF($E2063="","",INDEX(资金日记账!$F$4:$F$603,577))</f>
        <v/>
      </c>
      <c r="L2063" s="32" t="str">
        <f>IF($E2063="","",INDEX(资金日记账!$X$4:$X$603,577))</f>
        <v/>
      </c>
      <c r="M2063" s="32"/>
      <c r="N2063" s="26" t="str">
        <f>IF($E2063="","",INDEX(资金日记账!$Y$4:$Y$603,577))</f>
        <v/>
      </c>
      <c r="O2063" s="26" t="str">
        <f t="shared" si="96"/>
        <v/>
      </c>
      <c r="P2063" s="10"/>
    </row>
    <row r="2064" ht="18" customHeight="1" spans="1:16">
      <c r="A2064" s="32" t="str">
        <f t="shared" si="95"/>
        <v/>
      </c>
      <c r="B2064" s="100" t="str">
        <f>IF($E2064="","",INDEX(资金日记账!$B$4:$B$603,578))</f>
        <v/>
      </c>
      <c r="C2064" s="26" t="str">
        <f>IF($E2064="","",IF(INDEX(资金日记账!$W$4:$W$603,578)="","记-"&amp;TEXT($B2064,"YYYYMM")&amp;"-资金",INDEX(资金日记账!$W$4:$W$603,578)))</f>
        <v/>
      </c>
      <c r="D2064" s="32" t="str">
        <f>IF($E2064="","",INDEX(资金日记账!$D$4:$D$603,578))</f>
        <v/>
      </c>
      <c r="E2064" s="26" t="str">
        <f>IF(INDEX(资金日记账!$N$4:$S$603,578,1)=0,"",INDEX(资金日记账!$N$4:$S$603,578,1))</f>
        <v/>
      </c>
      <c r="F2064" s="25" t="str">
        <f>IF($E2064="","",IFERROR(INDEX(科目表!$A$4:$A$81,MATCH($E2064,科目表!$B$4:$B$81,0)),""))</f>
        <v/>
      </c>
      <c r="G2064" s="26" t="str">
        <f>IF($E2064="","",IFERROR(INDEX(科目表!$E$4:$E$81,MATCH($E2064,科目表!$B$4:$B$81,0)),""))</f>
        <v/>
      </c>
      <c r="H2064" s="27" t="str">
        <f>IF($E2064="","",N(INDEX(资金日记账!$N$4:$S$603,578,2)))</f>
        <v/>
      </c>
      <c r="I2064" s="27" t="str">
        <f>IF($E2064="","",N(INDEX(资金日记账!$N$4:$S$603,578,3)))</f>
        <v/>
      </c>
      <c r="J2064" s="26" t="str">
        <f>IF($E2064="","",INDEX(资金日记账!$E$4:$E$603,578))</f>
        <v/>
      </c>
      <c r="K2064" s="26" t="str">
        <f>IF($E2064="","",INDEX(资金日记账!$F$4:$F$603,578))</f>
        <v/>
      </c>
      <c r="L2064" s="32" t="str">
        <f>IF($E2064="","",INDEX(资金日记账!$X$4:$X$603,578))</f>
        <v/>
      </c>
      <c r="M2064" s="32"/>
      <c r="N2064" s="26" t="str">
        <f>IF($E2064="","",INDEX(资金日记账!$Y$4:$Y$603,578))</f>
        <v/>
      </c>
      <c r="O2064" s="26" t="str">
        <f t="shared" si="96"/>
        <v/>
      </c>
      <c r="P2064" s="10"/>
    </row>
    <row r="2065" ht="18" customHeight="1" spans="1:16">
      <c r="A2065" s="32" t="str">
        <f t="shared" si="95"/>
        <v/>
      </c>
      <c r="B2065" s="100" t="str">
        <f>IF($E2065="","",INDEX(资金日记账!$B$4:$B$603,578))</f>
        <v/>
      </c>
      <c r="C2065" s="26" t="str">
        <f>IF($E2065="","",IF(INDEX(资金日记账!$W$4:$W$603,578)="","记-"&amp;TEXT($B2065,"YYYYMM")&amp;"-资金",INDEX(资金日记账!$W$4:$W$603,578)))</f>
        <v/>
      </c>
      <c r="D2065" s="32" t="str">
        <f>IF($E2065="","",INDEX(资金日记账!$D$4:$D$603,578))</f>
        <v/>
      </c>
      <c r="E2065" s="26" t="str">
        <f>IF(INDEX(资金日记账!$N$4:$S$603,578,4)=0,"",INDEX(资金日记账!$N$4:$S$603,578,4))</f>
        <v/>
      </c>
      <c r="F2065" s="25" t="str">
        <f>IF($E2065="","",IFERROR(INDEX(科目表!$A$4:$A$81,MATCH($E2065,科目表!$B$4:$B$81,0)),""))</f>
        <v/>
      </c>
      <c r="G2065" s="26" t="str">
        <f>IF($E2065="","",IFERROR(INDEX(科目表!$E$4:$E$81,MATCH($E2065,科目表!$B$4:$B$81,0)),""))</f>
        <v/>
      </c>
      <c r="H2065" s="27" t="str">
        <f>IF($E2065="","",N(INDEX(资金日记账!$N$4:$S$603,578,5)))</f>
        <v/>
      </c>
      <c r="I2065" s="27" t="str">
        <f>IF($E2065="","",N(INDEX(资金日记账!$N$4:$S$603,578,6)))</f>
        <v/>
      </c>
      <c r="J2065" s="26" t="str">
        <f>IF($E2065="","",INDEX(资金日记账!$E$4:$E$603,578))</f>
        <v/>
      </c>
      <c r="K2065" s="26" t="str">
        <f>IF($E2065="","",INDEX(资金日记账!$F$4:$F$603,578))</f>
        <v/>
      </c>
      <c r="L2065" s="32" t="str">
        <f>IF($E2065="","",INDEX(资金日记账!$X$4:$X$603,578))</f>
        <v/>
      </c>
      <c r="M2065" s="32"/>
      <c r="N2065" s="26" t="str">
        <f>IF($E2065="","",INDEX(资金日记账!$Y$4:$Y$603,578))</f>
        <v/>
      </c>
      <c r="O2065" s="26" t="str">
        <f t="shared" si="96"/>
        <v/>
      </c>
      <c r="P2065" s="10"/>
    </row>
    <row r="2066" ht="18" customHeight="1" spans="1:16">
      <c r="A2066" s="32" t="str">
        <f t="shared" si="95"/>
        <v/>
      </c>
      <c r="B2066" s="100" t="str">
        <f>IF($E2066="","",INDEX(资金日记账!$B$4:$B$603,579))</f>
        <v/>
      </c>
      <c r="C2066" s="26" t="str">
        <f>IF($E2066="","",IF(INDEX(资金日记账!$W$4:$W$603,579)="","记-"&amp;TEXT($B2066,"YYYYMM")&amp;"-资金",INDEX(资金日记账!$W$4:$W$603,579)))</f>
        <v/>
      </c>
      <c r="D2066" s="32" t="str">
        <f>IF($E2066="","",INDEX(资金日记账!$D$4:$D$603,579))</f>
        <v/>
      </c>
      <c r="E2066" s="26" t="str">
        <f>IF(INDEX(资金日记账!$N$4:$S$603,579,1)=0,"",INDEX(资金日记账!$N$4:$S$603,579,1))</f>
        <v/>
      </c>
      <c r="F2066" s="25" t="str">
        <f>IF($E2066="","",IFERROR(INDEX(科目表!$A$4:$A$81,MATCH($E2066,科目表!$B$4:$B$81,0)),""))</f>
        <v/>
      </c>
      <c r="G2066" s="26" t="str">
        <f>IF($E2066="","",IFERROR(INDEX(科目表!$E$4:$E$81,MATCH($E2066,科目表!$B$4:$B$81,0)),""))</f>
        <v/>
      </c>
      <c r="H2066" s="27" t="str">
        <f>IF($E2066="","",N(INDEX(资金日记账!$N$4:$S$603,579,2)))</f>
        <v/>
      </c>
      <c r="I2066" s="27" t="str">
        <f>IF($E2066="","",N(INDEX(资金日记账!$N$4:$S$603,579,3)))</f>
        <v/>
      </c>
      <c r="J2066" s="26" t="str">
        <f>IF($E2066="","",INDEX(资金日记账!$E$4:$E$603,579))</f>
        <v/>
      </c>
      <c r="K2066" s="26" t="str">
        <f>IF($E2066="","",INDEX(资金日记账!$F$4:$F$603,579))</f>
        <v/>
      </c>
      <c r="L2066" s="32" t="str">
        <f>IF($E2066="","",INDEX(资金日记账!$X$4:$X$603,579))</f>
        <v/>
      </c>
      <c r="M2066" s="32"/>
      <c r="N2066" s="26" t="str">
        <f>IF($E2066="","",INDEX(资金日记账!$Y$4:$Y$603,579))</f>
        <v/>
      </c>
      <c r="O2066" s="26" t="str">
        <f t="shared" si="96"/>
        <v/>
      </c>
      <c r="P2066" s="10"/>
    </row>
    <row r="2067" ht="18" customHeight="1" spans="1:16">
      <c r="A2067" s="32" t="str">
        <f t="shared" si="95"/>
        <v/>
      </c>
      <c r="B2067" s="100" t="str">
        <f>IF($E2067="","",INDEX(资金日记账!$B$4:$B$603,579))</f>
        <v/>
      </c>
      <c r="C2067" s="26" t="str">
        <f>IF($E2067="","",IF(INDEX(资金日记账!$W$4:$W$603,579)="","记-"&amp;TEXT($B2067,"YYYYMM")&amp;"-资金",INDEX(资金日记账!$W$4:$W$603,579)))</f>
        <v/>
      </c>
      <c r="D2067" s="32" t="str">
        <f>IF($E2067="","",INDEX(资金日记账!$D$4:$D$603,579))</f>
        <v/>
      </c>
      <c r="E2067" s="26" t="str">
        <f>IF(INDEX(资金日记账!$N$4:$S$603,579,4)=0,"",INDEX(资金日记账!$N$4:$S$603,579,4))</f>
        <v/>
      </c>
      <c r="F2067" s="25" t="str">
        <f>IF($E2067="","",IFERROR(INDEX(科目表!$A$4:$A$81,MATCH($E2067,科目表!$B$4:$B$81,0)),""))</f>
        <v/>
      </c>
      <c r="G2067" s="26" t="str">
        <f>IF($E2067="","",IFERROR(INDEX(科目表!$E$4:$E$81,MATCH($E2067,科目表!$B$4:$B$81,0)),""))</f>
        <v/>
      </c>
      <c r="H2067" s="27" t="str">
        <f>IF($E2067="","",N(INDEX(资金日记账!$N$4:$S$603,579,5)))</f>
        <v/>
      </c>
      <c r="I2067" s="27" t="str">
        <f>IF($E2067="","",N(INDEX(资金日记账!$N$4:$S$603,579,6)))</f>
        <v/>
      </c>
      <c r="J2067" s="26" t="str">
        <f>IF($E2067="","",INDEX(资金日记账!$E$4:$E$603,579))</f>
        <v/>
      </c>
      <c r="K2067" s="26" t="str">
        <f>IF($E2067="","",INDEX(资金日记账!$F$4:$F$603,579))</f>
        <v/>
      </c>
      <c r="L2067" s="32" t="str">
        <f>IF($E2067="","",INDEX(资金日记账!$X$4:$X$603,579))</f>
        <v/>
      </c>
      <c r="M2067" s="32"/>
      <c r="N2067" s="26" t="str">
        <f>IF($E2067="","",INDEX(资金日记账!$Y$4:$Y$603,579))</f>
        <v/>
      </c>
      <c r="O2067" s="26" t="str">
        <f t="shared" si="96"/>
        <v/>
      </c>
      <c r="P2067" s="10"/>
    </row>
    <row r="2068" ht="18" customHeight="1" spans="1:16">
      <c r="A2068" s="32" t="str">
        <f t="shared" si="95"/>
        <v/>
      </c>
      <c r="B2068" s="100" t="str">
        <f>IF($E2068="","",INDEX(资金日记账!$B$4:$B$603,580))</f>
        <v/>
      </c>
      <c r="C2068" s="26" t="str">
        <f>IF($E2068="","",IF(INDEX(资金日记账!$W$4:$W$603,580)="","记-"&amp;TEXT($B2068,"YYYYMM")&amp;"-资金",INDEX(资金日记账!$W$4:$W$603,580)))</f>
        <v/>
      </c>
      <c r="D2068" s="32" t="str">
        <f>IF($E2068="","",INDEX(资金日记账!$D$4:$D$603,580))</f>
        <v/>
      </c>
      <c r="E2068" s="26" t="str">
        <f>IF(INDEX(资金日记账!$N$4:$S$603,580,1)=0,"",INDEX(资金日记账!$N$4:$S$603,580,1))</f>
        <v/>
      </c>
      <c r="F2068" s="25" t="str">
        <f>IF($E2068="","",IFERROR(INDEX(科目表!$A$4:$A$81,MATCH($E2068,科目表!$B$4:$B$81,0)),""))</f>
        <v/>
      </c>
      <c r="G2068" s="26" t="str">
        <f>IF($E2068="","",IFERROR(INDEX(科目表!$E$4:$E$81,MATCH($E2068,科目表!$B$4:$B$81,0)),""))</f>
        <v/>
      </c>
      <c r="H2068" s="27" t="str">
        <f>IF($E2068="","",N(INDEX(资金日记账!$N$4:$S$603,580,2)))</f>
        <v/>
      </c>
      <c r="I2068" s="27" t="str">
        <f>IF($E2068="","",N(INDEX(资金日记账!$N$4:$S$603,580,3)))</f>
        <v/>
      </c>
      <c r="J2068" s="26" t="str">
        <f>IF($E2068="","",INDEX(资金日记账!$E$4:$E$603,580))</f>
        <v/>
      </c>
      <c r="K2068" s="26" t="str">
        <f>IF($E2068="","",INDEX(资金日记账!$F$4:$F$603,580))</f>
        <v/>
      </c>
      <c r="L2068" s="32" t="str">
        <f>IF($E2068="","",INDEX(资金日记账!$X$4:$X$603,580))</f>
        <v/>
      </c>
      <c r="M2068" s="32"/>
      <c r="N2068" s="26" t="str">
        <f>IF($E2068="","",INDEX(资金日记账!$Y$4:$Y$603,580))</f>
        <v/>
      </c>
      <c r="O2068" s="26" t="str">
        <f t="shared" si="96"/>
        <v/>
      </c>
      <c r="P2068" s="10"/>
    </row>
    <row r="2069" ht="18" customHeight="1" spans="1:16">
      <c r="A2069" s="32" t="str">
        <f t="shared" si="95"/>
        <v/>
      </c>
      <c r="B2069" s="100" t="str">
        <f>IF($E2069="","",INDEX(资金日记账!$B$4:$B$603,580))</f>
        <v/>
      </c>
      <c r="C2069" s="26" t="str">
        <f>IF($E2069="","",IF(INDEX(资金日记账!$W$4:$W$603,580)="","记-"&amp;TEXT($B2069,"YYYYMM")&amp;"-资金",INDEX(资金日记账!$W$4:$W$603,580)))</f>
        <v/>
      </c>
      <c r="D2069" s="32" t="str">
        <f>IF($E2069="","",INDEX(资金日记账!$D$4:$D$603,580))</f>
        <v/>
      </c>
      <c r="E2069" s="26" t="str">
        <f>IF(INDEX(资金日记账!$N$4:$S$603,580,4)=0,"",INDEX(资金日记账!$N$4:$S$603,580,4))</f>
        <v/>
      </c>
      <c r="F2069" s="25" t="str">
        <f>IF($E2069="","",IFERROR(INDEX(科目表!$A$4:$A$81,MATCH($E2069,科目表!$B$4:$B$81,0)),""))</f>
        <v/>
      </c>
      <c r="G2069" s="26" t="str">
        <f>IF($E2069="","",IFERROR(INDEX(科目表!$E$4:$E$81,MATCH($E2069,科目表!$B$4:$B$81,0)),""))</f>
        <v/>
      </c>
      <c r="H2069" s="27" t="str">
        <f>IF($E2069="","",N(INDEX(资金日记账!$N$4:$S$603,580,5)))</f>
        <v/>
      </c>
      <c r="I2069" s="27" t="str">
        <f>IF($E2069="","",N(INDEX(资金日记账!$N$4:$S$603,580,6)))</f>
        <v/>
      </c>
      <c r="J2069" s="26" t="str">
        <f>IF($E2069="","",INDEX(资金日记账!$E$4:$E$603,580))</f>
        <v/>
      </c>
      <c r="K2069" s="26" t="str">
        <f>IF($E2069="","",INDEX(资金日记账!$F$4:$F$603,580))</f>
        <v/>
      </c>
      <c r="L2069" s="32" t="str">
        <f>IF($E2069="","",INDEX(资金日记账!$X$4:$X$603,580))</f>
        <v/>
      </c>
      <c r="M2069" s="32"/>
      <c r="N2069" s="26" t="str">
        <f>IF($E2069="","",INDEX(资金日记账!$Y$4:$Y$603,580))</f>
        <v/>
      </c>
      <c r="O2069" s="26" t="str">
        <f t="shared" si="96"/>
        <v/>
      </c>
      <c r="P2069" s="10"/>
    </row>
    <row r="2070" ht="18" customHeight="1" spans="1:16">
      <c r="A2070" s="32" t="str">
        <f t="shared" si="95"/>
        <v/>
      </c>
      <c r="B2070" s="100" t="str">
        <f>IF($E2070="","",INDEX(资金日记账!$B$4:$B$603,581))</f>
        <v/>
      </c>
      <c r="C2070" s="26" t="str">
        <f>IF($E2070="","",IF(INDEX(资金日记账!$W$4:$W$603,581)="","记-"&amp;TEXT($B2070,"YYYYMM")&amp;"-资金",INDEX(资金日记账!$W$4:$W$603,581)))</f>
        <v/>
      </c>
      <c r="D2070" s="32" t="str">
        <f>IF($E2070="","",INDEX(资金日记账!$D$4:$D$603,581))</f>
        <v/>
      </c>
      <c r="E2070" s="26" t="str">
        <f>IF(INDEX(资金日记账!$N$4:$S$603,581,1)=0,"",INDEX(资金日记账!$N$4:$S$603,581,1))</f>
        <v/>
      </c>
      <c r="F2070" s="25" t="str">
        <f>IF($E2070="","",IFERROR(INDEX(科目表!$A$4:$A$81,MATCH($E2070,科目表!$B$4:$B$81,0)),""))</f>
        <v/>
      </c>
      <c r="G2070" s="26" t="str">
        <f>IF($E2070="","",IFERROR(INDEX(科目表!$E$4:$E$81,MATCH($E2070,科目表!$B$4:$B$81,0)),""))</f>
        <v/>
      </c>
      <c r="H2070" s="27" t="str">
        <f>IF($E2070="","",N(INDEX(资金日记账!$N$4:$S$603,581,2)))</f>
        <v/>
      </c>
      <c r="I2070" s="27" t="str">
        <f>IF($E2070="","",N(INDEX(资金日记账!$N$4:$S$603,581,3)))</f>
        <v/>
      </c>
      <c r="J2070" s="26" t="str">
        <f>IF($E2070="","",INDEX(资金日记账!$E$4:$E$603,581))</f>
        <v/>
      </c>
      <c r="K2070" s="26" t="str">
        <f>IF($E2070="","",INDEX(资金日记账!$F$4:$F$603,581))</f>
        <v/>
      </c>
      <c r="L2070" s="32" t="str">
        <f>IF($E2070="","",INDEX(资金日记账!$X$4:$X$603,581))</f>
        <v/>
      </c>
      <c r="M2070" s="32"/>
      <c r="N2070" s="26" t="str">
        <f>IF($E2070="","",INDEX(资金日记账!$Y$4:$Y$603,581))</f>
        <v/>
      </c>
      <c r="O2070" s="26" t="str">
        <f t="shared" si="96"/>
        <v/>
      </c>
      <c r="P2070" s="10"/>
    </row>
    <row r="2071" ht="18" customHeight="1" spans="1:16">
      <c r="A2071" s="32" t="str">
        <f t="shared" si="95"/>
        <v/>
      </c>
      <c r="B2071" s="100" t="str">
        <f>IF($E2071="","",INDEX(资金日记账!$B$4:$B$603,581))</f>
        <v/>
      </c>
      <c r="C2071" s="26" t="str">
        <f>IF($E2071="","",IF(INDEX(资金日记账!$W$4:$W$603,581)="","记-"&amp;TEXT($B2071,"YYYYMM")&amp;"-资金",INDEX(资金日记账!$W$4:$W$603,581)))</f>
        <v/>
      </c>
      <c r="D2071" s="32" t="str">
        <f>IF($E2071="","",INDEX(资金日记账!$D$4:$D$603,581))</f>
        <v/>
      </c>
      <c r="E2071" s="26" t="str">
        <f>IF(INDEX(资金日记账!$N$4:$S$603,581,4)=0,"",INDEX(资金日记账!$N$4:$S$603,581,4))</f>
        <v/>
      </c>
      <c r="F2071" s="25" t="str">
        <f>IF($E2071="","",IFERROR(INDEX(科目表!$A$4:$A$81,MATCH($E2071,科目表!$B$4:$B$81,0)),""))</f>
        <v/>
      </c>
      <c r="G2071" s="26" t="str">
        <f>IF($E2071="","",IFERROR(INDEX(科目表!$E$4:$E$81,MATCH($E2071,科目表!$B$4:$B$81,0)),""))</f>
        <v/>
      </c>
      <c r="H2071" s="27" t="str">
        <f>IF($E2071="","",N(INDEX(资金日记账!$N$4:$S$603,581,5)))</f>
        <v/>
      </c>
      <c r="I2071" s="27" t="str">
        <f>IF($E2071="","",N(INDEX(资金日记账!$N$4:$S$603,581,6)))</f>
        <v/>
      </c>
      <c r="J2071" s="26" t="str">
        <f>IF($E2071="","",INDEX(资金日记账!$E$4:$E$603,581))</f>
        <v/>
      </c>
      <c r="K2071" s="26" t="str">
        <f>IF($E2071="","",INDEX(资金日记账!$F$4:$F$603,581))</f>
        <v/>
      </c>
      <c r="L2071" s="32" t="str">
        <f>IF($E2071="","",INDEX(资金日记账!$X$4:$X$603,581))</f>
        <v/>
      </c>
      <c r="M2071" s="32"/>
      <c r="N2071" s="26" t="str">
        <f>IF($E2071="","",INDEX(资金日记账!$Y$4:$Y$603,581))</f>
        <v/>
      </c>
      <c r="O2071" s="26" t="str">
        <f t="shared" si="96"/>
        <v/>
      </c>
      <c r="P2071" s="10"/>
    </row>
    <row r="2072" ht="18" customHeight="1" spans="1:16">
      <c r="A2072" s="32" t="str">
        <f t="shared" si="95"/>
        <v/>
      </c>
      <c r="B2072" s="100" t="str">
        <f>IF($E2072="","",INDEX(资金日记账!$B$4:$B$603,582))</f>
        <v/>
      </c>
      <c r="C2072" s="26" t="str">
        <f>IF($E2072="","",IF(INDEX(资金日记账!$W$4:$W$603,582)="","记-"&amp;TEXT($B2072,"YYYYMM")&amp;"-资金",INDEX(资金日记账!$W$4:$W$603,582)))</f>
        <v/>
      </c>
      <c r="D2072" s="32" t="str">
        <f>IF($E2072="","",INDEX(资金日记账!$D$4:$D$603,582))</f>
        <v/>
      </c>
      <c r="E2072" s="26" t="str">
        <f>IF(INDEX(资金日记账!$N$4:$S$603,582,1)=0,"",INDEX(资金日记账!$N$4:$S$603,582,1))</f>
        <v/>
      </c>
      <c r="F2072" s="25" t="str">
        <f>IF($E2072="","",IFERROR(INDEX(科目表!$A$4:$A$81,MATCH($E2072,科目表!$B$4:$B$81,0)),""))</f>
        <v/>
      </c>
      <c r="G2072" s="26" t="str">
        <f>IF($E2072="","",IFERROR(INDEX(科目表!$E$4:$E$81,MATCH($E2072,科目表!$B$4:$B$81,0)),""))</f>
        <v/>
      </c>
      <c r="H2072" s="27" t="str">
        <f>IF($E2072="","",N(INDEX(资金日记账!$N$4:$S$603,582,2)))</f>
        <v/>
      </c>
      <c r="I2072" s="27" t="str">
        <f>IF($E2072="","",N(INDEX(资金日记账!$N$4:$S$603,582,3)))</f>
        <v/>
      </c>
      <c r="J2072" s="26" t="str">
        <f>IF($E2072="","",INDEX(资金日记账!$E$4:$E$603,582))</f>
        <v/>
      </c>
      <c r="K2072" s="26" t="str">
        <f>IF($E2072="","",INDEX(资金日记账!$F$4:$F$603,582))</f>
        <v/>
      </c>
      <c r="L2072" s="32" t="str">
        <f>IF($E2072="","",INDEX(资金日记账!$X$4:$X$603,582))</f>
        <v/>
      </c>
      <c r="M2072" s="32"/>
      <c r="N2072" s="26" t="str">
        <f>IF($E2072="","",INDEX(资金日记账!$Y$4:$Y$603,582))</f>
        <v/>
      </c>
      <c r="O2072" s="26" t="str">
        <f t="shared" si="96"/>
        <v/>
      </c>
      <c r="P2072" s="10"/>
    </row>
    <row r="2073" ht="18" customHeight="1" spans="1:16">
      <c r="A2073" s="32" t="str">
        <f t="shared" si="95"/>
        <v/>
      </c>
      <c r="B2073" s="100" t="str">
        <f>IF($E2073="","",INDEX(资金日记账!$B$4:$B$603,582))</f>
        <v/>
      </c>
      <c r="C2073" s="26" t="str">
        <f>IF($E2073="","",IF(INDEX(资金日记账!$W$4:$W$603,582)="","记-"&amp;TEXT($B2073,"YYYYMM")&amp;"-资金",INDEX(资金日记账!$W$4:$W$603,582)))</f>
        <v/>
      </c>
      <c r="D2073" s="32" t="str">
        <f>IF($E2073="","",INDEX(资金日记账!$D$4:$D$603,582))</f>
        <v/>
      </c>
      <c r="E2073" s="26" t="str">
        <f>IF(INDEX(资金日记账!$N$4:$S$603,582,4)=0,"",INDEX(资金日记账!$N$4:$S$603,582,4))</f>
        <v/>
      </c>
      <c r="F2073" s="25" t="str">
        <f>IF($E2073="","",IFERROR(INDEX(科目表!$A$4:$A$81,MATCH($E2073,科目表!$B$4:$B$81,0)),""))</f>
        <v/>
      </c>
      <c r="G2073" s="26" t="str">
        <f>IF($E2073="","",IFERROR(INDEX(科目表!$E$4:$E$81,MATCH($E2073,科目表!$B$4:$B$81,0)),""))</f>
        <v/>
      </c>
      <c r="H2073" s="27" t="str">
        <f>IF($E2073="","",N(INDEX(资金日记账!$N$4:$S$603,582,5)))</f>
        <v/>
      </c>
      <c r="I2073" s="27" t="str">
        <f>IF($E2073="","",N(INDEX(资金日记账!$N$4:$S$603,582,6)))</f>
        <v/>
      </c>
      <c r="J2073" s="26" t="str">
        <f>IF($E2073="","",INDEX(资金日记账!$E$4:$E$603,582))</f>
        <v/>
      </c>
      <c r="K2073" s="26" t="str">
        <f>IF($E2073="","",INDEX(资金日记账!$F$4:$F$603,582))</f>
        <v/>
      </c>
      <c r="L2073" s="32" t="str">
        <f>IF($E2073="","",INDEX(资金日记账!$X$4:$X$603,582))</f>
        <v/>
      </c>
      <c r="M2073" s="32"/>
      <c r="N2073" s="26" t="str">
        <f>IF($E2073="","",INDEX(资金日记账!$Y$4:$Y$603,582))</f>
        <v/>
      </c>
      <c r="O2073" s="26" t="str">
        <f t="shared" si="96"/>
        <v/>
      </c>
      <c r="P2073" s="10"/>
    </row>
    <row r="2074" ht="18" customHeight="1" spans="1:16">
      <c r="A2074" s="32" t="str">
        <f t="shared" si="95"/>
        <v/>
      </c>
      <c r="B2074" s="100" t="str">
        <f>IF($E2074="","",INDEX(资金日记账!$B$4:$B$603,583))</f>
        <v/>
      </c>
      <c r="C2074" s="26" t="str">
        <f>IF($E2074="","",IF(INDEX(资金日记账!$W$4:$W$603,583)="","记-"&amp;TEXT($B2074,"YYYYMM")&amp;"-资金",INDEX(资金日记账!$W$4:$W$603,583)))</f>
        <v/>
      </c>
      <c r="D2074" s="32" t="str">
        <f>IF($E2074="","",INDEX(资金日记账!$D$4:$D$603,583))</f>
        <v/>
      </c>
      <c r="E2074" s="26" t="str">
        <f>IF(INDEX(资金日记账!$N$4:$S$603,583,1)=0,"",INDEX(资金日记账!$N$4:$S$603,583,1))</f>
        <v/>
      </c>
      <c r="F2074" s="25" t="str">
        <f>IF($E2074="","",IFERROR(INDEX(科目表!$A$4:$A$81,MATCH($E2074,科目表!$B$4:$B$81,0)),""))</f>
        <v/>
      </c>
      <c r="G2074" s="26" t="str">
        <f>IF($E2074="","",IFERROR(INDEX(科目表!$E$4:$E$81,MATCH($E2074,科目表!$B$4:$B$81,0)),""))</f>
        <v/>
      </c>
      <c r="H2074" s="27" t="str">
        <f>IF($E2074="","",N(INDEX(资金日记账!$N$4:$S$603,583,2)))</f>
        <v/>
      </c>
      <c r="I2074" s="27" t="str">
        <f>IF($E2074="","",N(INDEX(资金日记账!$N$4:$S$603,583,3)))</f>
        <v/>
      </c>
      <c r="J2074" s="26" t="str">
        <f>IF($E2074="","",INDEX(资金日记账!$E$4:$E$603,583))</f>
        <v/>
      </c>
      <c r="K2074" s="26" t="str">
        <f>IF($E2074="","",INDEX(资金日记账!$F$4:$F$603,583))</f>
        <v/>
      </c>
      <c r="L2074" s="32" t="str">
        <f>IF($E2074="","",INDEX(资金日记账!$X$4:$X$603,583))</f>
        <v/>
      </c>
      <c r="M2074" s="32"/>
      <c r="N2074" s="26" t="str">
        <f>IF($E2074="","",INDEX(资金日记账!$Y$4:$Y$603,583))</f>
        <v/>
      </c>
      <c r="O2074" s="26" t="str">
        <f t="shared" si="96"/>
        <v/>
      </c>
      <c r="P2074" s="10"/>
    </row>
    <row r="2075" ht="18" customHeight="1" spans="1:16">
      <c r="A2075" s="32" t="str">
        <f t="shared" si="95"/>
        <v/>
      </c>
      <c r="B2075" s="100" t="str">
        <f>IF($E2075="","",INDEX(资金日记账!$B$4:$B$603,583))</f>
        <v/>
      </c>
      <c r="C2075" s="26" t="str">
        <f>IF($E2075="","",IF(INDEX(资金日记账!$W$4:$W$603,583)="","记-"&amp;TEXT($B2075,"YYYYMM")&amp;"-资金",INDEX(资金日记账!$W$4:$W$603,583)))</f>
        <v/>
      </c>
      <c r="D2075" s="32" t="str">
        <f>IF($E2075="","",INDEX(资金日记账!$D$4:$D$603,583))</f>
        <v/>
      </c>
      <c r="E2075" s="26" t="str">
        <f>IF(INDEX(资金日记账!$N$4:$S$603,583,4)=0,"",INDEX(资金日记账!$N$4:$S$603,583,4))</f>
        <v/>
      </c>
      <c r="F2075" s="25" t="str">
        <f>IF($E2075="","",IFERROR(INDEX(科目表!$A$4:$A$81,MATCH($E2075,科目表!$B$4:$B$81,0)),""))</f>
        <v/>
      </c>
      <c r="G2075" s="26" t="str">
        <f>IF($E2075="","",IFERROR(INDEX(科目表!$E$4:$E$81,MATCH($E2075,科目表!$B$4:$B$81,0)),""))</f>
        <v/>
      </c>
      <c r="H2075" s="27" t="str">
        <f>IF($E2075="","",N(INDEX(资金日记账!$N$4:$S$603,583,5)))</f>
        <v/>
      </c>
      <c r="I2075" s="27" t="str">
        <f>IF($E2075="","",N(INDEX(资金日记账!$N$4:$S$603,583,6)))</f>
        <v/>
      </c>
      <c r="J2075" s="26" t="str">
        <f>IF($E2075="","",INDEX(资金日记账!$E$4:$E$603,583))</f>
        <v/>
      </c>
      <c r="K2075" s="26" t="str">
        <f>IF($E2075="","",INDEX(资金日记账!$F$4:$F$603,583))</f>
        <v/>
      </c>
      <c r="L2075" s="32" t="str">
        <f>IF($E2075="","",INDEX(资金日记账!$X$4:$X$603,583))</f>
        <v/>
      </c>
      <c r="M2075" s="32"/>
      <c r="N2075" s="26" t="str">
        <f>IF($E2075="","",INDEX(资金日记账!$Y$4:$Y$603,583))</f>
        <v/>
      </c>
      <c r="O2075" s="26" t="str">
        <f t="shared" si="96"/>
        <v/>
      </c>
      <c r="P2075" s="10"/>
    </row>
    <row r="2076" ht="18" customHeight="1" spans="1:16">
      <c r="A2076" s="32" t="str">
        <f t="shared" si="95"/>
        <v/>
      </c>
      <c r="B2076" s="100" t="str">
        <f>IF($E2076="","",INDEX(资金日记账!$B$4:$B$603,584))</f>
        <v/>
      </c>
      <c r="C2076" s="26" t="str">
        <f>IF($E2076="","",IF(INDEX(资金日记账!$W$4:$W$603,584)="","记-"&amp;TEXT($B2076,"YYYYMM")&amp;"-资金",INDEX(资金日记账!$W$4:$W$603,584)))</f>
        <v/>
      </c>
      <c r="D2076" s="32" t="str">
        <f>IF($E2076="","",INDEX(资金日记账!$D$4:$D$603,584))</f>
        <v/>
      </c>
      <c r="E2076" s="26" t="str">
        <f>IF(INDEX(资金日记账!$N$4:$S$603,584,1)=0,"",INDEX(资金日记账!$N$4:$S$603,584,1))</f>
        <v/>
      </c>
      <c r="F2076" s="25" t="str">
        <f>IF($E2076="","",IFERROR(INDEX(科目表!$A$4:$A$81,MATCH($E2076,科目表!$B$4:$B$81,0)),""))</f>
        <v/>
      </c>
      <c r="G2076" s="26" t="str">
        <f>IF($E2076="","",IFERROR(INDEX(科目表!$E$4:$E$81,MATCH($E2076,科目表!$B$4:$B$81,0)),""))</f>
        <v/>
      </c>
      <c r="H2076" s="27" t="str">
        <f>IF($E2076="","",N(INDEX(资金日记账!$N$4:$S$603,584,2)))</f>
        <v/>
      </c>
      <c r="I2076" s="27" t="str">
        <f>IF($E2076="","",N(INDEX(资金日记账!$N$4:$S$603,584,3)))</f>
        <v/>
      </c>
      <c r="J2076" s="26" t="str">
        <f>IF($E2076="","",INDEX(资金日记账!$E$4:$E$603,584))</f>
        <v/>
      </c>
      <c r="K2076" s="26" t="str">
        <f>IF($E2076="","",INDEX(资金日记账!$F$4:$F$603,584))</f>
        <v/>
      </c>
      <c r="L2076" s="32" t="str">
        <f>IF($E2076="","",INDEX(资金日记账!$X$4:$X$603,584))</f>
        <v/>
      </c>
      <c r="M2076" s="32"/>
      <c r="N2076" s="26" t="str">
        <f>IF($E2076="","",INDEX(资金日记账!$Y$4:$Y$603,584))</f>
        <v/>
      </c>
      <c r="O2076" s="26" t="str">
        <f t="shared" si="96"/>
        <v/>
      </c>
      <c r="P2076" s="10"/>
    </row>
    <row r="2077" ht="18" customHeight="1" spans="1:16">
      <c r="A2077" s="32" t="str">
        <f t="shared" si="95"/>
        <v/>
      </c>
      <c r="B2077" s="100" t="str">
        <f>IF($E2077="","",INDEX(资金日记账!$B$4:$B$603,584))</f>
        <v/>
      </c>
      <c r="C2077" s="26" t="str">
        <f>IF($E2077="","",IF(INDEX(资金日记账!$W$4:$W$603,584)="","记-"&amp;TEXT($B2077,"YYYYMM")&amp;"-资金",INDEX(资金日记账!$W$4:$W$603,584)))</f>
        <v/>
      </c>
      <c r="D2077" s="32" t="str">
        <f>IF($E2077="","",INDEX(资金日记账!$D$4:$D$603,584))</f>
        <v/>
      </c>
      <c r="E2077" s="26" t="str">
        <f>IF(INDEX(资金日记账!$N$4:$S$603,584,4)=0,"",INDEX(资金日记账!$N$4:$S$603,584,4))</f>
        <v/>
      </c>
      <c r="F2077" s="25" t="str">
        <f>IF($E2077="","",IFERROR(INDEX(科目表!$A$4:$A$81,MATCH($E2077,科目表!$B$4:$B$81,0)),""))</f>
        <v/>
      </c>
      <c r="G2077" s="26" t="str">
        <f>IF($E2077="","",IFERROR(INDEX(科目表!$E$4:$E$81,MATCH($E2077,科目表!$B$4:$B$81,0)),""))</f>
        <v/>
      </c>
      <c r="H2077" s="27" t="str">
        <f>IF($E2077="","",N(INDEX(资金日记账!$N$4:$S$603,584,5)))</f>
        <v/>
      </c>
      <c r="I2077" s="27" t="str">
        <f>IF($E2077="","",N(INDEX(资金日记账!$N$4:$S$603,584,6)))</f>
        <v/>
      </c>
      <c r="J2077" s="26" t="str">
        <f>IF($E2077="","",INDEX(资金日记账!$E$4:$E$603,584))</f>
        <v/>
      </c>
      <c r="K2077" s="26" t="str">
        <f>IF($E2077="","",INDEX(资金日记账!$F$4:$F$603,584))</f>
        <v/>
      </c>
      <c r="L2077" s="32" t="str">
        <f>IF($E2077="","",INDEX(资金日记账!$X$4:$X$603,584))</f>
        <v/>
      </c>
      <c r="M2077" s="32"/>
      <c r="N2077" s="26" t="str">
        <f>IF($E2077="","",INDEX(资金日记账!$Y$4:$Y$603,584))</f>
        <v/>
      </c>
      <c r="O2077" s="26" t="str">
        <f t="shared" si="96"/>
        <v/>
      </c>
      <c r="P2077" s="10"/>
    </row>
    <row r="2078" ht="18" customHeight="1" spans="1:16">
      <c r="A2078" s="32" t="str">
        <f t="shared" si="95"/>
        <v/>
      </c>
      <c r="B2078" s="100" t="str">
        <f>IF($E2078="","",INDEX(资金日记账!$B$4:$B$603,585))</f>
        <v/>
      </c>
      <c r="C2078" s="26" t="str">
        <f>IF($E2078="","",IF(INDEX(资金日记账!$W$4:$W$603,585)="","记-"&amp;TEXT($B2078,"YYYYMM")&amp;"-资金",INDEX(资金日记账!$W$4:$W$603,585)))</f>
        <v/>
      </c>
      <c r="D2078" s="32" t="str">
        <f>IF($E2078="","",INDEX(资金日记账!$D$4:$D$603,585))</f>
        <v/>
      </c>
      <c r="E2078" s="26" t="str">
        <f>IF(INDEX(资金日记账!$N$4:$S$603,585,1)=0,"",INDEX(资金日记账!$N$4:$S$603,585,1))</f>
        <v/>
      </c>
      <c r="F2078" s="25" t="str">
        <f>IF($E2078="","",IFERROR(INDEX(科目表!$A$4:$A$81,MATCH($E2078,科目表!$B$4:$B$81,0)),""))</f>
        <v/>
      </c>
      <c r="G2078" s="26" t="str">
        <f>IF($E2078="","",IFERROR(INDEX(科目表!$E$4:$E$81,MATCH($E2078,科目表!$B$4:$B$81,0)),""))</f>
        <v/>
      </c>
      <c r="H2078" s="27" t="str">
        <f>IF($E2078="","",N(INDEX(资金日记账!$N$4:$S$603,585,2)))</f>
        <v/>
      </c>
      <c r="I2078" s="27" t="str">
        <f>IF($E2078="","",N(INDEX(资金日记账!$N$4:$S$603,585,3)))</f>
        <v/>
      </c>
      <c r="J2078" s="26" t="str">
        <f>IF($E2078="","",INDEX(资金日记账!$E$4:$E$603,585))</f>
        <v/>
      </c>
      <c r="K2078" s="26" t="str">
        <f>IF($E2078="","",INDEX(资金日记账!$F$4:$F$603,585))</f>
        <v/>
      </c>
      <c r="L2078" s="32" t="str">
        <f>IF($E2078="","",INDEX(资金日记账!$X$4:$X$603,585))</f>
        <v/>
      </c>
      <c r="M2078" s="32"/>
      <c r="N2078" s="26" t="str">
        <f>IF($E2078="","",INDEX(资金日记账!$Y$4:$Y$603,585))</f>
        <v/>
      </c>
      <c r="O2078" s="26" t="str">
        <f t="shared" si="96"/>
        <v/>
      </c>
      <c r="P2078" s="10"/>
    </row>
    <row r="2079" ht="18" customHeight="1" spans="1:16">
      <c r="A2079" s="32" t="str">
        <f t="shared" si="95"/>
        <v/>
      </c>
      <c r="B2079" s="100" t="str">
        <f>IF($E2079="","",INDEX(资金日记账!$B$4:$B$603,585))</f>
        <v/>
      </c>
      <c r="C2079" s="26" t="str">
        <f>IF($E2079="","",IF(INDEX(资金日记账!$W$4:$W$603,585)="","记-"&amp;TEXT($B2079,"YYYYMM")&amp;"-资金",INDEX(资金日记账!$W$4:$W$603,585)))</f>
        <v/>
      </c>
      <c r="D2079" s="32" t="str">
        <f>IF($E2079="","",INDEX(资金日记账!$D$4:$D$603,585))</f>
        <v/>
      </c>
      <c r="E2079" s="26" t="str">
        <f>IF(INDEX(资金日记账!$N$4:$S$603,585,4)=0,"",INDEX(资金日记账!$N$4:$S$603,585,4))</f>
        <v/>
      </c>
      <c r="F2079" s="25" t="str">
        <f>IF($E2079="","",IFERROR(INDEX(科目表!$A$4:$A$81,MATCH($E2079,科目表!$B$4:$B$81,0)),""))</f>
        <v/>
      </c>
      <c r="G2079" s="26" t="str">
        <f>IF($E2079="","",IFERROR(INDEX(科目表!$E$4:$E$81,MATCH($E2079,科目表!$B$4:$B$81,0)),""))</f>
        <v/>
      </c>
      <c r="H2079" s="27" t="str">
        <f>IF($E2079="","",N(INDEX(资金日记账!$N$4:$S$603,585,5)))</f>
        <v/>
      </c>
      <c r="I2079" s="27" t="str">
        <f>IF($E2079="","",N(INDEX(资金日记账!$N$4:$S$603,585,6)))</f>
        <v/>
      </c>
      <c r="J2079" s="26" t="str">
        <f>IF($E2079="","",INDEX(资金日记账!$E$4:$E$603,585))</f>
        <v/>
      </c>
      <c r="K2079" s="26" t="str">
        <f>IF($E2079="","",INDEX(资金日记账!$F$4:$F$603,585))</f>
        <v/>
      </c>
      <c r="L2079" s="32" t="str">
        <f>IF($E2079="","",INDEX(资金日记账!$X$4:$X$603,585))</f>
        <v/>
      </c>
      <c r="M2079" s="32"/>
      <c r="N2079" s="26" t="str">
        <f>IF($E2079="","",INDEX(资金日记账!$Y$4:$Y$603,585))</f>
        <v/>
      </c>
      <c r="O2079" s="26" t="str">
        <f t="shared" si="96"/>
        <v/>
      </c>
      <c r="P2079" s="10"/>
    </row>
    <row r="2080" ht="18" customHeight="1" spans="1:16">
      <c r="A2080" s="32" t="str">
        <f t="shared" si="95"/>
        <v/>
      </c>
      <c r="B2080" s="100" t="str">
        <f>IF($E2080="","",INDEX(资金日记账!$B$4:$B$603,586))</f>
        <v/>
      </c>
      <c r="C2080" s="26" t="str">
        <f>IF($E2080="","",IF(INDEX(资金日记账!$W$4:$W$603,586)="","记-"&amp;TEXT($B2080,"YYYYMM")&amp;"-资金",INDEX(资金日记账!$W$4:$W$603,586)))</f>
        <v/>
      </c>
      <c r="D2080" s="32" t="str">
        <f>IF($E2080="","",INDEX(资金日记账!$D$4:$D$603,586))</f>
        <v/>
      </c>
      <c r="E2080" s="26" t="str">
        <f>IF(INDEX(资金日记账!$N$4:$S$603,586,1)=0,"",INDEX(资金日记账!$N$4:$S$603,586,1))</f>
        <v/>
      </c>
      <c r="F2080" s="25" t="str">
        <f>IF($E2080="","",IFERROR(INDEX(科目表!$A$4:$A$81,MATCH($E2080,科目表!$B$4:$B$81,0)),""))</f>
        <v/>
      </c>
      <c r="G2080" s="26" t="str">
        <f>IF($E2080="","",IFERROR(INDEX(科目表!$E$4:$E$81,MATCH($E2080,科目表!$B$4:$B$81,0)),""))</f>
        <v/>
      </c>
      <c r="H2080" s="27" t="str">
        <f>IF($E2080="","",N(INDEX(资金日记账!$N$4:$S$603,586,2)))</f>
        <v/>
      </c>
      <c r="I2080" s="27" t="str">
        <f>IF($E2080="","",N(INDEX(资金日记账!$N$4:$S$603,586,3)))</f>
        <v/>
      </c>
      <c r="J2080" s="26" t="str">
        <f>IF($E2080="","",INDEX(资金日记账!$E$4:$E$603,586))</f>
        <v/>
      </c>
      <c r="K2080" s="26" t="str">
        <f>IF($E2080="","",INDEX(资金日记账!$F$4:$F$603,586))</f>
        <v/>
      </c>
      <c r="L2080" s="32" t="str">
        <f>IF($E2080="","",INDEX(资金日记账!$X$4:$X$603,586))</f>
        <v/>
      </c>
      <c r="M2080" s="32"/>
      <c r="N2080" s="26" t="str">
        <f>IF($E2080="","",INDEX(资金日记账!$Y$4:$Y$603,586))</f>
        <v/>
      </c>
      <c r="O2080" s="26" t="str">
        <f t="shared" si="96"/>
        <v/>
      </c>
      <c r="P2080" s="10"/>
    </row>
    <row r="2081" ht="18" customHeight="1" spans="1:16">
      <c r="A2081" s="32" t="str">
        <f t="shared" si="95"/>
        <v/>
      </c>
      <c r="B2081" s="100" t="str">
        <f>IF($E2081="","",INDEX(资金日记账!$B$4:$B$603,586))</f>
        <v/>
      </c>
      <c r="C2081" s="26" t="str">
        <f>IF($E2081="","",IF(INDEX(资金日记账!$W$4:$W$603,586)="","记-"&amp;TEXT($B2081,"YYYYMM")&amp;"-资金",INDEX(资金日记账!$W$4:$W$603,586)))</f>
        <v/>
      </c>
      <c r="D2081" s="32" t="str">
        <f>IF($E2081="","",INDEX(资金日记账!$D$4:$D$603,586))</f>
        <v/>
      </c>
      <c r="E2081" s="26" t="str">
        <f>IF(INDEX(资金日记账!$N$4:$S$603,586,4)=0,"",INDEX(资金日记账!$N$4:$S$603,586,4))</f>
        <v/>
      </c>
      <c r="F2081" s="25" t="str">
        <f>IF($E2081="","",IFERROR(INDEX(科目表!$A$4:$A$81,MATCH($E2081,科目表!$B$4:$B$81,0)),""))</f>
        <v/>
      </c>
      <c r="G2081" s="26" t="str">
        <f>IF($E2081="","",IFERROR(INDEX(科目表!$E$4:$E$81,MATCH($E2081,科目表!$B$4:$B$81,0)),""))</f>
        <v/>
      </c>
      <c r="H2081" s="27" t="str">
        <f>IF($E2081="","",N(INDEX(资金日记账!$N$4:$S$603,586,5)))</f>
        <v/>
      </c>
      <c r="I2081" s="27" t="str">
        <f>IF($E2081="","",N(INDEX(资金日记账!$N$4:$S$603,586,6)))</f>
        <v/>
      </c>
      <c r="J2081" s="26" t="str">
        <f>IF($E2081="","",INDEX(资金日记账!$E$4:$E$603,586))</f>
        <v/>
      </c>
      <c r="K2081" s="26" t="str">
        <f>IF($E2081="","",INDEX(资金日记账!$F$4:$F$603,586))</f>
        <v/>
      </c>
      <c r="L2081" s="32" t="str">
        <f>IF($E2081="","",INDEX(资金日记账!$X$4:$X$603,586))</f>
        <v/>
      </c>
      <c r="M2081" s="32"/>
      <c r="N2081" s="26" t="str">
        <f>IF($E2081="","",INDEX(资金日记账!$Y$4:$Y$603,586))</f>
        <v/>
      </c>
      <c r="O2081" s="26" t="str">
        <f t="shared" si="96"/>
        <v/>
      </c>
      <c r="P2081" s="10"/>
    </row>
    <row r="2082" ht="18" customHeight="1" spans="1:16">
      <c r="A2082" s="32" t="str">
        <f t="shared" si="95"/>
        <v/>
      </c>
      <c r="B2082" s="100" t="str">
        <f>IF($E2082="","",INDEX(资金日记账!$B$4:$B$603,587))</f>
        <v/>
      </c>
      <c r="C2082" s="26" t="str">
        <f>IF($E2082="","",IF(INDEX(资金日记账!$W$4:$W$603,587)="","记-"&amp;TEXT($B2082,"YYYYMM")&amp;"-资金",INDEX(资金日记账!$W$4:$W$603,587)))</f>
        <v/>
      </c>
      <c r="D2082" s="32" t="str">
        <f>IF($E2082="","",INDEX(资金日记账!$D$4:$D$603,587))</f>
        <v/>
      </c>
      <c r="E2082" s="26" t="str">
        <f>IF(INDEX(资金日记账!$N$4:$S$603,587,1)=0,"",INDEX(资金日记账!$N$4:$S$603,587,1))</f>
        <v/>
      </c>
      <c r="F2082" s="25" t="str">
        <f>IF($E2082="","",IFERROR(INDEX(科目表!$A$4:$A$81,MATCH($E2082,科目表!$B$4:$B$81,0)),""))</f>
        <v/>
      </c>
      <c r="G2082" s="26" t="str">
        <f>IF($E2082="","",IFERROR(INDEX(科目表!$E$4:$E$81,MATCH($E2082,科目表!$B$4:$B$81,0)),""))</f>
        <v/>
      </c>
      <c r="H2082" s="27" t="str">
        <f>IF($E2082="","",N(INDEX(资金日记账!$N$4:$S$603,587,2)))</f>
        <v/>
      </c>
      <c r="I2082" s="27" t="str">
        <f>IF($E2082="","",N(INDEX(资金日记账!$N$4:$S$603,587,3)))</f>
        <v/>
      </c>
      <c r="J2082" s="26" t="str">
        <f>IF($E2082="","",INDEX(资金日记账!$E$4:$E$603,587))</f>
        <v/>
      </c>
      <c r="K2082" s="26" t="str">
        <f>IF($E2082="","",INDEX(资金日记账!$F$4:$F$603,587))</f>
        <v/>
      </c>
      <c r="L2082" s="32" t="str">
        <f>IF($E2082="","",INDEX(资金日记账!$X$4:$X$603,587))</f>
        <v/>
      </c>
      <c r="M2082" s="32"/>
      <c r="N2082" s="26" t="str">
        <f>IF($E2082="","",INDEX(资金日记账!$Y$4:$Y$603,587))</f>
        <v/>
      </c>
      <c r="O2082" s="26" t="str">
        <f t="shared" si="96"/>
        <v/>
      </c>
      <c r="P2082" s="10"/>
    </row>
    <row r="2083" ht="18" customHeight="1" spans="1:16">
      <c r="A2083" s="32" t="str">
        <f t="shared" si="95"/>
        <v/>
      </c>
      <c r="B2083" s="100" t="str">
        <f>IF($E2083="","",INDEX(资金日记账!$B$4:$B$603,587))</f>
        <v/>
      </c>
      <c r="C2083" s="26" t="str">
        <f>IF($E2083="","",IF(INDEX(资金日记账!$W$4:$W$603,587)="","记-"&amp;TEXT($B2083,"YYYYMM")&amp;"-资金",INDEX(资金日记账!$W$4:$W$603,587)))</f>
        <v/>
      </c>
      <c r="D2083" s="32" t="str">
        <f>IF($E2083="","",INDEX(资金日记账!$D$4:$D$603,587))</f>
        <v/>
      </c>
      <c r="E2083" s="26" t="str">
        <f>IF(INDEX(资金日记账!$N$4:$S$603,587,4)=0,"",INDEX(资金日记账!$N$4:$S$603,587,4))</f>
        <v/>
      </c>
      <c r="F2083" s="25" t="str">
        <f>IF($E2083="","",IFERROR(INDEX(科目表!$A$4:$A$81,MATCH($E2083,科目表!$B$4:$B$81,0)),""))</f>
        <v/>
      </c>
      <c r="G2083" s="26" t="str">
        <f>IF($E2083="","",IFERROR(INDEX(科目表!$E$4:$E$81,MATCH($E2083,科目表!$B$4:$B$81,0)),""))</f>
        <v/>
      </c>
      <c r="H2083" s="27" t="str">
        <f>IF($E2083="","",N(INDEX(资金日记账!$N$4:$S$603,587,5)))</f>
        <v/>
      </c>
      <c r="I2083" s="27" t="str">
        <f>IF($E2083="","",N(INDEX(资金日记账!$N$4:$S$603,587,6)))</f>
        <v/>
      </c>
      <c r="J2083" s="26" t="str">
        <f>IF($E2083="","",INDEX(资金日记账!$E$4:$E$603,587))</f>
        <v/>
      </c>
      <c r="K2083" s="26" t="str">
        <f>IF($E2083="","",INDEX(资金日记账!$F$4:$F$603,587))</f>
        <v/>
      </c>
      <c r="L2083" s="32" t="str">
        <f>IF($E2083="","",INDEX(资金日记账!$X$4:$X$603,587))</f>
        <v/>
      </c>
      <c r="M2083" s="32"/>
      <c r="N2083" s="26" t="str">
        <f>IF($E2083="","",INDEX(资金日记账!$Y$4:$Y$603,587))</f>
        <v/>
      </c>
      <c r="O2083" s="26" t="str">
        <f t="shared" si="96"/>
        <v/>
      </c>
      <c r="P2083" s="10"/>
    </row>
    <row r="2084" ht="18" customHeight="1" spans="1:16">
      <c r="A2084" s="32" t="str">
        <f t="shared" si="95"/>
        <v/>
      </c>
      <c r="B2084" s="100" t="str">
        <f>IF($E2084="","",INDEX(资金日记账!$B$4:$B$603,588))</f>
        <v/>
      </c>
      <c r="C2084" s="26" t="str">
        <f>IF($E2084="","",IF(INDEX(资金日记账!$W$4:$W$603,588)="","记-"&amp;TEXT($B2084,"YYYYMM")&amp;"-资金",INDEX(资金日记账!$W$4:$W$603,588)))</f>
        <v/>
      </c>
      <c r="D2084" s="32" t="str">
        <f>IF($E2084="","",INDEX(资金日记账!$D$4:$D$603,588))</f>
        <v/>
      </c>
      <c r="E2084" s="26" t="str">
        <f>IF(INDEX(资金日记账!$N$4:$S$603,588,1)=0,"",INDEX(资金日记账!$N$4:$S$603,588,1))</f>
        <v/>
      </c>
      <c r="F2084" s="25" t="str">
        <f>IF($E2084="","",IFERROR(INDEX(科目表!$A$4:$A$81,MATCH($E2084,科目表!$B$4:$B$81,0)),""))</f>
        <v/>
      </c>
      <c r="G2084" s="26" t="str">
        <f>IF($E2084="","",IFERROR(INDEX(科目表!$E$4:$E$81,MATCH($E2084,科目表!$B$4:$B$81,0)),""))</f>
        <v/>
      </c>
      <c r="H2084" s="27" t="str">
        <f>IF($E2084="","",N(INDEX(资金日记账!$N$4:$S$603,588,2)))</f>
        <v/>
      </c>
      <c r="I2084" s="27" t="str">
        <f>IF($E2084="","",N(INDEX(资金日记账!$N$4:$S$603,588,3)))</f>
        <v/>
      </c>
      <c r="J2084" s="26" t="str">
        <f>IF($E2084="","",INDEX(资金日记账!$E$4:$E$603,588))</f>
        <v/>
      </c>
      <c r="K2084" s="26" t="str">
        <f>IF($E2084="","",INDEX(资金日记账!$F$4:$F$603,588))</f>
        <v/>
      </c>
      <c r="L2084" s="32" t="str">
        <f>IF($E2084="","",INDEX(资金日记账!$X$4:$X$603,588))</f>
        <v/>
      </c>
      <c r="M2084" s="32"/>
      <c r="N2084" s="26" t="str">
        <f>IF($E2084="","",INDEX(资金日记账!$Y$4:$Y$603,588))</f>
        <v/>
      </c>
      <c r="O2084" s="26" t="str">
        <f t="shared" si="96"/>
        <v/>
      </c>
      <c r="P2084" s="10"/>
    </row>
    <row r="2085" ht="18" customHeight="1" spans="1:16">
      <c r="A2085" s="32" t="str">
        <f t="shared" si="95"/>
        <v/>
      </c>
      <c r="B2085" s="100" t="str">
        <f>IF($E2085="","",INDEX(资金日记账!$B$4:$B$603,588))</f>
        <v/>
      </c>
      <c r="C2085" s="26" t="str">
        <f>IF($E2085="","",IF(INDEX(资金日记账!$W$4:$W$603,588)="","记-"&amp;TEXT($B2085,"YYYYMM")&amp;"-资金",INDEX(资金日记账!$W$4:$W$603,588)))</f>
        <v/>
      </c>
      <c r="D2085" s="32" t="str">
        <f>IF($E2085="","",INDEX(资金日记账!$D$4:$D$603,588))</f>
        <v/>
      </c>
      <c r="E2085" s="26" t="str">
        <f>IF(INDEX(资金日记账!$N$4:$S$603,588,4)=0,"",INDEX(资金日记账!$N$4:$S$603,588,4))</f>
        <v/>
      </c>
      <c r="F2085" s="25" t="str">
        <f>IF($E2085="","",IFERROR(INDEX(科目表!$A$4:$A$81,MATCH($E2085,科目表!$B$4:$B$81,0)),""))</f>
        <v/>
      </c>
      <c r="G2085" s="26" t="str">
        <f>IF($E2085="","",IFERROR(INDEX(科目表!$E$4:$E$81,MATCH($E2085,科目表!$B$4:$B$81,0)),""))</f>
        <v/>
      </c>
      <c r="H2085" s="27" t="str">
        <f>IF($E2085="","",N(INDEX(资金日记账!$N$4:$S$603,588,5)))</f>
        <v/>
      </c>
      <c r="I2085" s="27" t="str">
        <f>IF($E2085="","",N(INDEX(资金日记账!$N$4:$S$603,588,6)))</f>
        <v/>
      </c>
      <c r="J2085" s="26" t="str">
        <f>IF($E2085="","",INDEX(资金日记账!$E$4:$E$603,588))</f>
        <v/>
      </c>
      <c r="K2085" s="26" t="str">
        <f>IF($E2085="","",INDEX(资金日记账!$F$4:$F$603,588))</f>
        <v/>
      </c>
      <c r="L2085" s="32" t="str">
        <f>IF($E2085="","",INDEX(资金日记账!$X$4:$X$603,588))</f>
        <v/>
      </c>
      <c r="M2085" s="32"/>
      <c r="N2085" s="26" t="str">
        <f>IF($E2085="","",INDEX(资金日记账!$Y$4:$Y$603,588))</f>
        <v/>
      </c>
      <c r="O2085" s="26" t="str">
        <f t="shared" si="96"/>
        <v/>
      </c>
      <c r="P2085" s="10"/>
    </row>
    <row r="2086" ht="18" customHeight="1" spans="1:16">
      <c r="A2086" s="32" t="str">
        <f t="shared" si="95"/>
        <v/>
      </c>
      <c r="B2086" s="100" t="str">
        <f>IF($E2086="","",INDEX(资金日记账!$B$4:$B$603,589))</f>
        <v/>
      </c>
      <c r="C2086" s="26" t="str">
        <f>IF($E2086="","",IF(INDEX(资金日记账!$W$4:$W$603,589)="","记-"&amp;TEXT($B2086,"YYYYMM")&amp;"-资金",INDEX(资金日记账!$W$4:$W$603,589)))</f>
        <v/>
      </c>
      <c r="D2086" s="32" t="str">
        <f>IF($E2086="","",INDEX(资金日记账!$D$4:$D$603,589))</f>
        <v/>
      </c>
      <c r="E2086" s="26" t="str">
        <f>IF(INDEX(资金日记账!$N$4:$S$603,589,1)=0,"",INDEX(资金日记账!$N$4:$S$603,589,1))</f>
        <v/>
      </c>
      <c r="F2086" s="25" t="str">
        <f>IF($E2086="","",IFERROR(INDEX(科目表!$A$4:$A$81,MATCH($E2086,科目表!$B$4:$B$81,0)),""))</f>
        <v/>
      </c>
      <c r="G2086" s="26" t="str">
        <f>IF($E2086="","",IFERROR(INDEX(科目表!$E$4:$E$81,MATCH($E2086,科目表!$B$4:$B$81,0)),""))</f>
        <v/>
      </c>
      <c r="H2086" s="27" t="str">
        <f>IF($E2086="","",N(INDEX(资金日记账!$N$4:$S$603,589,2)))</f>
        <v/>
      </c>
      <c r="I2086" s="27" t="str">
        <f>IF($E2086="","",N(INDEX(资金日记账!$N$4:$S$603,589,3)))</f>
        <v/>
      </c>
      <c r="J2086" s="26" t="str">
        <f>IF($E2086="","",INDEX(资金日记账!$E$4:$E$603,589))</f>
        <v/>
      </c>
      <c r="K2086" s="26" t="str">
        <f>IF($E2086="","",INDEX(资金日记账!$F$4:$F$603,589))</f>
        <v/>
      </c>
      <c r="L2086" s="32" t="str">
        <f>IF($E2086="","",INDEX(资金日记账!$X$4:$X$603,589))</f>
        <v/>
      </c>
      <c r="M2086" s="32"/>
      <c r="N2086" s="26" t="str">
        <f>IF($E2086="","",INDEX(资金日记账!$Y$4:$Y$603,589))</f>
        <v/>
      </c>
      <c r="O2086" s="26" t="str">
        <f t="shared" si="96"/>
        <v/>
      </c>
      <c r="P2086" s="10"/>
    </row>
    <row r="2087" ht="18" customHeight="1" spans="1:16">
      <c r="A2087" s="32" t="str">
        <f t="shared" si="95"/>
        <v/>
      </c>
      <c r="B2087" s="100" t="str">
        <f>IF($E2087="","",INDEX(资金日记账!$B$4:$B$603,589))</f>
        <v/>
      </c>
      <c r="C2087" s="26" t="str">
        <f>IF($E2087="","",IF(INDEX(资金日记账!$W$4:$W$603,589)="","记-"&amp;TEXT($B2087,"YYYYMM")&amp;"-资金",INDEX(资金日记账!$W$4:$W$603,589)))</f>
        <v/>
      </c>
      <c r="D2087" s="32" t="str">
        <f>IF($E2087="","",INDEX(资金日记账!$D$4:$D$603,589))</f>
        <v/>
      </c>
      <c r="E2087" s="26" t="str">
        <f>IF(INDEX(资金日记账!$N$4:$S$603,589,4)=0,"",INDEX(资金日记账!$N$4:$S$603,589,4))</f>
        <v/>
      </c>
      <c r="F2087" s="25" t="str">
        <f>IF($E2087="","",IFERROR(INDEX(科目表!$A$4:$A$81,MATCH($E2087,科目表!$B$4:$B$81,0)),""))</f>
        <v/>
      </c>
      <c r="G2087" s="26" t="str">
        <f>IF($E2087="","",IFERROR(INDEX(科目表!$E$4:$E$81,MATCH($E2087,科目表!$B$4:$B$81,0)),""))</f>
        <v/>
      </c>
      <c r="H2087" s="27" t="str">
        <f>IF($E2087="","",N(INDEX(资金日记账!$N$4:$S$603,589,5)))</f>
        <v/>
      </c>
      <c r="I2087" s="27" t="str">
        <f>IF($E2087="","",N(INDEX(资金日记账!$N$4:$S$603,589,6)))</f>
        <v/>
      </c>
      <c r="J2087" s="26" t="str">
        <f>IF($E2087="","",INDEX(资金日记账!$E$4:$E$603,589))</f>
        <v/>
      </c>
      <c r="K2087" s="26" t="str">
        <f>IF($E2087="","",INDEX(资金日记账!$F$4:$F$603,589))</f>
        <v/>
      </c>
      <c r="L2087" s="32" t="str">
        <f>IF($E2087="","",INDEX(资金日记账!$X$4:$X$603,589))</f>
        <v/>
      </c>
      <c r="M2087" s="32"/>
      <c r="N2087" s="26" t="str">
        <f>IF($E2087="","",INDEX(资金日记账!$Y$4:$Y$603,589))</f>
        <v/>
      </c>
      <c r="O2087" s="26" t="str">
        <f t="shared" si="96"/>
        <v/>
      </c>
      <c r="P2087" s="10"/>
    </row>
    <row r="2088" ht="18" customHeight="1" spans="1:16">
      <c r="A2088" s="32" t="str">
        <f t="shared" si="95"/>
        <v/>
      </c>
      <c r="B2088" s="100" t="str">
        <f>IF($E2088="","",INDEX(资金日记账!$B$4:$B$603,590))</f>
        <v/>
      </c>
      <c r="C2088" s="26" t="str">
        <f>IF($E2088="","",IF(INDEX(资金日记账!$W$4:$W$603,590)="","记-"&amp;TEXT($B2088,"YYYYMM")&amp;"-资金",INDEX(资金日记账!$W$4:$W$603,590)))</f>
        <v/>
      </c>
      <c r="D2088" s="32" t="str">
        <f>IF($E2088="","",INDEX(资金日记账!$D$4:$D$603,590))</f>
        <v/>
      </c>
      <c r="E2088" s="26" t="str">
        <f>IF(INDEX(资金日记账!$N$4:$S$603,590,1)=0,"",INDEX(资金日记账!$N$4:$S$603,590,1))</f>
        <v/>
      </c>
      <c r="F2088" s="25" t="str">
        <f>IF($E2088="","",IFERROR(INDEX(科目表!$A$4:$A$81,MATCH($E2088,科目表!$B$4:$B$81,0)),""))</f>
        <v/>
      </c>
      <c r="G2088" s="26" t="str">
        <f>IF($E2088="","",IFERROR(INDEX(科目表!$E$4:$E$81,MATCH($E2088,科目表!$B$4:$B$81,0)),""))</f>
        <v/>
      </c>
      <c r="H2088" s="27" t="str">
        <f>IF($E2088="","",N(INDEX(资金日记账!$N$4:$S$603,590,2)))</f>
        <v/>
      </c>
      <c r="I2088" s="27" t="str">
        <f>IF($E2088="","",N(INDEX(资金日记账!$N$4:$S$603,590,3)))</f>
        <v/>
      </c>
      <c r="J2088" s="26" t="str">
        <f>IF($E2088="","",INDEX(资金日记账!$E$4:$E$603,590))</f>
        <v/>
      </c>
      <c r="K2088" s="26" t="str">
        <f>IF($E2088="","",INDEX(资金日记账!$F$4:$F$603,590))</f>
        <v/>
      </c>
      <c r="L2088" s="32" t="str">
        <f>IF($E2088="","",INDEX(资金日记账!$X$4:$X$603,590))</f>
        <v/>
      </c>
      <c r="M2088" s="32"/>
      <c r="N2088" s="26" t="str">
        <f>IF($E2088="","",INDEX(资金日记账!$Y$4:$Y$603,590))</f>
        <v/>
      </c>
      <c r="O2088" s="26" t="str">
        <f t="shared" si="96"/>
        <v/>
      </c>
      <c r="P2088" s="10"/>
    </row>
    <row r="2089" ht="18" customHeight="1" spans="1:16">
      <c r="A2089" s="32" t="str">
        <f t="shared" si="95"/>
        <v/>
      </c>
      <c r="B2089" s="100" t="str">
        <f>IF($E2089="","",INDEX(资金日记账!$B$4:$B$603,590))</f>
        <v/>
      </c>
      <c r="C2089" s="26" t="str">
        <f>IF($E2089="","",IF(INDEX(资金日记账!$W$4:$W$603,590)="","记-"&amp;TEXT($B2089,"YYYYMM")&amp;"-资金",INDEX(资金日记账!$W$4:$W$603,590)))</f>
        <v/>
      </c>
      <c r="D2089" s="32" t="str">
        <f>IF($E2089="","",INDEX(资金日记账!$D$4:$D$603,590))</f>
        <v/>
      </c>
      <c r="E2089" s="26" t="str">
        <f>IF(INDEX(资金日记账!$N$4:$S$603,590,4)=0,"",INDEX(资金日记账!$N$4:$S$603,590,4))</f>
        <v/>
      </c>
      <c r="F2089" s="25" t="str">
        <f>IF($E2089="","",IFERROR(INDEX(科目表!$A$4:$A$81,MATCH($E2089,科目表!$B$4:$B$81,0)),""))</f>
        <v/>
      </c>
      <c r="G2089" s="26" t="str">
        <f>IF($E2089="","",IFERROR(INDEX(科目表!$E$4:$E$81,MATCH($E2089,科目表!$B$4:$B$81,0)),""))</f>
        <v/>
      </c>
      <c r="H2089" s="27" t="str">
        <f>IF($E2089="","",N(INDEX(资金日记账!$N$4:$S$603,590,5)))</f>
        <v/>
      </c>
      <c r="I2089" s="27" t="str">
        <f>IF($E2089="","",N(INDEX(资金日记账!$N$4:$S$603,590,6)))</f>
        <v/>
      </c>
      <c r="J2089" s="26" t="str">
        <f>IF($E2089="","",INDEX(资金日记账!$E$4:$E$603,590))</f>
        <v/>
      </c>
      <c r="K2089" s="26" t="str">
        <f>IF($E2089="","",INDEX(资金日记账!$F$4:$F$603,590))</f>
        <v/>
      </c>
      <c r="L2089" s="32" t="str">
        <f>IF($E2089="","",INDEX(资金日记账!$X$4:$X$603,590))</f>
        <v/>
      </c>
      <c r="M2089" s="32"/>
      <c r="N2089" s="26" t="str">
        <f>IF($E2089="","",INDEX(资金日记账!$Y$4:$Y$603,590))</f>
        <v/>
      </c>
      <c r="O2089" s="26" t="str">
        <f t="shared" si="96"/>
        <v/>
      </c>
      <c r="P2089" s="10"/>
    </row>
    <row r="2090" ht="18" customHeight="1" spans="1:16">
      <c r="A2090" s="32" t="str">
        <f t="shared" si="95"/>
        <v/>
      </c>
      <c r="B2090" s="100" t="str">
        <f>IF($E2090="","",INDEX(资金日记账!$B$4:$B$603,591))</f>
        <v/>
      </c>
      <c r="C2090" s="26" t="str">
        <f>IF($E2090="","",IF(INDEX(资金日记账!$W$4:$W$603,591)="","记-"&amp;TEXT($B2090,"YYYYMM")&amp;"-资金",INDEX(资金日记账!$W$4:$W$603,591)))</f>
        <v/>
      </c>
      <c r="D2090" s="32" t="str">
        <f>IF($E2090="","",INDEX(资金日记账!$D$4:$D$603,591))</f>
        <v/>
      </c>
      <c r="E2090" s="26" t="str">
        <f>IF(INDEX(资金日记账!$N$4:$S$603,591,1)=0,"",INDEX(资金日记账!$N$4:$S$603,591,1))</f>
        <v/>
      </c>
      <c r="F2090" s="25" t="str">
        <f>IF($E2090="","",IFERROR(INDEX(科目表!$A$4:$A$81,MATCH($E2090,科目表!$B$4:$B$81,0)),""))</f>
        <v/>
      </c>
      <c r="G2090" s="26" t="str">
        <f>IF($E2090="","",IFERROR(INDEX(科目表!$E$4:$E$81,MATCH($E2090,科目表!$B$4:$B$81,0)),""))</f>
        <v/>
      </c>
      <c r="H2090" s="27" t="str">
        <f>IF($E2090="","",N(INDEX(资金日记账!$N$4:$S$603,591,2)))</f>
        <v/>
      </c>
      <c r="I2090" s="27" t="str">
        <f>IF($E2090="","",N(INDEX(资金日记账!$N$4:$S$603,591,3)))</f>
        <v/>
      </c>
      <c r="J2090" s="26" t="str">
        <f>IF($E2090="","",INDEX(资金日记账!$E$4:$E$603,591))</f>
        <v/>
      </c>
      <c r="K2090" s="26" t="str">
        <f>IF($E2090="","",INDEX(资金日记账!$F$4:$F$603,591))</f>
        <v/>
      </c>
      <c r="L2090" s="32" t="str">
        <f>IF($E2090="","",INDEX(资金日记账!$X$4:$X$603,591))</f>
        <v/>
      </c>
      <c r="M2090" s="32"/>
      <c r="N2090" s="26" t="str">
        <f>IF($E2090="","",INDEX(资金日记账!$Y$4:$Y$603,591))</f>
        <v/>
      </c>
      <c r="O2090" s="26" t="str">
        <f t="shared" si="96"/>
        <v/>
      </c>
      <c r="P2090" s="10"/>
    </row>
    <row r="2091" ht="18" customHeight="1" spans="1:16">
      <c r="A2091" s="32" t="str">
        <f t="shared" si="95"/>
        <v/>
      </c>
      <c r="B2091" s="100" t="str">
        <f>IF($E2091="","",INDEX(资金日记账!$B$4:$B$603,591))</f>
        <v/>
      </c>
      <c r="C2091" s="26" t="str">
        <f>IF($E2091="","",IF(INDEX(资金日记账!$W$4:$W$603,591)="","记-"&amp;TEXT($B2091,"YYYYMM")&amp;"-资金",INDEX(资金日记账!$W$4:$W$603,591)))</f>
        <v/>
      </c>
      <c r="D2091" s="32" t="str">
        <f>IF($E2091="","",INDEX(资金日记账!$D$4:$D$603,591))</f>
        <v/>
      </c>
      <c r="E2091" s="26" t="str">
        <f>IF(INDEX(资金日记账!$N$4:$S$603,591,4)=0,"",INDEX(资金日记账!$N$4:$S$603,591,4))</f>
        <v/>
      </c>
      <c r="F2091" s="25" t="str">
        <f>IF($E2091="","",IFERROR(INDEX(科目表!$A$4:$A$81,MATCH($E2091,科目表!$B$4:$B$81,0)),""))</f>
        <v/>
      </c>
      <c r="G2091" s="26" t="str">
        <f>IF($E2091="","",IFERROR(INDEX(科目表!$E$4:$E$81,MATCH($E2091,科目表!$B$4:$B$81,0)),""))</f>
        <v/>
      </c>
      <c r="H2091" s="27" t="str">
        <f>IF($E2091="","",N(INDEX(资金日记账!$N$4:$S$603,591,5)))</f>
        <v/>
      </c>
      <c r="I2091" s="27" t="str">
        <f>IF($E2091="","",N(INDEX(资金日记账!$N$4:$S$603,591,6)))</f>
        <v/>
      </c>
      <c r="J2091" s="26" t="str">
        <f>IF($E2091="","",INDEX(资金日记账!$E$4:$E$603,591))</f>
        <v/>
      </c>
      <c r="K2091" s="26" t="str">
        <f>IF($E2091="","",INDEX(资金日记账!$F$4:$F$603,591))</f>
        <v/>
      </c>
      <c r="L2091" s="32" t="str">
        <f>IF($E2091="","",INDEX(资金日记账!$X$4:$X$603,591))</f>
        <v/>
      </c>
      <c r="M2091" s="32"/>
      <c r="N2091" s="26" t="str">
        <f>IF($E2091="","",INDEX(资金日记账!$Y$4:$Y$603,591))</f>
        <v/>
      </c>
      <c r="O2091" s="26" t="str">
        <f t="shared" si="96"/>
        <v/>
      </c>
      <c r="P2091" s="10"/>
    </row>
    <row r="2092" ht="18" customHeight="1" spans="1:16">
      <c r="A2092" s="32" t="str">
        <f t="shared" si="95"/>
        <v/>
      </c>
      <c r="B2092" s="100" t="str">
        <f>IF($E2092="","",INDEX(资金日记账!$B$4:$B$603,592))</f>
        <v/>
      </c>
      <c r="C2092" s="26" t="str">
        <f>IF($E2092="","",IF(INDEX(资金日记账!$W$4:$W$603,592)="","记-"&amp;TEXT($B2092,"YYYYMM")&amp;"-资金",INDEX(资金日记账!$W$4:$W$603,592)))</f>
        <v/>
      </c>
      <c r="D2092" s="32" t="str">
        <f>IF($E2092="","",INDEX(资金日记账!$D$4:$D$603,592))</f>
        <v/>
      </c>
      <c r="E2092" s="26" t="str">
        <f>IF(INDEX(资金日记账!$N$4:$S$603,592,1)=0,"",INDEX(资金日记账!$N$4:$S$603,592,1))</f>
        <v/>
      </c>
      <c r="F2092" s="25" t="str">
        <f>IF($E2092="","",IFERROR(INDEX(科目表!$A$4:$A$81,MATCH($E2092,科目表!$B$4:$B$81,0)),""))</f>
        <v/>
      </c>
      <c r="G2092" s="26" t="str">
        <f>IF($E2092="","",IFERROR(INDEX(科目表!$E$4:$E$81,MATCH($E2092,科目表!$B$4:$B$81,0)),""))</f>
        <v/>
      </c>
      <c r="H2092" s="27" t="str">
        <f>IF($E2092="","",N(INDEX(资金日记账!$N$4:$S$603,592,2)))</f>
        <v/>
      </c>
      <c r="I2092" s="27" t="str">
        <f>IF($E2092="","",N(INDEX(资金日记账!$N$4:$S$603,592,3)))</f>
        <v/>
      </c>
      <c r="J2092" s="26" t="str">
        <f>IF($E2092="","",INDEX(资金日记账!$E$4:$E$603,592))</f>
        <v/>
      </c>
      <c r="K2092" s="26" t="str">
        <f>IF($E2092="","",INDEX(资金日记账!$F$4:$F$603,592))</f>
        <v/>
      </c>
      <c r="L2092" s="32" t="str">
        <f>IF($E2092="","",INDEX(资金日记账!$X$4:$X$603,592))</f>
        <v/>
      </c>
      <c r="M2092" s="32"/>
      <c r="N2092" s="26" t="str">
        <f>IF($E2092="","",INDEX(资金日记账!$Y$4:$Y$603,592))</f>
        <v/>
      </c>
      <c r="O2092" s="26" t="str">
        <f t="shared" si="96"/>
        <v/>
      </c>
      <c r="P2092" s="10"/>
    </row>
    <row r="2093" ht="18" customHeight="1" spans="1:16">
      <c r="A2093" s="32" t="str">
        <f t="shared" si="95"/>
        <v/>
      </c>
      <c r="B2093" s="100" t="str">
        <f>IF($E2093="","",INDEX(资金日记账!$B$4:$B$603,592))</f>
        <v/>
      </c>
      <c r="C2093" s="26" t="str">
        <f>IF($E2093="","",IF(INDEX(资金日记账!$W$4:$W$603,592)="","记-"&amp;TEXT($B2093,"YYYYMM")&amp;"-资金",INDEX(资金日记账!$W$4:$W$603,592)))</f>
        <v/>
      </c>
      <c r="D2093" s="32" t="str">
        <f>IF($E2093="","",INDEX(资金日记账!$D$4:$D$603,592))</f>
        <v/>
      </c>
      <c r="E2093" s="26" t="str">
        <f>IF(INDEX(资金日记账!$N$4:$S$603,592,4)=0,"",INDEX(资金日记账!$N$4:$S$603,592,4))</f>
        <v/>
      </c>
      <c r="F2093" s="25" t="str">
        <f>IF($E2093="","",IFERROR(INDEX(科目表!$A$4:$A$81,MATCH($E2093,科目表!$B$4:$B$81,0)),""))</f>
        <v/>
      </c>
      <c r="G2093" s="26" t="str">
        <f>IF($E2093="","",IFERROR(INDEX(科目表!$E$4:$E$81,MATCH($E2093,科目表!$B$4:$B$81,0)),""))</f>
        <v/>
      </c>
      <c r="H2093" s="27" t="str">
        <f>IF($E2093="","",N(INDEX(资金日记账!$N$4:$S$603,592,5)))</f>
        <v/>
      </c>
      <c r="I2093" s="27" t="str">
        <f>IF($E2093="","",N(INDEX(资金日记账!$N$4:$S$603,592,6)))</f>
        <v/>
      </c>
      <c r="J2093" s="26" t="str">
        <f>IF($E2093="","",INDEX(资金日记账!$E$4:$E$603,592))</f>
        <v/>
      </c>
      <c r="K2093" s="26" t="str">
        <f>IF($E2093="","",INDEX(资金日记账!$F$4:$F$603,592))</f>
        <v/>
      </c>
      <c r="L2093" s="32" t="str">
        <f>IF($E2093="","",INDEX(资金日记账!$X$4:$X$603,592))</f>
        <v/>
      </c>
      <c r="M2093" s="32"/>
      <c r="N2093" s="26" t="str">
        <f>IF($E2093="","",INDEX(资金日记账!$Y$4:$Y$603,592))</f>
        <v/>
      </c>
      <c r="O2093" s="26" t="str">
        <f t="shared" si="96"/>
        <v/>
      </c>
      <c r="P2093" s="10"/>
    </row>
    <row r="2094" ht="18" customHeight="1" spans="1:16">
      <c r="A2094" s="32" t="str">
        <f t="shared" si="95"/>
        <v/>
      </c>
      <c r="B2094" s="100" t="str">
        <f>IF($E2094="","",INDEX(资金日记账!$B$4:$B$603,593))</f>
        <v/>
      </c>
      <c r="C2094" s="26" t="str">
        <f>IF($E2094="","",IF(INDEX(资金日记账!$W$4:$W$603,593)="","记-"&amp;TEXT($B2094,"YYYYMM")&amp;"-资金",INDEX(资金日记账!$W$4:$W$603,593)))</f>
        <v/>
      </c>
      <c r="D2094" s="32" t="str">
        <f>IF($E2094="","",INDEX(资金日记账!$D$4:$D$603,593))</f>
        <v/>
      </c>
      <c r="E2094" s="26" t="str">
        <f>IF(INDEX(资金日记账!$N$4:$S$603,593,1)=0,"",INDEX(资金日记账!$N$4:$S$603,593,1))</f>
        <v/>
      </c>
      <c r="F2094" s="25" t="str">
        <f>IF($E2094="","",IFERROR(INDEX(科目表!$A$4:$A$81,MATCH($E2094,科目表!$B$4:$B$81,0)),""))</f>
        <v/>
      </c>
      <c r="G2094" s="26" t="str">
        <f>IF($E2094="","",IFERROR(INDEX(科目表!$E$4:$E$81,MATCH($E2094,科目表!$B$4:$B$81,0)),""))</f>
        <v/>
      </c>
      <c r="H2094" s="27" t="str">
        <f>IF($E2094="","",N(INDEX(资金日记账!$N$4:$S$603,593,2)))</f>
        <v/>
      </c>
      <c r="I2094" s="27" t="str">
        <f>IF($E2094="","",N(INDEX(资金日记账!$N$4:$S$603,593,3)))</f>
        <v/>
      </c>
      <c r="J2094" s="26" t="str">
        <f>IF($E2094="","",INDEX(资金日记账!$E$4:$E$603,593))</f>
        <v/>
      </c>
      <c r="K2094" s="26" t="str">
        <f>IF($E2094="","",INDEX(资金日记账!$F$4:$F$603,593))</f>
        <v/>
      </c>
      <c r="L2094" s="32" t="str">
        <f>IF($E2094="","",INDEX(资金日记账!$X$4:$X$603,593))</f>
        <v/>
      </c>
      <c r="M2094" s="32"/>
      <c r="N2094" s="26" t="str">
        <f>IF($E2094="","",INDEX(资金日记账!$Y$4:$Y$603,593))</f>
        <v/>
      </c>
      <c r="O2094" s="26" t="str">
        <f t="shared" si="96"/>
        <v/>
      </c>
      <c r="P2094" s="10"/>
    </row>
    <row r="2095" ht="18" customHeight="1" spans="1:16">
      <c r="A2095" s="32" t="str">
        <f t="shared" si="95"/>
        <v/>
      </c>
      <c r="B2095" s="100" t="str">
        <f>IF($E2095="","",INDEX(资金日记账!$B$4:$B$603,593))</f>
        <v/>
      </c>
      <c r="C2095" s="26" t="str">
        <f>IF($E2095="","",IF(INDEX(资金日记账!$W$4:$W$603,593)="","记-"&amp;TEXT($B2095,"YYYYMM")&amp;"-资金",INDEX(资金日记账!$W$4:$W$603,593)))</f>
        <v/>
      </c>
      <c r="D2095" s="32" t="str">
        <f>IF($E2095="","",INDEX(资金日记账!$D$4:$D$603,593))</f>
        <v/>
      </c>
      <c r="E2095" s="26" t="str">
        <f>IF(INDEX(资金日记账!$N$4:$S$603,593,4)=0,"",INDEX(资金日记账!$N$4:$S$603,593,4))</f>
        <v/>
      </c>
      <c r="F2095" s="25" t="str">
        <f>IF($E2095="","",IFERROR(INDEX(科目表!$A$4:$A$81,MATCH($E2095,科目表!$B$4:$B$81,0)),""))</f>
        <v/>
      </c>
      <c r="G2095" s="26" t="str">
        <f>IF($E2095="","",IFERROR(INDEX(科目表!$E$4:$E$81,MATCH($E2095,科目表!$B$4:$B$81,0)),""))</f>
        <v/>
      </c>
      <c r="H2095" s="27" t="str">
        <f>IF($E2095="","",N(INDEX(资金日记账!$N$4:$S$603,593,5)))</f>
        <v/>
      </c>
      <c r="I2095" s="27" t="str">
        <f>IF($E2095="","",N(INDEX(资金日记账!$N$4:$S$603,593,6)))</f>
        <v/>
      </c>
      <c r="J2095" s="26" t="str">
        <f>IF($E2095="","",INDEX(资金日记账!$E$4:$E$603,593))</f>
        <v/>
      </c>
      <c r="K2095" s="26" t="str">
        <f>IF($E2095="","",INDEX(资金日记账!$F$4:$F$603,593))</f>
        <v/>
      </c>
      <c r="L2095" s="32" t="str">
        <f>IF($E2095="","",INDEX(资金日记账!$X$4:$X$603,593))</f>
        <v/>
      </c>
      <c r="M2095" s="32"/>
      <c r="N2095" s="26" t="str">
        <f>IF($E2095="","",INDEX(资金日记账!$Y$4:$Y$603,593))</f>
        <v/>
      </c>
      <c r="O2095" s="26" t="str">
        <f t="shared" si="96"/>
        <v/>
      </c>
      <c r="P2095" s="10"/>
    </row>
    <row r="2096" ht="18" customHeight="1" spans="1:16">
      <c r="A2096" s="32" t="str">
        <f t="shared" si="95"/>
        <v/>
      </c>
      <c r="B2096" s="100" t="str">
        <f>IF($E2096="","",INDEX(资金日记账!$B$4:$B$603,594))</f>
        <v/>
      </c>
      <c r="C2096" s="26" t="str">
        <f>IF($E2096="","",IF(INDEX(资金日记账!$W$4:$W$603,594)="","记-"&amp;TEXT($B2096,"YYYYMM")&amp;"-资金",INDEX(资金日记账!$W$4:$W$603,594)))</f>
        <v/>
      </c>
      <c r="D2096" s="32" t="str">
        <f>IF($E2096="","",INDEX(资金日记账!$D$4:$D$603,594))</f>
        <v/>
      </c>
      <c r="E2096" s="26" t="str">
        <f>IF(INDEX(资金日记账!$N$4:$S$603,594,1)=0,"",INDEX(资金日记账!$N$4:$S$603,594,1))</f>
        <v/>
      </c>
      <c r="F2096" s="25" t="str">
        <f>IF($E2096="","",IFERROR(INDEX(科目表!$A$4:$A$81,MATCH($E2096,科目表!$B$4:$B$81,0)),""))</f>
        <v/>
      </c>
      <c r="G2096" s="26" t="str">
        <f>IF($E2096="","",IFERROR(INDEX(科目表!$E$4:$E$81,MATCH($E2096,科目表!$B$4:$B$81,0)),""))</f>
        <v/>
      </c>
      <c r="H2096" s="27" t="str">
        <f>IF($E2096="","",N(INDEX(资金日记账!$N$4:$S$603,594,2)))</f>
        <v/>
      </c>
      <c r="I2096" s="27" t="str">
        <f>IF($E2096="","",N(INDEX(资金日记账!$N$4:$S$603,594,3)))</f>
        <v/>
      </c>
      <c r="J2096" s="26" t="str">
        <f>IF($E2096="","",INDEX(资金日记账!$E$4:$E$603,594))</f>
        <v/>
      </c>
      <c r="K2096" s="26" t="str">
        <f>IF($E2096="","",INDEX(资金日记账!$F$4:$F$603,594))</f>
        <v/>
      </c>
      <c r="L2096" s="32" t="str">
        <f>IF($E2096="","",INDEX(资金日记账!$X$4:$X$603,594))</f>
        <v/>
      </c>
      <c r="M2096" s="32"/>
      <c r="N2096" s="26" t="str">
        <f>IF($E2096="","",INDEX(资金日记账!$Y$4:$Y$603,594))</f>
        <v/>
      </c>
      <c r="O2096" s="26" t="str">
        <f t="shared" si="96"/>
        <v/>
      </c>
      <c r="P2096" s="10"/>
    </row>
    <row r="2097" ht="18" customHeight="1" spans="1:16">
      <c r="A2097" s="32" t="str">
        <f t="shared" si="95"/>
        <v/>
      </c>
      <c r="B2097" s="100" t="str">
        <f>IF($E2097="","",INDEX(资金日记账!$B$4:$B$603,594))</f>
        <v/>
      </c>
      <c r="C2097" s="26" t="str">
        <f>IF($E2097="","",IF(INDEX(资金日记账!$W$4:$W$603,594)="","记-"&amp;TEXT($B2097,"YYYYMM")&amp;"-资金",INDEX(资金日记账!$W$4:$W$603,594)))</f>
        <v/>
      </c>
      <c r="D2097" s="32" t="str">
        <f>IF($E2097="","",INDEX(资金日记账!$D$4:$D$603,594))</f>
        <v/>
      </c>
      <c r="E2097" s="26" t="str">
        <f>IF(INDEX(资金日记账!$N$4:$S$603,594,4)=0,"",INDEX(资金日记账!$N$4:$S$603,594,4))</f>
        <v/>
      </c>
      <c r="F2097" s="25" t="str">
        <f>IF($E2097="","",IFERROR(INDEX(科目表!$A$4:$A$81,MATCH($E2097,科目表!$B$4:$B$81,0)),""))</f>
        <v/>
      </c>
      <c r="G2097" s="26" t="str">
        <f>IF($E2097="","",IFERROR(INDEX(科目表!$E$4:$E$81,MATCH($E2097,科目表!$B$4:$B$81,0)),""))</f>
        <v/>
      </c>
      <c r="H2097" s="27" t="str">
        <f>IF($E2097="","",N(INDEX(资金日记账!$N$4:$S$603,594,5)))</f>
        <v/>
      </c>
      <c r="I2097" s="27" t="str">
        <f>IF($E2097="","",N(INDEX(资金日记账!$N$4:$S$603,594,6)))</f>
        <v/>
      </c>
      <c r="J2097" s="26" t="str">
        <f>IF($E2097="","",INDEX(资金日记账!$E$4:$E$603,594))</f>
        <v/>
      </c>
      <c r="K2097" s="26" t="str">
        <f>IF($E2097="","",INDEX(资金日记账!$F$4:$F$603,594))</f>
        <v/>
      </c>
      <c r="L2097" s="32" t="str">
        <f>IF($E2097="","",INDEX(资金日记账!$X$4:$X$603,594))</f>
        <v/>
      </c>
      <c r="M2097" s="32"/>
      <c r="N2097" s="26" t="str">
        <f>IF($E2097="","",INDEX(资金日记账!$Y$4:$Y$603,594))</f>
        <v/>
      </c>
      <c r="O2097" s="26" t="str">
        <f t="shared" si="96"/>
        <v/>
      </c>
      <c r="P2097" s="10"/>
    </row>
    <row r="2098" ht="18" customHeight="1" spans="1:16">
      <c r="A2098" s="32" t="str">
        <f t="shared" si="95"/>
        <v/>
      </c>
      <c r="B2098" s="100" t="str">
        <f>IF($E2098="","",INDEX(资金日记账!$B$4:$B$603,595))</f>
        <v/>
      </c>
      <c r="C2098" s="26" t="str">
        <f>IF($E2098="","",IF(INDEX(资金日记账!$W$4:$W$603,595)="","记-"&amp;TEXT($B2098,"YYYYMM")&amp;"-资金",INDEX(资金日记账!$W$4:$W$603,595)))</f>
        <v/>
      </c>
      <c r="D2098" s="32" t="str">
        <f>IF($E2098="","",INDEX(资金日记账!$D$4:$D$603,595))</f>
        <v/>
      </c>
      <c r="E2098" s="26" t="str">
        <f>IF(INDEX(资金日记账!$N$4:$S$603,595,1)=0,"",INDEX(资金日记账!$N$4:$S$603,595,1))</f>
        <v/>
      </c>
      <c r="F2098" s="25" t="str">
        <f>IF($E2098="","",IFERROR(INDEX(科目表!$A$4:$A$81,MATCH($E2098,科目表!$B$4:$B$81,0)),""))</f>
        <v/>
      </c>
      <c r="G2098" s="26" t="str">
        <f>IF($E2098="","",IFERROR(INDEX(科目表!$E$4:$E$81,MATCH($E2098,科目表!$B$4:$B$81,0)),""))</f>
        <v/>
      </c>
      <c r="H2098" s="27" t="str">
        <f>IF($E2098="","",N(INDEX(资金日记账!$N$4:$S$603,595,2)))</f>
        <v/>
      </c>
      <c r="I2098" s="27" t="str">
        <f>IF($E2098="","",N(INDEX(资金日记账!$N$4:$S$603,595,3)))</f>
        <v/>
      </c>
      <c r="J2098" s="26" t="str">
        <f>IF($E2098="","",INDEX(资金日记账!$E$4:$E$603,595))</f>
        <v/>
      </c>
      <c r="K2098" s="26" t="str">
        <f>IF($E2098="","",INDEX(资金日记账!$F$4:$F$603,595))</f>
        <v/>
      </c>
      <c r="L2098" s="32" t="str">
        <f>IF($E2098="","",INDEX(资金日记账!$X$4:$X$603,595))</f>
        <v/>
      </c>
      <c r="M2098" s="32"/>
      <c r="N2098" s="26" t="str">
        <f>IF($E2098="","",INDEX(资金日记账!$Y$4:$Y$603,595))</f>
        <v/>
      </c>
      <c r="O2098" s="26" t="str">
        <f t="shared" si="96"/>
        <v/>
      </c>
      <c r="P2098" s="10"/>
    </row>
    <row r="2099" ht="18" customHeight="1" spans="1:16">
      <c r="A2099" s="32" t="str">
        <f t="shared" si="95"/>
        <v/>
      </c>
      <c r="B2099" s="100" t="str">
        <f>IF($E2099="","",INDEX(资金日记账!$B$4:$B$603,595))</f>
        <v/>
      </c>
      <c r="C2099" s="26" t="str">
        <f>IF($E2099="","",IF(INDEX(资金日记账!$W$4:$W$603,595)="","记-"&amp;TEXT($B2099,"YYYYMM")&amp;"-资金",INDEX(资金日记账!$W$4:$W$603,595)))</f>
        <v/>
      </c>
      <c r="D2099" s="32" t="str">
        <f>IF($E2099="","",INDEX(资金日记账!$D$4:$D$603,595))</f>
        <v/>
      </c>
      <c r="E2099" s="26" t="str">
        <f>IF(INDEX(资金日记账!$N$4:$S$603,595,4)=0,"",INDEX(资金日记账!$N$4:$S$603,595,4))</f>
        <v/>
      </c>
      <c r="F2099" s="25" t="str">
        <f>IF($E2099="","",IFERROR(INDEX(科目表!$A$4:$A$81,MATCH($E2099,科目表!$B$4:$B$81,0)),""))</f>
        <v/>
      </c>
      <c r="G2099" s="26" t="str">
        <f>IF($E2099="","",IFERROR(INDEX(科目表!$E$4:$E$81,MATCH($E2099,科目表!$B$4:$B$81,0)),""))</f>
        <v/>
      </c>
      <c r="H2099" s="27" t="str">
        <f>IF($E2099="","",N(INDEX(资金日记账!$N$4:$S$603,595,5)))</f>
        <v/>
      </c>
      <c r="I2099" s="27" t="str">
        <f>IF($E2099="","",N(INDEX(资金日记账!$N$4:$S$603,595,6)))</f>
        <v/>
      </c>
      <c r="J2099" s="26" t="str">
        <f>IF($E2099="","",INDEX(资金日记账!$E$4:$E$603,595))</f>
        <v/>
      </c>
      <c r="K2099" s="26" t="str">
        <f>IF($E2099="","",INDEX(资金日记账!$F$4:$F$603,595))</f>
        <v/>
      </c>
      <c r="L2099" s="32" t="str">
        <f>IF($E2099="","",INDEX(资金日记账!$X$4:$X$603,595))</f>
        <v/>
      </c>
      <c r="M2099" s="32"/>
      <c r="N2099" s="26" t="str">
        <f>IF($E2099="","",INDEX(资金日记账!$Y$4:$Y$603,595))</f>
        <v/>
      </c>
      <c r="O2099" s="26" t="str">
        <f t="shared" si="96"/>
        <v/>
      </c>
      <c r="P2099" s="10"/>
    </row>
    <row r="2100" ht="18" customHeight="1" spans="1:16">
      <c r="A2100" s="32" t="str">
        <f t="shared" si="95"/>
        <v/>
      </c>
      <c r="B2100" s="100" t="str">
        <f>IF($E2100="","",INDEX(资金日记账!$B$4:$B$603,596))</f>
        <v/>
      </c>
      <c r="C2100" s="26" t="str">
        <f>IF($E2100="","",IF(INDEX(资金日记账!$W$4:$W$603,596)="","记-"&amp;TEXT($B2100,"YYYYMM")&amp;"-资金",INDEX(资金日记账!$W$4:$W$603,596)))</f>
        <v/>
      </c>
      <c r="D2100" s="32" t="str">
        <f>IF($E2100="","",INDEX(资金日记账!$D$4:$D$603,596))</f>
        <v/>
      </c>
      <c r="E2100" s="26" t="str">
        <f>IF(INDEX(资金日记账!$N$4:$S$603,596,1)=0,"",INDEX(资金日记账!$N$4:$S$603,596,1))</f>
        <v/>
      </c>
      <c r="F2100" s="25" t="str">
        <f>IF($E2100="","",IFERROR(INDEX(科目表!$A$4:$A$81,MATCH($E2100,科目表!$B$4:$B$81,0)),""))</f>
        <v/>
      </c>
      <c r="G2100" s="26" t="str">
        <f>IF($E2100="","",IFERROR(INDEX(科目表!$E$4:$E$81,MATCH($E2100,科目表!$B$4:$B$81,0)),""))</f>
        <v/>
      </c>
      <c r="H2100" s="27" t="str">
        <f>IF($E2100="","",N(INDEX(资金日记账!$N$4:$S$603,596,2)))</f>
        <v/>
      </c>
      <c r="I2100" s="27" t="str">
        <f>IF($E2100="","",N(INDEX(资金日记账!$N$4:$S$603,596,3)))</f>
        <v/>
      </c>
      <c r="J2100" s="26" t="str">
        <f>IF($E2100="","",INDEX(资金日记账!$E$4:$E$603,596))</f>
        <v/>
      </c>
      <c r="K2100" s="26" t="str">
        <f>IF($E2100="","",INDEX(资金日记账!$F$4:$F$603,596))</f>
        <v/>
      </c>
      <c r="L2100" s="32" t="str">
        <f>IF($E2100="","",INDEX(资金日记账!$X$4:$X$603,596))</f>
        <v/>
      </c>
      <c r="M2100" s="32"/>
      <c r="N2100" s="26" t="str">
        <f>IF($E2100="","",INDEX(资金日记账!$Y$4:$Y$603,596))</f>
        <v/>
      </c>
      <c r="O2100" s="26" t="str">
        <f t="shared" si="96"/>
        <v/>
      </c>
      <c r="P2100" s="10"/>
    </row>
    <row r="2101" ht="18" customHeight="1" spans="1:16">
      <c r="A2101" s="32" t="str">
        <f t="shared" si="95"/>
        <v/>
      </c>
      <c r="B2101" s="100" t="str">
        <f>IF($E2101="","",INDEX(资金日记账!$B$4:$B$603,596))</f>
        <v/>
      </c>
      <c r="C2101" s="26" t="str">
        <f>IF($E2101="","",IF(INDEX(资金日记账!$W$4:$W$603,596)="","记-"&amp;TEXT($B2101,"YYYYMM")&amp;"-资金",INDEX(资金日记账!$W$4:$W$603,596)))</f>
        <v/>
      </c>
      <c r="D2101" s="32" t="str">
        <f>IF($E2101="","",INDEX(资金日记账!$D$4:$D$603,596))</f>
        <v/>
      </c>
      <c r="E2101" s="26" t="str">
        <f>IF(INDEX(资金日记账!$N$4:$S$603,596,4)=0,"",INDEX(资金日记账!$N$4:$S$603,596,4))</f>
        <v/>
      </c>
      <c r="F2101" s="25" t="str">
        <f>IF($E2101="","",IFERROR(INDEX(科目表!$A$4:$A$81,MATCH($E2101,科目表!$B$4:$B$81,0)),""))</f>
        <v/>
      </c>
      <c r="G2101" s="26" t="str">
        <f>IF($E2101="","",IFERROR(INDEX(科目表!$E$4:$E$81,MATCH($E2101,科目表!$B$4:$B$81,0)),""))</f>
        <v/>
      </c>
      <c r="H2101" s="27" t="str">
        <f>IF($E2101="","",N(INDEX(资金日记账!$N$4:$S$603,596,5)))</f>
        <v/>
      </c>
      <c r="I2101" s="27" t="str">
        <f>IF($E2101="","",N(INDEX(资金日记账!$N$4:$S$603,596,6)))</f>
        <v/>
      </c>
      <c r="J2101" s="26" t="str">
        <f>IF($E2101="","",INDEX(资金日记账!$E$4:$E$603,596))</f>
        <v/>
      </c>
      <c r="K2101" s="26" t="str">
        <f>IF($E2101="","",INDEX(资金日记账!$F$4:$F$603,596))</f>
        <v/>
      </c>
      <c r="L2101" s="32" t="str">
        <f>IF($E2101="","",INDEX(资金日记账!$X$4:$X$603,596))</f>
        <v/>
      </c>
      <c r="M2101" s="32"/>
      <c r="N2101" s="26" t="str">
        <f>IF($E2101="","",INDEX(资金日记账!$Y$4:$Y$603,596))</f>
        <v/>
      </c>
      <c r="O2101" s="26" t="str">
        <f t="shared" si="96"/>
        <v/>
      </c>
      <c r="P2101" s="10"/>
    </row>
    <row r="2102" ht="18" customHeight="1" spans="1:16">
      <c r="A2102" s="32" t="str">
        <f t="shared" si="95"/>
        <v/>
      </c>
      <c r="B2102" s="100" t="str">
        <f>IF($E2102="","",INDEX(资金日记账!$B$4:$B$603,597))</f>
        <v/>
      </c>
      <c r="C2102" s="26" t="str">
        <f>IF($E2102="","",IF(INDEX(资金日记账!$W$4:$W$603,597)="","记-"&amp;TEXT($B2102,"YYYYMM")&amp;"-资金",INDEX(资金日记账!$W$4:$W$603,597)))</f>
        <v/>
      </c>
      <c r="D2102" s="32" t="str">
        <f>IF($E2102="","",INDEX(资金日记账!$D$4:$D$603,597))</f>
        <v/>
      </c>
      <c r="E2102" s="26" t="str">
        <f>IF(INDEX(资金日记账!$N$4:$S$603,597,1)=0,"",INDEX(资金日记账!$N$4:$S$603,597,1))</f>
        <v/>
      </c>
      <c r="F2102" s="25" t="str">
        <f>IF($E2102="","",IFERROR(INDEX(科目表!$A$4:$A$81,MATCH($E2102,科目表!$B$4:$B$81,0)),""))</f>
        <v/>
      </c>
      <c r="G2102" s="26" t="str">
        <f>IF($E2102="","",IFERROR(INDEX(科目表!$E$4:$E$81,MATCH($E2102,科目表!$B$4:$B$81,0)),""))</f>
        <v/>
      </c>
      <c r="H2102" s="27" t="str">
        <f>IF($E2102="","",N(INDEX(资金日记账!$N$4:$S$603,597,2)))</f>
        <v/>
      </c>
      <c r="I2102" s="27" t="str">
        <f>IF($E2102="","",N(INDEX(资金日记账!$N$4:$S$603,597,3)))</f>
        <v/>
      </c>
      <c r="J2102" s="26" t="str">
        <f>IF($E2102="","",INDEX(资金日记账!$E$4:$E$603,597))</f>
        <v/>
      </c>
      <c r="K2102" s="26" t="str">
        <f>IF($E2102="","",INDEX(资金日记账!$F$4:$F$603,597))</f>
        <v/>
      </c>
      <c r="L2102" s="32" t="str">
        <f>IF($E2102="","",INDEX(资金日记账!$X$4:$X$603,597))</f>
        <v/>
      </c>
      <c r="M2102" s="32"/>
      <c r="N2102" s="26" t="str">
        <f>IF($E2102="","",INDEX(资金日记账!$Y$4:$Y$603,597))</f>
        <v/>
      </c>
      <c r="O2102" s="26" t="str">
        <f t="shared" si="96"/>
        <v/>
      </c>
      <c r="P2102" s="10"/>
    </row>
    <row r="2103" ht="18" customHeight="1" spans="1:16">
      <c r="A2103" s="32" t="str">
        <f t="shared" si="95"/>
        <v/>
      </c>
      <c r="B2103" s="100" t="str">
        <f>IF($E2103="","",INDEX(资金日记账!$B$4:$B$603,597))</f>
        <v/>
      </c>
      <c r="C2103" s="26" t="str">
        <f>IF($E2103="","",IF(INDEX(资金日记账!$W$4:$W$603,597)="","记-"&amp;TEXT($B2103,"YYYYMM")&amp;"-资金",INDEX(资金日记账!$W$4:$W$603,597)))</f>
        <v/>
      </c>
      <c r="D2103" s="32" t="str">
        <f>IF($E2103="","",INDEX(资金日记账!$D$4:$D$603,597))</f>
        <v/>
      </c>
      <c r="E2103" s="26" t="str">
        <f>IF(INDEX(资金日记账!$N$4:$S$603,597,4)=0,"",INDEX(资金日记账!$N$4:$S$603,597,4))</f>
        <v/>
      </c>
      <c r="F2103" s="25" t="str">
        <f>IF($E2103="","",IFERROR(INDEX(科目表!$A$4:$A$81,MATCH($E2103,科目表!$B$4:$B$81,0)),""))</f>
        <v/>
      </c>
      <c r="G2103" s="26" t="str">
        <f>IF($E2103="","",IFERROR(INDEX(科目表!$E$4:$E$81,MATCH($E2103,科目表!$B$4:$B$81,0)),""))</f>
        <v/>
      </c>
      <c r="H2103" s="27" t="str">
        <f>IF($E2103="","",N(INDEX(资金日记账!$N$4:$S$603,597,5)))</f>
        <v/>
      </c>
      <c r="I2103" s="27" t="str">
        <f>IF($E2103="","",N(INDEX(资金日记账!$N$4:$S$603,597,6)))</f>
        <v/>
      </c>
      <c r="J2103" s="26" t="str">
        <f>IF($E2103="","",INDEX(资金日记账!$E$4:$E$603,597))</f>
        <v/>
      </c>
      <c r="K2103" s="26" t="str">
        <f>IF($E2103="","",INDEX(资金日记账!$F$4:$F$603,597))</f>
        <v/>
      </c>
      <c r="L2103" s="32" t="str">
        <f>IF($E2103="","",INDEX(资金日记账!$X$4:$X$603,597))</f>
        <v/>
      </c>
      <c r="M2103" s="32"/>
      <c r="N2103" s="26" t="str">
        <f>IF($E2103="","",INDEX(资金日记账!$Y$4:$Y$603,597))</f>
        <v/>
      </c>
      <c r="O2103" s="26" t="str">
        <f t="shared" si="96"/>
        <v/>
      </c>
      <c r="P2103" s="10"/>
    </row>
    <row r="2104" ht="18" customHeight="1" spans="1:16">
      <c r="A2104" s="32" t="str">
        <f t="shared" si="95"/>
        <v/>
      </c>
      <c r="B2104" s="100" t="str">
        <f>IF($E2104="","",INDEX(资金日记账!$B$4:$B$603,598))</f>
        <v/>
      </c>
      <c r="C2104" s="26" t="str">
        <f>IF($E2104="","",IF(INDEX(资金日记账!$W$4:$W$603,598)="","记-"&amp;TEXT($B2104,"YYYYMM")&amp;"-资金",INDEX(资金日记账!$W$4:$W$603,598)))</f>
        <v/>
      </c>
      <c r="D2104" s="32" t="str">
        <f>IF($E2104="","",INDEX(资金日记账!$D$4:$D$603,598))</f>
        <v/>
      </c>
      <c r="E2104" s="26" t="str">
        <f>IF(INDEX(资金日记账!$N$4:$S$603,598,1)=0,"",INDEX(资金日记账!$N$4:$S$603,598,1))</f>
        <v/>
      </c>
      <c r="F2104" s="25" t="str">
        <f>IF($E2104="","",IFERROR(INDEX(科目表!$A$4:$A$81,MATCH($E2104,科目表!$B$4:$B$81,0)),""))</f>
        <v/>
      </c>
      <c r="G2104" s="26" t="str">
        <f>IF($E2104="","",IFERROR(INDEX(科目表!$E$4:$E$81,MATCH($E2104,科目表!$B$4:$B$81,0)),""))</f>
        <v/>
      </c>
      <c r="H2104" s="27" t="str">
        <f>IF($E2104="","",N(INDEX(资金日记账!$N$4:$S$603,598,2)))</f>
        <v/>
      </c>
      <c r="I2104" s="27" t="str">
        <f>IF($E2104="","",N(INDEX(资金日记账!$N$4:$S$603,598,3)))</f>
        <v/>
      </c>
      <c r="J2104" s="26" t="str">
        <f>IF($E2104="","",INDEX(资金日记账!$E$4:$E$603,598))</f>
        <v/>
      </c>
      <c r="K2104" s="26" t="str">
        <f>IF($E2104="","",INDEX(资金日记账!$F$4:$F$603,598))</f>
        <v/>
      </c>
      <c r="L2104" s="32" t="str">
        <f>IF($E2104="","",INDEX(资金日记账!$X$4:$X$603,598))</f>
        <v/>
      </c>
      <c r="M2104" s="32"/>
      <c r="N2104" s="26" t="str">
        <f>IF($E2104="","",INDEX(资金日记账!$Y$4:$Y$603,598))</f>
        <v/>
      </c>
      <c r="O2104" s="26" t="str">
        <f t="shared" si="96"/>
        <v/>
      </c>
      <c r="P2104" s="10"/>
    </row>
    <row r="2105" ht="18" customHeight="1" spans="1:16">
      <c r="A2105" s="32" t="str">
        <f t="shared" si="95"/>
        <v/>
      </c>
      <c r="B2105" s="100" t="str">
        <f>IF($E2105="","",INDEX(资金日记账!$B$4:$B$603,598))</f>
        <v/>
      </c>
      <c r="C2105" s="26" t="str">
        <f>IF($E2105="","",IF(INDEX(资金日记账!$W$4:$W$603,598)="","记-"&amp;TEXT($B2105,"YYYYMM")&amp;"-资金",INDEX(资金日记账!$W$4:$W$603,598)))</f>
        <v/>
      </c>
      <c r="D2105" s="32" t="str">
        <f>IF($E2105="","",INDEX(资金日记账!$D$4:$D$603,598))</f>
        <v/>
      </c>
      <c r="E2105" s="26" t="str">
        <f>IF(INDEX(资金日记账!$N$4:$S$603,598,4)=0,"",INDEX(资金日记账!$N$4:$S$603,598,4))</f>
        <v/>
      </c>
      <c r="F2105" s="25" t="str">
        <f>IF($E2105="","",IFERROR(INDEX(科目表!$A$4:$A$81,MATCH($E2105,科目表!$B$4:$B$81,0)),""))</f>
        <v/>
      </c>
      <c r="G2105" s="26" t="str">
        <f>IF($E2105="","",IFERROR(INDEX(科目表!$E$4:$E$81,MATCH($E2105,科目表!$B$4:$B$81,0)),""))</f>
        <v/>
      </c>
      <c r="H2105" s="27" t="str">
        <f>IF($E2105="","",N(INDEX(资金日记账!$N$4:$S$603,598,5)))</f>
        <v/>
      </c>
      <c r="I2105" s="27" t="str">
        <f>IF($E2105="","",N(INDEX(资金日记账!$N$4:$S$603,598,6)))</f>
        <v/>
      </c>
      <c r="J2105" s="26" t="str">
        <f>IF($E2105="","",INDEX(资金日记账!$E$4:$E$603,598))</f>
        <v/>
      </c>
      <c r="K2105" s="26" t="str">
        <f>IF($E2105="","",INDEX(资金日记账!$F$4:$F$603,598))</f>
        <v/>
      </c>
      <c r="L2105" s="32" t="str">
        <f>IF($E2105="","",INDEX(资金日记账!$X$4:$X$603,598))</f>
        <v/>
      </c>
      <c r="M2105" s="32"/>
      <c r="N2105" s="26" t="str">
        <f>IF($E2105="","",INDEX(资金日记账!$Y$4:$Y$603,598))</f>
        <v/>
      </c>
      <c r="O2105" s="26" t="str">
        <f t="shared" si="96"/>
        <v/>
      </c>
      <c r="P2105" s="10"/>
    </row>
    <row r="2106" ht="18" customHeight="1" spans="1:16">
      <c r="A2106" s="32" t="str">
        <f t="shared" si="95"/>
        <v/>
      </c>
      <c r="B2106" s="100" t="str">
        <f>IF($E2106="","",INDEX(资金日记账!$B$4:$B$603,599))</f>
        <v/>
      </c>
      <c r="C2106" s="26" t="str">
        <f>IF($E2106="","",IF(INDEX(资金日记账!$W$4:$W$603,599)="","记-"&amp;TEXT($B2106,"YYYYMM")&amp;"-资金",INDEX(资金日记账!$W$4:$W$603,599)))</f>
        <v/>
      </c>
      <c r="D2106" s="32" t="str">
        <f>IF($E2106="","",INDEX(资金日记账!$D$4:$D$603,599))</f>
        <v/>
      </c>
      <c r="E2106" s="26" t="str">
        <f>IF(INDEX(资金日记账!$N$4:$S$603,599,1)=0,"",INDEX(资金日记账!$N$4:$S$603,599,1))</f>
        <v/>
      </c>
      <c r="F2106" s="25" t="str">
        <f>IF($E2106="","",IFERROR(INDEX(科目表!$A$4:$A$81,MATCH($E2106,科目表!$B$4:$B$81,0)),""))</f>
        <v/>
      </c>
      <c r="G2106" s="26" t="str">
        <f>IF($E2106="","",IFERROR(INDEX(科目表!$E$4:$E$81,MATCH($E2106,科目表!$B$4:$B$81,0)),""))</f>
        <v/>
      </c>
      <c r="H2106" s="27" t="str">
        <f>IF($E2106="","",N(INDEX(资金日记账!$N$4:$S$603,599,2)))</f>
        <v/>
      </c>
      <c r="I2106" s="27" t="str">
        <f>IF($E2106="","",N(INDEX(资金日记账!$N$4:$S$603,599,3)))</f>
        <v/>
      </c>
      <c r="J2106" s="26" t="str">
        <f>IF($E2106="","",INDEX(资金日记账!$E$4:$E$603,599))</f>
        <v/>
      </c>
      <c r="K2106" s="26" t="str">
        <f>IF($E2106="","",INDEX(资金日记账!$F$4:$F$603,599))</f>
        <v/>
      </c>
      <c r="L2106" s="32" t="str">
        <f>IF($E2106="","",INDEX(资金日记账!$X$4:$X$603,599))</f>
        <v/>
      </c>
      <c r="M2106" s="32"/>
      <c r="N2106" s="26" t="str">
        <f>IF($E2106="","",INDEX(资金日记账!$Y$4:$Y$603,599))</f>
        <v/>
      </c>
      <c r="O2106" s="26" t="str">
        <f t="shared" si="96"/>
        <v/>
      </c>
      <c r="P2106" s="10"/>
    </row>
    <row r="2107" ht="18" customHeight="1" spans="1:16">
      <c r="A2107" s="32" t="str">
        <f t="shared" si="95"/>
        <v/>
      </c>
      <c r="B2107" s="100" t="str">
        <f>IF($E2107="","",INDEX(资金日记账!$B$4:$B$603,599))</f>
        <v/>
      </c>
      <c r="C2107" s="26" t="str">
        <f>IF($E2107="","",IF(INDEX(资金日记账!$W$4:$W$603,599)="","记-"&amp;TEXT($B2107,"YYYYMM")&amp;"-资金",INDEX(资金日记账!$W$4:$W$603,599)))</f>
        <v/>
      </c>
      <c r="D2107" s="32" t="str">
        <f>IF($E2107="","",INDEX(资金日记账!$D$4:$D$603,599))</f>
        <v/>
      </c>
      <c r="E2107" s="26" t="str">
        <f>IF(INDEX(资金日记账!$N$4:$S$603,599,4)=0,"",INDEX(资金日记账!$N$4:$S$603,599,4))</f>
        <v/>
      </c>
      <c r="F2107" s="25" t="str">
        <f>IF($E2107="","",IFERROR(INDEX(科目表!$A$4:$A$81,MATCH($E2107,科目表!$B$4:$B$81,0)),""))</f>
        <v/>
      </c>
      <c r="G2107" s="26" t="str">
        <f>IF($E2107="","",IFERROR(INDEX(科目表!$E$4:$E$81,MATCH($E2107,科目表!$B$4:$B$81,0)),""))</f>
        <v/>
      </c>
      <c r="H2107" s="27" t="str">
        <f>IF($E2107="","",N(INDEX(资金日记账!$N$4:$S$603,599,5)))</f>
        <v/>
      </c>
      <c r="I2107" s="27" t="str">
        <f>IF($E2107="","",N(INDEX(资金日记账!$N$4:$S$603,599,6)))</f>
        <v/>
      </c>
      <c r="J2107" s="26" t="str">
        <f>IF($E2107="","",INDEX(资金日记账!$E$4:$E$603,599))</f>
        <v/>
      </c>
      <c r="K2107" s="26" t="str">
        <f>IF($E2107="","",INDEX(资金日记账!$F$4:$F$603,599))</f>
        <v/>
      </c>
      <c r="L2107" s="32" t="str">
        <f>IF($E2107="","",INDEX(资金日记账!$X$4:$X$603,599))</f>
        <v/>
      </c>
      <c r="M2107" s="32"/>
      <c r="N2107" s="26" t="str">
        <f>IF($E2107="","",INDEX(资金日记账!$Y$4:$Y$603,599))</f>
        <v/>
      </c>
      <c r="O2107" s="26" t="str">
        <f t="shared" si="96"/>
        <v/>
      </c>
      <c r="P2107" s="10"/>
    </row>
    <row r="2108" ht="18" customHeight="1" spans="1:16">
      <c r="A2108" s="32" t="str">
        <f t="shared" si="95"/>
        <v/>
      </c>
      <c r="B2108" s="100" t="str">
        <f>IF($E2108="","",INDEX(资金日记账!$B$4:$B$603,600))</f>
        <v/>
      </c>
      <c r="C2108" s="26" t="str">
        <f>IF($E2108="","",IF(INDEX(资金日记账!$W$4:$W$603,600)="","记-"&amp;TEXT($B2108,"YYYYMM")&amp;"-资金",INDEX(资金日记账!$W$4:$W$603,600)))</f>
        <v/>
      </c>
      <c r="D2108" s="32" t="str">
        <f>IF($E2108="","",INDEX(资金日记账!$D$4:$D$603,600))</f>
        <v/>
      </c>
      <c r="E2108" s="26" t="str">
        <f>IF(INDEX(资金日记账!$N$4:$S$603,600,1)=0,"",INDEX(资金日记账!$N$4:$S$603,600,1))</f>
        <v/>
      </c>
      <c r="F2108" s="25" t="str">
        <f>IF($E2108="","",IFERROR(INDEX(科目表!$A$4:$A$81,MATCH($E2108,科目表!$B$4:$B$81,0)),""))</f>
        <v/>
      </c>
      <c r="G2108" s="26" t="str">
        <f>IF($E2108="","",IFERROR(INDEX(科目表!$E$4:$E$81,MATCH($E2108,科目表!$B$4:$B$81,0)),""))</f>
        <v/>
      </c>
      <c r="H2108" s="27" t="str">
        <f>IF($E2108="","",N(INDEX(资金日记账!$N$4:$S$603,600,2)))</f>
        <v/>
      </c>
      <c r="I2108" s="27" t="str">
        <f>IF($E2108="","",N(INDEX(资金日记账!$N$4:$S$603,600,3)))</f>
        <v/>
      </c>
      <c r="J2108" s="26" t="str">
        <f>IF($E2108="","",INDEX(资金日记账!$E$4:$E$603,600))</f>
        <v/>
      </c>
      <c r="K2108" s="26" t="str">
        <f>IF($E2108="","",INDEX(资金日记账!$F$4:$F$603,600))</f>
        <v/>
      </c>
      <c r="L2108" s="32" t="str">
        <f>IF($E2108="","",INDEX(资金日记账!$X$4:$X$603,600))</f>
        <v/>
      </c>
      <c r="M2108" s="32"/>
      <c r="N2108" s="26" t="str">
        <f>IF($E2108="","",INDEX(资金日记账!$Y$4:$Y$603,600))</f>
        <v/>
      </c>
      <c r="O2108" s="26" t="str">
        <f t="shared" si="96"/>
        <v/>
      </c>
      <c r="P2108" s="10"/>
    </row>
    <row r="2109" ht="18" customHeight="1" spans="1:16">
      <c r="A2109" s="32" t="str">
        <f t="shared" si="95"/>
        <v/>
      </c>
      <c r="B2109" s="100" t="str">
        <f>IF($E2109="","",INDEX(资金日记账!$B$4:$B$603,600))</f>
        <v/>
      </c>
      <c r="C2109" s="26" t="str">
        <f>IF($E2109="","",IF(INDEX(资金日记账!$W$4:$W$603,600)="","记-"&amp;TEXT($B2109,"YYYYMM")&amp;"-资金",INDEX(资金日记账!$W$4:$W$603,600)))</f>
        <v/>
      </c>
      <c r="D2109" s="32" t="str">
        <f>IF($E2109="","",INDEX(资金日记账!$D$4:$D$603,600))</f>
        <v/>
      </c>
      <c r="E2109" s="26" t="str">
        <f>IF(INDEX(资金日记账!$N$4:$S$603,600,4)=0,"",INDEX(资金日记账!$N$4:$S$603,600,4))</f>
        <v/>
      </c>
      <c r="F2109" s="25" t="str">
        <f>IF($E2109="","",IFERROR(INDEX(科目表!$A$4:$A$81,MATCH($E2109,科目表!$B$4:$B$81,0)),""))</f>
        <v/>
      </c>
      <c r="G2109" s="26" t="str">
        <f>IF($E2109="","",IFERROR(INDEX(科目表!$E$4:$E$81,MATCH($E2109,科目表!$B$4:$B$81,0)),""))</f>
        <v/>
      </c>
      <c r="H2109" s="27" t="str">
        <f>IF($E2109="","",N(INDEX(资金日记账!$N$4:$S$603,600,5)))</f>
        <v/>
      </c>
      <c r="I2109" s="27" t="str">
        <f>IF($E2109="","",N(INDEX(资金日记账!$N$4:$S$603,600,6)))</f>
        <v/>
      </c>
      <c r="J2109" s="26" t="str">
        <f>IF($E2109="","",INDEX(资金日记账!$E$4:$E$603,600))</f>
        <v/>
      </c>
      <c r="K2109" s="26" t="str">
        <f>IF($E2109="","",INDEX(资金日记账!$F$4:$F$603,600))</f>
        <v/>
      </c>
      <c r="L2109" s="32" t="str">
        <f>IF($E2109="","",INDEX(资金日记账!$X$4:$X$603,600))</f>
        <v/>
      </c>
      <c r="M2109" s="32"/>
      <c r="N2109" s="26" t="str">
        <f>IF($E2109="","",INDEX(资金日记账!$Y$4:$Y$603,600))</f>
        <v/>
      </c>
      <c r="O2109" s="26" t="str">
        <f t="shared" si="96"/>
        <v/>
      </c>
      <c r="P2109" s="10"/>
    </row>
    <row r="2110" ht="18" customHeight="1" spans="1:16">
      <c r="A2110" s="32" t="str">
        <f t="shared" si="95"/>
        <v/>
      </c>
      <c r="B2110" s="100" t="str">
        <f>IF($E2110="","",INDEX(成本费用登记表!$B$4:$B$303,1))</f>
        <v/>
      </c>
      <c r="C2110" s="26" t="str">
        <f t="shared" ref="C2110:C2173" si="97">IF($E2110="","","记-"&amp;TEXT($B2110,"YYYYMM")&amp;"-费用")</f>
        <v/>
      </c>
      <c r="D2110" s="32" t="str">
        <f>IF($E2110="","",INDEX(成本费用登记表!$E$4:$E$303,1))</f>
        <v/>
      </c>
      <c r="E2110" s="26" t="str">
        <f>IF(INDEX(成本费用登记表!$Q$4:$Y$303,1,1)=0,"",INDEX(成本费用登记表!$Q$4:$Y$303,1,1))</f>
        <v/>
      </c>
      <c r="F2110" s="25" t="str">
        <f>IF($E2110="","",IFERROR(INDEX(科目表!$A$4:$A$81,MATCH($E2110,科目表!$B$4:$B$81,0)),""))</f>
        <v/>
      </c>
      <c r="G2110" s="26" t="str">
        <f>IF($E2110="","",IFERROR(INDEX(科目表!$E$4:$E$81,MATCH($E2110,科目表!$B$4:$B$81,0)),""))</f>
        <v/>
      </c>
      <c r="H2110" s="27" t="str">
        <f>IF($E2110="","",N(INDEX(成本费用登记表!$Q$4:$Y$303,1,2)))</f>
        <v/>
      </c>
      <c r="I2110" s="27" t="str">
        <f>IF($E2110="","",N(INDEX(成本费用登记表!$Q$4:$Y$303,1,3)))</f>
        <v/>
      </c>
      <c r="J2110" s="26" t="str">
        <f>IF($E2110="","",INDEX(成本费用登记表!$C$4:$C$303,1))</f>
        <v/>
      </c>
      <c r="K2110" s="26" t="str">
        <f>IF($E2110="","",INDEX(成本费用登记表!$D$4:$D$303,1))</f>
        <v/>
      </c>
      <c r="L2110" s="32" t="str">
        <f>IF($E2110="","",INDEX(成本费用登记表!$N$4:$N$303,1))</f>
        <v/>
      </c>
      <c r="M2110" s="32"/>
      <c r="N2110" s="26" t="str">
        <f t="shared" ref="N2110:N2173" si="98">IF($E2110="","","系统")</f>
        <v/>
      </c>
      <c r="O2110" s="26" t="str">
        <f t="shared" ref="O2110:O2173" si="99">IF($E2110="","","自动C")</f>
        <v/>
      </c>
      <c r="P2110" s="10"/>
    </row>
    <row r="2111" ht="18" customHeight="1" spans="1:16">
      <c r="A2111" s="32" t="str">
        <f t="shared" si="95"/>
        <v/>
      </c>
      <c r="B2111" s="100" t="str">
        <f>IF($E2111="","",INDEX(成本费用登记表!$B$4:$B$303,1))</f>
        <v/>
      </c>
      <c r="C2111" s="26" t="str">
        <f t="shared" si="97"/>
        <v/>
      </c>
      <c r="D2111" s="32" t="str">
        <f>IF($E2111="","",INDEX(成本费用登记表!$E$4:$E$303,1))</f>
        <v/>
      </c>
      <c r="E2111" s="26" t="str">
        <f>IF(INDEX(成本费用登记表!$Q$4:$Y$303,1,4)=0,"",INDEX(成本费用登记表!$Q$4:$Y$303,1,4))</f>
        <v/>
      </c>
      <c r="F2111" s="25" t="str">
        <f>IF($E2111="","",IFERROR(INDEX(科目表!$A$4:$A$81,MATCH($E2111,科目表!$B$4:$B$81,0)),""))</f>
        <v/>
      </c>
      <c r="G2111" s="26" t="str">
        <f>IF($E2111="","",IFERROR(INDEX(科目表!$E$4:$E$81,MATCH($E2111,科目表!$B$4:$B$81,0)),""))</f>
        <v/>
      </c>
      <c r="H2111" s="27" t="str">
        <f>IF($E2111="","",N(INDEX(成本费用登记表!$Q$4:$Y$303,1,5)))</f>
        <v/>
      </c>
      <c r="I2111" s="27" t="str">
        <f>IF($E2111="","",N(INDEX(成本费用登记表!$Q$4:$Y$303,1,6)))</f>
        <v/>
      </c>
      <c r="J2111" s="26" t="str">
        <f>IF($E2111="","",INDEX(成本费用登记表!$C$4:$C$303,1))</f>
        <v/>
      </c>
      <c r="K2111" s="26" t="str">
        <f>IF($E2111="","",INDEX(成本费用登记表!$D$4:$D$303,1))</f>
        <v/>
      </c>
      <c r="L2111" s="32" t="str">
        <f>IF($E2111="","",INDEX(成本费用登记表!$N$4:$N$303,1))</f>
        <v/>
      </c>
      <c r="M2111" s="32"/>
      <c r="N2111" s="26" t="str">
        <f t="shared" si="98"/>
        <v/>
      </c>
      <c r="O2111" s="26" t="str">
        <f t="shared" si="99"/>
        <v/>
      </c>
      <c r="P2111" s="10"/>
    </row>
    <row r="2112" ht="18" customHeight="1" spans="1:16">
      <c r="A2112" s="32" t="str">
        <f t="shared" si="95"/>
        <v/>
      </c>
      <c r="B2112" s="100" t="str">
        <f>IF($E2112="","",INDEX(成本费用登记表!$B$4:$B$303,1))</f>
        <v/>
      </c>
      <c r="C2112" s="26" t="str">
        <f t="shared" si="97"/>
        <v/>
      </c>
      <c r="D2112" s="32" t="str">
        <f>IF($E2112="","",INDEX(成本费用登记表!$E$4:$E$303,1))</f>
        <v/>
      </c>
      <c r="E2112" s="26" t="str">
        <f>IF(INDEX(成本费用登记表!$Q$4:$Y$303,1,7)=0,"",INDEX(成本费用登记表!$Q$4:$Y$303,1,7))</f>
        <v/>
      </c>
      <c r="F2112" s="25" t="str">
        <f>IF($E2112="","",IFERROR(INDEX(科目表!$A$4:$A$81,MATCH($E2112,科目表!$B$4:$B$81,0)),""))</f>
        <v/>
      </c>
      <c r="G2112" s="26" t="str">
        <f>IF($E2112="","",IFERROR(INDEX(科目表!$E$4:$E$81,MATCH($E2112,科目表!$B$4:$B$81,0)),""))</f>
        <v/>
      </c>
      <c r="H2112" s="27" t="str">
        <f>IF($E2112="","",N(INDEX(成本费用登记表!$Q$4:$Y$303,1,8)))</f>
        <v/>
      </c>
      <c r="I2112" s="27" t="str">
        <f>IF($E2112="","",N(INDEX(成本费用登记表!$Q$4:$Y$303,1,9)))</f>
        <v/>
      </c>
      <c r="J2112" s="26" t="str">
        <f>IF($E2112="","",INDEX(成本费用登记表!$C$4:$C$303,1))</f>
        <v/>
      </c>
      <c r="K2112" s="26" t="str">
        <f>IF($E2112="","",INDEX(成本费用登记表!$D$4:$D$303,1))</f>
        <v/>
      </c>
      <c r="L2112" s="32" t="str">
        <f>IF($E2112="","",INDEX(成本费用登记表!$N$4:$N$303,1))</f>
        <v/>
      </c>
      <c r="M2112" s="32"/>
      <c r="N2112" s="26" t="str">
        <f t="shared" si="98"/>
        <v/>
      </c>
      <c r="O2112" s="26" t="str">
        <f t="shared" si="99"/>
        <v/>
      </c>
      <c r="P2112" s="10"/>
    </row>
    <row r="2113" ht="18" customHeight="1" spans="1:16">
      <c r="A2113" s="32" t="str">
        <f t="shared" si="95"/>
        <v/>
      </c>
      <c r="B2113" s="100" t="str">
        <f>IF($E2113="","",INDEX(成本费用登记表!$B$4:$B$303,2))</f>
        <v/>
      </c>
      <c r="C2113" s="26" t="str">
        <f t="shared" si="97"/>
        <v/>
      </c>
      <c r="D2113" s="32" t="str">
        <f>IF($E2113="","",INDEX(成本费用登记表!$E$4:$E$303,2))</f>
        <v/>
      </c>
      <c r="E2113" s="26" t="str">
        <f>IF(INDEX(成本费用登记表!$Q$4:$Y$303,2,1)=0,"",INDEX(成本费用登记表!$Q$4:$Y$303,2,1))</f>
        <v/>
      </c>
      <c r="F2113" s="25" t="str">
        <f>IF($E2113="","",IFERROR(INDEX(科目表!$A$4:$A$81,MATCH($E2113,科目表!$B$4:$B$81,0)),""))</f>
        <v/>
      </c>
      <c r="G2113" s="26" t="str">
        <f>IF($E2113="","",IFERROR(INDEX(科目表!$E$4:$E$81,MATCH($E2113,科目表!$B$4:$B$81,0)),""))</f>
        <v/>
      </c>
      <c r="H2113" s="27" t="str">
        <f>IF($E2113="","",N(INDEX(成本费用登记表!$Q$4:$Y$303,2,2)))</f>
        <v/>
      </c>
      <c r="I2113" s="27" t="str">
        <f>IF($E2113="","",N(INDEX(成本费用登记表!$Q$4:$Y$303,2,3)))</f>
        <v/>
      </c>
      <c r="J2113" s="26" t="str">
        <f>IF($E2113="","",INDEX(成本费用登记表!$C$4:$C$303,2))</f>
        <v/>
      </c>
      <c r="K2113" s="26" t="str">
        <f>IF($E2113="","",INDEX(成本费用登记表!$D$4:$D$303,2))</f>
        <v/>
      </c>
      <c r="L2113" s="32" t="str">
        <f>IF($E2113="","",INDEX(成本费用登记表!$N$4:$N$303,2))</f>
        <v/>
      </c>
      <c r="M2113" s="32"/>
      <c r="N2113" s="26" t="str">
        <f t="shared" si="98"/>
        <v/>
      </c>
      <c r="O2113" s="26" t="str">
        <f t="shared" si="99"/>
        <v/>
      </c>
      <c r="P2113" s="10"/>
    </row>
    <row r="2114" ht="18" customHeight="1" spans="1:16">
      <c r="A2114" s="32" t="str">
        <f t="shared" si="95"/>
        <v/>
      </c>
      <c r="B2114" s="100" t="str">
        <f>IF($E2114="","",INDEX(成本费用登记表!$B$4:$B$303,2))</f>
        <v/>
      </c>
      <c r="C2114" s="26" t="str">
        <f t="shared" si="97"/>
        <v/>
      </c>
      <c r="D2114" s="32" t="str">
        <f>IF($E2114="","",INDEX(成本费用登记表!$E$4:$E$303,2))</f>
        <v/>
      </c>
      <c r="E2114" s="26" t="str">
        <f>IF(INDEX(成本费用登记表!$Q$4:$Y$303,2,4)=0,"",INDEX(成本费用登记表!$Q$4:$Y$303,2,4))</f>
        <v/>
      </c>
      <c r="F2114" s="25" t="str">
        <f>IF($E2114="","",IFERROR(INDEX(科目表!$A$4:$A$81,MATCH($E2114,科目表!$B$4:$B$81,0)),""))</f>
        <v/>
      </c>
      <c r="G2114" s="26" t="str">
        <f>IF($E2114="","",IFERROR(INDEX(科目表!$E$4:$E$81,MATCH($E2114,科目表!$B$4:$B$81,0)),""))</f>
        <v/>
      </c>
      <c r="H2114" s="27" t="str">
        <f>IF($E2114="","",N(INDEX(成本费用登记表!$Q$4:$Y$303,2,5)))</f>
        <v/>
      </c>
      <c r="I2114" s="27" t="str">
        <f>IF($E2114="","",N(INDEX(成本费用登记表!$Q$4:$Y$303,2,6)))</f>
        <v/>
      </c>
      <c r="J2114" s="26" t="str">
        <f>IF($E2114="","",INDEX(成本费用登记表!$C$4:$C$303,2))</f>
        <v/>
      </c>
      <c r="K2114" s="26" t="str">
        <f>IF($E2114="","",INDEX(成本费用登记表!$D$4:$D$303,2))</f>
        <v/>
      </c>
      <c r="L2114" s="32" t="str">
        <f>IF($E2114="","",INDEX(成本费用登记表!$N$4:$N$303,2))</f>
        <v/>
      </c>
      <c r="M2114" s="32"/>
      <c r="N2114" s="26" t="str">
        <f t="shared" si="98"/>
        <v/>
      </c>
      <c r="O2114" s="26" t="str">
        <f t="shared" si="99"/>
        <v/>
      </c>
      <c r="P2114" s="10"/>
    </row>
    <row r="2115" ht="18" customHeight="1" spans="1:16">
      <c r="A2115" s="32" t="str">
        <f t="shared" si="95"/>
        <v/>
      </c>
      <c r="B2115" s="100" t="str">
        <f>IF($E2115="","",INDEX(成本费用登记表!$B$4:$B$303,2))</f>
        <v/>
      </c>
      <c r="C2115" s="26" t="str">
        <f t="shared" si="97"/>
        <v/>
      </c>
      <c r="D2115" s="32" t="str">
        <f>IF($E2115="","",INDEX(成本费用登记表!$E$4:$E$303,2))</f>
        <v/>
      </c>
      <c r="E2115" s="26" t="str">
        <f>IF(INDEX(成本费用登记表!$Q$4:$Y$303,2,7)=0,"",INDEX(成本费用登记表!$Q$4:$Y$303,2,7))</f>
        <v/>
      </c>
      <c r="F2115" s="25" t="str">
        <f>IF($E2115="","",IFERROR(INDEX(科目表!$A$4:$A$81,MATCH($E2115,科目表!$B$4:$B$81,0)),""))</f>
        <v/>
      </c>
      <c r="G2115" s="26" t="str">
        <f>IF($E2115="","",IFERROR(INDEX(科目表!$E$4:$E$81,MATCH($E2115,科目表!$B$4:$B$81,0)),""))</f>
        <v/>
      </c>
      <c r="H2115" s="27" t="str">
        <f>IF($E2115="","",N(INDEX(成本费用登记表!$Q$4:$Y$303,2,8)))</f>
        <v/>
      </c>
      <c r="I2115" s="27" t="str">
        <f>IF($E2115="","",N(INDEX(成本费用登记表!$Q$4:$Y$303,2,9)))</f>
        <v/>
      </c>
      <c r="J2115" s="26" t="str">
        <f>IF($E2115="","",INDEX(成本费用登记表!$C$4:$C$303,2))</f>
        <v/>
      </c>
      <c r="K2115" s="26" t="str">
        <f>IF($E2115="","",INDEX(成本费用登记表!$D$4:$D$303,2))</f>
        <v/>
      </c>
      <c r="L2115" s="32" t="str">
        <f>IF($E2115="","",INDEX(成本费用登记表!$N$4:$N$303,2))</f>
        <v/>
      </c>
      <c r="M2115" s="32"/>
      <c r="N2115" s="26" t="str">
        <f t="shared" si="98"/>
        <v/>
      </c>
      <c r="O2115" s="26" t="str">
        <f t="shared" si="99"/>
        <v/>
      </c>
      <c r="P2115" s="10"/>
    </row>
    <row r="2116" ht="18" customHeight="1" spans="1:16">
      <c r="A2116" s="32" t="str">
        <f t="shared" ref="A2116:A2179" si="100">IF($E2116="","",ROW()-3)</f>
        <v/>
      </c>
      <c r="B2116" s="100" t="str">
        <f>IF($E2116="","",INDEX(成本费用登记表!$B$4:$B$303,3))</f>
        <v/>
      </c>
      <c r="C2116" s="26" t="str">
        <f t="shared" si="97"/>
        <v/>
      </c>
      <c r="D2116" s="32" t="str">
        <f>IF($E2116="","",INDEX(成本费用登记表!$E$4:$E$303,3))</f>
        <v/>
      </c>
      <c r="E2116" s="26" t="str">
        <f>IF(INDEX(成本费用登记表!$Q$4:$Y$303,3,1)=0,"",INDEX(成本费用登记表!$Q$4:$Y$303,3,1))</f>
        <v/>
      </c>
      <c r="F2116" s="25" t="str">
        <f>IF($E2116="","",IFERROR(INDEX(科目表!$A$4:$A$81,MATCH($E2116,科目表!$B$4:$B$81,0)),""))</f>
        <v/>
      </c>
      <c r="G2116" s="26" t="str">
        <f>IF($E2116="","",IFERROR(INDEX(科目表!$E$4:$E$81,MATCH($E2116,科目表!$B$4:$B$81,0)),""))</f>
        <v/>
      </c>
      <c r="H2116" s="27" t="str">
        <f>IF($E2116="","",N(INDEX(成本费用登记表!$Q$4:$Y$303,3,2)))</f>
        <v/>
      </c>
      <c r="I2116" s="27" t="str">
        <f>IF($E2116="","",N(INDEX(成本费用登记表!$Q$4:$Y$303,3,3)))</f>
        <v/>
      </c>
      <c r="J2116" s="26" t="str">
        <f>IF($E2116="","",INDEX(成本费用登记表!$C$4:$C$303,3))</f>
        <v/>
      </c>
      <c r="K2116" s="26" t="str">
        <f>IF($E2116="","",INDEX(成本费用登记表!$D$4:$D$303,3))</f>
        <v/>
      </c>
      <c r="L2116" s="32" t="str">
        <f>IF($E2116="","",INDEX(成本费用登记表!$N$4:$N$303,3))</f>
        <v/>
      </c>
      <c r="M2116" s="32"/>
      <c r="N2116" s="26" t="str">
        <f t="shared" si="98"/>
        <v/>
      </c>
      <c r="O2116" s="26" t="str">
        <f t="shared" si="99"/>
        <v/>
      </c>
      <c r="P2116" s="10"/>
    </row>
    <row r="2117" ht="18" customHeight="1" spans="1:16">
      <c r="A2117" s="32" t="str">
        <f t="shared" si="100"/>
        <v/>
      </c>
      <c r="B2117" s="100" t="str">
        <f>IF($E2117="","",INDEX(成本费用登记表!$B$4:$B$303,3))</f>
        <v/>
      </c>
      <c r="C2117" s="26" t="str">
        <f t="shared" si="97"/>
        <v/>
      </c>
      <c r="D2117" s="32" t="str">
        <f>IF($E2117="","",INDEX(成本费用登记表!$E$4:$E$303,3))</f>
        <v/>
      </c>
      <c r="E2117" s="26" t="str">
        <f>IF(INDEX(成本费用登记表!$Q$4:$Y$303,3,4)=0,"",INDEX(成本费用登记表!$Q$4:$Y$303,3,4))</f>
        <v/>
      </c>
      <c r="F2117" s="25" t="str">
        <f>IF($E2117="","",IFERROR(INDEX(科目表!$A$4:$A$81,MATCH($E2117,科目表!$B$4:$B$81,0)),""))</f>
        <v/>
      </c>
      <c r="G2117" s="26" t="str">
        <f>IF($E2117="","",IFERROR(INDEX(科目表!$E$4:$E$81,MATCH($E2117,科目表!$B$4:$B$81,0)),""))</f>
        <v/>
      </c>
      <c r="H2117" s="27" t="str">
        <f>IF($E2117="","",N(INDEX(成本费用登记表!$Q$4:$Y$303,3,5)))</f>
        <v/>
      </c>
      <c r="I2117" s="27" t="str">
        <f>IF($E2117="","",N(INDEX(成本费用登记表!$Q$4:$Y$303,3,6)))</f>
        <v/>
      </c>
      <c r="J2117" s="26" t="str">
        <f>IF($E2117="","",INDEX(成本费用登记表!$C$4:$C$303,3))</f>
        <v/>
      </c>
      <c r="K2117" s="26" t="str">
        <f>IF($E2117="","",INDEX(成本费用登记表!$D$4:$D$303,3))</f>
        <v/>
      </c>
      <c r="L2117" s="32" t="str">
        <f>IF($E2117="","",INDEX(成本费用登记表!$N$4:$N$303,3))</f>
        <v/>
      </c>
      <c r="M2117" s="32"/>
      <c r="N2117" s="26" t="str">
        <f t="shared" si="98"/>
        <v/>
      </c>
      <c r="O2117" s="26" t="str">
        <f t="shared" si="99"/>
        <v/>
      </c>
      <c r="P2117" s="10"/>
    </row>
    <row r="2118" ht="18" customHeight="1" spans="1:16">
      <c r="A2118" s="32" t="str">
        <f t="shared" si="100"/>
        <v/>
      </c>
      <c r="B2118" s="100" t="str">
        <f>IF($E2118="","",INDEX(成本费用登记表!$B$4:$B$303,3))</f>
        <v/>
      </c>
      <c r="C2118" s="26" t="str">
        <f t="shared" si="97"/>
        <v/>
      </c>
      <c r="D2118" s="32" t="str">
        <f>IF($E2118="","",INDEX(成本费用登记表!$E$4:$E$303,3))</f>
        <v/>
      </c>
      <c r="E2118" s="26" t="str">
        <f>IF(INDEX(成本费用登记表!$Q$4:$Y$303,3,7)=0,"",INDEX(成本费用登记表!$Q$4:$Y$303,3,7))</f>
        <v/>
      </c>
      <c r="F2118" s="25" t="str">
        <f>IF($E2118="","",IFERROR(INDEX(科目表!$A$4:$A$81,MATCH($E2118,科目表!$B$4:$B$81,0)),""))</f>
        <v/>
      </c>
      <c r="G2118" s="26" t="str">
        <f>IF($E2118="","",IFERROR(INDEX(科目表!$E$4:$E$81,MATCH($E2118,科目表!$B$4:$B$81,0)),""))</f>
        <v/>
      </c>
      <c r="H2118" s="27" t="str">
        <f>IF($E2118="","",N(INDEX(成本费用登记表!$Q$4:$Y$303,3,8)))</f>
        <v/>
      </c>
      <c r="I2118" s="27" t="str">
        <f>IF($E2118="","",N(INDEX(成本费用登记表!$Q$4:$Y$303,3,9)))</f>
        <v/>
      </c>
      <c r="J2118" s="26" t="str">
        <f>IF($E2118="","",INDEX(成本费用登记表!$C$4:$C$303,3))</f>
        <v/>
      </c>
      <c r="K2118" s="26" t="str">
        <f>IF($E2118="","",INDEX(成本费用登记表!$D$4:$D$303,3))</f>
        <v/>
      </c>
      <c r="L2118" s="32" t="str">
        <f>IF($E2118="","",INDEX(成本费用登记表!$N$4:$N$303,3))</f>
        <v/>
      </c>
      <c r="M2118" s="32"/>
      <c r="N2118" s="26" t="str">
        <f t="shared" si="98"/>
        <v/>
      </c>
      <c r="O2118" s="26" t="str">
        <f t="shared" si="99"/>
        <v/>
      </c>
      <c r="P2118" s="10"/>
    </row>
    <row r="2119" ht="18" customHeight="1" spans="1:16">
      <c r="A2119" s="32" t="str">
        <f t="shared" si="100"/>
        <v/>
      </c>
      <c r="B2119" s="100" t="str">
        <f>IF($E2119="","",INDEX(成本费用登记表!$B$4:$B$303,4))</f>
        <v/>
      </c>
      <c r="C2119" s="26" t="str">
        <f t="shared" si="97"/>
        <v/>
      </c>
      <c r="D2119" s="32" t="str">
        <f>IF($E2119="","",INDEX(成本费用登记表!$E$4:$E$303,4))</f>
        <v/>
      </c>
      <c r="E2119" s="26" t="str">
        <f>IF(INDEX(成本费用登记表!$Q$4:$Y$303,4,1)=0,"",INDEX(成本费用登记表!$Q$4:$Y$303,4,1))</f>
        <v/>
      </c>
      <c r="F2119" s="25" t="str">
        <f>IF($E2119="","",IFERROR(INDEX(科目表!$A$4:$A$81,MATCH($E2119,科目表!$B$4:$B$81,0)),""))</f>
        <v/>
      </c>
      <c r="G2119" s="26" t="str">
        <f>IF($E2119="","",IFERROR(INDEX(科目表!$E$4:$E$81,MATCH($E2119,科目表!$B$4:$B$81,0)),""))</f>
        <v/>
      </c>
      <c r="H2119" s="27" t="str">
        <f>IF($E2119="","",N(INDEX(成本费用登记表!$Q$4:$Y$303,4,2)))</f>
        <v/>
      </c>
      <c r="I2119" s="27" t="str">
        <f>IF($E2119="","",N(INDEX(成本费用登记表!$Q$4:$Y$303,4,3)))</f>
        <v/>
      </c>
      <c r="J2119" s="26" t="str">
        <f>IF($E2119="","",INDEX(成本费用登记表!$C$4:$C$303,4))</f>
        <v/>
      </c>
      <c r="K2119" s="26" t="str">
        <f>IF($E2119="","",INDEX(成本费用登记表!$D$4:$D$303,4))</f>
        <v/>
      </c>
      <c r="L2119" s="32" t="str">
        <f>IF($E2119="","",INDEX(成本费用登记表!$N$4:$N$303,4))</f>
        <v/>
      </c>
      <c r="M2119" s="32"/>
      <c r="N2119" s="26" t="str">
        <f t="shared" si="98"/>
        <v/>
      </c>
      <c r="O2119" s="26" t="str">
        <f t="shared" si="99"/>
        <v/>
      </c>
      <c r="P2119" s="10"/>
    </row>
    <row r="2120" ht="18" customHeight="1" spans="1:16">
      <c r="A2120" s="32" t="str">
        <f t="shared" si="100"/>
        <v/>
      </c>
      <c r="B2120" s="100" t="str">
        <f>IF($E2120="","",INDEX(成本费用登记表!$B$4:$B$303,4))</f>
        <v/>
      </c>
      <c r="C2120" s="26" t="str">
        <f t="shared" si="97"/>
        <v/>
      </c>
      <c r="D2120" s="32" t="str">
        <f>IF($E2120="","",INDEX(成本费用登记表!$E$4:$E$303,4))</f>
        <v/>
      </c>
      <c r="E2120" s="26" t="str">
        <f>IF(INDEX(成本费用登记表!$Q$4:$Y$303,4,4)=0,"",INDEX(成本费用登记表!$Q$4:$Y$303,4,4))</f>
        <v/>
      </c>
      <c r="F2120" s="25" t="str">
        <f>IF($E2120="","",IFERROR(INDEX(科目表!$A$4:$A$81,MATCH($E2120,科目表!$B$4:$B$81,0)),""))</f>
        <v/>
      </c>
      <c r="G2120" s="26" t="str">
        <f>IF($E2120="","",IFERROR(INDEX(科目表!$E$4:$E$81,MATCH($E2120,科目表!$B$4:$B$81,0)),""))</f>
        <v/>
      </c>
      <c r="H2120" s="27" t="str">
        <f>IF($E2120="","",N(INDEX(成本费用登记表!$Q$4:$Y$303,4,5)))</f>
        <v/>
      </c>
      <c r="I2120" s="27" t="str">
        <f>IF($E2120="","",N(INDEX(成本费用登记表!$Q$4:$Y$303,4,6)))</f>
        <v/>
      </c>
      <c r="J2120" s="26" t="str">
        <f>IF($E2120="","",INDEX(成本费用登记表!$C$4:$C$303,4))</f>
        <v/>
      </c>
      <c r="K2120" s="26" t="str">
        <f>IF($E2120="","",INDEX(成本费用登记表!$D$4:$D$303,4))</f>
        <v/>
      </c>
      <c r="L2120" s="32" t="str">
        <f>IF($E2120="","",INDEX(成本费用登记表!$N$4:$N$303,4))</f>
        <v/>
      </c>
      <c r="M2120" s="32"/>
      <c r="N2120" s="26" t="str">
        <f t="shared" si="98"/>
        <v/>
      </c>
      <c r="O2120" s="26" t="str">
        <f t="shared" si="99"/>
        <v/>
      </c>
      <c r="P2120" s="10"/>
    </row>
    <row r="2121" ht="18" customHeight="1" spans="1:16">
      <c r="A2121" s="32" t="str">
        <f t="shared" si="100"/>
        <v/>
      </c>
      <c r="B2121" s="100" t="str">
        <f>IF($E2121="","",INDEX(成本费用登记表!$B$4:$B$303,4))</f>
        <v/>
      </c>
      <c r="C2121" s="26" t="str">
        <f t="shared" si="97"/>
        <v/>
      </c>
      <c r="D2121" s="32" t="str">
        <f>IF($E2121="","",INDEX(成本费用登记表!$E$4:$E$303,4))</f>
        <v/>
      </c>
      <c r="E2121" s="26" t="str">
        <f>IF(INDEX(成本费用登记表!$Q$4:$Y$303,4,7)=0,"",INDEX(成本费用登记表!$Q$4:$Y$303,4,7))</f>
        <v/>
      </c>
      <c r="F2121" s="25" t="str">
        <f>IF($E2121="","",IFERROR(INDEX(科目表!$A$4:$A$81,MATCH($E2121,科目表!$B$4:$B$81,0)),""))</f>
        <v/>
      </c>
      <c r="G2121" s="26" t="str">
        <f>IF($E2121="","",IFERROR(INDEX(科目表!$E$4:$E$81,MATCH($E2121,科目表!$B$4:$B$81,0)),""))</f>
        <v/>
      </c>
      <c r="H2121" s="27" t="str">
        <f>IF($E2121="","",N(INDEX(成本费用登记表!$Q$4:$Y$303,4,8)))</f>
        <v/>
      </c>
      <c r="I2121" s="27" t="str">
        <f>IF($E2121="","",N(INDEX(成本费用登记表!$Q$4:$Y$303,4,9)))</f>
        <v/>
      </c>
      <c r="J2121" s="26" t="str">
        <f>IF($E2121="","",INDEX(成本费用登记表!$C$4:$C$303,4))</f>
        <v/>
      </c>
      <c r="K2121" s="26" t="str">
        <f>IF($E2121="","",INDEX(成本费用登记表!$D$4:$D$303,4))</f>
        <v/>
      </c>
      <c r="L2121" s="32" t="str">
        <f>IF($E2121="","",INDEX(成本费用登记表!$N$4:$N$303,4))</f>
        <v/>
      </c>
      <c r="M2121" s="32"/>
      <c r="N2121" s="26" t="str">
        <f t="shared" si="98"/>
        <v/>
      </c>
      <c r="O2121" s="26" t="str">
        <f t="shared" si="99"/>
        <v/>
      </c>
      <c r="P2121" s="10"/>
    </row>
    <row r="2122" ht="18" customHeight="1" spans="1:16">
      <c r="A2122" s="32" t="str">
        <f t="shared" si="100"/>
        <v/>
      </c>
      <c r="B2122" s="100" t="str">
        <f>IF($E2122="","",INDEX(成本费用登记表!$B$4:$B$303,5))</f>
        <v/>
      </c>
      <c r="C2122" s="26" t="str">
        <f t="shared" si="97"/>
        <v/>
      </c>
      <c r="D2122" s="32" t="str">
        <f>IF($E2122="","",INDEX(成本费用登记表!$E$4:$E$303,5))</f>
        <v/>
      </c>
      <c r="E2122" s="26" t="str">
        <f>IF(INDEX(成本费用登记表!$Q$4:$Y$303,5,1)=0,"",INDEX(成本费用登记表!$Q$4:$Y$303,5,1))</f>
        <v/>
      </c>
      <c r="F2122" s="25" t="str">
        <f>IF($E2122="","",IFERROR(INDEX(科目表!$A$4:$A$81,MATCH($E2122,科目表!$B$4:$B$81,0)),""))</f>
        <v/>
      </c>
      <c r="G2122" s="26" t="str">
        <f>IF($E2122="","",IFERROR(INDEX(科目表!$E$4:$E$81,MATCH($E2122,科目表!$B$4:$B$81,0)),""))</f>
        <v/>
      </c>
      <c r="H2122" s="27" t="str">
        <f>IF($E2122="","",N(INDEX(成本费用登记表!$Q$4:$Y$303,5,2)))</f>
        <v/>
      </c>
      <c r="I2122" s="27" t="str">
        <f>IF($E2122="","",N(INDEX(成本费用登记表!$Q$4:$Y$303,5,3)))</f>
        <v/>
      </c>
      <c r="J2122" s="26" t="str">
        <f>IF($E2122="","",INDEX(成本费用登记表!$C$4:$C$303,5))</f>
        <v/>
      </c>
      <c r="K2122" s="26" t="str">
        <f>IF($E2122="","",INDEX(成本费用登记表!$D$4:$D$303,5))</f>
        <v/>
      </c>
      <c r="L2122" s="32" t="str">
        <f>IF($E2122="","",INDEX(成本费用登记表!$N$4:$N$303,5))</f>
        <v/>
      </c>
      <c r="M2122" s="32"/>
      <c r="N2122" s="26" t="str">
        <f t="shared" si="98"/>
        <v/>
      </c>
      <c r="O2122" s="26" t="str">
        <f t="shared" si="99"/>
        <v/>
      </c>
      <c r="P2122" s="10"/>
    </row>
    <row r="2123" ht="18" customHeight="1" spans="1:16">
      <c r="A2123" s="32" t="str">
        <f t="shared" si="100"/>
        <v/>
      </c>
      <c r="B2123" s="100" t="str">
        <f>IF($E2123="","",INDEX(成本费用登记表!$B$4:$B$303,5))</f>
        <v/>
      </c>
      <c r="C2123" s="26" t="str">
        <f t="shared" si="97"/>
        <v/>
      </c>
      <c r="D2123" s="32" t="str">
        <f>IF($E2123="","",INDEX(成本费用登记表!$E$4:$E$303,5))</f>
        <v/>
      </c>
      <c r="E2123" s="26" t="str">
        <f>IF(INDEX(成本费用登记表!$Q$4:$Y$303,5,4)=0,"",INDEX(成本费用登记表!$Q$4:$Y$303,5,4))</f>
        <v/>
      </c>
      <c r="F2123" s="25" t="str">
        <f>IF($E2123="","",IFERROR(INDEX(科目表!$A$4:$A$81,MATCH($E2123,科目表!$B$4:$B$81,0)),""))</f>
        <v/>
      </c>
      <c r="G2123" s="26" t="str">
        <f>IF($E2123="","",IFERROR(INDEX(科目表!$E$4:$E$81,MATCH($E2123,科目表!$B$4:$B$81,0)),""))</f>
        <v/>
      </c>
      <c r="H2123" s="27" t="str">
        <f>IF($E2123="","",N(INDEX(成本费用登记表!$Q$4:$Y$303,5,5)))</f>
        <v/>
      </c>
      <c r="I2123" s="27" t="str">
        <f>IF($E2123="","",N(INDEX(成本费用登记表!$Q$4:$Y$303,5,6)))</f>
        <v/>
      </c>
      <c r="J2123" s="26" t="str">
        <f>IF($E2123="","",INDEX(成本费用登记表!$C$4:$C$303,5))</f>
        <v/>
      </c>
      <c r="K2123" s="26" t="str">
        <f>IF($E2123="","",INDEX(成本费用登记表!$D$4:$D$303,5))</f>
        <v/>
      </c>
      <c r="L2123" s="32" t="str">
        <f>IF($E2123="","",INDEX(成本费用登记表!$N$4:$N$303,5))</f>
        <v/>
      </c>
      <c r="M2123" s="32"/>
      <c r="N2123" s="26" t="str">
        <f t="shared" si="98"/>
        <v/>
      </c>
      <c r="O2123" s="26" t="str">
        <f t="shared" si="99"/>
        <v/>
      </c>
      <c r="P2123" s="10"/>
    </row>
    <row r="2124" ht="18" customHeight="1" spans="1:16">
      <c r="A2124" s="32" t="str">
        <f t="shared" si="100"/>
        <v/>
      </c>
      <c r="B2124" s="100" t="str">
        <f>IF($E2124="","",INDEX(成本费用登记表!$B$4:$B$303,5))</f>
        <v/>
      </c>
      <c r="C2124" s="26" t="str">
        <f t="shared" si="97"/>
        <v/>
      </c>
      <c r="D2124" s="32" t="str">
        <f>IF($E2124="","",INDEX(成本费用登记表!$E$4:$E$303,5))</f>
        <v/>
      </c>
      <c r="E2124" s="26" t="str">
        <f>IF(INDEX(成本费用登记表!$Q$4:$Y$303,5,7)=0,"",INDEX(成本费用登记表!$Q$4:$Y$303,5,7))</f>
        <v/>
      </c>
      <c r="F2124" s="25" t="str">
        <f>IF($E2124="","",IFERROR(INDEX(科目表!$A$4:$A$81,MATCH($E2124,科目表!$B$4:$B$81,0)),""))</f>
        <v/>
      </c>
      <c r="G2124" s="26" t="str">
        <f>IF($E2124="","",IFERROR(INDEX(科目表!$E$4:$E$81,MATCH($E2124,科目表!$B$4:$B$81,0)),""))</f>
        <v/>
      </c>
      <c r="H2124" s="27" t="str">
        <f>IF($E2124="","",N(INDEX(成本费用登记表!$Q$4:$Y$303,5,8)))</f>
        <v/>
      </c>
      <c r="I2124" s="27" t="str">
        <f>IF($E2124="","",N(INDEX(成本费用登记表!$Q$4:$Y$303,5,9)))</f>
        <v/>
      </c>
      <c r="J2124" s="26" t="str">
        <f>IF($E2124="","",INDEX(成本费用登记表!$C$4:$C$303,5))</f>
        <v/>
      </c>
      <c r="K2124" s="26" t="str">
        <f>IF($E2124="","",INDEX(成本费用登记表!$D$4:$D$303,5))</f>
        <v/>
      </c>
      <c r="L2124" s="32" t="str">
        <f>IF($E2124="","",INDEX(成本费用登记表!$N$4:$N$303,5))</f>
        <v/>
      </c>
      <c r="M2124" s="32"/>
      <c r="N2124" s="26" t="str">
        <f t="shared" si="98"/>
        <v/>
      </c>
      <c r="O2124" s="26" t="str">
        <f t="shared" si="99"/>
        <v/>
      </c>
      <c r="P2124" s="10"/>
    </row>
    <row r="2125" ht="18" customHeight="1" spans="1:16">
      <c r="A2125" s="32" t="str">
        <f t="shared" si="100"/>
        <v/>
      </c>
      <c r="B2125" s="100" t="str">
        <f>IF($E2125="","",INDEX(成本费用登记表!$B$4:$B$303,6))</f>
        <v/>
      </c>
      <c r="C2125" s="26" t="str">
        <f t="shared" si="97"/>
        <v/>
      </c>
      <c r="D2125" s="32" t="str">
        <f>IF($E2125="","",INDEX(成本费用登记表!$E$4:$E$303,6))</f>
        <v/>
      </c>
      <c r="E2125" s="26" t="str">
        <f>IF(INDEX(成本费用登记表!$Q$4:$Y$303,6,1)=0,"",INDEX(成本费用登记表!$Q$4:$Y$303,6,1))</f>
        <v/>
      </c>
      <c r="F2125" s="25" t="str">
        <f>IF($E2125="","",IFERROR(INDEX(科目表!$A$4:$A$81,MATCH($E2125,科目表!$B$4:$B$81,0)),""))</f>
        <v/>
      </c>
      <c r="G2125" s="26" t="str">
        <f>IF($E2125="","",IFERROR(INDEX(科目表!$E$4:$E$81,MATCH($E2125,科目表!$B$4:$B$81,0)),""))</f>
        <v/>
      </c>
      <c r="H2125" s="27" t="str">
        <f>IF($E2125="","",N(INDEX(成本费用登记表!$Q$4:$Y$303,6,2)))</f>
        <v/>
      </c>
      <c r="I2125" s="27" t="str">
        <f>IF($E2125="","",N(INDEX(成本费用登记表!$Q$4:$Y$303,6,3)))</f>
        <v/>
      </c>
      <c r="J2125" s="26" t="str">
        <f>IF($E2125="","",INDEX(成本费用登记表!$C$4:$C$303,6))</f>
        <v/>
      </c>
      <c r="K2125" s="26" t="str">
        <f>IF($E2125="","",INDEX(成本费用登记表!$D$4:$D$303,6))</f>
        <v/>
      </c>
      <c r="L2125" s="32" t="str">
        <f>IF($E2125="","",INDEX(成本费用登记表!$N$4:$N$303,6))</f>
        <v/>
      </c>
      <c r="M2125" s="32"/>
      <c r="N2125" s="26" t="str">
        <f t="shared" si="98"/>
        <v/>
      </c>
      <c r="O2125" s="26" t="str">
        <f t="shared" si="99"/>
        <v/>
      </c>
      <c r="P2125" s="10"/>
    </row>
    <row r="2126" ht="18" customHeight="1" spans="1:16">
      <c r="A2126" s="32" t="str">
        <f t="shared" si="100"/>
        <v/>
      </c>
      <c r="B2126" s="100" t="str">
        <f>IF($E2126="","",INDEX(成本费用登记表!$B$4:$B$303,6))</f>
        <v/>
      </c>
      <c r="C2126" s="26" t="str">
        <f t="shared" si="97"/>
        <v/>
      </c>
      <c r="D2126" s="32" t="str">
        <f>IF($E2126="","",INDEX(成本费用登记表!$E$4:$E$303,6))</f>
        <v/>
      </c>
      <c r="E2126" s="26" t="str">
        <f>IF(INDEX(成本费用登记表!$Q$4:$Y$303,6,4)=0,"",INDEX(成本费用登记表!$Q$4:$Y$303,6,4))</f>
        <v/>
      </c>
      <c r="F2126" s="25" t="str">
        <f>IF($E2126="","",IFERROR(INDEX(科目表!$A$4:$A$81,MATCH($E2126,科目表!$B$4:$B$81,0)),""))</f>
        <v/>
      </c>
      <c r="G2126" s="26" t="str">
        <f>IF($E2126="","",IFERROR(INDEX(科目表!$E$4:$E$81,MATCH($E2126,科目表!$B$4:$B$81,0)),""))</f>
        <v/>
      </c>
      <c r="H2126" s="27" t="str">
        <f>IF($E2126="","",N(INDEX(成本费用登记表!$Q$4:$Y$303,6,5)))</f>
        <v/>
      </c>
      <c r="I2126" s="27" t="str">
        <f>IF($E2126="","",N(INDEX(成本费用登记表!$Q$4:$Y$303,6,6)))</f>
        <v/>
      </c>
      <c r="J2126" s="26" t="str">
        <f>IF($E2126="","",INDEX(成本费用登记表!$C$4:$C$303,6))</f>
        <v/>
      </c>
      <c r="K2126" s="26" t="str">
        <f>IF($E2126="","",INDEX(成本费用登记表!$D$4:$D$303,6))</f>
        <v/>
      </c>
      <c r="L2126" s="32" t="str">
        <f>IF($E2126="","",INDEX(成本费用登记表!$N$4:$N$303,6))</f>
        <v/>
      </c>
      <c r="M2126" s="32"/>
      <c r="N2126" s="26" t="str">
        <f t="shared" si="98"/>
        <v/>
      </c>
      <c r="O2126" s="26" t="str">
        <f t="shared" si="99"/>
        <v/>
      </c>
      <c r="P2126" s="10"/>
    </row>
    <row r="2127" ht="18" customHeight="1" spans="1:16">
      <c r="A2127" s="32" t="str">
        <f t="shared" si="100"/>
        <v/>
      </c>
      <c r="B2127" s="100" t="str">
        <f>IF($E2127="","",INDEX(成本费用登记表!$B$4:$B$303,6))</f>
        <v/>
      </c>
      <c r="C2127" s="26" t="str">
        <f t="shared" si="97"/>
        <v/>
      </c>
      <c r="D2127" s="32" t="str">
        <f>IF($E2127="","",INDEX(成本费用登记表!$E$4:$E$303,6))</f>
        <v/>
      </c>
      <c r="E2127" s="26" t="str">
        <f>IF(INDEX(成本费用登记表!$Q$4:$Y$303,6,7)=0,"",INDEX(成本费用登记表!$Q$4:$Y$303,6,7))</f>
        <v/>
      </c>
      <c r="F2127" s="25" t="str">
        <f>IF($E2127="","",IFERROR(INDEX(科目表!$A$4:$A$81,MATCH($E2127,科目表!$B$4:$B$81,0)),""))</f>
        <v/>
      </c>
      <c r="G2127" s="26" t="str">
        <f>IF($E2127="","",IFERROR(INDEX(科目表!$E$4:$E$81,MATCH($E2127,科目表!$B$4:$B$81,0)),""))</f>
        <v/>
      </c>
      <c r="H2127" s="27" t="str">
        <f>IF($E2127="","",N(INDEX(成本费用登记表!$Q$4:$Y$303,6,8)))</f>
        <v/>
      </c>
      <c r="I2127" s="27" t="str">
        <f>IF($E2127="","",N(INDEX(成本费用登记表!$Q$4:$Y$303,6,9)))</f>
        <v/>
      </c>
      <c r="J2127" s="26" t="str">
        <f>IF($E2127="","",INDEX(成本费用登记表!$C$4:$C$303,6))</f>
        <v/>
      </c>
      <c r="K2127" s="26" t="str">
        <f>IF($E2127="","",INDEX(成本费用登记表!$D$4:$D$303,6))</f>
        <v/>
      </c>
      <c r="L2127" s="32" t="str">
        <f>IF($E2127="","",INDEX(成本费用登记表!$N$4:$N$303,6))</f>
        <v/>
      </c>
      <c r="M2127" s="32"/>
      <c r="N2127" s="26" t="str">
        <f t="shared" si="98"/>
        <v/>
      </c>
      <c r="O2127" s="26" t="str">
        <f t="shared" si="99"/>
        <v/>
      </c>
      <c r="P2127" s="10"/>
    </row>
    <row r="2128" ht="18" customHeight="1" spans="1:16">
      <c r="A2128" s="32" t="str">
        <f t="shared" si="100"/>
        <v/>
      </c>
      <c r="B2128" s="100" t="str">
        <f>IF($E2128="","",INDEX(成本费用登记表!$B$4:$B$303,7))</f>
        <v/>
      </c>
      <c r="C2128" s="26" t="str">
        <f t="shared" si="97"/>
        <v/>
      </c>
      <c r="D2128" s="32" t="str">
        <f>IF($E2128="","",INDEX(成本费用登记表!$E$4:$E$303,7))</f>
        <v/>
      </c>
      <c r="E2128" s="26" t="str">
        <f>IF(INDEX(成本费用登记表!$Q$4:$Y$303,7,1)=0,"",INDEX(成本费用登记表!$Q$4:$Y$303,7,1))</f>
        <v/>
      </c>
      <c r="F2128" s="25" t="str">
        <f>IF($E2128="","",IFERROR(INDEX(科目表!$A$4:$A$81,MATCH($E2128,科目表!$B$4:$B$81,0)),""))</f>
        <v/>
      </c>
      <c r="G2128" s="26" t="str">
        <f>IF($E2128="","",IFERROR(INDEX(科目表!$E$4:$E$81,MATCH($E2128,科目表!$B$4:$B$81,0)),""))</f>
        <v/>
      </c>
      <c r="H2128" s="27" t="str">
        <f>IF($E2128="","",N(INDEX(成本费用登记表!$Q$4:$Y$303,7,2)))</f>
        <v/>
      </c>
      <c r="I2128" s="27" t="str">
        <f>IF($E2128="","",N(INDEX(成本费用登记表!$Q$4:$Y$303,7,3)))</f>
        <v/>
      </c>
      <c r="J2128" s="26" t="str">
        <f>IF($E2128="","",INDEX(成本费用登记表!$C$4:$C$303,7))</f>
        <v/>
      </c>
      <c r="K2128" s="26" t="str">
        <f>IF($E2128="","",INDEX(成本费用登记表!$D$4:$D$303,7))</f>
        <v/>
      </c>
      <c r="L2128" s="32" t="str">
        <f>IF($E2128="","",INDEX(成本费用登记表!$N$4:$N$303,7))</f>
        <v/>
      </c>
      <c r="M2128" s="32"/>
      <c r="N2128" s="26" t="str">
        <f t="shared" si="98"/>
        <v/>
      </c>
      <c r="O2128" s="26" t="str">
        <f t="shared" si="99"/>
        <v/>
      </c>
      <c r="P2128" s="10"/>
    </row>
    <row r="2129" ht="18" customHeight="1" spans="1:16">
      <c r="A2129" s="32" t="str">
        <f t="shared" si="100"/>
        <v/>
      </c>
      <c r="B2129" s="100" t="str">
        <f>IF($E2129="","",INDEX(成本费用登记表!$B$4:$B$303,7))</f>
        <v/>
      </c>
      <c r="C2129" s="26" t="str">
        <f t="shared" si="97"/>
        <v/>
      </c>
      <c r="D2129" s="32" t="str">
        <f>IF($E2129="","",INDEX(成本费用登记表!$E$4:$E$303,7))</f>
        <v/>
      </c>
      <c r="E2129" s="26" t="str">
        <f>IF(INDEX(成本费用登记表!$Q$4:$Y$303,7,4)=0,"",INDEX(成本费用登记表!$Q$4:$Y$303,7,4))</f>
        <v/>
      </c>
      <c r="F2129" s="25" t="str">
        <f>IF($E2129="","",IFERROR(INDEX(科目表!$A$4:$A$81,MATCH($E2129,科目表!$B$4:$B$81,0)),""))</f>
        <v/>
      </c>
      <c r="G2129" s="26" t="str">
        <f>IF($E2129="","",IFERROR(INDEX(科目表!$E$4:$E$81,MATCH($E2129,科目表!$B$4:$B$81,0)),""))</f>
        <v/>
      </c>
      <c r="H2129" s="27" t="str">
        <f>IF($E2129="","",N(INDEX(成本费用登记表!$Q$4:$Y$303,7,5)))</f>
        <v/>
      </c>
      <c r="I2129" s="27" t="str">
        <f>IF($E2129="","",N(INDEX(成本费用登记表!$Q$4:$Y$303,7,6)))</f>
        <v/>
      </c>
      <c r="J2129" s="26" t="str">
        <f>IF($E2129="","",INDEX(成本费用登记表!$C$4:$C$303,7))</f>
        <v/>
      </c>
      <c r="K2129" s="26" t="str">
        <f>IF($E2129="","",INDEX(成本费用登记表!$D$4:$D$303,7))</f>
        <v/>
      </c>
      <c r="L2129" s="32" t="str">
        <f>IF($E2129="","",INDEX(成本费用登记表!$N$4:$N$303,7))</f>
        <v/>
      </c>
      <c r="M2129" s="32"/>
      <c r="N2129" s="26" t="str">
        <f t="shared" si="98"/>
        <v/>
      </c>
      <c r="O2129" s="26" t="str">
        <f t="shared" si="99"/>
        <v/>
      </c>
      <c r="P2129" s="10"/>
    </row>
    <row r="2130" ht="18" customHeight="1" spans="1:16">
      <c r="A2130" s="32" t="str">
        <f t="shared" si="100"/>
        <v/>
      </c>
      <c r="B2130" s="100" t="str">
        <f>IF($E2130="","",INDEX(成本费用登记表!$B$4:$B$303,7))</f>
        <v/>
      </c>
      <c r="C2130" s="26" t="str">
        <f t="shared" si="97"/>
        <v/>
      </c>
      <c r="D2130" s="32" t="str">
        <f>IF($E2130="","",INDEX(成本费用登记表!$E$4:$E$303,7))</f>
        <v/>
      </c>
      <c r="E2130" s="26" t="str">
        <f>IF(INDEX(成本费用登记表!$Q$4:$Y$303,7,7)=0,"",INDEX(成本费用登记表!$Q$4:$Y$303,7,7))</f>
        <v/>
      </c>
      <c r="F2130" s="25" t="str">
        <f>IF($E2130="","",IFERROR(INDEX(科目表!$A$4:$A$81,MATCH($E2130,科目表!$B$4:$B$81,0)),""))</f>
        <v/>
      </c>
      <c r="G2130" s="26" t="str">
        <f>IF($E2130="","",IFERROR(INDEX(科目表!$E$4:$E$81,MATCH($E2130,科目表!$B$4:$B$81,0)),""))</f>
        <v/>
      </c>
      <c r="H2130" s="27" t="str">
        <f>IF($E2130="","",N(INDEX(成本费用登记表!$Q$4:$Y$303,7,8)))</f>
        <v/>
      </c>
      <c r="I2130" s="27" t="str">
        <f>IF($E2130="","",N(INDEX(成本费用登记表!$Q$4:$Y$303,7,9)))</f>
        <v/>
      </c>
      <c r="J2130" s="26" t="str">
        <f>IF($E2130="","",INDEX(成本费用登记表!$C$4:$C$303,7))</f>
        <v/>
      </c>
      <c r="K2130" s="26" t="str">
        <f>IF($E2130="","",INDEX(成本费用登记表!$D$4:$D$303,7))</f>
        <v/>
      </c>
      <c r="L2130" s="32" t="str">
        <f>IF($E2130="","",INDEX(成本费用登记表!$N$4:$N$303,7))</f>
        <v/>
      </c>
      <c r="M2130" s="32"/>
      <c r="N2130" s="26" t="str">
        <f t="shared" si="98"/>
        <v/>
      </c>
      <c r="O2130" s="26" t="str">
        <f t="shared" si="99"/>
        <v/>
      </c>
      <c r="P2130" s="10"/>
    </row>
    <row r="2131" ht="18" customHeight="1" spans="1:16">
      <c r="A2131" s="32" t="str">
        <f t="shared" si="100"/>
        <v/>
      </c>
      <c r="B2131" s="100" t="str">
        <f>IF($E2131="","",INDEX(成本费用登记表!$B$4:$B$303,8))</f>
        <v/>
      </c>
      <c r="C2131" s="26" t="str">
        <f t="shared" si="97"/>
        <v/>
      </c>
      <c r="D2131" s="32" t="str">
        <f>IF($E2131="","",INDEX(成本费用登记表!$E$4:$E$303,8))</f>
        <v/>
      </c>
      <c r="E2131" s="26" t="str">
        <f>IF(INDEX(成本费用登记表!$Q$4:$Y$303,8,1)=0,"",INDEX(成本费用登记表!$Q$4:$Y$303,8,1))</f>
        <v/>
      </c>
      <c r="F2131" s="25" t="str">
        <f>IF($E2131="","",IFERROR(INDEX(科目表!$A$4:$A$81,MATCH($E2131,科目表!$B$4:$B$81,0)),""))</f>
        <v/>
      </c>
      <c r="G2131" s="26" t="str">
        <f>IF($E2131="","",IFERROR(INDEX(科目表!$E$4:$E$81,MATCH($E2131,科目表!$B$4:$B$81,0)),""))</f>
        <v/>
      </c>
      <c r="H2131" s="27" t="str">
        <f>IF($E2131="","",N(INDEX(成本费用登记表!$Q$4:$Y$303,8,2)))</f>
        <v/>
      </c>
      <c r="I2131" s="27" t="str">
        <f>IF($E2131="","",N(INDEX(成本费用登记表!$Q$4:$Y$303,8,3)))</f>
        <v/>
      </c>
      <c r="J2131" s="26" t="str">
        <f>IF($E2131="","",INDEX(成本费用登记表!$C$4:$C$303,8))</f>
        <v/>
      </c>
      <c r="K2131" s="26" t="str">
        <f>IF($E2131="","",INDEX(成本费用登记表!$D$4:$D$303,8))</f>
        <v/>
      </c>
      <c r="L2131" s="32" t="str">
        <f>IF($E2131="","",INDEX(成本费用登记表!$N$4:$N$303,8))</f>
        <v/>
      </c>
      <c r="M2131" s="32"/>
      <c r="N2131" s="26" t="str">
        <f t="shared" si="98"/>
        <v/>
      </c>
      <c r="O2131" s="26" t="str">
        <f t="shared" si="99"/>
        <v/>
      </c>
      <c r="P2131" s="10"/>
    </row>
    <row r="2132" ht="18" customHeight="1" spans="1:16">
      <c r="A2132" s="32" t="str">
        <f t="shared" si="100"/>
        <v/>
      </c>
      <c r="B2132" s="100" t="str">
        <f>IF($E2132="","",INDEX(成本费用登记表!$B$4:$B$303,8))</f>
        <v/>
      </c>
      <c r="C2132" s="26" t="str">
        <f t="shared" si="97"/>
        <v/>
      </c>
      <c r="D2132" s="32" t="str">
        <f>IF($E2132="","",INDEX(成本费用登记表!$E$4:$E$303,8))</f>
        <v/>
      </c>
      <c r="E2132" s="26" t="str">
        <f>IF(INDEX(成本费用登记表!$Q$4:$Y$303,8,4)=0,"",INDEX(成本费用登记表!$Q$4:$Y$303,8,4))</f>
        <v/>
      </c>
      <c r="F2132" s="25" t="str">
        <f>IF($E2132="","",IFERROR(INDEX(科目表!$A$4:$A$81,MATCH($E2132,科目表!$B$4:$B$81,0)),""))</f>
        <v/>
      </c>
      <c r="G2132" s="26" t="str">
        <f>IF($E2132="","",IFERROR(INDEX(科目表!$E$4:$E$81,MATCH($E2132,科目表!$B$4:$B$81,0)),""))</f>
        <v/>
      </c>
      <c r="H2132" s="27" t="str">
        <f>IF($E2132="","",N(INDEX(成本费用登记表!$Q$4:$Y$303,8,5)))</f>
        <v/>
      </c>
      <c r="I2132" s="27" t="str">
        <f>IF($E2132="","",N(INDEX(成本费用登记表!$Q$4:$Y$303,8,6)))</f>
        <v/>
      </c>
      <c r="J2132" s="26" t="str">
        <f>IF($E2132="","",INDEX(成本费用登记表!$C$4:$C$303,8))</f>
        <v/>
      </c>
      <c r="K2132" s="26" t="str">
        <f>IF($E2132="","",INDEX(成本费用登记表!$D$4:$D$303,8))</f>
        <v/>
      </c>
      <c r="L2132" s="32" t="str">
        <f>IF($E2132="","",INDEX(成本费用登记表!$N$4:$N$303,8))</f>
        <v/>
      </c>
      <c r="M2132" s="32"/>
      <c r="N2132" s="26" t="str">
        <f t="shared" si="98"/>
        <v/>
      </c>
      <c r="O2132" s="26" t="str">
        <f t="shared" si="99"/>
        <v/>
      </c>
      <c r="P2132" s="10"/>
    </row>
    <row r="2133" ht="18" customHeight="1" spans="1:16">
      <c r="A2133" s="32" t="str">
        <f t="shared" si="100"/>
        <v/>
      </c>
      <c r="B2133" s="100" t="str">
        <f>IF($E2133="","",INDEX(成本费用登记表!$B$4:$B$303,8))</f>
        <v/>
      </c>
      <c r="C2133" s="26" t="str">
        <f t="shared" si="97"/>
        <v/>
      </c>
      <c r="D2133" s="32" t="str">
        <f>IF($E2133="","",INDEX(成本费用登记表!$E$4:$E$303,8))</f>
        <v/>
      </c>
      <c r="E2133" s="26" t="str">
        <f>IF(INDEX(成本费用登记表!$Q$4:$Y$303,8,7)=0,"",INDEX(成本费用登记表!$Q$4:$Y$303,8,7))</f>
        <v/>
      </c>
      <c r="F2133" s="25" t="str">
        <f>IF($E2133="","",IFERROR(INDEX(科目表!$A$4:$A$81,MATCH($E2133,科目表!$B$4:$B$81,0)),""))</f>
        <v/>
      </c>
      <c r="G2133" s="26" t="str">
        <f>IF($E2133="","",IFERROR(INDEX(科目表!$E$4:$E$81,MATCH($E2133,科目表!$B$4:$B$81,0)),""))</f>
        <v/>
      </c>
      <c r="H2133" s="27" t="str">
        <f>IF($E2133="","",N(INDEX(成本费用登记表!$Q$4:$Y$303,8,8)))</f>
        <v/>
      </c>
      <c r="I2133" s="27" t="str">
        <f>IF($E2133="","",N(INDEX(成本费用登记表!$Q$4:$Y$303,8,9)))</f>
        <v/>
      </c>
      <c r="J2133" s="26" t="str">
        <f>IF($E2133="","",INDEX(成本费用登记表!$C$4:$C$303,8))</f>
        <v/>
      </c>
      <c r="K2133" s="26" t="str">
        <f>IF($E2133="","",INDEX(成本费用登记表!$D$4:$D$303,8))</f>
        <v/>
      </c>
      <c r="L2133" s="32" t="str">
        <f>IF($E2133="","",INDEX(成本费用登记表!$N$4:$N$303,8))</f>
        <v/>
      </c>
      <c r="M2133" s="32"/>
      <c r="N2133" s="26" t="str">
        <f t="shared" si="98"/>
        <v/>
      </c>
      <c r="O2133" s="26" t="str">
        <f t="shared" si="99"/>
        <v/>
      </c>
      <c r="P2133" s="10"/>
    </row>
    <row r="2134" ht="18" customHeight="1" spans="1:16">
      <c r="A2134" s="32" t="str">
        <f t="shared" si="100"/>
        <v/>
      </c>
      <c r="B2134" s="100" t="str">
        <f>IF($E2134="","",INDEX(成本费用登记表!$B$4:$B$303,9))</f>
        <v/>
      </c>
      <c r="C2134" s="26" t="str">
        <f t="shared" si="97"/>
        <v/>
      </c>
      <c r="D2134" s="32" t="str">
        <f>IF($E2134="","",INDEX(成本费用登记表!$E$4:$E$303,9))</f>
        <v/>
      </c>
      <c r="E2134" s="26" t="str">
        <f>IF(INDEX(成本费用登记表!$Q$4:$Y$303,9,1)=0,"",INDEX(成本费用登记表!$Q$4:$Y$303,9,1))</f>
        <v/>
      </c>
      <c r="F2134" s="25" t="str">
        <f>IF($E2134="","",IFERROR(INDEX(科目表!$A$4:$A$81,MATCH($E2134,科目表!$B$4:$B$81,0)),""))</f>
        <v/>
      </c>
      <c r="G2134" s="26" t="str">
        <f>IF($E2134="","",IFERROR(INDEX(科目表!$E$4:$E$81,MATCH($E2134,科目表!$B$4:$B$81,0)),""))</f>
        <v/>
      </c>
      <c r="H2134" s="27" t="str">
        <f>IF($E2134="","",N(INDEX(成本费用登记表!$Q$4:$Y$303,9,2)))</f>
        <v/>
      </c>
      <c r="I2134" s="27" t="str">
        <f>IF($E2134="","",N(INDEX(成本费用登记表!$Q$4:$Y$303,9,3)))</f>
        <v/>
      </c>
      <c r="J2134" s="26" t="str">
        <f>IF($E2134="","",INDEX(成本费用登记表!$C$4:$C$303,9))</f>
        <v/>
      </c>
      <c r="K2134" s="26" t="str">
        <f>IF($E2134="","",INDEX(成本费用登记表!$D$4:$D$303,9))</f>
        <v/>
      </c>
      <c r="L2134" s="32" t="str">
        <f>IF($E2134="","",INDEX(成本费用登记表!$N$4:$N$303,9))</f>
        <v/>
      </c>
      <c r="M2134" s="32"/>
      <c r="N2134" s="26" t="str">
        <f t="shared" si="98"/>
        <v/>
      </c>
      <c r="O2134" s="26" t="str">
        <f t="shared" si="99"/>
        <v/>
      </c>
      <c r="P2134" s="10"/>
    </row>
    <row r="2135" ht="18" customHeight="1" spans="1:16">
      <c r="A2135" s="32" t="str">
        <f t="shared" si="100"/>
        <v/>
      </c>
      <c r="B2135" s="100" t="str">
        <f>IF($E2135="","",INDEX(成本费用登记表!$B$4:$B$303,9))</f>
        <v/>
      </c>
      <c r="C2135" s="26" t="str">
        <f t="shared" si="97"/>
        <v/>
      </c>
      <c r="D2135" s="32" t="str">
        <f>IF($E2135="","",INDEX(成本费用登记表!$E$4:$E$303,9))</f>
        <v/>
      </c>
      <c r="E2135" s="26" t="str">
        <f>IF(INDEX(成本费用登记表!$Q$4:$Y$303,9,4)=0,"",INDEX(成本费用登记表!$Q$4:$Y$303,9,4))</f>
        <v/>
      </c>
      <c r="F2135" s="25" t="str">
        <f>IF($E2135="","",IFERROR(INDEX(科目表!$A$4:$A$81,MATCH($E2135,科目表!$B$4:$B$81,0)),""))</f>
        <v/>
      </c>
      <c r="G2135" s="26" t="str">
        <f>IF($E2135="","",IFERROR(INDEX(科目表!$E$4:$E$81,MATCH($E2135,科目表!$B$4:$B$81,0)),""))</f>
        <v/>
      </c>
      <c r="H2135" s="27" t="str">
        <f>IF($E2135="","",N(INDEX(成本费用登记表!$Q$4:$Y$303,9,5)))</f>
        <v/>
      </c>
      <c r="I2135" s="27" t="str">
        <f>IF($E2135="","",N(INDEX(成本费用登记表!$Q$4:$Y$303,9,6)))</f>
        <v/>
      </c>
      <c r="J2135" s="26" t="str">
        <f>IF($E2135="","",INDEX(成本费用登记表!$C$4:$C$303,9))</f>
        <v/>
      </c>
      <c r="K2135" s="26" t="str">
        <f>IF($E2135="","",INDEX(成本费用登记表!$D$4:$D$303,9))</f>
        <v/>
      </c>
      <c r="L2135" s="32" t="str">
        <f>IF($E2135="","",INDEX(成本费用登记表!$N$4:$N$303,9))</f>
        <v/>
      </c>
      <c r="M2135" s="32"/>
      <c r="N2135" s="26" t="str">
        <f t="shared" si="98"/>
        <v/>
      </c>
      <c r="O2135" s="26" t="str">
        <f t="shared" si="99"/>
        <v/>
      </c>
      <c r="P2135" s="10"/>
    </row>
    <row r="2136" ht="18" customHeight="1" spans="1:16">
      <c r="A2136" s="32" t="str">
        <f t="shared" si="100"/>
        <v/>
      </c>
      <c r="B2136" s="100" t="str">
        <f>IF($E2136="","",INDEX(成本费用登记表!$B$4:$B$303,9))</f>
        <v/>
      </c>
      <c r="C2136" s="26" t="str">
        <f t="shared" si="97"/>
        <v/>
      </c>
      <c r="D2136" s="32" t="str">
        <f>IF($E2136="","",INDEX(成本费用登记表!$E$4:$E$303,9))</f>
        <v/>
      </c>
      <c r="E2136" s="26" t="str">
        <f>IF(INDEX(成本费用登记表!$Q$4:$Y$303,9,7)=0,"",INDEX(成本费用登记表!$Q$4:$Y$303,9,7))</f>
        <v/>
      </c>
      <c r="F2136" s="25" t="str">
        <f>IF($E2136="","",IFERROR(INDEX(科目表!$A$4:$A$81,MATCH($E2136,科目表!$B$4:$B$81,0)),""))</f>
        <v/>
      </c>
      <c r="G2136" s="26" t="str">
        <f>IF($E2136="","",IFERROR(INDEX(科目表!$E$4:$E$81,MATCH($E2136,科目表!$B$4:$B$81,0)),""))</f>
        <v/>
      </c>
      <c r="H2136" s="27" t="str">
        <f>IF($E2136="","",N(INDEX(成本费用登记表!$Q$4:$Y$303,9,8)))</f>
        <v/>
      </c>
      <c r="I2136" s="27" t="str">
        <f>IF($E2136="","",N(INDEX(成本费用登记表!$Q$4:$Y$303,9,9)))</f>
        <v/>
      </c>
      <c r="J2136" s="26" t="str">
        <f>IF($E2136="","",INDEX(成本费用登记表!$C$4:$C$303,9))</f>
        <v/>
      </c>
      <c r="K2136" s="26" t="str">
        <f>IF($E2136="","",INDEX(成本费用登记表!$D$4:$D$303,9))</f>
        <v/>
      </c>
      <c r="L2136" s="32" t="str">
        <f>IF($E2136="","",INDEX(成本费用登记表!$N$4:$N$303,9))</f>
        <v/>
      </c>
      <c r="M2136" s="32"/>
      <c r="N2136" s="26" t="str">
        <f t="shared" si="98"/>
        <v/>
      </c>
      <c r="O2136" s="26" t="str">
        <f t="shared" si="99"/>
        <v/>
      </c>
      <c r="P2136" s="10"/>
    </row>
    <row r="2137" ht="18" customHeight="1" spans="1:16">
      <c r="A2137" s="32" t="str">
        <f t="shared" si="100"/>
        <v/>
      </c>
      <c r="B2137" s="100" t="str">
        <f>IF($E2137="","",INDEX(成本费用登记表!$B$4:$B$303,10))</f>
        <v/>
      </c>
      <c r="C2137" s="26" t="str">
        <f t="shared" si="97"/>
        <v/>
      </c>
      <c r="D2137" s="32" t="str">
        <f>IF($E2137="","",INDEX(成本费用登记表!$E$4:$E$303,10))</f>
        <v/>
      </c>
      <c r="E2137" s="26" t="str">
        <f>IF(INDEX(成本费用登记表!$Q$4:$Y$303,10,1)=0,"",INDEX(成本费用登记表!$Q$4:$Y$303,10,1))</f>
        <v/>
      </c>
      <c r="F2137" s="25" t="str">
        <f>IF($E2137="","",IFERROR(INDEX(科目表!$A$4:$A$81,MATCH($E2137,科目表!$B$4:$B$81,0)),""))</f>
        <v/>
      </c>
      <c r="G2137" s="26" t="str">
        <f>IF($E2137="","",IFERROR(INDEX(科目表!$E$4:$E$81,MATCH($E2137,科目表!$B$4:$B$81,0)),""))</f>
        <v/>
      </c>
      <c r="H2137" s="27" t="str">
        <f>IF($E2137="","",N(INDEX(成本费用登记表!$Q$4:$Y$303,10,2)))</f>
        <v/>
      </c>
      <c r="I2137" s="27" t="str">
        <f>IF($E2137="","",N(INDEX(成本费用登记表!$Q$4:$Y$303,10,3)))</f>
        <v/>
      </c>
      <c r="J2137" s="26" t="str">
        <f>IF($E2137="","",INDEX(成本费用登记表!$C$4:$C$303,10))</f>
        <v/>
      </c>
      <c r="K2137" s="26" t="str">
        <f>IF($E2137="","",INDEX(成本费用登记表!$D$4:$D$303,10))</f>
        <v/>
      </c>
      <c r="L2137" s="32" t="str">
        <f>IF($E2137="","",INDEX(成本费用登记表!$N$4:$N$303,10))</f>
        <v/>
      </c>
      <c r="M2137" s="32"/>
      <c r="N2137" s="26" t="str">
        <f t="shared" si="98"/>
        <v/>
      </c>
      <c r="O2137" s="26" t="str">
        <f t="shared" si="99"/>
        <v/>
      </c>
      <c r="P2137" s="10"/>
    </row>
    <row r="2138" ht="18" customHeight="1" spans="1:16">
      <c r="A2138" s="32" t="str">
        <f t="shared" si="100"/>
        <v/>
      </c>
      <c r="B2138" s="100" t="str">
        <f>IF($E2138="","",INDEX(成本费用登记表!$B$4:$B$303,10))</f>
        <v/>
      </c>
      <c r="C2138" s="26" t="str">
        <f t="shared" si="97"/>
        <v/>
      </c>
      <c r="D2138" s="32" t="str">
        <f>IF($E2138="","",INDEX(成本费用登记表!$E$4:$E$303,10))</f>
        <v/>
      </c>
      <c r="E2138" s="26" t="str">
        <f>IF(INDEX(成本费用登记表!$Q$4:$Y$303,10,4)=0,"",INDEX(成本费用登记表!$Q$4:$Y$303,10,4))</f>
        <v/>
      </c>
      <c r="F2138" s="25" t="str">
        <f>IF($E2138="","",IFERROR(INDEX(科目表!$A$4:$A$81,MATCH($E2138,科目表!$B$4:$B$81,0)),""))</f>
        <v/>
      </c>
      <c r="G2138" s="26" t="str">
        <f>IF($E2138="","",IFERROR(INDEX(科目表!$E$4:$E$81,MATCH($E2138,科目表!$B$4:$B$81,0)),""))</f>
        <v/>
      </c>
      <c r="H2138" s="27" t="str">
        <f>IF($E2138="","",N(INDEX(成本费用登记表!$Q$4:$Y$303,10,5)))</f>
        <v/>
      </c>
      <c r="I2138" s="27" t="str">
        <f>IF($E2138="","",N(INDEX(成本费用登记表!$Q$4:$Y$303,10,6)))</f>
        <v/>
      </c>
      <c r="J2138" s="26" t="str">
        <f>IF($E2138="","",INDEX(成本费用登记表!$C$4:$C$303,10))</f>
        <v/>
      </c>
      <c r="K2138" s="26" t="str">
        <f>IF($E2138="","",INDEX(成本费用登记表!$D$4:$D$303,10))</f>
        <v/>
      </c>
      <c r="L2138" s="32" t="str">
        <f>IF($E2138="","",INDEX(成本费用登记表!$N$4:$N$303,10))</f>
        <v/>
      </c>
      <c r="M2138" s="32"/>
      <c r="N2138" s="26" t="str">
        <f t="shared" si="98"/>
        <v/>
      </c>
      <c r="O2138" s="26" t="str">
        <f t="shared" si="99"/>
        <v/>
      </c>
      <c r="P2138" s="10"/>
    </row>
    <row r="2139" ht="18" customHeight="1" spans="1:16">
      <c r="A2139" s="32" t="str">
        <f t="shared" si="100"/>
        <v/>
      </c>
      <c r="B2139" s="100" t="str">
        <f>IF($E2139="","",INDEX(成本费用登记表!$B$4:$B$303,10))</f>
        <v/>
      </c>
      <c r="C2139" s="26" t="str">
        <f t="shared" si="97"/>
        <v/>
      </c>
      <c r="D2139" s="32" t="str">
        <f>IF($E2139="","",INDEX(成本费用登记表!$E$4:$E$303,10))</f>
        <v/>
      </c>
      <c r="E2139" s="26" t="str">
        <f>IF(INDEX(成本费用登记表!$Q$4:$Y$303,10,7)=0,"",INDEX(成本费用登记表!$Q$4:$Y$303,10,7))</f>
        <v/>
      </c>
      <c r="F2139" s="25" t="str">
        <f>IF($E2139="","",IFERROR(INDEX(科目表!$A$4:$A$81,MATCH($E2139,科目表!$B$4:$B$81,0)),""))</f>
        <v/>
      </c>
      <c r="G2139" s="26" t="str">
        <f>IF($E2139="","",IFERROR(INDEX(科目表!$E$4:$E$81,MATCH($E2139,科目表!$B$4:$B$81,0)),""))</f>
        <v/>
      </c>
      <c r="H2139" s="27" t="str">
        <f>IF($E2139="","",N(INDEX(成本费用登记表!$Q$4:$Y$303,10,8)))</f>
        <v/>
      </c>
      <c r="I2139" s="27" t="str">
        <f>IF($E2139="","",N(INDEX(成本费用登记表!$Q$4:$Y$303,10,9)))</f>
        <v/>
      </c>
      <c r="J2139" s="26" t="str">
        <f>IF($E2139="","",INDEX(成本费用登记表!$C$4:$C$303,10))</f>
        <v/>
      </c>
      <c r="K2139" s="26" t="str">
        <f>IF($E2139="","",INDEX(成本费用登记表!$D$4:$D$303,10))</f>
        <v/>
      </c>
      <c r="L2139" s="32" t="str">
        <f>IF($E2139="","",INDEX(成本费用登记表!$N$4:$N$303,10))</f>
        <v/>
      </c>
      <c r="M2139" s="32"/>
      <c r="N2139" s="26" t="str">
        <f t="shared" si="98"/>
        <v/>
      </c>
      <c r="O2139" s="26" t="str">
        <f t="shared" si="99"/>
        <v/>
      </c>
      <c r="P2139" s="10"/>
    </row>
    <row r="2140" ht="18" customHeight="1" spans="1:16">
      <c r="A2140" s="32" t="str">
        <f t="shared" si="100"/>
        <v/>
      </c>
      <c r="B2140" s="100" t="str">
        <f>IF($E2140="","",INDEX(成本费用登记表!$B$4:$B$303,11))</f>
        <v/>
      </c>
      <c r="C2140" s="26" t="str">
        <f t="shared" si="97"/>
        <v/>
      </c>
      <c r="D2140" s="32" t="str">
        <f>IF($E2140="","",INDEX(成本费用登记表!$E$4:$E$303,11))</f>
        <v/>
      </c>
      <c r="E2140" s="26" t="str">
        <f>IF(INDEX(成本费用登记表!$Q$4:$Y$303,11,1)=0,"",INDEX(成本费用登记表!$Q$4:$Y$303,11,1))</f>
        <v/>
      </c>
      <c r="F2140" s="25" t="str">
        <f>IF($E2140="","",IFERROR(INDEX(科目表!$A$4:$A$81,MATCH($E2140,科目表!$B$4:$B$81,0)),""))</f>
        <v/>
      </c>
      <c r="G2140" s="26" t="str">
        <f>IF($E2140="","",IFERROR(INDEX(科目表!$E$4:$E$81,MATCH($E2140,科目表!$B$4:$B$81,0)),""))</f>
        <v/>
      </c>
      <c r="H2140" s="27" t="str">
        <f>IF($E2140="","",N(INDEX(成本费用登记表!$Q$4:$Y$303,11,2)))</f>
        <v/>
      </c>
      <c r="I2140" s="27" t="str">
        <f>IF($E2140="","",N(INDEX(成本费用登记表!$Q$4:$Y$303,11,3)))</f>
        <v/>
      </c>
      <c r="J2140" s="26" t="str">
        <f>IF($E2140="","",INDEX(成本费用登记表!$C$4:$C$303,11))</f>
        <v/>
      </c>
      <c r="K2140" s="26" t="str">
        <f>IF($E2140="","",INDEX(成本费用登记表!$D$4:$D$303,11))</f>
        <v/>
      </c>
      <c r="L2140" s="32" t="str">
        <f>IF($E2140="","",INDEX(成本费用登记表!$N$4:$N$303,11))</f>
        <v/>
      </c>
      <c r="M2140" s="32"/>
      <c r="N2140" s="26" t="str">
        <f t="shared" si="98"/>
        <v/>
      </c>
      <c r="O2140" s="26" t="str">
        <f t="shared" si="99"/>
        <v/>
      </c>
      <c r="P2140" s="10"/>
    </row>
    <row r="2141" ht="18" customHeight="1" spans="1:16">
      <c r="A2141" s="32" t="str">
        <f t="shared" si="100"/>
        <v/>
      </c>
      <c r="B2141" s="100" t="str">
        <f>IF($E2141="","",INDEX(成本费用登记表!$B$4:$B$303,11))</f>
        <v/>
      </c>
      <c r="C2141" s="26" t="str">
        <f t="shared" si="97"/>
        <v/>
      </c>
      <c r="D2141" s="32" t="str">
        <f>IF($E2141="","",INDEX(成本费用登记表!$E$4:$E$303,11))</f>
        <v/>
      </c>
      <c r="E2141" s="26" t="str">
        <f>IF(INDEX(成本费用登记表!$Q$4:$Y$303,11,4)=0,"",INDEX(成本费用登记表!$Q$4:$Y$303,11,4))</f>
        <v/>
      </c>
      <c r="F2141" s="25" t="str">
        <f>IF($E2141="","",IFERROR(INDEX(科目表!$A$4:$A$81,MATCH($E2141,科目表!$B$4:$B$81,0)),""))</f>
        <v/>
      </c>
      <c r="G2141" s="26" t="str">
        <f>IF($E2141="","",IFERROR(INDEX(科目表!$E$4:$E$81,MATCH($E2141,科目表!$B$4:$B$81,0)),""))</f>
        <v/>
      </c>
      <c r="H2141" s="27" t="str">
        <f>IF($E2141="","",N(INDEX(成本费用登记表!$Q$4:$Y$303,11,5)))</f>
        <v/>
      </c>
      <c r="I2141" s="27" t="str">
        <f>IF($E2141="","",N(INDEX(成本费用登记表!$Q$4:$Y$303,11,6)))</f>
        <v/>
      </c>
      <c r="J2141" s="26" t="str">
        <f>IF($E2141="","",INDEX(成本费用登记表!$C$4:$C$303,11))</f>
        <v/>
      </c>
      <c r="K2141" s="26" t="str">
        <f>IF($E2141="","",INDEX(成本费用登记表!$D$4:$D$303,11))</f>
        <v/>
      </c>
      <c r="L2141" s="32" t="str">
        <f>IF($E2141="","",INDEX(成本费用登记表!$N$4:$N$303,11))</f>
        <v/>
      </c>
      <c r="M2141" s="32"/>
      <c r="N2141" s="26" t="str">
        <f t="shared" si="98"/>
        <v/>
      </c>
      <c r="O2141" s="26" t="str">
        <f t="shared" si="99"/>
        <v/>
      </c>
      <c r="P2141" s="10"/>
    </row>
    <row r="2142" ht="18" customHeight="1" spans="1:16">
      <c r="A2142" s="32" t="str">
        <f t="shared" si="100"/>
        <v/>
      </c>
      <c r="B2142" s="100" t="str">
        <f>IF($E2142="","",INDEX(成本费用登记表!$B$4:$B$303,11))</f>
        <v/>
      </c>
      <c r="C2142" s="26" t="str">
        <f t="shared" si="97"/>
        <v/>
      </c>
      <c r="D2142" s="32" t="str">
        <f>IF($E2142="","",INDEX(成本费用登记表!$E$4:$E$303,11))</f>
        <v/>
      </c>
      <c r="E2142" s="26" t="str">
        <f>IF(INDEX(成本费用登记表!$Q$4:$Y$303,11,7)=0,"",INDEX(成本费用登记表!$Q$4:$Y$303,11,7))</f>
        <v/>
      </c>
      <c r="F2142" s="25" t="str">
        <f>IF($E2142="","",IFERROR(INDEX(科目表!$A$4:$A$81,MATCH($E2142,科目表!$B$4:$B$81,0)),""))</f>
        <v/>
      </c>
      <c r="G2142" s="26" t="str">
        <f>IF($E2142="","",IFERROR(INDEX(科目表!$E$4:$E$81,MATCH($E2142,科目表!$B$4:$B$81,0)),""))</f>
        <v/>
      </c>
      <c r="H2142" s="27" t="str">
        <f>IF($E2142="","",N(INDEX(成本费用登记表!$Q$4:$Y$303,11,8)))</f>
        <v/>
      </c>
      <c r="I2142" s="27" t="str">
        <f>IF($E2142="","",N(INDEX(成本费用登记表!$Q$4:$Y$303,11,9)))</f>
        <v/>
      </c>
      <c r="J2142" s="26" t="str">
        <f>IF($E2142="","",INDEX(成本费用登记表!$C$4:$C$303,11))</f>
        <v/>
      </c>
      <c r="K2142" s="26" t="str">
        <f>IF($E2142="","",INDEX(成本费用登记表!$D$4:$D$303,11))</f>
        <v/>
      </c>
      <c r="L2142" s="32" t="str">
        <f>IF($E2142="","",INDEX(成本费用登记表!$N$4:$N$303,11))</f>
        <v/>
      </c>
      <c r="M2142" s="32"/>
      <c r="N2142" s="26" t="str">
        <f t="shared" si="98"/>
        <v/>
      </c>
      <c r="O2142" s="26" t="str">
        <f t="shared" si="99"/>
        <v/>
      </c>
      <c r="P2142" s="10"/>
    </row>
    <row r="2143" ht="18" customHeight="1" spans="1:16">
      <c r="A2143" s="32" t="str">
        <f t="shared" si="100"/>
        <v/>
      </c>
      <c r="B2143" s="100" t="str">
        <f>IF($E2143="","",INDEX(成本费用登记表!$B$4:$B$303,12))</f>
        <v/>
      </c>
      <c r="C2143" s="26" t="str">
        <f t="shared" si="97"/>
        <v/>
      </c>
      <c r="D2143" s="32" t="str">
        <f>IF($E2143="","",INDEX(成本费用登记表!$E$4:$E$303,12))</f>
        <v/>
      </c>
      <c r="E2143" s="26" t="str">
        <f>IF(INDEX(成本费用登记表!$Q$4:$Y$303,12,1)=0,"",INDEX(成本费用登记表!$Q$4:$Y$303,12,1))</f>
        <v/>
      </c>
      <c r="F2143" s="25" t="str">
        <f>IF($E2143="","",IFERROR(INDEX(科目表!$A$4:$A$81,MATCH($E2143,科目表!$B$4:$B$81,0)),""))</f>
        <v/>
      </c>
      <c r="G2143" s="26" t="str">
        <f>IF($E2143="","",IFERROR(INDEX(科目表!$E$4:$E$81,MATCH($E2143,科目表!$B$4:$B$81,0)),""))</f>
        <v/>
      </c>
      <c r="H2143" s="27" t="str">
        <f>IF($E2143="","",N(INDEX(成本费用登记表!$Q$4:$Y$303,12,2)))</f>
        <v/>
      </c>
      <c r="I2143" s="27" t="str">
        <f>IF($E2143="","",N(INDEX(成本费用登记表!$Q$4:$Y$303,12,3)))</f>
        <v/>
      </c>
      <c r="J2143" s="26" t="str">
        <f>IF($E2143="","",INDEX(成本费用登记表!$C$4:$C$303,12))</f>
        <v/>
      </c>
      <c r="K2143" s="26" t="str">
        <f>IF($E2143="","",INDEX(成本费用登记表!$D$4:$D$303,12))</f>
        <v/>
      </c>
      <c r="L2143" s="32" t="str">
        <f>IF($E2143="","",INDEX(成本费用登记表!$N$4:$N$303,12))</f>
        <v/>
      </c>
      <c r="M2143" s="32"/>
      <c r="N2143" s="26" t="str">
        <f t="shared" si="98"/>
        <v/>
      </c>
      <c r="O2143" s="26" t="str">
        <f t="shared" si="99"/>
        <v/>
      </c>
      <c r="P2143" s="10"/>
    </row>
    <row r="2144" ht="18" customHeight="1" spans="1:16">
      <c r="A2144" s="32" t="str">
        <f t="shared" si="100"/>
        <v/>
      </c>
      <c r="B2144" s="100" t="str">
        <f>IF($E2144="","",INDEX(成本费用登记表!$B$4:$B$303,12))</f>
        <v/>
      </c>
      <c r="C2144" s="26" t="str">
        <f t="shared" si="97"/>
        <v/>
      </c>
      <c r="D2144" s="32" t="str">
        <f>IF($E2144="","",INDEX(成本费用登记表!$E$4:$E$303,12))</f>
        <v/>
      </c>
      <c r="E2144" s="26" t="str">
        <f>IF(INDEX(成本费用登记表!$Q$4:$Y$303,12,4)=0,"",INDEX(成本费用登记表!$Q$4:$Y$303,12,4))</f>
        <v/>
      </c>
      <c r="F2144" s="25" t="str">
        <f>IF($E2144="","",IFERROR(INDEX(科目表!$A$4:$A$81,MATCH($E2144,科目表!$B$4:$B$81,0)),""))</f>
        <v/>
      </c>
      <c r="G2144" s="26" t="str">
        <f>IF($E2144="","",IFERROR(INDEX(科目表!$E$4:$E$81,MATCH($E2144,科目表!$B$4:$B$81,0)),""))</f>
        <v/>
      </c>
      <c r="H2144" s="27" t="str">
        <f>IF($E2144="","",N(INDEX(成本费用登记表!$Q$4:$Y$303,12,5)))</f>
        <v/>
      </c>
      <c r="I2144" s="27" t="str">
        <f>IF($E2144="","",N(INDEX(成本费用登记表!$Q$4:$Y$303,12,6)))</f>
        <v/>
      </c>
      <c r="J2144" s="26" t="str">
        <f>IF($E2144="","",INDEX(成本费用登记表!$C$4:$C$303,12))</f>
        <v/>
      </c>
      <c r="K2144" s="26" t="str">
        <f>IF($E2144="","",INDEX(成本费用登记表!$D$4:$D$303,12))</f>
        <v/>
      </c>
      <c r="L2144" s="32" t="str">
        <f>IF($E2144="","",INDEX(成本费用登记表!$N$4:$N$303,12))</f>
        <v/>
      </c>
      <c r="M2144" s="32"/>
      <c r="N2144" s="26" t="str">
        <f t="shared" si="98"/>
        <v/>
      </c>
      <c r="O2144" s="26" t="str">
        <f t="shared" si="99"/>
        <v/>
      </c>
      <c r="P2144" s="10"/>
    </row>
    <row r="2145" ht="18" customHeight="1" spans="1:16">
      <c r="A2145" s="32" t="str">
        <f t="shared" si="100"/>
        <v/>
      </c>
      <c r="B2145" s="100" t="str">
        <f>IF($E2145="","",INDEX(成本费用登记表!$B$4:$B$303,12))</f>
        <v/>
      </c>
      <c r="C2145" s="26" t="str">
        <f t="shared" si="97"/>
        <v/>
      </c>
      <c r="D2145" s="32" t="str">
        <f>IF($E2145="","",INDEX(成本费用登记表!$E$4:$E$303,12))</f>
        <v/>
      </c>
      <c r="E2145" s="26" t="str">
        <f>IF(INDEX(成本费用登记表!$Q$4:$Y$303,12,7)=0,"",INDEX(成本费用登记表!$Q$4:$Y$303,12,7))</f>
        <v/>
      </c>
      <c r="F2145" s="25" t="str">
        <f>IF($E2145="","",IFERROR(INDEX(科目表!$A$4:$A$81,MATCH($E2145,科目表!$B$4:$B$81,0)),""))</f>
        <v/>
      </c>
      <c r="G2145" s="26" t="str">
        <f>IF($E2145="","",IFERROR(INDEX(科目表!$E$4:$E$81,MATCH($E2145,科目表!$B$4:$B$81,0)),""))</f>
        <v/>
      </c>
      <c r="H2145" s="27" t="str">
        <f>IF($E2145="","",N(INDEX(成本费用登记表!$Q$4:$Y$303,12,8)))</f>
        <v/>
      </c>
      <c r="I2145" s="27" t="str">
        <f>IF($E2145="","",N(INDEX(成本费用登记表!$Q$4:$Y$303,12,9)))</f>
        <v/>
      </c>
      <c r="J2145" s="26" t="str">
        <f>IF($E2145="","",INDEX(成本费用登记表!$C$4:$C$303,12))</f>
        <v/>
      </c>
      <c r="K2145" s="26" t="str">
        <f>IF($E2145="","",INDEX(成本费用登记表!$D$4:$D$303,12))</f>
        <v/>
      </c>
      <c r="L2145" s="32" t="str">
        <f>IF($E2145="","",INDEX(成本费用登记表!$N$4:$N$303,12))</f>
        <v/>
      </c>
      <c r="M2145" s="32"/>
      <c r="N2145" s="26" t="str">
        <f t="shared" si="98"/>
        <v/>
      </c>
      <c r="O2145" s="26" t="str">
        <f t="shared" si="99"/>
        <v/>
      </c>
      <c r="P2145" s="10"/>
    </row>
    <row r="2146" ht="18" customHeight="1" spans="1:16">
      <c r="A2146" s="32" t="str">
        <f t="shared" si="100"/>
        <v/>
      </c>
      <c r="B2146" s="100" t="str">
        <f>IF($E2146="","",INDEX(成本费用登记表!$B$4:$B$303,13))</f>
        <v/>
      </c>
      <c r="C2146" s="26" t="str">
        <f t="shared" si="97"/>
        <v/>
      </c>
      <c r="D2146" s="32" t="str">
        <f>IF($E2146="","",INDEX(成本费用登记表!$E$4:$E$303,13))</f>
        <v/>
      </c>
      <c r="E2146" s="26" t="str">
        <f>IF(INDEX(成本费用登记表!$Q$4:$Y$303,13,1)=0,"",INDEX(成本费用登记表!$Q$4:$Y$303,13,1))</f>
        <v/>
      </c>
      <c r="F2146" s="25" t="str">
        <f>IF($E2146="","",IFERROR(INDEX(科目表!$A$4:$A$81,MATCH($E2146,科目表!$B$4:$B$81,0)),""))</f>
        <v/>
      </c>
      <c r="G2146" s="26" t="str">
        <f>IF($E2146="","",IFERROR(INDEX(科目表!$E$4:$E$81,MATCH($E2146,科目表!$B$4:$B$81,0)),""))</f>
        <v/>
      </c>
      <c r="H2146" s="27" t="str">
        <f>IF($E2146="","",N(INDEX(成本费用登记表!$Q$4:$Y$303,13,2)))</f>
        <v/>
      </c>
      <c r="I2146" s="27" t="str">
        <f>IF($E2146="","",N(INDEX(成本费用登记表!$Q$4:$Y$303,13,3)))</f>
        <v/>
      </c>
      <c r="J2146" s="26" t="str">
        <f>IF($E2146="","",INDEX(成本费用登记表!$C$4:$C$303,13))</f>
        <v/>
      </c>
      <c r="K2146" s="26" t="str">
        <f>IF($E2146="","",INDEX(成本费用登记表!$D$4:$D$303,13))</f>
        <v/>
      </c>
      <c r="L2146" s="32" t="str">
        <f>IF($E2146="","",INDEX(成本费用登记表!$N$4:$N$303,13))</f>
        <v/>
      </c>
      <c r="M2146" s="32"/>
      <c r="N2146" s="26" t="str">
        <f t="shared" si="98"/>
        <v/>
      </c>
      <c r="O2146" s="26" t="str">
        <f t="shared" si="99"/>
        <v/>
      </c>
      <c r="P2146" s="10"/>
    </row>
    <row r="2147" ht="18" customHeight="1" spans="1:16">
      <c r="A2147" s="32" t="str">
        <f t="shared" si="100"/>
        <v/>
      </c>
      <c r="B2147" s="100" t="str">
        <f>IF($E2147="","",INDEX(成本费用登记表!$B$4:$B$303,13))</f>
        <v/>
      </c>
      <c r="C2147" s="26" t="str">
        <f t="shared" si="97"/>
        <v/>
      </c>
      <c r="D2147" s="32" t="str">
        <f>IF($E2147="","",INDEX(成本费用登记表!$E$4:$E$303,13))</f>
        <v/>
      </c>
      <c r="E2147" s="26" t="str">
        <f>IF(INDEX(成本费用登记表!$Q$4:$Y$303,13,4)=0,"",INDEX(成本费用登记表!$Q$4:$Y$303,13,4))</f>
        <v/>
      </c>
      <c r="F2147" s="25" t="str">
        <f>IF($E2147="","",IFERROR(INDEX(科目表!$A$4:$A$81,MATCH($E2147,科目表!$B$4:$B$81,0)),""))</f>
        <v/>
      </c>
      <c r="G2147" s="26" t="str">
        <f>IF($E2147="","",IFERROR(INDEX(科目表!$E$4:$E$81,MATCH($E2147,科目表!$B$4:$B$81,0)),""))</f>
        <v/>
      </c>
      <c r="H2147" s="27" t="str">
        <f>IF($E2147="","",N(INDEX(成本费用登记表!$Q$4:$Y$303,13,5)))</f>
        <v/>
      </c>
      <c r="I2147" s="27" t="str">
        <f>IF($E2147="","",N(INDEX(成本费用登记表!$Q$4:$Y$303,13,6)))</f>
        <v/>
      </c>
      <c r="J2147" s="26" t="str">
        <f>IF($E2147="","",INDEX(成本费用登记表!$C$4:$C$303,13))</f>
        <v/>
      </c>
      <c r="K2147" s="26" t="str">
        <f>IF($E2147="","",INDEX(成本费用登记表!$D$4:$D$303,13))</f>
        <v/>
      </c>
      <c r="L2147" s="32" t="str">
        <f>IF($E2147="","",INDEX(成本费用登记表!$N$4:$N$303,13))</f>
        <v/>
      </c>
      <c r="M2147" s="32"/>
      <c r="N2147" s="26" t="str">
        <f t="shared" si="98"/>
        <v/>
      </c>
      <c r="O2147" s="26" t="str">
        <f t="shared" si="99"/>
        <v/>
      </c>
      <c r="P2147" s="10"/>
    </row>
    <row r="2148" ht="18" customHeight="1" spans="1:16">
      <c r="A2148" s="32" t="str">
        <f t="shared" si="100"/>
        <v/>
      </c>
      <c r="B2148" s="100" t="str">
        <f>IF($E2148="","",INDEX(成本费用登记表!$B$4:$B$303,13))</f>
        <v/>
      </c>
      <c r="C2148" s="26" t="str">
        <f t="shared" si="97"/>
        <v/>
      </c>
      <c r="D2148" s="32" t="str">
        <f>IF($E2148="","",INDEX(成本费用登记表!$E$4:$E$303,13))</f>
        <v/>
      </c>
      <c r="E2148" s="26" t="str">
        <f>IF(INDEX(成本费用登记表!$Q$4:$Y$303,13,7)=0,"",INDEX(成本费用登记表!$Q$4:$Y$303,13,7))</f>
        <v/>
      </c>
      <c r="F2148" s="25" t="str">
        <f>IF($E2148="","",IFERROR(INDEX(科目表!$A$4:$A$81,MATCH($E2148,科目表!$B$4:$B$81,0)),""))</f>
        <v/>
      </c>
      <c r="G2148" s="26" t="str">
        <f>IF($E2148="","",IFERROR(INDEX(科目表!$E$4:$E$81,MATCH($E2148,科目表!$B$4:$B$81,0)),""))</f>
        <v/>
      </c>
      <c r="H2148" s="27" t="str">
        <f>IF($E2148="","",N(INDEX(成本费用登记表!$Q$4:$Y$303,13,8)))</f>
        <v/>
      </c>
      <c r="I2148" s="27" t="str">
        <f>IF($E2148="","",N(INDEX(成本费用登记表!$Q$4:$Y$303,13,9)))</f>
        <v/>
      </c>
      <c r="J2148" s="26" t="str">
        <f>IF($E2148="","",INDEX(成本费用登记表!$C$4:$C$303,13))</f>
        <v/>
      </c>
      <c r="K2148" s="26" t="str">
        <f>IF($E2148="","",INDEX(成本费用登记表!$D$4:$D$303,13))</f>
        <v/>
      </c>
      <c r="L2148" s="32" t="str">
        <f>IF($E2148="","",INDEX(成本费用登记表!$N$4:$N$303,13))</f>
        <v/>
      </c>
      <c r="M2148" s="32"/>
      <c r="N2148" s="26" t="str">
        <f t="shared" si="98"/>
        <v/>
      </c>
      <c r="O2148" s="26" t="str">
        <f t="shared" si="99"/>
        <v/>
      </c>
      <c r="P2148" s="10"/>
    </row>
    <row r="2149" ht="18" customHeight="1" spans="1:16">
      <c r="A2149" s="32" t="str">
        <f t="shared" si="100"/>
        <v/>
      </c>
      <c r="B2149" s="100" t="str">
        <f>IF($E2149="","",INDEX(成本费用登记表!$B$4:$B$303,14))</f>
        <v/>
      </c>
      <c r="C2149" s="26" t="str">
        <f t="shared" si="97"/>
        <v/>
      </c>
      <c r="D2149" s="32" t="str">
        <f>IF($E2149="","",INDEX(成本费用登记表!$E$4:$E$303,14))</f>
        <v/>
      </c>
      <c r="E2149" s="26" t="str">
        <f>IF(INDEX(成本费用登记表!$Q$4:$Y$303,14,1)=0,"",INDEX(成本费用登记表!$Q$4:$Y$303,14,1))</f>
        <v/>
      </c>
      <c r="F2149" s="25" t="str">
        <f>IF($E2149="","",IFERROR(INDEX(科目表!$A$4:$A$81,MATCH($E2149,科目表!$B$4:$B$81,0)),""))</f>
        <v/>
      </c>
      <c r="G2149" s="26" t="str">
        <f>IF($E2149="","",IFERROR(INDEX(科目表!$E$4:$E$81,MATCH($E2149,科目表!$B$4:$B$81,0)),""))</f>
        <v/>
      </c>
      <c r="H2149" s="27" t="str">
        <f>IF($E2149="","",N(INDEX(成本费用登记表!$Q$4:$Y$303,14,2)))</f>
        <v/>
      </c>
      <c r="I2149" s="27" t="str">
        <f>IF($E2149="","",N(INDEX(成本费用登记表!$Q$4:$Y$303,14,3)))</f>
        <v/>
      </c>
      <c r="J2149" s="26" t="str">
        <f>IF($E2149="","",INDEX(成本费用登记表!$C$4:$C$303,14))</f>
        <v/>
      </c>
      <c r="K2149" s="26" t="str">
        <f>IF($E2149="","",INDEX(成本费用登记表!$D$4:$D$303,14))</f>
        <v/>
      </c>
      <c r="L2149" s="32" t="str">
        <f>IF($E2149="","",INDEX(成本费用登记表!$N$4:$N$303,14))</f>
        <v/>
      </c>
      <c r="M2149" s="32"/>
      <c r="N2149" s="26" t="str">
        <f t="shared" si="98"/>
        <v/>
      </c>
      <c r="O2149" s="26" t="str">
        <f t="shared" si="99"/>
        <v/>
      </c>
      <c r="P2149" s="10"/>
    </row>
    <row r="2150" ht="18" customHeight="1" spans="1:16">
      <c r="A2150" s="32" t="str">
        <f t="shared" si="100"/>
        <v/>
      </c>
      <c r="B2150" s="100" t="str">
        <f>IF($E2150="","",INDEX(成本费用登记表!$B$4:$B$303,14))</f>
        <v/>
      </c>
      <c r="C2150" s="26" t="str">
        <f t="shared" si="97"/>
        <v/>
      </c>
      <c r="D2150" s="32" t="str">
        <f>IF($E2150="","",INDEX(成本费用登记表!$E$4:$E$303,14))</f>
        <v/>
      </c>
      <c r="E2150" s="26" t="str">
        <f>IF(INDEX(成本费用登记表!$Q$4:$Y$303,14,4)=0,"",INDEX(成本费用登记表!$Q$4:$Y$303,14,4))</f>
        <v/>
      </c>
      <c r="F2150" s="25" t="str">
        <f>IF($E2150="","",IFERROR(INDEX(科目表!$A$4:$A$81,MATCH($E2150,科目表!$B$4:$B$81,0)),""))</f>
        <v/>
      </c>
      <c r="G2150" s="26" t="str">
        <f>IF($E2150="","",IFERROR(INDEX(科目表!$E$4:$E$81,MATCH($E2150,科目表!$B$4:$B$81,0)),""))</f>
        <v/>
      </c>
      <c r="H2150" s="27" t="str">
        <f>IF($E2150="","",N(INDEX(成本费用登记表!$Q$4:$Y$303,14,5)))</f>
        <v/>
      </c>
      <c r="I2150" s="27" t="str">
        <f>IF($E2150="","",N(INDEX(成本费用登记表!$Q$4:$Y$303,14,6)))</f>
        <v/>
      </c>
      <c r="J2150" s="26" t="str">
        <f>IF($E2150="","",INDEX(成本费用登记表!$C$4:$C$303,14))</f>
        <v/>
      </c>
      <c r="K2150" s="26" t="str">
        <f>IF($E2150="","",INDEX(成本费用登记表!$D$4:$D$303,14))</f>
        <v/>
      </c>
      <c r="L2150" s="32" t="str">
        <f>IF($E2150="","",INDEX(成本费用登记表!$N$4:$N$303,14))</f>
        <v/>
      </c>
      <c r="M2150" s="32"/>
      <c r="N2150" s="26" t="str">
        <f t="shared" si="98"/>
        <v/>
      </c>
      <c r="O2150" s="26" t="str">
        <f t="shared" si="99"/>
        <v/>
      </c>
      <c r="P2150" s="10"/>
    </row>
    <row r="2151" ht="18" customHeight="1" spans="1:16">
      <c r="A2151" s="32" t="str">
        <f t="shared" si="100"/>
        <v/>
      </c>
      <c r="B2151" s="100" t="str">
        <f>IF($E2151="","",INDEX(成本费用登记表!$B$4:$B$303,14))</f>
        <v/>
      </c>
      <c r="C2151" s="26" t="str">
        <f t="shared" si="97"/>
        <v/>
      </c>
      <c r="D2151" s="32" t="str">
        <f>IF($E2151="","",INDEX(成本费用登记表!$E$4:$E$303,14))</f>
        <v/>
      </c>
      <c r="E2151" s="26" t="str">
        <f>IF(INDEX(成本费用登记表!$Q$4:$Y$303,14,7)=0,"",INDEX(成本费用登记表!$Q$4:$Y$303,14,7))</f>
        <v/>
      </c>
      <c r="F2151" s="25" t="str">
        <f>IF($E2151="","",IFERROR(INDEX(科目表!$A$4:$A$81,MATCH($E2151,科目表!$B$4:$B$81,0)),""))</f>
        <v/>
      </c>
      <c r="G2151" s="26" t="str">
        <f>IF($E2151="","",IFERROR(INDEX(科目表!$E$4:$E$81,MATCH($E2151,科目表!$B$4:$B$81,0)),""))</f>
        <v/>
      </c>
      <c r="H2151" s="27" t="str">
        <f>IF($E2151="","",N(INDEX(成本费用登记表!$Q$4:$Y$303,14,8)))</f>
        <v/>
      </c>
      <c r="I2151" s="27" t="str">
        <f>IF($E2151="","",N(INDEX(成本费用登记表!$Q$4:$Y$303,14,9)))</f>
        <v/>
      </c>
      <c r="J2151" s="26" t="str">
        <f>IF($E2151="","",INDEX(成本费用登记表!$C$4:$C$303,14))</f>
        <v/>
      </c>
      <c r="K2151" s="26" t="str">
        <f>IF($E2151="","",INDEX(成本费用登记表!$D$4:$D$303,14))</f>
        <v/>
      </c>
      <c r="L2151" s="32" t="str">
        <f>IF($E2151="","",INDEX(成本费用登记表!$N$4:$N$303,14))</f>
        <v/>
      </c>
      <c r="M2151" s="32"/>
      <c r="N2151" s="26" t="str">
        <f t="shared" si="98"/>
        <v/>
      </c>
      <c r="O2151" s="26" t="str">
        <f t="shared" si="99"/>
        <v/>
      </c>
      <c r="P2151" s="10"/>
    </row>
    <row r="2152" ht="18" customHeight="1" spans="1:16">
      <c r="A2152" s="32" t="str">
        <f t="shared" si="100"/>
        <v/>
      </c>
      <c r="B2152" s="100" t="str">
        <f>IF($E2152="","",INDEX(成本费用登记表!$B$4:$B$303,15))</f>
        <v/>
      </c>
      <c r="C2152" s="26" t="str">
        <f t="shared" si="97"/>
        <v/>
      </c>
      <c r="D2152" s="32" t="str">
        <f>IF($E2152="","",INDEX(成本费用登记表!$E$4:$E$303,15))</f>
        <v/>
      </c>
      <c r="E2152" s="26" t="str">
        <f>IF(INDEX(成本费用登记表!$Q$4:$Y$303,15,1)=0,"",INDEX(成本费用登记表!$Q$4:$Y$303,15,1))</f>
        <v/>
      </c>
      <c r="F2152" s="25" t="str">
        <f>IF($E2152="","",IFERROR(INDEX(科目表!$A$4:$A$81,MATCH($E2152,科目表!$B$4:$B$81,0)),""))</f>
        <v/>
      </c>
      <c r="G2152" s="26" t="str">
        <f>IF($E2152="","",IFERROR(INDEX(科目表!$E$4:$E$81,MATCH($E2152,科目表!$B$4:$B$81,0)),""))</f>
        <v/>
      </c>
      <c r="H2152" s="27" t="str">
        <f>IF($E2152="","",N(INDEX(成本费用登记表!$Q$4:$Y$303,15,2)))</f>
        <v/>
      </c>
      <c r="I2152" s="27" t="str">
        <f>IF($E2152="","",N(INDEX(成本费用登记表!$Q$4:$Y$303,15,3)))</f>
        <v/>
      </c>
      <c r="J2152" s="26" t="str">
        <f>IF($E2152="","",INDEX(成本费用登记表!$C$4:$C$303,15))</f>
        <v/>
      </c>
      <c r="K2152" s="26" t="str">
        <f>IF($E2152="","",INDEX(成本费用登记表!$D$4:$D$303,15))</f>
        <v/>
      </c>
      <c r="L2152" s="32" t="str">
        <f>IF($E2152="","",INDEX(成本费用登记表!$N$4:$N$303,15))</f>
        <v/>
      </c>
      <c r="M2152" s="32"/>
      <c r="N2152" s="26" t="str">
        <f t="shared" si="98"/>
        <v/>
      </c>
      <c r="O2152" s="26" t="str">
        <f t="shared" si="99"/>
        <v/>
      </c>
      <c r="P2152" s="10"/>
    </row>
    <row r="2153" ht="18" customHeight="1" spans="1:16">
      <c r="A2153" s="32" t="str">
        <f t="shared" si="100"/>
        <v/>
      </c>
      <c r="B2153" s="100" t="str">
        <f>IF($E2153="","",INDEX(成本费用登记表!$B$4:$B$303,15))</f>
        <v/>
      </c>
      <c r="C2153" s="26" t="str">
        <f t="shared" si="97"/>
        <v/>
      </c>
      <c r="D2153" s="32" t="str">
        <f>IF($E2153="","",INDEX(成本费用登记表!$E$4:$E$303,15))</f>
        <v/>
      </c>
      <c r="E2153" s="26" t="str">
        <f>IF(INDEX(成本费用登记表!$Q$4:$Y$303,15,4)=0,"",INDEX(成本费用登记表!$Q$4:$Y$303,15,4))</f>
        <v/>
      </c>
      <c r="F2153" s="25" t="str">
        <f>IF($E2153="","",IFERROR(INDEX(科目表!$A$4:$A$81,MATCH($E2153,科目表!$B$4:$B$81,0)),""))</f>
        <v/>
      </c>
      <c r="G2153" s="26" t="str">
        <f>IF($E2153="","",IFERROR(INDEX(科目表!$E$4:$E$81,MATCH($E2153,科目表!$B$4:$B$81,0)),""))</f>
        <v/>
      </c>
      <c r="H2153" s="27" t="str">
        <f>IF($E2153="","",N(INDEX(成本费用登记表!$Q$4:$Y$303,15,5)))</f>
        <v/>
      </c>
      <c r="I2153" s="27" t="str">
        <f>IF($E2153="","",N(INDEX(成本费用登记表!$Q$4:$Y$303,15,6)))</f>
        <v/>
      </c>
      <c r="J2153" s="26" t="str">
        <f>IF($E2153="","",INDEX(成本费用登记表!$C$4:$C$303,15))</f>
        <v/>
      </c>
      <c r="K2153" s="26" t="str">
        <f>IF($E2153="","",INDEX(成本费用登记表!$D$4:$D$303,15))</f>
        <v/>
      </c>
      <c r="L2153" s="32" t="str">
        <f>IF($E2153="","",INDEX(成本费用登记表!$N$4:$N$303,15))</f>
        <v/>
      </c>
      <c r="M2153" s="32"/>
      <c r="N2153" s="26" t="str">
        <f t="shared" si="98"/>
        <v/>
      </c>
      <c r="O2153" s="26" t="str">
        <f t="shared" si="99"/>
        <v/>
      </c>
      <c r="P2153" s="10"/>
    </row>
    <row r="2154" ht="18" customHeight="1" spans="1:16">
      <c r="A2154" s="32" t="str">
        <f t="shared" si="100"/>
        <v/>
      </c>
      <c r="B2154" s="100" t="str">
        <f>IF($E2154="","",INDEX(成本费用登记表!$B$4:$B$303,15))</f>
        <v/>
      </c>
      <c r="C2154" s="26" t="str">
        <f t="shared" si="97"/>
        <v/>
      </c>
      <c r="D2154" s="32" t="str">
        <f>IF($E2154="","",INDEX(成本费用登记表!$E$4:$E$303,15))</f>
        <v/>
      </c>
      <c r="E2154" s="26" t="str">
        <f>IF(INDEX(成本费用登记表!$Q$4:$Y$303,15,7)=0,"",INDEX(成本费用登记表!$Q$4:$Y$303,15,7))</f>
        <v/>
      </c>
      <c r="F2154" s="25" t="str">
        <f>IF($E2154="","",IFERROR(INDEX(科目表!$A$4:$A$81,MATCH($E2154,科目表!$B$4:$B$81,0)),""))</f>
        <v/>
      </c>
      <c r="G2154" s="26" t="str">
        <f>IF($E2154="","",IFERROR(INDEX(科目表!$E$4:$E$81,MATCH($E2154,科目表!$B$4:$B$81,0)),""))</f>
        <v/>
      </c>
      <c r="H2154" s="27" t="str">
        <f>IF($E2154="","",N(INDEX(成本费用登记表!$Q$4:$Y$303,15,8)))</f>
        <v/>
      </c>
      <c r="I2154" s="27" t="str">
        <f>IF($E2154="","",N(INDEX(成本费用登记表!$Q$4:$Y$303,15,9)))</f>
        <v/>
      </c>
      <c r="J2154" s="26" t="str">
        <f>IF($E2154="","",INDEX(成本费用登记表!$C$4:$C$303,15))</f>
        <v/>
      </c>
      <c r="K2154" s="26" t="str">
        <f>IF($E2154="","",INDEX(成本费用登记表!$D$4:$D$303,15))</f>
        <v/>
      </c>
      <c r="L2154" s="32" t="str">
        <f>IF($E2154="","",INDEX(成本费用登记表!$N$4:$N$303,15))</f>
        <v/>
      </c>
      <c r="M2154" s="32"/>
      <c r="N2154" s="26" t="str">
        <f t="shared" si="98"/>
        <v/>
      </c>
      <c r="O2154" s="26" t="str">
        <f t="shared" si="99"/>
        <v/>
      </c>
      <c r="P2154" s="10"/>
    </row>
    <row r="2155" ht="18" customHeight="1" spans="1:16">
      <c r="A2155" s="32" t="str">
        <f t="shared" si="100"/>
        <v/>
      </c>
      <c r="B2155" s="100" t="str">
        <f>IF($E2155="","",INDEX(成本费用登记表!$B$4:$B$303,16))</f>
        <v/>
      </c>
      <c r="C2155" s="26" t="str">
        <f t="shared" si="97"/>
        <v/>
      </c>
      <c r="D2155" s="32" t="str">
        <f>IF($E2155="","",INDEX(成本费用登记表!$E$4:$E$303,16))</f>
        <v/>
      </c>
      <c r="E2155" s="26" t="str">
        <f>IF(INDEX(成本费用登记表!$Q$4:$Y$303,16,1)=0,"",INDEX(成本费用登记表!$Q$4:$Y$303,16,1))</f>
        <v/>
      </c>
      <c r="F2155" s="25" t="str">
        <f>IF($E2155="","",IFERROR(INDEX(科目表!$A$4:$A$81,MATCH($E2155,科目表!$B$4:$B$81,0)),""))</f>
        <v/>
      </c>
      <c r="G2155" s="26" t="str">
        <f>IF($E2155="","",IFERROR(INDEX(科目表!$E$4:$E$81,MATCH($E2155,科目表!$B$4:$B$81,0)),""))</f>
        <v/>
      </c>
      <c r="H2155" s="27" t="str">
        <f>IF($E2155="","",N(INDEX(成本费用登记表!$Q$4:$Y$303,16,2)))</f>
        <v/>
      </c>
      <c r="I2155" s="27" t="str">
        <f>IF($E2155="","",N(INDEX(成本费用登记表!$Q$4:$Y$303,16,3)))</f>
        <v/>
      </c>
      <c r="J2155" s="26" t="str">
        <f>IF($E2155="","",INDEX(成本费用登记表!$C$4:$C$303,16))</f>
        <v/>
      </c>
      <c r="K2155" s="26" t="str">
        <f>IF($E2155="","",INDEX(成本费用登记表!$D$4:$D$303,16))</f>
        <v/>
      </c>
      <c r="L2155" s="32" t="str">
        <f>IF($E2155="","",INDEX(成本费用登记表!$N$4:$N$303,16))</f>
        <v/>
      </c>
      <c r="M2155" s="32"/>
      <c r="N2155" s="26" t="str">
        <f t="shared" si="98"/>
        <v/>
      </c>
      <c r="O2155" s="26" t="str">
        <f t="shared" si="99"/>
        <v/>
      </c>
      <c r="P2155" s="10"/>
    </row>
    <row r="2156" ht="18" customHeight="1" spans="1:16">
      <c r="A2156" s="32" t="str">
        <f t="shared" si="100"/>
        <v/>
      </c>
      <c r="B2156" s="100" t="str">
        <f>IF($E2156="","",INDEX(成本费用登记表!$B$4:$B$303,16))</f>
        <v/>
      </c>
      <c r="C2156" s="26" t="str">
        <f t="shared" si="97"/>
        <v/>
      </c>
      <c r="D2156" s="32" t="str">
        <f>IF($E2156="","",INDEX(成本费用登记表!$E$4:$E$303,16))</f>
        <v/>
      </c>
      <c r="E2156" s="26" t="str">
        <f>IF(INDEX(成本费用登记表!$Q$4:$Y$303,16,4)=0,"",INDEX(成本费用登记表!$Q$4:$Y$303,16,4))</f>
        <v/>
      </c>
      <c r="F2156" s="25" t="str">
        <f>IF($E2156="","",IFERROR(INDEX(科目表!$A$4:$A$81,MATCH($E2156,科目表!$B$4:$B$81,0)),""))</f>
        <v/>
      </c>
      <c r="G2156" s="26" t="str">
        <f>IF($E2156="","",IFERROR(INDEX(科目表!$E$4:$E$81,MATCH($E2156,科目表!$B$4:$B$81,0)),""))</f>
        <v/>
      </c>
      <c r="H2156" s="27" t="str">
        <f>IF($E2156="","",N(INDEX(成本费用登记表!$Q$4:$Y$303,16,5)))</f>
        <v/>
      </c>
      <c r="I2156" s="27" t="str">
        <f>IF($E2156="","",N(INDEX(成本费用登记表!$Q$4:$Y$303,16,6)))</f>
        <v/>
      </c>
      <c r="J2156" s="26" t="str">
        <f>IF($E2156="","",INDEX(成本费用登记表!$C$4:$C$303,16))</f>
        <v/>
      </c>
      <c r="K2156" s="26" t="str">
        <f>IF($E2156="","",INDEX(成本费用登记表!$D$4:$D$303,16))</f>
        <v/>
      </c>
      <c r="L2156" s="32" t="str">
        <f>IF($E2156="","",INDEX(成本费用登记表!$N$4:$N$303,16))</f>
        <v/>
      </c>
      <c r="M2156" s="32"/>
      <c r="N2156" s="26" t="str">
        <f t="shared" si="98"/>
        <v/>
      </c>
      <c r="O2156" s="26" t="str">
        <f t="shared" si="99"/>
        <v/>
      </c>
      <c r="P2156" s="10"/>
    </row>
    <row r="2157" ht="18" customHeight="1" spans="1:16">
      <c r="A2157" s="32" t="str">
        <f t="shared" si="100"/>
        <v/>
      </c>
      <c r="B2157" s="100" t="str">
        <f>IF($E2157="","",INDEX(成本费用登记表!$B$4:$B$303,16))</f>
        <v/>
      </c>
      <c r="C2157" s="26" t="str">
        <f t="shared" si="97"/>
        <v/>
      </c>
      <c r="D2157" s="32" t="str">
        <f>IF($E2157="","",INDEX(成本费用登记表!$E$4:$E$303,16))</f>
        <v/>
      </c>
      <c r="E2157" s="26" t="str">
        <f>IF(INDEX(成本费用登记表!$Q$4:$Y$303,16,7)=0,"",INDEX(成本费用登记表!$Q$4:$Y$303,16,7))</f>
        <v/>
      </c>
      <c r="F2157" s="25" t="str">
        <f>IF($E2157="","",IFERROR(INDEX(科目表!$A$4:$A$81,MATCH($E2157,科目表!$B$4:$B$81,0)),""))</f>
        <v/>
      </c>
      <c r="G2157" s="26" t="str">
        <f>IF($E2157="","",IFERROR(INDEX(科目表!$E$4:$E$81,MATCH($E2157,科目表!$B$4:$B$81,0)),""))</f>
        <v/>
      </c>
      <c r="H2157" s="27" t="str">
        <f>IF($E2157="","",N(INDEX(成本费用登记表!$Q$4:$Y$303,16,8)))</f>
        <v/>
      </c>
      <c r="I2157" s="27" t="str">
        <f>IF($E2157="","",N(INDEX(成本费用登记表!$Q$4:$Y$303,16,9)))</f>
        <v/>
      </c>
      <c r="J2157" s="26" t="str">
        <f>IF($E2157="","",INDEX(成本费用登记表!$C$4:$C$303,16))</f>
        <v/>
      </c>
      <c r="K2157" s="26" t="str">
        <f>IF($E2157="","",INDEX(成本费用登记表!$D$4:$D$303,16))</f>
        <v/>
      </c>
      <c r="L2157" s="32" t="str">
        <f>IF($E2157="","",INDEX(成本费用登记表!$N$4:$N$303,16))</f>
        <v/>
      </c>
      <c r="M2157" s="32"/>
      <c r="N2157" s="26" t="str">
        <f t="shared" si="98"/>
        <v/>
      </c>
      <c r="O2157" s="26" t="str">
        <f t="shared" si="99"/>
        <v/>
      </c>
      <c r="P2157" s="10"/>
    </row>
    <row r="2158" ht="18" customHeight="1" spans="1:16">
      <c r="A2158" s="32" t="str">
        <f t="shared" si="100"/>
        <v/>
      </c>
      <c r="B2158" s="100" t="str">
        <f>IF($E2158="","",INDEX(成本费用登记表!$B$4:$B$303,17))</f>
        <v/>
      </c>
      <c r="C2158" s="26" t="str">
        <f t="shared" si="97"/>
        <v/>
      </c>
      <c r="D2158" s="32" t="str">
        <f>IF($E2158="","",INDEX(成本费用登记表!$E$4:$E$303,17))</f>
        <v/>
      </c>
      <c r="E2158" s="26" t="str">
        <f>IF(INDEX(成本费用登记表!$Q$4:$Y$303,17,1)=0,"",INDEX(成本费用登记表!$Q$4:$Y$303,17,1))</f>
        <v/>
      </c>
      <c r="F2158" s="25" t="str">
        <f>IF($E2158="","",IFERROR(INDEX(科目表!$A$4:$A$81,MATCH($E2158,科目表!$B$4:$B$81,0)),""))</f>
        <v/>
      </c>
      <c r="G2158" s="26" t="str">
        <f>IF($E2158="","",IFERROR(INDEX(科目表!$E$4:$E$81,MATCH($E2158,科目表!$B$4:$B$81,0)),""))</f>
        <v/>
      </c>
      <c r="H2158" s="27" t="str">
        <f>IF($E2158="","",N(INDEX(成本费用登记表!$Q$4:$Y$303,17,2)))</f>
        <v/>
      </c>
      <c r="I2158" s="27" t="str">
        <f>IF($E2158="","",N(INDEX(成本费用登记表!$Q$4:$Y$303,17,3)))</f>
        <v/>
      </c>
      <c r="J2158" s="26" t="str">
        <f>IF($E2158="","",INDEX(成本费用登记表!$C$4:$C$303,17))</f>
        <v/>
      </c>
      <c r="K2158" s="26" t="str">
        <f>IF($E2158="","",INDEX(成本费用登记表!$D$4:$D$303,17))</f>
        <v/>
      </c>
      <c r="L2158" s="32" t="str">
        <f>IF($E2158="","",INDEX(成本费用登记表!$N$4:$N$303,17))</f>
        <v/>
      </c>
      <c r="M2158" s="32"/>
      <c r="N2158" s="26" t="str">
        <f t="shared" si="98"/>
        <v/>
      </c>
      <c r="O2158" s="26" t="str">
        <f t="shared" si="99"/>
        <v/>
      </c>
      <c r="P2158" s="10"/>
    </row>
    <row r="2159" ht="18" customHeight="1" spans="1:16">
      <c r="A2159" s="32" t="str">
        <f t="shared" si="100"/>
        <v/>
      </c>
      <c r="B2159" s="100" t="str">
        <f>IF($E2159="","",INDEX(成本费用登记表!$B$4:$B$303,17))</f>
        <v/>
      </c>
      <c r="C2159" s="26" t="str">
        <f t="shared" si="97"/>
        <v/>
      </c>
      <c r="D2159" s="32" t="str">
        <f>IF($E2159="","",INDEX(成本费用登记表!$E$4:$E$303,17))</f>
        <v/>
      </c>
      <c r="E2159" s="26" t="str">
        <f>IF(INDEX(成本费用登记表!$Q$4:$Y$303,17,4)=0,"",INDEX(成本费用登记表!$Q$4:$Y$303,17,4))</f>
        <v/>
      </c>
      <c r="F2159" s="25" t="str">
        <f>IF($E2159="","",IFERROR(INDEX(科目表!$A$4:$A$81,MATCH($E2159,科目表!$B$4:$B$81,0)),""))</f>
        <v/>
      </c>
      <c r="G2159" s="26" t="str">
        <f>IF($E2159="","",IFERROR(INDEX(科目表!$E$4:$E$81,MATCH($E2159,科目表!$B$4:$B$81,0)),""))</f>
        <v/>
      </c>
      <c r="H2159" s="27" t="str">
        <f>IF($E2159="","",N(INDEX(成本费用登记表!$Q$4:$Y$303,17,5)))</f>
        <v/>
      </c>
      <c r="I2159" s="27" t="str">
        <f>IF($E2159="","",N(INDEX(成本费用登记表!$Q$4:$Y$303,17,6)))</f>
        <v/>
      </c>
      <c r="J2159" s="26" t="str">
        <f>IF($E2159="","",INDEX(成本费用登记表!$C$4:$C$303,17))</f>
        <v/>
      </c>
      <c r="K2159" s="26" t="str">
        <f>IF($E2159="","",INDEX(成本费用登记表!$D$4:$D$303,17))</f>
        <v/>
      </c>
      <c r="L2159" s="32" t="str">
        <f>IF($E2159="","",INDEX(成本费用登记表!$N$4:$N$303,17))</f>
        <v/>
      </c>
      <c r="M2159" s="32"/>
      <c r="N2159" s="26" t="str">
        <f t="shared" si="98"/>
        <v/>
      </c>
      <c r="O2159" s="26" t="str">
        <f t="shared" si="99"/>
        <v/>
      </c>
      <c r="P2159" s="10"/>
    </row>
    <row r="2160" ht="18" customHeight="1" spans="1:16">
      <c r="A2160" s="32" t="str">
        <f t="shared" si="100"/>
        <v/>
      </c>
      <c r="B2160" s="100" t="str">
        <f>IF($E2160="","",INDEX(成本费用登记表!$B$4:$B$303,17))</f>
        <v/>
      </c>
      <c r="C2160" s="26" t="str">
        <f t="shared" si="97"/>
        <v/>
      </c>
      <c r="D2160" s="32" t="str">
        <f>IF($E2160="","",INDEX(成本费用登记表!$E$4:$E$303,17))</f>
        <v/>
      </c>
      <c r="E2160" s="26" t="str">
        <f>IF(INDEX(成本费用登记表!$Q$4:$Y$303,17,7)=0,"",INDEX(成本费用登记表!$Q$4:$Y$303,17,7))</f>
        <v/>
      </c>
      <c r="F2160" s="25" t="str">
        <f>IF($E2160="","",IFERROR(INDEX(科目表!$A$4:$A$81,MATCH($E2160,科目表!$B$4:$B$81,0)),""))</f>
        <v/>
      </c>
      <c r="G2160" s="26" t="str">
        <f>IF($E2160="","",IFERROR(INDEX(科目表!$E$4:$E$81,MATCH($E2160,科目表!$B$4:$B$81,0)),""))</f>
        <v/>
      </c>
      <c r="H2160" s="27" t="str">
        <f>IF($E2160="","",N(INDEX(成本费用登记表!$Q$4:$Y$303,17,8)))</f>
        <v/>
      </c>
      <c r="I2160" s="27" t="str">
        <f>IF($E2160="","",N(INDEX(成本费用登记表!$Q$4:$Y$303,17,9)))</f>
        <v/>
      </c>
      <c r="J2160" s="26" t="str">
        <f>IF($E2160="","",INDEX(成本费用登记表!$C$4:$C$303,17))</f>
        <v/>
      </c>
      <c r="K2160" s="26" t="str">
        <f>IF($E2160="","",INDEX(成本费用登记表!$D$4:$D$303,17))</f>
        <v/>
      </c>
      <c r="L2160" s="32" t="str">
        <f>IF($E2160="","",INDEX(成本费用登记表!$N$4:$N$303,17))</f>
        <v/>
      </c>
      <c r="M2160" s="32"/>
      <c r="N2160" s="26" t="str">
        <f t="shared" si="98"/>
        <v/>
      </c>
      <c r="O2160" s="26" t="str">
        <f t="shared" si="99"/>
        <v/>
      </c>
      <c r="P2160" s="10"/>
    </row>
    <row r="2161" ht="18" customHeight="1" spans="1:16">
      <c r="A2161" s="32" t="str">
        <f t="shared" si="100"/>
        <v/>
      </c>
      <c r="B2161" s="100" t="str">
        <f>IF($E2161="","",INDEX(成本费用登记表!$B$4:$B$303,18))</f>
        <v/>
      </c>
      <c r="C2161" s="26" t="str">
        <f t="shared" si="97"/>
        <v/>
      </c>
      <c r="D2161" s="32" t="str">
        <f>IF($E2161="","",INDEX(成本费用登记表!$E$4:$E$303,18))</f>
        <v/>
      </c>
      <c r="E2161" s="26" t="str">
        <f>IF(INDEX(成本费用登记表!$Q$4:$Y$303,18,1)=0,"",INDEX(成本费用登记表!$Q$4:$Y$303,18,1))</f>
        <v/>
      </c>
      <c r="F2161" s="25" t="str">
        <f>IF($E2161="","",IFERROR(INDEX(科目表!$A$4:$A$81,MATCH($E2161,科目表!$B$4:$B$81,0)),""))</f>
        <v/>
      </c>
      <c r="G2161" s="26" t="str">
        <f>IF($E2161="","",IFERROR(INDEX(科目表!$E$4:$E$81,MATCH($E2161,科目表!$B$4:$B$81,0)),""))</f>
        <v/>
      </c>
      <c r="H2161" s="27" t="str">
        <f>IF($E2161="","",N(INDEX(成本费用登记表!$Q$4:$Y$303,18,2)))</f>
        <v/>
      </c>
      <c r="I2161" s="27" t="str">
        <f>IF($E2161="","",N(INDEX(成本费用登记表!$Q$4:$Y$303,18,3)))</f>
        <v/>
      </c>
      <c r="J2161" s="26" t="str">
        <f>IF($E2161="","",INDEX(成本费用登记表!$C$4:$C$303,18))</f>
        <v/>
      </c>
      <c r="K2161" s="26" t="str">
        <f>IF($E2161="","",INDEX(成本费用登记表!$D$4:$D$303,18))</f>
        <v/>
      </c>
      <c r="L2161" s="32" t="str">
        <f>IF($E2161="","",INDEX(成本费用登记表!$N$4:$N$303,18))</f>
        <v/>
      </c>
      <c r="M2161" s="32"/>
      <c r="N2161" s="26" t="str">
        <f t="shared" si="98"/>
        <v/>
      </c>
      <c r="O2161" s="26" t="str">
        <f t="shared" si="99"/>
        <v/>
      </c>
      <c r="P2161" s="10"/>
    </row>
    <row r="2162" ht="18" customHeight="1" spans="1:16">
      <c r="A2162" s="32" t="str">
        <f t="shared" si="100"/>
        <v/>
      </c>
      <c r="B2162" s="100" t="str">
        <f>IF($E2162="","",INDEX(成本费用登记表!$B$4:$B$303,18))</f>
        <v/>
      </c>
      <c r="C2162" s="26" t="str">
        <f t="shared" si="97"/>
        <v/>
      </c>
      <c r="D2162" s="32" t="str">
        <f>IF($E2162="","",INDEX(成本费用登记表!$E$4:$E$303,18))</f>
        <v/>
      </c>
      <c r="E2162" s="26" t="str">
        <f>IF(INDEX(成本费用登记表!$Q$4:$Y$303,18,4)=0,"",INDEX(成本费用登记表!$Q$4:$Y$303,18,4))</f>
        <v/>
      </c>
      <c r="F2162" s="25" t="str">
        <f>IF($E2162="","",IFERROR(INDEX(科目表!$A$4:$A$81,MATCH($E2162,科目表!$B$4:$B$81,0)),""))</f>
        <v/>
      </c>
      <c r="G2162" s="26" t="str">
        <f>IF($E2162="","",IFERROR(INDEX(科目表!$E$4:$E$81,MATCH($E2162,科目表!$B$4:$B$81,0)),""))</f>
        <v/>
      </c>
      <c r="H2162" s="27" t="str">
        <f>IF($E2162="","",N(INDEX(成本费用登记表!$Q$4:$Y$303,18,5)))</f>
        <v/>
      </c>
      <c r="I2162" s="27" t="str">
        <f>IF($E2162="","",N(INDEX(成本费用登记表!$Q$4:$Y$303,18,6)))</f>
        <v/>
      </c>
      <c r="J2162" s="26" t="str">
        <f>IF($E2162="","",INDEX(成本费用登记表!$C$4:$C$303,18))</f>
        <v/>
      </c>
      <c r="K2162" s="26" t="str">
        <f>IF($E2162="","",INDEX(成本费用登记表!$D$4:$D$303,18))</f>
        <v/>
      </c>
      <c r="L2162" s="32" t="str">
        <f>IF($E2162="","",INDEX(成本费用登记表!$N$4:$N$303,18))</f>
        <v/>
      </c>
      <c r="M2162" s="32"/>
      <c r="N2162" s="26" t="str">
        <f t="shared" si="98"/>
        <v/>
      </c>
      <c r="O2162" s="26" t="str">
        <f t="shared" si="99"/>
        <v/>
      </c>
      <c r="P2162" s="10"/>
    </row>
    <row r="2163" ht="18" customHeight="1" spans="1:16">
      <c r="A2163" s="32" t="str">
        <f t="shared" si="100"/>
        <v/>
      </c>
      <c r="B2163" s="100" t="str">
        <f>IF($E2163="","",INDEX(成本费用登记表!$B$4:$B$303,18))</f>
        <v/>
      </c>
      <c r="C2163" s="26" t="str">
        <f t="shared" si="97"/>
        <v/>
      </c>
      <c r="D2163" s="32" t="str">
        <f>IF($E2163="","",INDEX(成本费用登记表!$E$4:$E$303,18))</f>
        <v/>
      </c>
      <c r="E2163" s="26" t="str">
        <f>IF(INDEX(成本费用登记表!$Q$4:$Y$303,18,7)=0,"",INDEX(成本费用登记表!$Q$4:$Y$303,18,7))</f>
        <v/>
      </c>
      <c r="F2163" s="25" t="str">
        <f>IF($E2163="","",IFERROR(INDEX(科目表!$A$4:$A$81,MATCH($E2163,科目表!$B$4:$B$81,0)),""))</f>
        <v/>
      </c>
      <c r="G2163" s="26" t="str">
        <f>IF($E2163="","",IFERROR(INDEX(科目表!$E$4:$E$81,MATCH($E2163,科目表!$B$4:$B$81,0)),""))</f>
        <v/>
      </c>
      <c r="H2163" s="27" t="str">
        <f>IF($E2163="","",N(INDEX(成本费用登记表!$Q$4:$Y$303,18,8)))</f>
        <v/>
      </c>
      <c r="I2163" s="27" t="str">
        <f>IF($E2163="","",N(INDEX(成本费用登记表!$Q$4:$Y$303,18,9)))</f>
        <v/>
      </c>
      <c r="J2163" s="26" t="str">
        <f>IF($E2163="","",INDEX(成本费用登记表!$C$4:$C$303,18))</f>
        <v/>
      </c>
      <c r="K2163" s="26" t="str">
        <f>IF($E2163="","",INDEX(成本费用登记表!$D$4:$D$303,18))</f>
        <v/>
      </c>
      <c r="L2163" s="32" t="str">
        <f>IF($E2163="","",INDEX(成本费用登记表!$N$4:$N$303,18))</f>
        <v/>
      </c>
      <c r="M2163" s="32"/>
      <c r="N2163" s="26" t="str">
        <f t="shared" si="98"/>
        <v/>
      </c>
      <c r="O2163" s="26" t="str">
        <f t="shared" si="99"/>
        <v/>
      </c>
      <c r="P2163" s="10"/>
    </row>
    <row r="2164" ht="18" customHeight="1" spans="1:16">
      <c r="A2164" s="32" t="str">
        <f t="shared" si="100"/>
        <v/>
      </c>
      <c r="B2164" s="100" t="str">
        <f>IF($E2164="","",INDEX(成本费用登记表!$B$4:$B$303,19))</f>
        <v/>
      </c>
      <c r="C2164" s="26" t="str">
        <f t="shared" si="97"/>
        <v/>
      </c>
      <c r="D2164" s="32" t="str">
        <f>IF($E2164="","",INDEX(成本费用登记表!$E$4:$E$303,19))</f>
        <v/>
      </c>
      <c r="E2164" s="26" t="str">
        <f>IF(INDEX(成本费用登记表!$Q$4:$Y$303,19,1)=0,"",INDEX(成本费用登记表!$Q$4:$Y$303,19,1))</f>
        <v/>
      </c>
      <c r="F2164" s="25" t="str">
        <f>IF($E2164="","",IFERROR(INDEX(科目表!$A$4:$A$81,MATCH($E2164,科目表!$B$4:$B$81,0)),""))</f>
        <v/>
      </c>
      <c r="G2164" s="26" t="str">
        <f>IF($E2164="","",IFERROR(INDEX(科目表!$E$4:$E$81,MATCH($E2164,科目表!$B$4:$B$81,0)),""))</f>
        <v/>
      </c>
      <c r="H2164" s="27" t="str">
        <f>IF($E2164="","",N(INDEX(成本费用登记表!$Q$4:$Y$303,19,2)))</f>
        <v/>
      </c>
      <c r="I2164" s="27" t="str">
        <f>IF($E2164="","",N(INDEX(成本费用登记表!$Q$4:$Y$303,19,3)))</f>
        <v/>
      </c>
      <c r="J2164" s="26" t="str">
        <f>IF($E2164="","",INDEX(成本费用登记表!$C$4:$C$303,19))</f>
        <v/>
      </c>
      <c r="K2164" s="26" t="str">
        <f>IF($E2164="","",INDEX(成本费用登记表!$D$4:$D$303,19))</f>
        <v/>
      </c>
      <c r="L2164" s="32" t="str">
        <f>IF($E2164="","",INDEX(成本费用登记表!$N$4:$N$303,19))</f>
        <v/>
      </c>
      <c r="M2164" s="32"/>
      <c r="N2164" s="26" t="str">
        <f t="shared" si="98"/>
        <v/>
      </c>
      <c r="O2164" s="26" t="str">
        <f t="shared" si="99"/>
        <v/>
      </c>
      <c r="P2164" s="10"/>
    </row>
    <row r="2165" ht="18" customHeight="1" spans="1:16">
      <c r="A2165" s="32" t="str">
        <f t="shared" si="100"/>
        <v/>
      </c>
      <c r="B2165" s="100" t="str">
        <f>IF($E2165="","",INDEX(成本费用登记表!$B$4:$B$303,19))</f>
        <v/>
      </c>
      <c r="C2165" s="26" t="str">
        <f t="shared" si="97"/>
        <v/>
      </c>
      <c r="D2165" s="32" t="str">
        <f>IF($E2165="","",INDEX(成本费用登记表!$E$4:$E$303,19))</f>
        <v/>
      </c>
      <c r="E2165" s="26" t="str">
        <f>IF(INDEX(成本费用登记表!$Q$4:$Y$303,19,4)=0,"",INDEX(成本费用登记表!$Q$4:$Y$303,19,4))</f>
        <v/>
      </c>
      <c r="F2165" s="25" t="str">
        <f>IF($E2165="","",IFERROR(INDEX(科目表!$A$4:$A$81,MATCH($E2165,科目表!$B$4:$B$81,0)),""))</f>
        <v/>
      </c>
      <c r="G2165" s="26" t="str">
        <f>IF($E2165="","",IFERROR(INDEX(科目表!$E$4:$E$81,MATCH($E2165,科目表!$B$4:$B$81,0)),""))</f>
        <v/>
      </c>
      <c r="H2165" s="27" t="str">
        <f>IF($E2165="","",N(INDEX(成本费用登记表!$Q$4:$Y$303,19,5)))</f>
        <v/>
      </c>
      <c r="I2165" s="27" t="str">
        <f>IF($E2165="","",N(INDEX(成本费用登记表!$Q$4:$Y$303,19,6)))</f>
        <v/>
      </c>
      <c r="J2165" s="26" t="str">
        <f>IF($E2165="","",INDEX(成本费用登记表!$C$4:$C$303,19))</f>
        <v/>
      </c>
      <c r="K2165" s="26" t="str">
        <f>IF($E2165="","",INDEX(成本费用登记表!$D$4:$D$303,19))</f>
        <v/>
      </c>
      <c r="L2165" s="32" t="str">
        <f>IF($E2165="","",INDEX(成本费用登记表!$N$4:$N$303,19))</f>
        <v/>
      </c>
      <c r="M2165" s="32"/>
      <c r="N2165" s="26" t="str">
        <f t="shared" si="98"/>
        <v/>
      </c>
      <c r="O2165" s="26" t="str">
        <f t="shared" si="99"/>
        <v/>
      </c>
      <c r="P2165" s="10"/>
    </row>
    <row r="2166" ht="18" customHeight="1" spans="1:16">
      <c r="A2166" s="32" t="str">
        <f t="shared" si="100"/>
        <v/>
      </c>
      <c r="B2166" s="100" t="str">
        <f>IF($E2166="","",INDEX(成本费用登记表!$B$4:$B$303,19))</f>
        <v/>
      </c>
      <c r="C2166" s="26" t="str">
        <f t="shared" si="97"/>
        <v/>
      </c>
      <c r="D2166" s="32" t="str">
        <f>IF($E2166="","",INDEX(成本费用登记表!$E$4:$E$303,19))</f>
        <v/>
      </c>
      <c r="E2166" s="26" t="str">
        <f>IF(INDEX(成本费用登记表!$Q$4:$Y$303,19,7)=0,"",INDEX(成本费用登记表!$Q$4:$Y$303,19,7))</f>
        <v/>
      </c>
      <c r="F2166" s="25" t="str">
        <f>IF($E2166="","",IFERROR(INDEX(科目表!$A$4:$A$81,MATCH($E2166,科目表!$B$4:$B$81,0)),""))</f>
        <v/>
      </c>
      <c r="G2166" s="26" t="str">
        <f>IF($E2166="","",IFERROR(INDEX(科目表!$E$4:$E$81,MATCH($E2166,科目表!$B$4:$B$81,0)),""))</f>
        <v/>
      </c>
      <c r="H2166" s="27" t="str">
        <f>IF($E2166="","",N(INDEX(成本费用登记表!$Q$4:$Y$303,19,8)))</f>
        <v/>
      </c>
      <c r="I2166" s="27" t="str">
        <f>IF($E2166="","",N(INDEX(成本费用登记表!$Q$4:$Y$303,19,9)))</f>
        <v/>
      </c>
      <c r="J2166" s="26" t="str">
        <f>IF($E2166="","",INDEX(成本费用登记表!$C$4:$C$303,19))</f>
        <v/>
      </c>
      <c r="K2166" s="26" t="str">
        <f>IF($E2166="","",INDEX(成本费用登记表!$D$4:$D$303,19))</f>
        <v/>
      </c>
      <c r="L2166" s="32" t="str">
        <f>IF($E2166="","",INDEX(成本费用登记表!$N$4:$N$303,19))</f>
        <v/>
      </c>
      <c r="M2166" s="32"/>
      <c r="N2166" s="26" t="str">
        <f t="shared" si="98"/>
        <v/>
      </c>
      <c r="O2166" s="26" t="str">
        <f t="shared" si="99"/>
        <v/>
      </c>
      <c r="P2166" s="10"/>
    </row>
    <row r="2167" ht="18" customHeight="1" spans="1:16">
      <c r="A2167" s="32" t="str">
        <f t="shared" si="100"/>
        <v/>
      </c>
      <c r="B2167" s="100" t="str">
        <f>IF($E2167="","",INDEX(成本费用登记表!$B$4:$B$303,20))</f>
        <v/>
      </c>
      <c r="C2167" s="26" t="str">
        <f t="shared" si="97"/>
        <v/>
      </c>
      <c r="D2167" s="32" t="str">
        <f>IF($E2167="","",INDEX(成本费用登记表!$E$4:$E$303,20))</f>
        <v/>
      </c>
      <c r="E2167" s="26" t="str">
        <f>IF(INDEX(成本费用登记表!$Q$4:$Y$303,20,1)=0,"",INDEX(成本费用登记表!$Q$4:$Y$303,20,1))</f>
        <v/>
      </c>
      <c r="F2167" s="25" t="str">
        <f>IF($E2167="","",IFERROR(INDEX(科目表!$A$4:$A$81,MATCH($E2167,科目表!$B$4:$B$81,0)),""))</f>
        <v/>
      </c>
      <c r="G2167" s="26" t="str">
        <f>IF($E2167="","",IFERROR(INDEX(科目表!$E$4:$E$81,MATCH($E2167,科目表!$B$4:$B$81,0)),""))</f>
        <v/>
      </c>
      <c r="H2167" s="27" t="str">
        <f>IF($E2167="","",N(INDEX(成本费用登记表!$Q$4:$Y$303,20,2)))</f>
        <v/>
      </c>
      <c r="I2167" s="27" t="str">
        <f>IF($E2167="","",N(INDEX(成本费用登记表!$Q$4:$Y$303,20,3)))</f>
        <v/>
      </c>
      <c r="J2167" s="26" t="str">
        <f>IF($E2167="","",INDEX(成本费用登记表!$C$4:$C$303,20))</f>
        <v/>
      </c>
      <c r="K2167" s="26" t="str">
        <f>IF($E2167="","",INDEX(成本费用登记表!$D$4:$D$303,20))</f>
        <v/>
      </c>
      <c r="L2167" s="32" t="str">
        <f>IF($E2167="","",INDEX(成本费用登记表!$N$4:$N$303,20))</f>
        <v/>
      </c>
      <c r="M2167" s="32"/>
      <c r="N2167" s="26" t="str">
        <f t="shared" si="98"/>
        <v/>
      </c>
      <c r="O2167" s="26" t="str">
        <f t="shared" si="99"/>
        <v/>
      </c>
      <c r="P2167" s="10"/>
    </row>
    <row r="2168" ht="18" customHeight="1" spans="1:16">
      <c r="A2168" s="32" t="str">
        <f t="shared" si="100"/>
        <v/>
      </c>
      <c r="B2168" s="100" t="str">
        <f>IF($E2168="","",INDEX(成本费用登记表!$B$4:$B$303,20))</f>
        <v/>
      </c>
      <c r="C2168" s="26" t="str">
        <f t="shared" si="97"/>
        <v/>
      </c>
      <c r="D2168" s="32" t="str">
        <f>IF($E2168="","",INDEX(成本费用登记表!$E$4:$E$303,20))</f>
        <v/>
      </c>
      <c r="E2168" s="26" t="str">
        <f>IF(INDEX(成本费用登记表!$Q$4:$Y$303,20,4)=0,"",INDEX(成本费用登记表!$Q$4:$Y$303,20,4))</f>
        <v/>
      </c>
      <c r="F2168" s="25" t="str">
        <f>IF($E2168="","",IFERROR(INDEX(科目表!$A$4:$A$81,MATCH($E2168,科目表!$B$4:$B$81,0)),""))</f>
        <v/>
      </c>
      <c r="G2168" s="26" t="str">
        <f>IF($E2168="","",IFERROR(INDEX(科目表!$E$4:$E$81,MATCH($E2168,科目表!$B$4:$B$81,0)),""))</f>
        <v/>
      </c>
      <c r="H2168" s="27" t="str">
        <f>IF($E2168="","",N(INDEX(成本费用登记表!$Q$4:$Y$303,20,5)))</f>
        <v/>
      </c>
      <c r="I2168" s="27" t="str">
        <f>IF($E2168="","",N(INDEX(成本费用登记表!$Q$4:$Y$303,20,6)))</f>
        <v/>
      </c>
      <c r="J2168" s="26" t="str">
        <f>IF($E2168="","",INDEX(成本费用登记表!$C$4:$C$303,20))</f>
        <v/>
      </c>
      <c r="K2168" s="26" t="str">
        <f>IF($E2168="","",INDEX(成本费用登记表!$D$4:$D$303,20))</f>
        <v/>
      </c>
      <c r="L2168" s="32" t="str">
        <f>IF($E2168="","",INDEX(成本费用登记表!$N$4:$N$303,20))</f>
        <v/>
      </c>
      <c r="M2168" s="32"/>
      <c r="N2168" s="26" t="str">
        <f t="shared" si="98"/>
        <v/>
      </c>
      <c r="O2168" s="26" t="str">
        <f t="shared" si="99"/>
        <v/>
      </c>
      <c r="P2168" s="10"/>
    </row>
    <row r="2169" ht="18" customHeight="1" spans="1:16">
      <c r="A2169" s="32" t="str">
        <f t="shared" si="100"/>
        <v/>
      </c>
      <c r="B2169" s="100" t="str">
        <f>IF($E2169="","",INDEX(成本费用登记表!$B$4:$B$303,20))</f>
        <v/>
      </c>
      <c r="C2169" s="26" t="str">
        <f t="shared" si="97"/>
        <v/>
      </c>
      <c r="D2169" s="32" t="str">
        <f>IF($E2169="","",INDEX(成本费用登记表!$E$4:$E$303,20))</f>
        <v/>
      </c>
      <c r="E2169" s="26" t="str">
        <f>IF(INDEX(成本费用登记表!$Q$4:$Y$303,20,7)=0,"",INDEX(成本费用登记表!$Q$4:$Y$303,20,7))</f>
        <v/>
      </c>
      <c r="F2169" s="25" t="str">
        <f>IF($E2169="","",IFERROR(INDEX(科目表!$A$4:$A$81,MATCH($E2169,科目表!$B$4:$B$81,0)),""))</f>
        <v/>
      </c>
      <c r="G2169" s="26" t="str">
        <f>IF($E2169="","",IFERROR(INDEX(科目表!$E$4:$E$81,MATCH($E2169,科目表!$B$4:$B$81,0)),""))</f>
        <v/>
      </c>
      <c r="H2169" s="27" t="str">
        <f>IF($E2169="","",N(INDEX(成本费用登记表!$Q$4:$Y$303,20,8)))</f>
        <v/>
      </c>
      <c r="I2169" s="27" t="str">
        <f>IF($E2169="","",N(INDEX(成本费用登记表!$Q$4:$Y$303,20,9)))</f>
        <v/>
      </c>
      <c r="J2169" s="26" t="str">
        <f>IF($E2169="","",INDEX(成本费用登记表!$C$4:$C$303,20))</f>
        <v/>
      </c>
      <c r="K2169" s="26" t="str">
        <f>IF($E2169="","",INDEX(成本费用登记表!$D$4:$D$303,20))</f>
        <v/>
      </c>
      <c r="L2169" s="32" t="str">
        <f>IF($E2169="","",INDEX(成本费用登记表!$N$4:$N$303,20))</f>
        <v/>
      </c>
      <c r="M2169" s="32"/>
      <c r="N2169" s="26" t="str">
        <f t="shared" si="98"/>
        <v/>
      </c>
      <c r="O2169" s="26" t="str">
        <f t="shared" si="99"/>
        <v/>
      </c>
      <c r="P2169" s="10"/>
    </row>
    <row r="2170" ht="18" customHeight="1" spans="1:16">
      <c r="A2170" s="32" t="str">
        <f t="shared" si="100"/>
        <v/>
      </c>
      <c r="B2170" s="100" t="str">
        <f>IF($E2170="","",INDEX(成本费用登记表!$B$4:$B$303,21))</f>
        <v/>
      </c>
      <c r="C2170" s="26" t="str">
        <f t="shared" si="97"/>
        <v/>
      </c>
      <c r="D2170" s="32" t="str">
        <f>IF($E2170="","",INDEX(成本费用登记表!$E$4:$E$303,21))</f>
        <v/>
      </c>
      <c r="E2170" s="26" t="str">
        <f>IF(INDEX(成本费用登记表!$Q$4:$Y$303,21,1)=0,"",INDEX(成本费用登记表!$Q$4:$Y$303,21,1))</f>
        <v/>
      </c>
      <c r="F2170" s="25" t="str">
        <f>IF($E2170="","",IFERROR(INDEX(科目表!$A$4:$A$81,MATCH($E2170,科目表!$B$4:$B$81,0)),""))</f>
        <v/>
      </c>
      <c r="G2170" s="26" t="str">
        <f>IF($E2170="","",IFERROR(INDEX(科目表!$E$4:$E$81,MATCH($E2170,科目表!$B$4:$B$81,0)),""))</f>
        <v/>
      </c>
      <c r="H2170" s="27" t="str">
        <f>IF($E2170="","",N(INDEX(成本费用登记表!$Q$4:$Y$303,21,2)))</f>
        <v/>
      </c>
      <c r="I2170" s="27" t="str">
        <f>IF($E2170="","",N(INDEX(成本费用登记表!$Q$4:$Y$303,21,3)))</f>
        <v/>
      </c>
      <c r="J2170" s="26" t="str">
        <f>IF($E2170="","",INDEX(成本费用登记表!$C$4:$C$303,21))</f>
        <v/>
      </c>
      <c r="K2170" s="26" t="str">
        <f>IF($E2170="","",INDEX(成本费用登记表!$D$4:$D$303,21))</f>
        <v/>
      </c>
      <c r="L2170" s="32" t="str">
        <f>IF($E2170="","",INDEX(成本费用登记表!$N$4:$N$303,21))</f>
        <v/>
      </c>
      <c r="M2170" s="32"/>
      <c r="N2170" s="26" t="str">
        <f t="shared" si="98"/>
        <v/>
      </c>
      <c r="O2170" s="26" t="str">
        <f t="shared" si="99"/>
        <v/>
      </c>
      <c r="P2170" s="10"/>
    </row>
    <row r="2171" ht="18" customHeight="1" spans="1:16">
      <c r="A2171" s="32" t="str">
        <f t="shared" si="100"/>
        <v/>
      </c>
      <c r="B2171" s="100" t="str">
        <f>IF($E2171="","",INDEX(成本费用登记表!$B$4:$B$303,21))</f>
        <v/>
      </c>
      <c r="C2171" s="26" t="str">
        <f t="shared" si="97"/>
        <v/>
      </c>
      <c r="D2171" s="32" t="str">
        <f>IF($E2171="","",INDEX(成本费用登记表!$E$4:$E$303,21))</f>
        <v/>
      </c>
      <c r="E2171" s="26" t="str">
        <f>IF(INDEX(成本费用登记表!$Q$4:$Y$303,21,4)=0,"",INDEX(成本费用登记表!$Q$4:$Y$303,21,4))</f>
        <v/>
      </c>
      <c r="F2171" s="25" t="str">
        <f>IF($E2171="","",IFERROR(INDEX(科目表!$A$4:$A$81,MATCH($E2171,科目表!$B$4:$B$81,0)),""))</f>
        <v/>
      </c>
      <c r="G2171" s="26" t="str">
        <f>IF($E2171="","",IFERROR(INDEX(科目表!$E$4:$E$81,MATCH($E2171,科目表!$B$4:$B$81,0)),""))</f>
        <v/>
      </c>
      <c r="H2171" s="27" t="str">
        <f>IF($E2171="","",N(INDEX(成本费用登记表!$Q$4:$Y$303,21,5)))</f>
        <v/>
      </c>
      <c r="I2171" s="27" t="str">
        <f>IF($E2171="","",N(INDEX(成本费用登记表!$Q$4:$Y$303,21,6)))</f>
        <v/>
      </c>
      <c r="J2171" s="26" t="str">
        <f>IF($E2171="","",INDEX(成本费用登记表!$C$4:$C$303,21))</f>
        <v/>
      </c>
      <c r="K2171" s="26" t="str">
        <f>IF($E2171="","",INDEX(成本费用登记表!$D$4:$D$303,21))</f>
        <v/>
      </c>
      <c r="L2171" s="32" t="str">
        <f>IF($E2171="","",INDEX(成本费用登记表!$N$4:$N$303,21))</f>
        <v/>
      </c>
      <c r="M2171" s="32"/>
      <c r="N2171" s="26" t="str">
        <f t="shared" si="98"/>
        <v/>
      </c>
      <c r="O2171" s="26" t="str">
        <f t="shared" si="99"/>
        <v/>
      </c>
      <c r="P2171" s="10"/>
    </row>
    <row r="2172" ht="18" customHeight="1" spans="1:16">
      <c r="A2172" s="32" t="str">
        <f t="shared" si="100"/>
        <v/>
      </c>
      <c r="B2172" s="100" t="str">
        <f>IF($E2172="","",INDEX(成本费用登记表!$B$4:$B$303,21))</f>
        <v/>
      </c>
      <c r="C2172" s="26" t="str">
        <f t="shared" si="97"/>
        <v/>
      </c>
      <c r="D2172" s="32" t="str">
        <f>IF($E2172="","",INDEX(成本费用登记表!$E$4:$E$303,21))</f>
        <v/>
      </c>
      <c r="E2172" s="26" t="str">
        <f>IF(INDEX(成本费用登记表!$Q$4:$Y$303,21,7)=0,"",INDEX(成本费用登记表!$Q$4:$Y$303,21,7))</f>
        <v/>
      </c>
      <c r="F2172" s="25" t="str">
        <f>IF($E2172="","",IFERROR(INDEX(科目表!$A$4:$A$81,MATCH($E2172,科目表!$B$4:$B$81,0)),""))</f>
        <v/>
      </c>
      <c r="G2172" s="26" t="str">
        <f>IF($E2172="","",IFERROR(INDEX(科目表!$E$4:$E$81,MATCH($E2172,科目表!$B$4:$B$81,0)),""))</f>
        <v/>
      </c>
      <c r="H2172" s="27" t="str">
        <f>IF($E2172="","",N(INDEX(成本费用登记表!$Q$4:$Y$303,21,8)))</f>
        <v/>
      </c>
      <c r="I2172" s="27" t="str">
        <f>IF($E2172="","",N(INDEX(成本费用登记表!$Q$4:$Y$303,21,9)))</f>
        <v/>
      </c>
      <c r="J2172" s="26" t="str">
        <f>IF($E2172="","",INDEX(成本费用登记表!$C$4:$C$303,21))</f>
        <v/>
      </c>
      <c r="K2172" s="26" t="str">
        <f>IF($E2172="","",INDEX(成本费用登记表!$D$4:$D$303,21))</f>
        <v/>
      </c>
      <c r="L2172" s="32" t="str">
        <f>IF($E2172="","",INDEX(成本费用登记表!$N$4:$N$303,21))</f>
        <v/>
      </c>
      <c r="M2172" s="32"/>
      <c r="N2172" s="26" t="str">
        <f t="shared" si="98"/>
        <v/>
      </c>
      <c r="O2172" s="26" t="str">
        <f t="shared" si="99"/>
        <v/>
      </c>
      <c r="P2172" s="10"/>
    </row>
    <row r="2173" ht="18" customHeight="1" spans="1:16">
      <c r="A2173" s="32" t="str">
        <f t="shared" si="100"/>
        <v/>
      </c>
      <c r="B2173" s="100" t="str">
        <f>IF($E2173="","",INDEX(成本费用登记表!$B$4:$B$303,22))</f>
        <v/>
      </c>
      <c r="C2173" s="26" t="str">
        <f t="shared" si="97"/>
        <v/>
      </c>
      <c r="D2173" s="32" t="str">
        <f>IF($E2173="","",INDEX(成本费用登记表!$E$4:$E$303,22))</f>
        <v/>
      </c>
      <c r="E2173" s="26" t="str">
        <f>IF(INDEX(成本费用登记表!$Q$4:$Y$303,22,1)=0,"",INDEX(成本费用登记表!$Q$4:$Y$303,22,1))</f>
        <v/>
      </c>
      <c r="F2173" s="25" t="str">
        <f>IF($E2173="","",IFERROR(INDEX(科目表!$A$4:$A$81,MATCH($E2173,科目表!$B$4:$B$81,0)),""))</f>
        <v/>
      </c>
      <c r="G2173" s="26" t="str">
        <f>IF($E2173="","",IFERROR(INDEX(科目表!$E$4:$E$81,MATCH($E2173,科目表!$B$4:$B$81,0)),""))</f>
        <v/>
      </c>
      <c r="H2173" s="27" t="str">
        <f>IF($E2173="","",N(INDEX(成本费用登记表!$Q$4:$Y$303,22,2)))</f>
        <v/>
      </c>
      <c r="I2173" s="27" t="str">
        <f>IF($E2173="","",N(INDEX(成本费用登记表!$Q$4:$Y$303,22,3)))</f>
        <v/>
      </c>
      <c r="J2173" s="26" t="str">
        <f>IF($E2173="","",INDEX(成本费用登记表!$C$4:$C$303,22))</f>
        <v/>
      </c>
      <c r="K2173" s="26" t="str">
        <f>IF($E2173="","",INDEX(成本费用登记表!$D$4:$D$303,22))</f>
        <v/>
      </c>
      <c r="L2173" s="32" t="str">
        <f>IF($E2173="","",INDEX(成本费用登记表!$N$4:$N$303,22))</f>
        <v/>
      </c>
      <c r="M2173" s="32"/>
      <c r="N2173" s="26" t="str">
        <f t="shared" si="98"/>
        <v/>
      </c>
      <c r="O2173" s="26" t="str">
        <f t="shared" si="99"/>
        <v/>
      </c>
      <c r="P2173" s="10"/>
    </row>
    <row r="2174" ht="18" customHeight="1" spans="1:16">
      <c r="A2174" s="32" t="str">
        <f t="shared" si="100"/>
        <v/>
      </c>
      <c r="B2174" s="100" t="str">
        <f>IF($E2174="","",INDEX(成本费用登记表!$B$4:$B$303,22))</f>
        <v/>
      </c>
      <c r="C2174" s="26" t="str">
        <f t="shared" ref="C2174:C2237" si="101">IF($E2174="","","记-"&amp;TEXT($B2174,"YYYYMM")&amp;"-费用")</f>
        <v/>
      </c>
      <c r="D2174" s="32" t="str">
        <f>IF($E2174="","",INDEX(成本费用登记表!$E$4:$E$303,22))</f>
        <v/>
      </c>
      <c r="E2174" s="26" t="str">
        <f>IF(INDEX(成本费用登记表!$Q$4:$Y$303,22,4)=0,"",INDEX(成本费用登记表!$Q$4:$Y$303,22,4))</f>
        <v/>
      </c>
      <c r="F2174" s="25" t="str">
        <f>IF($E2174="","",IFERROR(INDEX(科目表!$A$4:$A$81,MATCH($E2174,科目表!$B$4:$B$81,0)),""))</f>
        <v/>
      </c>
      <c r="G2174" s="26" t="str">
        <f>IF($E2174="","",IFERROR(INDEX(科目表!$E$4:$E$81,MATCH($E2174,科目表!$B$4:$B$81,0)),""))</f>
        <v/>
      </c>
      <c r="H2174" s="27" t="str">
        <f>IF($E2174="","",N(INDEX(成本费用登记表!$Q$4:$Y$303,22,5)))</f>
        <v/>
      </c>
      <c r="I2174" s="27" t="str">
        <f>IF($E2174="","",N(INDEX(成本费用登记表!$Q$4:$Y$303,22,6)))</f>
        <v/>
      </c>
      <c r="J2174" s="26" t="str">
        <f>IF($E2174="","",INDEX(成本费用登记表!$C$4:$C$303,22))</f>
        <v/>
      </c>
      <c r="K2174" s="26" t="str">
        <f>IF($E2174="","",INDEX(成本费用登记表!$D$4:$D$303,22))</f>
        <v/>
      </c>
      <c r="L2174" s="32" t="str">
        <f>IF($E2174="","",INDEX(成本费用登记表!$N$4:$N$303,22))</f>
        <v/>
      </c>
      <c r="M2174" s="32"/>
      <c r="N2174" s="26" t="str">
        <f t="shared" ref="N2174:N2237" si="102">IF($E2174="","","系统")</f>
        <v/>
      </c>
      <c r="O2174" s="26" t="str">
        <f t="shared" ref="O2174:O2237" si="103">IF($E2174="","","自动C")</f>
        <v/>
      </c>
      <c r="P2174" s="10"/>
    </row>
    <row r="2175" ht="18" customHeight="1" spans="1:16">
      <c r="A2175" s="32" t="str">
        <f t="shared" si="100"/>
        <v/>
      </c>
      <c r="B2175" s="100" t="str">
        <f>IF($E2175="","",INDEX(成本费用登记表!$B$4:$B$303,22))</f>
        <v/>
      </c>
      <c r="C2175" s="26" t="str">
        <f t="shared" si="101"/>
        <v/>
      </c>
      <c r="D2175" s="32" t="str">
        <f>IF($E2175="","",INDEX(成本费用登记表!$E$4:$E$303,22))</f>
        <v/>
      </c>
      <c r="E2175" s="26" t="str">
        <f>IF(INDEX(成本费用登记表!$Q$4:$Y$303,22,7)=0,"",INDEX(成本费用登记表!$Q$4:$Y$303,22,7))</f>
        <v/>
      </c>
      <c r="F2175" s="25" t="str">
        <f>IF($E2175="","",IFERROR(INDEX(科目表!$A$4:$A$81,MATCH($E2175,科目表!$B$4:$B$81,0)),""))</f>
        <v/>
      </c>
      <c r="G2175" s="26" t="str">
        <f>IF($E2175="","",IFERROR(INDEX(科目表!$E$4:$E$81,MATCH($E2175,科目表!$B$4:$B$81,0)),""))</f>
        <v/>
      </c>
      <c r="H2175" s="27" t="str">
        <f>IF($E2175="","",N(INDEX(成本费用登记表!$Q$4:$Y$303,22,8)))</f>
        <v/>
      </c>
      <c r="I2175" s="27" t="str">
        <f>IF($E2175="","",N(INDEX(成本费用登记表!$Q$4:$Y$303,22,9)))</f>
        <v/>
      </c>
      <c r="J2175" s="26" t="str">
        <f>IF($E2175="","",INDEX(成本费用登记表!$C$4:$C$303,22))</f>
        <v/>
      </c>
      <c r="K2175" s="26" t="str">
        <f>IF($E2175="","",INDEX(成本费用登记表!$D$4:$D$303,22))</f>
        <v/>
      </c>
      <c r="L2175" s="32" t="str">
        <f>IF($E2175="","",INDEX(成本费用登记表!$N$4:$N$303,22))</f>
        <v/>
      </c>
      <c r="M2175" s="32"/>
      <c r="N2175" s="26" t="str">
        <f t="shared" si="102"/>
        <v/>
      </c>
      <c r="O2175" s="26" t="str">
        <f t="shared" si="103"/>
        <v/>
      </c>
      <c r="P2175" s="10"/>
    </row>
    <row r="2176" ht="18" customHeight="1" spans="1:16">
      <c r="A2176" s="32" t="str">
        <f t="shared" si="100"/>
        <v/>
      </c>
      <c r="B2176" s="100" t="str">
        <f>IF($E2176="","",INDEX(成本费用登记表!$B$4:$B$303,23))</f>
        <v/>
      </c>
      <c r="C2176" s="26" t="str">
        <f t="shared" si="101"/>
        <v/>
      </c>
      <c r="D2176" s="32" t="str">
        <f>IF($E2176="","",INDEX(成本费用登记表!$E$4:$E$303,23))</f>
        <v/>
      </c>
      <c r="E2176" s="26" t="str">
        <f>IF(INDEX(成本费用登记表!$Q$4:$Y$303,23,1)=0,"",INDEX(成本费用登记表!$Q$4:$Y$303,23,1))</f>
        <v/>
      </c>
      <c r="F2176" s="25" t="str">
        <f>IF($E2176="","",IFERROR(INDEX(科目表!$A$4:$A$81,MATCH($E2176,科目表!$B$4:$B$81,0)),""))</f>
        <v/>
      </c>
      <c r="G2176" s="26" t="str">
        <f>IF($E2176="","",IFERROR(INDEX(科目表!$E$4:$E$81,MATCH($E2176,科目表!$B$4:$B$81,0)),""))</f>
        <v/>
      </c>
      <c r="H2176" s="27" t="str">
        <f>IF($E2176="","",N(INDEX(成本费用登记表!$Q$4:$Y$303,23,2)))</f>
        <v/>
      </c>
      <c r="I2176" s="27" t="str">
        <f>IF($E2176="","",N(INDEX(成本费用登记表!$Q$4:$Y$303,23,3)))</f>
        <v/>
      </c>
      <c r="J2176" s="26" t="str">
        <f>IF($E2176="","",INDEX(成本费用登记表!$C$4:$C$303,23))</f>
        <v/>
      </c>
      <c r="K2176" s="26" t="str">
        <f>IF($E2176="","",INDEX(成本费用登记表!$D$4:$D$303,23))</f>
        <v/>
      </c>
      <c r="L2176" s="32" t="str">
        <f>IF($E2176="","",INDEX(成本费用登记表!$N$4:$N$303,23))</f>
        <v/>
      </c>
      <c r="M2176" s="32"/>
      <c r="N2176" s="26" t="str">
        <f t="shared" si="102"/>
        <v/>
      </c>
      <c r="O2176" s="26" t="str">
        <f t="shared" si="103"/>
        <v/>
      </c>
      <c r="P2176" s="10"/>
    </row>
    <row r="2177" ht="18" customHeight="1" spans="1:16">
      <c r="A2177" s="32" t="str">
        <f t="shared" si="100"/>
        <v/>
      </c>
      <c r="B2177" s="100" t="str">
        <f>IF($E2177="","",INDEX(成本费用登记表!$B$4:$B$303,23))</f>
        <v/>
      </c>
      <c r="C2177" s="26" t="str">
        <f t="shared" si="101"/>
        <v/>
      </c>
      <c r="D2177" s="32" t="str">
        <f>IF($E2177="","",INDEX(成本费用登记表!$E$4:$E$303,23))</f>
        <v/>
      </c>
      <c r="E2177" s="26" t="str">
        <f>IF(INDEX(成本费用登记表!$Q$4:$Y$303,23,4)=0,"",INDEX(成本费用登记表!$Q$4:$Y$303,23,4))</f>
        <v/>
      </c>
      <c r="F2177" s="25" t="str">
        <f>IF($E2177="","",IFERROR(INDEX(科目表!$A$4:$A$81,MATCH($E2177,科目表!$B$4:$B$81,0)),""))</f>
        <v/>
      </c>
      <c r="G2177" s="26" t="str">
        <f>IF($E2177="","",IFERROR(INDEX(科目表!$E$4:$E$81,MATCH($E2177,科目表!$B$4:$B$81,0)),""))</f>
        <v/>
      </c>
      <c r="H2177" s="27" t="str">
        <f>IF($E2177="","",N(INDEX(成本费用登记表!$Q$4:$Y$303,23,5)))</f>
        <v/>
      </c>
      <c r="I2177" s="27" t="str">
        <f>IF($E2177="","",N(INDEX(成本费用登记表!$Q$4:$Y$303,23,6)))</f>
        <v/>
      </c>
      <c r="J2177" s="26" t="str">
        <f>IF($E2177="","",INDEX(成本费用登记表!$C$4:$C$303,23))</f>
        <v/>
      </c>
      <c r="K2177" s="26" t="str">
        <f>IF($E2177="","",INDEX(成本费用登记表!$D$4:$D$303,23))</f>
        <v/>
      </c>
      <c r="L2177" s="32" t="str">
        <f>IF($E2177="","",INDEX(成本费用登记表!$N$4:$N$303,23))</f>
        <v/>
      </c>
      <c r="M2177" s="32"/>
      <c r="N2177" s="26" t="str">
        <f t="shared" si="102"/>
        <v/>
      </c>
      <c r="O2177" s="26" t="str">
        <f t="shared" si="103"/>
        <v/>
      </c>
      <c r="P2177" s="10"/>
    </row>
    <row r="2178" ht="18" customHeight="1" spans="1:16">
      <c r="A2178" s="32" t="str">
        <f t="shared" si="100"/>
        <v/>
      </c>
      <c r="B2178" s="100" t="str">
        <f>IF($E2178="","",INDEX(成本费用登记表!$B$4:$B$303,23))</f>
        <v/>
      </c>
      <c r="C2178" s="26" t="str">
        <f t="shared" si="101"/>
        <v/>
      </c>
      <c r="D2178" s="32" t="str">
        <f>IF($E2178="","",INDEX(成本费用登记表!$E$4:$E$303,23))</f>
        <v/>
      </c>
      <c r="E2178" s="26" t="str">
        <f>IF(INDEX(成本费用登记表!$Q$4:$Y$303,23,7)=0,"",INDEX(成本费用登记表!$Q$4:$Y$303,23,7))</f>
        <v/>
      </c>
      <c r="F2178" s="25" t="str">
        <f>IF($E2178="","",IFERROR(INDEX(科目表!$A$4:$A$81,MATCH($E2178,科目表!$B$4:$B$81,0)),""))</f>
        <v/>
      </c>
      <c r="G2178" s="26" t="str">
        <f>IF($E2178="","",IFERROR(INDEX(科目表!$E$4:$E$81,MATCH($E2178,科目表!$B$4:$B$81,0)),""))</f>
        <v/>
      </c>
      <c r="H2178" s="27" t="str">
        <f>IF($E2178="","",N(INDEX(成本费用登记表!$Q$4:$Y$303,23,8)))</f>
        <v/>
      </c>
      <c r="I2178" s="27" t="str">
        <f>IF($E2178="","",N(INDEX(成本费用登记表!$Q$4:$Y$303,23,9)))</f>
        <v/>
      </c>
      <c r="J2178" s="26" t="str">
        <f>IF($E2178="","",INDEX(成本费用登记表!$C$4:$C$303,23))</f>
        <v/>
      </c>
      <c r="K2178" s="26" t="str">
        <f>IF($E2178="","",INDEX(成本费用登记表!$D$4:$D$303,23))</f>
        <v/>
      </c>
      <c r="L2178" s="32" t="str">
        <f>IF($E2178="","",INDEX(成本费用登记表!$N$4:$N$303,23))</f>
        <v/>
      </c>
      <c r="M2178" s="32"/>
      <c r="N2178" s="26" t="str">
        <f t="shared" si="102"/>
        <v/>
      </c>
      <c r="O2178" s="26" t="str">
        <f t="shared" si="103"/>
        <v/>
      </c>
      <c r="P2178" s="10"/>
    </row>
    <row r="2179" ht="18" customHeight="1" spans="1:16">
      <c r="A2179" s="32" t="str">
        <f t="shared" si="100"/>
        <v/>
      </c>
      <c r="B2179" s="100" t="str">
        <f>IF($E2179="","",INDEX(成本费用登记表!$B$4:$B$303,24))</f>
        <v/>
      </c>
      <c r="C2179" s="26" t="str">
        <f t="shared" si="101"/>
        <v/>
      </c>
      <c r="D2179" s="32" t="str">
        <f>IF($E2179="","",INDEX(成本费用登记表!$E$4:$E$303,24))</f>
        <v/>
      </c>
      <c r="E2179" s="26" t="str">
        <f>IF(INDEX(成本费用登记表!$Q$4:$Y$303,24,1)=0,"",INDEX(成本费用登记表!$Q$4:$Y$303,24,1))</f>
        <v/>
      </c>
      <c r="F2179" s="25" t="str">
        <f>IF($E2179="","",IFERROR(INDEX(科目表!$A$4:$A$81,MATCH($E2179,科目表!$B$4:$B$81,0)),""))</f>
        <v/>
      </c>
      <c r="G2179" s="26" t="str">
        <f>IF($E2179="","",IFERROR(INDEX(科目表!$E$4:$E$81,MATCH($E2179,科目表!$B$4:$B$81,0)),""))</f>
        <v/>
      </c>
      <c r="H2179" s="27" t="str">
        <f>IF($E2179="","",N(INDEX(成本费用登记表!$Q$4:$Y$303,24,2)))</f>
        <v/>
      </c>
      <c r="I2179" s="27" t="str">
        <f>IF($E2179="","",N(INDEX(成本费用登记表!$Q$4:$Y$303,24,3)))</f>
        <v/>
      </c>
      <c r="J2179" s="26" t="str">
        <f>IF($E2179="","",INDEX(成本费用登记表!$C$4:$C$303,24))</f>
        <v/>
      </c>
      <c r="K2179" s="26" t="str">
        <f>IF($E2179="","",INDEX(成本费用登记表!$D$4:$D$303,24))</f>
        <v/>
      </c>
      <c r="L2179" s="32" t="str">
        <f>IF($E2179="","",INDEX(成本费用登记表!$N$4:$N$303,24))</f>
        <v/>
      </c>
      <c r="M2179" s="32"/>
      <c r="N2179" s="26" t="str">
        <f t="shared" si="102"/>
        <v/>
      </c>
      <c r="O2179" s="26" t="str">
        <f t="shared" si="103"/>
        <v/>
      </c>
      <c r="P2179" s="10"/>
    </row>
    <row r="2180" ht="18" customHeight="1" spans="1:16">
      <c r="A2180" s="32" t="str">
        <f t="shared" ref="A2180:A2243" si="104">IF($E2180="","",ROW()-3)</f>
        <v/>
      </c>
      <c r="B2180" s="100" t="str">
        <f>IF($E2180="","",INDEX(成本费用登记表!$B$4:$B$303,24))</f>
        <v/>
      </c>
      <c r="C2180" s="26" t="str">
        <f t="shared" si="101"/>
        <v/>
      </c>
      <c r="D2180" s="32" t="str">
        <f>IF($E2180="","",INDEX(成本费用登记表!$E$4:$E$303,24))</f>
        <v/>
      </c>
      <c r="E2180" s="26" t="str">
        <f>IF(INDEX(成本费用登记表!$Q$4:$Y$303,24,4)=0,"",INDEX(成本费用登记表!$Q$4:$Y$303,24,4))</f>
        <v/>
      </c>
      <c r="F2180" s="25" t="str">
        <f>IF($E2180="","",IFERROR(INDEX(科目表!$A$4:$A$81,MATCH($E2180,科目表!$B$4:$B$81,0)),""))</f>
        <v/>
      </c>
      <c r="G2180" s="26" t="str">
        <f>IF($E2180="","",IFERROR(INDEX(科目表!$E$4:$E$81,MATCH($E2180,科目表!$B$4:$B$81,0)),""))</f>
        <v/>
      </c>
      <c r="H2180" s="27" t="str">
        <f>IF($E2180="","",N(INDEX(成本费用登记表!$Q$4:$Y$303,24,5)))</f>
        <v/>
      </c>
      <c r="I2180" s="27" t="str">
        <f>IF($E2180="","",N(INDEX(成本费用登记表!$Q$4:$Y$303,24,6)))</f>
        <v/>
      </c>
      <c r="J2180" s="26" t="str">
        <f>IF($E2180="","",INDEX(成本费用登记表!$C$4:$C$303,24))</f>
        <v/>
      </c>
      <c r="K2180" s="26" t="str">
        <f>IF($E2180="","",INDEX(成本费用登记表!$D$4:$D$303,24))</f>
        <v/>
      </c>
      <c r="L2180" s="32" t="str">
        <f>IF($E2180="","",INDEX(成本费用登记表!$N$4:$N$303,24))</f>
        <v/>
      </c>
      <c r="M2180" s="32"/>
      <c r="N2180" s="26" t="str">
        <f t="shared" si="102"/>
        <v/>
      </c>
      <c r="O2180" s="26" t="str">
        <f t="shared" si="103"/>
        <v/>
      </c>
      <c r="P2180" s="10"/>
    </row>
    <row r="2181" ht="18" customHeight="1" spans="1:16">
      <c r="A2181" s="32" t="str">
        <f t="shared" si="104"/>
        <v/>
      </c>
      <c r="B2181" s="100" t="str">
        <f>IF($E2181="","",INDEX(成本费用登记表!$B$4:$B$303,24))</f>
        <v/>
      </c>
      <c r="C2181" s="26" t="str">
        <f t="shared" si="101"/>
        <v/>
      </c>
      <c r="D2181" s="32" t="str">
        <f>IF($E2181="","",INDEX(成本费用登记表!$E$4:$E$303,24))</f>
        <v/>
      </c>
      <c r="E2181" s="26" t="str">
        <f>IF(INDEX(成本费用登记表!$Q$4:$Y$303,24,7)=0,"",INDEX(成本费用登记表!$Q$4:$Y$303,24,7))</f>
        <v/>
      </c>
      <c r="F2181" s="25" t="str">
        <f>IF($E2181="","",IFERROR(INDEX(科目表!$A$4:$A$81,MATCH($E2181,科目表!$B$4:$B$81,0)),""))</f>
        <v/>
      </c>
      <c r="G2181" s="26" t="str">
        <f>IF($E2181="","",IFERROR(INDEX(科目表!$E$4:$E$81,MATCH($E2181,科目表!$B$4:$B$81,0)),""))</f>
        <v/>
      </c>
      <c r="H2181" s="27" t="str">
        <f>IF($E2181="","",N(INDEX(成本费用登记表!$Q$4:$Y$303,24,8)))</f>
        <v/>
      </c>
      <c r="I2181" s="27" t="str">
        <f>IF($E2181="","",N(INDEX(成本费用登记表!$Q$4:$Y$303,24,9)))</f>
        <v/>
      </c>
      <c r="J2181" s="26" t="str">
        <f>IF($E2181="","",INDEX(成本费用登记表!$C$4:$C$303,24))</f>
        <v/>
      </c>
      <c r="K2181" s="26" t="str">
        <f>IF($E2181="","",INDEX(成本费用登记表!$D$4:$D$303,24))</f>
        <v/>
      </c>
      <c r="L2181" s="32" t="str">
        <f>IF($E2181="","",INDEX(成本费用登记表!$N$4:$N$303,24))</f>
        <v/>
      </c>
      <c r="M2181" s="32"/>
      <c r="N2181" s="26" t="str">
        <f t="shared" si="102"/>
        <v/>
      </c>
      <c r="O2181" s="26" t="str">
        <f t="shared" si="103"/>
        <v/>
      </c>
      <c r="P2181" s="10"/>
    </row>
    <row r="2182" ht="18" customHeight="1" spans="1:16">
      <c r="A2182" s="32" t="str">
        <f t="shared" si="104"/>
        <v/>
      </c>
      <c r="B2182" s="100" t="str">
        <f>IF($E2182="","",INDEX(成本费用登记表!$B$4:$B$303,25))</f>
        <v/>
      </c>
      <c r="C2182" s="26" t="str">
        <f t="shared" si="101"/>
        <v/>
      </c>
      <c r="D2182" s="32" t="str">
        <f>IF($E2182="","",INDEX(成本费用登记表!$E$4:$E$303,25))</f>
        <v/>
      </c>
      <c r="E2182" s="26" t="str">
        <f>IF(INDEX(成本费用登记表!$Q$4:$Y$303,25,1)=0,"",INDEX(成本费用登记表!$Q$4:$Y$303,25,1))</f>
        <v/>
      </c>
      <c r="F2182" s="25" t="str">
        <f>IF($E2182="","",IFERROR(INDEX(科目表!$A$4:$A$81,MATCH($E2182,科目表!$B$4:$B$81,0)),""))</f>
        <v/>
      </c>
      <c r="G2182" s="26" t="str">
        <f>IF($E2182="","",IFERROR(INDEX(科目表!$E$4:$E$81,MATCH($E2182,科目表!$B$4:$B$81,0)),""))</f>
        <v/>
      </c>
      <c r="H2182" s="27" t="str">
        <f>IF($E2182="","",N(INDEX(成本费用登记表!$Q$4:$Y$303,25,2)))</f>
        <v/>
      </c>
      <c r="I2182" s="27" t="str">
        <f>IF($E2182="","",N(INDEX(成本费用登记表!$Q$4:$Y$303,25,3)))</f>
        <v/>
      </c>
      <c r="J2182" s="26" t="str">
        <f>IF($E2182="","",INDEX(成本费用登记表!$C$4:$C$303,25))</f>
        <v/>
      </c>
      <c r="K2182" s="26" t="str">
        <f>IF($E2182="","",INDEX(成本费用登记表!$D$4:$D$303,25))</f>
        <v/>
      </c>
      <c r="L2182" s="32" t="str">
        <f>IF($E2182="","",INDEX(成本费用登记表!$N$4:$N$303,25))</f>
        <v/>
      </c>
      <c r="M2182" s="32"/>
      <c r="N2182" s="26" t="str">
        <f t="shared" si="102"/>
        <v/>
      </c>
      <c r="O2182" s="26" t="str">
        <f t="shared" si="103"/>
        <v/>
      </c>
      <c r="P2182" s="10"/>
    </row>
    <row r="2183" ht="18" customHeight="1" spans="1:16">
      <c r="A2183" s="32" t="str">
        <f t="shared" si="104"/>
        <v/>
      </c>
      <c r="B2183" s="100" t="str">
        <f>IF($E2183="","",INDEX(成本费用登记表!$B$4:$B$303,25))</f>
        <v/>
      </c>
      <c r="C2183" s="26" t="str">
        <f t="shared" si="101"/>
        <v/>
      </c>
      <c r="D2183" s="32" t="str">
        <f>IF($E2183="","",INDEX(成本费用登记表!$E$4:$E$303,25))</f>
        <v/>
      </c>
      <c r="E2183" s="26" t="str">
        <f>IF(INDEX(成本费用登记表!$Q$4:$Y$303,25,4)=0,"",INDEX(成本费用登记表!$Q$4:$Y$303,25,4))</f>
        <v/>
      </c>
      <c r="F2183" s="25" t="str">
        <f>IF($E2183="","",IFERROR(INDEX(科目表!$A$4:$A$81,MATCH($E2183,科目表!$B$4:$B$81,0)),""))</f>
        <v/>
      </c>
      <c r="G2183" s="26" t="str">
        <f>IF($E2183="","",IFERROR(INDEX(科目表!$E$4:$E$81,MATCH($E2183,科目表!$B$4:$B$81,0)),""))</f>
        <v/>
      </c>
      <c r="H2183" s="27" t="str">
        <f>IF($E2183="","",N(INDEX(成本费用登记表!$Q$4:$Y$303,25,5)))</f>
        <v/>
      </c>
      <c r="I2183" s="27" t="str">
        <f>IF($E2183="","",N(INDEX(成本费用登记表!$Q$4:$Y$303,25,6)))</f>
        <v/>
      </c>
      <c r="J2183" s="26" t="str">
        <f>IF($E2183="","",INDEX(成本费用登记表!$C$4:$C$303,25))</f>
        <v/>
      </c>
      <c r="K2183" s="26" t="str">
        <f>IF($E2183="","",INDEX(成本费用登记表!$D$4:$D$303,25))</f>
        <v/>
      </c>
      <c r="L2183" s="32" t="str">
        <f>IF($E2183="","",INDEX(成本费用登记表!$N$4:$N$303,25))</f>
        <v/>
      </c>
      <c r="M2183" s="32"/>
      <c r="N2183" s="26" t="str">
        <f t="shared" si="102"/>
        <v/>
      </c>
      <c r="O2183" s="26" t="str">
        <f t="shared" si="103"/>
        <v/>
      </c>
      <c r="P2183" s="10"/>
    </row>
    <row r="2184" ht="18" customHeight="1" spans="1:16">
      <c r="A2184" s="32" t="str">
        <f t="shared" si="104"/>
        <v/>
      </c>
      <c r="B2184" s="100" t="str">
        <f>IF($E2184="","",INDEX(成本费用登记表!$B$4:$B$303,25))</f>
        <v/>
      </c>
      <c r="C2184" s="26" t="str">
        <f t="shared" si="101"/>
        <v/>
      </c>
      <c r="D2184" s="32" t="str">
        <f>IF($E2184="","",INDEX(成本费用登记表!$E$4:$E$303,25))</f>
        <v/>
      </c>
      <c r="E2184" s="26" t="str">
        <f>IF(INDEX(成本费用登记表!$Q$4:$Y$303,25,7)=0,"",INDEX(成本费用登记表!$Q$4:$Y$303,25,7))</f>
        <v/>
      </c>
      <c r="F2184" s="25" t="str">
        <f>IF($E2184="","",IFERROR(INDEX(科目表!$A$4:$A$81,MATCH($E2184,科目表!$B$4:$B$81,0)),""))</f>
        <v/>
      </c>
      <c r="G2184" s="26" t="str">
        <f>IF($E2184="","",IFERROR(INDEX(科目表!$E$4:$E$81,MATCH($E2184,科目表!$B$4:$B$81,0)),""))</f>
        <v/>
      </c>
      <c r="H2184" s="27" t="str">
        <f>IF($E2184="","",N(INDEX(成本费用登记表!$Q$4:$Y$303,25,8)))</f>
        <v/>
      </c>
      <c r="I2184" s="27" t="str">
        <f>IF($E2184="","",N(INDEX(成本费用登记表!$Q$4:$Y$303,25,9)))</f>
        <v/>
      </c>
      <c r="J2184" s="26" t="str">
        <f>IF($E2184="","",INDEX(成本费用登记表!$C$4:$C$303,25))</f>
        <v/>
      </c>
      <c r="K2184" s="26" t="str">
        <f>IF($E2184="","",INDEX(成本费用登记表!$D$4:$D$303,25))</f>
        <v/>
      </c>
      <c r="L2184" s="32" t="str">
        <f>IF($E2184="","",INDEX(成本费用登记表!$N$4:$N$303,25))</f>
        <v/>
      </c>
      <c r="M2184" s="32"/>
      <c r="N2184" s="26" t="str">
        <f t="shared" si="102"/>
        <v/>
      </c>
      <c r="O2184" s="26" t="str">
        <f t="shared" si="103"/>
        <v/>
      </c>
      <c r="P2184" s="10"/>
    </row>
    <row r="2185" ht="18" customHeight="1" spans="1:16">
      <c r="A2185" s="32" t="str">
        <f t="shared" si="104"/>
        <v/>
      </c>
      <c r="B2185" s="100" t="str">
        <f>IF($E2185="","",INDEX(成本费用登记表!$B$4:$B$303,26))</f>
        <v/>
      </c>
      <c r="C2185" s="26" t="str">
        <f t="shared" si="101"/>
        <v/>
      </c>
      <c r="D2185" s="32" t="str">
        <f>IF($E2185="","",INDEX(成本费用登记表!$E$4:$E$303,26))</f>
        <v/>
      </c>
      <c r="E2185" s="26" t="str">
        <f>IF(INDEX(成本费用登记表!$Q$4:$Y$303,26,1)=0,"",INDEX(成本费用登记表!$Q$4:$Y$303,26,1))</f>
        <v/>
      </c>
      <c r="F2185" s="25" t="str">
        <f>IF($E2185="","",IFERROR(INDEX(科目表!$A$4:$A$81,MATCH($E2185,科目表!$B$4:$B$81,0)),""))</f>
        <v/>
      </c>
      <c r="G2185" s="26" t="str">
        <f>IF($E2185="","",IFERROR(INDEX(科目表!$E$4:$E$81,MATCH($E2185,科目表!$B$4:$B$81,0)),""))</f>
        <v/>
      </c>
      <c r="H2185" s="27" t="str">
        <f>IF($E2185="","",N(INDEX(成本费用登记表!$Q$4:$Y$303,26,2)))</f>
        <v/>
      </c>
      <c r="I2185" s="27" t="str">
        <f>IF($E2185="","",N(INDEX(成本费用登记表!$Q$4:$Y$303,26,3)))</f>
        <v/>
      </c>
      <c r="J2185" s="26" t="str">
        <f>IF($E2185="","",INDEX(成本费用登记表!$C$4:$C$303,26))</f>
        <v/>
      </c>
      <c r="K2185" s="26" t="str">
        <f>IF($E2185="","",INDEX(成本费用登记表!$D$4:$D$303,26))</f>
        <v/>
      </c>
      <c r="L2185" s="32" t="str">
        <f>IF($E2185="","",INDEX(成本费用登记表!$N$4:$N$303,26))</f>
        <v/>
      </c>
      <c r="M2185" s="32"/>
      <c r="N2185" s="26" t="str">
        <f t="shared" si="102"/>
        <v/>
      </c>
      <c r="O2185" s="26" t="str">
        <f t="shared" si="103"/>
        <v/>
      </c>
      <c r="P2185" s="10"/>
    </row>
    <row r="2186" ht="18" customHeight="1" spans="1:16">
      <c r="A2186" s="32" t="str">
        <f t="shared" si="104"/>
        <v/>
      </c>
      <c r="B2186" s="100" t="str">
        <f>IF($E2186="","",INDEX(成本费用登记表!$B$4:$B$303,26))</f>
        <v/>
      </c>
      <c r="C2186" s="26" t="str">
        <f t="shared" si="101"/>
        <v/>
      </c>
      <c r="D2186" s="32" t="str">
        <f>IF($E2186="","",INDEX(成本费用登记表!$E$4:$E$303,26))</f>
        <v/>
      </c>
      <c r="E2186" s="26" t="str">
        <f>IF(INDEX(成本费用登记表!$Q$4:$Y$303,26,4)=0,"",INDEX(成本费用登记表!$Q$4:$Y$303,26,4))</f>
        <v/>
      </c>
      <c r="F2186" s="25" t="str">
        <f>IF($E2186="","",IFERROR(INDEX(科目表!$A$4:$A$81,MATCH($E2186,科目表!$B$4:$B$81,0)),""))</f>
        <v/>
      </c>
      <c r="G2186" s="26" t="str">
        <f>IF($E2186="","",IFERROR(INDEX(科目表!$E$4:$E$81,MATCH($E2186,科目表!$B$4:$B$81,0)),""))</f>
        <v/>
      </c>
      <c r="H2186" s="27" t="str">
        <f>IF($E2186="","",N(INDEX(成本费用登记表!$Q$4:$Y$303,26,5)))</f>
        <v/>
      </c>
      <c r="I2186" s="27" t="str">
        <f>IF($E2186="","",N(INDEX(成本费用登记表!$Q$4:$Y$303,26,6)))</f>
        <v/>
      </c>
      <c r="J2186" s="26" t="str">
        <f>IF($E2186="","",INDEX(成本费用登记表!$C$4:$C$303,26))</f>
        <v/>
      </c>
      <c r="K2186" s="26" t="str">
        <f>IF($E2186="","",INDEX(成本费用登记表!$D$4:$D$303,26))</f>
        <v/>
      </c>
      <c r="L2186" s="32" t="str">
        <f>IF($E2186="","",INDEX(成本费用登记表!$N$4:$N$303,26))</f>
        <v/>
      </c>
      <c r="M2186" s="32"/>
      <c r="N2186" s="26" t="str">
        <f t="shared" si="102"/>
        <v/>
      </c>
      <c r="O2186" s="26" t="str">
        <f t="shared" si="103"/>
        <v/>
      </c>
      <c r="P2186" s="10"/>
    </row>
    <row r="2187" ht="18" customHeight="1" spans="1:16">
      <c r="A2187" s="32" t="str">
        <f t="shared" si="104"/>
        <v/>
      </c>
      <c r="B2187" s="100" t="str">
        <f>IF($E2187="","",INDEX(成本费用登记表!$B$4:$B$303,26))</f>
        <v/>
      </c>
      <c r="C2187" s="26" t="str">
        <f t="shared" si="101"/>
        <v/>
      </c>
      <c r="D2187" s="32" t="str">
        <f>IF($E2187="","",INDEX(成本费用登记表!$E$4:$E$303,26))</f>
        <v/>
      </c>
      <c r="E2187" s="26" t="str">
        <f>IF(INDEX(成本费用登记表!$Q$4:$Y$303,26,7)=0,"",INDEX(成本费用登记表!$Q$4:$Y$303,26,7))</f>
        <v/>
      </c>
      <c r="F2187" s="25" t="str">
        <f>IF($E2187="","",IFERROR(INDEX(科目表!$A$4:$A$81,MATCH($E2187,科目表!$B$4:$B$81,0)),""))</f>
        <v/>
      </c>
      <c r="G2187" s="26" t="str">
        <f>IF($E2187="","",IFERROR(INDEX(科目表!$E$4:$E$81,MATCH($E2187,科目表!$B$4:$B$81,0)),""))</f>
        <v/>
      </c>
      <c r="H2187" s="27" t="str">
        <f>IF($E2187="","",N(INDEX(成本费用登记表!$Q$4:$Y$303,26,8)))</f>
        <v/>
      </c>
      <c r="I2187" s="27" t="str">
        <f>IF($E2187="","",N(INDEX(成本费用登记表!$Q$4:$Y$303,26,9)))</f>
        <v/>
      </c>
      <c r="J2187" s="26" t="str">
        <f>IF($E2187="","",INDEX(成本费用登记表!$C$4:$C$303,26))</f>
        <v/>
      </c>
      <c r="K2187" s="26" t="str">
        <f>IF($E2187="","",INDEX(成本费用登记表!$D$4:$D$303,26))</f>
        <v/>
      </c>
      <c r="L2187" s="32" t="str">
        <f>IF($E2187="","",INDEX(成本费用登记表!$N$4:$N$303,26))</f>
        <v/>
      </c>
      <c r="M2187" s="32"/>
      <c r="N2187" s="26" t="str">
        <f t="shared" si="102"/>
        <v/>
      </c>
      <c r="O2187" s="26" t="str">
        <f t="shared" si="103"/>
        <v/>
      </c>
      <c r="P2187" s="10"/>
    </row>
    <row r="2188" ht="18" customHeight="1" spans="1:16">
      <c r="A2188" s="32" t="str">
        <f t="shared" si="104"/>
        <v/>
      </c>
      <c r="B2188" s="100" t="str">
        <f>IF($E2188="","",INDEX(成本费用登记表!$B$4:$B$303,27))</f>
        <v/>
      </c>
      <c r="C2188" s="26" t="str">
        <f t="shared" si="101"/>
        <v/>
      </c>
      <c r="D2188" s="32" t="str">
        <f>IF($E2188="","",INDEX(成本费用登记表!$E$4:$E$303,27))</f>
        <v/>
      </c>
      <c r="E2188" s="26" t="str">
        <f>IF(INDEX(成本费用登记表!$Q$4:$Y$303,27,1)=0,"",INDEX(成本费用登记表!$Q$4:$Y$303,27,1))</f>
        <v/>
      </c>
      <c r="F2188" s="25" t="str">
        <f>IF($E2188="","",IFERROR(INDEX(科目表!$A$4:$A$81,MATCH($E2188,科目表!$B$4:$B$81,0)),""))</f>
        <v/>
      </c>
      <c r="G2188" s="26" t="str">
        <f>IF($E2188="","",IFERROR(INDEX(科目表!$E$4:$E$81,MATCH($E2188,科目表!$B$4:$B$81,0)),""))</f>
        <v/>
      </c>
      <c r="H2188" s="27" t="str">
        <f>IF($E2188="","",N(INDEX(成本费用登记表!$Q$4:$Y$303,27,2)))</f>
        <v/>
      </c>
      <c r="I2188" s="27" t="str">
        <f>IF($E2188="","",N(INDEX(成本费用登记表!$Q$4:$Y$303,27,3)))</f>
        <v/>
      </c>
      <c r="J2188" s="26" t="str">
        <f>IF($E2188="","",INDEX(成本费用登记表!$C$4:$C$303,27))</f>
        <v/>
      </c>
      <c r="K2188" s="26" t="str">
        <f>IF($E2188="","",INDEX(成本费用登记表!$D$4:$D$303,27))</f>
        <v/>
      </c>
      <c r="L2188" s="32" t="str">
        <f>IF($E2188="","",INDEX(成本费用登记表!$N$4:$N$303,27))</f>
        <v/>
      </c>
      <c r="M2188" s="32"/>
      <c r="N2188" s="26" t="str">
        <f t="shared" si="102"/>
        <v/>
      </c>
      <c r="O2188" s="26" t="str">
        <f t="shared" si="103"/>
        <v/>
      </c>
      <c r="P2188" s="10"/>
    </row>
    <row r="2189" ht="18" customHeight="1" spans="1:16">
      <c r="A2189" s="32" t="str">
        <f t="shared" si="104"/>
        <v/>
      </c>
      <c r="B2189" s="100" t="str">
        <f>IF($E2189="","",INDEX(成本费用登记表!$B$4:$B$303,27))</f>
        <v/>
      </c>
      <c r="C2189" s="26" t="str">
        <f t="shared" si="101"/>
        <v/>
      </c>
      <c r="D2189" s="32" t="str">
        <f>IF($E2189="","",INDEX(成本费用登记表!$E$4:$E$303,27))</f>
        <v/>
      </c>
      <c r="E2189" s="26" t="str">
        <f>IF(INDEX(成本费用登记表!$Q$4:$Y$303,27,4)=0,"",INDEX(成本费用登记表!$Q$4:$Y$303,27,4))</f>
        <v/>
      </c>
      <c r="F2189" s="25" t="str">
        <f>IF($E2189="","",IFERROR(INDEX(科目表!$A$4:$A$81,MATCH($E2189,科目表!$B$4:$B$81,0)),""))</f>
        <v/>
      </c>
      <c r="G2189" s="26" t="str">
        <f>IF($E2189="","",IFERROR(INDEX(科目表!$E$4:$E$81,MATCH($E2189,科目表!$B$4:$B$81,0)),""))</f>
        <v/>
      </c>
      <c r="H2189" s="27" t="str">
        <f>IF($E2189="","",N(INDEX(成本费用登记表!$Q$4:$Y$303,27,5)))</f>
        <v/>
      </c>
      <c r="I2189" s="27" t="str">
        <f>IF($E2189="","",N(INDEX(成本费用登记表!$Q$4:$Y$303,27,6)))</f>
        <v/>
      </c>
      <c r="J2189" s="26" t="str">
        <f>IF($E2189="","",INDEX(成本费用登记表!$C$4:$C$303,27))</f>
        <v/>
      </c>
      <c r="K2189" s="26" t="str">
        <f>IF($E2189="","",INDEX(成本费用登记表!$D$4:$D$303,27))</f>
        <v/>
      </c>
      <c r="L2189" s="32" t="str">
        <f>IF($E2189="","",INDEX(成本费用登记表!$N$4:$N$303,27))</f>
        <v/>
      </c>
      <c r="M2189" s="32"/>
      <c r="N2189" s="26" t="str">
        <f t="shared" si="102"/>
        <v/>
      </c>
      <c r="O2189" s="26" t="str">
        <f t="shared" si="103"/>
        <v/>
      </c>
      <c r="P2189" s="10"/>
    </row>
    <row r="2190" ht="18" customHeight="1" spans="1:16">
      <c r="A2190" s="32" t="str">
        <f t="shared" si="104"/>
        <v/>
      </c>
      <c r="B2190" s="100" t="str">
        <f>IF($E2190="","",INDEX(成本费用登记表!$B$4:$B$303,27))</f>
        <v/>
      </c>
      <c r="C2190" s="26" t="str">
        <f t="shared" si="101"/>
        <v/>
      </c>
      <c r="D2190" s="32" t="str">
        <f>IF($E2190="","",INDEX(成本费用登记表!$E$4:$E$303,27))</f>
        <v/>
      </c>
      <c r="E2190" s="26" t="str">
        <f>IF(INDEX(成本费用登记表!$Q$4:$Y$303,27,7)=0,"",INDEX(成本费用登记表!$Q$4:$Y$303,27,7))</f>
        <v/>
      </c>
      <c r="F2190" s="25" t="str">
        <f>IF($E2190="","",IFERROR(INDEX(科目表!$A$4:$A$81,MATCH($E2190,科目表!$B$4:$B$81,0)),""))</f>
        <v/>
      </c>
      <c r="G2190" s="26" t="str">
        <f>IF($E2190="","",IFERROR(INDEX(科目表!$E$4:$E$81,MATCH($E2190,科目表!$B$4:$B$81,0)),""))</f>
        <v/>
      </c>
      <c r="H2190" s="27" t="str">
        <f>IF($E2190="","",N(INDEX(成本费用登记表!$Q$4:$Y$303,27,8)))</f>
        <v/>
      </c>
      <c r="I2190" s="27" t="str">
        <f>IF($E2190="","",N(INDEX(成本费用登记表!$Q$4:$Y$303,27,9)))</f>
        <v/>
      </c>
      <c r="J2190" s="26" t="str">
        <f>IF($E2190="","",INDEX(成本费用登记表!$C$4:$C$303,27))</f>
        <v/>
      </c>
      <c r="K2190" s="26" t="str">
        <f>IF($E2190="","",INDEX(成本费用登记表!$D$4:$D$303,27))</f>
        <v/>
      </c>
      <c r="L2190" s="32" t="str">
        <f>IF($E2190="","",INDEX(成本费用登记表!$N$4:$N$303,27))</f>
        <v/>
      </c>
      <c r="M2190" s="32"/>
      <c r="N2190" s="26" t="str">
        <f t="shared" si="102"/>
        <v/>
      </c>
      <c r="O2190" s="26" t="str">
        <f t="shared" si="103"/>
        <v/>
      </c>
      <c r="P2190" s="10"/>
    </row>
    <row r="2191" ht="18" customHeight="1" spans="1:16">
      <c r="A2191" s="32" t="str">
        <f t="shared" si="104"/>
        <v/>
      </c>
      <c r="B2191" s="100" t="str">
        <f>IF($E2191="","",INDEX(成本费用登记表!$B$4:$B$303,28))</f>
        <v/>
      </c>
      <c r="C2191" s="26" t="str">
        <f t="shared" si="101"/>
        <v/>
      </c>
      <c r="D2191" s="32" t="str">
        <f>IF($E2191="","",INDEX(成本费用登记表!$E$4:$E$303,28))</f>
        <v/>
      </c>
      <c r="E2191" s="26" t="str">
        <f>IF(INDEX(成本费用登记表!$Q$4:$Y$303,28,1)=0,"",INDEX(成本费用登记表!$Q$4:$Y$303,28,1))</f>
        <v/>
      </c>
      <c r="F2191" s="25" t="str">
        <f>IF($E2191="","",IFERROR(INDEX(科目表!$A$4:$A$81,MATCH($E2191,科目表!$B$4:$B$81,0)),""))</f>
        <v/>
      </c>
      <c r="G2191" s="26" t="str">
        <f>IF($E2191="","",IFERROR(INDEX(科目表!$E$4:$E$81,MATCH($E2191,科目表!$B$4:$B$81,0)),""))</f>
        <v/>
      </c>
      <c r="H2191" s="27" t="str">
        <f>IF($E2191="","",N(INDEX(成本费用登记表!$Q$4:$Y$303,28,2)))</f>
        <v/>
      </c>
      <c r="I2191" s="27" t="str">
        <f>IF($E2191="","",N(INDEX(成本费用登记表!$Q$4:$Y$303,28,3)))</f>
        <v/>
      </c>
      <c r="J2191" s="26" t="str">
        <f>IF($E2191="","",INDEX(成本费用登记表!$C$4:$C$303,28))</f>
        <v/>
      </c>
      <c r="K2191" s="26" t="str">
        <f>IF($E2191="","",INDEX(成本费用登记表!$D$4:$D$303,28))</f>
        <v/>
      </c>
      <c r="L2191" s="32" t="str">
        <f>IF($E2191="","",INDEX(成本费用登记表!$N$4:$N$303,28))</f>
        <v/>
      </c>
      <c r="M2191" s="32"/>
      <c r="N2191" s="26" t="str">
        <f t="shared" si="102"/>
        <v/>
      </c>
      <c r="O2191" s="26" t="str">
        <f t="shared" si="103"/>
        <v/>
      </c>
      <c r="P2191" s="10"/>
    </row>
    <row r="2192" ht="18" customHeight="1" spans="1:16">
      <c r="A2192" s="32" t="str">
        <f t="shared" si="104"/>
        <v/>
      </c>
      <c r="B2192" s="100" t="str">
        <f>IF($E2192="","",INDEX(成本费用登记表!$B$4:$B$303,28))</f>
        <v/>
      </c>
      <c r="C2192" s="26" t="str">
        <f t="shared" si="101"/>
        <v/>
      </c>
      <c r="D2192" s="32" t="str">
        <f>IF($E2192="","",INDEX(成本费用登记表!$E$4:$E$303,28))</f>
        <v/>
      </c>
      <c r="E2192" s="26" t="str">
        <f>IF(INDEX(成本费用登记表!$Q$4:$Y$303,28,4)=0,"",INDEX(成本费用登记表!$Q$4:$Y$303,28,4))</f>
        <v/>
      </c>
      <c r="F2192" s="25" t="str">
        <f>IF($E2192="","",IFERROR(INDEX(科目表!$A$4:$A$81,MATCH($E2192,科目表!$B$4:$B$81,0)),""))</f>
        <v/>
      </c>
      <c r="G2192" s="26" t="str">
        <f>IF($E2192="","",IFERROR(INDEX(科目表!$E$4:$E$81,MATCH($E2192,科目表!$B$4:$B$81,0)),""))</f>
        <v/>
      </c>
      <c r="H2192" s="27" t="str">
        <f>IF($E2192="","",N(INDEX(成本费用登记表!$Q$4:$Y$303,28,5)))</f>
        <v/>
      </c>
      <c r="I2192" s="27" t="str">
        <f>IF($E2192="","",N(INDEX(成本费用登记表!$Q$4:$Y$303,28,6)))</f>
        <v/>
      </c>
      <c r="J2192" s="26" t="str">
        <f>IF($E2192="","",INDEX(成本费用登记表!$C$4:$C$303,28))</f>
        <v/>
      </c>
      <c r="K2192" s="26" t="str">
        <f>IF($E2192="","",INDEX(成本费用登记表!$D$4:$D$303,28))</f>
        <v/>
      </c>
      <c r="L2192" s="32" t="str">
        <f>IF($E2192="","",INDEX(成本费用登记表!$N$4:$N$303,28))</f>
        <v/>
      </c>
      <c r="M2192" s="32"/>
      <c r="N2192" s="26" t="str">
        <f t="shared" si="102"/>
        <v/>
      </c>
      <c r="O2192" s="26" t="str">
        <f t="shared" si="103"/>
        <v/>
      </c>
      <c r="P2192" s="10"/>
    </row>
    <row r="2193" ht="18" customHeight="1" spans="1:16">
      <c r="A2193" s="32" t="str">
        <f t="shared" si="104"/>
        <v/>
      </c>
      <c r="B2193" s="100" t="str">
        <f>IF($E2193="","",INDEX(成本费用登记表!$B$4:$B$303,28))</f>
        <v/>
      </c>
      <c r="C2193" s="26" t="str">
        <f t="shared" si="101"/>
        <v/>
      </c>
      <c r="D2193" s="32" t="str">
        <f>IF($E2193="","",INDEX(成本费用登记表!$E$4:$E$303,28))</f>
        <v/>
      </c>
      <c r="E2193" s="26" t="str">
        <f>IF(INDEX(成本费用登记表!$Q$4:$Y$303,28,7)=0,"",INDEX(成本费用登记表!$Q$4:$Y$303,28,7))</f>
        <v/>
      </c>
      <c r="F2193" s="25" t="str">
        <f>IF($E2193="","",IFERROR(INDEX(科目表!$A$4:$A$81,MATCH($E2193,科目表!$B$4:$B$81,0)),""))</f>
        <v/>
      </c>
      <c r="G2193" s="26" t="str">
        <f>IF($E2193="","",IFERROR(INDEX(科目表!$E$4:$E$81,MATCH($E2193,科目表!$B$4:$B$81,0)),""))</f>
        <v/>
      </c>
      <c r="H2193" s="27" t="str">
        <f>IF($E2193="","",N(INDEX(成本费用登记表!$Q$4:$Y$303,28,8)))</f>
        <v/>
      </c>
      <c r="I2193" s="27" t="str">
        <f>IF($E2193="","",N(INDEX(成本费用登记表!$Q$4:$Y$303,28,9)))</f>
        <v/>
      </c>
      <c r="J2193" s="26" t="str">
        <f>IF($E2193="","",INDEX(成本费用登记表!$C$4:$C$303,28))</f>
        <v/>
      </c>
      <c r="K2193" s="26" t="str">
        <f>IF($E2193="","",INDEX(成本费用登记表!$D$4:$D$303,28))</f>
        <v/>
      </c>
      <c r="L2193" s="32" t="str">
        <f>IF($E2193="","",INDEX(成本费用登记表!$N$4:$N$303,28))</f>
        <v/>
      </c>
      <c r="M2193" s="32"/>
      <c r="N2193" s="26" t="str">
        <f t="shared" si="102"/>
        <v/>
      </c>
      <c r="O2193" s="26" t="str">
        <f t="shared" si="103"/>
        <v/>
      </c>
      <c r="P2193" s="10"/>
    </row>
    <row r="2194" ht="18" customHeight="1" spans="1:16">
      <c r="A2194" s="32" t="str">
        <f t="shared" si="104"/>
        <v/>
      </c>
      <c r="B2194" s="100" t="str">
        <f>IF($E2194="","",INDEX(成本费用登记表!$B$4:$B$303,29))</f>
        <v/>
      </c>
      <c r="C2194" s="26" t="str">
        <f t="shared" si="101"/>
        <v/>
      </c>
      <c r="D2194" s="32" t="str">
        <f>IF($E2194="","",INDEX(成本费用登记表!$E$4:$E$303,29))</f>
        <v/>
      </c>
      <c r="E2194" s="26" t="str">
        <f>IF(INDEX(成本费用登记表!$Q$4:$Y$303,29,1)=0,"",INDEX(成本费用登记表!$Q$4:$Y$303,29,1))</f>
        <v/>
      </c>
      <c r="F2194" s="25" t="str">
        <f>IF($E2194="","",IFERROR(INDEX(科目表!$A$4:$A$81,MATCH($E2194,科目表!$B$4:$B$81,0)),""))</f>
        <v/>
      </c>
      <c r="G2194" s="26" t="str">
        <f>IF($E2194="","",IFERROR(INDEX(科目表!$E$4:$E$81,MATCH($E2194,科目表!$B$4:$B$81,0)),""))</f>
        <v/>
      </c>
      <c r="H2194" s="27" t="str">
        <f>IF($E2194="","",N(INDEX(成本费用登记表!$Q$4:$Y$303,29,2)))</f>
        <v/>
      </c>
      <c r="I2194" s="27" t="str">
        <f>IF($E2194="","",N(INDEX(成本费用登记表!$Q$4:$Y$303,29,3)))</f>
        <v/>
      </c>
      <c r="J2194" s="26" t="str">
        <f>IF($E2194="","",INDEX(成本费用登记表!$C$4:$C$303,29))</f>
        <v/>
      </c>
      <c r="K2194" s="26" t="str">
        <f>IF($E2194="","",INDEX(成本费用登记表!$D$4:$D$303,29))</f>
        <v/>
      </c>
      <c r="L2194" s="32" t="str">
        <f>IF($E2194="","",INDEX(成本费用登记表!$N$4:$N$303,29))</f>
        <v/>
      </c>
      <c r="M2194" s="32"/>
      <c r="N2194" s="26" t="str">
        <f t="shared" si="102"/>
        <v/>
      </c>
      <c r="O2194" s="26" t="str">
        <f t="shared" si="103"/>
        <v/>
      </c>
      <c r="P2194" s="10"/>
    </row>
    <row r="2195" ht="18" customHeight="1" spans="1:16">
      <c r="A2195" s="32" t="str">
        <f t="shared" si="104"/>
        <v/>
      </c>
      <c r="B2195" s="100" t="str">
        <f>IF($E2195="","",INDEX(成本费用登记表!$B$4:$B$303,29))</f>
        <v/>
      </c>
      <c r="C2195" s="26" t="str">
        <f t="shared" si="101"/>
        <v/>
      </c>
      <c r="D2195" s="32" t="str">
        <f>IF($E2195="","",INDEX(成本费用登记表!$E$4:$E$303,29))</f>
        <v/>
      </c>
      <c r="E2195" s="26" t="str">
        <f>IF(INDEX(成本费用登记表!$Q$4:$Y$303,29,4)=0,"",INDEX(成本费用登记表!$Q$4:$Y$303,29,4))</f>
        <v/>
      </c>
      <c r="F2195" s="25" t="str">
        <f>IF($E2195="","",IFERROR(INDEX(科目表!$A$4:$A$81,MATCH($E2195,科目表!$B$4:$B$81,0)),""))</f>
        <v/>
      </c>
      <c r="G2195" s="26" t="str">
        <f>IF($E2195="","",IFERROR(INDEX(科目表!$E$4:$E$81,MATCH($E2195,科目表!$B$4:$B$81,0)),""))</f>
        <v/>
      </c>
      <c r="H2195" s="27" t="str">
        <f>IF($E2195="","",N(INDEX(成本费用登记表!$Q$4:$Y$303,29,5)))</f>
        <v/>
      </c>
      <c r="I2195" s="27" t="str">
        <f>IF($E2195="","",N(INDEX(成本费用登记表!$Q$4:$Y$303,29,6)))</f>
        <v/>
      </c>
      <c r="J2195" s="26" t="str">
        <f>IF($E2195="","",INDEX(成本费用登记表!$C$4:$C$303,29))</f>
        <v/>
      </c>
      <c r="K2195" s="26" t="str">
        <f>IF($E2195="","",INDEX(成本费用登记表!$D$4:$D$303,29))</f>
        <v/>
      </c>
      <c r="L2195" s="32" t="str">
        <f>IF($E2195="","",INDEX(成本费用登记表!$N$4:$N$303,29))</f>
        <v/>
      </c>
      <c r="M2195" s="32"/>
      <c r="N2195" s="26" t="str">
        <f t="shared" si="102"/>
        <v/>
      </c>
      <c r="O2195" s="26" t="str">
        <f t="shared" si="103"/>
        <v/>
      </c>
      <c r="P2195" s="10"/>
    </row>
    <row r="2196" ht="18" customHeight="1" spans="1:16">
      <c r="A2196" s="32" t="str">
        <f t="shared" si="104"/>
        <v/>
      </c>
      <c r="B2196" s="100" t="str">
        <f>IF($E2196="","",INDEX(成本费用登记表!$B$4:$B$303,29))</f>
        <v/>
      </c>
      <c r="C2196" s="26" t="str">
        <f t="shared" si="101"/>
        <v/>
      </c>
      <c r="D2196" s="32" t="str">
        <f>IF($E2196="","",INDEX(成本费用登记表!$E$4:$E$303,29))</f>
        <v/>
      </c>
      <c r="E2196" s="26" t="str">
        <f>IF(INDEX(成本费用登记表!$Q$4:$Y$303,29,7)=0,"",INDEX(成本费用登记表!$Q$4:$Y$303,29,7))</f>
        <v/>
      </c>
      <c r="F2196" s="25" t="str">
        <f>IF($E2196="","",IFERROR(INDEX(科目表!$A$4:$A$81,MATCH($E2196,科目表!$B$4:$B$81,0)),""))</f>
        <v/>
      </c>
      <c r="G2196" s="26" t="str">
        <f>IF($E2196="","",IFERROR(INDEX(科目表!$E$4:$E$81,MATCH($E2196,科目表!$B$4:$B$81,0)),""))</f>
        <v/>
      </c>
      <c r="H2196" s="27" t="str">
        <f>IF($E2196="","",N(INDEX(成本费用登记表!$Q$4:$Y$303,29,8)))</f>
        <v/>
      </c>
      <c r="I2196" s="27" t="str">
        <f>IF($E2196="","",N(INDEX(成本费用登记表!$Q$4:$Y$303,29,9)))</f>
        <v/>
      </c>
      <c r="J2196" s="26" t="str">
        <f>IF($E2196="","",INDEX(成本费用登记表!$C$4:$C$303,29))</f>
        <v/>
      </c>
      <c r="K2196" s="26" t="str">
        <f>IF($E2196="","",INDEX(成本费用登记表!$D$4:$D$303,29))</f>
        <v/>
      </c>
      <c r="L2196" s="32" t="str">
        <f>IF($E2196="","",INDEX(成本费用登记表!$N$4:$N$303,29))</f>
        <v/>
      </c>
      <c r="M2196" s="32"/>
      <c r="N2196" s="26" t="str">
        <f t="shared" si="102"/>
        <v/>
      </c>
      <c r="O2196" s="26" t="str">
        <f t="shared" si="103"/>
        <v/>
      </c>
      <c r="P2196" s="10"/>
    </row>
    <row r="2197" ht="18" customHeight="1" spans="1:16">
      <c r="A2197" s="32" t="str">
        <f t="shared" si="104"/>
        <v/>
      </c>
      <c r="B2197" s="100" t="str">
        <f>IF($E2197="","",INDEX(成本费用登记表!$B$4:$B$303,30))</f>
        <v/>
      </c>
      <c r="C2197" s="26" t="str">
        <f t="shared" si="101"/>
        <v/>
      </c>
      <c r="D2197" s="32" t="str">
        <f>IF($E2197="","",INDEX(成本费用登记表!$E$4:$E$303,30))</f>
        <v/>
      </c>
      <c r="E2197" s="26" t="str">
        <f>IF(INDEX(成本费用登记表!$Q$4:$Y$303,30,1)=0,"",INDEX(成本费用登记表!$Q$4:$Y$303,30,1))</f>
        <v/>
      </c>
      <c r="F2197" s="25" t="str">
        <f>IF($E2197="","",IFERROR(INDEX(科目表!$A$4:$A$81,MATCH($E2197,科目表!$B$4:$B$81,0)),""))</f>
        <v/>
      </c>
      <c r="G2197" s="26" t="str">
        <f>IF($E2197="","",IFERROR(INDEX(科目表!$E$4:$E$81,MATCH($E2197,科目表!$B$4:$B$81,0)),""))</f>
        <v/>
      </c>
      <c r="H2197" s="27" t="str">
        <f>IF($E2197="","",N(INDEX(成本费用登记表!$Q$4:$Y$303,30,2)))</f>
        <v/>
      </c>
      <c r="I2197" s="27" t="str">
        <f>IF($E2197="","",N(INDEX(成本费用登记表!$Q$4:$Y$303,30,3)))</f>
        <v/>
      </c>
      <c r="J2197" s="26" t="str">
        <f>IF($E2197="","",INDEX(成本费用登记表!$C$4:$C$303,30))</f>
        <v/>
      </c>
      <c r="K2197" s="26" t="str">
        <f>IF($E2197="","",INDEX(成本费用登记表!$D$4:$D$303,30))</f>
        <v/>
      </c>
      <c r="L2197" s="32" t="str">
        <f>IF($E2197="","",INDEX(成本费用登记表!$N$4:$N$303,30))</f>
        <v/>
      </c>
      <c r="M2197" s="32"/>
      <c r="N2197" s="26" t="str">
        <f t="shared" si="102"/>
        <v/>
      </c>
      <c r="O2197" s="26" t="str">
        <f t="shared" si="103"/>
        <v/>
      </c>
      <c r="P2197" s="10"/>
    </row>
    <row r="2198" ht="18" customHeight="1" spans="1:16">
      <c r="A2198" s="32" t="str">
        <f t="shared" si="104"/>
        <v/>
      </c>
      <c r="B2198" s="100" t="str">
        <f>IF($E2198="","",INDEX(成本费用登记表!$B$4:$B$303,30))</f>
        <v/>
      </c>
      <c r="C2198" s="26" t="str">
        <f t="shared" si="101"/>
        <v/>
      </c>
      <c r="D2198" s="32" t="str">
        <f>IF($E2198="","",INDEX(成本费用登记表!$E$4:$E$303,30))</f>
        <v/>
      </c>
      <c r="E2198" s="26" t="str">
        <f>IF(INDEX(成本费用登记表!$Q$4:$Y$303,30,4)=0,"",INDEX(成本费用登记表!$Q$4:$Y$303,30,4))</f>
        <v/>
      </c>
      <c r="F2198" s="25" t="str">
        <f>IF($E2198="","",IFERROR(INDEX(科目表!$A$4:$A$81,MATCH($E2198,科目表!$B$4:$B$81,0)),""))</f>
        <v/>
      </c>
      <c r="G2198" s="26" t="str">
        <f>IF($E2198="","",IFERROR(INDEX(科目表!$E$4:$E$81,MATCH($E2198,科目表!$B$4:$B$81,0)),""))</f>
        <v/>
      </c>
      <c r="H2198" s="27" t="str">
        <f>IF($E2198="","",N(INDEX(成本费用登记表!$Q$4:$Y$303,30,5)))</f>
        <v/>
      </c>
      <c r="I2198" s="27" t="str">
        <f>IF($E2198="","",N(INDEX(成本费用登记表!$Q$4:$Y$303,30,6)))</f>
        <v/>
      </c>
      <c r="J2198" s="26" t="str">
        <f>IF($E2198="","",INDEX(成本费用登记表!$C$4:$C$303,30))</f>
        <v/>
      </c>
      <c r="K2198" s="26" t="str">
        <f>IF($E2198="","",INDEX(成本费用登记表!$D$4:$D$303,30))</f>
        <v/>
      </c>
      <c r="L2198" s="32" t="str">
        <f>IF($E2198="","",INDEX(成本费用登记表!$N$4:$N$303,30))</f>
        <v/>
      </c>
      <c r="M2198" s="32"/>
      <c r="N2198" s="26" t="str">
        <f t="shared" si="102"/>
        <v/>
      </c>
      <c r="O2198" s="26" t="str">
        <f t="shared" si="103"/>
        <v/>
      </c>
      <c r="P2198" s="10"/>
    </row>
    <row r="2199" ht="18" customHeight="1" spans="1:16">
      <c r="A2199" s="32" t="str">
        <f t="shared" si="104"/>
        <v/>
      </c>
      <c r="B2199" s="100" t="str">
        <f>IF($E2199="","",INDEX(成本费用登记表!$B$4:$B$303,30))</f>
        <v/>
      </c>
      <c r="C2199" s="26" t="str">
        <f t="shared" si="101"/>
        <v/>
      </c>
      <c r="D2199" s="32" t="str">
        <f>IF($E2199="","",INDEX(成本费用登记表!$E$4:$E$303,30))</f>
        <v/>
      </c>
      <c r="E2199" s="26" t="str">
        <f>IF(INDEX(成本费用登记表!$Q$4:$Y$303,30,7)=0,"",INDEX(成本费用登记表!$Q$4:$Y$303,30,7))</f>
        <v/>
      </c>
      <c r="F2199" s="25" t="str">
        <f>IF($E2199="","",IFERROR(INDEX(科目表!$A$4:$A$81,MATCH($E2199,科目表!$B$4:$B$81,0)),""))</f>
        <v/>
      </c>
      <c r="G2199" s="26" t="str">
        <f>IF($E2199="","",IFERROR(INDEX(科目表!$E$4:$E$81,MATCH($E2199,科目表!$B$4:$B$81,0)),""))</f>
        <v/>
      </c>
      <c r="H2199" s="27" t="str">
        <f>IF($E2199="","",N(INDEX(成本费用登记表!$Q$4:$Y$303,30,8)))</f>
        <v/>
      </c>
      <c r="I2199" s="27" t="str">
        <f>IF($E2199="","",N(INDEX(成本费用登记表!$Q$4:$Y$303,30,9)))</f>
        <v/>
      </c>
      <c r="J2199" s="26" t="str">
        <f>IF($E2199="","",INDEX(成本费用登记表!$C$4:$C$303,30))</f>
        <v/>
      </c>
      <c r="K2199" s="26" t="str">
        <f>IF($E2199="","",INDEX(成本费用登记表!$D$4:$D$303,30))</f>
        <v/>
      </c>
      <c r="L2199" s="32" t="str">
        <f>IF($E2199="","",INDEX(成本费用登记表!$N$4:$N$303,30))</f>
        <v/>
      </c>
      <c r="M2199" s="32"/>
      <c r="N2199" s="26" t="str">
        <f t="shared" si="102"/>
        <v/>
      </c>
      <c r="O2199" s="26" t="str">
        <f t="shared" si="103"/>
        <v/>
      </c>
      <c r="P2199" s="10"/>
    </row>
    <row r="2200" ht="18" customHeight="1" spans="1:16">
      <c r="A2200" s="32" t="str">
        <f t="shared" si="104"/>
        <v/>
      </c>
      <c r="B2200" s="100" t="str">
        <f>IF($E2200="","",INDEX(成本费用登记表!$B$4:$B$303,31))</f>
        <v/>
      </c>
      <c r="C2200" s="26" t="str">
        <f t="shared" si="101"/>
        <v/>
      </c>
      <c r="D2200" s="32" t="str">
        <f>IF($E2200="","",INDEX(成本费用登记表!$E$4:$E$303,31))</f>
        <v/>
      </c>
      <c r="E2200" s="26" t="str">
        <f>IF(INDEX(成本费用登记表!$Q$4:$Y$303,31,1)=0,"",INDEX(成本费用登记表!$Q$4:$Y$303,31,1))</f>
        <v/>
      </c>
      <c r="F2200" s="25" t="str">
        <f>IF($E2200="","",IFERROR(INDEX(科目表!$A$4:$A$81,MATCH($E2200,科目表!$B$4:$B$81,0)),""))</f>
        <v/>
      </c>
      <c r="G2200" s="26" t="str">
        <f>IF($E2200="","",IFERROR(INDEX(科目表!$E$4:$E$81,MATCH($E2200,科目表!$B$4:$B$81,0)),""))</f>
        <v/>
      </c>
      <c r="H2200" s="27" t="str">
        <f>IF($E2200="","",N(INDEX(成本费用登记表!$Q$4:$Y$303,31,2)))</f>
        <v/>
      </c>
      <c r="I2200" s="27" t="str">
        <f>IF($E2200="","",N(INDEX(成本费用登记表!$Q$4:$Y$303,31,3)))</f>
        <v/>
      </c>
      <c r="J2200" s="26" t="str">
        <f>IF($E2200="","",INDEX(成本费用登记表!$C$4:$C$303,31))</f>
        <v/>
      </c>
      <c r="K2200" s="26" t="str">
        <f>IF($E2200="","",INDEX(成本费用登记表!$D$4:$D$303,31))</f>
        <v/>
      </c>
      <c r="L2200" s="32" t="str">
        <f>IF($E2200="","",INDEX(成本费用登记表!$N$4:$N$303,31))</f>
        <v/>
      </c>
      <c r="M2200" s="32"/>
      <c r="N2200" s="26" t="str">
        <f t="shared" si="102"/>
        <v/>
      </c>
      <c r="O2200" s="26" t="str">
        <f t="shared" si="103"/>
        <v/>
      </c>
      <c r="P2200" s="10"/>
    </row>
    <row r="2201" ht="18" customHeight="1" spans="1:16">
      <c r="A2201" s="32" t="str">
        <f t="shared" si="104"/>
        <v/>
      </c>
      <c r="B2201" s="100" t="str">
        <f>IF($E2201="","",INDEX(成本费用登记表!$B$4:$B$303,31))</f>
        <v/>
      </c>
      <c r="C2201" s="26" t="str">
        <f t="shared" si="101"/>
        <v/>
      </c>
      <c r="D2201" s="32" t="str">
        <f>IF($E2201="","",INDEX(成本费用登记表!$E$4:$E$303,31))</f>
        <v/>
      </c>
      <c r="E2201" s="26" t="str">
        <f>IF(INDEX(成本费用登记表!$Q$4:$Y$303,31,4)=0,"",INDEX(成本费用登记表!$Q$4:$Y$303,31,4))</f>
        <v/>
      </c>
      <c r="F2201" s="25" t="str">
        <f>IF($E2201="","",IFERROR(INDEX(科目表!$A$4:$A$81,MATCH($E2201,科目表!$B$4:$B$81,0)),""))</f>
        <v/>
      </c>
      <c r="G2201" s="26" t="str">
        <f>IF($E2201="","",IFERROR(INDEX(科目表!$E$4:$E$81,MATCH($E2201,科目表!$B$4:$B$81,0)),""))</f>
        <v/>
      </c>
      <c r="H2201" s="27" t="str">
        <f>IF($E2201="","",N(INDEX(成本费用登记表!$Q$4:$Y$303,31,5)))</f>
        <v/>
      </c>
      <c r="I2201" s="27" t="str">
        <f>IF($E2201="","",N(INDEX(成本费用登记表!$Q$4:$Y$303,31,6)))</f>
        <v/>
      </c>
      <c r="J2201" s="26" t="str">
        <f>IF($E2201="","",INDEX(成本费用登记表!$C$4:$C$303,31))</f>
        <v/>
      </c>
      <c r="K2201" s="26" t="str">
        <f>IF($E2201="","",INDEX(成本费用登记表!$D$4:$D$303,31))</f>
        <v/>
      </c>
      <c r="L2201" s="32" t="str">
        <f>IF($E2201="","",INDEX(成本费用登记表!$N$4:$N$303,31))</f>
        <v/>
      </c>
      <c r="M2201" s="32"/>
      <c r="N2201" s="26" t="str">
        <f t="shared" si="102"/>
        <v/>
      </c>
      <c r="O2201" s="26" t="str">
        <f t="shared" si="103"/>
        <v/>
      </c>
      <c r="P2201" s="10"/>
    </row>
    <row r="2202" ht="18" customHeight="1" spans="1:16">
      <c r="A2202" s="32" t="str">
        <f t="shared" si="104"/>
        <v/>
      </c>
      <c r="B2202" s="100" t="str">
        <f>IF($E2202="","",INDEX(成本费用登记表!$B$4:$B$303,31))</f>
        <v/>
      </c>
      <c r="C2202" s="26" t="str">
        <f t="shared" si="101"/>
        <v/>
      </c>
      <c r="D2202" s="32" t="str">
        <f>IF($E2202="","",INDEX(成本费用登记表!$E$4:$E$303,31))</f>
        <v/>
      </c>
      <c r="E2202" s="26" t="str">
        <f>IF(INDEX(成本费用登记表!$Q$4:$Y$303,31,7)=0,"",INDEX(成本费用登记表!$Q$4:$Y$303,31,7))</f>
        <v/>
      </c>
      <c r="F2202" s="25" t="str">
        <f>IF($E2202="","",IFERROR(INDEX(科目表!$A$4:$A$81,MATCH($E2202,科目表!$B$4:$B$81,0)),""))</f>
        <v/>
      </c>
      <c r="G2202" s="26" t="str">
        <f>IF($E2202="","",IFERROR(INDEX(科目表!$E$4:$E$81,MATCH($E2202,科目表!$B$4:$B$81,0)),""))</f>
        <v/>
      </c>
      <c r="H2202" s="27" t="str">
        <f>IF($E2202="","",N(INDEX(成本费用登记表!$Q$4:$Y$303,31,8)))</f>
        <v/>
      </c>
      <c r="I2202" s="27" t="str">
        <f>IF($E2202="","",N(INDEX(成本费用登记表!$Q$4:$Y$303,31,9)))</f>
        <v/>
      </c>
      <c r="J2202" s="26" t="str">
        <f>IF($E2202="","",INDEX(成本费用登记表!$C$4:$C$303,31))</f>
        <v/>
      </c>
      <c r="K2202" s="26" t="str">
        <f>IF($E2202="","",INDEX(成本费用登记表!$D$4:$D$303,31))</f>
        <v/>
      </c>
      <c r="L2202" s="32" t="str">
        <f>IF($E2202="","",INDEX(成本费用登记表!$N$4:$N$303,31))</f>
        <v/>
      </c>
      <c r="M2202" s="32"/>
      <c r="N2202" s="26" t="str">
        <f t="shared" si="102"/>
        <v/>
      </c>
      <c r="O2202" s="26" t="str">
        <f t="shared" si="103"/>
        <v/>
      </c>
      <c r="P2202" s="10"/>
    </row>
    <row r="2203" ht="18" customHeight="1" spans="1:16">
      <c r="A2203" s="32" t="str">
        <f t="shared" si="104"/>
        <v/>
      </c>
      <c r="B2203" s="100" t="str">
        <f>IF($E2203="","",INDEX(成本费用登记表!$B$4:$B$303,32))</f>
        <v/>
      </c>
      <c r="C2203" s="26" t="str">
        <f t="shared" si="101"/>
        <v/>
      </c>
      <c r="D2203" s="32" t="str">
        <f>IF($E2203="","",INDEX(成本费用登记表!$E$4:$E$303,32))</f>
        <v/>
      </c>
      <c r="E2203" s="26" t="str">
        <f>IF(INDEX(成本费用登记表!$Q$4:$Y$303,32,1)=0,"",INDEX(成本费用登记表!$Q$4:$Y$303,32,1))</f>
        <v/>
      </c>
      <c r="F2203" s="25" t="str">
        <f>IF($E2203="","",IFERROR(INDEX(科目表!$A$4:$A$81,MATCH($E2203,科目表!$B$4:$B$81,0)),""))</f>
        <v/>
      </c>
      <c r="G2203" s="26" t="str">
        <f>IF($E2203="","",IFERROR(INDEX(科目表!$E$4:$E$81,MATCH($E2203,科目表!$B$4:$B$81,0)),""))</f>
        <v/>
      </c>
      <c r="H2203" s="27" t="str">
        <f>IF($E2203="","",N(INDEX(成本费用登记表!$Q$4:$Y$303,32,2)))</f>
        <v/>
      </c>
      <c r="I2203" s="27" t="str">
        <f>IF($E2203="","",N(INDEX(成本费用登记表!$Q$4:$Y$303,32,3)))</f>
        <v/>
      </c>
      <c r="J2203" s="26" t="str">
        <f>IF($E2203="","",INDEX(成本费用登记表!$C$4:$C$303,32))</f>
        <v/>
      </c>
      <c r="K2203" s="26" t="str">
        <f>IF($E2203="","",INDEX(成本费用登记表!$D$4:$D$303,32))</f>
        <v/>
      </c>
      <c r="L2203" s="32" t="str">
        <f>IF($E2203="","",INDEX(成本费用登记表!$N$4:$N$303,32))</f>
        <v/>
      </c>
      <c r="M2203" s="32"/>
      <c r="N2203" s="26" t="str">
        <f t="shared" si="102"/>
        <v/>
      </c>
      <c r="O2203" s="26" t="str">
        <f t="shared" si="103"/>
        <v/>
      </c>
      <c r="P2203" s="10"/>
    </row>
    <row r="2204" ht="18" customHeight="1" spans="1:16">
      <c r="A2204" s="32" t="str">
        <f t="shared" si="104"/>
        <v/>
      </c>
      <c r="B2204" s="100" t="str">
        <f>IF($E2204="","",INDEX(成本费用登记表!$B$4:$B$303,32))</f>
        <v/>
      </c>
      <c r="C2204" s="26" t="str">
        <f t="shared" si="101"/>
        <v/>
      </c>
      <c r="D2204" s="32" t="str">
        <f>IF($E2204="","",INDEX(成本费用登记表!$E$4:$E$303,32))</f>
        <v/>
      </c>
      <c r="E2204" s="26" t="str">
        <f>IF(INDEX(成本费用登记表!$Q$4:$Y$303,32,4)=0,"",INDEX(成本费用登记表!$Q$4:$Y$303,32,4))</f>
        <v/>
      </c>
      <c r="F2204" s="25" t="str">
        <f>IF($E2204="","",IFERROR(INDEX(科目表!$A$4:$A$81,MATCH($E2204,科目表!$B$4:$B$81,0)),""))</f>
        <v/>
      </c>
      <c r="G2204" s="26" t="str">
        <f>IF($E2204="","",IFERROR(INDEX(科目表!$E$4:$E$81,MATCH($E2204,科目表!$B$4:$B$81,0)),""))</f>
        <v/>
      </c>
      <c r="H2204" s="27" t="str">
        <f>IF($E2204="","",N(INDEX(成本费用登记表!$Q$4:$Y$303,32,5)))</f>
        <v/>
      </c>
      <c r="I2204" s="27" t="str">
        <f>IF($E2204="","",N(INDEX(成本费用登记表!$Q$4:$Y$303,32,6)))</f>
        <v/>
      </c>
      <c r="J2204" s="26" t="str">
        <f>IF($E2204="","",INDEX(成本费用登记表!$C$4:$C$303,32))</f>
        <v/>
      </c>
      <c r="K2204" s="26" t="str">
        <f>IF($E2204="","",INDEX(成本费用登记表!$D$4:$D$303,32))</f>
        <v/>
      </c>
      <c r="L2204" s="32" t="str">
        <f>IF($E2204="","",INDEX(成本费用登记表!$N$4:$N$303,32))</f>
        <v/>
      </c>
      <c r="M2204" s="32"/>
      <c r="N2204" s="26" t="str">
        <f t="shared" si="102"/>
        <v/>
      </c>
      <c r="O2204" s="26" t="str">
        <f t="shared" si="103"/>
        <v/>
      </c>
      <c r="P2204" s="10"/>
    </row>
    <row r="2205" ht="18" customHeight="1" spans="1:16">
      <c r="A2205" s="32" t="str">
        <f t="shared" si="104"/>
        <v/>
      </c>
      <c r="B2205" s="100" t="str">
        <f>IF($E2205="","",INDEX(成本费用登记表!$B$4:$B$303,32))</f>
        <v/>
      </c>
      <c r="C2205" s="26" t="str">
        <f t="shared" si="101"/>
        <v/>
      </c>
      <c r="D2205" s="32" t="str">
        <f>IF($E2205="","",INDEX(成本费用登记表!$E$4:$E$303,32))</f>
        <v/>
      </c>
      <c r="E2205" s="26" t="str">
        <f>IF(INDEX(成本费用登记表!$Q$4:$Y$303,32,7)=0,"",INDEX(成本费用登记表!$Q$4:$Y$303,32,7))</f>
        <v/>
      </c>
      <c r="F2205" s="25" t="str">
        <f>IF($E2205="","",IFERROR(INDEX(科目表!$A$4:$A$81,MATCH($E2205,科目表!$B$4:$B$81,0)),""))</f>
        <v/>
      </c>
      <c r="G2205" s="26" t="str">
        <f>IF($E2205="","",IFERROR(INDEX(科目表!$E$4:$E$81,MATCH($E2205,科目表!$B$4:$B$81,0)),""))</f>
        <v/>
      </c>
      <c r="H2205" s="27" t="str">
        <f>IF($E2205="","",N(INDEX(成本费用登记表!$Q$4:$Y$303,32,8)))</f>
        <v/>
      </c>
      <c r="I2205" s="27" t="str">
        <f>IF($E2205="","",N(INDEX(成本费用登记表!$Q$4:$Y$303,32,9)))</f>
        <v/>
      </c>
      <c r="J2205" s="26" t="str">
        <f>IF($E2205="","",INDEX(成本费用登记表!$C$4:$C$303,32))</f>
        <v/>
      </c>
      <c r="K2205" s="26" t="str">
        <f>IF($E2205="","",INDEX(成本费用登记表!$D$4:$D$303,32))</f>
        <v/>
      </c>
      <c r="L2205" s="32" t="str">
        <f>IF($E2205="","",INDEX(成本费用登记表!$N$4:$N$303,32))</f>
        <v/>
      </c>
      <c r="M2205" s="32"/>
      <c r="N2205" s="26" t="str">
        <f t="shared" si="102"/>
        <v/>
      </c>
      <c r="O2205" s="26" t="str">
        <f t="shared" si="103"/>
        <v/>
      </c>
      <c r="P2205" s="10"/>
    </row>
    <row r="2206" ht="18" customHeight="1" spans="1:16">
      <c r="A2206" s="32" t="str">
        <f t="shared" si="104"/>
        <v/>
      </c>
      <c r="B2206" s="100" t="str">
        <f>IF($E2206="","",INDEX(成本费用登记表!$B$4:$B$303,33))</f>
        <v/>
      </c>
      <c r="C2206" s="26" t="str">
        <f t="shared" si="101"/>
        <v/>
      </c>
      <c r="D2206" s="32" t="str">
        <f>IF($E2206="","",INDEX(成本费用登记表!$E$4:$E$303,33))</f>
        <v/>
      </c>
      <c r="E2206" s="26" t="str">
        <f>IF(INDEX(成本费用登记表!$Q$4:$Y$303,33,1)=0,"",INDEX(成本费用登记表!$Q$4:$Y$303,33,1))</f>
        <v/>
      </c>
      <c r="F2206" s="25" t="str">
        <f>IF($E2206="","",IFERROR(INDEX(科目表!$A$4:$A$81,MATCH($E2206,科目表!$B$4:$B$81,0)),""))</f>
        <v/>
      </c>
      <c r="G2206" s="26" t="str">
        <f>IF($E2206="","",IFERROR(INDEX(科目表!$E$4:$E$81,MATCH($E2206,科目表!$B$4:$B$81,0)),""))</f>
        <v/>
      </c>
      <c r="H2206" s="27" t="str">
        <f>IF($E2206="","",N(INDEX(成本费用登记表!$Q$4:$Y$303,33,2)))</f>
        <v/>
      </c>
      <c r="I2206" s="27" t="str">
        <f>IF($E2206="","",N(INDEX(成本费用登记表!$Q$4:$Y$303,33,3)))</f>
        <v/>
      </c>
      <c r="J2206" s="26" t="str">
        <f>IF($E2206="","",INDEX(成本费用登记表!$C$4:$C$303,33))</f>
        <v/>
      </c>
      <c r="K2206" s="26" t="str">
        <f>IF($E2206="","",INDEX(成本费用登记表!$D$4:$D$303,33))</f>
        <v/>
      </c>
      <c r="L2206" s="32" t="str">
        <f>IF($E2206="","",INDEX(成本费用登记表!$N$4:$N$303,33))</f>
        <v/>
      </c>
      <c r="M2206" s="32"/>
      <c r="N2206" s="26" t="str">
        <f t="shared" si="102"/>
        <v/>
      </c>
      <c r="O2206" s="26" t="str">
        <f t="shared" si="103"/>
        <v/>
      </c>
      <c r="P2206" s="10"/>
    </row>
    <row r="2207" ht="18" customHeight="1" spans="1:16">
      <c r="A2207" s="32" t="str">
        <f t="shared" si="104"/>
        <v/>
      </c>
      <c r="B2207" s="100" t="str">
        <f>IF($E2207="","",INDEX(成本费用登记表!$B$4:$B$303,33))</f>
        <v/>
      </c>
      <c r="C2207" s="26" t="str">
        <f t="shared" si="101"/>
        <v/>
      </c>
      <c r="D2207" s="32" t="str">
        <f>IF($E2207="","",INDEX(成本费用登记表!$E$4:$E$303,33))</f>
        <v/>
      </c>
      <c r="E2207" s="26" t="str">
        <f>IF(INDEX(成本费用登记表!$Q$4:$Y$303,33,4)=0,"",INDEX(成本费用登记表!$Q$4:$Y$303,33,4))</f>
        <v/>
      </c>
      <c r="F2207" s="25" t="str">
        <f>IF($E2207="","",IFERROR(INDEX(科目表!$A$4:$A$81,MATCH($E2207,科目表!$B$4:$B$81,0)),""))</f>
        <v/>
      </c>
      <c r="G2207" s="26" t="str">
        <f>IF($E2207="","",IFERROR(INDEX(科目表!$E$4:$E$81,MATCH($E2207,科目表!$B$4:$B$81,0)),""))</f>
        <v/>
      </c>
      <c r="H2207" s="27" t="str">
        <f>IF($E2207="","",N(INDEX(成本费用登记表!$Q$4:$Y$303,33,5)))</f>
        <v/>
      </c>
      <c r="I2207" s="27" t="str">
        <f>IF($E2207="","",N(INDEX(成本费用登记表!$Q$4:$Y$303,33,6)))</f>
        <v/>
      </c>
      <c r="J2207" s="26" t="str">
        <f>IF($E2207="","",INDEX(成本费用登记表!$C$4:$C$303,33))</f>
        <v/>
      </c>
      <c r="K2207" s="26" t="str">
        <f>IF($E2207="","",INDEX(成本费用登记表!$D$4:$D$303,33))</f>
        <v/>
      </c>
      <c r="L2207" s="32" t="str">
        <f>IF($E2207="","",INDEX(成本费用登记表!$N$4:$N$303,33))</f>
        <v/>
      </c>
      <c r="M2207" s="32"/>
      <c r="N2207" s="26" t="str">
        <f t="shared" si="102"/>
        <v/>
      </c>
      <c r="O2207" s="26" t="str">
        <f t="shared" si="103"/>
        <v/>
      </c>
      <c r="P2207" s="10"/>
    </row>
    <row r="2208" ht="18" customHeight="1" spans="1:16">
      <c r="A2208" s="32" t="str">
        <f t="shared" si="104"/>
        <v/>
      </c>
      <c r="B2208" s="100" t="str">
        <f>IF($E2208="","",INDEX(成本费用登记表!$B$4:$B$303,33))</f>
        <v/>
      </c>
      <c r="C2208" s="26" t="str">
        <f t="shared" si="101"/>
        <v/>
      </c>
      <c r="D2208" s="32" t="str">
        <f>IF($E2208="","",INDEX(成本费用登记表!$E$4:$E$303,33))</f>
        <v/>
      </c>
      <c r="E2208" s="26" t="str">
        <f>IF(INDEX(成本费用登记表!$Q$4:$Y$303,33,7)=0,"",INDEX(成本费用登记表!$Q$4:$Y$303,33,7))</f>
        <v/>
      </c>
      <c r="F2208" s="25" t="str">
        <f>IF($E2208="","",IFERROR(INDEX(科目表!$A$4:$A$81,MATCH($E2208,科目表!$B$4:$B$81,0)),""))</f>
        <v/>
      </c>
      <c r="G2208" s="26" t="str">
        <f>IF($E2208="","",IFERROR(INDEX(科目表!$E$4:$E$81,MATCH($E2208,科目表!$B$4:$B$81,0)),""))</f>
        <v/>
      </c>
      <c r="H2208" s="27" t="str">
        <f>IF($E2208="","",N(INDEX(成本费用登记表!$Q$4:$Y$303,33,8)))</f>
        <v/>
      </c>
      <c r="I2208" s="27" t="str">
        <f>IF($E2208="","",N(INDEX(成本费用登记表!$Q$4:$Y$303,33,9)))</f>
        <v/>
      </c>
      <c r="J2208" s="26" t="str">
        <f>IF($E2208="","",INDEX(成本费用登记表!$C$4:$C$303,33))</f>
        <v/>
      </c>
      <c r="K2208" s="26" t="str">
        <f>IF($E2208="","",INDEX(成本费用登记表!$D$4:$D$303,33))</f>
        <v/>
      </c>
      <c r="L2208" s="32" t="str">
        <f>IF($E2208="","",INDEX(成本费用登记表!$N$4:$N$303,33))</f>
        <v/>
      </c>
      <c r="M2208" s="32"/>
      <c r="N2208" s="26" t="str">
        <f t="shared" si="102"/>
        <v/>
      </c>
      <c r="O2208" s="26" t="str">
        <f t="shared" si="103"/>
        <v/>
      </c>
      <c r="P2208" s="10"/>
    </row>
    <row r="2209" ht="18" customHeight="1" spans="1:16">
      <c r="A2209" s="32" t="str">
        <f t="shared" si="104"/>
        <v/>
      </c>
      <c r="B2209" s="100" t="str">
        <f>IF($E2209="","",INDEX(成本费用登记表!$B$4:$B$303,34))</f>
        <v/>
      </c>
      <c r="C2209" s="26" t="str">
        <f t="shared" si="101"/>
        <v/>
      </c>
      <c r="D2209" s="32" t="str">
        <f>IF($E2209="","",INDEX(成本费用登记表!$E$4:$E$303,34))</f>
        <v/>
      </c>
      <c r="E2209" s="26" t="str">
        <f>IF(INDEX(成本费用登记表!$Q$4:$Y$303,34,1)=0,"",INDEX(成本费用登记表!$Q$4:$Y$303,34,1))</f>
        <v/>
      </c>
      <c r="F2209" s="25" t="str">
        <f>IF($E2209="","",IFERROR(INDEX(科目表!$A$4:$A$81,MATCH($E2209,科目表!$B$4:$B$81,0)),""))</f>
        <v/>
      </c>
      <c r="G2209" s="26" t="str">
        <f>IF($E2209="","",IFERROR(INDEX(科目表!$E$4:$E$81,MATCH($E2209,科目表!$B$4:$B$81,0)),""))</f>
        <v/>
      </c>
      <c r="H2209" s="27" t="str">
        <f>IF($E2209="","",N(INDEX(成本费用登记表!$Q$4:$Y$303,34,2)))</f>
        <v/>
      </c>
      <c r="I2209" s="27" t="str">
        <f>IF($E2209="","",N(INDEX(成本费用登记表!$Q$4:$Y$303,34,3)))</f>
        <v/>
      </c>
      <c r="J2209" s="26" t="str">
        <f>IF($E2209="","",INDEX(成本费用登记表!$C$4:$C$303,34))</f>
        <v/>
      </c>
      <c r="K2209" s="26" t="str">
        <f>IF($E2209="","",INDEX(成本费用登记表!$D$4:$D$303,34))</f>
        <v/>
      </c>
      <c r="L2209" s="32" t="str">
        <f>IF($E2209="","",INDEX(成本费用登记表!$N$4:$N$303,34))</f>
        <v/>
      </c>
      <c r="M2209" s="32"/>
      <c r="N2209" s="26" t="str">
        <f t="shared" si="102"/>
        <v/>
      </c>
      <c r="O2209" s="26" t="str">
        <f t="shared" si="103"/>
        <v/>
      </c>
      <c r="P2209" s="10"/>
    </row>
    <row r="2210" ht="18" customHeight="1" spans="1:16">
      <c r="A2210" s="32" t="str">
        <f t="shared" si="104"/>
        <v/>
      </c>
      <c r="B2210" s="100" t="str">
        <f>IF($E2210="","",INDEX(成本费用登记表!$B$4:$B$303,34))</f>
        <v/>
      </c>
      <c r="C2210" s="26" t="str">
        <f t="shared" si="101"/>
        <v/>
      </c>
      <c r="D2210" s="32" t="str">
        <f>IF($E2210="","",INDEX(成本费用登记表!$E$4:$E$303,34))</f>
        <v/>
      </c>
      <c r="E2210" s="26" t="str">
        <f>IF(INDEX(成本费用登记表!$Q$4:$Y$303,34,4)=0,"",INDEX(成本费用登记表!$Q$4:$Y$303,34,4))</f>
        <v/>
      </c>
      <c r="F2210" s="25" t="str">
        <f>IF($E2210="","",IFERROR(INDEX(科目表!$A$4:$A$81,MATCH($E2210,科目表!$B$4:$B$81,0)),""))</f>
        <v/>
      </c>
      <c r="G2210" s="26" t="str">
        <f>IF($E2210="","",IFERROR(INDEX(科目表!$E$4:$E$81,MATCH($E2210,科目表!$B$4:$B$81,0)),""))</f>
        <v/>
      </c>
      <c r="H2210" s="27" t="str">
        <f>IF($E2210="","",N(INDEX(成本费用登记表!$Q$4:$Y$303,34,5)))</f>
        <v/>
      </c>
      <c r="I2210" s="27" t="str">
        <f>IF($E2210="","",N(INDEX(成本费用登记表!$Q$4:$Y$303,34,6)))</f>
        <v/>
      </c>
      <c r="J2210" s="26" t="str">
        <f>IF($E2210="","",INDEX(成本费用登记表!$C$4:$C$303,34))</f>
        <v/>
      </c>
      <c r="K2210" s="26" t="str">
        <f>IF($E2210="","",INDEX(成本费用登记表!$D$4:$D$303,34))</f>
        <v/>
      </c>
      <c r="L2210" s="32" t="str">
        <f>IF($E2210="","",INDEX(成本费用登记表!$N$4:$N$303,34))</f>
        <v/>
      </c>
      <c r="M2210" s="32"/>
      <c r="N2210" s="26" t="str">
        <f t="shared" si="102"/>
        <v/>
      </c>
      <c r="O2210" s="26" t="str">
        <f t="shared" si="103"/>
        <v/>
      </c>
      <c r="P2210" s="10"/>
    </row>
    <row r="2211" ht="18" customHeight="1" spans="1:16">
      <c r="A2211" s="32" t="str">
        <f t="shared" si="104"/>
        <v/>
      </c>
      <c r="B2211" s="100" t="str">
        <f>IF($E2211="","",INDEX(成本费用登记表!$B$4:$B$303,34))</f>
        <v/>
      </c>
      <c r="C2211" s="26" t="str">
        <f t="shared" si="101"/>
        <v/>
      </c>
      <c r="D2211" s="32" t="str">
        <f>IF($E2211="","",INDEX(成本费用登记表!$E$4:$E$303,34))</f>
        <v/>
      </c>
      <c r="E2211" s="26" t="str">
        <f>IF(INDEX(成本费用登记表!$Q$4:$Y$303,34,7)=0,"",INDEX(成本费用登记表!$Q$4:$Y$303,34,7))</f>
        <v/>
      </c>
      <c r="F2211" s="25" t="str">
        <f>IF($E2211="","",IFERROR(INDEX(科目表!$A$4:$A$81,MATCH($E2211,科目表!$B$4:$B$81,0)),""))</f>
        <v/>
      </c>
      <c r="G2211" s="26" t="str">
        <f>IF($E2211="","",IFERROR(INDEX(科目表!$E$4:$E$81,MATCH($E2211,科目表!$B$4:$B$81,0)),""))</f>
        <v/>
      </c>
      <c r="H2211" s="27" t="str">
        <f>IF($E2211="","",N(INDEX(成本费用登记表!$Q$4:$Y$303,34,8)))</f>
        <v/>
      </c>
      <c r="I2211" s="27" t="str">
        <f>IF($E2211="","",N(INDEX(成本费用登记表!$Q$4:$Y$303,34,9)))</f>
        <v/>
      </c>
      <c r="J2211" s="26" t="str">
        <f>IF($E2211="","",INDEX(成本费用登记表!$C$4:$C$303,34))</f>
        <v/>
      </c>
      <c r="K2211" s="26" t="str">
        <f>IF($E2211="","",INDEX(成本费用登记表!$D$4:$D$303,34))</f>
        <v/>
      </c>
      <c r="L2211" s="32" t="str">
        <f>IF($E2211="","",INDEX(成本费用登记表!$N$4:$N$303,34))</f>
        <v/>
      </c>
      <c r="M2211" s="32"/>
      <c r="N2211" s="26" t="str">
        <f t="shared" si="102"/>
        <v/>
      </c>
      <c r="O2211" s="26" t="str">
        <f t="shared" si="103"/>
        <v/>
      </c>
      <c r="P2211" s="10"/>
    </row>
    <row r="2212" ht="18" customHeight="1" spans="1:16">
      <c r="A2212" s="32" t="str">
        <f t="shared" si="104"/>
        <v/>
      </c>
      <c r="B2212" s="100" t="str">
        <f>IF($E2212="","",INDEX(成本费用登记表!$B$4:$B$303,35))</f>
        <v/>
      </c>
      <c r="C2212" s="26" t="str">
        <f t="shared" si="101"/>
        <v/>
      </c>
      <c r="D2212" s="32" t="str">
        <f>IF($E2212="","",INDEX(成本费用登记表!$E$4:$E$303,35))</f>
        <v/>
      </c>
      <c r="E2212" s="26" t="str">
        <f>IF(INDEX(成本费用登记表!$Q$4:$Y$303,35,1)=0,"",INDEX(成本费用登记表!$Q$4:$Y$303,35,1))</f>
        <v/>
      </c>
      <c r="F2212" s="25" t="str">
        <f>IF($E2212="","",IFERROR(INDEX(科目表!$A$4:$A$81,MATCH($E2212,科目表!$B$4:$B$81,0)),""))</f>
        <v/>
      </c>
      <c r="G2212" s="26" t="str">
        <f>IF($E2212="","",IFERROR(INDEX(科目表!$E$4:$E$81,MATCH($E2212,科目表!$B$4:$B$81,0)),""))</f>
        <v/>
      </c>
      <c r="H2212" s="27" t="str">
        <f>IF($E2212="","",N(INDEX(成本费用登记表!$Q$4:$Y$303,35,2)))</f>
        <v/>
      </c>
      <c r="I2212" s="27" t="str">
        <f>IF($E2212="","",N(INDEX(成本费用登记表!$Q$4:$Y$303,35,3)))</f>
        <v/>
      </c>
      <c r="J2212" s="26" t="str">
        <f>IF($E2212="","",INDEX(成本费用登记表!$C$4:$C$303,35))</f>
        <v/>
      </c>
      <c r="K2212" s="26" t="str">
        <f>IF($E2212="","",INDEX(成本费用登记表!$D$4:$D$303,35))</f>
        <v/>
      </c>
      <c r="L2212" s="32" t="str">
        <f>IF($E2212="","",INDEX(成本费用登记表!$N$4:$N$303,35))</f>
        <v/>
      </c>
      <c r="M2212" s="32"/>
      <c r="N2212" s="26" t="str">
        <f t="shared" si="102"/>
        <v/>
      </c>
      <c r="O2212" s="26" t="str">
        <f t="shared" si="103"/>
        <v/>
      </c>
      <c r="P2212" s="10"/>
    </row>
    <row r="2213" ht="18" customHeight="1" spans="1:16">
      <c r="A2213" s="32" t="str">
        <f t="shared" si="104"/>
        <v/>
      </c>
      <c r="B2213" s="100" t="str">
        <f>IF($E2213="","",INDEX(成本费用登记表!$B$4:$B$303,35))</f>
        <v/>
      </c>
      <c r="C2213" s="26" t="str">
        <f t="shared" si="101"/>
        <v/>
      </c>
      <c r="D2213" s="32" t="str">
        <f>IF($E2213="","",INDEX(成本费用登记表!$E$4:$E$303,35))</f>
        <v/>
      </c>
      <c r="E2213" s="26" t="str">
        <f>IF(INDEX(成本费用登记表!$Q$4:$Y$303,35,4)=0,"",INDEX(成本费用登记表!$Q$4:$Y$303,35,4))</f>
        <v/>
      </c>
      <c r="F2213" s="25" t="str">
        <f>IF($E2213="","",IFERROR(INDEX(科目表!$A$4:$A$81,MATCH($E2213,科目表!$B$4:$B$81,0)),""))</f>
        <v/>
      </c>
      <c r="G2213" s="26" t="str">
        <f>IF($E2213="","",IFERROR(INDEX(科目表!$E$4:$E$81,MATCH($E2213,科目表!$B$4:$B$81,0)),""))</f>
        <v/>
      </c>
      <c r="H2213" s="27" t="str">
        <f>IF($E2213="","",N(INDEX(成本费用登记表!$Q$4:$Y$303,35,5)))</f>
        <v/>
      </c>
      <c r="I2213" s="27" t="str">
        <f>IF($E2213="","",N(INDEX(成本费用登记表!$Q$4:$Y$303,35,6)))</f>
        <v/>
      </c>
      <c r="J2213" s="26" t="str">
        <f>IF($E2213="","",INDEX(成本费用登记表!$C$4:$C$303,35))</f>
        <v/>
      </c>
      <c r="K2213" s="26" t="str">
        <f>IF($E2213="","",INDEX(成本费用登记表!$D$4:$D$303,35))</f>
        <v/>
      </c>
      <c r="L2213" s="32" t="str">
        <f>IF($E2213="","",INDEX(成本费用登记表!$N$4:$N$303,35))</f>
        <v/>
      </c>
      <c r="M2213" s="32"/>
      <c r="N2213" s="26" t="str">
        <f t="shared" si="102"/>
        <v/>
      </c>
      <c r="O2213" s="26" t="str">
        <f t="shared" si="103"/>
        <v/>
      </c>
      <c r="P2213" s="10"/>
    </row>
    <row r="2214" ht="18" customHeight="1" spans="1:16">
      <c r="A2214" s="32" t="str">
        <f t="shared" si="104"/>
        <v/>
      </c>
      <c r="B2214" s="100" t="str">
        <f>IF($E2214="","",INDEX(成本费用登记表!$B$4:$B$303,35))</f>
        <v/>
      </c>
      <c r="C2214" s="26" t="str">
        <f t="shared" si="101"/>
        <v/>
      </c>
      <c r="D2214" s="32" t="str">
        <f>IF($E2214="","",INDEX(成本费用登记表!$E$4:$E$303,35))</f>
        <v/>
      </c>
      <c r="E2214" s="26" t="str">
        <f>IF(INDEX(成本费用登记表!$Q$4:$Y$303,35,7)=0,"",INDEX(成本费用登记表!$Q$4:$Y$303,35,7))</f>
        <v/>
      </c>
      <c r="F2214" s="25" t="str">
        <f>IF($E2214="","",IFERROR(INDEX(科目表!$A$4:$A$81,MATCH($E2214,科目表!$B$4:$B$81,0)),""))</f>
        <v/>
      </c>
      <c r="G2214" s="26" t="str">
        <f>IF($E2214="","",IFERROR(INDEX(科目表!$E$4:$E$81,MATCH($E2214,科目表!$B$4:$B$81,0)),""))</f>
        <v/>
      </c>
      <c r="H2214" s="27" t="str">
        <f>IF($E2214="","",N(INDEX(成本费用登记表!$Q$4:$Y$303,35,8)))</f>
        <v/>
      </c>
      <c r="I2214" s="27" t="str">
        <f>IF($E2214="","",N(INDEX(成本费用登记表!$Q$4:$Y$303,35,9)))</f>
        <v/>
      </c>
      <c r="J2214" s="26" t="str">
        <f>IF($E2214="","",INDEX(成本费用登记表!$C$4:$C$303,35))</f>
        <v/>
      </c>
      <c r="K2214" s="26" t="str">
        <f>IF($E2214="","",INDEX(成本费用登记表!$D$4:$D$303,35))</f>
        <v/>
      </c>
      <c r="L2214" s="32" t="str">
        <f>IF($E2214="","",INDEX(成本费用登记表!$N$4:$N$303,35))</f>
        <v/>
      </c>
      <c r="M2214" s="32"/>
      <c r="N2214" s="26" t="str">
        <f t="shared" si="102"/>
        <v/>
      </c>
      <c r="O2214" s="26" t="str">
        <f t="shared" si="103"/>
        <v/>
      </c>
      <c r="P2214" s="10"/>
    </row>
    <row r="2215" ht="18" customHeight="1" spans="1:16">
      <c r="A2215" s="32" t="str">
        <f t="shared" si="104"/>
        <v/>
      </c>
      <c r="B2215" s="100" t="str">
        <f>IF($E2215="","",INDEX(成本费用登记表!$B$4:$B$303,36))</f>
        <v/>
      </c>
      <c r="C2215" s="26" t="str">
        <f t="shared" si="101"/>
        <v/>
      </c>
      <c r="D2215" s="32" t="str">
        <f>IF($E2215="","",INDEX(成本费用登记表!$E$4:$E$303,36))</f>
        <v/>
      </c>
      <c r="E2215" s="26" t="str">
        <f>IF(INDEX(成本费用登记表!$Q$4:$Y$303,36,1)=0,"",INDEX(成本费用登记表!$Q$4:$Y$303,36,1))</f>
        <v/>
      </c>
      <c r="F2215" s="25" t="str">
        <f>IF($E2215="","",IFERROR(INDEX(科目表!$A$4:$A$81,MATCH($E2215,科目表!$B$4:$B$81,0)),""))</f>
        <v/>
      </c>
      <c r="G2215" s="26" t="str">
        <f>IF($E2215="","",IFERROR(INDEX(科目表!$E$4:$E$81,MATCH($E2215,科目表!$B$4:$B$81,0)),""))</f>
        <v/>
      </c>
      <c r="H2215" s="27" t="str">
        <f>IF($E2215="","",N(INDEX(成本费用登记表!$Q$4:$Y$303,36,2)))</f>
        <v/>
      </c>
      <c r="I2215" s="27" t="str">
        <f>IF($E2215="","",N(INDEX(成本费用登记表!$Q$4:$Y$303,36,3)))</f>
        <v/>
      </c>
      <c r="J2215" s="26" t="str">
        <f>IF($E2215="","",INDEX(成本费用登记表!$C$4:$C$303,36))</f>
        <v/>
      </c>
      <c r="K2215" s="26" t="str">
        <f>IF($E2215="","",INDEX(成本费用登记表!$D$4:$D$303,36))</f>
        <v/>
      </c>
      <c r="L2215" s="32" t="str">
        <f>IF($E2215="","",INDEX(成本费用登记表!$N$4:$N$303,36))</f>
        <v/>
      </c>
      <c r="M2215" s="32"/>
      <c r="N2215" s="26" t="str">
        <f t="shared" si="102"/>
        <v/>
      </c>
      <c r="O2215" s="26" t="str">
        <f t="shared" si="103"/>
        <v/>
      </c>
      <c r="P2215" s="10"/>
    </row>
    <row r="2216" ht="18" customHeight="1" spans="1:16">
      <c r="A2216" s="32" t="str">
        <f t="shared" si="104"/>
        <v/>
      </c>
      <c r="B2216" s="100" t="str">
        <f>IF($E2216="","",INDEX(成本费用登记表!$B$4:$B$303,36))</f>
        <v/>
      </c>
      <c r="C2216" s="26" t="str">
        <f t="shared" si="101"/>
        <v/>
      </c>
      <c r="D2216" s="32" t="str">
        <f>IF($E2216="","",INDEX(成本费用登记表!$E$4:$E$303,36))</f>
        <v/>
      </c>
      <c r="E2216" s="26" t="str">
        <f>IF(INDEX(成本费用登记表!$Q$4:$Y$303,36,4)=0,"",INDEX(成本费用登记表!$Q$4:$Y$303,36,4))</f>
        <v/>
      </c>
      <c r="F2216" s="25" t="str">
        <f>IF($E2216="","",IFERROR(INDEX(科目表!$A$4:$A$81,MATCH($E2216,科目表!$B$4:$B$81,0)),""))</f>
        <v/>
      </c>
      <c r="G2216" s="26" t="str">
        <f>IF($E2216="","",IFERROR(INDEX(科目表!$E$4:$E$81,MATCH($E2216,科目表!$B$4:$B$81,0)),""))</f>
        <v/>
      </c>
      <c r="H2216" s="27" t="str">
        <f>IF($E2216="","",N(INDEX(成本费用登记表!$Q$4:$Y$303,36,5)))</f>
        <v/>
      </c>
      <c r="I2216" s="27" t="str">
        <f>IF($E2216="","",N(INDEX(成本费用登记表!$Q$4:$Y$303,36,6)))</f>
        <v/>
      </c>
      <c r="J2216" s="26" t="str">
        <f>IF($E2216="","",INDEX(成本费用登记表!$C$4:$C$303,36))</f>
        <v/>
      </c>
      <c r="K2216" s="26" t="str">
        <f>IF($E2216="","",INDEX(成本费用登记表!$D$4:$D$303,36))</f>
        <v/>
      </c>
      <c r="L2216" s="32" t="str">
        <f>IF($E2216="","",INDEX(成本费用登记表!$N$4:$N$303,36))</f>
        <v/>
      </c>
      <c r="M2216" s="32"/>
      <c r="N2216" s="26" t="str">
        <f t="shared" si="102"/>
        <v/>
      </c>
      <c r="O2216" s="26" t="str">
        <f t="shared" si="103"/>
        <v/>
      </c>
      <c r="P2216" s="10"/>
    </row>
    <row r="2217" ht="18" customHeight="1" spans="1:16">
      <c r="A2217" s="32" t="str">
        <f t="shared" si="104"/>
        <v/>
      </c>
      <c r="B2217" s="100" t="str">
        <f>IF($E2217="","",INDEX(成本费用登记表!$B$4:$B$303,36))</f>
        <v/>
      </c>
      <c r="C2217" s="26" t="str">
        <f t="shared" si="101"/>
        <v/>
      </c>
      <c r="D2217" s="32" t="str">
        <f>IF($E2217="","",INDEX(成本费用登记表!$E$4:$E$303,36))</f>
        <v/>
      </c>
      <c r="E2217" s="26" t="str">
        <f>IF(INDEX(成本费用登记表!$Q$4:$Y$303,36,7)=0,"",INDEX(成本费用登记表!$Q$4:$Y$303,36,7))</f>
        <v/>
      </c>
      <c r="F2217" s="25" t="str">
        <f>IF($E2217="","",IFERROR(INDEX(科目表!$A$4:$A$81,MATCH($E2217,科目表!$B$4:$B$81,0)),""))</f>
        <v/>
      </c>
      <c r="G2217" s="26" t="str">
        <f>IF($E2217="","",IFERROR(INDEX(科目表!$E$4:$E$81,MATCH($E2217,科目表!$B$4:$B$81,0)),""))</f>
        <v/>
      </c>
      <c r="H2217" s="27" t="str">
        <f>IF($E2217="","",N(INDEX(成本费用登记表!$Q$4:$Y$303,36,8)))</f>
        <v/>
      </c>
      <c r="I2217" s="27" t="str">
        <f>IF($E2217="","",N(INDEX(成本费用登记表!$Q$4:$Y$303,36,9)))</f>
        <v/>
      </c>
      <c r="J2217" s="26" t="str">
        <f>IF($E2217="","",INDEX(成本费用登记表!$C$4:$C$303,36))</f>
        <v/>
      </c>
      <c r="K2217" s="26" t="str">
        <f>IF($E2217="","",INDEX(成本费用登记表!$D$4:$D$303,36))</f>
        <v/>
      </c>
      <c r="L2217" s="32" t="str">
        <f>IF($E2217="","",INDEX(成本费用登记表!$N$4:$N$303,36))</f>
        <v/>
      </c>
      <c r="M2217" s="32"/>
      <c r="N2217" s="26" t="str">
        <f t="shared" si="102"/>
        <v/>
      </c>
      <c r="O2217" s="26" t="str">
        <f t="shared" si="103"/>
        <v/>
      </c>
      <c r="P2217" s="10"/>
    </row>
    <row r="2218" ht="18" customHeight="1" spans="1:16">
      <c r="A2218" s="32" t="str">
        <f t="shared" si="104"/>
        <v/>
      </c>
      <c r="B2218" s="100" t="str">
        <f>IF($E2218="","",INDEX(成本费用登记表!$B$4:$B$303,37))</f>
        <v/>
      </c>
      <c r="C2218" s="26" t="str">
        <f t="shared" si="101"/>
        <v/>
      </c>
      <c r="D2218" s="32" t="str">
        <f>IF($E2218="","",INDEX(成本费用登记表!$E$4:$E$303,37))</f>
        <v/>
      </c>
      <c r="E2218" s="26" t="str">
        <f>IF(INDEX(成本费用登记表!$Q$4:$Y$303,37,1)=0,"",INDEX(成本费用登记表!$Q$4:$Y$303,37,1))</f>
        <v/>
      </c>
      <c r="F2218" s="25" t="str">
        <f>IF($E2218="","",IFERROR(INDEX(科目表!$A$4:$A$81,MATCH($E2218,科目表!$B$4:$B$81,0)),""))</f>
        <v/>
      </c>
      <c r="G2218" s="26" t="str">
        <f>IF($E2218="","",IFERROR(INDEX(科目表!$E$4:$E$81,MATCH($E2218,科目表!$B$4:$B$81,0)),""))</f>
        <v/>
      </c>
      <c r="H2218" s="27" t="str">
        <f>IF($E2218="","",N(INDEX(成本费用登记表!$Q$4:$Y$303,37,2)))</f>
        <v/>
      </c>
      <c r="I2218" s="27" t="str">
        <f>IF($E2218="","",N(INDEX(成本费用登记表!$Q$4:$Y$303,37,3)))</f>
        <v/>
      </c>
      <c r="J2218" s="26" t="str">
        <f>IF($E2218="","",INDEX(成本费用登记表!$C$4:$C$303,37))</f>
        <v/>
      </c>
      <c r="K2218" s="26" t="str">
        <f>IF($E2218="","",INDEX(成本费用登记表!$D$4:$D$303,37))</f>
        <v/>
      </c>
      <c r="L2218" s="32" t="str">
        <f>IF($E2218="","",INDEX(成本费用登记表!$N$4:$N$303,37))</f>
        <v/>
      </c>
      <c r="M2218" s="32"/>
      <c r="N2218" s="26" t="str">
        <f t="shared" si="102"/>
        <v/>
      </c>
      <c r="O2218" s="26" t="str">
        <f t="shared" si="103"/>
        <v/>
      </c>
      <c r="P2218" s="10"/>
    </row>
    <row r="2219" ht="18" customHeight="1" spans="1:16">
      <c r="A2219" s="32" t="str">
        <f t="shared" si="104"/>
        <v/>
      </c>
      <c r="B2219" s="100" t="str">
        <f>IF($E2219="","",INDEX(成本费用登记表!$B$4:$B$303,37))</f>
        <v/>
      </c>
      <c r="C2219" s="26" t="str">
        <f t="shared" si="101"/>
        <v/>
      </c>
      <c r="D2219" s="32" t="str">
        <f>IF($E2219="","",INDEX(成本费用登记表!$E$4:$E$303,37))</f>
        <v/>
      </c>
      <c r="E2219" s="26" t="str">
        <f>IF(INDEX(成本费用登记表!$Q$4:$Y$303,37,4)=0,"",INDEX(成本费用登记表!$Q$4:$Y$303,37,4))</f>
        <v/>
      </c>
      <c r="F2219" s="25" t="str">
        <f>IF($E2219="","",IFERROR(INDEX(科目表!$A$4:$A$81,MATCH($E2219,科目表!$B$4:$B$81,0)),""))</f>
        <v/>
      </c>
      <c r="G2219" s="26" t="str">
        <f>IF($E2219="","",IFERROR(INDEX(科目表!$E$4:$E$81,MATCH($E2219,科目表!$B$4:$B$81,0)),""))</f>
        <v/>
      </c>
      <c r="H2219" s="27" t="str">
        <f>IF($E2219="","",N(INDEX(成本费用登记表!$Q$4:$Y$303,37,5)))</f>
        <v/>
      </c>
      <c r="I2219" s="27" t="str">
        <f>IF($E2219="","",N(INDEX(成本费用登记表!$Q$4:$Y$303,37,6)))</f>
        <v/>
      </c>
      <c r="J2219" s="26" t="str">
        <f>IF($E2219="","",INDEX(成本费用登记表!$C$4:$C$303,37))</f>
        <v/>
      </c>
      <c r="K2219" s="26" t="str">
        <f>IF($E2219="","",INDEX(成本费用登记表!$D$4:$D$303,37))</f>
        <v/>
      </c>
      <c r="L2219" s="32" t="str">
        <f>IF($E2219="","",INDEX(成本费用登记表!$N$4:$N$303,37))</f>
        <v/>
      </c>
      <c r="M2219" s="32"/>
      <c r="N2219" s="26" t="str">
        <f t="shared" si="102"/>
        <v/>
      </c>
      <c r="O2219" s="26" t="str">
        <f t="shared" si="103"/>
        <v/>
      </c>
      <c r="P2219" s="10"/>
    </row>
    <row r="2220" ht="18" customHeight="1" spans="1:16">
      <c r="A2220" s="32" t="str">
        <f t="shared" si="104"/>
        <v/>
      </c>
      <c r="B2220" s="100" t="str">
        <f>IF($E2220="","",INDEX(成本费用登记表!$B$4:$B$303,37))</f>
        <v/>
      </c>
      <c r="C2220" s="26" t="str">
        <f t="shared" si="101"/>
        <v/>
      </c>
      <c r="D2220" s="32" t="str">
        <f>IF($E2220="","",INDEX(成本费用登记表!$E$4:$E$303,37))</f>
        <v/>
      </c>
      <c r="E2220" s="26" t="str">
        <f>IF(INDEX(成本费用登记表!$Q$4:$Y$303,37,7)=0,"",INDEX(成本费用登记表!$Q$4:$Y$303,37,7))</f>
        <v/>
      </c>
      <c r="F2220" s="25" t="str">
        <f>IF($E2220="","",IFERROR(INDEX(科目表!$A$4:$A$81,MATCH($E2220,科目表!$B$4:$B$81,0)),""))</f>
        <v/>
      </c>
      <c r="G2220" s="26" t="str">
        <f>IF($E2220="","",IFERROR(INDEX(科目表!$E$4:$E$81,MATCH($E2220,科目表!$B$4:$B$81,0)),""))</f>
        <v/>
      </c>
      <c r="H2220" s="27" t="str">
        <f>IF($E2220="","",N(INDEX(成本费用登记表!$Q$4:$Y$303,37,8)))</f>
        <v/>
      </c>
      <c r="I2220" s="27" t="str">
        <f>IF($E2220="","",N(INDEX(成本费用登记表!$Q$4:$Y$303,37,9)))</f>
        <v/>
      </c>
      <c r="J2220" s="26" t="str">
        <f>IF($E2220="","",INDEX(成本费用登记表!$C$4:$C$303,37))</f>
        <v/>
      </c>
      <c r="K2220" s="26" t="str">
        <f>IF($E2220="","",INDEX(成本费用登记表!$D$4:$D$303,37))</f>
        <v/>
      </c>
      <c r="L2220" s="32" t="str">
        <f>IF($E2220="","",INDEX(成本费用登记表!$N$4:$N$303,37))</f>
        <v/>
      </c>
      <c r="M2220" s="32"/>
      <c r="N2220" s="26" t="str">
        <f t="shared" si="102"/>
        <v/>
      </c>
      <c r="O2220" s="26" t="str">
        <f t="shared" si="103"/>
        <v/>
      </c>
      <c r="P2220" s="10"/>
    </row>
    <row r="2221" ht="18" customHeight="1" spans="1:16">
      <c r="A2221" s="32" t="str">
        <f t="shared" si="104"/>
        <v/>
      </c>
      <c r="B2221" s="100" t="str">
        <f>IF($E2221="","",INDEX(成本费用登记表!$B$4:$B$303,38))</f>
        <v/>
      </c>
      <c r="C2221" s="26" t="str">
        <f t="shared" si="101"/>
        <v/>
      </c>
      <c r="D2221" s="32" t="str">
        <f>IF($E2221="","",INDEX(成本费用登记表!$E$4:$E$303,38))</f>
        <v/>
      </c>
      <c r="E2221" s="26" t="str">
        <f>IF(INDEX(成本费用登记表!$Q$4:$Y$303,38,1)=0,"",INDEX(成本费用登记表!$Q$4:$Y$303,38,1))</f>
        <v/>
      </c>
      <c r="F2221" s="25" t="str">
        <f>IF($E2221="","",IFERROR(INDEX(科目表!$A$4:$A$81,MATCH($E2221,科目表!$B$4:$B$81,0)),""))</f>
        <v/>
      </c>
      <c r="G2221" s="26" t="str">
        <f>IF($E2221="","",IFERROR(INDEX(科目表!$E$4:$E$81,MATCH($E2221,科目表!$B$4:$B$81,0)),""))</f>
        <v/>
      </c>
      <c r="H2221" s="27" t="str">
        <f>IF($E2221="","",N(INDEX(成本费用登记表!$Q$4:$Y$303,38,2)))</f>
        <v/>
      </c>
      <c r="I2221" s="27" t="str">
        <f>IF($E2221="","",N(INDEX(成本费用登记表!$Q$4:$Y$303,38,3)))</f>
        <v/>
      </c>
      <c r="J2221" s="26" t="str">
        <f>IF($E2221="","",INDEX(成本费用登记表!$C$4:$C$303,38))</f>
        <v/>
      </c>
      <c r="K2221" s="26" t="str">
        <f>IF($E2221="","",INDEX(成本费用登记表!$D$4:$D$303,38))</f>
        <v/>
      </c>
      <c r="L2221" s="32" t="str">
        <f>IF($E2221="","",INDEX(成本费用登记表!$N$4:$N$303,38))</f>
        <v/>
      </c>
      <c r="M2221" s="32"/>
      <c r="N2221" s="26" t="str">
        <f t="shared" si="102"/>
        <v/>
      </c>
      <c r="O2221" s="26" t="str">
        <f t="shared" si="103"/>
        <v/>
      </c>
      <c r="P2221" s="10"/>
    </row>
    <row r="2222" ht="18" customHeight="1" spans="1:16">
      <c r="A2222" s="32" t="str">
        <f t="shared" si="104"/>
        <v/>
      </c>
      <c r="B2222" s="100" t="str">
        <f>IF($E2222="","",INDEX(成本费用登记表!$B$4:$B$303,38))</f>
        <v/>
      </c>
      <c r="C2222" s="26" t="str">
        <f t="shared" si="101"/>
        <v/>
      </c>
      <c r="D2222" s="32" t="str">
        <f>IF($E2222="","",INDEX(成本费用登记表!$E$4:$E$303,38))</f>
        <v/>
      </c>
      <c r="E2222" s="26" t="str">
        <f>IF(INDEX(成本费用登记表!$Q$4:$Y$303,38,4)=0,"",INDEX(成本费用登记表!$Q$4:$Y$303,38,4))</f>
        <v/>
      </c>
      <c r="F2222" s="25" t="str">
        <f>IF($E2222="","",IFERROR(INDEX(科目表!$A$4:$A$81,MATCH($E2222,科目表!$B$4:$B$81,0)),""))</f>
        <v/>
      </c>
      <c r="G2222" s="26" t="str">
        <f>IF($E2222="","",IFERROR(INDEX(科目表!$E$4:$E$81,MATCH($E2222,科目表!$B$4:$B$81,0)),""))</f>
        <v/>
      </c>
      <c r="H2222" s="27" t="str">
        <f>IF($E2222="","",N(INDEX(成本费用登记表!$Q$4:$Y$303,38,5)))</f>
        <v/>
      </c>
      <c r="I2222" s="27" t="str">
        <f>IF($E2222="","",N(INDEX(成本费用登记表!$Q$4:$Y$303,38,6)))</f>
        <v/>
      </c>
      <c r="J2222" s="26" t="str">
        <f>IF($E2222="","",INDEX(成本费用登记表!$C$4:$C$303,38))</f>
        <v/>
      </c>
      <c r="K2222" s="26" t="str">
        <f>IF($E2222="","",INDEX(成本费用登记表!$D$4:$D$303,38))</f>
        <v/>
      </c>
      <c r="L2222" s="32" t="str">
        <f>IF($E2222="","",INDEX(成本费用登记表!$N$4:$N$303,38))</f>
        <v/>
      </c>
      <c r="M2222" s="32"/>
      <c r="N2222" s="26" t="str">
        <f t="shared" si="102"/>
        <v/>
      </c>
      <c r="O2222" s="26" t="str">
        <f t="shared" si="103"/>
        <v/>
      </c>
      <c r="P2222" s="10"/>
    </row>
    <row r="2223" ht="18" customHeight="1" spans="1:16">
      <c r="A2223" s="32" t="str">
        <f t="shared" si="104"/>
        <v/>
      </c>
      <c r="B2223" s="100" t="str">
        <f>IF($E2223="","",INDEX(成本费用登记表!$B$4:$B$303,38))</f>
        <v/>
      </c>
      <c r="C2223" s="26" t="str">
        <f t="shared" si="101"/>
        <v/>
      </c>
      <c r="D2223" s="32" t="str">
        <f>IF($E2223="","",INDEX(成本费用登记表!$E$4:$E$303,38))</f>
        <v/>
      </c>
      <c r="E2223" s="26" t="str">
        <f>IF(INDEX(成本费用登记表!$Q$4:$Y$303,38,7)=0,"",INDEX(成本费用登记表!$Q$4:$Y$303,38,7))</f>
        <v/>
      </c>
      <c r="F2223" s="25" t="str">
        <f>IF($E2223="","",IFERROR(INDEX(科目表!$A$4:$A$81,MATCH($E2223,科目表!$B$4:$B$81,0)),""))</f>
        <v/>
      </c>
      <c r="G2223" s="26" t="str">
        <f>IF($E2223="","",IFERROR(INDEX(科目表!$E$4:$E$81,MATCH($E2223,科目表!$B$4:$B$81,0)),""))</f>
        <v/>
      </c>
      <c r="H2223" s="27" t="str">
        <f>IF($E2223="","",N(INDEX(成本费用登记表!$Q$4:$Y$303,38,8)))</f>
        <v/>
      </c>
      <c r="I2223" s="27" t="str">
        <f>IF($E2223="","",N(INDEX(成本费用登记表!$Q$4:$Y$303,38,9)))</f>
        <v/>
      </c>
      <c r="J2223" s="26" t="str">
        <f>IF($E2223="","",INDEX(成本费用登记表!$C$4:$C$303,38))</f>
        <v/>
      </c>
      <c r="K2223" s="26" t="str">
        <f>IF($E2223="","",INDEX(成本费用登记表!$D$4:$D$303,38))</f>
        <v/>
      </c>
      <c r="L2223" s="32" t="str">
        <f>IF($E2223="","",INDEX(成本费用登记表!$N$4:$N$303,38))</f>
        <v/>
      </c>
      <c r="M2223" s="32"/>
      <c r="N2223" s="26" t="str">
        <f t="shared" si="102"/>
        <v/>
      </c>
      <c r="O2223" s="26" t="str">
        <f t="shared" si="103"/>
        <v/>
      </c>
      <c r="P2223" s="10"/>
    </row>
    <row r="2224" ht="18" customHeight="1" spans="1:16">
      <c r="A2224" s="32" t="str">
        <f t="shared" si="104"/>
        <v/>
      </c>
      <c r="B2224" s="100" t="str">
        <f>IF($E2224="","",INDEX(成本费用登记表!$B$4:$B$303,39))</f>
        <v/>
      </c>
      <c r="C2224" s="26" t="str">
        <f t="shared" si="101"/>
        <v/>
      </c>
      <c r="D2224" s="32" t="str">
        <f>IF($E2224="","",INDEX(成本费用登记表!$E$4:$E$303,39))</f>
        <v/>
      </c>
      <c r="E2224" s="26" t="str">
        <f>IF(INDEX(成本费用登记表!$Q$4:$Y$303,39,1)=0,"",INDEX(成本费用登记表!$Q$4:$Y$303,39,1))</f>
        <v/>
      </c>
      <c r="F2224" s="25" t="str">
        <f>IF($E2224="","",IFERROR(INDEX(科目表!$A$4:$A$81,MATCH($E2224,科目表!$B$4:$B$81,0)),""))</f>
        <v/>
      </c>
      <c r="G2224" s="26" t="str">
        <f>IF($E2224="","",IFERROR(INDEX(科目表!$E$4:$E$81,MATCH($E2224,科目表!$B$4:$B$81,0)),""))</f>
        <v/>
      </c>
      <c r="H2224" s="27" t="str">
        <f>IF($E2224="","",N(INDEX(成本费用登记表!$Q$4:$Y$303,39,2)))</f>
        <v/>
      </c>
      <c r="I2224" s="27" t="str">
        <f>IF($E2224="","",N(INDEX(成本费用登记表!$Q$4:$Y$303,39,3)))</f>
        <v/>
      </c>
      <c r="J2224" s="26" t="str">
        <f>IF($E2224="","",INDEX(成本费用登记表!$C$4:$C$303,39))</f>
        <v/>
      </c>
      <c r="K2224" s="26" t="str">
        <f>IF($E2224="","",INDEX(成本费用登记表!$D$4:$D$303,39))</f>
        <v/>
      </c>
      <c r="L2224" s="32" t="str">
        <f>IF($E2224="","",INDEX(成本费用登记表!$N$4:$N$303,39))</f>
        <v/>
      </c>
      <c r="M2224" s="32"/>
      <c r="N2224" s="26" t="str">
        <f t="shared" si="102"/>
        <v/>
      </c>
      <c r="O2224" s="26" t="str">
        <f t="shared" si="103"/>
        <v/>
      </c>
      <c r="P2224" s="10"/>
    </row>
    <row r="2225" ht="18" customHeight="1" spans="1:16">
      <c r="A2225" s="32" t="str">
        <f t="shared" si="104"/>
        <v/>
      </c>
      <c r="B2225" s="100" t="str">
        <f>IF($E2225="","",INDEX(成本费用登记表!$B$4:$B$303,39))</f>
        <v/>
      </c>
      <c r="C2225" s="26" t="str">
        <f t="shared" si="101"/>
        <v/>
      </c>
      <c r="D2225" s="32" t="str">
        <f>IF($E2225="","",INDEX(成本费用登记表!$E$4:$E$303,39))</f>
        <v/>
      </c>
      <c r="E2225" s="26" t="str">
        <f>IF(INDEX(成本费用登记表!$Q$4:$Y$303,39,4)=0,"",INDEX(成本费用登记表!$Q$4:$Y$303,39,4))</f>
        <v/>
      </c>
      <c r="F2225" s="25" t="str">
        <f>IF($E2225="","",IFERROR(INDEX(科目表!$A$4:$A$81,MATCH($E2225,科目表!$B$4:$B$81,0)),""))</f>
        <v/>
      </c>
      <c r="G2225" s="26" t="str">
        <f>IF($E2225="","",IFERROR(INDEX(科目表!$E$4:$E$81,MATCH($E2225,科目表!$B$4:$B$81,0)),""))</f>
        <v/>
      </c>
      <c r="H2225" s="27" t="str">
        <f>IF($E2225="","",N(INDEX(成本费用登记表!$Q$4:$Y$303,39,5)))</f>
        <v/>
      </c>
      <c r="I2225" s="27" t="str">
        <f>IF($E2225="","",N(INDEX(成本费用登记表!$Q$4:$Y$303,39,6)))</f>
        <v/>
      </c>
      <c r="J2225" s="26" t="str">
        <f>IF($E2225="","",INDEX(成本费用登记表!$C$4:$C$303,39))</f>
        <v/>
      </c>
      <c r="K2225" s="26" t="str">
        <f>IF($E2225="","",INDEX(成本费用登记表!$D$4:$D$303,39))</f>
        <v/>
      </c>
      <c r="L2225" s="32" t="str">
        <f>IF($E2225="","",INDEX(成本费用登记表!$N$4:$N$303,39))</f>
        <v/>
      </c>
      <c r="M2225" s="32"/>
      <c r="N2225" s="26" t="str">
        <f t="shared" si="102"/>
        <v/>
      </c>
      <c r="O2225" s="26" t="str">
        <f t="shared" si="103"/>
        <v/>
      </c>
      <c r="P2225" s="10"/>
    </row>
    <row r="2226" ht="18" customHeight="1" spans="1:16">
      <c r="A2226" s="32" t="str">
        <f t="shared" si="104"/>
        <v/>
      </c>
      <c r="B2226" s="100" t="str">
        <f>IF($E2226="","",INDEX(成本费用登记表!$B$4:$B$303,39))</f>
        <v/>
      </c>
      <c r="C2226" s="26" t="str">
        <f t="shared" si="101"/>
        <v/>
      </c>
      <c r="D2226" s="32" t="str">
        <f>IF($E2226="","",INDEX(成本费用登记表!$E$4:$E$303,39))</f>
        <v/>
      </c>
      <c r="E2226" s="26" t="str">
        <f>IF(INDEX(成本费用登记表!$Q$4:$Y$303,39,7)=0,"",INDEX(成本费用登记表!$Q$4:$Y$303,39,7))</f>
        <v/>
      </c>
      <c r="F2226" s="25" t="str">
        <f>IF($E2226="","",IFERROR(INDEX(科目表!$A$4:$A$81,MATCH($E2226,科目表!$B$4:$B$81,0)),""))</f>
        <v/>
      </c>
      <c r="G2226" s="26" t="str">
        <f>IF($E2226="","",IFERROR(INDEX(科目表!$E$4:$E$81,MATCH($E2226,科目表!$B$4:$B$81,0)),""))</f>
        <v/>
      </c>
      <c r="H2226" s="27" t="str">
        <f>IF($E2226="","",N(INDEX(成本费用登记表!$Q$4:$Y$303,39,8)))</f>
        <v/>
      </c>
      <c r="I2226" s="27" t="str">
        <f>IF($E2226="","",N(INDEX(成本费用登记表!$Q$4:$Y$303,39,9)))</f>
        <v/>
      </c>
      <c r="J2226" s="26" t="str">
        <f>IF($E2226="","",INDEX(成本费用登记表!$C$4:$C$303,39))</f>
        <v/>
      </c>
      <c r="K2226" s="26" t="str">
        <f>IF($E2226="","",INDEX(成本费用登记表!$D$4:$D$303,39))</f>
        <v/>
      </c>
      <c r="L2226" s="32" t="str">
        <f>IF($E2226="","",INDEX(成本费用登记表!$N$4:$N$303,39))</f>
        <v/>
      </c>
      <c r="M2226" s="32"/>
      <c r="N2226" s="26" t="str">
        <f t="shared" si="102"/>
        <v/>
      </c>
      <c r="O2226" s="26" t="str">
        <f t="shared" si="103"/>
        <v/>
      </c>
      <c r="P2226" s="10"/>
    </row>
    <row r="2227" ht="18" customHeight="1" spans="1:16">
      <c r="A2227" s="32" t="str">
        <f t="shared" si="104"/>
        <v/>
      </c>
      <c r="B2227" s="100" t="str">
        <f>IF($E2227="","",INDEX(成本费用登记表!$B$4:$B$303,40))</f>
        <v/>
      </c>
      <c r="C2227" s="26" t="str">
        <f t="shared" si="101"/>
        <v/>
      </c>
      <c r="D2227" s="32" t="str">
        <f>IF($E2227="","",INDEX(成本费用登记表!$E$4:$E$303,40))</f>
        <v/>
      </c>
      <c r="E2227" s="26" t="str">
        <f>IF(INDEX(成本费用登记表!$Q$4:$Y$303,40,1)=0,"",INDEX(成本费用登记表!$Q$4:$Y$303,40,1))</f>
        <v/>
      </c>
      <c r="F2227" s="25" t="str">
        <f>IF($E2227="","",IFERROR(INDEX(科目表!$A$4:$A$81,MATCH($E2227,科目表!$B$4:$B$81,0)),""))</f>
        <v/>
      </c>
      <c r="G2227" s="26" t="str">
        <f>IF($E2227="","",IFERROR(INDEX(科目表!$E$4:$E$81,MATCH($E2227,科目表!$B$4:$B$81,0)),""))</f>
        <v/>
      </c>
      <c r="H2227" s="27" t="str">
        <f>IF($E2227="","",N(INDEX(成本费用登记表!$Q$4:$Y$303,40,2)))</f>
        <v/>
      </c>
      <c r="I2227" s="27" t="str">
        <f>IF($E2227="","",N(INDEX(成本费用登记表!$Q$4:$Y$303,40,3)))</f>
        <v/>
      </c>
      <c r="J2227" s="26" t="str">
        <f>IF($E2227="","",INDEX(成本费用登记表!$C$4:$C$303,40))</f>
        <v/>
      </c>
      <c r="K2227" s="26" t="str">
        <f>IF($E2227="","",INDEX(成本费用登记表!$D$4:$D$303,40))</f>
        <v/>
      </c>
      <c r="L2227" s="32" t="str">
        <f>IF($E2227="","",INDEX(成本费用登记表!$N$4:$N$303,40))</f>
        <v/>
      </c>
      <c r="M2227" s="32"/>
      <c r="N2227" s="26" t="str">
        <f t="shared" si="102"/>
        <v/>
      </c>
      <c r="O2227" s="26" t="str">
        <f t="shared" si="103"/>
        <v/>
      </c>
      <c r="P2227" s="10"/>
    </row>
    <row r="2228" ht="18" customHeight="1" spans="1:16">
      <c r="A2228" s="32" t="str">
        <f t="shared" si="104"/>
        <v/>
      </c>
      <c r="B2228" s="100" t="str">
        <f>IF($E2228="","",INDEX(成本费用登记表!$B$4:$B$303,40))</f>
        <v/>
      </c>
      <c r="C2228" s="26" t="str">
        <f t="shared" si="101"/>
        <v/>
      </c>
      <c r="D2228" s="32" t="str">
        <f>IF($E2228="","",INDEX(成本费用登记表!$E$4:$E$303,40))</f>
        <v/>
      </c>
      <c r="E2228" s="26" t="str">
        <f>IF(INDEX(成本费用登记表!$Q$4:$Y$303,40,4)=0,"",INDEX(成本费用登记表!$Q$4:$Y$303,40,4))</f>
        <v/>
      </c>
      <c r="F2228" s="25" t="str">
        <f>IF($E2228="","",IFERROR(INDEX(科目表!$A$4:$A$81,MATCH($E2228,科目表!$B$4:$B$81,0)),""))</f>
        <v/>
      </c>
      <c r="G2228" s="26" t="str">
        <f>IF($E2228="","",IFERROR(INDEX(科目表!$E$4:$E$81,MATCH($E2228,科目表!$B$4:$B$81,0)),""))</f>
        <v/>
      </c>
      <c r="H2228" s="27" t="str">
        <f>IF($E2228="","",N(INDEX(成本费用登记表!$Q$4:$Y$303,40,5)))</f>
        <v/>
      </c>
      <c r="I2228" s="27" t="str">
        <f>IF($E2228="","",N(INDEX(成本费用登记表!$Q$4:$Y$303,40,6)))</f>
        <v/>
      </c>
      <c r="J2228" s="26" t="str">
        <f>IF($E2228="","",INDEX(成本费用登记表!$C$4:$C$303,40))</f>
        <v/>
      </c>
      <c r="K2228" s="26" t="str">
        <f>IF($E2228="","",INDEX(成本费用登记表!$D$4:$D$303,40))</f>
        <v/>
      </c>
      <c r="L2228" s="32" t="str">
        <f>IF($E2228="","",INDEX(成本费用登记表!$N$4:$N$303,40))</f>
        <v/>
      </c>
      <c r="M2228" s="32"/>
      <c r="N2228" s="26" t="str">
        <f t="shared" si="102"/>
        <v/>
      </c>
      <c r="O2228" s="26" t="str">
        <f t="shared" si="103"/>
        <v/>
      </c>
      <c r="P2228" s="10"/>
    </row>
    <row r="2229" ht="18" customHeight="1" spans="1:16">
      <c r="A2229" s="32" t="str">
        <f t="shared" si="104"/>
        <v/>
      </c>
      <c r="B2229" s="100" t="str">
        <f>IF($E2229="","",INDEX(成本费用登记表!$B$4:$B$303,40))</f>
        <v/>
      </c>
      <c r="C2229" s="26" t="str">
        <f t="shared" si="101"/>
        <v/>
      </c>
      <c r="D2229" s="32" t="str">
        <f>IF($E2229="","",INDEX(成本费用登记表!$E$4:$E$303,40))</f>
        <v/>
      </c>
      <c r="E2229" s="26" t="str">
        <f>IF(INDEX(成本费用登记表!$Q$4:$Y$303,40,7)=0,"",INDEX(成本费用登记表!$Q$4:$Y$303,40,7))</f>
        <v/>
      </c>
      <c r="F2229" s="25" t="str">
        <f>IF($E2229="","",IFERROR(INDEX(科目表!$A$4:$A$81,MATCH($E2229,科目表!$B$4:$B$81,0)),""))</f>
        <v/>
      </c>
      <c r="G2229" s="26" t="str">
        <f>IF($E2229="","",IFERROR(INDEX(科目表!$E$4:$E$81,MATCH($E2229,科目表!$B$4:$B$81,0)),""))</f>
        <v/>
      </c>
      <c r="H2229" s="27" t="str">
        <f>IF($E2229="","",N(INDEX(成本费用登记表!$Q$4:$Y$303,40,8)))</f>
        <v/>
      </c>
      <c r="I2229" s="27" t="str">
        <f>IF($E2229="","",N(INDEX(成本费用登记表!$Q$4:$Y$303,40,9)))</f>
        <v/>
      </c>
      <c r="J2229" s="26" t="str">
        <f>IF($E2229="","",INDEX(成本费用登记表!$C$4:$C$303,40))</f>
        <v/>
      </c>
      <c r="K2229" s="26" t="str">
        <f>IF($E2229="","",INDEX(成本费用登记表!$D$4:$D$303,40))</f>
        <v/>
      </c>
      <c r="L2229" s="32" t="str">
        <f>IF($E2229="","",INDEX(成本费用登记表!$N$4:$N$303,40))</f>
        <v/>
      </c>
      <c r="M2229" s="32"/>
      <c r="N2229" s="26" t="str">
        <f t="shared" si="102"/>
        <v/>
      </c>
      <c r="O2229" s="26" t="str">
        <f t="shared" si="103"/>
        <v/>
      </c>
      <c r="P2229" s="10"/>
    </row>
    <row r="2230" ht="18" customHeight="1" spans="1:16">
      <c r="A2230" s="32" t="str">
        <f t="shared" si="104"/>
        <v/>
      </c>
      <c r="B2230" s="100" t="str">
        <f>IF($E2230="","",INDEX(成本费用登记表!$B$4:$B$303,41))</f>
        <v/>
      </c>
      <c r="C2230" s="26" t="str">
        <f t="shared" si="101"/>
        <v/>
      </c>
      <c r="D2230" s="32" t="str">
        <f>IF($E2230="","",INDEX(成本费用登记表!$E$4:$E$303,41))</f>
        <v/>
      </c>
      <c r="E2230" s="26" t="str">
        <f>IF(INDEX(成本费用登记表!$Q$4:$Y$303,41,1)=0,"",INDEX(成本费用登记表!$Q$4:$Y$303,41,1))</f>
        <v/>
      </c>
      <c r="F2230" s="25" t="str">
        <f>IF($E2230="","",IFERROR(INDEX(科目表!$A$4:$A$81,MATCH($E2230,科目表!$B$4:$B$81,0)),""))</f>
        <v/>
      </c>
      <c r="G2230" s="26" t="str">
        <f>IF($E2230="","",IFERROR(INDEX(科目表!$E$4:$E$81,MATCH($E2230,科目表!$B$4:$B$81,0)),""))</f>
        <v/>
      </c>
      <c r="H2230" s="27" t="str">
        <f>IF($E2230="","",N(INDEX(成本费用登记表!$Q$4:$Y$303,41,2)))</f>
        <v/>
      </c>
      <c r="I2230" s="27" t="str">
        <f>IF($E2230="","",N(INDEX(成本费用登记表!$Q$4:$Y$303,41,3)))</f>
        <v/>
      </c>
      <c r="J2230" s="26" t="str">
        <f>IF($E2230="","",INDEX(成本费用登记表!$C$4:$C$303,41))</f>
        <v/>
      </c>
      <c r="K2230" s="26" t="str">
        <f>IF($E2230="","",INDEX(成本费用登记表!$D$4:$D$303,41))</f>
        <v/>
      </c>
      <c r="L2230" s="32" t="str">
        <f>IF($E2230="","",INDEX(成本费用登记表!$N$4:$N$303,41))</f>
        <v/>
      </c>
      <c r="M2230" s="32"/>
      <c r="N2230" s="26" t="str">
        <f t="shared" si="102"/>
        <v/>
      </c>
      <c r="O2230" s="26" t="str">
        <f t="shared" si="103"/>
        <v/>
      </c>
      <c r="P2230" s="10"/>
    </row>
    <row r="2231" ht="18" customHeight="1" spans="1:16">
      <c r="A2231" s="32" t="str">
        <f t="shared" si="104"/>
        <v/>
      </c>
      <c r="B2231" s="100" t="str">
        <f>IF($E2231="","",INDEX(成本费用登记表!$B$4:$B$303,41))</f>
        <v/>
      </c>
      <c r="C2231" s="26" t="str">
        <f t="shared" si="101"/>
        <v/>
      </c>
      <c r="D2231" s="32" t="str">
        <f>IF($E2231="","",INDEX(成本费用登记表!$E$4:$E$303,41))</f>
        <v/>
      </c>
      <c r="E2231" s="26" t="str">
        <f>IF(INDEX(成本费用登记表!$Q$4:$Y$303,41,4)=0,"",INDEX(成本费用登记表!$Q$4:$Y$303,41,4))</f>
        <v/>
      </c>
      <c r="F2231" s="25" t="str">
        <f>IF($E2231="","",IFERROR(INDEX(科目表!$A$4:$A$81,MATCH($E2231,科目表!$B$4:$B$81,0)),""))</f>
        <v/>
      </c>
      <c r="G2231" s="26" t="str">
        <f>IF($E2231="","",IFERROR(INDEX(科目表!$E$4:$E$81,MATCH($E2231,科目表!$B$4:$B$81,0)),""))</f>
        <v/>
      </c>
      <c r="H2231" s="27" t="str">
        <f>IF($E2231="","",N(INDEX(成本费用登记表!$Q$4:$Y$303,41,5)))</f>
        <v/>
      </c>
      <c r="I2231" s="27" t="str">
        <f>IF($E2231="","",N(INDEX(成本费用登记表!$Q$4:$Y$303,41,6)))</f>
        <v/>
      </c>
      <c r="J2231" s="26" t="str">
        <f>IF($E2231="","",INDEX(成本费用登记表!$C$4:$C$303,41))</f>
        <v/>
      </c>
      <c r="K2231" s="26" t="str">
        <f>IF($E2231="","",INDEX(成本费用登记表!$D$4:$D$303,41))</f>
        <v/>
      </c>
      <c r="L2231" s="32" t="str">
        <f>IF($E2231="","",INDEX(成本费用登记表!$N$4:$N$303,41))</f>
        <v/>
      </c>
      <c r="M2231" s="32"/>
      <c r="N2231" s="26" t="str">
        <f t="shared" si="102"/>
        <v/>
      </c>
      <c r="O2231" s="26" t="str">
        <f t="shared" si="103"/>
        <v/>
      </c>
      <c r="P2231" s="10"/>
    </row>
    <row r="2232" ht="18" customHeight="1" spans="1:16">
      <c r="A2232" s="32" t="str">
        <f t="shared" si="104"/>
        <v/>
      </c>
      <c r="B2232" s="100" t="str">
        <f>IF($E2232="","",INDEX(成本费用登记表!$B$4:$B$303,41))</f>
        <v/>
      </c>
      <c r="C2232" s="26" t="str">
        <f t="shared" si="101"/>
        <v/>
      </c>
      <c r="D2232" s="32" t="str">
        <f>IF($E2232="","",INDEX(成本费用登记表!$E$4:$E$303,41))</f>
        <v/>
      </c>
      <c r="E2232" s="26" t="str">
        <f>IF(INDEX(成本费用登记表!$Q$4:$Y$303,41,7)=0,"",INDEX(成本费用登记表!$Q$4:$Y$303,41,7))</f>
        <v/>
      </c>
      <c r="F2232" s="25" t="str">
        <f>IF($E2232="","",IFERROR(INDEX(科目表!$A$4:$A$81,MATCH($E2232,科目表!$B$4:$B$81,0)),""))</f>
        <v/>
      </c>
      <c r="G2232" s="26" t="str">
        <f>IF($E2232="","",IFERROR(INDEX(科目表!$E$4:$E$81,MATCH($E2232,科目表!$B$4:$B$81,0)),""))</f>
        <v/>
      </c>
      <c r="H2232" s="27" t="str">
        <f>IF($E2232="","",N(INDEX(成本费用登记表!$Q$4:$Y$303,41,8)))</f>
        <v/>
      </c>
      <c r="I2232" s="27" t="str">
        <f>IF($E2232="","",N(INDEX(成本费用登记表!$Q$4:$Y$303,41,9)))</f>
        <v/>
      </c>
      <c r="J2232" s="26" t="str">
        <f>IF($E2232="","",INDEX(成本费用登记表!$C$4:$C$303,41))</f>
        <v/>
      </c>
      <c r="K2232" s="26" t="str">
        <f>IF($E2232="","",INDEX(成本费用登记表!$D$4:$D$303,41))</f>
        <v/>
      </c>
      <c r="L2232" s="32" t="str">
        <f>IF($E2232="","",INDEX(成本费用登记表!$N$4:$N$303,41))</f>
        <v/>
      </c>
      <c r="M2232" s="32"/>
      <c r="N2232" s="26" t="str">
        <f t="shared" si="102"/>
        <v/>
      </c>
      <c r="O2232" s="26" t="str">
        <f t="shared" si="103"/>
        <v/>
      </c>
      <c r="P2232" s="10"/>
    </row>
    <row r="2233" ht="18" customHeight="1" spans="1:16">
      <c r="A2233" s="32" t="str">
        <f t="shared" si="104"/>
        <v/>
      </c>
      <c r="B2233" s="100" t="str">
        <f>IF($E2233="","",INDEX(成本费用登记表!$B$4:$B$303,42))</f>
        <v/>
      </c>
      <c r="C2233" s="26" t="str">
        <f t="shared" si="101"/>
        <v/>
      </c>
      <c r="D2233" s="32" t="str">
        <f>IF($E2233="","",INDEX(成本费用登记表!$E$4:$E$303,42))</f>
        <v/>
      </c>
      <c r="E2233" s="26" t="str">
        <f>IF(INDEX(成本费用登记表!$Q$4:$Y$303,42,1)=0,"",INDEX(成本费用登记表!$Q$4:$Y$303,42,1))</f>
        <v/>
      </c>
      <c r="F2233" s="25" t="str">
        <f>IF($E2233="","",IFERROR(INDEX(科目表!$A$4:$A$81,MATCH($E2233,科目表!$B$4:$B$81,0)),""))</f>
        <v/>
      </c>
      <c r="G2233" s="26" t="str">
        <f>IF($E2233="","",IFERROR(INDEX(科目表!$E$4:$E$81,MATCH($E2233,科目表!$B$4:$B$81,0)),""))</f>
        <v/>
      </c>
      <c r="H2233" s="27" t="str">
        <f>IF($E2233="","",N(INDEX(成本费用登记表!$Q$4:$Y$303,42,2)))</f>
        <v/>
      </c>
      <c r="I2233" s="27" t="str">
        <f>IF($E2233="","",N(INDEX(成本费用登记表!$Q$4:$Y$303,42,3)))</f>
        <v/>
      </c>
      <c r="J2233" s="26" t="str">
        <f>IF($E2233="","",INDEX(成本费用登记表!$C$4:$C$303,42))</f>
        <v/>
      </c>
      <c r="K2233" s="26" t="str">
        <f>IF($E2233="","",INDEX(成本费用登记表!$D$4:$D$303,42))</f>
        <v/>
      </c>
      <c r="L2233" s="32" t="str">
        <f>IF($E2233="","",INDEX(成本费用登记表!$N$4:$N$303,42))</f>
        <v/>
      </c>
      <c r="M2233" s="32"/>
      <c r="N2233" s="26" t="str">
        <f t="shared" si="102"/>
        <v/>
      </c>
      <c r="O2233" s="26" t="str">
        <f t="shared" si="103"/>
        <v/>
      </c>
      <c r="P2233" s="10"/>
    </row>
    <row r="2234" ht="18" customHeight="1" spans="1:16">
      <c r="A2234" s="32" t="str">
        <f t="shared" si="104"/>
        <v/>
      </c>
      <c r="B2234" s="100" t="str">
        <f>IF($E2234="","",INDEX(成本费用登记表!$B$4:$B$303,42))</f>
        <v/>
      </c>
      <c r="C2234" s="26" t="str">
        <f t="shared" si="101"/>
        <v/>
      </c>
      <c r="D2234" s="32" t="str">
        <f>IF($E2234="","",INDEX(成本费用登记表!$E$4:$E$303,42))</f>
        <v/>
      </c>
      <c r="E2234" s="26" t="str">
        <f>IF(INDEX(成本费用登记表!$Q$4:$Y$303,42,4)=0,"",INDEX(成本费用登记表!$Q$4:$Y$303,42,4))</f>
        <v/>
      </c>
      <c r="F2234" s="25" t="str">
        <f>IF($E2234="","",IFERROR(INDEX(科目表!$A$4:$A$81,MATCH($E2234,科目表!$B$4:$B$81,0)),""))</f>
        <v/>
      </c>
      <c r="G2234" s="26" t="str">
        <f>IF($E2234="","",IFERROR(INDEX(科目表!$E$4:$E$81,MATCH($E2234,科目表!$B$4:$B$81,0)),""))</f>
        <v/>
      </c>
      <c r="H2234" s="27" t="str">
        <f>IF($E2234="","",N(INDEX(成本费用登记表!$Q$4:$Y$303,42,5)))</f>
        <v/>
      </c>
      <c r="I2234" s="27" t="str">
        <f>IF($E2234="","",N(INDEX(成本费用登记表!$Q$4:$Y$303,42,6)))</f>
        <v/>
      </c>
      <c r="J2234" s="26" t="str">
        <f>IF($E2234="","",INDEX(成本费用登记表!$C$4:$C$303,42))</f>
        <v/>
      </c>
      <c r="K2234" s="26" t="str">
        <f>IF($E2234="","",INDEX(成本费用登记表!$D$4:$D$303,42))</f>
        <v/>
      </c>
      <c r="L2234" s="32" t="str">
        <f>IF($E2234="","",INDEX(成本费用登记表!$N$4:$N$303,42))</f>
        <v/>
      </c>
      <c r="M2234" s="32"/>
      <c r="N2234" s="26" t="str">
        <f t="shared" si="102"/>
        <v/>
      </c>
      <c r="O2234" s="26" t="str">
        <f t="shared" si="103"/>
        <v/>
      </c>
      <c r="P2234" s="10"/>
    </row>
    <row r="2235" ht="18" customHeight="1" spans="1:16">
      <c r="A2235" s="32" t="str">
        <f t="shared" si="104"/>
        <v/>
      </c>
      <c r="B2235" s="100" t="str">
        <f>IF($E2235="","",INDEX(成本费用登记表!$B$4:$B$303,42))</f>
        <v/>
      </c>
      <c r="C2235" s="26" t="str">
        <f t="shared" si="101"/>
        <v/>
      </c>
      <c r="D2235" s="32" t="str">
        <f>IF($E2235="","",INDEX(成本费用登记表!$E$4:$E$303,42))</f>
        <v/>
      </c>
      <c r="E2235" s="26" t="str">
        <f>IF(INDEX(成本费用登记表!$Q$4:$Y$303,42,7)=0,"",INDEX(成本费用登记表!$Q$4:$Y$303,42,7))</f>
        <v/>
      </c>
      <c r="F2235" s="25" t="str">
        <f>IF($E2235="","",IFERROR(INDEX(科目表!$A$4:$A$81,MATCH($E2235,科目表!$B$4:$B$81,0)),""))</f>
        <v/>
      </c>
      <c r="G2235" s="26" t="str">
        <f>IF($E2235="","",IFERROR(INDEX(科目表!$E$4:$E$81,MATCH($E2235,科目表!$B$4:$B$81,0)),""))</f>
        <v/>
      </c>
      <c r="H2235" s="27" t="str">
        <f>IF($E2235="","",N(INDEX(成本费用登记表!$Q$4:$Y$303,42,8)))</f>
        <v/>
      </c>
      <c r="I2235" s="27" t="str">
        <f>IF($E2235="","",N(INDEX(成本费用登记表!$Q$4:$Y$303,42,9)))</f>
        <v/>
      </c>
      <c r="J2235" s="26" t="str">
        <f>IF($E2235="","",INDEX(成本费用登记表!$C$4:$C$303,42))</f>
        <v/>
      </c>
      <c r="K2235" s="26" t="str">
        <f>IF($E2235="","",INDEX(成本费用登记表!$D$4:$D$303,42))</f>
        <v/>
      </c>
      <c r="L2235" s="32" t="str">
        <f>IF($E2235="","",INDEX(成本费用登记表!$N$4:$N$303,42))</f>
        <v/>
      </c>
      <c r="M2235" s="32"/>
      <c r="N2235" s="26" t="str">
        <f t="shared" si="102"/>
        <v/>
      </c>
      <c r="O2235" s="26" t="str">
        <f t="shared" si="103"/>
        <v/>
      </c>
      <c r="P2235" s="10"/>
    </row>
    <row r="2236" ht="18" customHeight="1" spans="1:16">
      <c r="A2236" s="32" t="str">
        <f t="shared" si="104"/>
        <v/>
      </c>
      <c r="B2236" s="100" t="str">
        <f>IF($E2236="","",INDEX(成本费用登记表!$B$4:$B$303,43))</f>
        <v/>
      </c>
      <c r="C2236" s="26" t="str">
        <f t="shared" si="101"/>
        <v/>
      </c>
      <c r="D2236" s="32" t="str">
        <f>IF($E2236="","",INDEX(成本费用登记表!$E$4:$E$303,43))</f>
        <v/>
      </c>
      <c r="E2236" s="26" t="str">
        <f>IF(INDEX(成本费用登记表!$Q$4:$Y$303,43,1)=0,"",INDEX(成本费用登记表!$Q$4:$Y$303,43,1))</f>
        <v/>
      </c>
      <c r="F2236" s="25" t="str">
        <f>IF($E2236="","",IFERROR(INDEX(科目表!$A$4:$A$81,MATCH($E2236,科目表!$B$4:$B$81,0)),""))</f>
        <v/>
      </c>
      <c r="G2236" s="26" t="str">
        <f>IF($E2236="","",IFERROR(INDEX(科目表!$E$4:$E$81,MATCH($E2236,科目表!$B$4:$B$81,0)),""))</f>
        <v/>
      </c>
      <c r="H2236" s="27" t="str">
        <f>IF($E2236="","",N(INDEX(成本费用登记表!$Q$4:$Y$303,43,2)))</f>
        <v/>
      </c>
      <c r="I2236" s="27" t="str">
        <f>IF($E2236="","",N(INDEX(成本费用登记表!$Q$4:$Y$303,43,3)))</f>
        <v/>
      </c>
      <c r="J2236" s="26" t="str">
        <f>IF($E2236="","",INDEX(成本费用登记表!$C$4:$C$303,43))</f>
        <v/>
      </c>
      <c r="K2236" s="26" t="str">
        <f>IF($E2236="","",INDEX(成本费用登记表!$D$4:$D$303,43))</f>
        <v/>
      </c>
      <c r="L2236" s="32" t="str">
        <f>IF($E2236="","",INDEX(成本费用登记表!$N$4:$N$303,43))</f>
        <v/>
      </c>
      <c r="M2236" s="32"/>
      <c r="N2236" s="26" t="str">
        <f t="shared" si="102"/>
        <v/>
      </c>
      <c r="O2236" s="26" t="str">
        <f t="shared" si="103"/>
        <v/>
      </c>
      <c r="P2236" s="10"/>
    </row>
    <row r="2237" ht="18" customHeight="1" spans="1:16">
      <c r="A2237" s="32" t="str">
        <f t="shared" si="104"/>
        <v/>
      </c>
      <c r="B2237" s="100" t="str">
        <f>IF($E2237="","",INDEX(成本费用登记表!$B$4:$B$303,43))</f>
        <v/>
      </c>
      <c r="C2237" s="26" t="str">
        <f t="shared" si="101"/>
        <v/>
      </c>
      <c r="D2237" s="32" t="str">
        <f>IF($E2237="","",INDEX(成本费用登记表!$E$4:$E$303,43))</f>
        <v/>
      </c>
      <c r="E2237" s="26" t="str">
        <f>IF(INDEX(成本费用登记表!$Q$4:$Y$303,43,4)=0,"",INDEX(成本费用登记表!$Q$4:$Y$303,43,4))</f>
        <v/>
      </c>
      <c r="F2237" s="25" t="str">
        <f>IF($E2237="","",IFERROR(INDEX(科目表!$A$4:$A$81,MATCH($E2237,科目表!$B$4:$B$81,0)),""))</f>
        <v/>
      </c>
      <c r="G2237" s="26" t="str">
        <f>IF($E2237="","",IFERROR(INDEX(科目表!$E$4:$E$81,MATCH($E2237,科目表!$B$4:$B$81,0)),""))</f>
        <v/>
      </c>
      <c r="H2237" s="27" t="str">
        <f>IF($E2237="","",N(INDEX(成本费用登记表!$Q$4:$Y$303,43,5)))</f>
        <v/>
      </c>
      <c r="I2237" s="27" t="str">
        <f>IF($E2237="","",N(INDEX(成本费用登记表!$Q$4:$Y$303,43,6)))</f>
        <v/>
      </c>
      <c r="J2237" s="26" t="str">
        <f>IF($E2237="","",INDEX(成本费用登记表!$C$4:$C$303,43))</f>
        <v/>
      </c>
      <c r="K2237" s="26" t="str">
        <f>IF($E2237="","",INDEX(成本费用登记表!$D$4:$D$303,43))</f>
        <v/>
      </c>
      <c r="L2237" s="32" t="str">
        <f>IF($E2237="","",INDEX(成本费用登记表!$N$4:$N$303,43))</f>
        <v/>
      </c>
      <c r="M2237" s="32"/>
      <c r="N2237" s="26" t="str">
        <f t="shared" si="102"/>
        <v/>
      </c>
      <c r="O2237" s="26" t="str">
        <f t="shared" si="103"/>
        <v/>
      </c>
      <c r="P2237" s="10"/>
    </row>
    <row r="2238" ht="18" customHeight="1" spans="1:16">
      <c r="A2238" s="32" t="str">
        <f t="shared" si="104"/>
        <v/>
      </c>
      <c r="B2238" s="100" t="str">
        <f>IF($E2238="","",INDEX(成本费用登记表!$B$4:$B$303,43))</f>
        <v/>
      </c>
      <c r="C2238" s="26" t="str">
        <f t="shared" ref="C2238:C2301" si="105">IF($E2238="","","记-"&amp;TEXT($B2238,"YYYYMM")&amp;"-费用")</f>
        <v/>
      </c>
      <c r="D2238" s="32" t="str">
        <f>IF($E2238="","",INDEX(成本费用登记表!$E$4:$E$303,43))</f>
        <v/>
      </c>
      <c r="E2238" s="26" t="str">
        <f>IF(INDEX(成本费用登记表!$Q$4:$Y$303,43,7)=0,"",INDEX(成本费用登记表!$Q$4:$Y$303,43,7))</f>
        <v/>
      </c>
      <c r="F2238" s="25" t="str">
        <f>IF($E2238="","",IFERROR(INDEX(科目表!$A$4:$A$81,MATCH($E2238,科目表!$B$4:$B$81,0)),""))</f>
        <v/>
      </c>
      <c r="G2238" s="26" t="str">
        <f>IF($E2238="","",IFERROR(INDEX(科目表!$E$4:$E$81,MATCH($E2238,科目表!$B$4:$B$81,0)),""))</f>
        <v/>
      </c>
      <c r="H2238" s="27" t="str">
        <f>IF($E2238="","",N(INDEX(成本费用登记表!$Q$4:$Y$303,43,8)))</f>
        <v/>
      </c>
      <c r="I2238" s="27" t="str">
        <f>IF($E2238="","",N(INDEX(成本费用登记表!$Q$4:$Y$303,43,9)))</f>
        <v/>
      </c>
      <c r="J2238" s="26" t="str">
        <f>IF($E2238="","",INDEX(成本费用登记表!$C$4:$C$303,43))</f>
        <v/>
      </c>
      <c r="K2238" s="26" t="str">
        <f>IF($E2238="","",INDEX(成本费用登记表!$D$4:$D$303,43))</f>
        <v/>
      </c>
      <c r="L2238" s="32" t="str">
        <f>IF($E2238="","",INDEX(成本费用登记表!$N$4:$N$303,43))</f>
        <v/>
      </c>
      <c r="M2238" s="32"/>
      <c r="N2238" s="26" t="str">
        <f t="shared" ref="N2238:N2301" si="106">IF($E2238="","","系统")</f>
        <v/>
      </c>
      <c r="O2238" s="26" t="str">
        <f t="shared" ref="O2238:O2301" si="107">IF($E2238="","","自动C")</f>
        <v/>
      </c>
      <c r="P2238" s="10"/>
    </row>
    <row r="2239" ht="18" customHeight="1" spans="1:16">
      <c r="A2239" s="32" t="str">
        <f t="shared" si="104"/>
        <v/>
      </c>
      <c r="B2239" s="100" t="str">
        <f>IF($E2239="","",INDEX(成本费用登记表!$B$4:$B$303,44))</f>
        <v/>
      </c>
      <c r="C2239" s="26" t="str">
        <f t="shared" si="105"/>
        <v/>
      </c>
      <c r="D2239" s="32" t="str">
        <f>IF($E2239="","",INDEX(成本费用登记表!$E$4:$E$303,44))</f>
        <v/>
      </c>
      <c r="E2239" s="26" t="str">
        <f>IF(INDEX(成本费用登记表!$Q$4:$Y$303,44,1)=0,"",INDEX(成本费用登记表!$Q$4:$Y$303,44,1))</f>
        <v/>
      </c>
      <c r="F2239" s="25" t="str">
        <f>IF($E2239="","",IFERROR(INDEX(科目表!$A$4:$A$81,MATCH($E2239,科目表!$B$4:$B$81,0)),""))</f>
        <v/>
      </c>
      <c r="G2239" s="26" t="str">
        <f>IF($E2239="","",IFERROR(INDEX(科目表!$E$4:$E$81,MATCH($E2239,科目表!$B$4:$B$81,0)),""))</f>
        <v/>
      </c>
      <c r="H2239" s="27" t="str">
        <f>IF($E2239="","",N(INDEX(成本费用登记表!$Q$4:$Y$303,44,2)))</f>
        <v/>
      </c>
      <c r="I2239" s="27" t="str">
        <f>IF($E2239="","",N(INDEX(成本费用登记表!$Q$4:$Y$303,44,3)))</f>
        <v/>
      </c>
      <c r="J2239" s="26" t="str">
        <f>IF($E2239="","",INDEX(成本费用登记表!$C$4:$C$303,44))</f>
        <v/>
      </c>
      <c r="K2239" s="26" t="str">
        <f>IF($E2239="","",INDEX(成本费用登记表!$D$4:$D$303,44))</f>
        <v/>
      </c>
      <c r="L2239" s="32" t="str">
        <f>IF($E2239="","",INDEX(成本费用登记表!$N$4:$N$303,44))</f>
        <v/>
      </c>
      <c r="M2239" s="32"/>
      <c r="N2239" s="26" t="str">
        <f t="shared" si="106"/>
        <v/>
      </c>
      <c r="O2239" s="26" t="str">
        <f t="shared" si="107"/>
        <v/>
      </c>
      <c r="P2239" s="10"/>
    </row>
    <row r="2240" ht="18" customHeight="1" spans="1:16">
      <c r="A2240" s="32" t="str">
        <f t="shared" si="104"/>
        <v/>
      </c>
      <c r="B2240" s="100" t="str">
        <f>IF($E2240="","",INDEX(成本费用登记表!$B$4:$B$303,44))</f>
        <v/>
      </c>
      <c r="C2240" s="26" t="str">
        <f t="shared" si="105"/>
        <v/>
      </c>
      <c r="D2240" s="32" t="str">
        <f>IF($E2240="","",INDEX(成本费用登记表!$E$4:$E$303,44))</f>
        <v/>
      </c>
      <c r="E2240" s="26" t="str">
        <f>IF(INDEX(成本费用登记表!$Q$4:$Y$303,44,4)=0,"",INDEX(成本费用登记表!$Q$4:$Y$303,44,4))</f>
        <v/>
      </c>
      <c r="F2240" s="25" t="str">
        <f>IF($E2240="","",IFERROR(INDEX(科目表!$A$4:$A$81,MATCH($E2240,科目表!$B$4:$B$81,0)),""))</f>
        <v/>
      </c>
      <c r="G2240" s="26" t="str">
        <f>IF($E2240="","",IFERROR(INDEX(科目表!$E$4:$E$81,MATCH($E2240,科目表!$B$4:$B$81,0)),""))</f>
        <v/>
      </c>
      <c r="H2240" s="27" t="str">
        <f>IF($E2240="","",N(INDEX(成本费用登记表!$Q$4:$Y$303,44,5)))</f>
        <v/>
      </c>
      <c r="I2240" s="27" t="str">
        <f>IF($E2240="","",N(INDEX(成本费用登记表!$Q$4:$Y$303,44,6)))</f>
        <v/>
      </c>
      <c r="J2240" s="26" t="str">
        <f>IF($E2240="","",INDEX(成本费用登记表!$C$4:$C$303,44))</f>
        <v/>
      </c>
      <c r="K2240" s="26" t="str">
        <f>IF($E2240="","",INDEX(成本费用登记表!$D$4:$D$303,44))</f>
        <v/>
      </c>
      <c r="L2240" s="32" t="str">
        <f>IF($E2240="","",INDEX(成本费用登记表!$N$4:$N$303,44))</f>
        <v/>
      </c>
      <c r="M2240" s="32"/>
      <c r="N2240" s="26" t="str">
        <f t="shared" si="106"/>
        <v/>
      </c>
      <c r="O2240" s="26" t="str">
        <f t="shared" si="107"/>
        <v/>
      </c>
      <c r="P2240" s="10"/>
    </row>
    <row r="2241" ht="18" customHeight="1" spans="1:16">
      <c r="A2241" s="32" t="str">
        <f t="shared" si="104"/>
        <v/>
      </c>
      <c r="B2241" s="100" t="str">
        <f>IF($E2241="","",INDEX(成本费用登记表!$B$4:$B$303,44))</f>
        <v/>
      </c>
      <c r="C2241" s="26" t="str">
        <f t="shared" si="105"/>
        <v/>
      </c>
      <c r="D2241" s="32" t="str">
        <f>IF($E2241="","",INDEX(成本费用登记表!$E$4:$E$303,44))</f>
        <v/>
      </c>
      <c r="E2241" s="26" t="str">
        <f>IF(INDEX(成本费用登记表!$Q$4:$Y$303,44,7)=0,"",INDEX(成本费用登记表!$Q$4:$Y$303,44,7))</f>
        <v/>
      </c>
      <c r="F2241" s="25" t="str">
        <f>IF($E2241="","",IFERROR(INDEX(科目表!$A$4:$A$81,MATCH($E2241,科目表!$B$4:$B$81,0)),""))</f>
        <v/>
      </c>
      <c r="G2241" s="26" t="str">
        <f>IF($E2241="","",IFERROR(INDEX(科目表!$E$4:$E$81,MATCH($E2241,科目表!$B$4:$B$81,0)),""))</f>
        <v/>
      </c>
      <c r="H2241" s="27" t="str">
        <f>IF($E2241="","",N(INDEX(成本费用登记表!$Q$4:$Y$303,44,8)))</f>
        <v/>
      </c>
      <c r="I2241" s="27" t="str">
        <f>IF($E2241="","",N(INDEX(成本费用登记表!$Q$4:$Y$303,44,9)))</f>
        <v/>
      </c>
      <c r="J2241" s="26" t="str">
        <f>IF($E2241="","",INDEX(成本费用登记表!$C$4:$C$303,44))</f>
        <v/>
      </c>
      <c r="K2241" s="26" t="str">
        <f>IF($E2241="","",INDEX(成本费用登记表!$D$4:$D$303,44))</f>
        <v/>
      </c>
      <c r="L2241" s="32" t="str">
        <f>IF($E2241="","",INDEX(成本费用登记表!$N$4:$N$303,44))</f>
        <v/>
      </c>
      <c r="M2241" s="32"/>
      <c r="N2241" s="26" t="str">
        <f t="shared" si="106"/>
        <v/>
      </c>
      <c r="O2241" s="26" t="str">
        <f t="shared" si="107"/>
        <v/>
      </c>
      <c r="P2241" s="10"/>
    </row>
    <row r="2242" ht="18" customHeight="1" spans="1:16">
      <c r="A2242" s="32" t="str">
        <f t="shared" si="104"/>
        <v/>
      </c>
      <c r="B2242" s="100" t="str">
        <f>IF($E2242="","",INDEX(成本费用登记表!$B$4:$B$303,45))</f>
        <v/>
      </c>
      <c r="C2242" s="26" t="str">
        <f t="shared" si="105"/>
        <v/>
      </c>
      <c r="D2242" s="32" t="str">
        <f>IF($E2242="","",INDEX(成本费用登记表!$E$4:$E$303,45))</f>
        <v/>
      </c>
      <c r="E2242" s="26" t="str">
        <f>IF(INDEX(成本费用登记表!$Q$4:$Y$303,45,1)=0,"",INDEX(成本费用登记表!$Q$4:$Y$303,45,1))</f>
        <v/>
      </c>
      <c r="F2242" s="25" t="str">
        <f>IF($E2242="","",IFERROR(INDEX(科目表!$A$4:$A$81,MATCH($E2242,科目表!$B$4:$B$81,0)),""))</f>
        <v/>
      </c>
      <c r="G2242" s="26" t="str">
        <f>IF($E2242="","",IFERROR(INDEX(科目表!$E$4:$E$81,MATCH($E2242,科目表!$B$4:$B$81,0)),""))</f>
        <v/>
      </c>
      <c r="H2242" s="27" t="str">
        <f>IF($E2242="","",N(INDEX(成本费用登记表!$Q$4:$Y$303,45,2)))</f>
        <v/>
      </c>
      <c r="I2242" s="27" t="str">
        <f>IF($E2242="","",N(INDEX(成本费用登记表!$Q$4:$Y$303,45,3)))</f>
        <v/>
      </c>
      <c r="J2242" s="26" t="str">
        <f>IF($E2242="","",INDEX(成本费用登记表!$C$4:$C$303,45))</f>
        <v/>
      </c>
      <c r="K2242" s="26" t="str">
        <f>IF($E2242="","",INDEX(成本费用登记表!$D$4:$D$303,45))</f>
        <v/>
      </c>
      <c r="L2242" s="32" t="str">
        <f>IF($E2242="","",INDEX(成本费用登记表!$N$4:$N$303,45))</f>
        <v/>
      </c>
      <c r="M2242" s="32"/>
      <c r="N2242" s="26" t="str">
        <f t="shared" si="106"/>
        <v/>
      </c>
      <c r="O2242" s="26" t="str">
        <f t="shared" si="107"/>
        <v/>
      </c>
      <c r="P2242" s="10"/>
    </row>
    <row r="2243" ht="18" customHeight="1" spans="1:16">
      <c r="A2243" s="32" t="str">
        <f t="shared" si="104"/>
        <v/>
      </c>
      <c r="B2243" s="100" t="str">
        <f>IF($E2243="","",INDEX(成本费用登记表!$B$4:$B$303,45))</f>
        <v/>
      </c>
      <c r="C2243" s="26" t="str">
        <f t="shared" si="105"/>
        <v/>
      </c>
      <c r="D2243" s="32" t="str">
        <f>IF($E2243="","",INDEX(成本费用登记表!$E$4:$E$303,45))</f>
        <v/>
      </c>
      <c r="E2243" s="26" t="str">
        <f>IF(INDEX(成本费用登记表!$Q$4:$Y$303,45,4)=0,"",INDEX(成本费用登记表!$Q$4:$Y$303,45,4))</f>
        <v/>
      </c>
      <c r="F2243" s="25" t="str">
        <f>IF($E2243="","",IFERROR(INDEX(科目表!$A$4:$A$81,MATCH($E2243,科目表!$B$4:$B$81,0)),""))</f>
        <v/>
      </c>
      <c r="G2243" s="26" t="str">
        <f>IF($E2243="","",IFERROR(INDEX(科目表!$E$4:$E$81,MATCH($E2243,科目表!$B$4:$B$81,0)),""))</f>
        <v/>
      </c>
      <c r="H2243" s="27" t="str">
        <f>IF($E2243="","",N(INDEX(成本费用登记表!$Q$4:$Y$303,45,5)))</f>
        <v/>
      </c>
      <c r="I2243" s="27" t="str">
        <f>IF($E2243="","",N(INDEX(成本费用登记表!$Q$4:$Y$303,45,6)))</f>
        <v/>
      </c>
      <c r="J2243" s="26" t="str">
        <f>IF($E2243="","",INDEX(成本费用登记表!$C$4:$C$303,45))</f>
        <v/>
      </c>
      <c r="K2243" s="26" t="str">
        <f>IF($E2243="","",INDEX(成本费用登记表!$D$4:$D$303,45))</f>
        <v/>
      </c>
      <c r="L2243" s="32" t="str">
        <f>IF($E2243="","",INDEX(成本费用登记表!$N$4:$N$303,45))</f>
        <v/>
      </c>
      <c r="M2243" s="32"/>
      <c r="N2243" s="26" t="str">
        <f t="shared" si="106"/>
        <v/>
      </c>
      <c r="O2243" s="26" t="str">
        <f t="shared" si="107"/>
        <v/>
      </c>
      <c r="P2243" s="10"/>
    </row>
    <row r="2244" ht="18" customHeight="1" spans="1:16">
      <c r="A2244" s="32" t="str">
        <f t="shared" ref="A2244:A2307" si="108">IF($E2244="","",ROW()-3)</f>
        <v/>
      </c>
      <c r="B2244" s="100" t="str">
        <f>IF($E2244="","",INDEX(成本费用登记表!$B$4:$B$303,45))</f>
        <v/>
      </c>
      <c r="C2244" s="26" t="str">
        <f t="shared" si="105"/>
        <v/>
      </c>
      <c r="D2244" s="32" t="str">
        <f>IF($E2244="","",INDEX(成本费用登记表!$E$4:$E$303,45))</f>
        <v/>
      </c>
      <c r="E2244" s="26" t="str">
        <f>IF(INDEX(成本费用登记表!$Q$4:$Y$303,45,7)=0,"",INDEX(成本费用登记表!$Q$4:$Y$303,45,7))</f>
        <v/>
      </c>
      <c r="F2244" s="25" t="str">
        <f>IF($E2244="","",IFERROR(INDEX(科目表!$A$4:$A$81,MATCH($E2244,科目表!$B$4:$B$81,0)),""))</f>
        <v/>
      </c>
      <c r="G2244" s="26" t="str">
        <f>IF($E2244="","",IFERROR(INDEX(科目表!$E$4:$E$81,MATCH($E2244,科目表!$B$4:$B$81,0)),""))</f>
        <v/>
      </c>
      <c r="H2244" s="27" t="str">
        <f>IF($E2244="","",N(INDEX(成本费用登记表!$Q$4:$Y$303,45,8)))</f>
        <v/>
      </c>
      <c r="I2244" s="27" t="str">
        <f>IF($E2244="","",N(INDEX(成本费用登记表!$Q$4:$Y$303,45,9)))</f>
        <v/>
      </c>
      <c r="J2244" s="26" t="str">
        <f>IF($E2244="","",INDEX(成本费用登记表!$C$4:$C$303,45))</f>
        <v/>
      </c>
      <c r="K2244" s="26" t="str">
        <f>IF($E2244="","",INDEX(成本费用登记表!$D$4:$D$303,45))</f>
        <v/>
      </c>
      <c r="L2244" s="32" t="str">
        <f>IF($E2244="","",INDEX(成本费用登记表!$N$4:$N$303,45))</f>
        <v/>
      </c>
      <c r="M2244" s="32"/>
      <c r="N2244" s="26" t="str">
        <f t="shared" si="106"/>
        <v/>
      </c>
      <c r="O2244" s="26" t="str">
        <f t="shared" si="107"/>
        <v/>
      </c>
      <c r="P2244" s="10"/>
    </row>
    <row r="2245" ht="18" customHeight="1" spans="1:16">
      <c r="A2245" s="32" t="str">
        <f t="shared" si="108"/>
        <v/>
      </c>
      <c r="B2245" s="100" t="str">
        <f>IF($E2245="","",INDEX(成本费用登记表!$B$4:$B$303,46))</f>
        <v/>
      </c>
      <c r="C2245" s="26" t="str">
        <f t="shared" si="105"/>
        <v/>
      </c>
      <c r="D2245" s="32" t="str">
        <f>IF($E2245="","",INDEX(成本费用登记表!$E$4:$E$303,46))</f>
        <v/>
      </c>
      <c r="E2245" s="26" t="str">
        <f>IF(INDEX(成本费用登记表!$Q$4:$Y$303,46,1)=0,"",INDEX(成本费用登记表!$Q$4:$Y$303,46,1))</f>
        <v/>
      </c>
      <c r="F2245" s="25" t="str">
        <f>IF($E2245="","",IFERROR(INDEX(科目表!$A$4:$A$81,MATCH($E2245,科目表!$B$4:$B$81,0)),""))</f>
        <v/>
      </c>
      <c r="G2245" s="26" t="str">
        <f>IF($E2245="","",IFERROR(INDEX(科目表!$E$4:$E$81,MATCH($E2245,科目表!$B$4:$B$81,0)),""))</f>
        <v/>
      </c>
      <c r="H2245" s="27" t="str">
        <f>IF($E2245="","",N(INDEX(成本费用登记表!$Q$4:$Y$303,46,2)))</f>
        <v/>
      </c>
      <c r="I2245" s="27" t="str">
        <f>IF($E2245="","",N(INDEX(成本费用登记表!$Q$4:$Y$303,46,3)))</f>
        <v/>
      </c>
      <c r="J2245" s="26" t="str">
        <f>IF($E2245="","",INDEX(成本费用登记表!$C$4:$C$303,46))</f>
        <v/>
      </c>
      <c r="K2245" s="26" t="str">
        <f>IF($E2245="","",INDEX(成本费用登记表!$D$4:$D$303,46))</f>
        <v/>
      </c>
      <c r="L2245" s="32" t="str">
        <f>IF($E2245="","",INDEX(成本费用登记表!$N$4:$N$303,46))</f>
        <v/>
      </c>
      <c r="M2245" s="32"/>
      <c r="N2245" s="26" t="str">
        <f t="shared" si="106"/>
        <v/>
      </c>
      <c r="O2245" s="26" t="str">
        <f t="shared" si="107"/>
        <v/>
      </c>
      <c r="P2245" s="10"/>
    </row>
    <row r="2246" ht="18" customHeight="1" spans="1:16">
      <c r="A2246" s="32" t="str">
        <f t="shared" si="108"/>
        <v/>
      </c>
      <c r="B2246" s="100" t="str">
        <f>IF($E2246="","",INDEX(成本费用登记表!$B$4:$B$303,46))</f>
        <v/>
      </c>
      <c r="C2246" s="26" t="str">
        <f t="shared" si="105"/>
        <v/>
      </c>
      <c r="D2246" s="32" t="str">
        <f>IF($E2246="","",INDEX(成本费用登记表!$E$4:$E$303,46))</f>
        <v/>
      </c>
      <c r="E2246" s="26" t="str">
        <f>IF(INDEX(成本费用登记表!$Q$4:$Y$303,46,4)=0,"",INDEX(成本费用登记表!$Q$4:$Y$303,46,4))</f>
        <v/>
      </c>
      <c r="F2246" s="25" t="str">
        <f>IF($E2246="","",IFERROR(INDEX(科目表!$A$4:$A$81,MATCH($E2246,科目表!$B$4:$B$81,0)),""))</f>
        <v/>
      </c>
      <c r="G2246" s="26" t="str">
        <f>IF($E2246="","",IFERROR(INDEX(科目表!$E$4:$E$81,MATCH($E2246,科目表!$B$4:$B$81,0)),""))</f>
        <v/>
      </c>
      <c r="H2246" s="27" t="str">
        <f>IF($E2246="","",N(INDEX(成本费用登记表!$Q$4:$Y$303,46,5)))</f>
        <v/>
      </c>
      <c r="I2246" s="27" t="str">
        <f>IF($E2246="","",N(INDEX(成本费用登记表!$Q$4:$Y$303,46,6)))</f>
        <v/>
      </c>
      <c r="J2246" s="26" t="str">
        <f>IF($E2246="","",INDEX(成本费用登记表!$C$4:$C$303,46))</f>
        <v/>
      </c>
      <c r="K2246" s="26" t="str">
        <f>IF($E2246="","",INDEX(成本费用登记表!$D$4:$D$303,46))</f>
        <v/>
      </c>
      <c r="L2246" s="32" t="str">
        <f>IF($E2246="","",INDEX(成本费用登记表!$N$4:$N$303,46))</f>
        <v/>
      </c>
      <c r="M2246" s="32"/>
      <c r="N2246" s="26" t="str">
        <f t="shared" si="106"/>
        <v/>
      </c>
      <c r="O2246" s="26" t="str">
        <f t="shared" si="107"/>
        <v/>
      </c>
      <c r="P2246" s="10"/>
    </row>
    <row r="2247" ht="18" customHeight="1" spans="1:16">
      <c r="A2247" s="32" t="str">
        <f t="shared" si="108"/>
        <v/>
      </c>
      <c r="B2247" s="100" t="str">
        <f>IF($E2247="","",INDEX(成本费用登记表!$B$4:$B$303,46))</f>
        <v/>
      </c>
      <c r="C2247" s="26" t="str">
        <f t="shared" si="105"/>
        <v/>
      </c>
      <c r="D2247" s="32" t="str">
        <f>IF($E2247="","",INDEX(成本费用登记表!$E$4:$E$303,46))</f>
        <v/>
      </c>
      <c r="E2247" s="26" t="str">
        <f>IF(INDEX(成本费用登记表!$Q$4:$Y$303,46,7)=0,"",INDEX(成本费用登记表!$Q$4:$Y$303,46,7))</f>
        <v/>
      </c>
      <c r="F2247" s="25" t="str">
        <f>IF($E2247="","",IFERROR(INDEX(科目表!$A$4:$A$81,MATCH($E2247,科目表!$B$4:$B$81,0)),""))</f>
        <v/>
      </c>
      <c r="G2247" s="26" t="str">
        <f>IF($E2247="","",IFERROR(INDEX(科目表!$E$4:$E$81,MATCH($E2247,科目表!$B$4:$B$81,0)),""))</f>
        <v/>
      </c>
      <c r="H2247" s="27" t="str">
        <f>IF($E2247="","",N(INDEX(成本费用登记表!$Q$4:$Y$303,46,8)))</f>
        <v/>
      </c>
      <c r="I2247" s="27" t="str">
        <f>IF($E2247="","",N(INDEX(成本费用登记表!$Q$4:$Y$303,46,9)))</f>
        <v/>
      </c>
      <c r="J2247" s="26" t="str">
        <f>IF($E2247="","",INDEX(成本费用登记表!$C$4:$C$303,46))</f>
        <v/>
      </c>
      <c r="K2247" s="26" t="str">
        <f>IF($E2247="","",INDEX(成本费用登记表!$D$4:$D$303,46))</f>
        <v/>
      </c>
      <c r="L2247" s="32" t="str">
        <f>IF($E2247="","",INDEX(成本费用登记表!$N$4:$N$303,46))</f>
        <v/>
      </c>
      <c r="M2247" s="32"/>
      <c r="N2247" s="26" t="str">
        <f t="shared" si="106"/>
        <v/>
      </c>
      <c r="O2247" s="26" t="str">
        <f t="shared" si="107"/>
        <v/>
      </c>
      <c r="P2247" s="10"/>
    </row>
    <row r="2248" ht="18" customHeight="1" spans="1:16">
      <c r="A2248" s="32" t="str">
        <f t="shared" si="108"/>
        <v/>
      </c>
      <c r="B2248" s="100" t="str">
        <f>IF($E2248="","",INDEX(成本费用登记表!$B$4:$B$303,47))</f>
        <v/>
      </c>
      <c r="C2248" s="26" t="str">
        <f t="shared" si="105"/>
        <v/>
      </c>
      <c r="D2248" s="32" t="str">
        <f>IF($E2248="","",INDEX(成本费用登记表!$E$4:$E$303,47))</f>
        <v/>
      </c>
      <c r="E2248" s="26" t="str">
        <f>IF(INDEX(成本费用登记表!$Q$4:$Y$303,47,1)=0,"",INDEX(成本费用登记表!$Q$4:$Y$303,47,1))</f>
        <v/>
      </c>
      <c r="F2248" s="25" t="str">
        <f>IF($E2248="","",IFERROR(INDEX(科目表!$A$4:$A$81,MATCH($E2248,科目表!$B$4:$B$81,0)),""))</f>
        <v/>
      </c>
      <c r="G2248" s="26" t="str">
        <f>IF($E2248="","",IFERROR(INDEX(科目表!$E$4:$E$81,MATCH($E2248,科目表!$B$4:$B$81,0)),""))</f>
        <v/>
      </c>
      <c r="H2248" s="27" t="str">
        <f>IF($E2248="","",N(INDEX(成本费用登记表!$Q$4:$Y$303,47,2)))</f>
        <v/>
      </c>
      <c r="I2248" s="27" t="str">
        <f>IF($E2248="","",N(INDEX(成本费用登记表!$Q$4:$Y$303,47,3)))</f>
        <v/>
      </c>
      <c r="J2248" s="26" t="str">
        <f>IF($E2248="","",INDEX(成本费用登记表!$C$4:$C$303,47))</f>
        <v/>
      </c>
      <c r="K2248" s="26" t="str">
        <f>IF($E2248="","",INDEX(成本费用登记表!$D$4:$D$303,47))</f>
        <v/>
      </c>
      <c r="L2248" s="32" t="str">
        <f>IF($E2248="","",INDEX(成本费用登记表!$N$4:$N$303,47))</f>
        <v/>
      </c>
      <c r="M2248" s="32"/>
      <c r="N2248" s="26" t="str">
        <f t="shared" si="106"/>
        <v/>
      </c>
      <c r="O2248" s="26" t="str">
        <f t="shared" si="107"/>
        <v/>
      </c>
      <c r="P2248" s="10"/>
    </row>
    <row r="2249" ht="18" customHeight="1" spans="1:16">
      <c r="A2249" s="32" t="str">
        <f t="shared" si="108"/>
        <v/>
      </c>
      <c r="B2249" s="100" t="str">
        <f>IF($E2249="","",INDEX(成本费用登记表!$B$4:$B$303,47))</f>
        <v/>
      </c>
      <c r="C2249" s="26" t="str">
        <f t="shared" si="105"/>
        <v/>
      </c>
      <c r="D2249" s="32" t="str">
        <f>IF($E2249="","",INDEX(成本费用登记表!$E$4:$E$303,47))</f>
        <v/>
      </c>
      <c r="E2249" s="26" t="str">
        <f>IF(INDEX(成本费用登记表!$Q$4:$Y$303,47,4)=0,"",INDEX(成本费用登记表!$Q$4:$Y$303,47,4))</f>
        <v/>
      </c>
      <c r="F2249" s="25" t="str">
        <f>IF($E2249="","",IFERROR(INDEX(科目表!$A$4:$A$81,MATCH($E2249,科目表!$B$4:$B$81,0)),""))</f>
        <v/>
      </c>
      <c r="G2249" s="26" t="str">
        <f>IF($E2249="","",IFERROR(INDEX(科目表!$E$4:$E$81,MATCH($E2249,科目表!$B$4:$B$81,0)),""))</f>
        <v/>
      </c>
      <c r="H2249" s="27" t="str">
        <f>IF($E2249="","",N(INDEX(成本费用登记表!$Q$4:$Y$303,47,5)))</f>
        <v/>
      </c>
      <c r="I2249" s="27" t="str">
        <f>IF($E2249="","",N(INDEX(成本费用登记表!$Q$4:$Y$303,47,6)))</f>
        <v/>
      </c>
      <c r="J2249" s="26" t="str">
        <f>IF($E2249="","",INDEX(成本费用登记表!$C$4:$C$303,47))</f>
        <v/>
      </c>
      <c r="K2249" s="26" t="str">
        <f>IF($E2249="","",INDEX(成本费用登记表!$D$4:$D$303,47))</f>
        <v/>
      </c>
      <c r="L2249" s="32" t="str">
        <f>IF($E2249="","",INDEX(成本费用登记表!$N$4:$N$303,47))</f>
        <v/>
      </c>
      <c r="M2249" s="32"/>
      <c r="N2249" s="26" t="str">
        <f t="shared" si="106"/>
        <v/>
      </c>
      <c r="O2249" s="26" t="str">
        <f t="shared" si="107"/>
        <v/>
      </c>
      <c r="P2249" s="10"/>
    </row>
    <row r="2250" ht="18" customHeight="1" spans="1:16">
      <c r="A2250" s="32" t="str">
        <f t="shared" si="108"/>
        <v/>
      </c>
      <c r="B2250" s="100" t="str">
        <f>IF($E2250="","",INDEX(成本费用登记表!$B$4:$B$303,47))</f>
        <v/>
      </c>
      <c r="C2250" s="26" t="str">
        <f t="shared" si="105"/>
        <v/>
      </c>
      <c r="D2250" s="32" t="str">
        <f>IF($E2250="","",INDEX(成本费用登记表!$E$4:$E$303,47))</f>
        <v/>
      </c>
      <c r="E2250" s="26" t="str">
        <f>IF(INDEX(成本费用登记表!$Q$4:$Y$303,47,7)=0,"",INDEX(成本费用登记表!$Q$4:$Y$303,47,7))</f>
        <v/>
      </c>
      <c r="F2250" s="25" t="str">
        <f>IF($E2250="","",IFERROR(INDEX(科目表!$A$4:$A$81,MATCH($E2250,科目表!$B$4:$B$81,0)),""))</f>
        <v/>
      </c>
      <c r="G2250" s="26" t="str">
        <f>IF($E2250="","",IFERROR(INDEX(科目表!$E$4:$E$81,MATCH($E2250,科目表!$B$4:$B$81,0)),""))</f>
        <v/>
      </c>
      <c r="H2250" s="27" t="str">
        <f>IF($E2250="","",N(INDEX(成本费用登记表!$Q$4:$Y$303,47,8)))</f>
        <v/>
      </c>
      <c r="I2250" s="27" t="str">
        <f>IF($E2250="","",N(INDEX(成本费用登记表!$Q$4:$Y$303,47,9)))</f>
        <v/>
      </c>
      <c r="J2250" s="26" t="str">
        <f>IF($E2250="","",INDEX(成本费用登记表!$C$4:$C$303,47))</f>
        <v/>
      </c>
      <c r="K2250" s="26" t="str">
        <f>IF($E2250="","",INDEX(成本费用登记表!$D$4:$D$303,47))</f>
        <v/>
      </c>
      <c r="L2250" s="32" t="str">
        <f>IF($E2250="","",INDEX(成本费用登记表!$N$4:$N$303,47))</f>
        <v/>
      </c>
      <c r="M2250" s="32"/>
      <c r="N2250" s="26" t="str">
        <f t="shared" si="106"/>
        <v/>
      </c>
      <c r="O2250" s="26" t="str">
        <f t="shared" si="107"/>
        <v/>
      </c>
      <c r="P2250" s="10"/>
    </row>
    <row r="2251" ht="18" customHeight="1" spans="1:16">
      <c r="A2251" s="32" t="str">
        <f t="shared" si="108"/>
        <v/>
      </c>
      <c r="B2251" s="100" t="str">
        <f>IF($E2251="","",INDEX(成本费用登记表!$B$4:$B$303,48))</f>
        <v/>
      </c>
      <c r="C2251" s="26" t="str">
        <f t="shared" si="105"/>
        <v/>
      </c>
      <c r="D2251" s="32" t="str">
        <f>IF($E2251="","",INDEX(成本费用登记表!$E$4:$E$303,48))</f>
        <v/>
      </c>
      <c r="E2251" s="26" t="str">
        <f>IF(INDEX(成本费用登记表!$Q$4:$Y$303,48,1)=0,"",INDEX(成本费用登记表!$Q$4:$Y$303,48,1))</f>
        <v/>
      </c>
      <c r="F2251" s="25" t="str">
        <f>IF($E2251="","",IFERROR(INDEX(科目表!$A$4:$A$81,MATCH($E2251,科目表!$B$4:$B$81,0)),""))</f>
        <v/>
      </c>
      <c r="G2251" s="26" t="str">
        <f>IF($E2251="","",IFERROR(INDEX(科目表!$E$4:$E$81,MATCH($E2251,科目表!$B$4:$B$81,0)),""))</f>
        <v/>
      </c>
      <c r="H2251" s="27" t="str">
        <f>IF($E2251="","",N(INDEX(成本费用登记表!$Q$4:$Y$303,48,2)))</f>
        <v/>
      </c>
      <c r="I2251" s="27" t="str">
        <f>IF($E2251="","",N(INDEX(成本费用登记表!$Q$4:$Y$303,48,3)))</f>
        <v/>
      </c>
      <c r="J2251" s="26" t="str">
        <f>IF($E2251="","",INDEX(成本费用登记表!$C$4:$C$303,48))</f>
        <v/>
      </c>
      <c r="K2251" s="26" t="str">
        <f>IF($E2251="","",INDEX(成本费用登记表!$D$4:$D$303,48))</f>
        <v/>
      </c>
      <c r="L2251" s="32" t="str">
        <f>IF($E2251="","",INDEX(成本费用登记表!$N$4:$N$303,48))</f>
        <v/>
      </c>
      <c r="M2251" s="32"/>
      <c r="N2251" s="26" t="str">
        <f t="shared" si="106"/>
        <v/>
      </c>
      <c r="O2251" s="26" t="str">
        <f t="shared" si="107"/>
        <v/>
      </c>
      <c r="P2251" s="10"/>
    </row>
    <row r="2252" ht="18" customHeight="1" spans="1:16">
      <c r="A2252" s="32" t="str">
        <f t="shared" si="108"/>
        <v/>
      </c>
      <c r="B2252" s="100" t="str">
        <f>IF($E2252="","",INDEX(成本费用登记表!$B$4:$B$303,48))</f>
        <v/>
      </c>
      <c r="C2252" s="26" t="str">
        <f t="shared" si="105"/>
        <v/>
      </c>
      <c r="D2252" s="32" t="str">
        <f>IF($E2252="","",INDEX(成本费用登记表!$E$4:$E$303,48))</f>
        <v/>
      </c>
      <c r="E2252" s="26" t="str">
        <f>IF(INDEX(成本费用登记表!$Q$4:$Y$303,48,4)=0,"",INDEX(成本费用登记表!$Q$4:$Y$303,48,4))</f>
        <v/>
      </c>
      <c r="F2252" s="25" t="str">
        <f>IF($E2252="","",IFERROR(INDEX(科目表!$A$4:$A$81,MATCH($E2252,科目表!$B$4:$B$81,0)),""))</f>
        <v/>
      </c>
      <c r="G2252" s="26" t="str">
        <f>IF($E2252="","",IFERROR(INDEX(科目表!$E$4:$E$81,MATCH($E2252,科目表!$B$4:$B$81,0)),""))</f>
        <v/>
      </c>
      <c r="H2252" s="27" t="str">
        <f>IF($E2252="","",N(INDEX(成本费用登记表!$Q$4:$Y$303,48,5)))</f>
        <v/>
      </c>
      <c r="I2252" s="27" t="str">
        <f>IF($E2252="","",N(INDEX(成本费用登记表!$Q$4:$Y$303,48,6)))</f>
        <v/>
      </c>
      <c r="J2252" s="26" t="str">
        <f>IF($E2252="","",INDEX(成本费用登记表!$C$4:$C$303,48))</f>
        <v/>
      </c>
      <c r="K2252" s="26" t="str">
        <f>IF($E2252="","",INDEX(成本费用登记表!$D$4:$D$303,48))</f>
        <v/>
      </c>
      <c r="L2252" s="32" t="str">
        <f>IF($E2252="","",INDEX(成本费用登记表!$N$4:$N$303,48))</f>
        <v/>
      </c>
      <c r="M2252" s="32"/>
      <c r="N2252" s="26" t="str">
        <f t="shared" si="106"/>
        <v/>
      </c>
      <c r="O2252" s="26" t="str">
        <f t="shared" si="107"/>
        <v/>
      </c>
      <c r="P2252" s="10"/>
    </row>
    <row r="2253" ht="18" customHeight="1" spans="1:16">
      <c r="A2253" s="32" t="str">
        <f t="shared" si="108"/>
        <v/>
      </c>
      <c r="B2253" s="100" t="str">
        <f>IF($E2253="","",INDEX(成本费用登记表!$B$4:$B$303,48))</f>
        <v/>
      </c>
      <c r="C2253" s="26" t="str">
        <f t="shared" si="105"/>
        <v/>
      </c>
      <c r="D2253" s="32" t="str">
        <f>IF($E2253="","",INDEX(成本费用登记表!$E$4:$E$303,48))</f>
        <v/>
      </c>
      <c r="E2253" s="26" t="str">
        <f>IF(INDEX(成本费用登记表!$Q$4:$Y$303,48,7)=0,"",INDEX(成本费用登记表!$Q$4:$Y$303,48,7))</f>
        <v/>
      </c>
      <c r="F2253" s="25" t="str">
        <f>IF($E2253="","",IFERROR(INDEX(科目表!$A$4:$A$81,MATCH($E2253,科目表!$B$4:$B$81,0)),""))</f>
        <v/>
      </c>
      <c r="G2253" s="26" t="str">
        <f>IF($E2253="","",IFERROR(INDEX(科目表!$E$4:$E$81,MATCH($E2253,科目表!$B$4:$B$81,0)),""))</f>
        <v/>
      </c>
      <c r="H2253" s="27" t="str">
        <f>IF($E2253="","",N(INDEX(成本费用登记表!$Q$4:$Y$303,48,8)))</f>
        <v/>
      </c>
      <c r="I2253" s="27" t="str">
        <f>IF($E2253="","",N(INDEX(成本费用登记表!$Q$4:$Y$303,48,9)))</f>
        <v/>
      </c>
      <c r="J2253" s="26" t="str">
        <f>IF($E2253="","",INDEX(成本费用登记表!$C$4:$C$303,48))</f>
        <v/>
      </c>
      <c r="K2253" s="26" t="str">
        <f>IF($E2253="","",INDEX(成本费用登记表!$D$4:$D$303,48))</f>
        <v/>
      </c>
      <c r="L2253" s="32" t="str">
        <f>IF($E2253="","",INDEX(成本费用登记表!$N$4:$N$303,48))</f>
        <v/>
      </c>
      <c r="M2253" s="32"/>
      <c r="N2253" s="26" t="str">
        <f t="shared" si="106"/>
        <v/>
      </c>
      <c r="O2253" s="26" t="str">
        <f t="shared" si="107"/>
        <v/>
      </c>
      <c r="P2253" s="10"/>
    </row>
    <row r="2254" ht="18" customHeight="1" spans="1:16">
      <c r="A2254" s="32" t="str">
        <f t="shared" si="108"/>
        <v/>
      </c>
      <c r="B2254" s="100" t="str">
        <f>IF($E2254="","",INDEX(成本费用登记表!$B$4:$B$303,49))</f>
        <v/>
      </c>
      <c r="C2254" s="26" t="str">
        <f t="shared" si="105"/>
        <v/>
      </c>
      <c r="D2254" s="32" t="str">
        <f>IF($E2254="","",INDEX(成本费用登记表!$E$4:$E$303,49))</f>
        <v/>
      </c>
      <c r="E2254" s="26" t="str">
        <f>IF(INDEX(成本费用登记表!$Q$4:$Y$303,49,1)=0,"",INDEX(成本费用登记表!$Q$4:$Y$303,49,1))</f>
        <v/>
      </c>
      <c r="F2254" s="25" t="str">
        <f>IF($E2254="","",IFERROR(INDEX(科目表!$A$4:$A$81,MATCH($E2254,科目表!$B$4:$B$81,0)),""))</f>
        <v/>
      </c>
      <c r="G2254" s="26" t="str">
        <f>IF($E2254="","",IFERROR(INDEX(科目表!$E$4:$E$81,MATCH($E2254,科目表!$B$4:$B$81,0)),""))</f>
        <v/>
      </c>
      <c r="H2254" s="27" t="str">
        <f>IF($E2254="","",N(INDEX(成本费用登记表!$Q$4:$Y$303,49,2)))</f>
        <v/>
      </c>
      <c r="I2254" s="27" t="str">
        <f>IF($E2254="","",N(INDEX(成本费用登记表!$Q$4:$Y$303,49,3)))</f>
        <v/>
      </c>
      <c r="J2254" s="26" t="str">
        <f>IF($E2254="","",INDEX(成本费用登记表!$C$4:$C$303,49))</f>
        <v/>
      </c>
      <c r="K2254" s="26" t="str">
        <f>IF($E2254="","",INDEX(成本费用登记表!$D$4:$D$303,49))</f>
        <v/>
      </c>
      <c r="L2254" s="32" t="str">
        <f>IF($E2254="","",INDEX(成本费用登记表!$N$4:$N$303,49))</f>
        <v/>
      </c>
      <c r="M2254" s="32"/>
      <c r="N2254" s="26" t="str">
        <f t="shared" si="106"/>
        <v/>
      </c>
      <c r="O2254" s="26" t="str">
        <f t="shared" si="107"/>
        <v/>
      </c>
      <c r="P2254" s="10"/>
    </row>
    <row r="2255" ht="18" customHeight="1" spans="1:16">
      <c r="A2255" s="32" t="str">
        <f t="shared" si="108"/>
        <v/>
      </c>
      <c r="B2255" s="100" t="str">
        <f>IF($E2255="","",INDEX(成本费用登记表!$B$4:$B$303,49))</f>
        <v/>
      </c>
      <c r="C2255" s="26" t="str">
        <f t="shared" si="105"/>
        <v/>
      </c>
      <c r="D2255" s="32" t="str">
        <f>IF($E2255="","",INDEX(成本费用登记表!$E$4:$E$303,49))</f>
        <v/>
      </c>
      <c r="E2255" s="26" t="str">
        <f>IF(INDEX(成本费用登记表!$Q$4:$Y$303,49,4)=0,"",INDEX(成本费用登记表!$Q$4:$Y$303,49,4))</f>
        <v/>
      </c>
      <c r="F2255" s="25" t="str">
        <f>IF($E2255="","",IFERROR(INDEX(科目表!$A$4:$A$81,MATCH($E2255,科目表!$B$4:$B$81,0)),""))</f>
        <v/>
      </c>
      <c r="G2255" s="26" t="str">
        <f>IF($E2255="","",IFERROR(INDEX(科目表!$E$4:$E$81,MATCH($E2255,科目表!$B$4:$B$81,0)),""))</f>
        <v/>
      </c>
      <c r="H2255" s="27" t="str">
        <f>IF($E2255="","",N(INDEX(成本费用登记表!$Q$4:$Y$303,49,5)))</f>
        <v/>
      </c>
      <c r="I2255" s="27" t="str">
        <f>IF($E2255="","",N(INDEX(成本费用登记表!$Q$4:$Y$303,49,6)))</f>
        <v/>
      </c>
      <c r="J2255" s="26" t="str">
        <f>IF($E2255="","",INDEX(成本费用登记表!$C$4:$C$303,49))</f>
        <v/>
      </c>
      <c r="K2255" s="26" t="str">
        <f>IF($E2255="","",INDEX(成本费用登记表!$D$4:$D$303,49))</f>
        <v/>
      </c>
      <c r="L2255" s="32" t="str">
        <f>IF($E2255="","",INDEX(成本费用登记表!$N$4:$N$303,49))</f>
        <v/>
      </c>
      <c r="M2255" s="32"/>
      <c r="N2255" s="26" t="str">
        <f t="shared" si="106"/>
        <v/>
      </c>
      <c r="O2255" s="26" t="str">
        <f t="shared" si="107"/>
        <v/>
      </c>
      <c r="P2255" s="10"/>
    </row>
    <row r="2256" ht="18" customHeight="1" spans="1:16">
      <c r="A2256" s="32" t="str">
        <f t="shared" si="108"/>
        <v/>
      </c>
      <c r="B2256" s="100" t="str">
        <f>IF($E2256="","",INDEX(成本费用登记表!$B$4:$B$303,49))</f>
        <v/>
      </c>
      <c r="C2256" s="26" t="str">
        <f t="shared" si="105"/>
        <v/>
      </c>
      <c r="D2256" s="32" t="str">
        <f>IF($E2256="","",INDEX(成本费用登记表!$E$4:$E$303,49))</f>
        <v/>
      </c>
      <c r="E2256" s="26" t="str">
        <f>IF(INDEX(成本费用登记表!$Q$4:$Y$303,49,7)=0,"",INDEX(成本费用登记表!$Q$4:$Y$303,49,7))</f>
        <v/>
      </c>
      <c r="F2256" s="25" t="str">
        <f>IF($E2256="","",IFERROR(INDEX(科目表!$A$4:$A$81,MATCH($E2256,科目表!$B$4:$B$81,0)),""))</f>
        <v/>
      </c>
      <c r="G2256" s="26" t="str">
        <f>IF($E2256="","",IFERROR(INDEX(科目表!$E$4:$E$81,MATCH($E2256,科目表!$B$4:$B$81,0)),""))</f>
        <v/>
      </c>
      <c r="H2256" s="27" t="str">
        <f>IF($E2256="","",N(INDEX(成本费用登记表!$Q$4:$Y$303,49,8)))</f>
        <v/>
      </c>
      <c r="I2256" s="27" t="str">
        <f>IF($E2256="","",N(INDEX(成本费用登记表!$Q$4:$Y$303,49,9)))</f>
        <v/>
      </c>
      <c r="J2256" s="26" t="str">
        <f>IF($E2256="","",INDEX(成本费用登记表!$C$4:$C$303,49))</f>
        <v/>
      </c>
      <c r="K2256" s="26" t="str">
        <f>IF($E2256="","",INDEX(成本费用登记表!$D$4:$D$303,49))</f>
        <v/>
      </c>
      <c r="L2256" s="32" t="str">
        <f>IF($E2256="","",INDEX(成本费用登记表!$N$4:$N$303,49))</f>
        <v/>
      </c>
      <c r="M2256" s="32"/>
      <c r="N2256" s="26" t="str">
        <f t="shared" si="106"/>
        <v/>
      </c>
      <c r="O2256" s="26" t="str">
        <f t="shared" si="107"/>
        <v/>
      </c>
      <c r="P2256" s="10"/>
    </row>
    <row r="2257" ht="18" customHeight="1" spans="1:16">
      <c r="A2257" s="32" t="str">
        <f t="shared" si="108"/>
        <v/>
      </c>
      <c r="B2257" s="100" t="str">
        <f>IF($E2257="","",INDEX(成本费用登记表!$B$4:$B$303,50))</f>
        <v/>
      </c>
      <c r="C2257" s="26" t="str">
        <f t="shared" si="105"/>
        <v/>
      </c>
      <c r="D2257" s="32" t="str">
        <f>IF($E2257="","",INDEX(成本费用登记表!$E$4:$E$303,50))</f>
        <v/>
      </c>
      <c r="E2257" s="26" t="str">
        <f>IF(INDEX(成本费用登记表!$Q$4:$Y$303,50,1)=0,"",INDEX(成本费用登记表!$Q$4:$Y$303,50,1))</f>
        <v/>
      </c>
      <c r="F2257" s="25" t="str">
        <f>IF($E2257="","",IFERROR(INDEX(科目表!$A$4:$A$81,MATCH($E2257,科目表!$B$4:$B$81,0)),""))</f>
        <v/>
      </c>
      <c r="G2257" s="26" t="str">
        <f>IF($E2257="","",IFERROR(INDEX(科目表!$E$4:$E$81,MATCH($E2257,科目表!$B$4:$B$81,0)),""))</f>
        <v/>
      </c>
      <c r="H2257" s="27" t="str">
        <f>IF($E2257="","",N(INDEX(成本费用登记表!$Q$4:$Y$303,50,2)))</f>
        <v/>
      </c>
      <c r="I2257" s="27" t="str">
        <f>IF($E2257="","",N(INDEX(成本费用登记表!$Q$4:$Y$303,50,3)))</f>
        <v/>
      </c>
      <c r="J2257" s="26" t="str">
        <f>IF($E2257="","",INDEX(成本费用登记表!$C$4:$C$303,50))</f>
        <v/>
      </c>
      <c r="K2257" s="26" t="str">
        <f>IF($E2257="","",INDEX(成本费用登记表!$D$4:$D$303,50))</f>
        <v/>
      </c>
      <c r="L2257" s="32" t="str">
        <f>IF($E2257="","",INDEX(成本费用登记表!$N$4:$N$303,50))</f>
        <v/>
      </c>
      <c r="M2257" s="32"/>
      <c r="N2257" s="26" t="str">
        <f t="shared" si="106"/>
        <v/>
      </c>
      <c r="O2257" s="26" t="str">
        <f t="shared" si="107"/>
        <v/>
      </c>
      <c r="P2257" s="10"/>
    </row>
    <row r="2258" ht="18" customHeight="1" spans="1:16">
      <c r="A2258" s="32" t="str">
        <f t="shared" si="108"/>
        <v/>
      </c>
      <c r="B2258" s="100" t="str">
        <f>IF($E2258="","",INDEX(成本费用登记表!$B$4:$B$303,50))</f>
        <v/>
      </c>
      <c r="C2258" s="26" t="str">
        <f t="shared" si="105"/>
        <v/>
      </c>
      <c r="D2258" s="32" t="str">
        <f>IF($E2258="","",INDEX(成本费用登记表!$E$4:$E$303,50))</f>
        <v/>
      </c>
      <c r="E2258" s="26" t="str">
        <f>IF(INDEX(成本费用登记表!$Q$4:$Y$303,50,4)=0,"",INDEX(成本费用登记表!$Q$4:$Y$303,50,4))</f>
        <v/>
      </c>
      <c r="F2258" s="25" t="str">
        <f>IF($E2258="","",IFERROR(INDEX(科目表!$A$4:$A$81,MATCH($E2258,科目表!$B$4:$B$81,0)),""))</f>
        <v/>
      </c>
      <c r="G2258" s="26" t="str">
        <f>IF($E2258="","",IFERROR(INDEX(科目表!$E$4:$E$81,MATCH($E2258,科目表!$B$4:$B$81,0)),""))</f>
        <v/>
      </c>
      <c r="H2258" s="27" t="str">
        <f>IF($E2258="","",N(INDEX(成本费用登记表!$Q$4:$Y$303,50,5)))</f>
        <v/>
      </c>
      <c r="I2258" s="27" t="str">
        <f>IF($E2258="","",N(INDEX(成本费用登记表!$Q$4:$Y$303,50,6)))</f>
        <v/>
      </c>
      <c r="J2258" s="26" t="str">
        <f>IF($E2258="","",INDEX(成本费用登记表!$C$4:$C$303,50))</f>
        <v/>
      </c>
      <c r="K2258" s="26" t="str">
        <f>IF($E2258="","",INDEX(成本费用登记表!$D$4:$D$303,50))</f>
        <v/>
      </c>
      <c r="L2258" s="32" t="str">
        <f>IF($E2258="","",INDEX(成本费用登记表!$N$4:$N$303,50))</f>
        <v/>
      </c>
      <c r="M2258" s="32"/>
      <c r="N2258" s="26" t="str">
        <f t="shared" si="106"/>
        <v/>
      </c>
      <c r="O2258" s="26" t="str">
        <f t="shared" si="107"/>
        <v/>
      </c>
      <c r="P2258" s="10"/>
    </row>
    <row r="2259" ht="18" customHeight="1" spans="1:16">
      <c r="A2259" s="32" t="str">
        <f t="shared" si="108"/>
        <v/>
      </c>
      <c r="B2259" s="100" t="str">
        <f>IF($E2259="","",INDEX(成本费用登记表!$B$4:$B$303,50))</f>
        <v/>
      </c>
      <c r="C2259" s="26" t="str">
        <f t="shared" si="105"/>
        <v/>
      </c>
      <c r="D2259" s="32" t="str">
        <f>IF($E2259="","",INDEX(成本费用登记表!$E$4:$E$303,50))</f>
        <v/>
      </c>
      <c r="E2259" s="26" t="str">
        <f>IF(INDEX(成本费用登记表!$Q$4:$Y$303,50,7)=0,"",INDEX(成本费用登记表!$Q$4:$Y$303,50,7))</f>
        <v/>
      </c>
      <c r="F2259" s="25" t="str">
        <f>IF($E2259="","",IFERROR(INDEX(科目表!$A$4:$A$81,MATCH($E2259,科目表!$B$4:$B$81,0)),""))</f>
        <v/>
      </c>
      <c r="G2259" s="26" t="str">
        <f>IF($E2259="","",IFERROR(INDEX(科目表!$E$4:$E$81,MATCH($E2259,科目表!$B$4:$B$81,0)),""))</f>
        <v/>
      </c>
      <c r="H2259" s="27" t="str">
        <f>IF($E2259="","",N(INDEX(成本费用登记表!$Q$4:$Y$303,50,8)))</f>
        <v/>
      </c>
      <c r="I2259" s="27" t="str">
        <f>IF($E2259="","",N(INDEX(成本费用登记表!$Q$4:$Y$303,50,9)))</f>
        <v/>
      </c>
      <c r="J2259" s="26" t="str">
        <f>IF($E2259="","",INDEX(成本费用登记表!$C$4:$C$303,50))</f>
        <v/>
      </c>
      <c r="K2259" s="26" t="str">
        <f>IF($E2259="","",INDEX(成本费用登记表!$D$4:$D$303,50))</f>
        <v/>
      </c>
      <c r="L2259" s="32" t="str">
        <f>IF($E2259="","",INDEX(成本费用登记表!$N$4:$N$303,50))</f>
        <v/>
      </c>
      <c r="M2259" s="32"/>
      <c r="N2259" s="26" t="str">
        <f t="shared" si="106"/>
        <v/>
      </c>
      <c r="O2259" s="26" t="str">
        <f t="shared" si="107"/>
        <v/>
      </c>
      <c r="P2259" s="10"/>
    </row>
    <row r="2260" ht="18" customHeight="1" spans="1:16">
      <c r="A2260" s="32" t="str">
        <f t="shared" si="108"/>
        <v/>
      </c>
      <c r="B2260" s="100" t="str">
        <f>IF($E2260="","",INDEX(成本费用登记表!$B$4:$B$303,51))</f>
        <v/>
      </c>
      <c r="C2260" s="26" t="str">
        <f t="shared" si="105"/>
        <v/>
      </c>
      <c r="D2260" s="32" t="str">
        <f>IF($E2260="","",INDEX(成本费用登记表!$E$4:$E$303,51))</f>
        <v/>
      </c>
      <c r="E2260" s="26" t="str">
        <f>IF(INDEX(成本费用登记表!$Q$4:$Y$303,51,1)=0,"",INDEX(成本费用登记表!$Q$4:$Y$303,51,1))</f>
        <v/>
      </c>
      <c r="F2260" s="25" t="str">
        <f>IF($E2260="","",IFERROR(INDEX(科目表!$A$4:$A$81,MATCH($E2260,科目表!$B$4:$B$81,0)),""))</f>
        <v/>
      </c>
      <c r="G2260" s="26" t="str">
        <f>IF($E2260="","",IFERROR(INDEX(科目表!$E$4:$E$81,MATCH($E2260,科目表!$B$4:$B$81,0)),""))</f>
        <v/>
      </c>
      <c r="H2260" s="27" t="str">
        <f>IF($E2260="","",N(INDEX(成本费用登记表!$Q$4:$Y$303,51,2)))</f>
        <v/>
      </c>
      <c r="I2260" s="27" t="str">
        <f>IF($E2260="","",N(INDEX(成本费用登记表!$Q$4:$Y$303,51,3)))</f>
        <v/>
      </c>
      <c r="J2260" s="26" t="str">
        <f>IF($E2260="","",INDEX(成本费用登记表!$C$4:$C$303,51))</f>
        <v/>
      </c>
      <c r="K2260" s="26" t="str">
        <f>IF($E2260="","",INDEX(成本费用登记表!$D$4:$D$303,51))</f>
        <v/>
      </c>
      <c r="L2260" s="32" t="str">
        <f>IF($E2260="","",INDEX(成本费用登记表!$N$4:$N$303,51))</f>
        <v/>
      </c>
      <c r="M2260" s="32"/>
      <c r="N2260" s="26" t="str">
        <f t="shared" si="106"/>
        <v/>
      </c>
      <c r="O2260" s="26" t="str">
        <f t="shared" si="107"/>
        <v/>
      </c>
      <c r="P2260" s="10"/>
    </row>
    <row r="2261" ht="18" customHeight="1" spans="1:16">
      <c r="A2261" s="32" t="str">
        <f t="shared" si="108"/>
        <v/>
      </c>
      <c r="B2261" s="100" t="str">
        <f>IF($E2261="","",INDEX(成本费用登记表!$B$4:$B$303,51))</f>
        <v/>
      </c>
      <c r="C2261" s="26" t="str">
        <f t="shared" si="105"/>
        <v/>
      </c>
      <c r="D2261" s="32" t="str">
        <f>IF($E2261="","",INDEX(成本费用登记表!$E$4:$E$303,51))</f>
        <v/>
      </c>
      <c r="E2261" s="26" t="str">
        <f>IF(INDEX(成本费用登记表!$Q$4:$Y$303,51,4)=0,"",INDEX(成本费用登记表!$Q$4:$Y$303,51,4))</f>
        <v/>
      </c>
      <c r="F2261" s="25" t="str">
        <f>IF($E2261="","",IFERROR(INDEX(科目表!$A$4:$A$81,MATCH($E2261,科目表!$B$4:$B$81,0)),""))</f>
        <v/>
      </c>
      <c r="G2261" s="26" t="str">
        <f>IF($E2261="","",IFERROR(INDEX(科目表!$E$4:$E$81,MATCH($E2261,科目表!$B$4:$B$81,0)),""))</f>
        <v/>
      </c>
      <c r="H2261" s="27" t="str">
        <f>IF($E2261="","",N(INDEX(成本费用登记表!$Q$4:$Y$303,51,5)))</f>
        <v/>
      </c>
      <c r="I2261" s="27" t="str">
        <f>IF($E2261="","",N(INDEX(成本费用登记表!$Q$4:$Y$303,51,6)))</f>
        <v/>
      </c>
      <c r="J2261" s="26" t="str">
        <f>IF($E2261="","",INDEX(成本费用登记表!$C$4:$C$303,51))</f>
        <v/>
      </c>
      <c r="K2261" s="26" t="str">
        <f>IF($E2261="","",INDEX(成本费用登记表!$D$4:$D$303,51))</f>
        <v/>
      </c>
      <c r="L2261" s="32" t="str">
        <f>IF($E2261="","",INDEX(成本费用登记表!$N$4:$N$303,51))</f>
        <v/>
      </c>
      <c r="M2261" s="32"/>
      <c r="N2261" s="26" t="str">
        <f t="shared" si="106"/>
        <v/>
      </c>
      <c r="O2261" s="26" t="str">
        <f t="shared" si="107"/>
        <v/>
      </c>
      <c r="P2261" s="10"/>
    </row>
    <row r="2262" ht="18" customHeight="1" spans="1:16">
      <c r="A2262" s="32" t="str">
        <f t="shared" si="108"/>
        <v/>
      </c>
      <c r="B2262" s="100" t="str">
        <f>IF($E2262="","",INDEX(成本费用登记表!$B$4:$B$303,51))</f>
        <v/>
      </c>
      <c r="C2262" s="26" t="str">
        <f t="shared" si="105"/>
        <v/>
      </c>
      <c r="D2262" s="32" t="str">
        <f>IF($E2262="","",INDEX(成本费用登记表!$E$4:$E$303,51))</f>
        <v/>
      </c>
      <c r="E2262" s="26" t="str">
        <f>IF(INDEX(成本费用登记表!$Q$4:$Y$303,51,7)=0,"",INDEX(成本费用登记表!$Q$4:$Y$303,51,7))</f>
        <v/>
      </c>
      <c r="F2262" s="25" t="str">
        <f>IF($E2262="","",IFERROR(INDEX(科目表!$A$4:$A$81,MATCH($E2262,科目表!$B$4:$B$81,0)),""))</f>
        <v/>
      </c>
      <c r="G2262" s="26" t="str">
        <f>IF($E2262="","",IFERROR(INDEX(科目表!$E$4:$E$81,MATCH($E2262,科目表!$B$4:$B$81,0)),""))</f>
        <v/>
      </c>
      <c r="H2262" s="27" t="str">
        <f>IF($E2262="","",N(INDEX(成本费用登记表!$Q$4:$Y$303,51,8)))</f>
        <v/>
      </c>
      <c r="I2262" s="27" t="str">
        <f>IF($E2262="","",N(INDEX(成本费用登记表!$Q$4:$Y$303,51,9)))</f>
        <v/>
      </c>
      <c r="J2262" s="26" t="str">
        <f>IF($E2262="","",INDEX(成本费用登记表!$C$4:$C$303,51))</f>
        <v/>
      </c>
      <c r="K2262" s="26" t="str">
        <f>IF($E2262="","",INDEX(成本费用登记表!$D$4:$D$303,51))</f>
        <v/>
      </c>
      <c r="L2262" s="32" t="str">
        <f>IF($E2262="","",INDEX(成本费用登记表!$N$4:$N$303,51))</f>
        <v/>
      </c>
      <c r="M2262" s="32"/>
      <c r="N2262" s="26" t="str">
        <f t="shared" si="106"/>
        <v/>
      </c>
      <c r="O2262" s="26" t="str">
        <f t="shared" si="107"/>
        <v/>
      </c>
      <c r="P2262" s="10"/>
    </row>
    <row r="2263" ht="18" customHeight="1" spans="1:16">
      <c r="A2263" s="32" t="str">
        <f t="shared" si="108"/>
        <v/>
      </c>
      <c r="B2263" s="100" t="str">
        <f>IF($E2263="","",INDEX(成本费用登记表!$B$4:$B$303,52))</f>
        <v/>
      </c>
      <c r="C2263" s="26" t="str">
        <f t="shared" si="105"/>
        <v/>
      </c>
      <c r="D2263" s="32" t="str">
        <f>IF($E2263="","",INDEX(成本费用登记表!$E$4:$E$303,52))</f>
        <v/>
      </c>
      <c r="E2263" s="26" t="str">
        <f>IF(INDEX(成本费用登记表!$Q$4:$Y$303,52,1)=0,"",INDEX(成本费用登记表!$Q$4:$Y$303,52,1))</f>
        <v/>
      </c>
      <c r="F2263" s="25" t="str">
        <f>IF($E2263="","",IFERROR(INDEX(科目表!$A$4:$A$81,MATCH($E2263,科目表!$B$4:$B$81,0)),""))</f>
        <v/>
      </c>
      <c r="G2263" s="26" t="str">
        <f>IF($E2263="","",IFERROR(INDEX(科目表!$E$4:$E$81,MATCH($E2263,科目表!$B$4:$B$81,0)),""))</f>
        <v/>
      </c>
      <c r="H2263" s="27" t="str">
        <f>IF($E2263="","",N(INDEX(成本费用登记表!$Q$4:$Y$303,52,2)))</f>
        <v/>
      </c>
      <c r="I2263" s="27" t="str">
        <f>IF($E2263="","",N(INDEX(成本费用登记表!$Q$4:$Y$303,52,3)))</f>
        <v/>
      </c>
      <c r="J2263" s="26" t="str">
        <f>IF($E2263="","",INDEX(成本费用登记表!$C$4:$C$303,52))</f>
        <v/>
      </c>
      <c r="K2263" s="26" t="str">
        <f>IF($E2263="","",INDEX(成本费用登记表!$D$4:$D$303,52))</f>
        <v/>
      </c>
      <c r="L2263" s="32" t="str">
        <f>IF($E2263="","",INDEX(成本费用登记表!$N$4:$N$303,52))</f>
        <v/>
      </c>
      <c r="M2263" s="32"/>
      <c r="N2263" s="26" t="str">
        <f t="shared" si="106"/>
        <v/>
      </c>
      <c r="O2263" s="26" t="str">
        <f t="shared" si="107"/>
        <v/>
      </c>
      <c r="P2263" s="10"/>
    </row>
    <row r="2264" ht="18" customHeight="1" spans="1:16">
      <c r="A2264" s="32" t="str">
        <f t="shared" si="108"/>
        <v/>
      </c>
      <c r="B2264" s="100" t="str">
        <f>IF($E2264="","",INDEX(成本费用登记表!$B$4:$B$303,52))</f>
        <v/>
      </c>
      <c r="C2264" s="26" t="str">
        <f t="shared" si="105"/>
        <v/>
      </c>
      <c r="D2264" s="32" t="str">
        <f>IF($E2264="","",INDEX(成本费用登记表!$E$4:$E$303,52))</f>
        <v/>
      </c>
      <c r="E2264" s="26" t="str">
        <f>IF(INDEX(成本费用登记表!$Q$4:$Y$303,52,4)=0,"",INDEX(成本费用登记表!$Q$4:$Y$303,52,4))</f>
        <v/>
      </c>
      <c r="F2264" s="25" t="str">
        <f>IF($E2264="","",IFERROR(INDEX(科目表!$A$4:$A$81,MATCH($E2264,科目表!$B$4:$B$81,0)),""))</f>
        <v/>
      </c>
      <c r="G2264" s="26" t="str">
        <f>IF($E2264="","",IFERROR(INDEX(科目表!$E$4:$E$81,MATCH($E2264,科目表!$B$4:$B$81,0)),""))</f>
        <v/>
      </c>
      <c r="H2264" s="27" t="str">
        <f>IF($E2264="","",N(INDEX(成本费用登记表!$Q$4:$Y$303,52,5)))</f>
        <v/>
      </c>
      <c r="I2264" s="27" t="str">
        <f>IF($E2264="","",N(INDEX(成本费用登记表!$Q$4:$Y$303,52,6)))</f>
        <v/>
      </c>
      <c r="J2264" s="26" t="str">
        <f>IF($E2264="","",INDEX(成本费用登记表!$C$4:$C$303,52))</f>
        <v/>
      </c>
      <c r="K2264" s="26" t="str">
        <f>IF($E2264="","",INDEX(成本费用登记表!$D$4:$D$303,52))</f>
        <v/>
      </c>
      <c r="L2264" s="32" t="str">
        <f>IF($E2264="","",INDEX(成本费用登记表!$N$4:$N$303,52))</f>
        <v/>
      </c>
      <c r="M2264" s="32"/>
      <c r="N2264" s="26" t="str">
        <f t="shared" si="106"/>
        <v/>
      </c>
      <c r="O2264" s="26" t="str">
        <f t="shared" si="107"/>
        <v/>
      </c>
      <c r="P2264" s="10"/>
    </row>
    <row r="2265" ht="18" customHeight="1" spans="1:16">
      <c r="A2265" s="32" t="str">
        <f t="shared" si="108"/>
        <v/>
      </c>
      <c r="B2265" s="100" t="str">
        <f>IF($E2265="","",INDEX(成本费用登记表!$B$4:$B$303,52))</f>
        <v/>
      </c>
      <c r="C2265" s="26" t="str">
        <f t="shared" si="105"/>
        <v/>
      </c>
      <c r="D2265" s="32" t="str">
        <f>IF($E2265="","",INDEX(成本费用登记表!$E$4:$E$303,52))</f>
        <v/>
      </c>
      <c r="E2265" s="26" t="str">
        <f>IF(INDEX(成本费用登记表!$Q$4:$Y$303,52,7)=0,"",INDEX(成本费用登记表!$Q$4:$Y$303,52,7))</f>
        <v/>
      </c>
      <c r="F2265" s="25" t="str">
        <f>IF($E2265="","",IFERROR(INDEX(科目表!$A$4:$A$81,MATCH($E2265,科目表!$B$4:$B$81,0)),""))</f>
        <v/>
      </c>
      <c r="G2265" s="26" t="str">
        <f>IF($E2265="","",IFERROR(INDEX(科目表!$E$4:$E$81,MATCH($E2265,科目表!$B$4:$B$81,0)),""))</f>
        <v/>
      </c>
      <c r="H2265" s="27" t="str">
        <f>IF($E2265="","",N(INDEX(成本费用登记表!$Q$4:$Y$303,52,8)))</f>
        <v/>
      </c>
      <c r="I2265" s="27" t="str">
        <f>IF($E2265="","",N(INDEX(成本费用登记表!$Q$4:$Y$303,52,9)))</f>
        <v/>
      </c>
      <c r="J2265" s="26" t="str">
        <f>IF($E2265="","",INDEX(成本费用登记表!$C$4:$C$303,52))</f>
        <v/>
      </c>
      <c r="K2265" s="26" t="str">
        <f>IF($E2265="","",INDEX(成本费用登记表!$D$4:$D$303,52))</f>
        <v/>
      </c>
      <c r="L2265" s="32" t="str">
        <f>IF($E2265="","",INDEX(成本费用登记表!$N$4:$N$303,52))</f>
        <v/>
      </c>
      <c r="M2265" s="32"/>
      <c r="N2265" s="26" t="str">
        <f t="shared" si="106"/>
        <v/>
      </c>
      <c r="O2265" s="26" t="str">
        <f t="shared" si="107"/>
        <v/>
      </c>
      <c r="P2265" s="10"/>
    </row>
    <row r="2266" ht="18" customHeight="1" spans="1:16">
      <c r="A2266" s="32" t="str">
        <f t="shared" si="108"/>
        <v/>
      </c>
      <c r="B2266" s="100" t="str">
        <f>IF($E2266="","",INDEX(成本费用登记表!$B$4:$B$303,53))</f>
        <v/>
      </c>
      <c r="C2266" s="26" t="str">
        <f t="shared" si="105"/>
        <v/>
      </c>
      <c r="D2266" s="32" t="str">
        <f>IF($E2266="","",INDEX(成本费用登记表!$E$4:$E$303,53))</f>
        <v/>
      </c>
      <c r="E2266" s="26" t="str">
        <f>IF(INDEX(成本费用登记表!$Q$4:$Y$303,53,1)=0,"",INDEX(成本费用登记表!$Q$4:$Y$303,53,1))</f>
        <v/>
      </c>
      <c r="F2266" s="25" t="str">
        <f>IF($E2266="","",IFERROR(INDEX(科目表!$A$4:$A$81,MATCH($E2266,科目表!$B$4:$B$81,0)),""))</f>
        <v/>
      </c>
      <c r="G2266" s="26" t="str">
        <f>IF($E2266="","",IFERROR(INDEX(科目表!$E$4:$E$81,MATCH($E2266,科目表!$B$4:$B$81,0)),""))</f>
        <v/>
      </c>
      <c r="H2266" s="27" t="str">
        <f>IF($E2266="","",N(INDEX(成本费用登记表!$Q$4:$Y$303,53,2)))</f>
        <v/>
      </c>
      <c r="I2266" s="27" t="str">
        <f>IF($E2266="","",N(INDEX(成本费用登记表!$Q$4:$Y$303,53,3)))</f>
        <v/>
      </c>
      <c r="J2266" s="26" t="str">
        <f>IF($E2266="","",INDEX(成本费用登记表!$C$4:$C$303,53))</f>
        <v/>
      </c>
      <c r="K2266" s="26" t="str">
        <f>IF($E2266="","",INDEX(成本费用登记表!$D$4:$D$303,53))</f>
        <v/>
      </c>
      <c r="L2266" s="32" t="str">
        <f>IF($E2266="","",INDEX(成本费用登记表!$N$4:$N$303,53))</f>
        <v/>
      </c>
      <c r="M2266" s="32"/>
      <c r="N2266" s="26" t="str">
        <f t="shared" si="106"/>
        <v/>
      </c>
      <c r="O2266" s="26" t="str">
        <f t="shared" si="107"/>
        <v/>
      </c>
      <c r="P2266" s="10"/>
    </row>
    <row r="2267" ht="18" customHeight="1" spans="1:16">
      <c r="A2267" s="32" t="str">
        <f t="shared" si="108"/>
        <v/>
      </c>
      <c r="B2267" s="100" t="str">
        <f>IF($E2267="","",INDEX(成本费用登记表!$B$4:$B$303,53))</f>
        <v/>
      </c>
      <c r="C2267" s="26" t="str">
        <f t="shared" si="105"/>
        <v/>
      </c>
      <c r="D2267" s="32" t="str">
        <f>IF($E2267="","",INDEX(成本费用登记表!$E$4:$E$303,53))</f>
        <v/>
      </c>
      <c r="E2267" s="26" t="str">
        <f>IF(INDEX(成本费用登记表!$Q$4:$Y$303,53,4)=0,"",INDEX(成本费用登记表!$Q$4:$Y$303,53,4))</f>
        <v/>
      </c>
      <c r="F2267" s="25" t="str">
        <f>IF($E2267="","",IFERROR(INDEX(科目表!$A$4:$A$81,MATCH($E2267,科目表!$B$4:$B$81,0)),""))</f>
        <v/>
      </c>
      <c r="G2267" s="26" t="str">
        <f>IF($E2267="","",IFERROR(INDEX(科目表!$E$4:$E$81,MATCH($E2267,科目表!$B$4:$B$81,0)),""))</f>
        <v/>
      </c>
      <c r="H2267" s="27" t="str">
        <f>IF($E2267="","",N(INDEX(成本费用登记表!$Q$4:$Y$303,53,5)))</f>
        <v/>
      </c>
      <c r="I2267" s="27" t="str">
        <f>IF($E2267="","",N(INDEX(成本费用登记表!$Q$4:$Y$303,53,6)))</f>
        <v/>
      </c>
      <c r="J2267" s="26" t="str">
        <f>IF($E2267="","",INDEX(成本费用登记表!$C$4:$C$303,53))</f>
        <v/>
      </c>
      <c r="K2267" s="26" t="str">
        <f>IF($E2267="","",INDEX(成本费用登记表!$D$4:$D$303,53))</f>
        <v/>
      </c>
      <c r="L2267" s="32" t="str">
        <f>IF($E2267="","",INDEX(成本费用登记表!$N$4:$N$303,53))</f>
        <v/>
      </c>
      <c r="M2267" s="32"/>
      <c r="N2267" s="26" t="str">
        <f t="shared" si="106"/>
        <v/>
      </c>
      <c r="O2267" s="26" t="str">
        <f t="shared" si="107"/>
        <v/>
      </c>
      <c r="P2267" s="10"/>
    </row>
    <row r="2268" ht="18" customHeight="1" spans="1:16">
      <c r="A2268" s="32" t="str">
        <f t="shared" si="108"/>
        <v/>
      </c>
      <c r="B2268" s="100" t="str">
        <f>IF($E2268="","",INDEX(成本费用登记表!$B$4:$B$303,53))</f>
        <v/>
      </c>
      <c r="C2268" s="26" t="str">
        <f t="shared" si="105"/>
        <v/>
      </c>
      <c r="D2268" s="32" t="str">
        <f>IF($E2268="","",INDEX(成本费用登记表!$E$4:$E$303,53))</f>
        <v/>
      </c>
      <c r="E2268" s="26" t="str">
        <f>IF(INDEX(成本费用登记表!$Q$4:$Y$303,53,7)=0,"",INDEX(成本费用登记表!$Q$4:$Y$303,53,7))</f>
        <v/>
      </c>
      <c r="F2268" s="25" t="str">
        <f>IF($E2268="","",IFERROR(INDEX(科目表!$A$4:$A$81,MATCH($E2268,科目表!$B$4:$B$81,0)),""))</f>
        <v/>
      </c>
      <c r="G2268" s="26" t="str">
        <f>IF($E2268="","",IFERROR(INDEX(科目表!$E$4:$E$81,MATCH($E2268,科目表!$B$4:$B$81,0)),""))</f>
        <v/>
      </c>
      <c r="H2268" s="27" t="str">
        <f>IF($E2268="","",N(INDEX(成本费用登记表!$Q$4:$Y$303,53,8)))</f>
        <v/>
      </c>
      <c r="I2268" s="27" t="str">
        <f>IF($E2268="","",N(INDEX(成本费用登记表!$Q$4:$Y$303,53,9)))</f>
        <v/>
      </c>
      <c r="J2268" s="26" t="str">
        <f>IF($E2268="","",INDEX(成本费用登记表!$C$4:$C$303,53))</f>
        <v/>
      </c>
      <c r="K2268" s="26" t="str">
        <f>IF($E2268="","",INDEX(成本费用登记表!$D$4:$D$303,53))</f>
        <v/>
      </c>
      <c r="L2268" s="32" t="str">
        <f>IF($E2268="","",INDEX(成本费用登记表!$N$4:$N$303,53))</f>
        <v/>
      </c>
      <c r="M2268" s="32"/>
      <c r="N2268" s="26" t="str">
        <f t="shared" si="106"/>
        <v/>
      </c>
      <c r="O2268" s="26" t="str">
        <f t="shared" si="107"/>
        <v/>
      </c>
      <c r="P2268" s="10"/>
    </row>
    <row r="2269" ht="18" customHeight="1" spans="1:16">
      <c r="A2269" s="32" t="str">
        <f t="shared" si="108"/>
        <v/>
      </c>
      <c r="B2269" s="100" t="str">
        <f>IF($E2269="","",INDEX(成本费用登记表!$B$4:$B$303,54))</f>
        <v/>
      </c>
      <c r="C2269" s="26" t="str">
        <f t="shared" si="105"/>
        <v/>
      </c>
      <c r="D2269" s="32" t="str">
        <f>IF($E2269="","",INDEX(成本费用登记表!$E$4:$E$303,54))</f>
        <v/>
      </c>
      <c r="E2269" s="26" t="str">
        <f>IF(INDEX(成本费用登记表!$Q$4:$Y$303,54,1)=0,"",INDEX(成本费用登记表!$Q$4:$Y$303,54,1))</f>
        <v/>
      </c>
      <c r="F2269" s="25" t="str">
        <f>IF($E2269="","",IFERROR(INDEX(科目表!$A$4:$A$81,MATCH($E2269,科目表!$B$4:$B$81,0)),""))</f>
        <v/>
      </c>
      <c r="G2269" s="26" t="str">
        <f>IF($E2269="","",IFERROR(INDEX(科目表!$E$4:$E$81,MATCH($E2269,科目表!$B$4:$B$81,0)),""))</f>
        <v/>
      </c>
      <c r="H2269" s="27" t="str">
        <f>IF($E2269="","",N(INDEX(成本费用登记表!$Q$4:$Y$303,54,2)))</f>
        <v/>
      </c>
      <c r="I2269" s="27" t="str">
        <f>IF($E2269="","",N(INDEX(成本费用登记表!$Q$4:$Y$303,54,3)))</f>
        <v/>
      </c>
      <c r="J2269" s="26" t="str">
        <f>IF($E2269="","",INDEX(成本费用登记表!$C$4:$C$303,54))</f>
        <v/>
      </c>
      <c r="K2269" s="26" t="str">
        <f>IF($E2269="","",INDEX(成本费用登记表!$D$4:$D$303,54))</f>
        <v/>
      </c>
      <c r="L2269" s="32" t="str">
        <f>IF($E2269="","",INDEX(成本费用登记表!$N$4:$N$303,54))</f>
        <v/>
      </c>
      <c r="M2269" s="32"/>
      <c r="N2269" s="26" t="str">
        <f t="shared" si="106"/>
        <v/>
      </c>
      <c r="O2269" s="26" t="str">
        <f t="shared" si="107"/>
        <v/>
      </c>
      <c r="P2269" s="10"/>
    </row>
    <row r="2270" ht="18" customHeight="1" spans="1:16">
      <c r="A2270" s="32" t="str">
        <f t="shared" si="108"/>
        <v/>
      </c>
      <c r="B2270" s="100" t="str">
        <f>IF($E2270="","",INDEX(成本费用登记表!$B$4:$B$303,54))</f>
        <v/>
      </c>
      <c r="C2270" s="26" t="str">
        <f t="shared" si="105"/>
        <v/>
      </c>
      <c r="D2270" s="32" t="str">
        <f>IF($E2270="","",INDEX(成本费用登记表!$E$4:$E$303,54))</f>
        <v/>
      </c>
      <c r="E2270" s="26" t="str">
        <f>IF(INDEX(成本费用登记表!$Q$4:$Y$303,54,4)=0,"",INDEX(成本费用登记表!$Q$4:$Y$303,54,4))</f>
        <v/>
      </c>
      <c r="F2270" s="25" t="str">
        <f>IF($E2270="","",IFERROR(INDEX(科目表!$A$4:$A$81,MATCH($E2270,科目表!$B$4:$B$81,0)),""))</f>
        <v/>
      </c>
      <c r="G2270" s="26" t="str">
        <f>IF($E2270="","",IFERROR(INDEX(科目表!$E$4:$E$81,MATCH($E2270,科目表!$B$4:$B$81,0)),""))</f>
        <v/>
      </c>
      <c r="H2270" s="27" t="str">
        <f>IF($E2270="","",N(INDEX(成本费用登记表!$Q$4:$Y$303,54,5)))</f>
        <v/>
      </c>
      <c r="I2270" s="27" t="str">
        <f>IF($E2270="","",N(INDEX(成本费用登记表!$Q$4:$Y$303,54,6)))</f>
        <v/>
      </c>
      <c r="J2270" s="26" t="str">
        <f>IF($E2270="","",INDEX(成本费用登记表!$C$4:$C$303,54))</f>
        <v/>
      </c>
      <c r="K2270" s="26" t="str">
        <f>IF($E2270="","",INDEX(成本费用登记表!$D$4:$D$303,54))</f>
        <v/>
      </c>
      <c r="L2270" s="32" t="str">
        <f>IF($E2270="","",INDEX(成本费用登记表!$N$4:$N$303,54))</f>
        <v/>
      </c>
      <c r="M2270" s="32"/>
      <c r="N2270" s="26" t="str">
        <f t="shared" si="106"/>
        <v/>
      </c>
      <c r="O2270" s="26" t="str">
        <f t="shared" si="107"/>
        <v/>
      </c>
      <c r="P2270" s="10"/>
    </row>
    <row r="2271" ht="18" customHeight="1" spans="1:16">
      <c r="A2271" s="32" t="str">
        <f t="shared" si="108"/>
        <v/>
      </c>
      <c r="B2271" s="100" t="str">
        <f>IF($E2271="","",INDEX(成本费用登记表!$B$4:$B$303,54))</f>
        <v/>
      </c>
      <c r="C2271" s="26" t="str">
        <f t="shared" si="105"/>
        <v/>
      </c>
      <c r="D2271" s="32" t="str">
        <f>IF($E2271="","",INDEX(成本费用登记表!$E$4:$E$303,54))</f>
        <v/>
      </c>
      <c r="E2271" s="26" t="str">
        <f>IF(INDEX(成本费用登记表!$Q$4:$Y$303,54,7)=0,"",INDEX(成本费用登记表!$Q$4:$Y$303,54,7))</f>
        <v/>
      </c>
      <c r="F2271" s="25" t="str">
        <f>IF($E2271="","",IFERROR(INDEX(科目表!$A$4:$A$81,MATCH($E2271,科目表!$B$4:$B$81,0)),""))</f>
        <v/>
      </c>
      <c r="G2271" s="26" t="str">
        <f>IF($E2271="","",IFERROR(INDEX(科目表!$E$4:$E$81,MATCH($E2271,科目表!$B$4:$B$81,0)),""))</f>
        <v/>
      </c>
      <c r="H2271" s="27" t="str">
        <f>IF($E2271="","",N(INDEX(成本费用登记表!$Q$4:$Y$303,54,8)))</f>
        <v/>
      </c>
      <c r="I2271" s="27" t="str">
        <f>IF($E2271="","",N(INDEX(成本费用登记表!$Q$4:$Y$303,54,9)))</f>
        <v/>
      </c>
      <c r="J2271" s="26" t="str">
        <f>IF($E2271="","",INDEX(成本费用登记表!$C$4:$C$303,54))</f>
        <v/>
      </c>
      <c r="K2271" s="26" t="str">
        <f>IF($E2271="","",INDEX(成本费用登记表!$D$4:$D$303,54))</f>
        <v/>
      </c>
      <c r="L2271" s="32" t="str">
        <f>IF($E2271="","",INDEX(成本费用登记表!$N$4:$N$303,54))</f>
        <v/>
      </c>
      <c r="M2271" s="32"/>
      <c r="N2271" s="26" t="str">
        <f t="shared" si="106"/>
        <v/>
      </c>
      <c r="O2271" s="26" t="str">
        <f t="shared" si="107"/>
        <v/>
      </c>
      <c r="P2271" s="10"/>
    </row>
    <row r="2272" ht="18" customHeight="1" spans="1:16">
      <c r="A2272" s="32" t="str">
        <f t="shared" si="108"/>
        <v/>
      </c>
      <c r="B2272" s="100" t="str">
        <f>IF($E2272="","",INDEX(成本费用登记表!$B$4:$B$303,55))</f>
        <v/>
      </c>
      <c r="C2272" s="26" t="str">
        <f t="shared" si="105"/>
        <v/>
      </c>
      <c r="D2272" s="32" t="str">
        <f>IF($E2272="","",INDEX(成本费用登记表!$E$4:$E$303,55))</f>
        <v/>
      </c>
      <c r="E2272" s="26" t="str">
        <f>IF(INDEX(成本费用登记表!$Q$4:$Y$303,55,1)=0,"",INDEX(成本费用登记表!$Q$4:$Y$303,55,1))</f>
        <v/>
      </c>
      <c r="F2272" s="25" t="str">
        <f>IF($E2272="","",IFERROR(INDEX(科目表!$A$4:$A$81,MATCH($E2272,科目表!$B$4:$B$81,0)),""))</f>
        <v/>
      </c>
      <c r="G2272" s="26" t="str">
        <f>IF($E2272="","",IFERROR(INDEX(科目表!$E$4:$E$81,MATCH($E2272,科目表!$B$4:$B$81,0)),""))</f>
        <v/>
      </c>
      <c r="H2272" s="27" t="str">
        <f>IF($E2272="","",N(INDEX(成本费用登记表!$Q$4:$Y$303,55,2)))</f>
        <v/>
      </c>
      <c r="I2272" s="27" t="str">
        <f>IF($E2272="","",N(INDEX(成本费用登记表!$Q$4:$Y$303,55,3)))</f>
        <v/>
      </c>
      <c r="J2272" s="26" t="str">
        <f>IF($E2272="","",INDEX(成本费用登记表!$C$4:$C$303,55))</f>
        <v/>
      </c>
      <c r="K2272" s="26" t="str">
        <f>IF($E2272="","",INDEX(成本费用登记表!$D$4:$D$303,55))</f>
        <v/>
      </c>
      <c r="L2272" s="32" t="str">
        <f>IF($E2272="","",INDEX(成本费用登记表!$N$4:$N$303,55))</f>
        <v/>
      </c>
      <c r="M2272" s="32"/>
      <c r="N2272" s="26" t="str">
        <f t="shared" si="106"/>
        <v/>
      </c>
      <c r="O2272" s="26" t="str">
        <f t="shared" si="107"/>
        <v/>
      </c>
      <c r="P2272" s="10"/>
    </row>
    <row r="2273" ht="18" customHeight="1" spans="1:16">
      <c r="A2273" s="32" t="str">
        <f t="shared" si="108"/>
        <v/>
      </c>
      <c r="B2273" s="100" t="str">
        <f>IF($E2273="","",INDEX(成本费用登记表!$B$4:$B$303,55))</f>
        <v/>
      </c>
      <c r="C2273" s="26" t="str">
        <f t="shared" si="105"/>
        <v/>
      </c>
      <c r="D2273" s="32" t="str">
        <f>IF($E2273="","",INDEX(成本费用登记表!$E$4:$E$303,55))</f>
        <v/>
      </c>
      <c r="E2273" s="26" t="str">
        <f>IF(INDEX(成本费用登记表!$Q$4:$Y$303,55,4)=0,"",INDEX(成本费用登记表!$Q$4:$Y$303,55,4))</f>
        <v/>
      </c>
      <c r="F2273" s="25" t="str">
        <f>IF($E2273="","",IFERROR(INDEX(科目表!$A$4:$A$81,MATCH($E2273,科目表!$B$4:$B$81,0)),""))</f>
        <v/>
      </c>
      <c r="G2273" s="26" t="str">
        <f>IF($E2273="","",IFERROR(INDEX(科目表!$E$4:$E$81,MATCH($E2273,科目表!$B$4:$B$81,0)),""))</f>
        <v/>
      </c>
      <c r="H2273" s="27" t="str">
        <f>IF($E2273="","",N(INDEX(成本费用登记表!$Q$4:$Y$303,55,5)))</f>
        <v/>
      </c>
      <c r="I2273" s="27" t="str">
        <f>IF($E2273="","",N(INDEX(成本费用登记表!$Q$4:$Y$303,55,6)))</f>
        <v/>
      </c>
      <c r="J2273" s="26" t="str">
        <f>IF($E2273="","",INDEX(成本费用登记表!$C$4:$C$303,55))</f>
        <v/>
      </c>
      <c r="K2273" s="26" t="str">
        <f>IF($E2273="","",INDEX(成本费用登记表!$D$4:$D$303,55))</f>
        <v/>
      </c>
      <c r="L2273" s="32" t="str">
        <f>IF($E2273="","",INDEX(成本费用登记表!$N$4:$N$303,55))</f>
        <v/>
      </c>
      <c r="M2273" s="32"/>
      <c r="N2273" s="26" t="str">
        <f t="shared" si="106"/>
        <v/>
      </c>
      <c r="O2273" s="26" t="str">
        <f t="shared" si="107"/>
        <v/>
      </c>
      <c r="P2273" s="10"/>
    </row>
    <row r="2274" ht="18" customHeight="1" spans="1:16">
      <c r="A2274" s="32" t="str">
        <f t="shared" si="108"/>
        <v/>
      </c>
      <c r="B2274" s="100" t="str">
        <f>IF($E2274="","",INDEX(成本费用登记表!$B$4:$B$303,55))</f>
        <v/>
      </c>
      <c r="C2274" s="26" t="str">
        <f t="shared" si="105"/>
        <v/>
      </c>
      <c r="D2274" s="32" t="str">
        <f>IF($E2274="","",INDEX(成本费用登记表!$E$4:$E$303,55))</f>
        <v/>
      </c>
      <c r="E2274" s="26" t="str">
        <f>IF(INDEX(成本费用登记表!$Q$4:$Y$303,55,7)=0,"",INDEX(成本费用登记表!$Q$4:$Y$303,55,7))</f>
        <v/>
      </c>
      <c r="F2274" s="25" t="str">
        <f>IF($E2274="","",IFERROR(INDEX(科目表!$A$4:$A$81,MATCH($E2274,科目表!$B$4:$B$81,0)),""))</f>
        <v/>
      </c>
      <c r="G2274" s="26" t="str">
        <f>IF($E2274="","",IFERROR(INDEX(科目表!$E$4:$E$81,MATCH($E2274,科目表!$B$4:$B$81,0)),""))</f>
        <v/>
      </c>
      <c r="H2274" s="27" t="str">
        <f>IF($E2274="","",N(INDEX(成本费用登记表!$Q$4:$Y$303,55,8)))</f>
        <v/>
      </c>
      <c r="I2274" s="27" t="str">
        <f>IF($E2274="","",N(INDEX(成本费用登记表!$Q$4:$Y$303,55,9)))</f>
        <v/>
      </c>
      <c r="J2274" s="26" t="str">
        <f>IF($E2274="","",INDEX(成本费用登记表!$C$4:$C$303,55))</f>
        <v/>
      </c>
      <c r="K2274" s="26" t="str">
        <f>IF($E2274="","",INDEX(成本费用登记表!$D$4:$D$303,55))</f>
        <v/>
      </c>
      <c r="L2274" s="32" t="str">
        <f>IF($E2274="","",INDEX(成本费用登记表!$N$4:$N$303,55))</f>
        <v/>
      </c>
      <c r="M2274" s="32"/>
      <c r="N2274" s="26" t="str">
        <f t="shared" si="106"/>
        <v/>
      </c>
      <c r="O2274" s="26" t="str">
        <f t="shared" si="107"/>
        <v/>
      </c>
      <c r="P2274" s="10"/>
    </row>
    <row r="2275" ht="18" customHeight="1" spans="1:16">
      <c r="A2275" s="32" t="str">
        <f t="shared" si="108"/>
        <v/>
      </c>
      <c r="B2275" s="100" t="str">
        <f>IF($E2275="","",INDEX(成本费用登记表!$B$4:$B$303,56))</f>
        <v/>
      </c>
      <c r="C2275" s="26" t="str">
        <f t="shared" si="105"/>
        <v/>
      </c>
      <c r="D2275" s="32" t="str">
        <f>IF($E2275="","",INDEX(成本费用登记表!$E$4:$E$303,56))</f>
        <v/>
      </c>
      <c r="E2275" s="26" t="str">
        <f>IF(INDEX(成本费用登记表!$Q$4:$Y$303,56,1)=0,"",INDEX(成本费用登记表!$Q$4:$Y$303,56,1))</f>
        <v/>
      </c>
      <c r="F2275" s="25" t="str">
        <f>IF($E2275="","",IFERROR(INDEX(科目表!$A$4:$A$81,MATCH($E2275,科目表!$B$4:$B$81,0)),""))</f>
        <v/>
      </c>
      <c r="G2275" s="26" t="str">
        <f>IF($E2275="","",IFERROR(INDEX(科目表!$E$4:$E$81,MATCH($E2275,科目表!$B$4:$B$81,0)),""))</f>
        <v/>
      </c>
      <c r="H2275" s="27" t="str">
        <f>IF($E2275="","",N(INDEX(成本费用登记表!$Q$4:$Y$303,56,2)))</f>
        <v/>
      </c>
      <c r="I2275" s="27" t="str">
        <f>IF($E2275="","",N(INDEX(成本费用登记表!$Q$4:$Y$303,56,3)))</f>
        <v/>
      </c>
      <c r="J2275" s="26" t="str">
        <f>IF($E2275="","",INDEX(成本费用登记表!$C$4:$C$303,56))</f>
        <v/>
      </c>
      <c r="K2275" s="26" t="str">
        <f>IF($E2275="","",INDEX(成本费用登记表!$D$4:$D$303,56))</f>
        <v/>
      </c>
      <c r="L2275" s="32" t="str">
        <f>IF($E2275="","",INDEX(成本费用登记表!$N$4:$N$303,56))</f>
        <v/>
      </c>
      <c r="M2275" s="32"/>
      <c r="N2275" s="26" t="str">
        <f t="shared" si="106"/>
        <v/>
      </c>
      <c r="O2275" s="26" t="str">
        <f t="shared" si="107"/>
        <v/>
      </c>
      <c r="P2275" s="10"/>
    </row>
    <row r="2276" ht="18" customHeight="1" spans="1:16">
      <c r="A2276" s="32" t="str">
        <f t="shared" si="108"/>
        <v/>
      </c>
      <c r="B2276" s="100" t="str">
        <f>IF($E2276="","",INDEX(成本费用登记表!$B$4:$B$303,56))</f>
        <v/>
      </c>
      <c r="C2276" s="26" t="str">
        <f t="shared" si="105"/>
        <v/>
      </c>
      <c r="D2276" s="32" t="str">
        <f>IF($E2276="","",INDEX(成本费用登记表!$E$4:$E$303,56))</f>
        <v/>
      </c>
      <c r="E2276" s="26" t="str">
        <f>IF(INDEX(成本费用登记表!$Q$4:$Y$303,56,4)=0,"",INDEX(成本费用登记表!$Q$4:$Y$303,56,4))</f>
        <v/>
      </c>
      <c r="F2276" s="25" t="str">
        <f>IF($E2276="","",IFERROR(INDEX(科目表!$A$4:$A$81,MATCH($E2276,科目表!$B$4:$B$81,0)),""))</f>
        <v/>
      </c>
      <c r="G2276" s="26" t="str">
        <f>IF($E2276="","",IFERROR(INDEX(科目表!$E$4:$E$81,MATCH($E2276,科目表!$B$4:$B$81,0)),""))</f>
        <v/>
      </c>
      <c r="H2276" s="27" t="str">
        <f>IF($E2276="","",N(INDEX(成本费用登记表!$Q$4:$Y$303,56,5)))</f>
        <v/>
      </c>
      <c r="I2276" s="27" t="str">
        <f>IF($E2276="","",N(INDEX(成本费用登记表!$Q$4:$Y$303,56,6)))</f>
        <v/>
      </c>
      <c r="J2276" s="26" t="str">
        <f>IF($E2276="","",INDEX(成本费用登记表!$C$4:$C$303,56))</f>
        <v/>
      </c>
      <c r="K2276" s="26" t="str">
        <f>IF($E2276="","",INDEX(成本费用登记表!$D$4:$D$303,56))</f>
        <v/>
      </c>
      <c r="L2276" s="32" t="str">
        <f>IF($E2276="","",INDEX(成本费用登记表!$N$4:$N$303,56))</f>
        <v/>
      </c>
      <c r="M2276" s="32"/>
      <c r="N2276" s="26" t="str">
        <f t="shared" si="106"/>
        <v/>
      </c>
      <c r="O2276" s="26" t="str">
        <f t="shared" si="107"/>
        <v/>
      </c>
      <c r="P2276" s="10"/>
    </row>
    <row r="2277" ht="18" customHeight="1" spans="1:16">
      <c r="A2277" s="32" t="str">
        <f t="shared" si="108"/>
        <v/>
      </c>
      <c r="B2277" s="100" t="str">
        <f>IF($E2277="","",INDEX(成本费用登记表!$B$4:$B$303,56))</f>
        <v/>
      </c>
      <c r="C2277" s="26" t="str">
        <f t="shared" si="105"/>
        <v/>
      </c>
      <c r="D2277" s="32" t="str">
        <f>IF($E2277="","",INDEX(成本费用登记表!$E$4:$E$303,56))</f>
        <v/>
      </c>
      <c r="E2277" s="26" t="str">
        <f>IF(INDEX(成本费用登记表!$Q$4:$Y$303,56,7)=0,"",INDEX(成本费用登记表!$Q$4:$Y$303,56,7))</f>
        <v/>
      </c>
      <c r="F2277" s="25" t="str">
        <f>IF($E2277="","",IFERROR(INDEX(科目表!$A$4:$A$81,MATCH($E2277,科目表!$B$4:$B$81,0)),""))</f>
        <v/>
      </c>
      <c r="G2277" s="26" t="str">
        <f>IF($E2277="","",IFERROR(INDEX(科目表!$E$4:$E$81,MATCH($E2277,科目表!$B$4:$B$81,0)),""))</f>
        <v/>
      </c>
      <c r="H2277" s="27" t="str">
        <f>IF($E2277="","",N(INDEX(成本费用登记表!$Q$4:$Y$303,56,8)))</f>
        <v/>
      </c>
      <c r="I2277" s="27" t="str">
        <f>IF($E2277="","",N(INDEX(成本费用登记表!$Q$4:$Y$303,56,9)))</f>
        <v/>
      </c>
      <c r="J2277" s="26" t="str">
        <f>IF($E2277="","",INDEX(成本费用登记表!$C$4:$C$303,56))</f>
        <v/>
      </c>
      <c r="K2277" s="26" t="str">
        <f>IF($E2277="","",INDEX(成本费用登记表!$D$4:$D$303,56))</f>
        <v/>
      </c>
      <c r="L2277" s="32" t="str">
        <f>IF($E2277="","",INDEX(成本费用登记表!$N$4:$N$303,56))</f>
        <v/>
      </c>
      <c r="M2277" s="32"/>
      <c r="N2277" s="26" t="str">
        <f t="shared" si="106"/>
        <v/>
      </c>
      <c r="O2277" s="26" t="str">
        <f t="shared" si="107"/>
        <v/>
      </c>
      <c r="P2277" s="10"/>
    </row>
    <row r="2278" ht="18" customHeight="1" spans="1:16">
      <c r="A2278" s="32" t="str">
        <f t="shared" si="108"/>
        <v/>
      </c>
      <c r="B2278" s="100" t="str">
        <f>IF($E2278="","",INDEX(成本费用登记表!$B$4:$B$303,57))</f>
        <v/>
      </c>
      <c r="C2278" s="26" t="str">
        <f t="shared" si="105"/>
        <v/>
      </c>
      <c r="D2278" s="32" t="str">
        <f>IF($E2278="","",INDEX(成本费用登记表!$E$4:$E$303,57))</f>
        <v/>
      </c>
      <c r="E2278" s="26" t="str">
        <f>IF(INDEX(成本费用登记表!$Q$4:$Y$303,57,1)=0,"",INDEX(成本费用登记表!$Q$4:$Y$303,57,1))</f>
        <v/>
      </c>
      <c r="F2278" s="25" t="str">
        <f>IF($E2278="","",IFERROR(INDEX(科目表!$A$4:$A$81,MATCH($E2278,科目表!$B$4:$B$81,0)),""))</f>
        <v/>
      </c>
      <c r="G2278" s="26" t="str">
        <f>IF($E2278="","",IFERROR(INDEX(科目表!$E$4:$E$81,MATCH($E2278,科目表!$B$4:$B$81,0)),""))</f>
        <v/>
      </c>
      <c r="H2278" s="27" t="str">
        <f>IF($E2278="","",N(INDEX(成本费用登记表!$Q$4:$Y$303,57,2)))</f>
        <v/>
      </c>
      <c r="I2278" s="27" t="str">
        <f>IF($E2278="","",N(INDEX(成本费用登记表!$Q$4:$Y$303,57,3)))</f>
        <v/>
      </c>
      <c r="J2278" s="26" t="str">
        <f>IF($E2278="","",INDEX(成本费用登记表!$C$4:$C$303,57))</f>
        <v/>
      </c>
      <c r="K2278" s="26" t="str">
        <f>IF($E2278="","",INDEX(成本费用登记表!$D$4:$D$303,57))</f>
        <v/>
      </c>
      <c r="L2278" s="32" t="str">
        <f>IF($E2278="","",INDEX(成本费用登记表!$N$4:$N$303,57))</f>
        <v/>
      </c>
      <c r="M2278" s="32"/>
      <c r="N2278" s="26" t="str">
        <f t="shared" si="106"/>
        <v/>
      </c>
      <c r="O2278" s="26" t="str">
        <f t="shared" si="107"/>
        <v/>
      </c>
      <c r="P2278" s="10"/>
    </row>
    <row r="2279" ht="18" customHeight="1" spans="1:16">
      <c r="A2279" s="32" t="str">
        <f t="shared" si="108"/>
        <v/>
      </c>
      <c r="B2279" s="100" t="str">
        <f>IF($E2279="","",INDEX(成本费用登记表!$B$4:$B$303,57))</f>
        <v/>
      </c>
      <c r="C2279" s="26" t="str">
        <f t="shared" si="105"/>
        <v/>
      </c>
      <c r="D2279" s="32" t="str">
        <f>IF($E2279="","",INDEX(成本费用登记表!$E$4:$E$303,57))</f>
        <v/>
      </c>
      <c r="E2279" s="26" t="str">
        <f>IF(INDEX(成本费用登记表!$Q$4:$Y$303,57,4)=0,"",INDEX(成本费用登记表!$Q$4:$Y$303,57,4))</f>
        <v/>
      </c>
      <c r="F2279" s="25" t="str">
        <f>IF($E2279="","",IFERROR(INDEX(科目表!$A$4:$A$81,MATCH($E2279,科目表!$B$4:$B$81,0)),""))</f>
        <v/>
      </c>
      <c r="G2279" s="26" t="str">
        <f>IF($E2279="","",IFERROR(INDEX(科目表!$E$4:$E$81,MATCH($E2279,科目表!$B$4:$B$81,0)),""))</f>
        <v/>
      </c>
      <c r="H2279" s="27" t="str">
        <f>IF($E2279="","",N(INDEX(成本费用登记表!$Q$4:$Y$303,57,5)))</f>
        <v/>
      </c>
      <c r="I2279" s="27" t="str">
        <f>IF($E2279="","",N(INDEX(成本费用登记表!$Q$4:$Y$303,57,6)))</f>
        <v/>
      </c>
      <c r="J2279" s="26" t="str">
        <f>IF($E2279="","",INDEX(成本费用登记表!$C$4:$C$303,57))</f>
        <v/>
      </c>
      <c r="K2279" s="26" t="str">
        <f>IF($E2279="","",INDEX(成本费用登记表!$D$4:$D$303,57))</f>
        <v/>
      </c>
      <c r="L2279" s="32" t="str">
        <f>IF($E2279="","",INDEX(成本费用登记表!$N$4:$N$303,57))</f>
        <v/>
      </c>
      <c r="M2279" s="32"/>
      <c r="N2279" s="26" t="str">
        <f t="shared" si="106"/>
        <v/>
      </c>
      <c r="O2279" s="26" t="str">
        <f t="shared" si="107"/>
        <v/>
      </c>
      <c r="P2279" s="10"/>
    </row>
    <row r="2280" ht="18" customHeight="1" spans="1:16">
      <c r="A2280" s="32" t="str">
        <f t="shared" si="108"/>
        <v/>
      </c>
      <c r="B2280" s="100" t="str">
        <f>IF($E2280="","",INDEX(成本费用登记表!$B$4:$B$303,57))</f>
        <v/>
      </c>
      <c r="C2280" s="26" t="str">
        <f t="shared" si="105"/>
        <v/>
      </c>
      <c r="D2280" s="32" t="str">
        <f>IF($E2280="","",INDEX(成本费用登记表!$E$4:$E$303,57))</f>
        <v/>
      </c>
      <c r="E2280" s="26" t="str">
        <f>IF(INDEX(成本费用登记表!$Q$4:$Y$303,57,7)=0,"",INDEX(成本费用登记表!$Q$4:$Y$303,57,7))</f>
        <v/>
      </c>
      <c r="F2280" s="25" t="str">
        <f>IF($E2280="","",IFERROR(INDEX(科目表!$A$4:$A$81,MATCH($E2280,科目表!$B$4:$B$81,0)),""))</f>
        <v/>
      </c>
      <c r="G2280" s="26" t="str">
        <f>IF($E2280="","",IFERROR(INDEX(科目表!$E$4:$E$81,MATCH($E2280,科目表!$B$4:$B$81,0)),""))</f>
        <v/>
      </c>
      <c r="H2280" s="27" t="str">
        <f>IF($E2280="","",N(INDEX(成本费用登记表!$Q$4:$Y$303,57,8)))</f>
        <v/>
      </c>
      <c r="I2280" s="27" t="str">
        <f>IF($E2280="","",N(INDEX(成本费用登记表!$Q$4:$Y$303,57,9)))</f>
        <v/>
      </c>
      <c r="J2280" s="26" t="str">
        <f>IF($E2280="","",INDEX(成本费用登记表!$C$4:$C$303,57))</f>
        <v/>
      </c>
      <c r="K2280" s="26" t="str">
        <f>IF($E2280="","",INDEX(成本费用登记表!$D$4:$D$303,57))</f>
        <v/>
      </c>
      <c r="L2280" s="32" t="str">
        <f>IF($E2280="","",INDEX(成本费用登记表!$N$4:$N$303,57))</f>
        <v/>
      </c>
      <c r="M2280" s="32"/>
      <c r="N2280" s="26" t="str">
        <f t="shared" si="106"/>
        <v/>
      </c>
      <c r="O2280" s="26" t="str">
        <f t="shared" si="107"/>
        <v/>
      </c>
      <c r="P2280" s="10"/>
    </row>
    <row r="2281" ht="18" customHeight="1" spans="1:16">
      <c r="A2281" s="32" t="str">
        <f t="shared" si="108"/>
        <v/>
      </c>
      <c r="B2281" s="100" t="str">
        <f>IF($E2281="","",INDEX(成本费用登记表!$B$4:$B$303,58))</f>
        <v/>
      </c>
      <c r="C2281" s="26" t="str">
        <f t="shared" si="105"/>
        <v/>
      </c>
      <c r="D2281" s="32" t="str">
        <f>IF($E2281="","",INDEX(成本费用登记表!$E$4:$E$303,58))</f>
        <v/>
      </c>
      <c r="E2281" s="26" t="str">
        <f>IF(INDEX(成本费用登记表!$Q$4:$Y$303,58,1)=0,"",INDEX(成本费用登记表!$Q$4:$Y$303,58,1))</f>
        <v/>
      </c>
      <c r="F2281" s="25" t="str">
        <f>IF($E2281="","",IFERROR(INDEX(科目表!$A$4:$A$81,MATCH($E2281,科目表!$B$4:$B$81,0)),""))</f>
        <v/>
      </c>
      <c r="G2281" s="26" t="str">
        <f>IF($E2281="","",IFERROR(INDEX(科目表!$E$4:$E$81,MATCH($E2281,科目表!$B$4:$B$81,0)),""))</f>
        <v/>
      </c>
      <c r="H2281" s="27" t="str">
        <f>IF($E2281="","",N(INDEX(成本费用登记表!$Q$4:$Y$303,58,2)))</f>
        <v/>
      </c>
      <c r="I2281" s="27" t="str">
        <f>IF($E2281="","",N(INDEX(成本费用登记表!$Q$4:$Y$303,58,3)))</f>
        <v/>
      </c>
      <c r="J2281" s="26" t="str">
        <f>IF($E2281="","",INDEX(成本费用登记表!$C$4:$C$303,58))</f>
        <v/>
      </c>
      <c r="K2281" s="26" t="str">
        <f>IF($E2281="","",INDEX(成本费用登记表!$D$4:$D$303,58))</f>
        <v/>
      </c>
      <c r="L2281" s="32" t="str">
        <f>IF($E2281="","",INDEX(成本费用登记表!$N$4:$N$303,58))</f>
        <v/>
      </c>
      <c r="M2281" s="32"/>
      <c r="N2281" s="26" t="str">
        <f t="shared" si="106"/>
        <v/>
      </c>
      <c r="O2281" s="26" t="str">
        <f t="shared" si="107"/>
        <v/>
      </c>
      <c r="P2281" s="10"/>
    </row>
    <row r="2282" ht="18" customHeight="1" spans="1:16">
      <c r="A2282" s="32" t="str">
        <f t="shared" si="108"/>
        <v/>
      </c>
      <c r="B2282" s="100" t="str">
        <f>IF($E2282="","",INDEX(成本费用登记表!$B$4:$B$303,58))</f>
        <v/>
      </c>
      <c r="C2282" s="26" t="str">
        <f t="shared" si="105"/>
        <v/>
      </c>
      <c r="D2282" s="32" t="str">
        <f>IF($E2282="","",INDEX(成本费用登记表!$E$4:$E$303,58))</f>
        <v/>
      </c>
      <c r="E2282" s="26" t="str">
        <f>IF(INDEX(成本费用登记表!$Q$4:$Y$303,58,4)=0,"",INDEX(成本费用登记表!$Q$4:$Y$303,58,4))</f>
        <v/>
      </c>
      <c r="F2282" s="25" t="str">
        <f>IF($E2282="","",IFERROR(INDEX(科目表!$A$4:$A$81,MATCH($E2282,科目表!$B$4:$B$81,0)),""))</f>
        <v/>
      </c>
      <c r="G2282" s="26" t="str">
        <f>IF($E2282="","",IFERROR(INDEX(科目表!$E$4:$E$81,MATCH($E2282,科目表!$B$4:$B$81,0)),""))</f>
        <v/>
      </c>
      <c r="H2282" s="27" t="str">
        <f>IF($E2282="","",N(INDEX(成本费用登记表!$Q$4:$Y$303,58,5)))</f>
        <v/>
      </c>
      <c r="I2282" s="27" t="str">
        <f>IF($E2282="","",N(INDEX(成本费用登记表!$Q$4:$Y$303,58,6)))</f>
        <v/>
      </c>
      <c r="J2282" s="26" t="str">
        <f>IF($E2282="","",INDEX(成本费用登记表!$C$4:$C$303,58))</f>
        <v/>
      </c>
      <c r="K2282" s="26" t="str">
        <f>IF($E2282="","",INDEX(成本费用登记表!$D$4:$D$303,58))</f>
        <v/>
      </c>
      <c r="L2282" s="32" t="str">
        <f>IF($E2282="","",INDEX(成本费用登记表!$N$4:$N$303,58))</f>
        <v/>
      </c>
      <c r="M2282" s="32"/>
      <c r="N2282" s="26" t="str">
        <f t="shared" si="106"/>
        <v/>
      </c>
      <c r="O2282" s="26" t="str">
        <f t="shared" si="107"/>
        <v/>
      </c>
      <c r="P2282" s="10"/>
    </row>
    <row r="2283" ht="18" customHeight="1" spans="1:16">
      <c r="A2283" s="32" t="str">
        <f t="shared" si="108"/>
        <v/>
      </c>
      <c r="B2283" s="100" t="str">
        <f>IF($E2283="","",INDEX(成本费用登记表!$B$4:$B$303,58))</f>
        <v/>
      </c>
      <c r="C2283" s="26" t="str">
        <f t="shared" si="105"/>
        <v/>
      </c>
      <c r="D2283" s="32" t="str">
        <f>IF($E2283="","",INDEX(成本费用登记表!$E$4:$E$303,58))</f>
        <v/>
      </c>
      <c r="E2283" s="26" t="str">
        <f>IF(INDEX(成本费用登记表!$Q$4:$Y$303,58,7)=0,"",INDEX(成本费用登记表!$Q$4:$Y$303,58,7))</f>
        <v/>
      </c>
      <c r="F2283" s="25" t="str">
        <f>IF($E2283="","",IFERROR(INDEX(科目表!$A$4:$A$81,MATCH($E2283,科目表!$B$4:$B$81,0)),""))</f>
        <v/>
      </c>
      <c r="G2283" s="26" t="str">
        <f>IF($E2283="","",IFERROR(INDEX(科目表!$E$4:$E$81,MATCH($E2283,科目表!$B$4:$B$81,0)),""))</f>
        <v/>
      </c>
      <c r="H2283" s="27" t="str">
        <f>IF($E2283="","",N(INDEX(成本费用登记表!$Q$4:$Y$303,58,8)))</f>
        <v/>
      </c>
      <c r="I2283" s="27" t="str">
        <f>IF($E2283="","",N(INDEX(成本费用登记表!$Q$4:$Y$303,58,9)))</f>
        <v/>
      </c>
      <c r="J2283" s="26" t="str">
        <f>IF($E2283="","",INDEX(成本费用登记表!$C$4:$C$303,58))</f>
        <v/>
      </c>
      <c r="K2283" s="26" t="str">
        <f>IF($E2283="","",INDEX(成本费用登记表!$D$4:$D$303,58))</f>
        <v/>
      </c>
      <c r="L2283" s="32" t="str">
        <f>IF($E2283="","",INDEX(成本费用登记表!$N$4:$N$303,58))</f>
        <v/>
      </c>
      <c r="M2283" s="32"/>
      <c r="N2283" s="26" t="str">
        <f t="shared" si="106"/>
        <v/>
      </c>
      <c r="O2283" s="26" t="str">
        <f t="shared" si="107"/>
        <v/>
      </c>
      <c r="P2283" s="10"/>
    </row>
    <row r="2284" ht="18" customHeight="1" spans="1:16">
      <c r="A2284" s="32" t="str">
        <f t="shared" si="108"/>
        <v/>
      </c>
      <c r="B2284" s="100" t="str">
        <f>IF($E2284="","",INDEX(成本费用登记表!$B$4:$B$303,59))</f>
        <v/>
      </c>
      <c r="C2284" s="26" t="str">
        <f t="shared" si="105"/>
        <v/>
      </c>
      <c r="D2284" s="32" t="str">
        <f>IF($E2284="","",INDEX(成本费用登记表!$E$4:$E$303,59))</f>
        <v/>
      </c>
      <c r="E2284" s="26" t="str">
        <f>IF(INDEX(成本费用登记表!$Q$4:$Y$303,59,1)=0,"",INDEX(成本费用登记表!$Q$4:$Y$303,59,1))</f>
        <v/>
      </c>
      <c r="F2284" s="25" t="str">
        <f>IF($E2284="","",IFERROR(INDEX(科目表!$A$4:$A$81,MATCH($E2284,科目表!$B$4:$B$81,0)),""))</f>
        <v/>
      </c>
      <c r="G2284" s="26" t="str">
        <f>IF($E2284="","",IFERROR(INDEX(科目表!$E$4:$E$81,MATCH($E2284,科目表!$B$4:$B$81,0)),""))</f>
        <v/>
      </c>
      <c r="H2284" s="27" t="str">
        <f>IF($E2284="","",N(INDEX(成本费用登记表!$Q$4:$Y$303,59,2)))</f>
        <v/>
      </c>
      <c r="I2284" s="27" t="str">
        <f>IF($E2284="","",N(INDEX(成本费用登记表!$Q$4:$Y$303,59,3)))</f>
        <v/>
      </c>
      <c r="J2284" s="26" t="str">
        <f>IF($E2284="","",INDEX(成本费用登记表!$C$4:$C$303,59))</f>
        <v/>
      </c>
      <c r="K2284" s="26" t="str">
        <f>IF($E2284="","",INDEX(成本费用登记表!$D$4:$D$303,59))</f>
        <v/>
      </c>
      <c r="L2284" s="32" t="str">
        <f>IF($E2284="","",INDEX(成本费用登记表!$N$4:$N$303,59))</f>
        <v/>
      </c>
      <c r="M2284" s="32"/>
      <c r="N2284" s="26" t="str">
        <f t="shared" si="106"/>
        <v/>
      </c>
      <c r="O2284" s="26" t="str">
        <f t="shared" si="107"/>
        <v/>
      </c>
      <c r="P2284" s="10"/>
    </row>
    <row r="2285" ht="18" customHeight="1" spans="1:16">
      <c r="A2285" s="32" t="str">
        <f t="shared" si="108"/>
        <v/>
      </c>
      <c r="B2285" s="100" t="str">
        <f>IF($E2285="","",INDEX(成本费用登记表!$B$4:$B$303,59))</f>
        <v/>
      </c>
      <c r="C2285" s="26" t="str">
        <f t="shared" si="105"/>
        <v/>
      </c>
      <c r="D2285" s="32" t="str">
        <f>IF($E2285="","",INDEX(成本费用登记表!$E$4:$E$303,59))</f>
        <v/>
      </c>
      <c r="E2285" s="26" t="str">
        <f>IF(INDEX(成本费用登记表!$Q$4:$Y$303,59,4)=0,"",INDEX(成本费用登记表!$Q$4:$Y$303,59,4))</f>
        <v/>
      </c>
      <c r="F2285" s="25" t="str">
        <f>IF($E2285="","",IFERROR(INDEX(科目表!$A$4:$A$81,MATCH($E2285,科目表!$B$4:$B$81,0)),""))</f>
        <v/>
      </c>
      <c r="G2285" s="26" t="str">
        <f>IF($E2285="","",IFERROR(INDEX(科目表!$E$4:$E$81,MATCH($E2285,科目表!$B$4:$B$81,0)),""))</f>
        <v/>
      </c>
      <c r="H2285" s="27" t="str">
        <f>IF($E2285="","",N(INDEX(成本费用登记表!$Q$4:$Y$303,59,5)))</f>
        <v/>
      </c>
      <c r="I2285" s="27" t="str">
        <f>IF($E2285="","",N(INDEX(成本费用登记表!$Q$4:$Y$303,59,6)))</f>
        <v/>
      </c>
      <c r="J2285" s="26" t="str">
        <f>IF($E2285="","",INDEX(成本费用登记表!$C$4:$C$303,59))</f>
        <v/>
      </c>
      <c r="K2285" s="26" t="str">
        <f>IF($E2285="","",INDEX(成本费用登记表!$D$4:$D$303,59))</f>
        <v/>
      </c>
      <c r="L2285" s="32" t="str">
        <f>IF($E2285="","",INDEX(成本费用登记表!$N$4:$N$303,59))</f>
        <v/>
      </c>
      <c r="M2285" s="32"/>
      <c r="N2285" s="26" t="str">
        <f t="shared" si="106"/>
        <v/>
      </c>
      <c r="O2285" s="26" t="str">
        <f t="shared" si="107"/>
        <v/>
      </c>
      <c r="P2285" s="10"/>
    </row>
    <row r="2286" ht="18" customHeight="1" spans="1:16">
      <c r="A2286" s="32" t="str">
        <f t="shared" si="108"/>
        <v/>
      </c>
      <c r="B2286" s="100" t="str">
        <f>IF($E2286="","",INDEX(成本费用登记表!$B$4:$B$303,59))</f>
        <v/>
      </c>
      <c r="C2286" s="26" t="str">
        <f t="shared" si="105"/>
        <v/>
      </c>
      <c r="D2286" s="32" t="str">
        <f>IF($E2286="","",INDEX(成本费用登记表!$E$4:$E$303,59))</f>
        <v/>
      </c>
      <c r="E2286" s="26" t="str">
        <f>IF(INDEX(成本费用登记表!$Q$4:$Y$303,59,7)=0,"",INDEX(成本费用登记表!$Q$4:$Y$303,59,7))</f>
        <v/>
      </c>
      <c r="F2286" s="25" t="str">
        <f>IF($E2286="","",IFERROR(INDEX(科目表!$A$4:$A$81,MATCH($E2286,科目表!$B$4:$B$81,0)),""))</f>
        <v/>
      </c>
      <c r="G2286" s="26" t="str">
        <f>IF($E2286="","",IFERROR(INDEX(科目表!$E$4:$E$81,MATCH($E2286,科目表!$B$4:$B$81,0)),""))</f>
        <v/>
      </c>
      <c r="H2286" s="27" t="str">
        <f>IF($E2286="","",N(INDEX(成本费用登记表!$Q$4:$Y$303,59,8)))</f>
        <v/>
      </c>
      <c r="I2286" s="27" t="str">
        <f>IF($E2286="","",N(INDEX(成本费用登记表!$Q$4:$Y$303,59,9)))</f>
        <v/>
      </c>
      <c r="J2286" s="26" t="str">
        <f>IF($E2286="","",INDEX(成本费用登记表!$C$4:$C$303,59))</f>
        <v/>
      </c>
      <c r="K2286" s="26" t="str">
        <f>IF($E2286="","",INDEX(成本费用登记表!$D$4:$D$303,59))</f>
        <v/>
      </c>
      <c r="L2286" s="32" t="str">
        <f>IF($E2286="","",INDEX(成本费用登记表!$N$4:$N$303,59))</f>
        <v/>
      </c>
      <c r="M2286" s="32"/>
      <c r="N2286" s="26" t="str">
        <f t="shared" si="106"/>
        <v/>
      </c>
      <c r="O2286" s="26" t="str">
        <f t="shared" si="107"/>
        <v/>
      </c>
      <c r="P2286" s="10"/>
    </row>
    <row r="2287" ht="18" customHeight="1" spans="1:16">
      <c r="A2287" s="32" t="str">
        <f t="shared" si="108"/>
        <v/>
      </c>
      <c r="B2287" s="100" t="str">
        <f>IF($E2287="","",INDEX(成本费用登记表!$B$4:$B$303,60))</f>
        <v/>
      </c>
      <c r="C2287" s="26" t="str">
        <f t="shared" si="105"/>
        <v/>
      </c>
      <c r="D2287" s="32" t="str">
        <f>IF($E2287="","",INDEX(成本费用登记表!$E$4:$E$303,60))</f>
        <v/>
      </c>
      <c r="E2287" s="26" t="str">
        <f>IF(INDEX(成本费用登记表!$Q$4:$Y$303,60,1)=0,"",INDEX(成本费用登记表!$Q$4:$Y$303,60,1))</f>
        <v/>
      </c>
      <c r="F2287" s="25" t="str">
        <f>IF($E2287="","",IFERROR(INDEX(科目表!$A$4:$A$81,MATCH($E2287,科目表!$B$4:$B$81,0)),""))</f>
        <v/>
      </c>
      <c r="G2287" s="26" t="str">
        <f>IF($E2287="","",IFERROR(INDEX(科目表!$E$4:$E$81,MATCH($E2287,科目表!$B$4:$B$81,0)),""))</f>
        <v/>
      </c>
      <c r="H2287" s="27" t="str">
        <f>IF($E2287="","",N(INDEX(成本费用登记表!$Q$4:$Y$303,60,2)))</f>
        <v/>
      </c>
      <c r="I2287" s="27" t="str">
        <f>IF($E2287="","",N(INDEX(成本费用登记表!$Q$4:$Y$303,60,3)))</f>
        <v/>
      </c>
      <c r="J2287" s="26" t="str">
        <f>IF($E2287="","",INDEX(成本费用登记表!$C$4:$C$303,60))</f>
        <v/>
      </c>
      <c r="K2287" s="26" t="str">
        <f>IF($E2287="","",INDEX(成本费用登记表!$D$4:$D$303,60))</f>
        <v/>
      </c>
      <c r="L2287" s="32" t="str">
        <f>IF($E2287="","",INDEX(成本费用登记表!$N$4:$N$303,60))</f>
        <v/>
      </c>
      <c r="M2287" s="32"/>
      <c r="N2287" s="26" t="str">
        <f t="shared" si="106"/>
        <v/>
      </c>
      <c r="O2287" s="26" t="str">
        <f t="shared" si="107"/>
        <v/>
      </c>
      <c r="P2287" s="10"/>
    </row>
    <row r="2288" ht="18" customHeight="1" spans="1:16">
      <c r="A2288" s="32" t="str">
        <f t="shared" si="108"/>
        <v/>
      </c>
      <c r="B2288" s="100" t="str">
        <f>IF($E2288="","",INDEX(成本费用登记表!$B$4:$B$303,60))</f>
        <v/>
      </c>
      <c r="C2288" s="26" t="str">
        <f t="shared" si="105"/>
        <v/>
      </c>
      <c r="D2288" s="32" t="str">
        <f>IF($E2288="","",INDEX(成本费用登记表!$E$4:$E$303,60))</f>
        <v/>
      </c>
      <c r="E2288" s="26" t="str">
        <f>IF(INDEX(成本费用登记表!$Q$4:$Y$303,60,4)=0,"",INDEX(成本费用登记表!$Q$4:$Y$303,60,4))</f>
        <v/>
      </c>
      <c r="F2288" s="25" t="str">
        <f>IF($E2288="","",IFERROR(INDEX(科目表!$A$4:$A$81,MATCH($E2288,科目表!$B$4:$B$81,0)),""))</f>
        <v/>
      </c>
      <c r="G2288" s="26" t="str">
        <f>IF($E2288="","",IFERROR(INDEX(科目表!$E$4:$E$81,MATCH($E2288,科目表!$B$4:$B$81,0)),""))</f>
        <v/>
      </c>
      <c r="H2288" s="27" t="str">
        <f>IF($E2288="","",N(INDEX(成本费用登记表!$Q$4:$Y$303,60,5)))</f>
        <v/>
      </c>
      <c r="I2288" s="27" t="str">
        <f>IF($E2288="","",N(INDEX(成本费用登记表!$Q$4:$Y$303,60,6)))</f>
        <v/>
      </c>
      <c r="J2288" s="26" t="str">
        <f>IF($E2288="","",INDEX(成本费用登记表!$C$4:$C$303,60))</f>
        <v/>
      </c>
      <c r="K2288" s="26" t="str">
        <f>IF($E2288="","",INDEX(成本费用登记表!$D$4:$D$303,60))</f>
        <v/>
      </c>
      <c r="L2288" s="32" t="str">
        <f>IF($E2288="","",INDEX(成本费用登记表!$N$4:$N$303,60))</f>
        <v/>
      </c>
      <c r="M2288" s="32"/>
      <c r="N2288" s="26" t="str">
        <f t="shared" si="106"/>
        <v/>
      </c>
      <c r="O2288" s="26" t="str">
        <f t="shared" si="107"/>
        <v/>
      </c>
      <c r="P2288" s="10"/>
    </row>
    <row r="2289" ht="18" customHeight="1" spans="1:16">
      <c r="A2289" s="32" t="str">
        <f t="shared" si="108"/>
        <v/>
      </c>
      <c r="B2289" s="100" t="str">
        <f>IF($E2289="","",INDEX(成本费用登记表!$B$4:$B$303,60))</f>
        <v/>
      </c>
      <c r="C2289" s="26" t="str">
        <f t="shared" si="105"/>
        <v/>
      </c>
      <c r="D2289" s="32" t="str">
        <f>IF($E2289="","",INDEX(成本费用登记表!$E$4:$E$303,60))</f>
        <v/>
      </c>
      <c r="E2289" s="26" t="str">
        <f>IF(INDEX(成本费用登记表!$Q$4:$Y$303,60,7)=0,"",INDEX(成本费用登记表!$Q$4:$Y$303,60,7))</f>
        <v/>
      </c>
      <c r="F2289" s="25" t="str">
        <f>IF($E2289="","",IFERROR(INDEX(科目表!$A$4:$A$81,MATCH($E2289,科目表!$B$4:$B$81,0)),""))</f>
        <v/>
      </c>
      <c r="G2289" s="26" t="str">
        <f>IF($E2289="","",IFERROR(INDEX(科目表!$E$4:$E$81,MATCH($E2289,科目表!$B$4:$B$81,0)),""))</f>
        <v/>
      </c>
      <c r="H2289" s="27" t="str">
        <f>IF($E2289="","",N(INDEX(成本费用登记表!$Q$4:$Y$303,60,8)))</f>
        <v/>
      </c>
      <c r="I2289" s="27" t="str">
        <f>IF($E2289="","",N(INDEX(成本费用登记表!$Q$4:$Y$303,60,9)))</f>
        <v/>
      </c>
      <c r="J2289" s="26" t="str">
        <f>IF($E2289="","",INDEX(成本费用登记表!$C$4:$C$303,60))</f>
        <v/>
      </c>
      <c r="K2289" s="26" t="str">
        <f>IF($E2289="","",INDEX(成本费用登记表!$D$4:$D$303,60))</f>
        <v/>
      </c>
      <c r="L2289" s="32" t="str">
        <f>IF($E2289="","",INDEX(成本费用登记表!$N$4:$N$303,60))</f>
        <v/>
      </c>
      <c r="M2289" s="32"/>
      <c r="N2289" s="26" t="str">
        <f t="shared" si="106"/>
        <v/>
      </c>
      <c r="O2289" s="26" t="str">
        <f t="shared" si="107"/>
        <v/>
      </c>
      <c r="P2289" s="10"/>
    </row>
    <row r="2290" ht="18" customHeight="1" spans="1:16">
      <c r="A2290" s="32" t="str">
        <f t="shared" si="108"/>
        <v/>
      </c>
      <c r="B2290" s="100" t="str">
        <f>IF($E2290="","",INDEX(成本费用登记表!$B$4:$B$303,61))</f>
        <v/>
      </c>
      <c r="C2290" s="26" t="str">
        <f t="shared" si="105"/>
        <v/>
      </c>
      <c r="D2290" s="32" t="str">
        <f>IF($E2290="","",INDEX(成本费用登记表!$E$4:$E$303,61))</f>
        <v/>
      </c>
      <c r="E2290" s="26" t="str">
        <f>IF(INDEX(成本费用登记表!$Q$4:$Y$303,61,1)=0,"",INDEX(成本费用登记表!$Q$4:$Y$303,61,1))</f>
        <v/>
      </c>
      <c r="F2290" s="25" t="str">
        <f>IF($E2290="","",IFERROR(INDEX(科目表!$A$4:$A$81,MATCH($E2290,科目表!$B$4:$B$81,0)),""))</f>
        <v/>
      </c>
      <c r="G2290" s="26" t="str">
        <f>IF($E2290="","",IFERROR(INDEX(科目表!$E$4:$E$81,MATCH($E2290,科目表!$B$4:$B$81,0)),""))</f>
        <v/>
      </c>
      <c r="H2290" s="27" t="str">
        <f>IF($E2290="","",N(INDEX(成本费用登记表!$Q$4:$Y$303,61,2)))</f>
        <v/>
      </c>
      <c r="I2290" s="27" t="str">
        <f>IF($E2290="","",N(INDEX(成本费用登记表!$Q$4:$Y$303,61,3)))</f>
        <v/>
      </c>
      <c r="J2290" s="26" t="str">
        <f>IF($E2290="","",INDEX(成本费用登记表!$C$4:$C$303,61))</f>
        <v/>
      </c>
      <c r="K2290" s="26" t="str">
        <f>IF($E2290="","",INDEX(成本费用登记表!$D$4:$D$303,61))</f>
        <v/>
      </c>
      <c r="L2290" s="32" t="str">
        <f>IF($E2290="","",INDEX(成本费用登记表!$N$4:$N$303,61))</f>
        <v/>
      </c>
      <c r="M2290" s="32"/>
      <c r="N2290" s="26" t="str">
        <f t="shared" si="106"/>
        <v/>
      </c>
      <c r="O2290" s="26" t="str">
        <f t="shared" si="107"/>
        <v/>
      </c>
      <c r="P2290" s="10"/>
    </row>
    <row r="2291" ht="18" customHeight="1" spans="1:16">
      <c r="A2291" s="32" t="str">
        <f t="shared" si="108"/>
        <v/>
      </c>
      <c r="B2291" s="100" t="str">
        <f>IF($E2291="","",INDEX(成本费用登记表!$B$4:$B$303,61))</f>
        <v/>
      </c>
      <c r="C2291" s="26" t="str">
        <f t="shared" si="105"/>
        <v/>
      </c>
      <c r="D2291" s="32" t="str">
        <f>IF($E2291="","",INDEX(成本费用登记表!$E$4:$E$303,61))</f>
        <v/>
      </c>
      <c r="E2291" s="26" t="str">
        <f>IF(INDEX(成本费用登记表!$Q$4:$Y$303,61,4)=0,"",INDEX(成本费用登记表!$Q$4:$Y$303,61,4))</f>
        <v/>
      </c>
      <c r="F2291" s="25" t="str">
        <f>IF($E2291="","",IFERROR(INDEX(科目表!$A$4:$A$81,MATCH($E2291,科目表!$B$4:$B$81,0)),""))</f>
        <v/>
      </c>
      <c r="G2291" s="26" t="str">
        <f>IF($E2291="","",IFERROR(INDEX(科目表!$E$4:$E$81,MATCH($E2291,科目表!$B$4:$B$81,0)),""))</f>
        <v/>
      </c>
      <c r="H2291" s="27" t="str">
        <f>IF($E2291="","",N(INDEX(成本费用登记表!$Q$4:$Y$303,61,5)))</f>
        <v/>
      </c>
      <c r="I2291" s="27" t="str">
        <f>IF($E2291="","",N(INDEX(成本费用登记表!$Q$4:$Y$303,61,6)))</f>
        <v/>
      </c>
      <c r="J2291" s="26" t="str">
        <f>IF($E2291="","",INDEX(成本费用登记表!$C$4:$C$303,61))</f>
        <v/>
      </c>
      <c r="K2291" s="26" t="str">
        <f>IF($E2291="","",INDEX(成本费用登记表!$D$4:$D$303,61))</f>
        <v/>
      </c>
      <c r="L2291" s="32" t="str">
        <f>IF($E2291="","",INDEX(成本费用登记表!$N$4:$N$303,61))</f>
        <v/>
      </c>
      <c r="M2291" s="32"/>
      <c r="N2291" s="26" t="str">
        <f t="shared" si="106"/>
        <v/>
      </c>
      <c r="O2291" s="26" t="str">
        <f t="shared" si="107"/>
        <v/>
      </c>
      <c r="P2291" s="10"/>
    </row>
    <row r="2292" ht="18" customHeight="1" spans="1:16">
      <c r="A2292" s="32" t="str">
        <f t="shared" si="108"/>
        <v/>
      </c>
      <c r="B2292" s="100" t="str">
        <f>IF($E2292="","",INDEX(成本费用登记表!$B$4:$B$303,61))</f>
        <v/>
      </c>
      <c r="C2292" s="26" t="str">
        <f t="shared" si="105"/>
        <v/>
      </c>
      <c r="D2292" s="32" t="str">
        <f>IF($E2292="","",INDEX(成本费用登记表!$E$4:$E$303,61))</f>
        <v/>
      </c>
      <c r="E2292" s="26" t="str">
        <f>IF(INDEX(成本费用登记表!$Q$4:$Y$303,61,7)=0,"",INDEX(成本费用登记表!$Q$4:$Y$303,61,7))</f>
        <v/>
      </c>
      <c r="F2292" s="25" t="str">
        <f>IF($E2292="","",IFERROR(INDEX(科目表!$A$4:$A$81,MATCH($E2292,科目表!$B$4:$B$81,0)),""))</f>
        <v/>
      </c>
      <c r="G2292" s="26" t="str">
        <f>IF($E2292="","",IFERROR(INDEX(科目表!$E$4:$E$81,MATCH($E2292,科目表!$B$4:$B$81,0)),""))</f>
        <v/>
      </c>
      <c r="H2292" s="27" t="str">
        <f>IF($E2292="","",N(INDEX(成本费用登记表!$Q$4:$Y$303,61,8)))</f>
        <v/>
      </c>
      <c r="I2292" s="27" t="str">
        <f>IF($E2292="","",N(INDEX(成本费用登记表!$Q$4:$Y$303,61,9)))</f>
        <v/>
      </c>
      <c r="J2292" s="26" t="str">
        <f>IF($E2292="","",INDEX(成本费用登记表!$C$4:$C$303,61))</f>
        <v/>
      </c>
      <c r="K2292" s="26" t="str">
        <f>IF($E2292="","",INDEX(成本费用登记表!$D$4:$D$303,61))</f>
        <v/>
      </c>
      <c r="L2292" s="32" t="str">
        <f>IF($E2292="","",INDEX(成本费用登记表!$N$4:$N$303,61))</f>
        <v/>
      </c>
      <c r="M2292" s="32"/>
      <c r="N2292" s="26" t="str">
        <f t="shared" si="106"/>
        <v/>
      </c>
      <c r="O2292" s="26" t="str">
        <f t="shared" si="107"/>
        <v/>
      </c>
      <c r="P2292" s="10"/>
    </row>
    <row r="2293" ht="18" customHeight="1" spans="1:16">
      <c r="A2293" s="32" t="str">
        <f t="shared" si="108"/>
        <v/>
      </c>
      <c r="B2293" s="100" t="str">
        <f>IF($E2293="","",INDEX(成本费用登记表!$B$4:$B$303,62))</f>
        <v/>
      </c>
      <c r="C2293" s="26" t="str">
        <f t="shared" si="105"/>
        <v/>
      </c>
      <c r="D2293" s="32" t="str">
        <f>IF($E2293="","",INDEX(成本费用登记表!$E$4:$E$303,62))</f>
        <v/>
      </c>
      <c r="E2293" s="26" t="str">
        <f>IF(INDEX(成本费用登记表!$Q$4:$Y$303,62,1)=0,"",INDEX(成本费用登记表!$Q$4:$Y$303,62,1))</f>
        <v/>
      </c>
      <c r="F2293" s="25" t="str">
        <f>IF($E2293="","",IFERROR(INDEX(科目表!$A$4:$A$81,MATCH($E2293,科目表!$B$4:$B$81,0)),""))</f>
        <v/>
      </c>
      <c r="G2293" s="26" t="str">
        <f>IF($E2293="","",IFERROR(INDEX(科目表!$E$4:$E$81,MATCH($E2293,科目表!$B$4:$B$81,0)),""))</f>
        <v/>
      </c>
      <c r="H2293" s="27" t="str">
        <f>IF($E2293="","",N(INDEX(成本费用登记表!$Q$4:$Y$303,62,2)))</f>
        <v/>
      </c>
      <c r="I2293" s="27" t="str">
        <f>IF($E2293="","",N(INDEX(成本费用登记表!$Q$4:$Y$303,62,3)))</f>
        <v/>
      </c>
      <c r="J2293" s="26" t="str">
        <f>IF($E2293="","",INDEX(成本费用登记表!$C$4:$C$303,62))</f>
        <v/>
      </c>
      <c r="K2293" s="26" t="str">
        <f>IF($E2293="","",INDEX(成本费用登记表!$D$4:$D$303,62))</f>
        <v/>
      </c>
      <c r="L2293" s="32" t="str">
        <f>IF($E2293="","",INDEX(成本费用登记表!$N$4:$N$303,62))</f>
        <v/>
      </c>
      <c r="M2293" s="32"/>
      <c r="N2293" s="26" t="str">
        <f t="shared" si="106"/>
        <v/>
      </c>
      <c r="O2293" s="26" t="str">
        <f t="shared" si="107"/>
        <v/>
      </c>
      <c r="P2293" s="10"/>
    </row>
    <row r="2294" ht="18" customHeight="1" spans="1:16">
      <c r="A2294" s="32" t="str">
        <f t="shared" si="108"/>
        <v/>
      </c>
      <c r="B2294" s="100" t="str">
        <f>IF($E2294="","",INDEX(成本费用登记表!$B$4:$B$303,62))</f>
        <v/>
      </c>
      <c r="C2294" s="26" t="str">
        <f t="shared" si="105"/>
        <v/>
      </c>
      <c r="D2294" s="32" t="str">
        <f>IF($E2294="","",INDEX(成本费用登记表!$E$4:$E$303,62))</f>
        <v/>
      </c>
      <c r="E2294" s="26" t="str">
        <f>IF(INDEX(成本费用登记表!$Q$4:$Y$303,62,4)=0,"",INDEX(成本费用登记表!$Q$4:$Y$303,62,4))</f>
        <v/>
      </c>
      <c r="F2294" s="25" t="str">
        <f>IF($E2294="","",IFERROR(INDEX(科目表!$A$4:$A$81,MATCH($E2294,科目表!$B$4:$B$81,0)),""))</f>
        <v/>
      </c>
      <c r="G2294" s="26" t="str">
        <f>IF($E2294="","",IFERROR(INDEX(科目表!$E$4:$E$81,MATCH($E2294,科目表!$B$4:$B$81,0)),""))</f>
        <v/>
      </c>
      <c r="H2294" s="27" t="str">
        <f>IF($E2294="","",N(INDEX(成本费用登记表!$Q$4:$Y$303,62,5)))</f>
        <v/>
      </c>
      <c r="I2294" s="27" t="str">
        <f>IF($E2294="","",N(INDEX(成本费用登记表!$Q$4:$Y$303,62,6)))</f>
        <v/>
      </c>
      <c r="J2294" s="26" t="str">
        <f>IF($E2294="","",INDEX(成本费用登记表!$C$4:$C$303,62))</f>
        <v/>
      </c>
      <c r="K2294" s="26" t="str">
        <f>IF($E2294="","",INDEX(成本费用登记表!$D$4:$D$303,62))</f>
        <v/>
      </c>
      <c r="L2294" s="32" t="str">
        <f>IF($E2294="","",INDEX(成本费用登记表!$N$4:$N$303,62))</f>
        <v/>
      </c>
      <c r="M2294" s="32"/>
      <c r="N2294" s="26" t="str">
        <f t="shared" si="106"/>
        <v/>
      </c>
      <c r="O2294" s="26" t="str">
        <f t="shared" si="107"/>
        <v/>
      </c>
      <c r="P2294" s="10"/>
    </row>
    <row r="2295" ht="18" customHeight="1" spans="1:16">
      <c r="A2295" s="32" t="str">
        <f t="shared" si="108"/>
        <v/>
      </c>
      <c r="B2295" s="100" t="str">
        <f>IF($E2295="","",INDEX(成本费用登记表!$B$4:$B$303,62))</f>
        <v/>
      </c>
      <c r="C2295" s="26" t="str">
        <f t="shared" si="105"/>
        <v/>
      </c>
      <c r="D2295" s="32" t="str">
        <f>IF($E2295="","",INDEX(成本费用登记表!$E$4:$E$303,62))</f>
        <v/>
      </c>
      <c r="E2295" s="26" t="str">
        <f>IF(INDEX(成本费用登记表!$Q$4:$Y$303,62,7)=0,"",INDEX(成本费用登记表!$Q$4:$Y$303,62,7))</f>
        <v/>
      </c>
      <c r="F2295" s="25" t="str">
        <f>IF($E2295="","",IFERROR(INDEX(科目表!$A$4:$A$81,MATCH($E2295,科目表!$B$4:$B$81,0)),""))</f>
        <v/>
      </c>
      <c r="G2295" s="26" t="str">
        <f>IF($E2295="","",IFERROR(INDEX(科目表!$E$4:$E$81,MATCH($E2295,科目表!$B$4:$B$81,0)),""))</f>
        <v/>
      </c>
      <c r="H2295" s="27" t="str">
        <f>IF($E2295="","",N(INDEX(成本费用登记表!$Q$4:$Y$303,62,8)))</f>
        <v/>
      </c>
      <c r="I2295" s="27" t="str">
        <f>IF($E2295="","",N(INDEX(成本费用登记表!$Q$4:$Y$303,62,9)))</f>
        <v/>
      </c>
      <c r="J2295" s="26" t="str">
        <f>IF($E2295="","",INDEX(成本费用登记表!$C$4:$C$303,62))</f>
        <v/>
      </c>
      <c r="K2295" s="26" t="str">
        <f>IF($E2295="","",INDEX(成本费用登记表!$D$4:$D$303,62))</f>
        <v/>
      </c>
      <c r="L2295" s="32" t="str">
        <f>IF($E2295="","",INDEX(成本费用登记表!$N$4:$N$303,62))</f>
        <v/>
      </c>
      <c r="M2295" s="32"/>
      <c r="N2295" s="26" t="str">
        <f t="shared" si="106"/>
        <v/>
      </c>
      <c r="O2295" s="26" t="str">
        <f t="shared" si="107"/>
        <v/>
      </c>
      <c r="P2295" s="10"/>
    </row>
    <row r="2296" ht="18" customHeight="1" spans="1:16">
      <c r="A2296" s="32" t="str">
        <f t="shared" si="108"/>
        <v/>
      </c>
      <c r="B2296" s="100" t="str">
        <f>IF($E2296="","",INDEX(成本费用登记表!$B$4:$B$303,63))</f>
        <v/>
      </c>
      <c r="C2296" s="26" t="str">
        <f t="shared" si="105"/>
        <v/>
      </c>
      <c r="D2296" s="32" t="str">
        <f>IF($E2296="","",INDEX(成本费用登记表!$E$4:$E$303,63))</f>
        <v/>
      </c>
      <c r="E2296" s="26" t="str">
        <f>IF(INDEX(成本费用登记表!$Q$4:$Y$303,63,1)=0,"",INDEX(成本费用登记表!$Q$4:$Y$303,63,1))</f>
        <v/>
      </c>
      <c r="F2296" s="25" t="str">
        <f>IF($E2296="","",IFERROR(INDEX(科目表!$A$4:$A$81,MATCH($E2296,科目表!$B$4:$B$81,0)),""))</f>
        <v/>
      </c>
      <c r="G2296" s="26" t="str">
        <f>IF($E2296="","",IFERROR(INDEX(科目表!$E$4:$E$81,MATCH($E2296,科目表!$B$4:$B$81,0)),""))</f>
        <v/>
      </c>
      <c r="H2296" s="27" t="str">
        <f>IF($E2296="","",N(INDEX(成本费用登记表!$Q$4:$Y$303,63,2)))</f>
        <v/>
      </c>
      <c r="I2296" s="27" t="str">
        <f>IF($E2296="","",N(INDEX(成本费用登记表!$Q$4:$Y$303,63,3)))</f>
        <v/>
      </c>
      <c r="J2296" s="26" t="str">
        <f>IF($E2296="","",INDEX(成本费用登记表!$C$4:$C$303,63))</f>
        <v/>
      </c>
      <c r="K2296" s="26" t="str">
        <f>IF($E2296="","",INDEX(成本费用登记表!$D$4:$D$303,63))</f>
        <v/>
      </c>
      <c r="L2296" s="32" t="str">
        <f>IF($E2296="","",INDEX(成本费用登记表!$N$4:$N$303,63))</f>
        <v/>
      </c>
      <c r="M2296" s="32"/>
      <c r="N2296" s="26" t="str">
        <f t="shared" si="106"/>
        <v/>
      </c>
      <c r="O2296" s="26" t="str">
        <f t="shared" si="107"/>
        <v/>
      </c>
      <c r="P2296" s="10"/>
    </row>
    <row r="2297" ht="18" customHeight="1" spans="1:16">
      <c r="A2297" s="32" t="str">
        <f t="shared" si="108"/>
        <v/>
      </c>
      <c r="B2297" s="100" t="str">
        <f>IF($E2297="","",INDEX(成本费用登记表!$B$4:$B$303,63))</f>
        <v/>
      </c>
      <c r="C2297" s="26" t="str">
        <f t="shared" si="105"/>
        <v/>
      </c>
      <c r="D2297" s="32" t="str">
        <f>IF($E2297="","",INDEX(成本费用登记表!$E$4:$E$303,63))</f>
        <v/>
      </c>
      <c r="E2297" s="26" t="str">
        <f>IF(INDEX(成本费用登记表!$Q$4:$Y$303,63,4)=0,"",INDEX(成本费用登记表!$Q$4:$Y$303,63,4))</f>
        <v/>
      </c>
      <c r="F2297" s="25" t="str">
        <f>IF($E2297="","",IFERROR(INDEX(科目表!$A$4:$A$81,MATCH($E2297,科目表!$B$4:$B$81,0)),""))</f>
        <v/>
      </c>
      <c r="G2297" s="26" t="str">
        <f>IF($E2297="","",IFERROR(INDEX(科目表!$E$4:$E$81,MATCH($E2297,科目表!$B$4:$B$81,0)),""))</f>
        <v/>
      </c>
      <c r="H2297" s="27" t="str">
        <f>IF($E2297="","",N(INDEX(成本费用登记表!$Q$4:$Y$303,63,5)))</f>
        <v/>
      </c>
      <c r="I2297" s="27" t="str">
        <f>IF($E2297="","",N(INDEX(成本费用登记表!$Q$4:$Y$303,63,6)))</f>
        <v/>
      </c>
      <c r="J2297" s="26" t="str">
        <f>IF($E2297="","",INDEX(成本费用登记表!$C$4:$C$303,63))</f>
        <v/>
      </c>
      <c r="K2297" s="26" t="str">
        <f>IF($E2297="","",INDEX(成本费用登记表!$D$4:$D$303,63))</f>
        <v/>
      </c>
      <c r="L2297" s="32" t="str">
        <f>IF($E2297="","",INDEX(成本费用登记表!$N$4:$N$303,63))</f>
        <v/>
      </c>
      <c r="M2297" s="32"/>
      <c r="N2297" s="26" t="str">
        <f t="shared" si="106"/>
        <v/>
      </c>
      <c r="O2297" s="26" t="str">
        <f t="shared" si="107"/>
        <v/>
      </c>
      <c r="P2297" s="10"/>
    </row>
    <row r="2298" ht="18" customHeight="1" spans="1:16">
      <c r="A2298" s="32" t="str">
        <f t="shared" si="108"/>
        <v/>
      </c>
      <c r="B2298" s="100" t="str">
        <f>IF($E2298="","",INDEX(成本费用登记表!$B$4:$B$303,63))</f>
        <v/>
      </c>
      <c r="C2298" s="26" t="str">
        <f t="shared" si="105"/>
        <v/>
      </c>
      <c r="D2298" s="32" t="str">
        <f>IF($E2298="","",INDEX(成本费用登记表!$E$4:$E$303,63))</f>
        <v/>
      </c>
      <c r="E2298" s="26" t="str">
        <f>IF(INDEX(成本费用登记表!$Q$4:$Y$303,63,7)=0,"",INDEX(成本费用登记表!$Q$4:$Y$303,63,7))</f>
        <v/>
      </c>
      <c r="F2298" s="25" t="str">
        <f>IF($E2298="","",IFERROR(INDEX(科目表!$A$4:$A$81,MATCH($E2298,科目表!$B$4:$B$81,0)),""))</f>
        <v/>
      </c>
      <c r="G2298" s="26" t="str">
        <f>IF($E2298="","",IFERROR(INDEX(科目表!$E$4:$E$81,MATCH($E2298,科目表!$B$4:$B$81,0)),""))</f>
        <v/>
      </c>
      <c r="H2298" s="27" t="str">
        <f>IF($E2298="","",N(INDEX(成本费用登记表!$Q$4:$Y$303,63,8)))</f>
        <v/>
      </c>
      <c r="I2298" s="27" t="str">
        <f>IF($E2298="","",N(INDEX(成本费用登记表!$Q$4:$Y$303,63,9)))</f>
        <v/>
      </c>
      <c r="J2298" s="26" t="str">
        <f>IF($E2298="","",INDEX(成本费用登记表!$C$4:$C$303,63))</f>
        <v/>
      </c>
      <c r="K2298" s="26" t="str">
        <f>IF($E2298="","",INDEX(成本费用登记表!$D$4:$D$303,63))</f>
        <v/>
      </c>
      <c r="L2298" s="32" t="str">
        <f>IF($E2298="","",INDEX(成本费用登记表!$N$4:$N$303,63))</f>
        <v/>
      </c>
      <c r="M2298" s="32"/>
      <c r="N2298" s="26" t="str">
        <f t="shared" si="106"/>
        <v/>
      </c>
      <c r="O2298" s="26" t="str">
        <f t="shared" si="107"/>
        <v/>
      </c>
      <c r="P2298" s="10"/>
    </row>
    <row r="2299" ht="18" customHeight="1" spans="1:16">
      <c r="A2299" s="32" t="str">
        <f t="shared" si="108"/>
        <v/>
      </c>
      <c r="B2299" s="100" t="str">
        <f>IF($E2299="","",INDEX(成本费用登记表!$B$4:$B$303,64))</f>
        <v/>
      </c>
      <c r="C2299" s="26" t="str">
        <f t="shared" si="105"/>
        <v/>
      </c>
      <c r="D2299" s="32" t="str">
        <f>IF($E2299="","",INDEX(成本费用登记表!$E$4:$E$303,64))</f>
        <v/>
      </c>
      <c r="E2299" s="26" t="str">
        <f>IF(INDEX(成本费用登记表!$Q$4:$Y$303,64,1)=0,"",INDEX(成本费用登记表!$Q$4:$Y$303,64,1))</f>
        <v/>
      </c>
      <c r="F2299" s="25" t="str">
        <f>IF($E2299="","",IFERROR(INDEX(科目表!$A$4:$A$81,MATCH($E2299,科目表!$B$4:$B$81,0)),""))</f>
        <v/>
      </c>
      <c r="G2299" s="26" t="str">
        <f>IF($E2299="","",IFERROR(INDEX(科目表!$E$4:$E$81,MATCH($E2299,科目表!$B$4:$B$81,0)),""))</f>
        <v/>
      </c>
      <c r="H2299" s="27" t="str">
        <f>IF($E2299="","",N(INDEX(成本费用登记表!$Q$4:$Y$303,64,2)))</f>
        <v/>
      </c>
      <c r="I2299" s="27" t="str">
        <f>IF($E2299="","",N(INDEX(成本费用登记表!$Q$4:$Y$303,64,3)))</f>
        <v/>
      </c>
      <c r="J2299" s="26" t="str">
        <f>IF($E2299="","",INDEX(成本费用登记表!$C$4:$C$303,64))</f>
        <v/>
      </c>
      <c r="K2299" s="26" t="str">
        <f>IF($E2299="","",INDEX(成本费用登记表!$D$4:$D$303,64))</f>
        <v/>
      </c>
      <c r="L2299" s="32" t="str">
        <f>IF($E2299="","",INDEX(成本费用登记表!$N$4:$N$303,64))</f>
        <v/>
      </c>
      <c r="M2299" s="32"/>
      <c r="N2299" s="26" t="str">
        <f t="shared" si="106"/>
        <v/>
      </c>
      <c r="O2299" s="26" t="str">
        <f t="shared" si="107"/>
        <v/>
      </c>
      <c r="P2299" s="10"/>
    </row>
    <row r="2300" ht="18" customHeight="1" spans="1:16">
      <c r="A2300" s="32" t="str">
        <f t="shared" si="108"/>
        <v/>
      </c>
      <c r="B2300" s="100" t="str">
        <f>IF($E2300="","",INDEX(成本费用登记表!$B$4:$B$303,64))</f>
        <v/>
      </c>
      <c r="C2300" s="26" t="str">
        <f t="shared" si="105"/>
        <v/>
      </c>
      <c r="D2300" s="32" t="str">
        <f>IF($E2300="","",INDEX(成本费用登记表!$E$4:$E$303,64))</f>
        <v/>
      </c>
      <c r="E2300" s="26" t="str">
        <f>IF(INDEX(成本费用登记表!$Q$4:$Y$303,64,4)=0,"",INDEX(成本费用登记表!$Q$4:$Y$303,64,4))</f>
        <v/>
      </c>
      <c r="F2300" s="25" t="str">
        <f>IF($E2300="","",IFERROR(INDEX(科目表!$A$4:$A$81,MATCH($E2300,科目表!$B$4:$B$81,0)),""))</f>
        <v/>
      </c>
      <c r="G2300" s="26" t="str">
        <f>IF($E2300="","",IFERROR(INDEX(科目表!$E$4:$E$81,MATCH($E2300,科目表!$B$4:$B$81,0)),""))</f>
        <v/>
      </c>
      <c r="H2300" s="27" t="str">
        <f>IF($E2300="","",N(INDEX(成本费用登记表!$Q$4:$Y$303,64,5)))</f>
        <v/>
      </c>
      <c r="I2300" s="27" t="str">
        <f>IF($E2300="","",N(INDEX(成本费用登记表!$Q$4:$Y$303,64,6)))</f>
        <v/>
      </c>
      <c r="J2300" s="26" t="str">
        <f>IF($E2300="","",INDEX(成本费用登记表!$C$4:$C$303,64))</f>
        <v/>
      </c>
      <c r="K2300" s="26" t="str">
        <f>IF($E2300="","",INDEX(成本费用登记表!$D$4:$D$303,64))</f>
        <v/>
      </c>
      <c r="L2300" s="32" t="str">
        <f>IF($E2300="","",INDEX(成本费用登记表!$N$4:$N$303,64))</f>
        <v/>
      </c>
      <c r="M2300" s="32"/>
      <c r="N2300" s="26" t="str">
        <f t="shared" si="106"/>
        <v/>
      </c>
      <c r="O2300" s="26" t="str">
        <f t="shared" si="107"/>
        <v/>
      </c>
      <c r="P2300" s="10"/>
    </row>
    <row r="2301" ht="18" customHeight="1" spans="1:16">
      <c r="A2301" s="32" t="str">
        <f t="shared" si="108"/>
        <v/>
      </c>
      <c r="B2301" s="100" t="str">
        <f>IF($E2301="","",INDEX(成本费用登记表!$B$4:$B$303,64))</f>
        <v/>
      </c>
      <c r="C2301" s="26" t="str">
        <f t="shared" si="105"/>
        <v/>
      </c>
      <c r="D2301" s="32" t="str">
        <f>IF($E2301="","",INDEX(成本费用登记表!$E$4:$E$303,64))</f>
        <v/>
      </c>
      <c r="E2301" s="26" t="str">
        <f>IF(INDEX(成本费用登记表!$Q$4:$Y$303,64,7)=0,"",INDEX(成本费用登记表!$Q$4:$Y$303,64,7))</f>
        <v/>
      </c>
      <c r="F2301" s="25" t="str">
        <f>IF($E2301="","",IFERROR(INDEX(科目表!$A$4:$A$81,MATCH($E2301,科目表!$B$4:$B$81,0)),""))</f>
        <v/>
      </c>
      <c r="G2301" s="26" t="str">
        <f>IF($E2301="","",IFERROR(INDEX(科目表!$E$4:$E$81,MATCH($E2301,科目表!$B$4:$B$81,0)),""))</f>
        <v/>
      </c>
      <c r="H2301" s="27" t="str">
        <f>IF($E2301="","",N(INDEX(成本费用登记表!$Q$4:$Y$303,64,8)))</f>
        <v/>
      </c>
      <c r="I2301" s="27" t="str">
        <f>IF($E2301="","",N(INDEX(成本费用登记表!$Q$4:$Y$303,64,9)))</f>
        <v/>
      </c>
      <c r="J2301" s="26" t="str">
        <f>IF($E2301="","",INDEX(成本费用登记表!$C$4:$C$303,64))</f>
        <v/>
      </c>
      <c r="K2301" s="26" t="str">
        <f>IF($E2301="","",INDEX(成本费用登记表!$D$4:$D$303,64))</f>
        <v/>
      </c>
      <c r="L2301" s="32" t="str">
        <f>IF($E2301="","",INDEX(成本费用登记表!$N$4:$N$303,64))</f>
        <v/>
      </c>
      <c r="M2301" s="32"/>
      <c r="N2301" s="26" t="str">
        <f t="shared" si="106"/>
        <v/>
      </c>
      <c r="O2301" s="26" t="str">
        <f t="shared" si="107"/>
        <v/>
      </c>
      <c r="P2301" s="10"/>
    </row>
    <row r="2302" ht="18" customHeight="1" spans="1:16">
      <c r="A2302" s="32" t="str">
        <f t="shared" si="108"/>
        <v/>
      </c>
      <c r="B2302" s="100" t="str">
        <f>IF($E2302="","",INDEX(成本费用登记表!$B$4:$B$303,65))</f>
        <v/>
      </c>
      <c r="C2302" s="26" t="str">
        <f t="shared" ref="C2302:C2365" si="109">IF($E2302="","","记-"&amp;TEXT($B2302,"YYYYMM")&amp;"-费用")</f>
        <v/>
      </c>
      <c r="D2302" s="32" t="str">
        <f>IF($E2302="","",INDEX(成本费用登记表!$E$4:$E$303,65))</f>
        <v/>
      </c>
      <c r="E2302" s="26" t="str">
        <f>IF(INDEX(成本费用登记表!$Q$4:$Y$303,65,1)=0,"",INDEX(成本费用登记表!$Q$4:$Y$303,65,1))</f>
        <v/>
      </c>
      <c r="F2302" s="25" t="str">
        <f>IF($E2302="","",IFERROR(INDEX(科目表!$A$4:$A$81,MATCH($E2302,科目表!$B$4:$B$81,0)),""))</f>
        <v/>
      </c>
      <c r="G2302" s="26" t="str">
        <f>IF($E2302="","",IFERROR(INDEX(科目表!$E$4:$E$81,MATCH($E2302,科目表!$B$4:$B$81,0)),""))</f>
        <v/>
      </c>
      <c r="H2302" s="27" t="str">
        <f>IF($E2302="","",N(INDEX(成本费用登记表!$Q$4:$Y$303,65,2)))</f>
        <v/>
      </c>
      <c r="I2302" s="27" t="str">
        <f>IF($E2302="","",N(INDEX(成本费用登记表!$Q$4:$Y$303,65,3)))</f>
        <v/>
      </c>
      <c r="J2302" s="26" t="str">
        <f>IF($E2302="","",INDEX(成本费用登记表!$C$4:$C$303,65))</f>
        <v/>
      </c>
      <c r="K2302" s="26" t="str">
        <f>IF($E2302="","",INDEX(成本费用登记表!$D$4:$D$303,65))</f>
        <v/>
      </c>
      <c r="L2302" s="32" t="str">
        <f>IF($E2302="","",INDEX(成本费用登记表!$N$4:$N$303,65))</f>
        <v/>
      </c>
      <c r="M2302" s="32"/>
      <c r="N2302" s="26" t="str">
        <f t="shared" ref="N2302:N2365" si="110">IF($E2302="","","系统")</f>
        <v/>
      </c>
      <c r="O2302" s="26" t="str">
        <f t="shared" ref="O2302:O2365" si="111">IF($E2302="","","自动C")</f>
        <v/>
      </c>
      <c r="P2302" s="10"/>
    </row>
    <row r="2303" ht="18" customHeight="1" spans="1:16">
      <c r="A2303" s="32" t="str">
        <f t="shared" si="108"/>
        <v/>
      </c>
      <c r="B2303" s="100" t="str">
        <f>IF($E2303="","",INDEX(成本费用登记表!$B$4:$B$303,65))</f>
        <v/>
      </c>
      <c r="C2303" s="26" t="str">
        <f t="shared" si="109"/>
        <v/>
      </c>
      <c r="D2303" s="32" t="str">
        <f>IF($E2303="","",INDEX(成本费用登记表!$E$4:$E$303,65))</f>
        <v/>
      </c>
      <c r="E2303" s="26" t="str">
        <f>IF(INDEX(成本费用登记表!$Q$4:$Y$303,65,4)=0,"",INDEX(成本费用登记表!$Q$4:$Y$303,65,4))</f>
        <v/>
      </c>
      <c r="F2303" s="25" t="str">
        <f>IF($E2303="","",IFERROR(INDEX(科目表!$A$4:$A$81,MATCH($E2303,科目表!$B$4:$B$81,0)),""))</f>
        <v/>
      </c>
      <c r="G2303" s="26" t="str">
        <f>IF($E2303="","",IFERROR(INDEX(科目表!$E$4:$E$81,MATCH($E2303,科目表!$B$4:$B$81,0)),""))</f>
        <v/>
      </c>
      <c r="H2303" s="27" t="str">
        <f>IF($E2303="","",N(INDEX(成本费用登记表!$Q$4:$Y$303,65,5)))</f>
        <v/>
      </c>
      <c r="I2303" s="27" t="str">
        <f>IF($E2303="","",N(INDEX(成本费用登记表!$Q$4:$Y$303,65,6)))</f>
        <v/>
      </c>
      <c r="J2303" s="26" t="str">
        <f>IF($E2303="","",INDEX(成本费用登记表!$C$4:$C$303,65))</f>
        <v/>
      </c>
      <c r="K2303" s="26" t="str">
        <f>IF($E2303="","",INDEX(成本费用登记表!$D$4:$D$303,65))</f>
        <v/>
      </c>
      <c r="L2303" s="32" t="str">
        <f>IF($E2303="","",INDEX(成本费用登记表!$N$4:$N$303,65))</f>
        <v/>
      </c>
      <c r="M2303" s="32"/>
      <c r="N2303" s="26" t="str">
        <f t="shared" si="110"/>
        <v/>
      </c>
      <c r="O2303" s="26" t="str">
        <f t="shared" si="111"/>
        <v/>
      </c>
      <c r="P2303" s="10"/>
    </row>
    <row r="2304" ht="18" customHeight="1" spans="1:16">
      <c r="A2304" s="32" t="str">
        <f t="shared" si="108"/>
        <v/>
      </c>
      <c r="B2304" s="100" t="str">
        <f>IF($E2304="","",INDEX(成本费用登记表!$B$4:$B$303,65))</f>
        <v/>
      </c>
      <c r="C2304" s="26" t="str">
        <f t="shared" si="109"/>
        <v/>
      </c>
      <c r="D2304" s="32" t="str">
        <f>IF($E2304="","",INDEX(成本费用登记表!$E$4:$E$303,65))</f>
        <v/>
      </c>
      <c r="E2304" s="26" t="str">
        <f>IF(INDEX(成本费用登记表!$Q$4:$Y$303,65,7)=0,"",INDEX(成本费用登记表!$Q$4:$Y$303,65,7))</f>
        <v/>
      </c>
      <c r="F2304" s="25" t="str">
        <f>IF($E2304="","",IFERROR(INDEX(科目表!$A$4:$A$81,MATCH($E2304,科目表!$B$4:$B$81,0)),""))</f>
        <v/>
      </c>
      <c r="G2304" s="26" t="str">
        <f>IF($E2304="","",IFERROR(INDEX(科目表!$E$4:$E$81,MATCH($E2304,科目表!$B$4:$B$81,0)),""))</f>
        <v/>
      </c>
      <c r="H2304" s="27" t="str">
        <f>IF($E2304="","",N(INDEX(成本费用登记表!$Q$4:$Y$303,65,8)))</f>
        <v/>
      </c>
      <c r="I2304" s="27" t="str">
        <f>IF($E2304="","",N(INDEX(成本费用登记表!$Q$4:$Y$303,65,9)))</f>
        <v/>
      </c>
      <c r="J2304" s="26" t="str">
        <f>IF($E2304="","",INDEX(成本费用登记表!$C$4:$C$303,65))</f>
        <v/>
      </c>
      <c r="K2304" s="26" t="str">
        <f>IF($E2304="","",INDEX(成本费用登记表!$D$4:$D$303,65))</f>
        <v/>
      </c>
      <c r="L2304" s="32" t="str">
        <f>IF($E2304="","",INDEX(成本费用登记表!$N$4:$N$303,65))</f>
        <v/>
      </c>
      <c r="M2304" s="32"/>
      <c r="N2304" s="26" t="str">
        <f t="shared" si="110"/>
        <v/>
      </c>
      <c r="O2304" s="26" t="str">
        <f t="shared" si="111"/>
        <v/>
      </c>
      <c r="P2304" s="10"/>
    </row>
    <row r="2305" ht="18" customHeight="1" spans="1:16">
      <c r="A2305" s="32" t="str">
        <f t="shared" si="108"/>
        <v/>
      </c>
      <c r="B2305" s="100" t="str">
        <f>IF($E2305="","",INDEX(成本费用登记表!$B$4:$B$303,66))</f>
        <v/>
      </c>
      <c r="C2305" s="26" t="str">
        <f t="shared" si="109"/>
        <v/>
      </c>
      <c r="D2305" s="32" t="str">
        <f>IF($E2305="","",INDEX(成本费用登记表!$E$4:$E$303,66))</f>
        <v/>
      </c>
      <c r="E2305" s="26" t="str">
        <f>IF(INDEX(成本费用登记表!$Q$4:$Y$303,66,1)=0,"",INDEX(成本费用登记表!$Q$4:$Y$303,66,1))</f>
        <v/>
      </c>
      <c r="F2305" s="25" t="str">
        <f>IF($E2305="","",IFERROR(INDEX(科目表!$A$4:$A$81,MATCH($E2305,科目表!$B$4:$B$81,0)),""))</f>
        <v/>
      </c>
      <c r="G2305" s="26" t="str">
        <f>IF($E2305="","",IFERROR(INDEX(科目表!$E$4:$E$81,MATCH($E2305,科目表!$B$4:$B$81,0)),""))</f>
        <v/>
      </c>
      <c r="H2305" s="27" t="str">
        <f>IF($E2305="","",N(INDEX(成本费用登记表!$Q$4:$Y$303,66,2)))</f>
        <v/>
      </c>
      <c r="I2305" s="27" t="str">
        <f>IF($E2305="","",N(INDEX(成本费用登记表!$Q$4:$Y$303,66,3)))</f>
        <v/>
      </c>
      <c r="J2305" s="26" t="str">
        <f>IF($E2305="","",INDEX(成本费用登记表!$C$4:$C$303,66))</f>
        <v/>
      </c>
      <c r="K2305" s="26" t="str">
        <f>IF($E2305="","",INDEX(成本费用登记表!$D$4:$D$303,66))</f>
        <v/>
      </c>
      <c r="L2305" s="32" t="str">
        <f>IF($E2305="","",INDEX(成本费用登记表!$N$4:$N$303,66))</f>
        <v/>
      </c>
      <c r="M2305" s="32"/>
      <c r="N2305" s="26" t="str">
        <f t="shared" si="110"/>
        <v/>
      </c>
      <c r="O2305" s="26" t="str">
        <f t="shared" si="111"/>
        <v/>
      </c>
      <c r="P2305" s="10"/>
    </row>
    <row r="2306" ht="18" customHeight="1" spans="1:16">
      <c r="A2306" s="32" t="str">
        <f t="shared" si="108"/>
        <v/>
      </c>
      <c r="B2306" s="100" t="str">
        <f>IF($E2306="","",INDEX(成本费用登记表!$B$4:$B$303,66))</f>
        <v/>
      </c>
      <c r="C2306" s="26" t="str">
        <f t="shared" si="109"/>
        <v/>
      </c>
      <c r="D2306" s="32" t="str">
        <f>IF($E2306="","",INDEX(成本费用登记表!$E$4:$E$303,66))</f>
        <v/>
      </c>
      <c r="E2306" s="26" t="str">
        <f>IF(INDEX(成本费用登记表!$Q$4:$Y$303,66,4)=0,"",INDEX(成本费用登记表!$Q$4:$Y$303,66,4))</f>
        <v/>
      </c>
      <c r="F2306" s="25" t="str">
        <f>IF($E2306="","",IFERROR(INDEX(科目表!$A$4:$A$81,MATCH($E2306,科目表!$B$4:$B$81,0)),""))</f>
        <v/>
      </c>
      <c r="G2306" s="26" t="str">
        <f>IF($E2306="","",IFERROR(INDEX(科目表!$E$4:$E$81,MATCH($E2306,科目表!$B$4:$B$81,0)),""))</f>
        <v/>
      </c>
      <c r="H2306" s="27" t="str">
        <f>IF($E2306="","",N(INDEX(成本费用登记表!$Q$4:$Y$303,66,5)))</f>
        <v/>
      </c>
      <c r="I2306" s="27" t="str">
        <f>IF($E2306="","",N(INDEX(成本费用登记表!$Q$4:$Y$303,66,6)))</f>
        <v/>
      </c>
      <c r="J2306" s="26" t="str">
        <f>IF($E2306="","",INDEX(成本费用登记表!$C$4:$C$303,66))</f>
        <v/>
      </c>
      <c r="K2306" s="26" t="str">
        <f>IF($E2306="","",INDEX(成本费用登记表!$D$4:$D$303,66))</f>
        <v/>
      </c>
      <c r="L2306" s="32" t="str">
        <f>IF($E2306="","",INDEX(成本费用登记表!$N$4:$N$303,66))</f>
        <v/>
      </c>
      <c r="M2306" s="32"/>
      <c r="N2306" s="26" t="str">
        <f t="shared" si="110"/>
        <v/>
      </c>
      <c r="O2306" s="26" t="str">
        <f t="shared" si="111"/>
        <v/>
      </c>
      <c r="P2306" s="10"/>
    </row>
    <row r="2307" ht="18" customHeight="1" spans="1:16">
      <c r="A2307" s="32" t="str">
        <f t="shared" si="108"/>
        <v/>
      </c>
      <c r="B2307" s="100" t="str">
        <f>IF($E2307="","",INDEX(成本费用登记表!$B$4:$B$303,66))</f>
        <v/>
      </c>
      <c r="C2307" s="26" t="str">
        <f t="shared" si="109"/>
        <v/>
      </c>
      <c r="D2307" s="32" t="str">
        <f>IF($E2307="","",INDEX(成本费用登记表!$E$4:$E$303,66))</f>
        <v/>
      </c>
      <c r="E2307" s="26" t="str">
        <f>IF(INDEX(成本费用登记表!$Q$4:$Y$303,66,7)=0,"",INDEX(成本费用登记表!$Q$4:$Y$303,66,7))</f>
        <v/>
      </c>
      <c r="F2307" s="25" t="str">
        <f>IF($E2307="","",IFERROR(INDEX(科目表!$A$4:$A$81,MATCH($E2307,科目表!$B$4:$B$81,0)),""))</f>
        <v/>
      </c>
      <c r="G2307" s="26" t="str">
        <f>IF($E2307="","",IFERROR(INDEX(科目表!$E$4:$E$81,MATCH($E2307,科目表!$B$4:$B$81,0)),""))</f>
        <v/>
      </c>
      <c r="H2307" s="27" t="str">
        <f>IF($E2307="","",N(INDEX(成本费用登记表!$Q$4:$Y$303,66,8)))</f>
        <v/>
      </c>
      <c r="I2307" s="27" t="str">
        <f>IF($E2307="","",N(INDEX(成本费用登记表!$Q$4:$Y$303,66,9)))</f>
        <v/>
      </c>
      <c r="J2307" s="26" t="str">
        <f>IF($E2307="","",INDEX(成本费用登记表!$C$4:$C$303,66))</f>
        <v/>
      </c>
      <c r="K2307" s="26" t="str">
        <f>IF($E2307="","",INDEX(成本费用登记表!$D$4:$D$303,66))</f>
        <v/>
      </c>
      <c r="L2307" s="32" t="str">
        <f>IF($E2307="","",INDEX(成本费用登记表!$N$4:$N$303,66))</f>
        <v/>
      </c>
      <c r="M2307" s="32"/>
      <c r="N2307" s="26" t="str">
        <f t="shared" si="110"/>
        <v/>
      </c>
      <c r="O2307" s="26" t="str">
        <f t="shared" si="111"/>
        <v/>
      </c>
      <c r="P2307" s="10"/>
    </row>
    <row r="2308" ht="18" customHeight="1" spans="1:16">
      <c r="A2308" s="32" t="str">
        <f t="shared" ref="A2308:A2371" si="112">IF($E2308="","",ROW()-3)</f>
        <v/>
      </c>
      <c r="B2308" s="100" t="str">
        <f>IF($E2308="","",INDEX(成本费用登记表!$B$4:$B$303,67))</f>
        <v/>
      </c>
      <c r="C2308" s="26" t="str">
        <f t="shared" si="109"/>
        <v/>
      </c>
      <c r="D2308" s="32" t="str">
        <f>IF($E2308="","",INDEX(成本费用登记表!$E$4:$E$303,67))</f>
        <v/>
      </c>
      <c r="E2308" s="26" t="str">
        <f>IF(INDEX(成本费用登记表!$Q$4:$Y$303,67,1)=0,"",INDEX(成本费用登记表!$Q$4:$Y$303,67,1))</f>
        <v/>
      </c>
      <c r="F2308" s="25" t="str">
        <f>IF($E2308="","",IFERROR(INDEX(科目表!$A$4:$A$81,MATCH($E2308,科目表!$B$4:$B$81,0)),""))</f>
        <v/>
      </c>
      <c r="G2308" s="26" t="str">
        <f>IF($E2308="","",IFERROR(INDEX(科目表!$E$4:$E$81,MATCH($E2308,科目表!$B$4:$B$81,0)),""))</f>
        <v/>
      </c>
      <c r="H2308" s="27" t="str">
        <f>IF($E2308="","",N(INDEX(成本费用登记表!$Q$4:$Y$303,67,2)))</f>
        <v/>
      </c>
      <c r="I2308" s="27" t="str">
        <f>IF($E2308="","",N(INDEX(成本费用登记表!$Q$4:$Y$303,67,3)))</f>
        <v/>
      </c>
      <c r="J2308" s="26" t="str">
        <f>IF($E2308="","",INDEX(成本费用登记表!$C$4:$C$303,67))</f>
        <v/>
      </c>
      <c r="K2308" s="26" t="str">
        <f>IF($E2308="","",INDEX(成本费用登记表!$D$4:$D$303,67))</f>
        <v/>
      </c>
      <c r="L2308" s="32" t="str">
        <f>IF($E2308="","",INDEX(成本费用登记表!$N$4:$N$303,67))</f>
        <v/>
      </c>
      <c r="M2308" s="32"/>
      <c r="N2308" s="26" t="str">
        <f t="shared" si="110"/>
        <v/>
      </c>
      <c r="O2308" s="26" t="str">
        <f t="shared" si="111"/>
        <v/>
      </c>
      <c r="P2308" s="10"/>
    </row>
    <row r="2309" ht="18" customHeight="1" spans="1:16">
      <c r="A2309" s="32" t="str">
        <f t="shared" si="112"/>
        <v/>
      </c>
      <c r="B2309" s="100" t="str">
        <f>IF($E2309="","",INDEX(成本费用登记表!$B$4:$B$303,67))</f>
        <v/>
      </c>
      <c r="C2309" s="26" t="str">
        <f t="shared" si="109"/>
        <v/>
      </c>
      <c r="D2309" s="32" t="str">
        <f>IF($E2309="","",INDEX(成本费用登记表!$E$4:$E$303,67))</f>
        <v/>
      </c>
      <c r="E2309" s="26" t="str">
        <f>IF(INDEX(成本费用登记表!$Q$4:$Y$303,67,4)=0,"",INDEX(成本费用登记表!$Q$4:$Y$303,67,4))</f>
        <v/>
      </c>
      <c r="F2309" s="25" t="str">
        <f>IF($E2309="","",IFERROR(INDEX(科目表!$A$4:$A$81,MATCH($E2309,科目表!$B$4:$B$81,0)),""))</f>
        <v/>
      </c>
      <c r="G2309" s="26" t="str">
        <f>IF($E2309="","",IFERROR(INDEX(科目表!$E$4:$E$81,MATCH($E2309,科目表!$B$4:$B$81,0)),""))</f>
        <v/>
      </c>
      <c r="H2309" s="27" t="str">
        <f>IF($E2309="","",N(INDEX(成本费用登记表!$Q$4:$Y$303,67,5)))</f>
        <v/>
      </c>
      <c r="I2309" s="27" t="str">
        <f>IF($E2309="","",N(INDEX(成本费用登记表!$Q$4:$Y$303,67,6)))</f>
        <v/>
      </c>
      <c r="J2309" s="26" t="str">
        <f>IF($E2309="","",INDEX(成本费用登记表!$C$4:$C$303,67))</f>
        <v/>
      </c>
      <c r="K2309" s="26" t="str">
        <f>IF($E2309="","",INDEX(成本费用登记表!$D$4:$D$303,67))</f>
        <v/>
      </c>
      <c r="L2309" s="32" t="str">
        <f>IF($E2309="","",INDEX(成本费用登记表!$N$4:$N$303,67))</f>
        <v/>
      </c>
      <c r="M2309" s="32"/>
      <c r="N2309" s="26" t="str">
        <f t="shared" si="110"/>
        <v/>
      </c>
      <c r="O2309" s="26" t="str">
        <f t="shared" si="111"/>
        <v/>
      </c>
      <c r="P2309" s="10"/>
    </row>
    <row r="2310" ht="18" customHeight="1" spans="1:16">
      <c r="A2310" s="32" t="str">
        <f t="shared" si="112"/>
        <v/>
      </c>
      <c r="B2310" s="100" t="str">
        <f>IF($E2310="","",INDEX(成本费用登记表!$B$4:$B$303,67))</f>
        <v/>
      </c>
      <c r="C2310" s="26" t="str">
        <f t="shared" si="109"/>
        <v/>
      </c>
      <c r="D2310" s="32" t="str">
        <f>IF($E2310="","",INDEX(成本费用登记表!$E$4:$E$303,67))</f>
        <v/>
      </c>
      <c r="E2310" s="26" t="str">
        <f>IF(INDEX(成本费用登记表!$Q$4:$Y$303,67,7)=0,"",INDEX(成本费用登记表!$Q$4:$Y$303,67,7))</f>
        <v/>
      </c>
      <c r="F2310" s="25" t="str">
        <f>IF($E2310="","",IFERROR(INDEX(科目表!$A$4:$A$81,MATCH($E2310,科目表!$B$4:$B$81,0)),""))</f>
        <v/>
      </c>
      <c r="G2310" s="26" t="str">
        <f>IF($E2310="","",IFERROR(INDEX(科目表!$E$4:$E$81,MATCH($E2310,科目表!$B$4:$B$81,0)),""))</f>
        <v/>
      </c>
      <c r="H2310" s="27" t="str">
        <f>IF($E2310="","",N(INDEX(成本费用登记表!$Q$4:$Y$303,67,8)))</f>
        <v/>
      </c>
      <c r="I2310" s="27" t="str">
        <f>IF($E2310="","",N(INDEX(成本费用登记表!$Q$4:$Y$303,67,9)))</f>
        <v/>
      </c>
      <c r="J2310" s="26" t="str">
        <f>IF($E2310="","",INDEX(成本费用登记表!$C$4:$C$303,67))</f>
        <v/>
      </c>
      <c r="K2310" s="26" t="str">
        <f>IF($E2310="","",INDEX(成本费用登记表!$D$4:$D$303,67))</f>
        <v/>
      </c>
      <c r="L2310" s="32" t="str">
        <f>IF($E2310="","",INDEX(成本费用登记表!$N$4:$N$303,67))</f>
        <v/>
      </c>
      <c r="M2310" s="32"/>
      <c r="N2310" s="26" t="str">
        <f t="shared" si="110"/>
        <v/>
      </c>
      <c r="O2310" s="26" t="str">
        <f t="shared" si="111"/>
        <v/>
      </c>
      <c r="P2310" s="10"/>
    </row>
    <row r="2311" ht="18" customHeight="1" spans="1:16">
      <c r="A2311" s="32" t="str">
        <f t="shared" si="112"/>
        <v/>
      </c>
      <c r="B2311" s="100" t="str">
        <f>IF($E2311="","",INDEX(成本费用登记表!$B$4:$B$303,68))</f>
        <v/>
      </c>
      <c r="C2311" s="26" t="str">
        <f t="shared" si="109"/>
        <v/>
      </c>
      <c r="D2311" s="32" t="str">
        <f>IF($E2311="","",INDEX(成本费用登记表!$E$4:$E$303,68))</f>
        <v/>
      </c>
      <c r="E2311" s="26" t="str">
        <f>IF(INDEX(成本费用登记表!$Q$4:$Y$303,68,1)=0,"",INDEX(成本费用登记表!$Q$4:$Y$303,68,1))</f>
        <v/>
      </c>
      <c r="F2311" s="25" t="str">
        <f>IF($E2311="","",IFERROR(INDEX(科目表!$A$4:$A$81,MATCH($E2311,科目表!$B$4:$B$81,0)),""))</f>
        <v/>
      </c>
      <c r="G2311" s="26" t="str">
        <f>IF($E2311="","",IFERROR(INDEX(科目表!$E$4:$E$81,MATCH($E2311,科目表!$B$4:$B$81,0)),""))</f>
        <v/>
      </c>
      <c r="H2311" s="27" t="str">
        <f>IF($E2311="","",N(INDEX(成本费用登记表!$Q$4:$Y$303,68,2)))</f>
        <v/>
      </c>
      <c r="I2311" s="27" t="str">
        <f>IF($E2311="","",N(INDEX(成本费用登记表!$Q$4:$Y$303,68,3)))</f>
        <v/>
      </c>
      <c r="J2311" s="26" t="str">
        <f>IF($E2311="","",INDEX(成本费用登记表!$C$4:$C$303,68))</f>
        <v/>
      </c>
      <c r="K2311" s="26" t="str">
        <f>IF($E2311="","",INDEX(成本费用登记表!$D$4:$D$303,68))</f>
        <v/>
      </c>
      <c r="L2311" s="32" t="str">
        <f>IF($E2311="","",INDEX(成本费用登记表!$N$4:$N$303,68))</f>
        <v/>
      </c>
      <c r="M2311" s="32"/>
      <c r="N2311" s="26" t="str">
        <f t="shared" si="110"/>
        <v/>
      </c>
      <c r="O2311" s="26" t="str">
        <f t="shared" si="111"/>
        <v/>
      </c>
      <c r="P2311" s="10"/>
    </row>
    <row r="2312" ht="18" customHeight="1" spans="1:16">
      <c r="A2312" s="32" t="str">
        <f t="shared" si="112"/>
        <v/>
      </c>
      <c r="B2312" s="100" t="str">
        <f>IF($E2312="","",INDEX(成本费用登记表!$B$4:$B$303,68))</f>
        <v/>
      </c>
      <c r="C2312" s="26" t="str">
        <f t="shared" si="109"/>
        <v/>
      </c>
      <c r="D2312" s="32" t="str">
        <f>IF($E2312="","",INDEX(成本费用登记表!$E$4:$E$303,68))</f>
        <v/>
      </c>
      <c r="E2312" s="26" t="str">
        <f>IF(INDEX(成本费用登记表!$Q$4:$Y$303,68,4)=0,"",INDEX(成本费用登记表!$Q$4:$Y$303,68,4))</f>
        <v/>
      </c>
      <c r="F2312" s="25" t="str">
        <f>IF($E2312="","",IFERROR(INDEX(科目表!$A$4:$A$81,MATCH($E2312,科目表!$B$4:$B$81,0)),""))</f>
        <v/>
      </c>
      <c r="G2312" s="26" t="str">
        <f>IF($E2312="","",IFERROR(INDEX(科目表!$E$4:$E$81,MATCH($E2312,科目表!$B$4:$B$81,0)),""))</f>
        <v/>
      </c>
      <c r="H2312" s="27" t="str">
        <f>IF($E2312="","",N(INDEX(成本费用登记表!$Q$4:$Y$303,68,5)))</f>
        <v/>
      </c>
      <c r="I2312" s="27" t="str">
        <f>IF($E2312="","",N(INDEX(成本费用登记表!$Q$4:$Y$303,68,6)))</f>
        <v/>
      </c>
      <c r="J2312" s="26" t="str">
        <f>IF($E2312="","",INDEX(成本费用登记表!$C$4:$C$303,68))</f>
        <v/>
      </c>
      <c r="K2312" s="26" t="str">
        <f>IF($E2312="","",INDEX(成本费用登记表!$D$4:$D$303,68))</f>
        <v/>
      </c>
      <c r="L2312" s="32" t="str">
        <f>IF($E2312="","",INDEX(成本费用登记表!$N$4:$N$303,68))</f>
        <v/>
      </c>
      <c r="M2312" s="32"/>
      <c r="N2312" s="26" t="str">
        <f t="shared" si="110"/>
        <v/>
      </c>
      <c r="O2312" s="26" t="str">
        <f t="shared" si="111"/>
        <v/>
      </c>
      <c r="P2312" s="10"/>
    </row>
    <row r="2313" ht="18" customHeight="1" spans="1:16">
      <c r="A2313" s="32" t="str">
        <f t="shared" si="112"/>
        <v/>
      </c>
      <c r="B2313" s="100" t="str">
        <f>IF($E2313="","",INDEX(成本费用登记表!$B$4:$B$303,68))</f>
        <v/>
      </c>
      <c r="C2313" s="26" t="str">
        <f t="shared" si="109"/>
        <v/>
      </c>
      <c r="D2313" s="32" t="str">
        <f>IF($E2313="","",INDEX(成本费用登记表!$E$4:$E$303,68))</f>
        <v/>
      </c>
      <c r="E2313" s="26" t="str">
        <f>IF(INDEX(成本费用登记表!$Q$4:$Y$303,68,7)=0,"",INDEX(成本费用登记表!$Q$4:$Y$303,68,7))</f>
        <v/>
      </c>
      <c r="F2313" s="25" t="str">
        <f>IF($E2313="","",IFERROR(INDEX(科目表!$A$4:$A$81,MATCH($E2313,科目表!$B$4:$B$81,0)),""))</f>
        <v/>
      </c>
      <c r="G2313" s="26" t="str">
        <f>IF($E2313="","",IFERROR(INDEX(科目表!$E$4:$E$81,MATCH($E2313,科目表!$B$4:$B$81,0)),""))</f>
        <v/>
      </c>
      <c r="H2313" s="27" t="str">
        <f>IF($E2313="","",N(INDEX(成本费用登记表!$Q$4:$Y$303,68,8)))</f>
        <v/>
      </c>
      <c r="I2313" s="27" t="str">
        <f>IF($E2313="","",N(INDEX(成本费用登记表!$Q$4:$Y$303,68,9)))</f>
        <v/>
      </c>
      <c r="J2313" s="26" t="str">
        <f>IF($E2313="","",INDEX(成本费用登记表!$C$4:$C$303,68))</f>
        <v/>
      </c>
      <c r="K2313" s="26" t="str">
        <f>IF($E2313="","",INDEX(成本费用登记表!$D$4:$D$303,68))</f>
        <v/>
      </c>
      <c r="L2313" s="32" t="str">
        <f>IF($E2313="","",INDEX(成本费用登记表!$N$4:$N$303,68))</f>
        <v/>
      </c>
      <c r="M2313" s="32"/>
      <c r="N2313" s="26" t="str">
        <f t="shared" si="110"/>
        <v/>
      </c>
      <c r="O2313" s="26" t="str">
        <f t="shared" si="111"/>
        <v/>
      </c>
      <c r="P2313" s="10"/>
    </row>
    <row r="2314" ht="18" customHeight="1" spans="1:16">
      <c r="A2314" s="32" t="str">
        <f t="shared" si="112"/>
        <v/>
      </c>
      <c r="B2314" s="100" t="str">
        <f>IF($E2314="","",INDEX(成本费用登记表!$B$4:$B$303,69))</f>
        <v/>
      </c>
      <c r="C2314" s="26" t="str">
        <f t="shared" si="109"/>
        <v/>
      </c>
      <c r="D2314" s="32" t="str">
        <f>IF($E2314="","",INDEX(成本费用登记表!$E$4:$E$303,69))</f>
        <v/>
      </c>
      <c r="E2314" s="26" t="str">
        <f>IF(INDEX(成本费用登记表!$Q$4:$Y$303,69,1)=0,"",INDEX(成本费用登记表!$Q$4:$Y$303,69,1))</f>
        <v/>
      </c>
      <c r="F2314" s="25" t="str">
        <f>IF($E2314="","",IFERROR(INDEX(科目表!$A$4:$A$81,MATCH($E2314,科目表!$B$4:$B$81,0)),""))</f>
        <v/>
      </c>
      <c r="G2314" s="26" t="str">
        <f>IF($E2314="","",IFERROR(INDEX(科目表!$E$4:$E$81,MATCH($E2314,科目表!$B$4:$B$81,0)),""))</f>
        <v/>
      </c>
      <c r="H2314" s="27" t="str">
        <f>IF($E2314="","",N(INDEX(成本费用登记表!$Q$4:$Y$303,69,2)))</f>
        <v/>
      </c>
      <c r="I2314" s="27" t="str">
        <f>IF($E2314="","",N(INDEX(成本费用登记表!$Q$4:$Y$303,69,3)))</f>
        <v/>
      </c>
      <c r="J2314" s="26" t="str">
        <f>IF($E2314="","",INDEX(成本费用登记表!$C$4:$C$303,69))</f>
        <v/>
      </c>
      <c r="K2314" s="26" t="str">
        <f>IF($E2314="","",INDEX(成本费用登记表!$D$4:$D$303,69))</f>
        <v/>
      </c>
      <c r="L2314" s="32" t="str">
        <f>IF($E2314="","",INDEX(成本费用登记表!$N$4:$N$303,69))</f>
        <v/>
      </c>
      <c r="M2314" s="32"/>
      <c r="N2314" s="26" t="str">
        <f t="shared" si="110"/>
        <v/>
      </c>
      <c r="O2314" s="26" t="str">
        <f t="shared" si="111"/>
        <v/>
      </c>
      <c r="P2314" s="10"/>
    </row>
    <row r="2315" ht="18" customHeight="1" spans="1:16">
      <c r="A2315" s="32" t="str">
        <f t="shared" si="112"/>
        <v/>
      </c>
      <c r="B2315" s="100" t="str">
        <f>IF($E2315="","",INDEX(成本费用登记表!$B$4:$B$303,69))</f>
        <v/>
      </c>
      <c r="C2315" s="26" t="str">
        <f t="shared" si="109"/>
        <v/>
      </c>
      <c r="D2315" s="32" t="str">
        <f>IF($E2315="","",INDEX(成本费用登记表!$E$4:$E$303,69))</f>
        <v/>
      </c>
      <c r="E2315" s="26" t="str">
        <f>IF(INDEX(成本费用登记表!$Q$4:$Y$303,69,4)=0,"",INDEX(成本费用登记表!$Q$4:$Y$303,69,4))</f>
        <v/>
      </c>
      <c r="F2315" s="25" t="str">
        <f>IF($E2315="","",IFERROR(INDEX(科目表!$A$4:$A$81,MATCH($E2315,科目表!$B$4:$B$81,0)),""))</f>
        <v/>
      </c>
      <c r="G2315" s="26" t="str">
        <f>IF($E2315="","",IFERROR(INDEX(科目表!$E$4:$E$81,MATCH($E2315,科目表!$B$4:$B$81,0)),""))</f>
        <v/>
      </c>
      <c r="H2315" s="27" t="str">
        <f>IF($E2315="","",N(INDEX(成本费用登记表!$Q$4:$Y$303,69,5)))</f>
        <v/>
      </c>
      <c r="I2315" s="27" t="str">
        <f>IF($E2315="","",N(INDEX(成本费用登记表!$Q$4:$Y$303,69,6)))</f>
        <v/>
      </c>
      <c r="J2315" s="26" t="str">
        <f>IF($E2315="","",INDEX(成本费用登记表!$C$4:$C$303,69))</f>
        <v/>
      </c>
      <c r="K2315" s="26" t="str">
        <f>IF($E2315="","",INDEX(成本费用登记表!$D$4:$D$303,69))</f>
        <v/>
      </c>
      <c r="L2315" s="32" t="str">
        <f>IF($E2315="","",INDEX(成本费用登记表!$N$4:$N$303,69))</f>
        <v/>
      </c>
      <c r="M2315" s="32"/>
      <c r="N2315" s="26" t="str">
        <f t="shared" si="110"/>
        <v/>
      </c>
      <c r="O2315" s="26" t="str">
        <f t="shared" si="111"/>
        <v/>
      </c>
      <c r="P2315" s="10"/>
    </row>
    <row r="2316" ht="18" customHeight="1" spans="1:16">
      <c r="A2316" s="32" t="str">
        <f t="shared" si="112"/>
        <v/>
      </c>
      <c r="B2316" s="100" t="str">
        <f>IF($E2316="","",INDEX(成本费用登记表!$B$4:$B$303,69))</f>
        <v/>
      </c>
      <c r="C2316" s="26" t="str">
        <f t="shared" si="109"/>
        <v/>
      </c>
      <c r="D2316" s="32" t="str">
        <f>IF($E2316="","",INDEX(成本费用登记表!$E$4:$E$303,69))</f>
        <v/>
      </c>
      <c r="E2316" s="26" t="str">
        <f>IF(INDEX(成本费用登记表!$Q$4:$Y$303,69,7)=0,"",INDEX(成本费用登记表!$Q$4:$Y$303,69,7))</f>
        <v/>
      </c>
      <c r="F2316" s="25" t="str">
        <f>IF($E2316="","",IFERROR(INDEX(科目表!$A$4:$A$81,MATCH($E2316,科目表!$B$4:$B$81,0)),""))</f>
        <v/>
      </c>
      <c r="G2316" s="26" t="str">
        <f>IF($E2316="","",IFERROR(INDEX(科目表!$E$4:$E$81,MATCH($E2316,科目表!$B$4:$B$81,0)),""))</f>
        <v/>
      </c>
      <c r="H2316" s="27" t="str">
        <f>IF($E2316="","",N(INDEX(成本费用登记表!$Q$4:$Y$303,69,8)))</f>
        <v/>
      </c>
      <c r="I2316" s="27" t="str">
        <f>IF($E2316="","",N(INDEX(成本费用登记表!$Q$4:$Y$303,69,9)))</f>
        <v/>
      </c>
      <c r="J2316" s="26" t="str">
        <f>IF($E2316="","",INDEX(成本费用登记表!$C$4:$C$303,69))</f>
        <v/>
      </c>
      <c r="K2316" s="26" t="str">
        <f>IF($E2316="","",INDEX(成本费用登记表!$D$4:$D$303,69))</f>
        <v/>
      </c>
      <c r="L2316" s="32" t="str">
        <f>IF($E2316="","",INDEX(成本费用登记表!$N$4:$N$303,69))</f>
        <v/>
      </c>
      <c r="M2316" s="32"/>
      <c r="N2316" s="26" t="str">
        <f t="shared" si="110"/>
        <v/>
      </c>
      <c r="O2316" s="26" t="str">
        <f t="shared" si="111"/>
        <v/>
      </c>
      <c r="P2316" s="10"/>
    </row>
    <row r="2317" ht="18" customHeight="1" spans="1:16">
      <c r="A2317" s="32" t="str">
        <f t="shared" si="112"/>
        <v/>
      </c>
      <c r="B2317" s="100" t="str">
        <f>IF($E2317="","",INDEX(成本费用登记表!$B$4:$B$303,70))</f>
        <v/>
      </c>
      <c r="C2317" s="26" t="str">
        <f t="shared" si="109"/>
        <v/>
      </c>
      <c r="D2317" s="32" t="str">
        <f>IF($E2317="","",INDEX(成本费用登记表!$E$4:$E$303,70))</f>
        <v/>
      </c>
      <c r="E2317" s="26" t="str">
        <f>IF(INDEX(成本费用登记表!$Q$4:$Y$303,70,1)=0,"",INDEX(成本费用登记表!$Q$4:$Y$303,70,1))</f>
        <v/>
      </c>
      <c r="F2317" s="25" t="str">
        <f>IF($E2317="","",IFERROR(INDEX(科目表!$A$4:$A$81,MATCH($E2317,科目表!$B$4:$B$81,0)),""))</f>
        <v/>
      </c>
      <c r="G2317" s="26" t="str">
        <f>IF($E2317="","",IFERROR(INDEX(科目表!$E$4:$E$81,MATCH($E2317,科目表!$B$4:$B$81,0)),""))</f>
        <v/>
      </c>
      <c r="H2317" s="27" t="str">
        <f>IF($E2317="","",N(INDEX(成本费用登记表!$Q$4:$Y$303,70,2)))</f>
        <v/>
      </c>
      <c r="I2317" s="27" t="str">
        <f>IF($E2317="","",N(INDEX(成本费用登记表!$Q$4:$Y$303,70,3)))</f>
        <v/>
      </c>
      <c r="J2317" s="26" t="str">
        <f>IF($E2317="","",INDEX(成本费用登记表!$C$4:$C$303,70))</f>
        <v/>
      </c>
      <c r="K2317" s="26" t="str">
        <f>IF($E2317="","",INDEX(成本费用登记表!$D$4:$D$303,70))</f>
        <v/>
      </c>
      <c r="L2317" s="32" t="str">
        <f>IF($E2317="","",INDEX(成本费用登记表!$N$4:$N$303,70))</f>
        <v/>
      </c>
      <c r="M2317" s="32"/>
      <c r="N2317" s="26" t="str">
        <f t="shared" si="110"/>
        <v/>
      </c>
      <c r="O2317" s="26" t="str">
        <f t="shared" si="111"/>
        <v/>
      </c>
      <c r="P2317" s="10"/>
    </row>
    <row r="2318" ht="18" customHeight="1" spans="1:16">
      <c r="A2318" s="32" t="str">
        <f t="shared" si="112"/>
        <v/>
      </c>
      <c r="B2318" s="100" t="str">
        <f>IF($E2318="","",INDEX(成本费用登记表!$B$4:$B$303,70))</f>
        <v/>
      </c>
      <c r="C2318" s="26" t="str">
        <f t="shared" si="109"/>
        <v/>
      </c>
      <c r="D2318" s="32" t="str">
        <f>IF($E2318="","",INDEX(成本费用登记表!$E$4:$E$303,70))</f>
        <v/>
      </c>
      <c r="E2318" s="26" t="str">
        <f>IF(INDEX(成本费用登记表!$Q$4:$Y$303,70,4)=0,"",INDEX(成本费用登记表!$Q$4:$Y$303,70,4))</f>
        <v/>
      </c>
      <c r="F2318" s="25" t="str">
        <f>IF($E2318="","",IFERROR(INDEX(科目表!$A$4:$A$81,MATCH($E2318,科目表!$B$4:$B$81,0)),""))</f>
        <v/>
      </c>
      <c r="G2318" s="26" t="str">
        <f>IF($E2318="","",IFERROR(INDEX(科目表!$E$4:$E$81,MATCH($E2318,科目表!$B$4:$B$81,0)),""))</f>
        <v/>
      </c>
      <c r="H2318" s="27" t="str">
        <f>IF($E2318="","",N(INDEX(成本费用登记表!$Q$4:$Y$303,70,5)))</f>
        <v/>
      </c>
      <c r="I2318" s="27" t="str">
        <f>IF($E2318="","",N(INDEX(成本费用登记表!$Q$4:$Y$303,70,6)))</f>
        <v/>
      </c>
      <c r="J2318" s="26" t="str">
        <f>IF($E2318="","",INDEX(成本费用登记表!$C$4:$C$303,70))</f>
        <v/>
      </c>
      <c r="K2318" s="26" t="str">
        <f>IF($E2318="","",INDEX(成本费用登记表!$D$4:$D$303,70))</f>
        <v/>
      </c>
      <c r="L2318" s="32" t="str">
        <f>IF($E2318="","",INDEX(成本费用登记表!$N$4:$N$303,70))</f>
        <v/>
      </c>
      <c r="M2318" s="32"/>
      <c r="N2318" s="26" t="str">
        <f t="shared" si="110"/>
        <v/>
      </c>
      <c r="O2318" s="26" t="str">
        <f t="shared" si="111"/>
        <v/>
      </c>
      <c r="P2318" s="10"/>
    </row>
    <row r="2319" ht="18" customHeight="1" spans="1:16">
      <c r="A2319" s="32" t="str">
        <f t="shared" si="112"/>
        <v/>
      </c>
      <c r="B2319" s="100" t="str">
        <f>IF($E2319="","",INDEX(成本费用登记表!$B$4:$B$303,70))</f>
        <v/>
      </c>
      <c r="C2319" s="26" t="str">
        <f t="shared" si="109"/>
        <v/>
      </c>
      <c r="D2319" s="32" t="str">
        <f>IF($E2319="","",INDEX(成本费用登记表!$E$4:$E$303,70))</f>
        <v/>
      </c>
      <c r="E2319" s="26" t="str">
        <f>IF(INDEX(成本费用登记表!$Q$4:$Y$303,70,7)=0,"",INDEX(成本费用登记表!$Q$4:$Y$303,70,7))</f>
        <v/>
      </c>
      <c r="F2319" s="25" t="str">
        <f>IF($E2319="","",IFERROR(INDEX(科目表!$A$4:$A$81,MATCH($E2319,科目表!$B$4:$B$81,0)),""))</f>
        <v/>
      </c>
      <c r="G2319" s="26" t="str">
        <f>IF($E2319="","",IFERROR(INDEX(科目表!$E$4:$E$81,MATCH($E2319,科目表!$B$4:$B$81,0)),""))</f>
        <v/>
      </c>
      <c r="H2319" s="27" t="str">
        <f>IF($E2319="","",N(INDEX(成本费用登记表!$Q$4:$Y$303,70,8)))</f>
        <v/>
      </c>
      <c r="I2319" s="27" t="str">
        <f>IF($E2319="","",N(INDEX(成本费用登记表!$Q$4:$Y$303,70,9)))</f>
        <v/>
      </c>
      <c r="J2319" s="26" t="str">
        <f>IF($E2319="","",INDEX(成本费用登记表!$C$4:$C$303,70))</f>
        <v/>
      </c>
      <c r="K2319" s="26" t="str">
        <f>IF($E2319="","",INDEX(成本费用登记表!$D$4:$D$303,70))</f>
        <v/>
      </c>
      <c r="L2319" s="32" t="str">
        <f>IF($E2319="","",INDEX(成本费用登记表!$N$4:$N$303,70))</f>
        <v/>
      </c>
      <c r="M2319" s="32"/>
      <c r="N2319" s="26" t="str">
        <f t="shared" si="110"/>
        <v/>
      </c>
      <c r="O2319" s="26" t="str">
        <f t="shared" si="111"/>
        <v/>
      </c>
      <c r="P2319" s="10"/>
    </row>
    <row r="2320" ht="18" customHeight="1" spans="1:16">
      <c r="A2320" s="32" t="str">
        <f t="shared" si="112"/>
        <v/>
      </c>
      <c r="B2320" s="100" t="str">
        <f>IF($E2320="","",INDEX(成本费用登记表!$B$4:$B$303,71))</f>
        <v/>
      </c>
      <c r="C2320" s="26" t="str">
        <f t="shared" si="109"/>
        <v/>
      </c>
      <c r="D2320" s="32" t="str">
        <f>IF($E2320="","",INDEX(成本费用登记表!$E$4:$E$303,71))</f>
        <v/>
      </c>
      <c r="E2320" s="26" t="str">
        <f>IF(INDEX(成本费用登记表!$Q$4:$Y$303,71,1)=0,"",INDEX(成本费用登记表!$Q$4:$Y$303,71,1))</f>
        <v/>
      </c>
      <c r="F2320" s="25" t="str">
        <f>IF($E2320="","",IFERROR(INDEX(科目表!$A$4:$A$81,MATCH($E2320,科目表!$B$4:$B$81,0)),""))</f>
        <v/>
      </c>
      <c r="G2320" s="26" t="str">
        <f>IF($E2320="","",IFERROR(INDEX(科目表!$E$4:$E$81,MATCH($E2320,科目表!$B$4:$B$81,0)),""))</f>
        <v/>
      </c>
      <c r="H2320" s="27" t="str">
        <f>IF($E2320="","",N(INDEX(成本费用登记表!$Q$4:$Y$303,71,2)))</f>
        <v/>
      </c>
      <c r="I2320" s="27" t="str">
        <f>IF($E2320="","",N(INDEX(成本费用登记表!$Q$4:$Y$303,71,3)))</f>
        <v/>
      </c>
      <c r="J2320" s="26" t="str">
        <f>IF($E2320="","",INDEX(成本费用登记表!$C$4:$C$303,71))</f>
        <v/>
      </c>
      <c r="K2320" s="26" t="str">
        <f>IF($E2320="","",INDEX(成本费用登记表!$D$4:$D$303,71))</f>
        <v/>
      </c>
      <c r="L2320" s="32" t="str">
        <f>IF($E2320="","",INDEX(成本费用登记表!$N$4:$N$303,71))</f>
        <v/>
      </c>
      <c r="M2320" s="32"/>
      <c r="N2320" s="26" t="str">
        <f t="shared" si="110"/>
        <v/>
      </c>
      <c r="O2320" s="26" t="str">
        <f t="shared" si="111"/>
        <v/>
      </c>
      <c r="P2320" s="10"/>
    </row>
    <row r="2321" ht="18" customHeight="1" spans="1:16">
      <c r="A2321" s="32" t="str">
        <f t="shared" si="112"/>
        <v/>
      </c>
      <c r="B2321" s="100" t="str">
        <f>IF($E2321="","",INDEX(成本费用登记表!$B$4:$B$303,71))</f>
        <v/>
      </c>
      <c r="C2321" s="26" t="str">
        <f t="shared" si="109"/>
        <v/>
      </c>
      <c r="D2321" s="32" t="str">
        <f>IF($E2321="","",INDEX(成本费用登记表!$E$4:$E$303,71))</f>
        <v/>
      </c>
      <c r="E2321" s="26" t="str">
        <f>IF(INDEX(成本费用登记表!$Q$4:$Y$303,71,4)=0,"",INDEX(成本费用登记表!$Q$4:$Y$303,71,4))</f>
        <v/>
      </c>
      <c r="F2321" s="25" t="str">
        <f>IF($E2321="","",IFERROR(INDEX(科目表!$A$4:$A$81,MATCH($E2321,科目表!$B$4:$B$81,0)),""))</f>
        <v/>
      </c>
      <c r="G2321" s="26" t="str">
        <f>IF($E2321="","",IFERROR(INDEX(科目表!$E$4:$E$81,MATCH($E2321,科目表!$B$4:$B$81,0)),""))</f>
        <v/>
      </c>
      <c r="H2321" s="27" t="str">
        <f>IF($E2321="","",N(INDEX(成本费用登记表!$Q$4:$Y$303,71,5)))</f>
        <v/>
      </c>
      <c r="I2321" s="27" t="str">
        <f>IF($E2321="","",N(INDEX(成本费用登记表!$Q$4:$Y$303,71,6)))</f>
        <v/>
      </c>
      <c r="J2321" s="26" t="str">
        <f>IF($E2321="","",INDEX(成本费用登记表!$C$4:$C$303,71))</f>
        <v/>
      </c>
      <c r="K2321" s="26" t="str">
        <f>IF($E2321="","",INDEX(成本费用登记表!$D$4:$D$303,71))</f>
        <v/>
      </c>
      <c r="L2321" s="32" t="str">
        <f>IF($E2321="","",INDEX(成本费用登记表!$N$4:$N$303,71))</f>
        <v/>
      </c>
      <c r="M2321" s="32"/>
      <c r="N2321" s="26" t="str">
        <f t="shared" si="110"/>
        <v/>
      </c>
      <c r="O2321" s="26" t="str">
        <f t="shared" si="111"/>
        <v/>
      </c>
      <c r="P2321" s="10"/>
    </row>
    <row r="2322" ht="18" customHeight="1" spans="1:16">
      <c r="A2322" s="32" t="str">
        <f t="shared" si="112"/>
        <v/>
      </c>
      <c r="B2322" s="100" t="str">
        <f>IF($E2322="","",INDEX(成本费用登记表!$B$4:$B$303,71))</f>
        <v/>
      </c>
      <c r="C2322" s="26" t="str">
        <f t="shared" si="109"/>
        <v/>
      </c>
      <c r="D2322" s="32" t="str">
        <f>IF($E2322="","",INDEX(成本费用登记表!$E$4:$E$303,71))</f>
        <v/>
      </c>
      <c r="E2322" s="26" t="str">
        <f>IF(INDEX(成本费用登记表!$Q$4:$Y$303,71,7)=0,"",INDEX(成本费用登记表!$Q$4:$Y$303,71,7))</f>
        <v/>
      </c>
      <c r="F2322" s="25" t="str">
        <f>IF($E2322="","",IFERROR(INDEX(科目表!$A$4:$A$81,MATCH($E2322,科目表!$B$4:$B$81,0)),""))</f>
        <v/>
      </c>
      <c r="G2322" s="26" t="str">
        <f>IF($E2322="","",IFERROR(INDEX(科目表!$E$4:$E$81,MATCH($E2322,科目表!$B$4:$B$81,0)),""))</f>
        <v/>
      </c>
      <c r="H2322" s="27" t="str">
        <f>IF($E2322="","",N(INDEX(成本费用登记表!$Q$4:$Y$303,71,8)))</f>
        <v/>
      </c>
      <c r="I2322" s="27" t="str">
        <f>IF($E2322="","",N(INDEX(成本费用登记表!$Q$4:$Y$303,71,9)))</f>
        <v/>
      </c>
      <c r="J2322" s="26" t="str">
        <f>IF($E2322="","",INDEX(成本费用登记表!$C$4:$C$303,71))</f>
        <v/>
      </c>
      <c r="K2322" s="26" t="str">
        <f>IF($E2322="","",INDEX(成本费用登记表!$D$4:$D$303,71))</f>
        <v/>
      </c>
      <c r="L2322" s="32" t="str">
        <f>IF($E2322="","",INDEX(成本费用登记表!$N$4:$N$303,71))</f>
        <v/>
      </c>
      <c r="M2322" s="32"/>
      <c r="N2322" s="26" t="str">
        <f t="shared" si="110"/>
        <v/>
      </c>
      <c r="O2322" s="26" t="str">
        <f t="shared" si="111"/>
        <v/>
      </c>
      <c r="P2322" s="10"/>
    </row>
    <row r="2323" ht="18" customHeight="1" spans="1:16">
      <c r="A2323" s="32" t="str">
        <f t="shared" si="112"/>
        <v/>
      </c>
      <c r="B2323" s="100" t="str">
        <f>IF($E2323="","",INDEX(成本费用登记表!$B$4:$B$303,72))</f>
        <v/>
      </c>
      <c r="C2323" s="26" t="str">
        <f t="shared" si="109"/>
        <v/>
      </c>
      <c r="D2323" s="32" t="str">
        <f>IF($E2323="","",INDEX(成本费用登记表!$E$4:$E$303,72))</f>
        <v/>
      </c>
      <c r="E2323" s="26" t="str">
        <f>IF(INDEX(成本费用登记表!$Q$4:$Y$303,72,1)=0,"",INDEX(成本费用登记表!$Q$4:$Y$303,72,1))</f>
        <v/>
      </c>
      <c r="F2323" s="25" t="str">
        <f>IF($E2323="","",IFERROR(INDEX(科目表!$A$4:$A$81,MATCH($E2323,科目表!$B$4:$B$81,0)),""))</f>
        <v/>
      </c>
      <c r="G2323" s="26" t="str">
        <f>IF($E2323="","",IFERROR(INDEX(科目表!$E$4:$E$81,MATCH($E2323,科目表!$B$4:$B$81,0)),""))</f>
        <v/>
      </c>
      <c r="H2323" s="27" t="str">
        <f>IF($E2323="","",N(INDEX(成本费用登记表!$Q$4:$Y$303,72,2)))</f>
        <v/>
      </c>
      <c r="I2323" s="27" t="str">
        <f>IF($E2323="","",N(INDEX(成本费用登记表!$Q$4:$Y$303,72,3)))</f>
        <v/>
      </c>
      <c r="J2323" s="26" t="str">
        <f>IF($E2323="","",INDEX(成本费用登记表!$C$4:$C$303,72))</f>
        <v/>
      </c>
      <c r="K2323" s="26" t="str">
        <f>IF($E2323="","",INDEX(成本费用登记表!$D$4:$D$303,72))</f>
        <v/>
      </c>
      <c r="L2323" s="32" t="str">
        <f>IF($E2323="","",INDEX(成本费用登记表!$N$4:$N$303,72))</f>
        <v/>
      </c>
      <c r="M2323" s="32"/>
      <c r="N2323" s="26" t="str">
        <f t="shared" si="110"/>
        <v/>
      </c>
      <c r="O2323" s="26" t="str">
        <f t="shared" si="111"/>
        <v/>
      </c>
      <c r="P2323" s="10"/>
    </row>
    <row r="2324" ht="18" customHeight="1" spans="1:16">
      <c r="A2324" s="32" t="str">
        <f t="shared" si="112"/>
        <v/>
      </c>
      <c r="B2324" s="100" t="str">
        <f>IF($E2324="","",INDEX(成本费用登记表!$B$4:$B$303,72))</f>
        <v/>
      </c>
      <c r="C2324" s="26" t="str">
        <f t="shared" si="109"/>
        <v/>
      </c>
      <c r="D2324" s="32" t="str">
        <f>IF($E2324="","",INDEX(成本费用登记表!$E$4:$E$303,72))</f>
        <v/>
      </c>
      <c r="E2324" s="26" t="str">
        <f>IF(INDEX(成本费用登记表!$Q$4:$Y$303,72,4)=0,"",INDEX(成本费用登记表!$Q$4:$Y$303,72,4))</f>
        <v/>
      </c>
      <c r="F2324" s="25" t="str">
        <f>IF($E2324="","",IFERROR(INDEX(科目表!$A$4:$A$81,MATCH($E2324,科目表!$B$4:$B$81,0)),""))</f>
        <v/>
      </c>
      <c r="G2324" s="26" t="str">
        <f>IF($E2324="","",IFERROR(INDEX(科目表!$E$4:$E$81,MATCH($E2324,科目表!$B$4:$B$81,0)),""))</f>
        <v/>
      </c>
      <c r="H2324" s="27" t="str">
        <f>IF($E2324="","",N(INDEX(成本费用登记表!$Q$4:$Y$303,72,5)))</f>
        <v/>
      </c>
      <c r="I2324" s="27" t="str">
        <f>IF($E2324="","",N(INDEX(成本费用登记表!$Q$4:$Y$303,72,6)))</f>
        <v/>
      </c>
      <c r="J2324" s="26" t="str">
        <f>IF($E2324="","",INDEX(成本费用登记表!$C$4:$C$303,72))</f>
        <v/>
      </c>
      <c r="K2324" s="26" t="str">
        <f>IF($E2324="","",INDEX(成本费用登记表!$D$4:$D$303,72))</f>
        <v/>
      </c>
      <c r="L2324" s="32" t="str">
        <f>IF($E2324="","",INDEX(成本费用登记表!$N$4:$N$303,72))</f>
        <v/>
      </c>
      <c r="M2324" s="32"/>
      <c r="N2324" s="26" t="str">
        <f t="shared" si="110"/>
        <v/>
      </c>
      <c r="O2324" s="26" t="str">
        <f t="shared" si="111"/>
        <v/>
      </c>
      <c r="P2324" s="10"/>
    </row>
    <row r="2325" ht="18" customHeight="1" spans="1:16">
      <c r="A2325" s="32" t="str">
        <f t="shared" si="112"/>
        <v/>
      </c>
      <c r="B2325" s="100" t="str">
        <f>IF($E2325="","",INDEX(成本费用登记表!$B$4:$B$303,72))</f>
        <v/>
      </c>
      <c r="C2325" s="26" t="str">
        <f t="shared" si="109"/>
        <v/>
      </c>
      <c r="D2325" s="32" t="str">
        <f>IF($E2325="","",INDEX(成本费用登记表!$E$4:$E$303,72))</f>
        <v/>
      </c>
      <c r="E2325" s="26" t="str">
        <f>IF(INDEX(成本费用登记表!$Q$4:$Y$303,72,7)=0,"",INDEX(成本费用登记表!$Q$4:$Y$303,72,7))</f>
        <v/>
      </c>
      <c r="F2325" s="25" t="str">
        <f>IF($E2325="","",IFERROR(INDEX(科目表!$A$4:$A$81,MATCH($E2325,科目表!$B$4:$B$81,0)),""))</f>
        <v/>
      </c>
      <c r="G2325" s="26" t="str">
        <f>IF($E2325="","",IFERROR(INDEX(科目表!$E$4:$E$81,MATCH($E2325,科目表!$B$4:$B$81,0)),""))</f>
        <v/>
      </c>
      <c r="H2325" s="27" t="str">
        <f>IF($E2325="","",N(INDEX(成本费用登记表!$Q$4:$Y$303,72,8)))</f>
        <v/>
      </c>
      <c r="I2325" s="27" t="str">
        <f>IF($E2325="","",N(INDEX(成本费用登记表!$Q$4:$Y$303,72,9)))</f>
        <v/>
      </c>
      <c r="J2325" s="26" t="str">
        <f>IF($E2325="","",INDEX(成本费用登记表!$C$4:$C$303,72))</f>
        <v/>
      </c>
      <c r="K2325" s="26" t="str">
        <f>IF($E2325="","",INDEX(成本费用登记表!$D$4:$D$303,72))</f>
        <v/>
      </c>
      <c r="L2325" s="32" t="str">
        <f>IF($E2325="","",INDEX(成本费用登记表!$N$4:$N$303,72))</f>
        <v/>
      </c>
      <c r="M2325" s="32"/>
      <c r="N2325" s="26" t="str">
        <f t="shared" si="110"/>
        <v/>
      </c>
      <c r="O2325" s="26" t="str">
        <f t="shared" si="111"/>
        <v/>
      </c>
      <c r="P2325" s="10"/>
    </row>
    <row r="2326" ht="18" customHeight="1" spans="1:16">
      <c r="A2326" s="32" t="str">
        <f t="shared" si="112"/>
        <v/>
      </c>
      <c r="B2326" s="100" t="str">
        <f>IF($E2326="","",INDEX(成本费用登记表!$B$4:$B$303,73))</f>
        <v/>
      </c>
      <c r="C2326" s="26" t="str">
        <f t="shared" si="109"/>
        <v/>
      </c>
      <c r="D2326" s="32" t="str">
        <f>IF($E2326="","",INDEX(成本费用登记表!$E$4:$E$303,73))</f>
        <v/>
      </c>
      <c r="E2326" s="26" t="str">
        <f>IF(INDEX(成本费用登记表!$Q$4:$Y$303,73,1)=0,"",INDEX(成本费用登记表!$Q$4:$Y$303,73,1))</f>
        <v/>
      </c>
      <c r="F2326" s="25" t="str">
        <f>IF($E2326="","",IFERROR(INDEX(科目表!$A$4:$A$81,MATCH($E2326,科目表!$B$4:$B$81,0)),""))</f>
        <v/>
      </c>
      <c r="G2326" s="26" t="str">
        <f>IF($E2326="","",IFERROR(INDEX(科目表!$E$4:$E$81,MATCH($E2326,科目表!$B$4:$B$81,0)),""))</f>
        <v/>
      </c>
      <c r="H2326" s="27" t="str">
        <f>IF($E2326="","",N(INDEX(成本费用登记表!$Q$4:$Y$303,73,2)))</f>
        <v/>
      </c>
      <c r="I2326" s="27" t="str">
        <f>IF($E2326="","",N(INDEX(成本费用登记表!$Q$4:$Y$303,73,3)))</f>
        <v/>
      </c>
      <c r="J2326" s="26" t="str">
        <f>IF($E2326="","",INDEX(成本费用登记表!$C$4:$C$303,73))</f>
        <v/>
      </c>
      <c r="K2326" s="26" t="str">
        <f>IF($E2326="","",INDEX(成本费用登记表!$D$4:$D$303,73))</f>
        <v/>
      </c>
      <c r="L2326" s="32" t="str">
        <f>IF($E2326="","",INDEX(成本费用登记表!$N$4:$N$303,73))</f>
        <v/>
      </c>
      <c r="M2326" s="32"/>
      <c r="N2326" s="26" t="str">
        <f t="shared" si="110"/>
        <v/>
      </c>
      <c r="O2326" s="26" t="str">
        <f t="shared" si="111"/>
        <v/>
      </c>
      <c r="P2326" s="10"/>
    </row>
    <row r="2327" ht="18" customHeight="1" spans="1:16">
      <c r="A2327" s="32" t="str">
        <f t="shared" si="112"/>
        <v/>
      </c>
      <c r="B2327" s="100" t="str">
        <f>IF($E2327="","",INDEX(成本费用登记表!$B$4:$B$303,73))</f>
        <v/>
      </c>
      <c r="C2327" s="26" t="str">
        <f t="shared" si="109"/>
        <v/>
      </c>
      <c r="D2327" s="32" t="str">
        <f>IF($E2327="","",INDEX(成本费用登记表!$E$4:$E$303,73))</f>
        <v/>
      </c>
      <c r="E2327" s="26" t="str">
        <f>IF(INDEX(成本费用登记表!$Q$4:$Y$303,73,4)=0,"",INDEX(成本费用登记表!$Q$4:$Y$303,73,4))</f>
        <v/>
      </c>
      <c r="F2327" s="25" t="str">
        <f>IF($E2327="","",IFERROR(INDEX(科目表!$A$4:$A$81,MATCH($E2327,科目表!$B$4:$B$81,0)),""))</f>
        <v/>
      </c>
      <c r="G2327" s="26" t="str">
        <f>IF($E2327="","",IFERROR(INDEX(科目表!$E$4:$E$81,MATCH($E2327,科目表!$B$4:$B$81,0)),""))</f>
        <v/>
      </c>
      <c r="H2327" s="27" t="str">
        <f>IF($E2327="","",N(INDEX(成本费用登记表!$Q$4:$Y$303,73,5)))</f>
        <v/>
      </c>
      <c r="I2327" s="27" t="str">
        <f>IF($E2327="","",N(INDEX(成本费用登记表!$Q$4:$Y$303,73,6)))</f>
        <v/>
      </c>
      <c r="J2327" s="26" t="str">
        <f>IF($E2327="","",INDEX(成本费用登记表!$C$4:$C$303,73))</f>
        <v/>
      </c>
      <c r="K2327" s="26" t="str">
        <f>IF($E2327="","",INDEX(成本费用登记表!$D$4:$D$303,73))</f>
        <v/>
      </c>
      <c r="L2327" s="32" t="str">
        <f>IF($E2327="","",INDEX(成本费用登记表!$N$4:$N$303,73))</f>
        <v/>
      </c>
      <c r="M2327" s="32"/>
      <c r="N2327" s="26" t="str">
        <f t="shared" si="110"/>
        <v/>
      </c>
      <c r="O2327" s="26" t="str">
        <f t="shared" si="111"/>
        <v/>
      </c>
      <c r="P2327" s="10"/>
    </row>
    <row r="2328" ht="18" customHeight="1" spans="1:16">
      <c r="A2328" s="32" t="str">
        <f t="shared" si="112"/>
        <v/>
      </c>
      <c r="B2328" s="100" t="str">
        <f>IF($E2328="","",INDEX(成本费用登记表!$B$4:$B$303,73))</f>
        <v/>
      </c>
      <c r="C2328" s="26" t="str">
        <f t="shared" si="109"/>
        <v/>
      </c>
      <c r="D2328" s="32" t="str">
        <f>IF($E2328="","",INDEX(成本费用登记表!$E$4:$E$303,73))</f>
        <v/>
      </c>
      <c r="E2328" s="26" t="str">
        <f>IF(INDEX(成本费用登记表!$Q$4:$Y$303,73,7)=0,"",INDEX(成本费用登记表!$Q$4:$Y$303,73,7))</f>
        <v/>
      </c>
      <c r="F2328" s="25" t="str">
        <f>IF($E2328="","",IFERROR(INDEX(科目表!$A$4:$A$81,MATCH($E2328,科目表!$B$4:$B$81,0)),""))</f>
        <v/>
      </c>
      <c r="G2328" s="26" t="str">
        <f>IF($E2328="","",IFERROR(INDEX(科目表!$E$4:$E$81,MATCH($E2328,科目表!$B$4:$B$81,0)),""))</f>
        <v/>
      </c>
      <c r="H2328" s="27" t="str">
        <f>IF($E2328="","",N(INDEX(成本费用登记表!$Q$4:$Y$303,73,8)))</f>
        <v/>
      </c>
      <c r="I2328" s="27" t="str">
        <f>IF($E2328="","",N(INDEX(成本费用登记表!$Q$4:$Y$303,73,9)))</f>
        <v/>
      </c>
      <c r="J2328" s="26" t="str">
        <f>IF($E2328="","",INDEX(成本费用登记表!$C$4:$C$303,73))</f>
        <v/>
      </c>
      <c r="K2328" s="26" t="str">
        <f>IF($E2328="","",INDEX(成本费用登记表!$D$4:$D$303,73))</f>
        <v/>
      </c>
      <c r="L2328" s="32" t="str">
        <f>IF($E2328="","",INDEX(成本费用登记表!$N$4:$N$303,73))</f>
        <v/>
      </c>
      <c r="M2328" s="32"/>
      <c r="N2328" s="26" t="str">
        <f t="shared" si="110"/>
        <v/>
      </c>
      <c r="O2328" s="26" t="str">
        <f t="shared" si="111"/>
        <v/>
      </c>
      <c r="P2328" s="10"/>
    </row>
    <row r="2329" ht="18" customHeight="1" spans="1:16">
      <c r="A2329" s="32" t="str">
        <f t="shared" si="112"/>
        <v/>
      </c>
      <c r="B2329" s="100" t="str">
        <f>IF($E2329="","",INDEX(成本费用登记表!$B$4:$B$303,74))</f>
        <v/>
      </c>
      <c r="C2329" s="26" t="str">
        <f t="shared" si="109"/>
        <v/>
      </c>
      <c r="D2329" s="32" t="str">
        <f>IF($E2329="","",INDEX(成本费用登记表!$E$4:$E$303,74))</f>
        <v/>
      </c>
      <c r="E2329" s="26" t="str">
        <f>IF(INDEX(成本费用登记表!$Q$4:$Y$303,74,1)=0,"",INDEX(成本费用登记表!$Q$4:$Y$303,74,1))</f>
        <v/>
      </c>
      <c r="F2329" s="25" t="str">
        <f>IF($E2329="","",IFERROR(INDEX(科目表!$A$4:$A$81,MATCH($E2329,科目表!$B$4:$B$81,0)),""))</f>
        <v/>
      </c>
      <c r="G2329" s="26" t="str">
        <f>IF($E2329="","",IFERROR(INDEX(科目表!$E$4:$E$81,MATCH($E2329,科目表!$B$4:$B$81,0)),""))</f>
        <v/>
      </c>
      <c r="H2329" s="27" t="str">
        <f>IF($E2329="","",N(INDEX(成本费用登记表!$Q$4:$Y$303,74,2)))</f>
        <v/>
      </c>
      <c r="I2329" s="27" t="str">
        <f>IF($E2329="","",N(INDEX(成本费用登记表!$Q$4:$Y$303,74,3)))</f>
        <v/>
      </c>
      <c r="J2329" s="26" t="str">
        <f>IF($E2329="","",INDEX(成本费用登记表!$C$4:$C$303,74))</f>
        <v/>
      </c>
      <c r="K2329" s="26" t="str">
        <f>IF($E2329="","",INDEX(成本费用登记表!$D$4:$D$303,74))</f>
        <v/>
      </c>
      <c r="L2329" s="32" t="str">
        <f>IF($E2329="","",INDEX(成本费用登记表!$N$4:$N$303,74))</f>
        <v/>
      </c>
      <c r="M2329" s="32"/>
      <c r="N2329" s="26" t="str">
        <f t="shared" si="110"/>
        <v/>
      </c>
      <c r="O2329" s="26" t="str">
        <f t="shared" si="111"/>
        <v/>
      </c>
      <c r="P2329" s="10"/>
    </row>
    <row r="2330" ht="18" customHeight="1" spans="1:16">
      <c r="A2330" s="32" t="str">
        <f t="shared" si="112"/>
        <v/>
      </c>
      <c r="B2330" s="100" t="str">
        <f>IF($E2330="","",INDEX(成本费用登记表!$B$4:$B$303,74))</f>
        <v/>
      </c>
      <c r="C2330" s="26" t="str">
        <f t="shared" si="109"/>
        <v/>
      </c>
      <c r="D2330" s="32" t="str">
        <f>IF($E2330="","",INDEX(成本费用登记表!$E$4:$E$303,74))</f>
        <v/>
      </c>
      <c r="E2330" s="26" t="str">
        <f>IF(INDEX(成本费用登记表!$Q$4:$Y$303,74,4)=0,"",INDEX(成本费用登记表!$Q$4:$Y$303,74,4))</f>
        <v/>
      </c>
      <c r="F2330" s="25" t="str">
        <f>IF($E2330="","",IFERROR(INDEX(科目表!$A$4:$A$81,MATCH($E2330,科目表!$B$4:$B$81,0)),""))</f>
        <v/>
      </c>
      <c r="G2330" s="26" t="str">
        <f>IF($E2330="","",IFERROR(INDEX(科目表!$E$4:$E$81,MATCH($E2330,科目表!$B$4:$B$81,0)),""))</f>
        <v/>
      </c>
      <c r="H2330" s="27" t="str">
        <f>IF($E2330="","",N(INDEX(成本费用登记表!$Q$4:$Y$303,74,5)))</f>
        <v/>
      </c>
      <c r="I2330" s="27" t="str">
        <f>IF($E2330="","",N(INDEX(成本费用登记表!$Q$4:$Y$303,74,6)))</f>
        <v/>
      </c>
      <c r="J2330" s="26" t="str">
        <f>IF($E2330="","",INDEX(成本费用登记表!$C$4:$C$303,74))</f>
        <v/>
      </c>
      <c r="K2330" s="26" t="str">
        <f>IF($E2330="","",INDEX(成本费用登记表!$D$4:$D$303,74))</f>
        <v/>
      </c>
      <c r="L2330" s="32" t="str">
        <f>IF($E2330="","",INDEX(成本费用登记表!$N$4:$N$303,74))</f>
        <v/>
      </c>
      <c r="M2330" s="32"/>
      <c r="N2330" s="26" t="str">
        <f t="shared" si="110"/>
        <v/>
      </c>
      <c r="O2330" s="26" t="str">
        <f t="shared" si="111"/>
        <v/>
      </c>
      <c r="P2330" s="10"/>
    </row>
    <row r="2331" ht="18" customHeight="1" spans="1:16">
      <c r="A2331" s="32" t="str">
        <f t="shared" si="112"/>
        <v/>
      </c>
      <c r="B2331" s="100" t="str">
        <f>IF($E2331="","",INDEX(成本费用登记表!$B$4:$B$303,74))</f>
        <v/>
      </c>
      <c r="C2331" s="26" t="str">
        <f t="shared" si="109"/>
        <v/>
      </c>
      <c r="D2331" s="32" t="str">
        <f>IF($E2331="","",INDEX(成本费用登记表!$E$4:$E$303,74))</f>
        <v/>
      </c>
      <c r="E2331" s="26" t="str">
        <f>IF(INDEX(成本费用登记表!$Q$4:$Y$303,74,7)=0,"",INDEX(成本费用登记表!$Q$4:$Y$303,74,7))</f>
        <v/>
      </c>
      <c r="F2331" s="25" t="str">
        <f>IF($E2331="","",IFERROR(INDEX(科目表!$A$4:$A$81,MATCH($E2331,科目表!$B$4:$B$81,0)),""))</f>
        <v/>
      </c>
      <c r="G2331" s="26" t="str">
        <f>IF($E2331="","",IFERROR(INDEX(科目表!$E$4:$E$81,MATCH($E2331,科目表!$B$4:$B$81,0)),""))</f>
        <v/>
      </c>
      <c r="H2331" s="27" t="str">
        <f>IF($E2331="","",N(INDEX(成本费用登记表!$Q$4:$Y$303,74,8)))</f>
        <v/>
      </c>
      <c r="I2331" s="27" t="str">
        <f>IF($E2331="","",N(INDEX(成本费用登记表!$Q$4:$Y$303,74,9)))</f>
        <v/>
      </c>
      <c r="J2331" s="26" t="str">
        <f>IF($E2331="","",INDEX(成本费用登记表!$C$4:$C$303,74))</f>
        <v/>
      </c>
      <c r="K2331" s="26" t="str">
        <f>IF($E2331="","",INDEX(成本费用登记表!$D$4:$D$303,74))</f>
        <v/>
      </c>
      <c r="L2331" s="32" t="str">
        <f>IF($E2331="","",INDEX(成本费用登记表!$N$4:$N$303,74))</f>
        <v/>
      </c>
      <c r="M2331" s="32"/>
      <c r="N2331" s="26" t="str">
        <f t="shared" si="110"/>
        <v/>
      </c>
      <c r="O2331" s="26" t="str">
        <f t="shared" si="111"/>
        <v/>
      </c>
      <c r="P2331" s="10"/>
    </row>
    <row r="2332" ht="18" customHeight="1" spans="1:16">
      <c r="A2332" s="32" t="str">
        <f t="shared" si="112"/>
        <v/>
      </c>
      <c r="B2332" s="100" t="str">
        <f>IF($E2332="","",INDEX(成本费用登记表!$B$4:$B$303,75))</f>
        <v/>
      </c>
      <c r="C2332" s="26" t="str">
        <f t="shared" si="109"/>
        <v/>
      </c>
      <c r="D2332" s="32" t="str">
        <f>IF($E2332="","",INDEX(成本费用登记表!$E$4:$E$303,75))</f>
        <v/>
      </c>
      <c r="E2332" s="26" t="str">
        <f>IF(INDEX(成本费用登记表!$Q$4:$Y$303,75,1)=0,"",INDEX(成本费用登记表!$Q$4:$Y$303,75,1))</f>
        <v/>
      </c>
      <c r="F2332" s="25" t="str">
        <f>IF($E2332="","",IFERROR(INDEX(科目表!$A$4:$A$81,MATCH($E2332,科目表!$B$4:$B$81,0)),""))</f>
        <v/>
      </c>
      <c r="G2332" s="26" t="str">
        <f>IF($E2332="","",IFERROR(INDEX(科目表!$E$4:$E$81,MATCH($E2332,科目表!$B$4:$B$81,0)),""))</f>
        <v/>
      </c>
      <c r="H2332" s="27" t="str">
        <f>IF($E2332="","",N(INDEX(成本费用登记表!$Q$4:$Y$303,75,2)))</f>
        <v/>
      </c>
      <c r="I2332" s="27" t="str">
        <f>IF($E2332="","",N(INDEX(成本费用登记表!$Q$4:$Y$303,75,3)))</f>
        <v/>
      </c>
      <c r="J2332" s="26" t="str">
        <f>IF($E2332="","",INDEX(成本费用登记表!$C$4:$C$303,75))</f>
        <v/>
      </c>
      <c r="K2332" s="26" t="str">
        <f>IF($E2332="","",INDEX(成本费用登记表!$D$4:$D$303,75))</f>
        <v/>
      </c>
      <c r="L2332" s="32" t="str">
        <f>IF($E2332="","",INDEX(成本费用登记表!$N$4:$N$303,75))</f>
        <v/>
      </c>
      <c r="M2332" s="32"/>
      <c r="N2332" s="26" t="str">
        <f t="shared" si="110"/>
        <v/>
      </c>
      <c r="O2332" s="26" t="str">
        <f t="shared" si="111"/>
        <v/>
      </c>
      <c r="P2332" s="10"/>
    </row>
    <row r="2333" ht="18" customHeight="1" spans="1:16">
      <c r="A2333" s="32" t="str">
        <f t="shared" si="112"/>
        <v/>
      </c>
      <c r="B2333" s="100" t="str">
        <f>IF($E2333="","",INDEX(成本费用登记表!$B$4:$B$303,75))</f>
        <v/>
      </c>
      <c r="C2333" s="26" t="str">
        <f t="shared" si="109"/>
        <v/>
      </c>
      <c r="D2333" s="32" t="str">
        <f>IF($E2333="","",INDEX(成本费用登记表!$E$4:$E$303,75))</f>
        <v/>
      </c>
      <c r="E2333" s="26" t="str">
        <f>IF(INDEX(成本费用登记表!$Q$4:$Y$303,75,4)=0,"",INDEX(成本费用登记表!$Q$4:$Y$303,75,4))</f>
        <v/>
      </c>
      <c r="F2333" s="25" t="str">
        <f>IF($E2333="","",IFERROR(INDEX(科目表!$A$4:$A$81,MATCH($E2333,科目表!$B$4:$B$81,0)),""))</f>
        <v/>
      </c>
      <c r="G2333" s="26" t="str">
        <f>IF($E2333="","",IFERROR(INDEX(科目表!$E$4:$E$81,MATCH($E2333,科目表!$B$4:$B$81,0)),""))</f>
        <v/>
      </c>
      <c r="H2333" s="27" t="str">
        <f>IF($E2333="","",N(INDEX(成本费用登记表!$Q$4:$Y$303,75,5)))</f>
        <v/>
      </c>
      <c r="I2333" s="27" t="str">
        <f>IF($E2333="","",N(INDEX(成本费用登记表!$Q$4:$Y$303,75,6)))</f>
        <v/>
      </c>
      <c r="J2333" s="26" t="str">
        <f>IF($E2333="","",INDEX(成本费用登记表!$C$4:$C$303,75))</f>
        <v/>
      </c>
      <c r="K2333" s="26" t="str">
        <f>IF($E2333="","",INDEX(成本费用登记表!$D$4:$D$303,75))</f>
        <v/>
      </c>
      <c r="L2333" s="32" t="str">
        <f>IF($E2333="","",INDEX(成本费用登记表!$N$4:$N$303,75))</f>
        <v/>
      </c>
      <c r="M2333" s="32"/>
      <c r="N2333" s="26" t="str">
        <f t="shared" si="110"/>
        <v/>
      </c>
      <c r="O2333" s="26" t="str">
        <f t="shared" si="111"/>
        <v/>
      </c>
      <c r="P2333" s="10"/>
    </row>
    <row r="2334" ht="18" customHeight="1" spans="1:16">
      <c r="A2334" s="32" t="str">
        <f t="shared" si="112"/>
        <v/>
      </c>
      <c r="B2334" s="100" t="str">
        <f>IF($E2334="","",INDEX(成本费用登记表!$B$4:$B$303,75))</f>
        <v/>
      </c>
      <c r="C2334" s="26" t="str">
        <f t="shared" si="109"/>
        <v/>
      </c>
      <c r="D2334" s="32" t="str">
        <f>IF($E2334="","",INDEX(成本费用登记表!$E$4:$E$303,75))</f>
        <v/>
      </c>
      <c r="E2334" s="26" t="str">
        <f>IF(INDEX(成本费用登记表!$Q$4:$Y$303,75,7)=0,"",INDEX(成本费用登记表!$Q$4:$Y$303,75,7))</f>
        <v/>
      </c>
      <c r="F2334" s="25" t="str">
        <f>IF($E2334="","",IFERROR(INDEX(科目表!$A$4:$A$81,MATCH($E2334,科目表!$B$4:$B$81,0)),""))</f>
        <v/>
      </c>
      <c r="G2334" s="26" t="str">
        <f>IF($E2334="","",IFERROR(INDEX(科目表!$E$4:$E$81,MATCH($E2334,科目表!$B$4:$B$81,0)),""))</f>
        <v/>
      </c>
      <c r="H2334" s="27" t="str">
        <f>IF($E2334="","",N(INDEX(成本费用登记表!$Q$4:$Y$303,75,8)))</f>
        <v/>
      </c>
      <c r="I2334" s="27" t="str">
        <f>IF($E2334="","",N(INDEX(成本费用登记表!$Q$4:$Y$303,75,9)))</f>
        <v/>
      </c>
      <c r="J2334" s="26" t="str">
        <f>IF($E2334="","",INDEX(成本费用登记表!$C$4:$C$303,75))</f>
        <v/>
      </c>
      <c r="K2334" s="26" t="str">
        <f>IF($E2334="","",INDEX(成本费用登记表!$D$4:$D$303,75))</f>
        <v/>
      </c>
      <c r="L2334" s="32" t="str">
        <f>IF($E2334="","",INDEX(成本费用登记表!$N$4:$N$303,75))</f>
        <v/>
      </c>
      <c r="M2334" s="32"/>
      <c r="N2334" s="26" t="str">
        <f t="shared" si="110"/>
        <v/>
      </c>
      <c r="O2334" s="26" t="str">
        <f t="shared" si="111"/>
        <v/>
      </c>
      <c r="P2334" s="10"/>
    </row>
    <row r="2335" ht="18" customHeight="1" spans="1:16">
      <c r="A2335" s="32" t="str">
        <f t="shared" si="112"/>
        <v/>
      </c>
      <c r="B2335" s="100" t="str">
        <f>IF($E2335="","",INDEX(成本费用登记表!$B$4:$B$303,76))</f>
        <v/>
      </c>
      <c r="C2335" s="26" t="str">
        <f t="shared" si="109"/>
        <v/>
      </c>
      <c r="D2335" s="32" t="str">
        <f>IF($E2335="","",INDEX(成本费用登记表!$E$4:$E$303,76))</f>
        <v/>
      </c>
      <c r="E2335" s="26" t="str">
        <f>IF(INDEX(成本费用登记表!$Q$4:$Y$303,76,1)=0,"",INDEX(成本费用登记表!$Q$4:$Y$303,76,1))</f>
        <v/>
      </c>
      <c r="F2335" s="25" t="str">
        <f>IF($E2335="","",IFERROR(INDEX(科目表!$A$4:$A$81,MATCH($E2335,科目表!$B$4:$B$81,0)),""))</f>
        <v/>
      </c>
      <c r="G2335" s="26" t="str">
        <f>IF($E2335="","",IFERROR(INDEX(科目表!$E$4:$E$81,MATCH($E2335,科目表!$B$4:$B$81,0)),""))</f>
        <v/>
      </c>
      <c r="H2335" s="27" t="str">
        <f>IF($E2335="","",N(INDEX(成本费用登记表!$Q$4:$Y$303,76,2)))</f>
        <v/>
      </c>
      <c r="I2335" s="27" t="str">
        <f>IF($E2335="","",N(INDEX(成本费用登记表!$Q$4:$Y$303,76,3)))</f>
        <v/>
      </c>
      <c r="J2335" s="26" t="str">
        <f>IF($E2335="","",INDEX(成本费用登记表!$C$4:$C$303,76))</f>
        <v/>
      </c>
      <c r="K2335" s="26" t="str">
        <f>IF($E2335="","",INDEX(成本费用登记表!$D$4:$D$303,76))</f>
        <v/>
      </c>
      <c r="L2335" s="32" t="str">
        <f>IF($E2335="","",INDEX(成本费用登记表!$N$4:$N$303,76))</f>
        <v/>
      </c>
      <c r="M2335" s="32"/>
      <c r="N2335" s="26" t="str">
        <f t="shared" si="110"/>
        <v/>
      </c>
      <c r="O2335" s="26" t="str">
        <f t="shared" si="111"/>
        <v/>
      </c>
      <c r="P2335" s="10"/>
    </row>
    <row r="2336" ht="18" customHeight="1" spans="1:16">
      <c r="A2336" s="32" t="str">
        <f t="shared" si="112"/>
        <v/>
      </c>
      <c r="B2336" s="100" t="str">
        <f>IF($E2336="","",INDEX(成本费用登记表!$B$4:$B$303,76))</f>
        <v/>
      </c>
      <c r="C2336" s="26" t="str">
        <f t="shared" si="109"/>
        <v/>
      </c>
      <c r="D2336" s="32" t="str">
        <f>IF($E2336="","",INDEX(成本费用登记表!$E$4:$E$303,76))</f>
        <v/>
      </c>
      <c r="E2336" s="26" t="str">
        <f>IF(INDEX(成本费用登记表!$Q$4:$Y$303,76,4)=0,"",INDEX(成本费用登记表!$Q$4:$Y$303,76,4))</f>
        <v/>
      </c>
      <c r="F2336" s="25" t="str">
        <f>IF($E2336="","",IFERROR(INDEX(科目表!$A$4:$A$81,MATCH($E2336,科目表!$B$4:$B$81,0)),""))</f>
        <v/>
      </c>
      <c r="G2336" s="26" t="str">
        <f>IF($E2336="","",IFERROR(INDEX(科目表!$E$4:$E$81,MATCH($E2336,科目表!$B$4:$B$81,0)),""))</f>
        <v/>
      </c>
      <c r="H2336" s="27" t="str">
        <f>IF($E2336="","",N(INDEX(成本费用登记表!$Q$4:$Y$303,76,5)))</f>
        <v/>
      </c>
      <c r="I2336" s="27" t="str">
        <f>IF($E2336="","",N(INDEX(成本费用登记表!$Q$4:$Y$303,76,6)))</f>
        <v/>
      </c>
      <c r="J2336" s="26" t="str">
        <f>IF($E2336="","",INDEX(成本费用登记表!$C$4:$C$303,76))</f>
        <v/>
      </c>
      <c r="K2336" s="26" t="str">
        <f>IF($E2336="","",INDEX(成本费用登记表!$D$4:$D$303,76))</f>
        <v/>
      </c>
      <c r="L2336" s="32" t="str">
        <f>IF($E2336="","",INDEX(成本费用登记表!$N$4:$N$303,76))</f>
        <v/>
      </c>
      <c r="M2336" s="32"/>
      <c r="N2336" s="26" t="str">
        <f t="shared" si="110"/>
        <v/>
      </c>
      <c r="O2336" s="26" t="str">
        <f t="shared" si="111"/>
        <v/>
      </c>
      <c r="P2336" s="10"/>
    </row>
    <row r="2337" ht="18" customHeight="1" spans="1:16">
      <c r="A2337" s="32" t="str">
        <f t="shared" si="112"/>
        <v/>
      </c>
      <c r="B2337" s="100" t="str">
        <f>IF($E2337="","",INDEX(成本费用登记表!$B$4:$B$303,76))</f>
        <v/>
      </c>
      <c r="C2337" s="26" t="str">
        <f t="shared" si="109"/>
        <v/>
      </c>
      <c r="D2337" s="32" t="str">
        <f>IF($E2337="","",INDEX(成本费用登记表!$E$4:$E$303,76))</f>
        <v/>
      </c>
      <c r="E2337" s="26" t="str">
        <f>IF(INDEX(成本费用登记表!$Q$4:$Y$303,76,7)=0,"",INDEX(成本费用登记表!$Q$4:$Y$303,76,7))</f>
        <v/>
      </c>
      <c r="F2337" s="25" t="str">
        <f>IF($E2337="","",IFERROR(INDEX(科目表!$A$4:$A$81,MATCH($E2337,科目表!$B$4:$B$81,0)),""))</f>
        <v/>
      </c>
      <c r="G2337" s="26" t="str">
        <f>IF($E2337="","",IFERROR(INDEX(科目表!$E$4:$E$81,MATCH($E2337,科目表!$B$4:$B$81,0)),""))</f>
        <v/>
      </c>
      <c r="H2337" s="27" t="str">
        <f>IF($E2337="","",N(INDEX(成本费用登记表!$Q$4:$Y$303,76,8)))</f>
        <v/>
      </c>
      <c r="I2337" s="27" t="str">
        <f>IF($E2337="","",N(INDEX(成本费用登记表!$Q$4:$Y$303,76,9)))</f>
        <v/>
      </c>
      <c r="J2337" s="26" t="str">
        <f>IF($E2337="","",INDEX(成本费用登记表!$C$4:$C$303,76))</f>
        <v/>
      </c>
      <c r="K2337" s="26" t="str">
        <f>IF($E2337="","",INDEX(成本费用登记表!$D$4:$D$303,76))</f>
        <v/>
      </c>
      <c r="L2337" s="32" t="str">
        <f>IF($E2337="","",INDEX(成本费用登记表!$N$4:$N$303,76))</f>
        <v/>
      </c>
      <c r="M2337" s="32"/>
      <c r="N2337" s="26" t="str">
        <f t="shared" si="110"/>
        <v/>
      </c>
      <c r="O2337" s="26" t="str">
        <f t="shared" si="111"/>
        <v/>
      </c>
      <c r="P2337" s="10"/>
    </row>
    <row r="2338" ht="18" customHeight="1" spans="1:16">
      <c r="A2338" s="32" t="str">
        <f t="shared" si="112"/>
        <v/>
      </c>
      <c r="B2338" s="100" t="str">
        <f>IF($E2338="","",INDEX(成本费用登记表!$B$4:$B$303,77))</f>
        <v/>
      </c>
      <c r="C2338" s="26" t="str">
        <f t="shared" si="109"/>
        <v/>
      </c>
      <c r="D2338" s="32" t="str">
        <f>IF($E2338="","",INDEX(成本费用登记表!$E$4:$E$303,77))</f>
        <v/>
      </c>
      <c r="E2338" s="26" t="str">
        <f>IF(INDEX(成本费用登记表!$Q$4:$Y$303,77,1)=0,"",INDEX(成本费用登记表!$Q$4:$Y$303,77,1))</f>
        <v/>
      </c>
      <c r="F2338" s="25" t="str">
        <f>IF($E2338="","",IFERROR(INDEX(科目表!$A$4:$A$81,MATCH($E2338,科目表!$B$4:$B$81,0)),""))</f>
        <v/>
      </c>
      <c r="G2338" s="26" t="str">
        <f>IF($E2338="","",IFERROR(INDEX(科目表!$E$4:$E$81,MATCH($E2338,科目表!$B$4:$B$81,0)),""))</f>
        <v/>
      </c>
      <c r="H2338" s="27" t="str">
        <f>IF($E2338="","",N(INDEX(成本费用登记表!$Q$4:$Y$303,77,2)))</f>
        <v/>
      </c>
      <c r="I2338" s="27" t="str">
        <f>IF($E2338="","",N(INDEX(成本费用登记表!$Q$4:$Y$303,77,3)))</f>
        <v/>
      </c>
      <c r="J2338" s="26" t="str">
        <f>IF($E2338="","",INDEX(成本费用登记表!$C$4:$C$303,77))</f>
        <v/>
      </c>
      <c r="K2338" s="26" t="str">
        <f>IF($E2338="","",INDEX(成本费用登记表!$D$4:$D$303,77))</f>
        <v/>
      </c>
      <c r="L2338" s="32" t="str">
        <f>IF($E2338="","",INDEX(成本费用登记表!$N$4:$N$303,77))</f>
        <v/>
      </c>
      <c r="M2338" s="32"/>
      <c r="N2338" s="26" t="str">
        <f t="shared" si="110"/>
        <v/>
      </c>
      <c r="O2338" s="26" t="str">
        <f t="shared" si="111"/>
        <v/>
      </c>
      <c r="P2338" s="10"/>
    </row>
    <row r="2339" ht="18" customHeight="1" spans="1:16">
      <c r="A2339" s="32" t="str">
        <f t="shared" si="112"/>
        <v/>
      </c>
      <c r="B2339" s="100" t="str">
        <f>IF($E2339="","",INDEX(成本费用登记表!$B$4:$B$303,77))</f>
        <v/>
      </c>
      <c r="C2339" s="26" t="str">
        <f t="shared" si="109"/>
        <v/>
      </c>
      <c r="D2339" s="32" t="str">
        <f>IF($E2339="","",INDEX(成本费用登记表!$E$4:$E$303,77))</f>
        <v/>
      </c>
      <c r="E2339" s="26" t="str">
        <f>IF(INDEX(成本费用登记表!$Q$4:$Y$303,77,4)=0,"",INDEX(成本费用登记表!$Q$4:$Y$303,77,4))</f>
        <v/>
      </c>
      <c r="F2339" s="25" t="str">
        <f>IF($E2339="","",IFERROR(INDEX(科目表!$A$4:$A$81,MATCH($E2339,科目表!$B$4:$B$81,0)),""))</f>
        <v/>
      </c>
      <c r="G2339" s="26" t="str">
        <f>IF($E2339="","",IFERROR(INDEX(科目表!$E$4:$E$81,MATCH($E2339,科目表!$B$4:$B$81,0)),""))</f>
        <v/>
      </c>
      <c r="H2339" s="27" t="str">
        <f>IF($E2339="","",N(INDEX(成本费用登记表!$Q$4:$Y$303,77,5)))</f>
        <v/>
      </c>
      <c r="I2339" s="27" t="str">
        <f>IF($E2339="","",N(INDEX(成本费用登记表!$Q$4:$Y$303,77,6)))</f>
        <v/>
      </c>
      <c r="J2339" s="26" t="str">
        <f>IF($E2339="","",INDEX(成本费用登记表!$C$4:$C$303,77))</f>
        <v/>
      </c>
      <c r="K2339" s="26" t="str">
        <f>IF($E2339="","",INDEX(成本费用登记表!$D$4:$D$303,77))</f>
        <v/>
      </c>
      <c r="L2339" s="32" t="str">
        <f>IF($E2339="","",INDEX(成本费用登记表!$N$4:$N$303,77))</f>
        <v/>
      </c>
      <c r="M2339" s="32"/>
      <c r="N2339" s="26" t="str">
        <f t="shared" si="110"/>
        <v/>
      </c>
      <c r="O2339" s="26" t="str">
        <f t="shared" si="111"/>
        <v/>
      </c>
      <c r="P2339" s="10"/>
    </row>
    <row r="2340" ht="18" customHeight="1" spans="1:16">
      <c r="A2340" s="32" t="str">
        <f t="shared" si="112"/>
        <v/>
      </c>
      <c r="B2340" s="100" t="str">
        <f>IF($E2340="","",INDEX(成本费用登记表!$B$4:$B$303,77))</f>
        <v/>
      </c>
      <c r="C2340" s="26" t="str">
        <f t="shared" si="109"/>
        <v/>
      </c>
      <c r="D2340" s="32" t="str">
        <f>IF($E2340="","",INDEX(成本费用登记表!$E$4:$E$303,77))</f>
        <v/>
      </c>
      <c r="E2340" s="26" t="str">
        <f>IF(INDEX(成本费用登记表!$Q$4:$Y$303,77,7)=0,"",INDEX(成本费用登记表!$Q$4:$Y$303,77,7))</f>
        <v/>
      </c>
      <c r="F2340" s="25" t="str">
        <f>IF($E2340="","",IFERROR(INDEX(科目表!$A$4:$A$81,MATCH($E2340,科目表!$B$4:$B$81,0)),""))</f>
        <v/>
      </c>
      <c r="G2340" s="26" t="str">
        <f>IF($E2340="","",IFERROR(INDEX(科目表!$E$4:$E$81,MATCH($E2340,科目表!$B$4:$B$81,0)),""))</f>
        <v/>
      </c>
      <c r="H2340" s="27" t="str">
        <f>IF($E2340="","",N(INDEX(成本费用登记表!$Q$4:$Y$303,77,8)))</f>
        <v/>
      </c>
      <c r="I2340" s="27" t="str">
        <f>IF($E2340="","",N(INDEX(成本费用登记表!$Q$4:$Y$303,77,9)))</f>
        <v/>
      </c>
      <c r="J2340" s="26" t="str">
        <f>IF($E2340="","",INDEX(成本费用登记表!$C$4:$C$303,77))</f>
        <v/>
      </c>
      <c r="K2340" s="26" t="str">
        <f>IF($E2340="","",INDEX(成本费用登记表!$D$4:$D$303,77))</f>
        <v/>
      </c>
      <c r="L2340" s="32" t="str">
        <f>IF($E2340="","",INDEX(成本费用登记表!$N$4:$N$303,77))</f>
        <v/>
      </c>
      <c r="M2340" s="32"/>
      <c r="N2340" s="26" t="str">
        <f t="shared" si="110"/>
        <v/>
      </c>
      <c r="O2340" s="26" t="str">
        <f t="shared" si="111"/>
        <v/>
      </c>
      <c r="P2340" s="10"/>
    </row>
    <row r="2341" ht="18" customHeight="1" spans="1:16">
      <c r="A2341" s="32" t="str">
        <f t="shared" si="112"/>
        <v/>
      </c>
      <c r="B2341" s="100" t="str">
        <f>IF($E2341="","",INDEX(成本费用登记表!$B$4:$B$303,78))</f>
        <v/>
      </c>
      <c r="C2341" s="26" t="str">
        <f t="shared" si="109"/>
        <v/>
      </c>
      <c r="D2341" s="32" t="str">
        <f>IF($E2341="","",INDEX(成本费用登记表!$E$4:$E$303,78))</f>
        <v/>
      </c>
      <c r="E2341" s="26" t="str">
        <f>IF(INDEX(成本费用登记表!$Q$4:$Y$303,78,1)=0,"",INDEX(成本费用登记表!$Q$4:$Y$303,78,1))</f>
        <v/>
      </c>
      <c r="F2341" s="25" t="str">
        <f>IF($E2341="","",IFERROR(INDEX(科目表!$A$4:$A$81,MATCH($E2341,科目表!$B$4:$B$81,0)),""))</f>
        <v/>
      </c>
      <c r="G2341" s="26" t="str">
        <f>IF($E2341="","",IFERROR(INDEX(科目表!$E$4:$E$81,MATCH($E2341,科目表!$B$4:$B$81,0)),""))</f>
        <v/>
      </c>
      <c r="H2341" s="27" t="str">
        <f>IF($E2341="","",N(INDEX(成本费用登记表!$Q$4:$Y$303,78,2)))</f>
        <v/>
      </c>
      <c r="I2341" s="27" t="str">
        <f>IF($E2341="","",N(INDEX(成本费用登记表!$Q$4:$Y$303,78,3)))</f>
        <v/>
      </c>
      <c r="J2341" s="26" t="str">
        <f>IF($E2341="","",INDEX(成本费用登记表!$C$4:$C$303,78))</f>
        <v/>
      </c>
      <c r="K2341" s="26" t="str">
        <f>IF($E2341="","",INDEX(成本费用登记表!$D$4:$D$303,78))</f>
        <v/>
      </c>
      <c r="L2341" s="32" t="str">
        <f>IF($E2341="","",INDEX(成本费用登记表!$N$4:$N$303,78))</f>
        <v/>
      </c>
      <c r="M2341" s="32"/>
      <c r="N2341" s="26" t="str">
        <f t="shared" si="110"/>
        <v/>
      </c>
      <c r="O2341" s="26" t="str">
        <f t="shared" si="111"/>
        <v/>
      </c>
      <c r="P2341" s="10"/>
    </row>
    <row r="2342" ht="18" customHeight="1" spans="1:16">
      <c r="A2342" s="32" t="str">
        <f t="shared" si="112"/>
        <v/>
      </c>
      <c r="B2342" s="100" t="str">
        <f>IF($E2342="","",INDEX(成本费用登记表!$B$4:$B$303,78))</f>
        <v/>
      </c>
      <c r="C2342" s="26" t="str">
        <f t="shared" si="109"/>
        <v/>
      </c>
      <c r="D2342" s="32" t="str">
        <f>IF($E2342="","",INDEX(成本费用登记表!$E$4:$E$303,78))</f>
        <v/>
      </c>
      <c r="E2342" s="26" t="str">
        <f>IF(INDEX(成本费用登记表!$Q$4:$Y$303,78,4)=0,"",INDEX(成本费用登记表!$Q$4:$Y$303,78,4))</f>
        <v/>
      </c>
      <c r="F2342" s="25" t="str">
        <f>IF($E2342="","",IFERROR(INDEX(科目表!$A$4:$A$81,MATCH($E2342,科目表!$B$4:$B$81,0)),""))</f>
        <v/>
      </c>
      <c r="G2342" s="26" t="str">
        <f>IF($E2342="","",IFERROR(INDEX(科目表!$E$4:$E$81,MATCH($E2342,科目表!$B$4:$B$81,0)),""))</f>
        <v/>
      </c>
      <c r="H2342" s="27" t="str">
        <f>IF($E2342="","",N(INDEX(成本费用登记表!$Q$4:$Y$303,78,5)))</f>
        <v/>
      </c>
      <c r="I2342" s="27" t="str">
        <f>IF($E2342="","",N(INDEX(成本费用登记表!$Q$4:$Y$303,78,6)))</f>
        <v/>
      </c>
      <c r="J2342" s="26" t="str">
        <f>IF($E2342="","",INDEX(成本费用登记表!$C$4:$C$303,78))</f>
        <v/>
      </c>
      <c r="K2342" s="26" t="str">
        <f>IF($E2342="","",INDEX(成本费用登记表!$D$4:$D$303,78))</f>
        <v/>
      </c>
      <c r="L2342" s="32" t="str">
        <f>IF($E2342="","",INDEX(成本费用登记表!$N$4:$N$303,78))</f>
        <v/>
      </c>
      <c r="M2342" s="32"/>
      <c r="N2342" s="26" t="str">
        <f t="shared" si="110"/>
        <v/>
      </c>
      <c r="O2342" s="26" t="str">
        <f t="shared" si="111"/>
        <v/>
      </c>
      <c r="P2342" s="10"/>
    </row>
    <row r="2343" ht="18" customHeight="1" spans="1:16">
      <c r="A2343" s="32" t="str">
        <f t="shared" si="112"/>
        <v/>
      </c>
      <c r="B2343" s="100" t="str">
        <f>IF($E2343="","",INDEX(成本费用登记表!$B$4:$B$303,78))</f>
        <v/>
      </c>
      <c r="C2343" s="26" t="str">
        <f t="shared" si="109"/>
        <v/>
      </c>
      <c r="D2343" s="32" t="str">
        <f>IF($E2343="","",INDEX(成本费用登记表!$E$4:$E$303,78))</f>
        <v/>
      </c>
      <c r="E2343" s="26" t="str">
        <f>IF(INDEX(成本费用登记表!$Q$4:$Y$303,78,7)=0,"",INDEX(成本费用登记表!$Q$4:$Y$303,78,7))</f>
        <v/>
      </c>
      <c r="F2343" s="25" t="str">
        <f>IF($E2343="","",IFERROR(INDEX(科目表!$A$4:$A$81,MATCH($E2343,科目表!$B$4:$B$81,0)),""))</f>
        <v/>
      </c>
      <c r="G2343" s="26" t="str">
        <f>IF($E2343="","",IFERROR(INDEX(科目表!$E$4:$E$81,MATCH($E2343,科目表!$B$4:$B$81,0)),""))</f>
        <v/>
      </c>
      <c r="H2343" s="27" t="str">
        <f>IF($E2343="","",N(INDEX(成本费用登记表!$Q$4:$Y$303,78,8)))</f>
        <v/>
      </c>
      <c r="I2343" s="27" t="str">
        <f>IF($E2343="","",N(INDEX(成本费用登记表!$Q$4:$Y$303,78,9)))</f>
        <v/>
      </c>
      <c r="J2343" s="26" t="str">
        <f>IF($E2343="","",INDEX(成本费用登记表!$C$4:$C$303,78))</f>
        <v/>
      </c>
      <c r="K2343" s="26" t="str">
        <f>IF($E2343="","",INDEX(成本费用登记表!$D$4:$D$303,78))</f>
        <v/>
      </c>
      <c r="L2343" s="32" t="str">
        <f>IF($E2343="","",INDEX(成本费用登记表!$N$4:$N$303,78))</f>
        <v/>
      </c>
      <c r="M2343" s="32"/>
      <c r="N2343" s="26" t="str">
        <f t="shared" si="110"/>
        <v/>
      </c>
      <c r="O2343" s="26" t="str">
        <f t="shared" si="111"/>
        <v/>
      </c>
      <c r="P2343" s="10"/>
    </row>
    <row r="2344" ht="18" customHeight="1" spans="1:16">
      <c r="A2344" s="32" t="str">
        <f t="shared" si="112"/>
        <v/>
      </c>
      <c r="B2344" s="100" t="str">
        <f>IF($E2344="","",INDEX(成本费用登记表!$B$4:$B$303,79))</f>
        <v/>
      </c>
      <c r="C2344" s="26" t="str">
        <f t="shared" si="109"/>
        <v/>
      </c>
      <c r="D2344" s="32" t="str">
        <f>IF($E2344="","",INDEX(成本费用登记表!$E$4:$E$303,79))</f>
        <v/>
      </c>
      <c r="E2344" s="26" t="str">
        <f>IF(INDEX(成本费用登记表!$Q$4:$Y$303,79,1)=0,"",INDEX(成本费用登记表!$Q$4:$Y$303,79,1))</f>
        <v/>
      </c>
      <c r="F2344" s="25" t="str">
        <f>IF($E2344="","",IFERROR(INDEX(科目表!$A$4:$A$81,MATCH($E2344,科目表!$B$4:$B$81,0)),""))</f>
        <v/>
      </c>
      <c r="G2344" s="26" t="str">
        <f>IF($E2344="","",IFERROR(INDEX(科目表!$E$4:$E$81,MATCH($E2344,科目表!$B$4:$B$81,0)),""))</f>
        <v/>
      </c>
      <c r="H2344" s="27" t="str">
        <f>IF($E2344="","",N(INDEX(成本费用登记表!$Q$4:$Y$303,79,2)))</f>
        <v/>
      </c>
      <c r="I2344" s="27" t="str">
        <f>IF($E2344="","",N(INDEX(成本费用登记表!$Q$4:$Y$303,79,3)))</f>
        <v/>
      </c>
      <c r="J2344" s="26" t="str">
        <f>IF($E2344="","",INDEX(成本费用登记表!$C$4:$C$303,79))</f>
        <v/>
      </c>
      <c r="K2344" s="26" t="str">
        <f>IF($E2344="","",INDEX(成本费用登记表!$D$4:$D$303,79))</f>
        <v/>
      </c>
      <c r="L2344" s="32" t="str">
        <f>IF($E2344="","",INDEX(成本费用登记表!$N$4:$N$303,79))</f>
        <v/>
      </c>
      <c r="M2344" s="32"/>
      <c r="N2344" s="26" t="str">
        <f t="shared" si="110"/>
        <v/>
      </c>
      <c r="O2344" s="26" t="str">
        <f t="shared" si="111"/>
        <v/>
      </c>
      <c r="P2344" s="10"/>
    </row>
    <row r="2345" ht="18" customHeight="1" spans="1:16">
      <c r="A2345" s="32" t="str">
        <f t="shared" si="112"/>
        <v/>
      </c>
      <c r="B2345" s="100" t="str">
        <f>IF($E2345="","",INDEX(成本费用登记表!$B$4:$B$303,79))</f>
        <v/>
      </c>
      <c r="C2345" s="26" t="str">
        <f t="shared" si="109"/>
        <v/>
      </c>
      <c r="D2345" s="32" t="str">
        <f>IF($E2345="","",INDEX(成本费用登记表!$E$4:$E$303,79))</f>
        <v/>
      </c>
      <c r="E2345" s="26" t="str">
        <f>IF(INDEX(成本费用登记表!$Q$4:$Y$303,79,4)=0,"",INDEX(成本费用登记表!$Q$4:$Y$303,79,4))</f>
        <v/>
      </c>
      <c r="F2345" s="25" t="str">
        <f>IF($E2345="","",IFERROR(INDEX(科目表!$A$4:$A$81,MATCH($E2345,科目表!$B$4:$B$81,0)),""))</f>
        <v/>
      </c>
      <c r="G2345" s="26" t="str">
        <f>IF($E2345="","",IFERROR(INDEX(科目表!$E$4:$E$81,MATCH($E2345,科目表!$B$4:$B$81,0)),""))</f>
        <v/>
      </c>
      <c r="H2345" s="27" t="str">
        <f>IF($E2345="","",N(INDEX(成本费用登记表!$Q$4:$Y$303,79,5)))</f>
        <v/>
      </c>
      <c r="I2345" s="27" t="str">
        <f>IF($E2345="","",N(INDEX(成本费用登记表!$Q$4:$Y$303,79,6)))</f>
        <v/>
      </c>
      <c r="J2345" s="26" t="str">
        <f>IF($E2345="","",INDEX(成本费用登记表!$C$4:$C$303,79))</f>
        <v/>
      </c>
      <c r="K2345" s="26" t="str">
        <f>IF($E2345="","",INDEX(成本费用登记表!$D$4:$D$303,79))</f>
        <v/>
      </c>
      <c r="L2345" s="32" t="str">
        <f>IF($E2345="","",INDEX(成本费用登记表!$N$4:$N$303,79))</f>
        <v/>
      </c>
      <c r="M2345" s="32"/>
      <c r="N2345" s="26" t="str">
        <f t="shared" si="110"/>
        <v/>
      </c>
      <c r="O2345" s="26" t="str">
        <f t="shared" si="111"/>
        <v/>
      </c>
      <c r="P2345" s="10"/>
    </row>
    <row r="2346" ht="18" customHeight="1" spans="1:16">
      <c r="A2346" s="32" t="str">
        <f t="shared" si="112"/>
        <v/>
      </c>
      <c r="B2346" s="100" t="str">
        <f>IF($E2346="","",INDEX(成本费用登记表!$B$4:$B$303,79))</f>
        <v/>
      </c>
      <c r="C2346" s="26" t="str">
        <f t="shared" si="109"/>
        <v/>
      </c>
      <c r="D2346" s="32" t="str">
        <f>IF($E2346="","",INDEX(成本费用登记表!$E$4:$E$303,79))</f>
        <v/>
      </c>
      <c r="E2346" s="26" t="str">
        <f>IF(INDEX(成本费用登记表!$Q$4:$Y$303,79,7)=0,"",INDEX(成本费用登记表!$Q$4:$Y$303,79,7))</f>
        <v/>
      </c>
      <c r="F2346" s="25" t="str">
        <f>IF($E2346="","",IFERROR(INDEX(科目表!$A$4:$A$81,MATCH($E2346,科目表!$B$4:$B$81,0)),""))</f>
        <v/>
      </c>
      <c r="G2346" s="26" t="str">
        <f>IF($E2346="","",IFERROR(INDEX(科目表!$E$4:$E$81,MATCH($E2346,科目表!$B$4:$B$81,0)),""))</f>
        <v/>
      </c>
      <c r="H2346" s="27" t="str">
        <f>IF($E2346="","",N(INDEX(成本费用登记表!$Q$4:$Y$303,79,8)))</f>
        <v/>
      </c>
      <c r="I2346" s="27" t="str">
        <f>IF($E2346="","",N(INDEX(成本费用登记表!$Q$4:$Y$303,79,9)))</f>
        <v/>
      </c>
      <c r="J2346" s="26" t="str">
        <f>IF($E2346="","",INDEX(成本费用登记表!$C$4:$C$303,79))</f>
        <v/>
      </c>
      <c r="K2346" s="26" t="str">
        <f>IF($E2346="","",INDEX(成本费用登记表!$D$4:$D$303,79))</f>
        <v/>
      </c>
      <c r="L2346" s="32" t="str">
        <f>IF($E2346="","",INDEX(成本费用登记表!$N$4:$N$303,79))</f>
        <v/>
      </c>
      <c r="M2346" s="32"/>
      <c r="N2346" s="26" t="str">
        <f t="shared" si="110"/>
        <v/>
      </c>
      <c r="O2346" s="26" t="str">
        <f t="shared" si="111"/>
        <v/>
      </c>
      <c r="P2346" s="10"/>
    </row>
    <row r="2347" ht="18" customHeight="1" spans="1:16">
      <c r="A2347" s="32" t="str">
        <f t="shared" si="112"/>
        <v/>
      </c>
      <c r="B2347" s="100" t="str">
        <f>IF($E2347="","",INDEX(成本费用登记表!$B$4:$B$303,80))</f>
        <v/>
      </c>
      <c r="C2347" s="26" t="str">
        <f t="shared" si="109"/>
        <v/>
      </c>
      <c r="D2347" s="32" t="str">
        <f>IF($E2347="","",INDEX(成本费用登记表!$E$4:$E$303,80))</f>
        <v/>
      </c>
      <c r="E2347" s="26" t="str">
        <f>IF(INDEX(成本费用登记表!$Q$4:$Y$303,80,1)=0,"",INDEX(成本费用登记表!$Q$4:$Y$303,80,1))</f>
        <v/>
      </c>
      <c r="F2347" s="25" t="str">
        <f>IF($E2347="","",IFERROR(INDEX(科目表!$A$4:$A$81,MATCH($E2347,科目表!$B$4:$B$81,0)),""))</f>
        <v/>
      </c>
      <c r="G2347" s="26" t="str">
        <f>IF($E2347="","",IFERROR(INDEX(科目表!$E$4:$E$81,MATCH($E2347,科目表!$B$4:$B$81,0)),""))</f>
        <v/>
      </c>
      <c r="H2347" s="27" t="str">
        <f>IF($E2347="","",N(INDEX(成本费用登记表!$Q$4:$Y$303,80,2)))</f>
        <v/>
      </c>
      <c r="I2347" s="27" t="str">
        <f>IF($E2347="","",N(INDEX(成本费用登记表!$Q$4:$Y$303,80,3)))</f>
        <v/>
      </c>
      <c r="J2347" s="26" t="str">
        <f>IF($E2347="","",INDEX(成本费用登记表!$C$4:$C$303,80))</f>
        <v/>
      </c>
      <c r="K2347" s="26" t="str">
        <f>IF($E2347="","",INDEX(成本费用登记表!$D$4:$D$303,80))</f>
        <v/>
      </c>
      <c r="L2347" s="32" t="str">
        <f>IF($E2347="","",INDEX(成本费用登记表!$N$4:$N$303,80))</f>
        <v/>
      </c>
      <c r="M2347" s="32"/>
      <c r="N2347" s="26" t="str">
        <f t="shared" si="110"/>
        <v/>
      </c>
      <c r="O2347" s="26" t="str">
        <f t="shared" si="111"/>
        <v/>
      </c>
      <c r="P2347" s="10"/>
    </row>
    <row r="2348" ht="18" customHeight="1" spans="1:16">
      <c r="A2348" s="32" t="str">
        <f t="shared" si="112"/>
        <v/>
      </c>
      <c r="B2348" s="100" t="str">
        <f>IF($E2348="","",INDEX(成本费用登记表!$B$4:$B$303,80))</f>
        <v/>
      </c>
      <c r="C2348" s="26" t="str">
        <f t="shared" si="109"/>
        <v/>
      </c>
      <c r="D2348" s="32" t="str">
        <f>IF($E2348="","",INDEX(成本费用登记表!$E$4:$E$303,80))</f>
        <v/>
      </c>
      <c r="E2348" s="26" t="str">
        <f>IF(INDEX(成本费用登记表!$Q$4:$Y$303,80,4)=0,"",INDEX(成本费用登记表!$Q$4:$Y$303,80,4))</f>
        <v/>
      </c>
      <c r="F2348" s="25" t="str">
        <f>IF($E2348="","",IFERROR(INDEX(科目表!$A$4:$A$81,MATCH($E2348,科目表!$B$4:$B$81,0)),""))</f>
        <v/>
      </c>
      <c r="G2348" s="26" t="str">
        <f>IF($E2348="","",IFERROR(INDEX(科目表!$E$4:$E$81,MATCH($E2348,科目表!$B$4:$B$81,0)),""))</f>
        <v/>
      </c>
      <c r="H2348" s="27" t="str">
        <f>IF($E2348="","",N(INDEX(成本费用登记表!$Q$4:$Y$303,80,5)))</f>
        <v/>
      </c>
      <c r="I2348" s="27" t="str">
        <f>IF($E2348="","",N(INDEX(成本费用登记表!$Q$4:$Y$303,80,6)))</f>
        <v/>
      </c>
      <c r="J2348" s="26" t="str">
        <f>IF($E2348="","",INDEX(成本费用登记表!$C$4:$C$303,80))</f>
        <v/>
      </c>
      <c r="K2348" s="26" t="str">
        <f>IF($E2348="","",INDEX(成本费用登记表!$D$4:$D$303,80))</f>
        <v/>
      </c>
      <c r="L2348" s="32" t="str">
        <f>IF($E2348="","",INDEX(成本费用登记表!$N$4:$N$303,80))</f>
        <v/>
      </c>
      <c r="M2348" s="32"/>
      <c r="N2348" s="26" t="str">
        <f t="shared" si="110"/>
        <v/>
      </c>
      <c r="O2348" s="26" t="str">
        <f t="shared" si="111"/>
        <v/>
      </c>
      <c r="P2348" s="10"/>
    </row>
    <row r="2349" ht="18" customHeight="1" spans="1:16">
      <c r="A2349" s="32" t="str">
        <f t="shared" si="112"/>
        <v/>
      </c>
      <c r="B2349" s="100" t="str">
        <f>IF($E2349="","",INDEX(成本费用登记表!$B$4:$B$303,80))</f>
        <v/>
      </c>
      <c r="C2349" s="26" t="str">
        <f t="shared" si="109"/>
        <v/>
      </c>
      <c r="D2349" s="32" t="str">
        <f>IF($E2349="","",INDEX(成本费用登记表!$E$4:$E$303,80))</f>
        <v/>
      </c>
      <c r="E2349" s="26" t="str">
        <f>IF(INDEX(成本费用登记表!$Q$4:$Y$303,80,7)=0,"",INDEX(成本费用登记表!$Q$4:$Y$303,80,7))</f>
        <v/>
      </c>
      <c r="F2349" s="25" t="str">
        <f>IF($E2349="","",IFERROR(INDEX(科目表!$A$4:$A$81,MATCH($E2349,科目表!$B$4:$B$81,0)),""))</f>
        <v/>
      </c>
      <c r="G2349" s="26" t="str">
        <f>IF($E2349="","",IFERROR(INDEX(科目表!$E$4:$E$81,MATCH($E2349,科目表!$B$4:$B$81,0)),""))</f>
        <v/>
      </c>
      <c r="H2349" s="27" t="str">
        <f>IF($E2349="","",N(INDEX(成本费用登记表!$Q$4:$Y$303,80,8)))</f>
        <v/>
      </c>
      <c r="I2349" s="27" t="str">
        <f>IF($E2349="","",N(INDEX(成本费用登记表!$Q$4:$Y$303,80,9)))</f>
        <v/>
      </c>
      <c r="J2349" s="26" t="str">
        <f>IF($E2349="","",INDEX(成本费用登记表!$C$4:$C$303,80))</f>
        <v/>
      </c>
      <c r="K2349" s="26" t="str">
        <f>IF($E2349="","",INDEX(成本费用登记表!$D$4:$D$303,80))</f>
        <v/>
      </c>
      <c r="L2349" s="32" t="str">
        <f>IF($E2349="","",INDEX(成本费用登记表!$N$4:$N$303,80))</f>
        <v/>
      </c>
      <c r="M2349" s="32"/>
      <c r="N2349" s="26" t="str">
        <f t="shared" si="110"/>
        <v/>
      </c>
      <c r="O2349" s="26" t="str">
        <f t="shared" si="111"/>
        <v/>
      </c>
      <c r="P2349" s="10"/>
    </row>
    <row r="2350" ht="18" customHeight="1" spans="1:16">
      <c r="A2350" s="32" t="str">
        <f t="shared" si="112"/>
        <v/>
      </c>
      <c r="B2350" s="100" t="str">
        <f>IF($E2350="","",INDEX(成本费用登记表!$B$4:$B$303,81))</f>
        <v/>
      </c>
      <c r="C2350" s="26" t="str">
        <f t="shared" si="109"/>
        <v/>
      </c>
      <c r="D2350" s="32" t="str">
        <f>IF($E2350="","",INDEX(成本费用登记表!$E$4:$E$303,81))</f>
        <v/>
      </c>
      <c r="E2350" s="26" t="str">
        <f>IF(INDEX(成本费用登记表!$Q$4:$Y$303,81,1)=0,"",INDEX(成本费用登记表!$Q$4:$Y$303,81,1))</f>
        <v/>
      </c>
      <c r="F2350" s="25" t="str">
        <f>IF($E2350="","",IFERROR(INDEX(科目表!$A$4:$A$81,MATCH($E2350,科目表!$B$4:$B$81,0)),""))</f>
        <v/>
      </c>
      <c r="G2350" s="26" t="str">
        <f>IF($E2350="","",IFERROR(INDEX(科目表!$E$4:$E$81,MATCH($E2350,科目表!$B$4:$B$81,0)),""))</f>
        <v/>
      </c>
      <c r="H2350" s="27" t="str">
        <f>IF($E2350="","",N(INDEX(成本费用登记表!$Q$4:$Y$303,81,2)))</f>
        <v/>
      </c>
      <c r="I2350" s="27" t="str">
        <f>IF($E2350="","",N(INDEX(成本费用登记表!$Q$4:$Y$303,81,3)))</f>
        <v/>
      </c>
      <c r="J2350" s="26" t="str">
        <f>IF($E2350="","",INDEX(成本费用登记表!$C$4:$C$303,81))</f>
        <v/>
      </c>
      <c r="K2350" s="26" t="str">
        <f>IF($E2350="","",INDEX(成本费用登记表!$D$4:$D$303,81))</f>
        <v/>
      </c>
      <c r="L2350" s="32" t="str">
        <f>IF($E2350="","",INDEX(成本费用登记表!$N$4:$N$303,81))</f>
        <v/>
      </c>
      <c r="M2350" s="32"/>
      <c r="N2350" s="26" t="str">
        <f t="shared" si="110"/>
        <v/>
      </c>
      <c r="O2350" s="26" t="str">
        <f t="shared" si="111"/>
        <v/>
      </c>
      <c r="P2350" s="10"/>
    </row>
    <row r="2351" ht="18" customHeight="1" spans="1:16">
      <c r="A2351" s="32" t="str">
        <f t="shared" si="112"/>
        <v/>
      </c>
      <c r="B2351" s="100" t="str">
        <f>IF($E2351="","",INDEX(成本费用登记表!$B$4:$B$303,81))</f>
        <v/>
      </c>
      <c r="C2351" s="26" t="str">
        <f t="shared" si="109"/>
        <v/>
      </c>
      <c r="D2351" s="32" t="str">
        <f>IF($E2351="","",INDEX(成本费用登记表!$E$4:$E$303,81))</f>
        <v/>
      </c>
      <c r="E2351" s="26" t="str">
        <f>IF(INDEX(成本费用登记表!$Q$4:$Y$303,81,4)=0,"",INDEX(成本费用登记表!$Q$4:$Y$303,81,4))</f>
        <v/>
      </c>
      <c r="F2351" s="25" t="str">
        <f>IF($E2351="","",IFERROR(INDEX(科目表!$A$4:$A$81,MATCH($E2351,科目表!$B$4:$B$81,0)),""))</f>
        <v/>
      </c>
      <c r="G2351" s="26" t="str">
        <f>IF($E2351="","",IFERROR(INDEX(科目表!$E$4:$E$81,MATCH($E2351,科目表!$B$4:$B$81,0)),""))</f>
        <v/>
      </c>
      <c r="H2351" s="27" t="str">
        <f>IF($E2351="","",N(INDEX(成本费用登记表!$Q$4:$Y$303,81,5)))</f>
        <v/>
      </c>
      <c r="I2351" s="27" t="str">
        <f>IF($E2351="","",N(INDEX(成本费用登记表!$Q$4:$Y$303,81,6)))</f>
        <v/>
      </c>
      <c r="J2351" s="26" t="str">
        <f>IF($E2351="","",INDEX(成本费用登记表!$C$4:$C$303,81))</f>
        <v/>
      </c>
      <c r="K2351" s="26" t="str">
        <f>IF($E2351="","",INDEX(成本费用登记表!$D$4:$D$303,81))</f>
        <v/>
      </c>
      <c r="L2351" s="32" t="str">
        <f>IF($E2351="","",INDEX(成本费用登记表!$N$4:$N$303,81))</f>
        <v/>
      </c>
      <c r="M2351" s="32"/>
      <c r="N2351" s="26" t="str">
        <f t="shared" si="110"/>
        <v/>
      </c>
      <c r="O2351" s="26" t="str">
        <f t="shared" si="111"/>
        <v/>
      </c>
      <c r="P2351" s="10"/>
    </row>
    <row r="2352" ht="18" customHeight="1" spans="1:16">
      <c r="A2352" s="32" t="str">
        <f t="shared" si="112"/>
        <v/>
      </c>
      <c r="B2352" s="100" t="str">
        <f>IF($E2352="","",INDEX(成本费用登记表!$B$4:$B$303,81))</f>
        <v/>
      </c>
      <c r="C2352" s="26" t="str">
        <f t="shared" si="109"/>
        <v/>
      </c>
      <c r="D2352" s="32" t="str">
        <f>IF($E2352="","",INDEX(成本费用登记表!$E$4:$E$303,81))</f>
        <v/>
      </c>
      <c r="E2352" s="26" t="str">
        <f>IF(INDEX(成本费用登记表!$Q$4:$Y$303,81,7)=0,"",INDEX(成本费用登记表!$Q$4:$Y$303,81,7))</f>
        <v/>
      </c>
      <c r="F2352" s="25" t="str">
        <f>IF($E2352="","",IFERROR(INDEX(科目表!$A$4:$A$81,MATCH($E2352,科目表!$B$4:$B$81,0)),""))</f>
        <v/>
      </c>
      <c r="G2352" s="26" t="str">
        <f>IF($E2352="","",IFERROR(INDEX(科目表!$E$4:$E$81,MATCH($E2352,科目表!$B$4:$B$81,0)),""))</f>
        <v/>
      </c>
      <c r="H2352" s="27" t="str">
        <f>IF($E2352="","",N(INDEX(成本费用登记表!$Q$4:$Y$303,81,8)))</f>
        <v/>
      </c>
      <c r="I2352" s="27" t="str">
        <f>IF($E2352="","",N(INDEX(成本费用登记表!$Q$4:$Y$303,81,9)))</f>
        <v/>
      </c>
      <c r="J2352" s="26" t="str">
        <f>IF($E2352="","",INDEX(成本费用登记表!$C$4:$C$303,81))</f>
        <v/>
      </c>
      <c r="K2352" s="26" t="str">
        <f>IF($E2352="","",INDEX(成本费用登记表!$D$4:$D$303,81))</f>
        <v/>
      </c>
      <c r="L2352" s="32" t="str">
        <f>IF($E2352="","",INDEX(成本费用登记表!$N$4:$N$303,81))</f>
        <v/>
      </c>
      <c r="M2352" s="32"/>
      <c r="N2352" s="26" t="str">
        <f t="shared" si="110"/>
        <v/>
      </c>
      <c r="O2352" s="26" t="str">
        <f t="shared" si="111"/>
        <v/>
      </c>
      <c r="P2352" s="10"/>
    </row>
    <row r="2353" ht="18" customHeight="1" spans="1:16">
      <c r="A2353" s="32" t="str">
        <f t="shared" si="112"/>
        <v/>
      </c>
      <c r="B2353" s="100" t="str">
        <f>IF($E2353="","",INDEX(成本费用登记表!$B$4:$B$303,82))</f>
        <v/>
      </c>
      <c r="C2353" s="26" t="str">
        <f t="shared" si="109"/>
        <v/>
      </c>
      <c r="D2353" s="32" t="str">
        <f>IF($E2353="","",INDEX(成本费用登记表!$E$4:$E$303,82))</f>
        <v/>
      </c>
      <c r="E2353" s="26" t="str">
        <f>IF(INDEX(成本费用登记表!$Q$4:$Y$303,82,1)=0,"",INDEX(成本费用登记表!$Q$4:$Y$303,82,1))</f>
        <v/>
      </c>
      <c r="F2353" s="25" t="str">
        <f>IF($E2353="","",IFERROR(INDEX(科目表!$A$4:$A$81,MATCH($E2353,科目表!$B$4:$B$81,0)),""))</f>
        <v/>
      </c>
      <c r="G2353" s="26" t="str">
        <f>IF($E2353="","",IFERROR(INDEX(科目表!$E$4:$E$81,MATCH($E2353,科目表!$B$4:$B$81,0)),""))</f>
        <v/>
      </c>
      <c r="H2353" s="27" t="str">
        <f>IF($E2353="","",N(INDEX(成本费用登记表!$Q$4:$Y$303,82,2)))</f>
        <v/>
      </c>
      <c r="I2353" s="27" t="str">
        <f>IF($E2353="","",N(INDEX(成本费用登记表!$Q$4:$Y$303,82,3)))</f>
        <v/>
      </c>
      <c r="J2353" s="26" t="str">
        <f>IF($E2353="","",INDEX(成本费用登记表!$C$4:$C$303,82))</f>
        <v/>
      </c>
      <c r="K2353" s="26" t="str">
        <f>IF($E2353="","",INDEX(成本费用登记表!$D$4:$D$303,82))</f>
        <v/>
      </c>
      <c r="L2353" s="32" t="str">
        <f>IF($E2353="","",INDEX(成本费用登记表!$N$4:$N$303,82))</f>
        <v/>
      </c>
      <c r="M2353" s="32"/>
      <c r="N2353" s="26" t="str">
        <f t="shared" si="110"/>
        <v/>
      </c>
      <c r="O2353" s="26" t="str">
        <f t="shared" si="111"/>
        <v/>
      </c>
      <c r="P2353" s="10"/>
    </row>
    <row r="2354" ht="18" customHeight="1" spans="1:16">
      <c r="A2354" s="32" t="str">
        <f t="shared" si="112"/>
        <v/>
      </c>
      <c r="B2354" s="100" t="str">
        <f>IF($E2354="","",INDEX(成本费用登记表!$B$4:$B$303,82))</f>
        <v/>
      </c>
      <c r="C2354" s="26" t="str">
        <f t="shared" si="109"/>
        <v/>
      </c>
      <c r="D2354" s="32" t="str">
        <f>IF($E2354="","",INDEX(成本费用登记表!$E$4:$E$303,82))</f>
        <v/>
      </c>
      <c r="E2354" s="26" t="str">
        <f>IF(INDEX(成本费用登记表!$Q$4:$Y$303,82,4)=0,"",INDEX(成本费用登记表!$Q$4:$Y$303,82,4))</f>
        <v/>
      </c>
      <c r="F2354" s="25" t="str">
        <f>IF($E2354="","",IFERROR(INDEX(科目表!$A$4:$A$81,MATCH($E2354,科目表!$B$4:$B$81,0)),""))</f>
        <v/>
      </c>
      <c r="G2354" s="26" t="str">
        <f>IF($E2354="","",IFERROR(INDEX(科目表!$E$4:$E$81,MATCH($E2354,科目表!$B$4:$B$81,0)),""))</f>
        <v/>
      </c>
      <c r="H2354" s="27" t="str">
        <f>IF($E2354="","",N(INDEX(成本费用登记表!$Q$4:$Y$303,82,5)))</f>
        <v/>
      </c>
      <c r="I2354" s="27" t="str">
        <f>IF($E2354="","",N(INDEX(成本费用登记表!$Q$4:$Y$303,82,6)))</f>
        <v/>
      </c>
      <c r="J2354" s="26" t="str">
        <f>IF($E2354="","",INDEX(成本费用登记表!$C$4:$C$303,82))</f>
        <v/>
      </c>
      <c r="K2354" s="26" t="str">
        <f>IF($E2354="","",INDEX(成本费用登记表!$D$4:$D$303,82))</f>
        <v/>
      </c>
      <c r="L2354" s="32" t="str">
        <f>IF($E2354="","",INDEX(成本费用登记表!$N$4:$N$303,82))</f>
        <v/>
      </c>
      <c r="M2354" s="32"/>
      <c r="N2354" s="26" t="str">
        <f t="shared" si="110"/>
        <v/>
      </c>
      <c r="O2354" s="26" t="str">
        <f t="shared" si="111"/>
        <v/>
      </c>
      <c r="P2354" s="10"/>
    </row>
    <row r="2355" ht="18" customHeight="1" spans="1:16">
      <c r="A2355" s="32" t="str">
        <f t="shared" si="112"/>
        <v/>
      </c>
      <c r="B2355" s="100" t="str">
        <f>IF($E2355="","",INDEX(成本费用登记表!$B$4:$B$303,82))</f>
        <v/>
      </c>
      <c r="C2355" s="26" t="str">
        <f t="shared" si="109"/>
        <v/>
      </c>
      <c r="D2355" s="32" t="str">
        <f>IF($E2355="","",INDEX(成本费用登记表!$E$4:$E$303,82))</f>
        <v/>
      </c>
      <c r="E2355" s="26" t="str">
        <f>IF(INDEX(成本费用登记表!$Q$4:$Y$303,82,7)=0,"",INDEX(成本费用登记表!$Q$4:$Y$303,82,7))</f>
        <v/>
      </c>
      <c r="F2355" s="25" t="str">
        <f>IF($E2355="","",IFERROR(INDEX(科目表!$A$4:$A$81,MATCH($E2355,科目表!$B$4:$B$81,0)),""))</f>
        <v/>
      </c>
      <c r="G2355" s="26" t="str">
        <f>IF($E2355="","",IFERROR(INDEX(科目表!$E$4:$E$81,MATCH($E2355,科目表!$B$4:$B$81,0)),""))</f>
        <v/>
      </c>
      <c r="H2355" s="27" t="str">
        <f>IF($E2355="","",N(INDEX(成本费用登记表!$Q$4:$Y$303,82,8)))</f>
        <v/>
      </c>
      <c r="I2355" s="27" t="str">
        <f>IF($E2355="","",N(INDEX(成本费用登记表!$Q$4:$Y$303,82,9)))</f>
        <v/>
      </c>
      <c r="J2355" s="26" t="str">
        <f>IF($E2355="","",INDEX(成本费用登记表!$C$4:$C$303,82))</f>
        <v/>
      </c>
      <c r="K2355" s="26" t="str">
        <f>IF($E2355="","",INDEX(成本费用登记表!$D$4:$D$303,82))</f>
        <v/>
      </c>
      <c r="L2355" s="32" t="str">
        <f>IF($E2355="","",INDEX(成本费用登记表!$N$4:$N$303,82))</f>
        <v/>
      </c>
      <c r="M2355" s="32"/>
      <c r="N2355" s="26" t="str">
        <f t="shared" si="110"/>
        <v/>
      </c>
      <c r="O2355" s="26" t="str">
        <f t="shared" si="111"/>
        <v/>
      </c>
      <c r="P2355" s="10"/>
    </row>
    <row r="2356" ht="18" customHeight="1" spans="1:16">
      <c r="A2356" s="32" t="str">
        <f t="shared" si="112"/>
        <v/>
      </c>
      <c r="B2356" s="100" t="str">
        <f>IF($E2356="","",INDEX(成本费用登记表!$B$4:$B$303,83))</f>
        <v/>
      </c>
      <c r="C2356" s="26" t="str">
        <f t="shared" si="109"/>
        <v/>
      </c>
      <c r="D2356" s="32" t="str">
        <f>IF($E2356="","",INDEX(成本费用登记表!$E$4:$E$303,83))</f>
        <v/>
      </c>
      <c r="E2356" s="26" t="str">
        <f>IF(INDEX(成本费用登记表!$Q$4:$Y$303,83,1)=0,"",INDEX(成本费用登记表!$Q$4:$Y$303,83,1))</f>
        <v/>
      </c>
      <c r="F2356" s="25" t="str">
        <f>IF($E2356="","",IFERROR(INDEX(科目表!$A$4:$A$81,MATCH($E2356,科目表!$B$4:$B$81,0)),""))</f>
        <v/>
      </c>
      <c r="G2356" s="26" t="str">
        <f>IF($E2356="","",IFERROR(INDEX(科目表!$E$4:$E$81,MATCH($E2356,科目表!$B$4:$B$81,0)),""))</f>
        <v/>
      </c>
      <c r="H2356" s="27" t="str">
        <f>IF($E2356="","",N(INDEX(成本费用登记表!$Q$4:$Y$303,83,2)))</f>
        <v/>
      </c>
      <c r="I2356" s="27" t="str">
        <f>IF($E2356="","",N(INDEX(成本费用登记表!$Q$4:$Y$303,83,3)))</f>
        <v/>
      </c>
      <c r="J2356" s="26" t="str">
        <f>IF($E2356="","",INDEX(成本费用登记表!$C$4:$C$303,83))</f>
        <v/>
      </c>
      <c r="K2356" s="26" t="str">
        <f>IF($E2356="","",INDEX(成本费用登记表!$D$4:$D$303,83))</f>
        <v/>
      </c>
      <c r="L2356" s="32" t="str">
        <f>IF($E2356="","",INDEX(成本费用登记表!$N$4:$N$303,83))</f>
        <v/>
      </c>
      <c r="M2356" s="32"/>
      <c r="N2356" s="26" t="str">
        <f t="shared" si="110"/>
        <v/>
      </c>
      <c r="O2356" s="26" t="str">
        <f t="shared" si="111"/>
        <v/>
      </c>
      <c r="P2356" s="10"/>
    </row>
    <row r="2357" ht="18" customHeight="1" spans="1:16">
      <c r="A2357" s="32" t="str">
        <f t="shared" si="112"/>
        <v/>
      </c>
      <c r="B2357" s="100" t="str">
        <f>IF($E2357="","",INDEX(成本费用登记表!$B$4:$B$303,83))</f>
        <v/>
      </c>
      <c r="C2357" s="26" t="str">
        <f t="shared" si="109"/>
        <v/>
      </c>
      <c r="D2357" s="32" t="str">
        <f>IF($E2357="","",INDEX(成本费用登记表!$E$4:$E$303,83))</f>
        <v/>
      </c>
      <c r="E2357" s="26" t="str">
        <f>IF(INDEX(成本费用登记表!$Q$4:$Y$303,83,4)=0,"",INDEX(成本费用登记表!$Q$4:$Y$303,83,4))</f>
        <v/>
      </c>
      <c r="F2357" s="25" t="str">
        <f>IF($E2357="","",IFERROR(INDEX(科目表!$A$4:$A$81,MATCH($E2357,科目表!$B$4:$B$81,0)),""))</f>
        <v/>
      </c>
      <c r="G2357" s="26" t="str">
        <f>IF($E2357="","",IFERROR(INDEX(科目表!$E$4:$E$81,MATCH($E2357,科目表!$B$4:$B$81,0)),""))</f>
        <v/>
      </c>
      <c r="H2357" s="27" t="str">
        <f>IF($E2357="","",N(INDEX(成本费用登记表!$Q$4:$Y$303,83,5)))</f>
        <v/>
      </c>
      <c r="I2357" s="27" t="str">
        <f>IF($E2357="","",N(INDEX(成本费用登记表!$Q$4:$Y$303,83,6)))</f>
        <v/>
      </c>
      <c r="J2357" s="26" t="str">
        <f>IF($E2357="","",INDEX(成本费用登记表!$C$4:$C$303,83))</f>
        <v/>
      </c>
      <c r="K2357" s="26" t="str">
        <f>IF($E2357="","",INDEX(成本费用登记表!$D$4:$D$303,83))</f>
        <v/>
      </c>
      <c r="L2357" s="32" t="str">
        <f>IF($E2357="","",INDEX(成本费用登记表!$N$4:$N$303,83))</f>
        <v/>
      </c>
      <c r="M2357" s="32"/>
      <c r="N2357" s="26" t="str">
        <f t="shared" si="110"/>
        <v/>
      </c>
      <c r="O2357" s="26" t="str">
        <f t="shared" si="111"/>
        <v/>
      </c>
      <c r="P2357" s="10"/>
    </row>
    <row r="2358" ht="18" customHeight="1" spans="1:16">
      <c r="A2358" s="32" t="str">
        <f t="shared" si="112"/>
        <v/>
      </c>
      <c r="B2358" s="100" t="str">
        <f>IF($E2358="","",INDEX(成本费用登记表!$B$4:$B$303,83))</f>
        <v/>
      </c>
      <c r="C2358" s="26" t="str">
        <f t="shared" si="109"/>
        <v/>
      </c>
      <c r="D2358" s="32" t="str">
        <f>IF($E2358="","",INDEX(成本费用登记表!$E$4:$E$303,83))</f>
        <v/>
      </c>
      <c r="E2358" s="26" t="str">
        <f>IF(INDEX(成本费用登记表!$Q$4:$Y$303,83,7)=0,"",INDEX(成本费用登记表!$Q$4:$Y$303,83,7))</f>
        <v/>
      </c>
      <c r="F2358" s="25" t="str">
        <f>IF($E2358="","",IFERROR(INDEX(科目表!$A$4:$A$81,MATCH($E2358,科目表!$B$4:$B$81,0)),""))</f>
        <v/>
      </c>
      <c r="G2358" s="26" t="str">
        <f>IF($E2358="","",IFERROR(INDEX(科目表!$E$4:$E$81,MATCH($E2358,科目表!$B$4:$B$81,0)),""))</f>
        <v/>
      </c>
      <c r="H2358" s="27" t="str">
        <f>IF($E2358="","",N(INDEX(成本费用登记表!$Q$4:$Y$303,83,8)))</f>
        <v/>
      </c>
      <c r="I2358" s="27" t="str">
        <f>IF($E2358="","",N(INDEX(成本费用登记表!$Q$4:$Y$303,83,9)))</f>
        <v/>
      </c>
      <c r="J2358" s="26" t="str">
        <f>IF($E2358="","",INDEX(成本费用登记表!$C$4:$C$303,83))</f>
        <v/>
      </c>
      <c r="K2358" s="26" t="str">
        <f>IF($E2358="","",INDEX(成本费用登记表!$D$4:$D$303,83))</f>
        <v/>
      </c>
      <c r="L2358" s="32" t="str">
        <f>IF($E2358="","",INDEX(成本费用登记表!$N$4:$N$303,83))</f>
        <v/>
      </c>
      <c r="M2358" s="32"/>
      <c r="N2358" s="26" t="str">
        <f t="shared" si="110"/>
        <v/>
      </c>
      <c r="O2358" s="26" t="str">
        <f t="shared" si="111"/>
        <v/>
      </c>
      <c r="P2358" s="10"/>
    </row>
    <row r="2359" ht="18" customHeight="1" spans="1:16">
      <c r="A2359" s="32" t="str">
        <f t="shared" si="112"/>
        <v/>
      </c>
      <c r="B2359" s="100" t="str">
        <f>IF($E2359="","",INDEX(成本费用登记表!$B$4:$B$303,84))</f>
        <v/>
      </c>
      <c r="C2359" s="26" t="str">
        <f t="shared" si="109"/>
        <v/>
      </c>
      <c r="D2359" s="32" t="str">
        <f>IF($E2359="","",INDEX(成本费用登记表!$E$4:$E$303,84))</f>
        <v/>
      </c>
      <c r="E2359" s="26" t="str">
        <f>IF(INDEX(成本费用登记表!$Q$4:$Y$303,84,1)=0,"",INDEX(成本费用登记表!$Q$4:$Y$303,84,1))</f>
        <v/>
      </c>
      <c r="F2359" s="25" t="str">
        <f>IF($E2359="","",IFERROR(INDEX(科目表!$A$4:$A$81,MATCH($E2359,科目表!$B$4:$B$81,0)),""))</f>
        <v/>
      </c>
      <c r="G2359" s="26" t="str">
        <f>IF($E2359="","",IFERROR(INDEX(科目表!$E$4:$E$81,MATCH($E2359,科目表!$B$4:$B$81,0)),""))</f>
        <v/>
      </c>
      <c r="H2359" s="27" t="str">
        <f>IF($E2359="","",N(INDEX(成本费用登记表!$Q$4:$Y$303,84,2)))</f>
        <v/>
      </c>
      <c r="I2359" s="27" t="str">
        <f>IF($E2359="","",N(INDEX(成本费用登记表!$Q$4:$Y$303,84,3)))</f>
        <v/>
      </c>
      <c r="J2359" s="26" t="str">
        <f>IF($E2359="","",INDEX(成本费用登记表!$C$4:$C$303,84))</f>
        <v/>
      </c>
      <c r="K2359" s="26" t="str">
        <f>IF($E2359="","",INDEX(成本费用登记表!$D$4:$D$303,84))</f>
        <v/>
      </c>
      <c r="L2359" s="32" t="str">
        <f>IF($E2359="","",INDEX(成本费用登记表!$N$4:$N$303,84))</f>
        <v/>
      </c>
      <c r="M2359" s="32"/>
      <c r="N2359" s="26" t="str">
        <f t="shared" si="110"/>
        <v/>
      </c>
      <c r="O2359" s="26" t="str">
        <f t="shared" si="111"/>
        <v/>
      </c>
      <c r="P2359" s="10"/>
    </row>
    <row r="2360" ht="18" customHeight="1" spans="1:16">
      <c r="A2360" s="32" t="str">
        <f t="shared" si="112"/>
        <v/>
      </c>
      <c r="B2360" s="100" t="str">
        <f>IF($E2360="","",INDEX(成本费用登记表!$B$4:$B$303,84))</f>
        <v/>
      </c>
      <c r="C2360" s="26" t="str">
        <f t="shared" si="109"/>
        <v/>
      </c>
      <c r="D2360" s="32" t="str">
        <f>IF($E2360="","",INDEX(成本费用登记表!$E$4:$E$303,84))</f>
        <v/>
      </c>
      <c r="E2360" s="26" t="str">
        <f>IF(INDEX(成本费用登记表!$Q$4:$Y$303,84,4)=0,"",INDEX(成本费用登记表!$Q$4:$Y$303,84,4))</f>
        <v/>
      </c>
      <c r="F2360" s="25" t="str">
        <f>IF($E2360="","",IFERROR(INDEX(科目表!$A$4:$A$81,MATCH($E2360,科目表!$B$4:$B$81,0)),""))</f>
        <v/>
      </c>
      <c r="G2360" s="26" t="str">
        <f>IF($E2360="","",IFERROR(INDEX(科目表!$E$4:$E$81,MATCH($E2360,科目表!$B$4:$B$81,0)),""))</f>
        <v/>
      </c>
      <c r="H2360" s="27" t="str">
        <f>IF($E2360="","",N(INDEX(成本费用登记表!$Q$4:$Y$303,84,5)))</f>
        <v/>
      </c>
      <c r="I2360" s="27" t="str">
        <f>IF($E2360="","",N(INDEX(成本费用登记表!$Q$4:$Y$303,84,6)))</f>
        <v/>
      </c>
      <c r="J2360" s="26" t="str">
        <f>IF($E2360="","",INDEX(成本费用登记表!$C$4:$C$303,84))</f>
        <v/>
      </c>
      <c r="K2360" s="26" t="str">
        <f>IF($E2360="","",INDEX(成本费用登记表!$D$4:$D$303,84))</f>
        <v/>
      </c>
      <c r="L2360" s="32" t="str">
        <f>IF($E2360="","",INDEX(成本费用登记表!$N$4:$N$303,84))</f>
        <v/>
      </c>
      <c r="M2360" s="32"/>
      <c r="N2360" s="26" t="str">
        <f t="shared" si="110"/>
        <v/>
      </c>
      <c r="O2360" s="26" t="str">
        <f t="shared" si="111"/>
        <v/>
      </c>
      <c r="P2360" s="10"/>
    </row>
    <row r="2361" ht="18" customHeight="1" spans="1:16">
      <c r="A2361" s="32" t="str">
        <f t="shared" si="112"/>
        <v/>
      </c>
      <c r="B2361" s="100" t="str">
        <f>IF($E2361="","",INDEX(成本费用登记表!$B$4:$B$303,84))</f>
        <v/>
      </c>
      <c r="C2361" s="26" t="str">
        <f t="shared" si="109"/>
        <v/>
      </c>
      <c r="D2361" s="32" t="str">
        <f>IF($E2361="","",INDEX(成本费用登记表!$E$4:$E$303,84))</f>
        <v/>
      </c>
      <c r="E2361" s="26" t="str">
        <f>IF(INDEX(成本费用登记表!$Q$4:$Y$303,84,7)=0,"",INDEX(成本费用登记表!$Q$4:$Y$303,84,7))</f>
        <v/>
      </c>
      <c r="F2361" s="25" t="str">
        <f>IF($E2361="","",IFERROR(INDEX(科目表!$A$4:$A$81,MATCH($E2361,科目表!$B$4:$B$81,0)),""))</f>
        <v/>
      </c>
      <c r="G2361" s="26" t="str">
        <f>IF($E2361="","",IFERROR(INDEX(科目表!$E$4:$E$81,MATCH($E2361,科目表!$B$4:$B$81,0)),""))</f>
        <v/>
      </c>
      <c r="H2361" s="27" t="str">
        <f>IF($E2361="","",N(INDEX(成本费用登记表!$Q$4:$Y$303,84,8)))</f>
        <v/>
      </c>
      <c r="I2361" s="27" t="str">
        <f>IF($E2361="","",N(INDEX(成本费用登记表!$Q$4:$Y$303,84,9)))</f>
        <v/>
      </c>
      <c r="J2361" s="26" t="str">
        <f>IF($E2361="","",INDEX(成本费用登记表!$C$4:$C$303,84))</f>
        <v/>
      </c>
      <c r="K2361" s="26" t="str">
        <f>IF($E2361="","",INDEX(成本费用登记表!$D$4:$D$303,84))</f>
        <v/>
      </c>
      <c r="L2361" s="32" t="str">
        <f>IF($E2361="","",INDEX(成本费用登记表!$N$4:$N$303,84))</f>
        <v/>
      </c>
      <c r="M2361" s="32"/>
      <c r="N2361" s="26" t="str">
        <f t="shared" si="110"/>
        <v/>
      </c>
      <c r="O2361" s="26" t="str">
        <f t="shared" si="111"/>
        <v/>
      </c>
      <c r="P2361" s="10"/>
    </row>
    <row r="2362" ht="18" customHeight="1" spans="1:16">
      <c r="A2362" s="32" t="str">
        <f t="shared" si="112"/>
        <v/>
      </c>
      <c r="B2362" s="100" t="str">
        <f>IF($E2362="","",INDEX(成本费用登记表!$B$4:$B$303,85))</f>
        <v/>
      </c>
      <c r="C2362" s="26" t="str">
        <f t="shared" si="109"/>
        <v/>
      </c>
      <c r="D2362" s="32" t="str">
        <f>IF($E2362="","",INDEX(成本费用登记表!$E$4:$E$303,85))</f>
        <v/>
      </c>
      <c r="E2362" s="26" t="str">
        <f>IF(INDEX(成本费用登记表!$Q$4:$Y$303,85,1)=0,"",INDEX(成本费用登记表!$Q$4:$Y$303,85,1))</f>
        <v/>
      </c>
      <c r="F2362" s="25" t="str">
        <f>IF($E2362="","",IFERROR(INDEX(科目表!$A$4:$A$81,MATCH($E2362,科目表!$B$4:$B$81,0)),""))</f>
        <v/>
      </c>
      <c r="G2362" s="26" t="str">
        <f>IF($E2362="","",IFERROR(INDEX(科目表!$E$4:$E$81,MATCH($E2362,科目表!$B$4:$B$81,0)),""))</f>
        <v/>
      </c>
      <c r="H2362" s="27" t="str">
        <f>IF($E2362="","",N(INDEX(成本费用登记表!$Q$4:$Y$303,85,2)))</f>
        <v/>
      </c>
      <c r="I2362" s="27" t="str">
        <f>IF($E2362="","",N(INDEX(成本费用登记表!$Q$4:$Y$303,85,3)))</f>
        <v/>
      </c>
      <c r="J2362" s="26" t="str">
        <f>IF($E2362="","",INDEX(成本费用登记表!$C$4:$C$303,85))</f>
        <v/>
      </c>
      <c r="K2362" s="26" t="str">
        <f>IF($E2362="","",INDEX(成本费用登记表!$D$4:$D$303,85))</f>
        <v/>
      </c>
      <c r="L2362" s="32" t="str">
        <f>IF($E2362="","",INDEX(成本费用登记表!$N$4:$N$303,85))</f>
        <v/>
      </c>
      <c r="M2362" s="32"/>
      <c r="N2362" s="26" t="str">
        <f t="shared" si="110"/>
        <v/>
      </c>
      <c r="O2362" s="26" t="str">
        <f t="shared" si="111"/>
        <v/>
      </c>
      <c r="P2362" s="10"/>
    </row>
    <row r="2363" ht="18" customHeight="1" spans="1:16">
      <c r="A2363" s="32" t="str">
        <f t="shared" si="112"/>
        <v/>
      </c>
      <c r="B2363" s="100" t="str">
        <f>IF($E2363="","",INDEX(成本费用登记表!$B$4:$B$303,85))</f>
        <v/>
      </c>
      <c r="C2363" s="26" t="str">
        <f t="shared" si="109"/>
        <v/>
      </c>
      <c r="D2363" s="32" t="str">
        <f>IF($E2363="","",INDEX(成本费用登记表!$E$4:$E$303,85))</f>
        <v/>
      </c>
      <c r="E2363" s="26" t="str">
        <f>IF(INDEX(成本费用登记表!$Q$4:$Y$303,85,4)=0,"",INDEX(成本费用登记表!$Q$4:$Y$303,85,4))</f>
        <v/>
      </c>
      <c r="F2363" s="25" t="str">
        <f>IF($E2363="","",IFERROR(INDEX(科目表!$A$4:$A$81,MATCH($E2363,科目表!$B$4:$B$81,0)),""))</f>
        <v/>
      </c>
      <c r="G2363" s="26" t="str">
        <f>IF($E2363="","",IFERROR(INDEX(科目表!$E$4:$E$81,MATCH($E2363,科目表!$B$4:$B$81,0)),""))</f>
        <v/>
      </c>
      <c r="H2363" s="27" t="str">
        <f>IF($E2363="","",N(INDEX(成本费用登记表!$Q$4:$Y$303,85,5)))</f>
        <v/>
      </c>
      <c r="I2363" s="27" t="str">
        <f>IF($E2363="","",N(INDEX(成本费用登记表!$Q$4:$Y$303,85,6)))</f>
        <v/>
      </c>
      <c r="J2363" s="26" t="str">
        <f>IF($E2363="","",INDEX(成本费用登记表!$C$4:$C$303,85))</f>
        <v/>
      </c>
      <c r="K2363" s="26" t="str">
        <f>IF($E2363="","",INDEX(成本费用登记表!$D$4:$D$303,85))</f>
        <v/>
      </c>
      <c r="L2363" s="32" t="str">
        <f>IF($E2363="","",INDEX(成本费用登记表!$N$4:$N$303,85))</f>
        <v/>
      </c>
      <c r="M2363" s="32"/>
      <c r="N2363" s="26" t="str">
        <f t="shared" si="110"/>
        <v/>
      </c>
      <c r="O2363" s="26" t="str">
        <f t="shared" si="111"/>
        <v/>
      </c>
      <c r="P2363" s="10"/>
    </row>
    <row r="2364" ht="18" customHeight="1" spans="1:16">
      <c r="A2364" s="32" t="str">
        <f t="shared" si="112"/>
        <v/>
      </c>
      <c r="B2364" s="100" t="str">
        <f>IF($E2364="","",INDEX(成本费用登记表!$B$4:$B$303,85))</f>
        <v/>
      </c>
      <c r="C2364" s="26" t="str">
        <f t="shared" si="109"/>
        <v/>
      </c>
      <c r="D2364" s="32" t="str">
        <f>IF($E2364="","",INDEX(成本费用登记表!$E$4:$E$303,85))</f>
        <v/>
      </c>
      <c r="E2364" s="26" t="str">
        <f>IF(INDEX(成本费用登记表!$Q$4:$Y$303,85,7)=0,"",INDEX(成本费用登记表!$Q$4:$Y$303,85,7))</f>
        <v/>
      </c>
      <c r="F2364" s="25" t="str">
        <f>IF($E2364="","",IFERROR(INDEX(科目表!$A$4:$A$81,MATCH($E2364,科目表!$B$4:$B$81,0)),""))</f>
        <v/>
      </c>
      <c r="G2364" s="26" t="str">
        <f>IF($E2364="","",IFERROR(INDEX(科目表!$E$4:$E$81,MATCH($E2364,科目表!$B$4:$B$81,0)),""))</f>
        <v/>
      </c>
      <c r="H2364" s="27" t="str">
        <f>IF($E2364="","",N(INDEX(成本费用登记表!$Q$4:$Y$303,85,8)))</f>
        <v/>
      </c>
      <c r="I2364" s="27" t="str">
        <f>IF($E2364="","",N(INDEX(成本费用登记表!$Q$4:$Y$303,85,9)))</f>
        <v/>
      </c>
      <c r="J2364" s="26" t="str">
        <f>IF($E2364="","",INDEX(成本费用登记表!$C$4:$C$303,85))</f>
        <v/>
      </c>
      <c r="K2364" s="26" t="str">
        <f>IF($E2364="","",INDEX(成本费用登记表!$D$4:$D$303,85))</f>
        <v/>
      </c>
      <c r="L2364" s="32" t="str">
        <f>IF($E2364="","",INDEX(成本费用登记表!$N$4:$N$303,85))</f>
        <v/>
      </c>
      <c r="M2364" s="32"/>
      <c r="N2364" s="26" t="str">
        <f t="shared" si="110"/>
        <v/>
      </c>
      <c r="O2364" s="26" t="str">
        <f t="shared" si="111"/>
        <v/>
      </c>
      <c r="P2364" s="10"/>
    </row>
    <row r="2365" ht="18" customHeight="1" spans="1:16">
      <c r="A2365" s="32" t="str">
        <f t="shared" si="112"/>
        <v/>
      </c>
      <c r="B2365" s="100" t="str">
        <f>IF($E2365="","",INDEX(成本费用登记表!$B$4:$B$303,86))</f>
        <v/>
      </c>
      <c r="C2365" s="26" t="str">
        <f t="shared" si="109"/>
        <v/>
      </c>
      <c r="D2365" s="32" t="str">
        <f>IF($E2365="","",INDEX(成本费用登记表!$E$4:$E$303,86))</f>
        <v/>
      </c>
      <c r="E2365" s="26" t="str">
        <f>IF(INDEX(成本费用登记表!$Q$4:$Y$303,86,1)=0,"",INDEX(成本费用登记表!$Q$4:$Y$303,86,1))</f>
        <v/>
      </c>
      <c r="F2365" s="25" t="str">
        <f>IF($E2365="","",IFERROR(INDEX(科目表!$A$4:$A$81,MATCH($E2365,科目表!$B$4:$B$81,0)),""))</f>
        <v/>
      </c>
      <c r="G2365" s="26" t="str">
        <f>IF($E2365="","",IFERROR(INDEX(科目表!$E$4:$E$81,MATCH($E2365,科目表!$B$4:$B$81,0)),""))</f>
        <v/>
      </c>
      <c r="H2365" s="27" t="str">
        <f>IF($E2365="","",N(INDEX(成本费用登记表!$Q$4:$Y$303,86,2)))</f>
        <v/>
      </c>
      <c r="I2365" s="27" t="str">
        <f>IF($E2365="","",N(INDEX(成本费用登记表!$Q$4:$Y$303,86,3)))</f>
        <v/>
      </c>
      <c r="J2365" s="26" t="str">
        <f>IF($E2365="","",INDEX(成本费用登记表!$C$4:$C$303,86))</f>
        <v/>
      </c>
      <c r="K2365" s="26" t="str">
        <f>IF($E2365="","",INDEX(成本费用登记表!$D$4:$D$303,86))</f>
        <v/>
      </c>
      <c r="L2365" s="32" t="str">
        <f>IF($E2365="","",INDEX(成本费用登记表!$N$4:$N$303,86))</f>
        <v/>
      </c>
      <c r="M2365" s="32"/>
      <c r="N2365" s="26" t="str">
        <f t="shared" si="110"/>
        <v/>
      </c>
      <c r="O2365" s="26" t="str">
        <f t="shared" si="111"/>
        <v/>
      </c>
      <c r="P2365" s="10"/>
    </row>
    <row r="2366" ht="18" customHeight="1" spans="1:16">
      <c r="A2366" s="32" t="str">
        <f t="shared" si="112"/>
        <v/>
      </c>
      <c r="B2366" s="100" t="str">
        <f>IF($E2366="","",INDEX(成本费用登记表!$B$4:$B$303,86))</f>
        <v/>
      </c>
      <c r="C2366" s="26" t="str">
        <f t="shared" ref="C2366:C2429" si="113">IF($E2366="","","记-"&amp;TEXT($B2366,"YYYYMM")&amp;"-费用")</f>
        <v/>
      </c>
      <c r="D2366" s="32" t="str">
        <f>IF($E2366="","",INDEX(成本费用登记表!$E$4:$E$303,86))</f>
        <v/>
      </c>
      <c r="E2366" s="26" t="str">
        <f>IF(INDEX(成本费用登记表!$Q$4:$Y$303,86,4)=0,"",INDEX(成本费用登记表!$Q$4:$Y$303,86,4))</f>
        <v/>
      </c>
      <c r="F2366" s="25" t="str">
        <f>IF($E2366="","",IFERROR(INDEX(科目表!$A$4:$A$81,MATCH($E2366,科目表!$B$4:$B$81,0)),""))</f>
        <v/>
      </c>
      <c r="G2366" s="26" t="str">
        <f>IF($E2366="","",IFERROR(INDEX(科目表!$E$4:$E$81,MATCH($E2366,科目表!$B$4:$B$81,0)),""))</f>
        <v/>
      </c>
      <c r="H2366" s="27" t="str">
        <f>IF($E2366="","",N(INDEX(成本费用登记表!$Q$4:$Y$303,86,5)))</f>
        <v/>
      </c>
      <c r="I2366" s="27" t="str">
        <f>IF($E2366="","",N(INDEX(成本费用登记表!$Q$4:$Y$303,86,6)))</f>
        <v/>
      </c>
      <c r="J2366" s="26" t="str">
        <f>IF($E2366="","",INDEX(成本费用登记表!$C$4:$C$303,86))</f>
        <v/>
      </c>
      <c r="K2366" s="26" t="str">
        <f>IF($E2366="","",INDEX(成本费用登记表!$D$4:$D$303,86))</f>
        <v/>
      </c>
      <c r="L2366" s="32" t="str">
        <f>IF($E2366="","",INDEX(成本费用登记表!$N$4:$N$303,86))</f>
        <v/>
      </c>
      <c r="M2366" s="32"/>
      <c r="N2366" s="26" t="str">
        <f t="shared" ref="N2366:N2429" si="114">IF($E2366="","","系统")</f>
        <v/>
      </c>
      <c r="O2366" s="26" t="str">
        <f t="shared" ref="O2366:O2429" si="115">IF($E2366="","","自动C")</f>
        <v/>
      </c>
      <c r="P2366" s="10"/>
    </row>
    <row r="2367" ht="18" customHeight="1" spans="1:16">
      <c r="A2367" s="32" t="str">
        <f t="shared" si="112"/>
        <v/>
      </c>
      <c r="B2367" s="100" t="str">
        <f>IF($E2367="","",INDEX(成本费用登记表!$B$4:$B$303,86))</f>
        <v/>
      </c>
      <c r="C2367" s="26" t="str">
        <f t="shared" si="113"/>
        <v/>
      </c>
      <c r="D2367" s="32" t="str">
        <f>IF($E2367="","",INDEX(成本费用登记表!$E$4:$E$303,86))</f>
        <v/>
      </c>
      <c r="E2367" s="26" t="str">
        <f>IF(INDEX(成本费用登记表!$Q$4:$Y$303,86,7)=0,"",INDEX(成本费用登记表!$Q$4:$Y$303,86,7))</f>
        <v/>
      </c>
      <c r="F2367" s="25" t="str">
        <f>IF($E2367="","",IFERROR(INDEX(科目表!$A$4:$A$81,MATCH($E2367,科目表!$B$4:$B$81,0)),""))</f>
        <v/>
      </c>
      <c r="G2367" s="26" t="str">
        <f>IF($E2367="","",IFERROR(INDEX(科目表!$E$4:$E$81,MATCH($E2367,科目表!$B$4:$B$81,0)),""))</f>
        <v/>
      </c>
      <c r="H2367" s="27" t="str">
        <f>IF($E2367="","",N(INDEX(成本费用登记表!$Q$4:$Y$303,86,8)))</f>
        <v/>
      </c>
      <c r="I2367" s="27" t="str">
        <f>IF($E2367="","",N(INDEX(成本费用登记表!$Q$4:$Y$303,86,9)))</f>
        <v/>
      </c>
      <c r="J2367" s="26" t="str">
        <f>IF($E2367="","",INDEX(成本费用登记表!$C$4:$C$303,86))</f>
        <v/>
      </c>
      <c r="K2367" s="26" t="str">
        <f>IF($E2367="","",INDEX(成本费用登记表!$D$4:$D$303,86))</f>
        <v/>
      </c>
      <c r="L2367" s="32" t="str">
        <f>IF($E2367="","",INDEX(成本费用登记表!$N$4:$N$303,86))</f>
        <v/>
      </c>
      <c r="M2367" s="32"/>
      <c r="N2367" s="26" t="str">
        <f t="shared" si="114"/>
        <v/>
      </c>
      <c r="O2367" s="26" t="str">
        <f t="shared" si="115"/>
        <v/>
      </c>
      <c r="P2367" s="10"/>
    </row>
    <row r="2368" ht="18" customHeight="1" spans="1:16">
      <c r="A2368" s="32" t="str">
        <f t="shared" si="112"/>
        <v/>
      </c>
      <c r="B2368" s="100" t="str">
        <f>IF($E2368="","",INDEX(成本费用登记表!$B$4:$B$303,87))</f>
        <v/>
      </c>
      <c r="C2368" s="26" t="str">
        <f t="shared" si="113"/>
        <v/>
      </c>
      <c r="D2368" s="32" t="str">
        <f>IF($E2368="","",INDEX(成本费用登记表!$E$4:$E$303,87))</f>
        <v/>
      </c>
      <c r="E2368" s="26" t="str">
        <f>IF(INDEX(成本费用登记表!$Q$4:$Y$303,87,1)=0,"",INDEX(成本费用登记表!$Q$4:$Y$303,87,1))</f>
        <v/>
      </c>
      <c r="F2368" s="25" t="str">
        <f>IF($E2368="","",IFERROR(INDEX(科目表!$A$4:$A$81,MATCH($E2368,科目表!$B$4:$B$81,0)),""))</f>
        <v/>
      </c>
      <c r="G2368" s="26" t="str">
        <f>IF($E2368="","",IFERROR(INDEX(科目表!$E$4:$E$81,MATCH($E2368,科目表!$B$4:$B$81,0)),""))</f>
        <v/>
      </c>
      <c r="H2368" s="27" t="str">
        <f>IF($E2368="","",N(INDEX(成本费用登记表!$Q$4:$Y$303,87,2)))</f>
        <v/>
      </c>
      <c r="I2368" s="27" t="str">
        <f>IF($E2368="","",N(INDEX(成本费用登记表!$Q$4:$Y$303,87,3)))</f>
        <v/>
      </c>
      <c r="J2368" s="26" t="str">
        <f>IF($E2368="","",INDEX(成本费用登记表!$C$4:$C$303,87))</f>
        <v/>
      </c>
      <c r="K2368" s="26" t="str">
        <f>IF($E2368="","",INDEX(成本费用登记表!$D$4:$D$303,87))</f>
        <v/>
      </c>
      <c r="L2368" s="32" t="str">
        <f>IF($E2368="","",INDEX(成本费用登记表!$N$4:$N$303,87))</f>
        <v/>
      </c>
      <c r="M2368" s="32"/>
      <c r="N2368" s="26" t="str">
        <f t="shared" si="114"/>
        <v/>
      </c>
      <c r="O2368" s="26" t="str">
        <f t="shared" si="115"/>
        <v/>
      </c>
      <c r="P2368" s="10"/>
    </row>
    <row r="2369" ht="18" customHeight="1" spans="1:16">
      <c r="A2369" s="32" t="str">
        <f t="shared" si="112"/>
        <v/>
      </c>
      <c r="B2369" s="100" t="str">
        <f>IF($E2369="","",INDEX(成本费用登记表!$B$4:$B$303,87))</f>
        <v/>
      </c>
      <c r="C2369" s="26" t="str">
        <f t="shared" si="113"/>
        <v/>
      </c>
      <c r="D2369" s="32" t="str">
        <f>IF($E2369="","",INDEX(成本费用登记表!$E$4:$E$303,87))</f>
        <v/>
      </c>
      <c r="E2369" s="26" t="str">
        <f>IF(INDEX(成本费用登记表!$Q$4:$Y$303,87,4)=0,"",INDEX(成本费用登记表!$Q$4:$Y$303,87,4))</f>
        <v/>
      </c>
      <c r="F2369" s="25" t="str">
        <f>IF($E2369="","",IFERROR(INDEX(科目表!$A$4:$A$81,MATCH($E2369,科目表!$B$4:$B$81,0)),""))</f>
        <v/>
      </c>
      <c r="G2369" s="26" t="str">
        <f>IF($E2369="","",IFERROR(INDEX(科目表!$E$4:$E$81,MATCH($E2369,科目表!$B$4:$B$81,0)),""))</f>
        <v/>
      </c>
      <c r="H2369" s="27" t="str">
        <f>IF($E2369="","",N(INDEX(成本费用登记表!$Q$4:$Y$303,87,5)))</f>
        <v/>
      </c>
      <c r="I2369" s="27" t="str">
        <f>IF($E2369="","",N(INDEX(成本费用登记表!$Q$4:$Y$303,87,6)))</f>
        <v/>
      </c>
      <c r="J2369" s="26" t="str">
        <f>IF($E2369="","",INDEX(成本费用登记表!$C$4:$C$303,87))</f>
        <v/>
      </c>
      <c r="K2369" s="26" t="str">
        <f>IF($E2369="","",INDEX(成本费用登记表!$D$4:$D$303,87))</f>
        <v/>
      </c>
      <c r="L2369" s="32" t="str">
        <f>IF($E2369="","",INDEX(成本费用登记表!$N$4:$N$303,87))</f>
        <v/>
      </c>
      <c r="M2369" s="32"/>
      <c r="N2369" s="26" t="str">
        <f t="shared" si="114"/>
        <v/>
      </c>
      <c r="O2369" s="26" t="str">
        <f t="shared" si="115"/>
        <v/>
      </c>
      <c r="P2369" s="10"/>
    </row>
    <row r="2370" ht="18" customHeight="1" spans="1:16">
      <c r="A2370" s="32" t="str">
        <f t="shared" si="112"/>
        <v/>
      </c>
      <c r="B2370" s="100" t="str">
        <f>IF($E2370="","",INDEX(成本费用登记表!$B$4:$B$303,87))</f>
        <v/>
      </c>
      <c r="C2370" s="26" t="str">
        <f t="shared" si="113"/>
        <v/>
      </c>
      <c r="D2370" s="32" t="str">
        <f>IF($E2370="","",INDEX(成本费用登记表!$E$4:$E$303,87))</f>
        <v/>
      </c>
      <c r="E2370" s="26" t="str">
        <f>IF(INDEX(成本费用登记表!$Q$4:$Y$303,87,7)=0,"",INDEX(成本费用登记表!$Q$4:$Y$303,87,7))</f>
        <v/>
      </c>
      <c r="F2370" s="25" t="str">
        <f>IF($E2370="","",IFERROR(INDEX(科目表!$A$4:$A$81,MATCH($E2370,科目表!$B$4:$B$81,0)),""))</f>
        <v/>
      </c>
      <c r="G2370" s="26" t="str">
        <f>IF($E2370="","",IFERROR(INDEX(科目表!$E$4:$E$81,MATCH($E2370,科目表!$B$4:$B$81,0)),""))</f>
        <v/>
      </c>
      <c r="H2370" s="27" t="str">
        <f>IF($E2370="","",N(INDEX(成本费用登记表!$Q$4:$Y$303,87,8)))</f>
        <v/>
      </c>
      <c r="I2370" s="27" t="str">
        <f>IF($E2370="","",N(INDEX(成本费用登记表!$Q$4:$Y$303,87,9)))</f>
        <v/>
      </c>
      <c r="J2370" s="26" t="str">
        <f>IF($E2370="","",INDEX(成本费用登记表!$C$4:$C$303,87))</f>
        <v/>
      </c>
      <c r="K2370" s="26" t="str">
        <f>IF($E2370="","",INDEX(成本费用登记表!$D$4:$D$303,87))</f>
        <v/>
      </c>
      <c r="L2370" s="32" t="str">
        <f>IF($E2370="","",INDEX(成本费用登记表!$N$4:$N$303,87))</f>
        <v/>
      </c>
      <c r="M2370" s="32"/>
      <c r="N2370" s="26" t="str">
        <f t="shared" si="114"/>
        <v/>
      </c>
      <c r="O2370" s="26" t="str">
        <f t="shared" si="115"/>
        <v/>
      </c>
      <c r="P2370" s="10"/>
    </row>
    <row r="2371" ht="18" customHeight="1" spans="1:16">
      <c r="A2371" s="32" t="str">
        <f t="shared" si="112"/>
        <v/>
      </c>
      <c r="B2371" s="100" t="str">
        <f>IF($E2371="","",INDEX(成本费用登记表!$B$4:$B$303,88))</f>
        <v/>
      </c>
      <c r="C2371" s="26" t="str">
        <f t="shared" si="113"/>
        <v/>
      </c>
      <c r="D2371" s="32" t="str">
        <f>IF($E2371="","",INDEX(成本费用登记表!$E$4:$E$303,88))</f>
        <v/>
      </c>
      <c r="E2371" s="26" t="str">
        <f>IF(INDEX(成本费用登记表!$Q$4:$Y$303,88,1)=0,"",INDEX(成本费用登记表!$Q$4:$Y$303,88,1))</f>
        <v/>
      </c>
      <c r="F2371" s="25" t="str">
        <f>IF($E2371="","",IFERROR(INDEX(科目表!$A$4:$A$81,MATCH($E2371,科目表!$B$4:$B$81,0)),""))</f>
        <v/>
      </c>
      <c r="G2371" s="26" t="str">
        <f>IF($E2371="","",IFERROR(INDEX(科目表!$E$4:$E$81,MATCH($E2371,科目表!$B$4:$B$81,0)),""))</f>
        <v/>
      </c>
      <c r="H2371" s="27" t="str">
        <f>IF($E2371="","",N(INDEX(成本费用登记表!$Q$4:$Y$303,88,2)))</f>
        <v/>
      </c>
      <c r="I2371" s="27" t="str">
        <f>IF($E2371="","",N(INDEX(成本费用登记表!$Q$4:$Y$303,88,3)))</f>
        <v/>
      </c>
      <c r="J2371" s="26" t="str">
        <f>IF($E2371="","",INDEX(成本费用登记表!$C$4:$C$303,88))</f>
        <v/>
      </c>
      <c r="K2371" s="26" t="str">
        <f>IF($E2371="","",INDEX(成本费用登记表!$D$4:$D$303,88))</f>
        <v/>
      </c>
      <c r="L2371" s="32" t="str">
        <f>IF($E2371="","",INDEX(成本费用登记表!$N$4:$N$303,88))</f>
        <v/>
      </c>
      <c r="M2371" s="32"/>
      <c r="N2371" s="26" t="str">
        <f t="shared" si="114"/>
        <v/>
      </c>
      <c r="O2371" s="26" t="str">
        <f t="shared" si="115"/>
        <v/>
      </c>
      <c r="P2371" s="10"/>
    </row>
    <row r="2372" ht="18" customHeight="1" spans="1:16">
      <c r="A2372" s="32" t="str">
        <f t="shared" ref="A2372:A2435" si="116">IF($E2372="","",ROW()-3)</f>
        <v/>
      </c>
      <c r="B2372" s="100" t="str">
        <f>IF($E2372="","",INDEX(成本费用登记表!$B$4:$B$303,88))</f>
        <v/>
      </c>
      <c r="C2372" s="26" t="str">
        <f t="shared" si="113"/>
        <v/>
      </c>
      <c r="D2372" s="32" t="str">
        <f>IF($E2372="","",INDEX(成本费用登记表!$E$4:$E$303,88))</f>
        <v/>
      </c>
      <c r="E2372" s="26" t="str">
        <f>IF(INDEX(成本费用登记表!$Q$4:$Y$303,88,4)=0,"",INDEX(成本费用登记表!$Q$4:$Y$303,88,4))</f>
        <v/>
      </c>
      <c r="F2372" s="25" t="str">
        <f>IF($E2372="","",IFERROR(INDEX(科目表!$A$4:$A$81,MATCH($E2372,科目表!$B$4:$B$81,0)),""))</f>
        <v/>
      </c>
      <c r="G2372" s="26" t="str">
        <f>IF($E2372="","",IFERROR(INDEX(科目表!$E$4:$E$81,MATCH($E2372,科目表!$B$4:$B$81,0)),""))</f>
        <v/>
      </c>
      <c r="H2372" s="27" t="str">
        <f>IF($E2372="","",N(INDEX(成本费用登记表!$Q$4:$Y$303,88,5)))</f>
        <v/>
      </c>
      <c r="I2372" s="27" t="str">
        <f>IF($E2372="","",N(INDEX(成本费用登记表!$Q$4:$Y$303,88,6)))</f>
        <v/>
      </c>
      <c r="J2372" s="26" t="str">
        <f>IF($E2372="","",INDEX(成本费用登记表!$C$4:$C$303,88))</f>
        <v/>
      </c>
      <c r="K2372" s="26" t="str">
        <f>IF($E2372="","",INDEX(成本费用登记表!$D$4:$D$303,88))</f>
        <v/>
      </c>
      <c r="L2372" s="32" t="str">
        <f>IF($E2372="","",INDEX(成本费用登记表!$N$4:$N$303,88))</f>
        <v/>
      </c>
      <c r="M2372" s="32"/>
      <c r="N2372" s="26" t="str">
        <f t="shared" si="114"/>
        <v/>
      </c>
      <c r="O2372" s="26" t="str">
        <f t="shared" si="115"/>
        <v/>
      </c>
      <c r="P2372" s="10"/>
    </row>
    <row r="2373" ht="18" customHeight="1" spans="1:16">
      <c r="A2373" s="32" t="str">
        <f t="shared" si="116"/>
        <v/>
      </c>
      <c r="B2373" s="100" t="str">
        <f>IF($E2373="","",INDEX(成本费用登记表!$B$4:$B$303,88))</f>
        <v/>
      </c>
      <c r="C2373" s="26" t="str">
        <f t="shared" si="113"/>
        <v/>
      </c>
      <c r="D2373" s="32" t="str">
        <f>IF($E2373="","",INDEX(成本费用登记表!$E$4:$E$303,88))</f>
        <v/>
      </c>
      <c r="E2373" s="26" t="str">
        <f>IF(INDEX(成本费用登记表!$Q$4:$Y$303,88,7)=0,"",INDEX(成本费用登记表!$Q$4:$Y$303,88,7))</f>
        <v/>
      </c>
      <c r="F2373" s="25" t="str">
        <f>IF($E2373="","",IFERROR(INDEX(科目表!$A$4:$A$81,MATCH($E2373,科目表!$B$4:$B$81,0)),""))</f>
        <v/>
      </c>
      <c r="G2373" s="26" t="str">
        <f>IF($E2373="","",IFERROR(INDEX(科目表!$E$4:$E$81,MATCH($E2373,科目表!$B$4:$B$81,0)),""))</f>
        <v/>
      </c>
      <c r="H2373" s="27" t="str">
        <f>IF($E2373="","",N(INDEX(成本费用登记表!$Q$4:$Y$303,88,8)))</f>
        <v/>
      </c>
      <c r="I2373" s="27" t="str">
        <f>IF($E2373="","",N(INDEX(成本费用登记表!$Q$4:$Y$303,88,9)))</f>
        <v/>
      </c>
      <c r="J2373" s="26" t="str">
        <f>IF($E2373="","",INDEX(成本费用登记表!$C$4:$C$303,88))</f>
        <v/>
      </c>
      <c r="K2373" s="26" t="str">
        <f>IF($E2373="","",INDEX(成本费用登记表!$D$4:$D$303,88))</f>
        <v/>
      </c>
      <c r="L2373" s="32" t="str">
        <f>IF($E2373="","",INDEX(成本费用登记表!$N$4:$N$303,88))</f>
        <v/>
      </c>
      <c r="M2373" s="32"/>
      <c r="N2373" s="26" t="str">
        <f t="shared" si="114"/>
        <v/>
      </c>
      <c r="O2373" s="26" t="str">
        <f t="shared" si="115"/>
        <v/>
      </c>
      <c r="P2373" s="10"/>
    </row>
    <row r="2374" ht="18" customHeight="1" spans="1:16">
      <c r="A2374" s="32" t="str">
        <f t="shared" si="116"/>
        <v/>
      </c>
      <c r="B2374" s="100" t="str">
        <f>IF($E2374="","",INDEX(成本费用登记表!$B$4:$B$303,89))</f>
        <v/>
      </c>
      <c r="C2374" s="26" t="str">
        <f t="shared" si="113"/>
        <v/>
      </c>
      <c r="D2374" s="32" t="str">
        <f>IF($E2374="","",INDEX(成本费用登记表!$E$4:$E$303,89))</f>
        <v/>
      </c>
      <c r="E2374" s="26" t="str">
        <f>IF(INDEX(成本费用登记表!$Q$4:$Y$303,89,1)=0,"",INDEX(成本费用登记表!$Q$4:$Y$303,89,1))</f>
        <v/>
      </c>
      <c r="F2374" s="25" t="str">
        <f>IF($E2374="","",IFERROR(INDEX(科目表!$A$4:$A$81,MATCH($E2374,科目表!$B$4:$B$81,0)),""))</f>
        <v/>
      </c>
      <c r="G2374" s="26" t="str">
        <f>IF($E2374="","",IFERROR(INDEX(科目表!$E$4:$E$81,MATCH($E2374,科目表!$B$4:$B$81,0)),""))</f>
        <v/>
      </c>
      <c r="H2374" s="27" t="str">
        <f>IF($E2374="","",N(INDEX(成本费用登记表!$Q$4:$Y$303,89,2)))</f>
        <v/>
      </c>
      <c r="I2374" s="27" t="str">
        <f>IF($E2374="","",N(INDEX(成本费用登记表!$Q$4:$Y$303,89,3)))</f>
        <v/>
      </c>
      <c r="J2374" s="26" t="str">
        <f>IF($E2374="","",INDEX(成本费用登记表!$C$4:$C$303,89))</f>
        <v/>
      </c>
      <c r="K2374" s="26" t="str">
        <f>IF($E2374="","",INDEX(成本费用登记表!$D$4:$D$303,89))</f>
        <v/>
      </c>
      <c r="L2374" s="32" t="str">
        <f>IF($E2374="","",INDEX(成本费用登记表!$N$4:$N$303,89))</f>
        <v/>
      </c>
      <c r="M2374" s="32"/>
      <c r="N2374" s="26" t="str">
        <f t="shared" si="114"/>
        <v/>
      </c>
      <c r="O2374" s="26" t="str">
        <f t="shared" si="115"/>
        <v/>
      </c>
      <c r="P2374" s="10"/>
    </row>
    <row r="2375" ht="18" customHeight="1" spans="1:16">
      <c r="A2375" s="32" t="str">
        <f t="shared" si="116"/>
        <v/>
      </c>
      <c r="B2375" s="100" t="str">
        <f>IF($E2375="","",INDEX(成本费用登记表!$B$4:$B$303,89))</f>
        <v/>
      </c>
      <c r="C2375" s="26" t="str">
        <f t="shared" si="113"/>
        <v/>
      </c>
      <c r="D2375" s="32" t="str">
        <f>IF($E2375="","",INDEX(成本费用登记表!$E$4:$E$303,89))</f>
        <v/>
      </c>
      <c r="E2375" s="26" t="str">
        <f>IF(INDEX(成本费用登记表!$Q$4:$Y$303,89,4)=0,"",INDEX(成本费用登记表!$Q$4:$Y$303,89,4))</f>
        <v/>
      </c>
      <c r="F2375" s="25" t="str">
        <f>IF($E2375="","",IFERROR(INDEX(科目表!$A$4:$A$81,MATCH($E2375,科目表!$B$4:$B$81,0)),""))</f>
        <v/>
      </c>
      <c r="G2375" s="26" t="str">
        <f>IF($E2375="","",IFERROR(INDEX(科目表!$E$4:$E$81,MATCH($E2375,科目表!$B$4:$B$81,0)),""))</f>
        <v/>
      </c>
      <c r="H2375" s="27" t="str">
        <f>IF($E2375="","",N(INDEX(成本费用登记表!$Q$4:$Y$303,89,5)))</f>
        <v/>
      </c>
      <c r="I2375" s="27" t="str">
        <f>IF($E2375="","",N(INDEX(成本费用登记表!$Q$4:$Y$303,89,6)))</f>
        <v/>
      </c>
      <c r="J2375" s="26" t="str">
        <f>IF($E2375="","",INDEX(成本费用登记表!$C$4:$C$303,89))</f>
        <v/>
      </c>
      <c r="K2375" s="26" t="str">
        <f>IF($E2375="","",INDEX(成本费用登记表!$D$4:$D$303,89))</f>
        <v/>
      </c>
      <c r="L2375" s="32" t="str">
        <f>IF($E2375="","",INDEX(成本费用登记表!$N$4:$N$303,89))</f>
        <v/>
      </c>
      <c r="M2375" s="32"/>
      <c r="N2375" s="26" t="str">
        <f t="shared" si="114"/>
        <v/>
      </c>
      <c r="O2375" s="26" t="str">
        <f t="shared" si="115"/>
        <v/>
      </c>
      <c r="P2375" s="10"/>
    </row>
    <row r="2376" ht="18" customHeight="1" spans="1:16">
      <c r="A2376" s="32" t="str">
        <f t="shared" si="116"/>
        <v/>
      </c>
      <c r="B2376" s="100" t="str">
        <f>IF($E2376="","",INDEX(成本费用登记表!$B$4:$B$303,89))</f>
        <v/>
      </c>
      <c r="C2376" s="26" t="str">
        <f t="shared" si="113"/>
        <v/>
      </c>
      <c r="D2376" s="32" t="str">
        <f>IF($E2376="","",INDEX(成本费用登记表!$E$4:$E$303,89))</f>
        <v/>
      </c>
      <c r="E2376" s="26" t="str">
        <f>IF(INDEX(成本费用登记表!$Q$4:$Y$303,89,7)=0,"",INDEX(成本费用登记表!$Q$4:$Y$303,89,7))</f>
        <v/>
      </c>
      <c r="F2376" s="25" t="str">
        <f>IF($E2376="","",IFERROR(INDEX(科目表!$A$4:$A$81,MATCH($E2376,科目表!$B$4:$B$81,0)),""))</f>
        <v/>
      </c>
      <c r="G2376" s="26" t="str">
        <f>IF($E2376="","",IFERROR(INDEX(科目表!$E$4:$E$81,MATCH($E2376,科目表!$B$4:$B$81,0)),""))</f>
        <v/>
      </c>
      <c r="H2376" s="27" t="str">
        <f>IF($E2376="","",N(INDEX(成本费用登记表!$Q$4:$Y$303,89,8)))</f>
        <v/>
      </c>
      <c r="I2376" s="27" t="str">
        <f>IF($E2376="","",N(INDEX(成本费用登记表!$Q$4:$Y$303,89,9)))</f>
        <v/>
      </c>
      <c r="J2376" s="26" t="str">
        <f>IF($E2376="","",INDEX(成本费用登记表!$C$4:$C$303,89))</f>
        <v/>
      </c>
      <c r="K2376" s="26" t="str">
        <f>IF($E2376="","",INDEX(成本费用登记表!$D$4:$D$303,89))</f>
        <v/>
      </c>
      <c r="L2376" s="32" t="str">
        <f>IF($E2376="","",INDEX(成本费用登记表!$N$4:$N$303,89))</f>
        <v/>
      </c>
      <c r="M2376" s="32"/>
      <c r="N2376" s="26" t="str">
        <f t="shared" si="114"/>
        <v/>
      </c>
      <c r="O2376" s="26" t="str">
        <f t="shared" si="115"/>
        <v/>
      </c>
      <c r="P2376" s="10"/>
    </row>
    <row r="2377" ht="18" customHeight="1" spans="1:16">
      <c r="A2377" s="32" t="str">
        <f t="shared" si="116"/>
        <v/>
      </c>
      <c r="B2377" s="100" t="str">
        <f>IF($E2377="","",INDEX(成本费用登记表!$B$4:$B$303,90))</f>
        <v/>
      </c>
      <c r="C2377" s="26" t="str">
        <f t="shared" si="113"/>
        <v/>
      </c>
      <c r="D2377" s="32" t="str">
        <f>IF($E2377="","",INDEX(成本费用登记表!$E$4:$E$303,90))</f>
        <v/>
      </c>
      <c r="E2377" s="26" t="str">
        <f>IF(INDEX(成本费用登记表!$Q$4:$Y$303,90,1)=0,"",INDEX(成本费用登记表!$Q$4:$Y$303,90,1))</f>
        <v/>
      </c>
      <c r="F2377" s="25" t="str">
        <f>IF($E2377="","",IFERROR(INDEX(科目表!$A$4:$A$81,MATCH($E2377,科目表!$B$4:$B$81,0)),""))</f>
        <v/>
      </c>
      <c r="G2377" s="26" t="str">
        <f>IF($E2377="","",IFERROR(INDEX(科目表!$E$4:$E$81,MATCH($E2377,科目表!$B$4:$B$81,0)),""))</f>
        <v/>
      </c>
      <c r="H2377" s="27" t="str">
        <f>IF($E2377="","",N(INDEX(成本费用登记表!$Q$4:$Y$303,90,2)))</f>
        <v/>
      </c>
      <c r="I2377" s="27" t="str">
        <f>IF($E2377="","",N(INDEX(成本费用登记表!$Q$4:$Y$303,90,3)))</f>
        <v/>
      </c>
      <c r="J2377" s="26" t="str">
        <f>IF($E2377="","",INDEX(成本费用登记表!$C$4:$C$303,90))</f>
        <v/>
      </c>
      <c r="K2377" s="26" t="str">
        <f>IF($E2377="","",INDEX(成本费用登记表!$D$4:$D$303,90))</f>
        <v/>
      </c>
      <c r="L2377" s="32" t="str">
        <f>IF($E2377="","",INDEX(成本费用登记表!$N$4:$N$303,90))</f>
        <v/>
      </c>
      <c r="M2377" s="32"/>
      <c r="N2377" s="26" t="str">
        <f t="shared" si="114"/>
        <v/>
      </c>
      <c r="O2377" s="26" t="str">
        <f t="shared" si="115"/>
        <v/>
      </c>
      <c r="P2377" s="10"/>
    </row>
    <row r="2378" ht="18" customHeight="1" spans="1:16">
      <c r="A2378" s="32" t="str">
        <f t="shared" si="116"/>
        <v/>
      </c>
      <c r="B2378" s="100" t="str">
        <f>IF($E2378="","",INDEX(成本费用登记表!$B$4:$B$303,90))</f>
        <v/>
      </c>
      <c r="C2378" s="26" t="str">
        <f t="shared" si="113"/>
        <v/>
      </c>
      <c r="D2378" s="32" t="str">
        <f>IF($E2378="","",INDEX(成本费用登记表!$E$4:$E$303,90))</f>
        <v/>
      </c>
      <c r="E2378" s="26" t="str">
        <f>IF(INDEX(成本费用登记表!$Q$4:$Y$303,90,4)=0,"",INDEX(成本费用登记表!$Q$4:$Y$303,90,4))</f>
        <v/>
      </c>
      <c r="F2378" s="25" t="str">
        <f>IF($E2378="","",IFERROR(INDEX(科目表!$A$4:$A$81,MATCH($E2378,科目表!$B$4:$B$81,0)),""))</f>
        <v/>
      </c>
      <c r="G2378" s="26" t="str">
        <f>IF($E2378="","",IFERROR(INDEX(科目表!$E$4:$E$81,MATCH($E2378,科目表!$B$4:$B$81,0)),""))</f>
        <v/>
      </c>
      <c r="H2378" s="27" t="str">
        <f>IF($E2378="","",N(INDEX(成本费用登记表!$Q$4:$Y$303,90,5)))</f>
        <v/>
      </c>
      <c r="I2378" s="27" t="str">
        <f>IF($E2378="","",N(INDEX(成本费用登记表!$Q$4:$Y$303,90,6)))</f>
        <v/>
      </c>
      <c r="J2378" s="26" t="str">
        <f>IF($E2378="","",INDEX(成本费用登记表!$C$4:$C$303,90))</f>
        <v/>
      </c>
      <c r="K2378" s="26" t="str">
        <f>IF($E2378="","",INDEX(成本费用登记表!$D$4:$D$303,90))</f>
        <v/>
      </c>
      <c r="L2378" s="32" t="str">
        <f>IF($E2378="","",INDEX(成本费用登记表!$N$4:$N$303,90))</f>
        <v/>
      </c>
      <c r="M2378" s="32"/>
      <c r="N2378" s="26" t="str">
        <f t="shared" si="114"/>
        <v/>
      </c>
      <c r="O2378" s="26" t="str">
        <f t="shared" si="115"/>
        <v/>
      </c>
      <c r="P2378" s="10"/>
    </row>
    <row r="2379" ht="18" customHeight="1" spans="1:16">
      <c r="A2379" s="32" t="str">
        <f t="shared" si="116"/>
        <v/>
      </c>
      <c r="B2379" s="100" t="str">
        <f>IF($E2379="","",INDEX(成本费用登记表!$B$4:$B$303,90))</f>
        <v/>
      </c>
      <c r="C2379" s="26" t="str">
        <f t="shared" si="113"/>
        <v/>
      </c>
      <c r="D2379" s="32" t="str">
        <f>IF($E2379="","",INDEX(成本费用登记表!$E$4:$E$303,90))</f>
        <v/>
      </c>
      <c r="E2379" s="26" t="str">
        <f>IF(INDEX(成本费用登记表!$Q$4:$Y$303,90,7)=0,"",INDEX(成本费用登记表!$Q$4:$Y$303,90,7))</f>
        <v/>
      </c>
      <c r="F2379" s="25" t="str">
        <f>IF($E2379="","",IFERROR(INDEX(科目表!$A$4:$A$81,MATCH($E2379,科目表!$B$4:$B$81,0)),""))</f>
        <v/>
      </c>
      <c r="G2379" s="26" t="str">
        <f>IF($E2379="","",IFERROR(INDEX(科目表!$E$4:$E$81,MATCH($E2379,科目表!$B$4:$B$81,0)),""))</f>
        <v/>
      </c>
      <c r="H2379" s="27" t="str">
        <f>IF($E2379="","",N(INDEX(成本费用登记表!$Q$4:$Y$303,90,8)))</f>
        <v/>
      </c>
      <c r="I2379" s="27" t="str">
        <f>IF($E2379="","",N(INDEX(成本费用登记表!$Q$4:$Y$303,90,9)))</f>
        <v/>
      </c>
      <c r="J2379" s="26" t="str">
        <f>IF($E2379="","",INDEX(成本费用登记表!$C$4:$C$303,90))</f>
        <v/>
      </c>
      <c r="K2379" s="26" t="str">
        <f>IF($E2379="","",INDEX(成本费用登记表!$D$4:$D$303,90))</f>
        <v/>
      </c>
      <c r="L2379" s="32" t="str">
        <f>IF($E2379="","",INDEX(成本费用登记表!$N$4:$N$303,90))</f>
        <v/>
      </c>
      <c r="M2379" s="32"/>
      <c r="N2379" s="26" t="str">
        <f t="shared" si="114"/>
        <v/>
      </c>
      <c r="O2379" s="26" t="str">
        <f t="shared" si="115"/>
        <v/>
      </c>
      <c r="P2379" s="10"/>
    </row>
    <row r="2380" ht="18" customHeight="1" spans="1:16">
      <c r="A2380" s="32" t="str">
        <f t="shared" si="116"/>
        <v/>
      </c>
      <c r="B2380" s="100" t="str">
        <f>IF($E2380="","",INDEX(成本费用登记表!$B$4:$B$303,91))</f>
        <v/>
      </c>
      <c r="C2380" s="26" t="str">
        <f t="shared" si="113"/>
        <v/>
      </c>
      <c r="D2380" s="32" t="str">
        <f>IF($E2380="","",INDEX(成本费用登记表!$E$4:$E$303,91))</f>
        <v/>
      </c>
      <c r="E2380" s="26" t="str">
        <f>IF(INDEX(成本费用登记表!$Q$4:$Y$303,91,1)=0,"",INDEX(成本费用登记表!$Q$4:$Y$303,91,1))</f>
        <v/>
      </c>
      <c r="F2380" s="25" t="str">
        <f>IF($E2380="","",IFERROR(INDEX(科目表!$A$4:$A$81,MATCH($E2380,科目表!$B$4:$B$81,0)),""))</f>
        <v/>
      </c>
      <c r="G2380" s="26" t="str">
        <f>IF($E2380="","",IFERROR(INDEX(科目表!$E$4:$E$81,MATCH($E2380,科目表!$B$4:$B$81,0)),""))</f>
        <v/>
      </c>
      <c r="H2380" s="27" t="str">
        <f>IF($E2380="","",N(INDEX(成本费用登记表!$Q$4:$Y$303,91,2)))</f>
        <v/>
      </c>
      <c r="I2380" s="27" t="str">
        <f>IF($E2380="","",N(INDEX(成本费用登记表!$Q$4:$Y$303,91,3)))</f>
        <v/>
      </c>
      <c r="J2380" s="26" t="str">
        <f>IF($E2380="","",INDEX(成本费用登记表!$C$4:$C$303,91))</f>
        <v/>
      </c>
      <c r="K2380" s="26" t="str">
        <f>IF($E2380="","",INDEX(成本费用登记表!$D$4:$D$303,91))</f>
        <v/>
      </c>
      <c r="L2380" s="32" t="str">
        <f>IF($E2380="","",INDEX(成本费用登记表!$N$4:$N$303,91))</f>
        <v/>
      </c>
      <c r="M2380" s="32"/>
      <c r="N2380" s="26" t="str">
        <f t="shared" si="114"/>
        <v/>
      </c>
      <c r="O2380" s="26" t="str">
        <f t="shared" si="115"/>
        <v/>
      </c>
      <c r="P2380" s="10"/>
    </row>
    <row r="2381" ht="18" customHeight="1" spans="1:16">
      <c r="A2381" s="32" t="str">
        <f t="shared" si="116"/>
        <v/>
      </c>
      <c r="B2381" s="100" t="str">
        <f>IF($E2381="","",INDEX(成本费用登记表!$B$4:$B$303,91))</f>
        <v/>
      </c>
      <c r="C2381" s="26" t="str">
        <f t="shared" si="113"/>
        <v/>
      </c>
      <c r="D2381" s="32" t="str">
        <f>IF($E2381="","",INDEX(成本费用登记表!$E$4:$E$303,91))</f>
        <v/>
      </c>
      <c r="E2381" s="26" t="str">
        <f>IF(INDEX(成本费用登记表!$Q$4:$Y$303,91,4)=0,"",INDEX(成本费用登记表!$Q$4:$Y$303,91,4))</f>
        <v/>
      </c>
      <c r="F2381" s="25" t="str">
        <f>IF($E2381="","",IFERROR(INDEX(科目表!$A$4:$A$81,MATCH($E2381,科目表!$B$4:$B$81,0)),""))</f>
        <v/>
      </c>
      <c r="G2381" s="26" t="str">
        <f>IF($E2381="","",IFERROR(INDEX(科目表!$E$4:$E$81,MATCH($E2381,科目表!$B$4:$B$81,0)),""))</f>
        <v/>
      </c>
      <c r="H2381" s="27" t="str">
        <f>IF($E2381="","",N(INDEX(成本费用登记表!$Q$4:$Y$303,91,5)))</f>
        <v/>
      </c>
      <c r="I2381" s="27" t="str">
        <f>IF($E2381="","",N(INDEX(成本费用登记表!$Q$4:$Y$303,91,6)))</f>
        <v/>
      </c>
      <c r="J2381" s="26" t="str">
        <f>IF($E2381="","",INDEX(成本费用登记表!$C$4:$C$303,91))</f>
        <v/>
      </c>
      <c r="K2381" s="26" t="str">
        <f>IF($E2381="","",INDEX(成本费用登记表!$D$4:$D$303,91))</f>
        <v/>
      </c>
      <c r="L2381" s="32" t="str">
        <f>IF($E2381="","",INDEX(成本费用登记表!$N$4:$N$303,91))</f>
        <v/>
      </c>
      <c r="M2381" s="32"/>
      <c r="N2381" s="26" t="str">
        <f t="shared" si="114"/>
        <v/>
      </c>
      <c r="O2381" s="26" t="str">
        <f t="shared" si="115"/>
        <v/>
      </c>
      <c r="P2381" s="10"/>
    </row>
    <row r="2382" ht="18" customHeight="1" spans="1:16">
      <c r="A2382" s="32" t="str">
        <f t="shared" si="116"/>
        <v/>
      </c>
      <c r="B2382" s="100" t="str">
        <f>IF($E2382="","",INDEX(成本费用登记表!$B$4:$B$303,91))</f>
        <v/>
      </c>
      <c r="C2382" s="26" t="str">
        <f t="shared" si="113"/>
        <v/>
      </c>
      <c r="D2382" s="32" t="str">
        <f>IF($E2382="","",INDEX(成本费用登记表!$E$4:$E$303,91))</f>
        <v/>
      </c>
      <c r="E2382" s="26" t="str">
        <f>IF(INDEX(成本费用登记表!$Q$4:$Y$303,91,7)=0,"",INDEX(成本费用登记表!$Q$4:$Y$303,91,7))</f>
        <v/>
      </c>
      <c r="F2382" s="25" t="str">
        <f>IF($E2382="","",IFERROR(INDEX(科目表!$A$4:$A$81,MATCH($E2382,科目表!$B$4:$B$81,0)),""))</f>
        <v/>
      </c>
      <c r="G2382" s="26" t="str">
        <f>IF($E2382="","",IFERROR(INDEX(科目表!$E$4:$E$81,MATCH($E2382,科目表!$B$4:$B$81,0)),""))</f>
        <v/>
      </c>
      <c r="H2382" s="27" t="str">
        <f>IF($E2382="","",N(INDEX(成本费用登记表!$Q$4:$Y$303,91,8)))</f>
        <v/>
      </c>
      <c r="I2382" s="27" t="str">
        <f>IF($E2382="","",N(INDEX(成本费用登记表!$Q$4:$Y$303,91,9)))</f>
        <v/>
      </c>
      <c r="J2382" s="26" t="str">
        <f>IF($E2382="","",INDEX(成本费用登记表!$C$4:$C$303,91))</f>
        <v/>
      </c>
      <c r="K2382" s="26" t="str">
        <f>IF($E2382="","",INDEX(成本费用登记表!$D$4:$D$303,91))</f>
        <v/>
      </c>
      <c r="L2382" s="32" t="str">
        <f>IF($E2382="","",INDEX(成本费用登记表!$N$4:$N$303,91))</f>
        <v/>
      </c>
      <c r="M2382" s="32"/>
      <c r="N2382" s="26" t="str">
        <f t="shared" si="114"/>
        <v/>
      </c>
      <c r="O2382" s="26" t="str">
        <f t="shared" si="115"/>
        <v/>
      </c>
      <c r="P2382" s="10"/>
    </row>
    <row r="2383" ht="18" customHeight="1" spans="1:16">
      <c r="A2383" s="32" t="str">
        <f t="shared" si="116"/>
        <v/>
      </c>
      <c r="B2383" s="100" t="str">
        <f>IF($E2383="","",INDEX(成本费用登记表!$B$4:$B$303,92))</f>
        <v/>
      </c>
      <c r="C2383" s="26" t="str">
        <f t="shared" si="113"/>
        <v/>
      </c>
      <c r="D2383" s="32" t="str">
        <f>IF($E2383="","",INDEX(成本费用登记表!$E$4:$E$303,92))</f>
        <v/>
      </c>
      <c r="E2383" s="26" t="str">
        <f>IF(INDEX(成本费用登记表!$Q$4:$Y$303,92,1)=0,"",INDEX(成本费用登记表!$Q$4:$Y$303,92,1))</f>
        <v/>
      </c>
      <c r="F2383" s="25" t="str">
        <f>IF($E2383="","",IFERROR(INDEX(科目表!$A$4:$A$81,MATCH($E2383,科目表!$B$4:$B$81,0)),""))</f>
        <v/>
      </c>
      <c r="G2383" s="26" t="str">
        <f>IF($E2383="","",IFERROR(INDEX(科目表!$E$4:$E$81,MATCH($E2383,科目表!$B$4:$B$81,0)),""))</f>
        <v/>
      </c>
      <c r="H2383" s="27" t="str">
        <f>IF($E2383="","",N(INDEX(成本费用登记表!$Q$4:$Y$303,92,2)))</f>
        <v/>
      </c>
      <c r="I2383" s="27" t="str">
        <f>IF($E2383="","",N(INDEX(成本费用登记表!$Q$4:$Y$303,92,3)))</f>
        <v/>
      </c>
      <c r="J2383" s="26" t="str">
        <f>IF($E2383="","",INDEX(成本费用登记表!$C$4:$C$303,92))</f>
        <v/>
      </c>
      <c r="K2383" s="26" t="str">
        <f>IF($E2383="","",INDEX(成本费用登记表!$D$4:$D$303,92))</f>
        <v/>
      </c>
      <c r="L2383" s="32" t="str">
        <f>IF($E2383="","",INDEX(成本费用登记表!$N$4:$N$303,92))</f>
        <v/>
      </c>
      <c r="M2383" s="32"/>
      <c r="N2383" s="26" t="str">
        <f t="shared" si="114"/>
        <v/>
      </c>
      <c r="O2383" s="26" t="str">
        <f t="shared" si="115"/>
        <v/>
      </c>
      <c r="P2383" s="10"/>
    </row>
    <row r="2384" ht="18" customHeight="1" spans="1:16">
      <c r="A2384" s="32" t="str">
        <f t="shared" si="116"/>
        <v/>
      </c>
      <c r="B2384" s="100" t="str">
        <f>IF($E2384="","",INDEX(成本费用登记表!$B$4:$B$303,92))</f>
        <v/>
      </c>
      <c r="C2384" s="26" t="str">
        <f t="shared" si="113"/>
        <v/>
      </c>
      <c r="D2384" s="32" t="str">
        <f>IF($E2384="","",INDEX(成本费用登记表!$E$4:$E$303,92))</f>
        <v/>
      </c>
      <c r="E2384" s="26" t="str">
        <f>IF(INDEX(成本费用登记表!$Q$4:$Y$303,92,4)=0,"",INDEX(成本费用登记表!$Q$4:$Y$303,92,4))</f>
        <v/>
      </c>
      <c r="F2384" s="25" t="str">
        <f>IF($E2384="","",IFERROR(INDEX(科目表!$A$4:$A$81,MATCH($E2384,科目表!$B$4:$B$81,0)),""))</f>
        <v/>
      </c>
      <c r="G2384" s="26" t="str">
        <f>IF($E2384="","",IFERROR(INDEX(科目表!$E$4:$E$81,MATCH($E2384,科目表!$B$4:$B$81,0)),""))</f>
        <v/>
      </c>
      <c r="H2384" s="27" t="str">
        <f>IF($E2384="","",N(INDEX(成本费用登记表!$Q$4:$Y$303,92,5)))</f>
        <v/>
      </c>
      <c r="I2384" s="27" t="str">
        <f>IF($E2384="","",N(INDEX(成本费用登记表!$Q$4:$Y$303,92,6)))</f>
        <v/>
      </c>
      <c r="J2384" s="26" t="str">
        <f>IF($E2384="","",INDEX(成本费用登记表!$C$4:$C$303,92))</f>
        <v/>
      </c>
      <c r="K2384" s="26" t="str">
        <f>IF($E2384="","",INDEX(成本费用登记表!$D$4:$D$303,92))</f>
        <v/>
      </c>
      <c r="L2384" s="32" t="str">
        <f>IF($E2384="","",INDEX(成本费用登记表!$N$4:$N$303,92))</f>
        <v/>
      </c>
      <c r="M2384" s="32"/>
      <c r="N2384" s="26" t="str">
        <f t="shared" si="114"/>
        <v/>
      </c>
      <c r="O2384" s="26" t="str">
        <f t="shared" si="115"/>
        <v/>
      </c>
      <c r="P2384" s="10"/>
    </row>
    <row r="2385" ht="18" customHeight="1" spans="1:16">
      <c r="A2385" s="32" t="str">
        <f t="shared" si="116"/>
        <v/>
      </c>
      <c r="B2385" s="100" t="str">
        <f>IF($E2385="","",INDEX(成本费用登记表!$B$4:$B$303,92))</f>
        <v/>
      </c>
      <c r="C2385" s="26" t="str">
        <f t="shared" si="113"/>
        <v/>
      </c>
      <c r="D2385" s="32" t="str">
        <f>IF($E2385="","",INDEX(成本费用登记表!$E$4:$E$303,92))</f>
        <v/>
      </c>
      <c r="E2385" s="26" t="str">
        <f>IF(INDEX(成本费用登记表!$Q$4:$Y$303,92,7)=0,"",INDEX(成本费用登记表!$Q$4:$Y$303,92,7))</f>
        <v/>
      </c>
      <c r="F2385" s="25" t="str">
        <f>IF($E2385="","",IFERROR(INDEX(科目表!$A$4:$A$81,MATCH($E2385,科目表!$B$4:$B$81,0)),""))</f>
        <v/>
      </c>
      <c r="G2385" s="26" t="str">
        <f>IF($E2385="","",IFERROR(INDEX(科目表!$E$4:$E$81,MATCH($E2385,科目表!$B$4:$B$81,0)),""))</f>
        <v/>
      </c>
      <c r="H2385" s="27" t="str">
        <f>IF($E2385="","",N(INDEX(成本费用登记表!$Q$4:$Y$303,92,8)))</f>
        <v/>
      </c>
      <c r="I2385" s="27" t="str">
        <f>IF($E2385="","",N(INDEX(成本费用登记表!$Q$4:$Y$303,92,9)))</f>
        <v/>
      </c>
      <c r="J2385" s="26" t="str">
        <f>IF($E2385="","",INDEX(成本费用登记表!$C$4:$C$303,92))</f>
        <v/>
      </c>
      <c r="K2385" s="26" t="str">
        <f>IF($E2385="","",INDEX(成本费用登记表!$D$4:$D$303,92))</f>
        <v/>
      </c>
      <c r="L2385" s="32" t="str">
        <f>IF($E2385="","",INDEX(成本费用登记表!$N$4:$N$303,92))</f>
        <v/>
      </c>
      <c r="M2385" s="32"/>
      <c r="N2385" s="26" t="str">
        <f t="shared" si="114"/>
        <v/>
      </c>
      <c r="O2385" s="26" t="str">
        <f t="shared" si="115"/>
        <v/>
      </c>
      <c r="P2385" s="10"/>
    </row>
    <row r="2386" ht="18" customHeight="1" spans="1:16">
      <c r="A2386" s="32" t="str">
        <f t="shared" si="116"/>
        <v/>
      </c>
      <c r="B2386" s="100" t="str">
        <f>IF($E2386="","",INDEX(成本费用登记表!$B$4:$B$303,93))</f>
        <v/>
      </c>
      <c r="C2386" s="26" t="str">
        <f t="shared" si="113"/>
        <v/>
      </c>
      <c r="D2386" s="32" t="str">
        <f>IF($E2386="","",INDEX(成本费用登记表!$E$4:$E$303,93))</f>
        <v/>
      </c>
      <c r="E2386" s="26" t="str">
        <f>IF(INDEX(成本费用登记表!$Q$4:$Y$303,93,1)=0,"",INDEX(成本费用登记表!$Q$4:$Y$303,93,1))</f>
        <v/>
      </c>
      <c r="F2386" s="25" t="str">
        <f>IF($E2386="","",IFERROR(INDEX(科目表!$A$4:$A$81,MATCH($E2386,科目表!$B$4:$B$81,0)),""))</f>
        <v/>
      </c>
      <c r="G2386" s="26" t="str">
        <f>IF($E2386="","",IFERROR(INDEX(科目表!$E$4:$E$81,MATCH($E2386,科目表!$B$4:$B$81,0)),""))</f>
        <v/>
      </c>
      <c r="H2386" s="27" t="str">
        <f>IF($E2386="","",N(INDEX(成本费用登记表!$Q$4:$Y$303,93,2)))</f>
        <v/>
      </c>
      <c r="I2386" s="27" t="str">
        <f>IF($E2386="","",N(INDEX(成本费用登记表!$Q$4:$Y$303,93,3)))</f>
        <v/>
      </c>
      <c r="J2386" s="26" t="str">
        <f>IF($E2386="","",INDEX(成本费用登记表!$C$4:$C$303,93))</f>
        <v/>
      </c>
      <c r="K2386" s="26" t="str">
        <f>IF($E2386="","",INDEX(成本费用登记表!$D$4:$D$303,93))</f>
        <v/>
      </c>
      <c r="L2386" s="32" t="str">
        <f>IF($E2386="","",INDEX(成本费用登记表!$N$4:$N$303,93))</f>
        <v/>
      </c>
      <c r="M2386" s="32"/>
      <c r="N2386" s="26" t="str">
        <f t="shared" si="114"/>
        <v/>
      </c>
      <c r="O2386" s="26" t="str">
        <f t="shared" si="115"/>
        <v/>
      </c>
      <c r="P2386" s="10"/>
    </row>
    <row r="2387" ht="18" customHeight="1" spans="1:16">
      <c r="A2387" s="32" t="str">
        <f t="shared" si="116"/>
        <v/>
      </c>
      <c r="B2387" s="100" t="str">
        <f>IF($E2387="","",INDEX(成本费用登记表!$B$4:$B$303,93))</f>
        <v/>
      </c>
      <c r="C2387" s="26" t="str">
        <f t="shared" si="113"/>
        <v/>
      </c>
      <c r="D2387" s="32" t="str">
        <f>IF($E2387="","",INDEX(成本费用登记表!$E$4:$E$303,93))</f>
        <v/>
      </c>
      <c r="E2387" s="26" t="str">
        <f>IF(INDEX(成本费用登记表!$Q$4:$Y$303,93,4)=0,"",INDEX(成本费用登记表!$Q$4:$Y$303,93,4))</f>
        <v/>
      </c>
      <c r="F2387" s="25" t="str">
        <f>IF($E2387="","",IFERROR(INDEX(科目表!$A$4:$A$81,MATCH($E2387,科目表!$B$4:$B$81,0)),""))</f>
        <v/>
      </c>
      <c r="G2387" s="26" t="str">
        <f>IF($E2387="","",IFERROR(INDEX(科目表!$E$4:$E$81,MATCH($E2387,科目表!$B$4:$B$81,0)),""))</f>
        <v/>
      </c>
      <c r="H2387" s="27" t="str">
        <f>IF($E2387="","",N(INDEX(成本费用登记表!$Q$4:$Y$303,93,5)))</f>
        <v/>
      </c>
      <c r="I2387" s="27" t="str">
        <f>IF($E2387="","",N(INDEX(成本费用登记表!$Q$4:$Y$303,93,6)))</f>
        <v/>
      </c>
      <c r="J2387" s="26" t="str">
        <f>IF($E2387="","",INDEX(成本费用登记表!$C$4:$C$303,93))</f>
        <v/>
      </c>
      <c r="K2387" s="26" t="str">
        <f>IF($E2387="","",INDEX(成本费用登记表!$D$4:$D$303,93))</f>
        <v/>
      </c>
      <c r="L2387" s="32" t="str">
        <f>IF($E2387="","",INDEX(成本费用登记表!$N$4:$N$303,93))</f>
        <v/>
      </c>
      <c r="M2387" s="32"/>
      <c r="N2387" s="26" t="str">
        <f t="shared" si="114"/>
        <v/>
      </c>
      <c r="O2387" s="26" t="str">
        <f t="shared" si="115"/>
        <v/>
      </c>
      <c r="P2387" s="10"/>
    </row>
    <row r="2388" ht="18" customHeight="1" spans="1:16">
      <c r="A2388" s="32" t="str">
        <f t="shared" si="116"/>
        <v/>
      </c>
      <c r="B2388" s="100" t="str">
        <f>IF($E2388="","",INDEX(成本费用登记表!$B$4:$B$303,93))</f>
        <v/>
      </c>
      <c r="C2388" s="26" t="str">
        <f t="shared" si="113"/>
        <v/>
      </c>
      <c r="D2388" s="32" t="str">
        <f>IF($E2388="","",INDEX(成本费用登记表!$E$4:$E$303,93))</f>
        <v/>
      </c>
      <c r="E2388" s="26" t="str">
        <f>IF(INDEX(成本费用登记表!$Q$4:$Y$303,93,7)=0,"",INDEX(成本费用登记表!$Q$4:$Y$303,93,7))</f>
        <v/>
      </c>
      <c r="F2388" s="25" t="str">
        <f>IF($E2388="","",IFERROR(INDEX(科目表!$A$4:$A$81,MATCH($E2388,科目表!$B$4:$B$81,0)),""))</f>
        <v/>
      </c>
      <c r="G2388" s="26" t="str">
        <f>IF($E2388="","",IFERROR(INDEX(科目表!$E$4:$E$81,MATCH($E2388,科目表!$B$4:$B$81,0)),""))</f>
        <v/>
      </c>
      <c r="H2388" s="27" t="str">
        <f>IF($E2388="","",N(INDEX(成本费用登记表!$Q$4:$Y$303,93,8)))</f>
        <v/>
      </c>
      <c r="I2388" s="27" t="str">
        <f>IF($E2388="","",N(INDEX(成本费用登记表!$Q$4:$Y$303,93,9)))</f>
        <v/>
      </c>
      <c r="J2388" s="26" t="str">
        <f>IF($E2388="","",INDEX(成本费用登记表!$C$4:$C$303,93))</f>
        <v/>
      </c>
      <c r="K2388" s="26" t="str">
        <f>IF($E2388="","",INDEX(成本费用登记表!$D$4:$D$303,93))</f>
        <v/>
      </c>
      <c r="L2388" s="32" t="str">
        <f>IF($E2388="","",INDEX(成本费用登记表!$N$4:$N$303,93))</f>
        <v/>
      </c>
      <c r="M2388" s="32"/>
      <c r="N2388" s="26" t="str">
        <f t="shared" si="114"/>
        <v/>
      </c>
      <c r="O2388" s="26" t="str">
        <f t="shared" si="115"/>
        <v/>
      </c>
      <c r="P2388" s="10"/>
    </row>
    <row r="2389" ht="18" customHeight="1" spans="1:16">
      <c r="A2389" s="32" t="str">
        <f t="shared" si="116"/>
        <v/>
      </c>
      <c r="B2389" s="100" t="str">
        <f>IF($E2389="","",INDEX(成本费用登记表!$B$4:$B$303,94))</f>
        <v/>
      </c>
      <c r="C2389" s="26" t="str">
        <f t="shared" si="113"/>
        <v/>
      </c>
      <c r="D2389" s="32" t="str">
        <f>IF($E2389="","",INDEX(成本费用登记表!$E$4:$E$303,94))</f>
        <v/>
      </c>
      <c r="E2389" s="26" t="str">
        <f>IF(INDEX(成本费用登记表!$Q$4:$Y$303,94,1)=0,"",INDEX(成本费用登记表!$Q$4:$Y$303,94,1))</f>
        <v/>
      </c>
      <c r="F2389" s="25" t="str">
        <f>IF($E2389="","",IFERROR(INDEX(科目表!$A$4:$A$81,MATCH($E2389,科目表!$B$4:$B$81,0)),""))</f>
        <v/>
      </c>
      <c r="G2389" s="26" t="str">
        <f>IF($E2389="","",IFERROR(INDEX(科目表!$E$4:$E$81,MATCH($E2389,科目表!$B$4:$B$81,0)),""))</f>
        <v/>
      </c>
      <c r="H2389" s="27" t="str">
        <f>IF($E2389="","",N(INDEX(成本费用登记表!$Q$4:$Y$303,94,2)))</f>
        <v/>
      </c>
      <c r="I2389" s="27" t="str">
        <f>IF($E2389="","",N(INDEX(成本费用登记表!$Q$4:$Y$303,94,3)))</f>
        <v/>
      </c>
      <c r="J2389" s="26" t="str">
        <f>IF($E2389="","",INDEX(成本费用登记表!$C$4:$C$303,94))</f>
        <v/>
      </c>
      <c r="K2389" s="26" t="str">
        <f>IF($E2389="","",INDEX(成本费用登记表!$D$4:$D$303,94))</f>
        <v/>
      </c>
      <c r="L2389" s="32" t="str">
        <f>IF($E2389="","",INDEX(成本费用登记表!$N$4:$N$303,94))</f>
        <v/>
      </c>
      <c r="M2389" s="32"/>
      <c r="N2389" s="26" t="str">
        <f t="shared" si="114"/>
        <v/>
      </c>
      <c r="O2389" s="26" t="str">
        <f t="shared" si="115"/>
        <v/>
      </c>
      <c r="P2389" s="10"/>
    </row>
    <row r="2390" ht="18" customHeight="1" spans="1:16">
      <c r="A2390" s="32" t="str">
        <f t="shared" si="116"/>
        <v/>
      </c>
      <c r="B2390" s="100" t="str">
        <f>IF($E2390="","",INDEX(成本费用登记表!$B$4:$B$303,94))</f>
        <v/>
      </c>
      <c r="C2390" s="26" t="str">
        <f t="shared" si="113"/>
        <v/>
      </c>
      <c r="D2390" s="32" t="str">
        <f>IF($E2390="","",INDEX(成本费用登记表!$E$4:$E$303,94))</f>
        <v/>
      </c>
      <c r="E2390" s="26" t="str">
        <f>IF(INDEX(成本费用登记表!$Q$4:$Y$303,94,4)=0,"",INDEX(成本费用登记表!$Q$4:$Y$303,94,4))</f>
        <v/>
      </c>
      <c r="F2390" s="25" t="str">
        <f>IF($E2390="","",IFERROR(INDEX(科目表!$A$4:$A$81,MATCH($E2390,科目表!$B$4:$B$81,0)),""))</f>
        <v/>
      </c>
      <c r="G2390" s="26" t="str">
        <f>IF($E2390="","",IFERROR(INDEX(科目表!$E$4:$E$81,MATCH($E2390,科目表!$B$4:$B$81,0)),""))</f>
        <v/>
      </c>
      <c r="H2390" s="27" t="str">
        <f>IF($E2390="","",N(INDEX(成本费用登记表!$Q$4:$Y$303,94,5)))</f>
        <v/>
      </c>
      <c r="I2390" s="27" t="str">
        <f>IF($E2390="","",N(INDEX(成本费用登记表!$Q$4:$Y$303,94,6)))</f>
        <v/>
      </c>
      <c r="J2390" s="26" t="str">
        <f>IF($E2390="","",INDEX(成本费用登记表!$C$4:$C$303,94))</f>
        <v/>
      </c>
      <c r="K2390" s="26" t="str">
        <f>IF($E2390="","",INDEX(成本费用登记表!$D$4:$D$303,94))</f>
        <v/>
      </c>
      <c r="L2390" s="32" t="str">
        <f>IF($E2390="","",INDEX(成本费用登记表!$N$4:$N$303,94))</f>
        <v/>
      </c>
      <c r="M2390" s="32"/>
      <c r="N2390" s="26" t="str">
        <f t="shared" si="114"/>
        <v/>
      </c>
      <c r="O2390" s="26" t="str">
        <f t="shared" si="115"/>
        <v/>
      </c>
      <c r="P2390" s="10"/>
    </row>
    <row r="2391" ht="18" customHeight="1" spans="1:16">
      <c r="A2391" s="32" t="str">
        <f t="shared" si="116"/>
        <v/>
      </c>
      <c r="B2391" s="100" t="str">
        <f>IF($E2391="","",INDEX(成本费用登记表!$B$4:$B$303,94))</f>
        <v/>
      </c>
      <c r="C2391" s="26" t="str">
        <f t="shared" si="113"/>
        <v/>
      </c>
      <c r="D2391" s="32" t="str">
        <f>IF($E2391="","",INDEX(成本费用登记表!$E$4:$E$303,94))</f>
        <v/>
      </c>
      <c r="E2391" s="26" t="str">
        <f>IF(INDEX(成本费用登记表!$Q$4:$Y$303,94,7)=0,"",INDEX(成本费用登记表!$Q$4:$Y$303,94,7))</f>
        <v/>
      </c>
      <c r="F2391" s="25" t="str">
        <f>IF($E2391="","",IFERROR(INDEX(科目表!$A$4:$A$81,MATCH($E2391,科目表!$B$4:$B$81,0)),""))</f>
        <v/>
      </c>
      <c r="G2391" s="26" t="str">
        <f>IF($E2391="","",IFERROR(INDEX(科目表!$E$4:$E$81,MATCH($E2391,科目表!$B$4:$B$81,0)),""))</f>
        <v/>
      </c>
      <c r="H2391" s="27" t="str">
        <f>IF($E2391="","",N(INDEX(成本费用登记表!$Q$4:$Y$303,94,8)))</f>
        <v/>
      </c>
      <c r="I2391" s="27" t="str">
        <f>IF($E2391="","",N(INDEX(成本费用登记表!$Q$4:$Y$303,94,9)))</f>
        <v/>
      </c>
      <c r="J2391" s="26" t="str">
        <f>IF($E2391="","",INDEX(成本费用登记表!$C$4:$C$303,94))</f>
        <v/>
      </c>
      <c r="K2391" s="26" t="str">
        <f>IF($E2391="","",INDEX(成本费用登记表!$D$4:$D$303,94))</f>
        <v/>
      </c>
      <c r="L2391" s="32" t="str">
        <f>IF($E2391="","",INDEX(成本费用登记表!$N$4:$N$303,94))</f>
        <v/>
      </c>
      <c r="M2391" s="32"/>
      <c r="N2391" s="26" t="str">
        <f t="shared" si="114"/>
        <v/>
      </c>
      <c r="O2391" s="26" t="str">
        <f t="shared" si="115"/>
        <v/>
      </c>
      <c r="P2391" s="10"/>
    </row>
    <row r="2392" ht="18" customHeight="1" spans="1:16">
      <c r="A2392" s="32" t="str">
        <f t="shared" si="116"/>
        <v/>
      </c>
      <c r="B2392" s="100" t="str">
        <f>IF($E2392="","",INDEX(成本费用登记表!$B$4:$B$303,95))</f>
        <v/>
      </c>
      <c r="C2392" s="26" t="str">
        <f t="shared" si="113"/>
        <v/>
      </c>
      <c r="D2392" s="32" t="str">
        <f>IF($E2392="","",INDEX(成本费用登记表!$E$4:$E$303,95))</f>
        <v/>
      </c>
      <c r="E2392" s="26" t="str">
        <f>IF(INDEX(成本费用登记表!$Q$4:$Y$303,95,1)=0,"",INDEX(成本费用登记表!$Q$4:$Y$303,95,1))</f>
        <v/>
      </c>
      <c r="F2392" s="25" t="str">
        <f>IF($E2392="","",IFERROR(INDEX(科目表!$A$4:$A$81,MATCH($E2392,科目表!$B$4:$B$81,0)),""))</f>
        <v/>
      </c>
      <c r="G2392" s="26" t="str">
        <f>IF($E2392="","",IFERROR(INDEX(科目表!$E$4:$E$81,MATCH($E2392,科目表!$B$4:$B$81,0)),""))</f>
        <v/>
      </c>
      <c r="H2392" s="27" t="str">
        <f>IF($E2392="","",N(INDEX(成本费用登记表!$Q$4:$Y$303,95,2)))</f>
        <v/>
      </c>
      <c r="I2392" s="27" t="str">
        <f>IF($E2392="","",N(INDEX(成本费用登记表!$Q$4:$Y$303,95,3)))</f>
        <v/>
      </c>
      <c r="J2392" s="26" t="str">
        <f>IF($E2392="","",INDEX(成本费用登记表!$C$4:$C$303,95))</f>
        <v/>
      </c>
      <c r="K2392" s="26" t="str">
        <f>IF($E2392="","",INDEX(成本费用登记表!$D$4:$D$303,95))</f>
        <v/>
      </c>
      <c r="L2392" s="32" t="str">
        <f>IF($E2392="","",INDEX(成本费用登记表!$N$4:$N$303,95))</f>
        <v/>
      </c>
      <c r="M2392" s="32"/>
      <c r="N2392" s="26" t="str">
        <f t="shared" si="114"/>
        <v/>
      </c>
      <c r="O2392" s="26" t="str">
        <f t="shared" si="115"/>
        <v/>
      </c>
      <c r="P2392" s="10"/>
    </row>
    <row r="2393" ht="18" customHeight="1" spans="1:16">
      <c r="A2393" s="32" t="str">
        <f t="shared" si="116"/>
        <v/>
      </c>
      <c r="B2393" s="100" t="str">
        <f>IF($E2393="","",INDEX(成本费用登记表!$B$4:$B$303,95))</f>
        <v/>
      </c>
      <c r="C2393" s="26" t="str">
        <f t="shared" si="113"/>
        <v/>
      </c>
      <c r="D2393" s="32" t="str">
        <f>IF($E2393="","",INDEX(成本费用登记表!$E$4:$E$303,95))</f>
        <v/>
      </c>
      <c r="E2393" s="26" t="str">
        <f>IF(INDEX(成本费用登记表!$Q$4:$Y$303,95,4)=0,"",INDEX(成本费用登记表!$Q$4:$Y$303,95,4))</f>
        <v/>
      </c>
      <c r="F2393" s="25" t="str">
        <f>IF($E2393="","",IFERROR(INDEX(科目表!$A$4:$A$81,MATCH($E2393,科目表!$B$4:$B$81,0)),""))</f>
        <v/>
      </c>
      <c r="G2393" s="26" t="str">
        <f>IF($E2393="","",IFERROR(INDEX(科目表!$E$4:$E$81,MATCH($E2393,科目表!$B$4:$B$81,0)),""))</f>
        <v/>
      </c>
      <c r="H2393" s="27" t="str">
        <f>IF($E2393="","",N(INDEX(成本费用登记表!$Q$4:$Y$303,95,5)))</f>
        <v/>
      </c>
      <c r="I2393" s="27" t="str">
        <f>IF($E2393="","",N(INDEX(成本费用登记表!$Q$4:$Y$303,95,6)))</f>
        <v/>
      </c>
      <c r="J2393" s="26" t="str">
        <f>IF($E2393="","",INDEX(成本费用登记表!$C$4:$C$303,95))</f>
        <v/>
      </c>
      <c r="K2393" s="26" t="str">
        <f>IF($E2393="","",INDEX(成本费用登记表!$D$4:$D$303,95))</f>
        <v/>
      </c>
      <c r="L2393" s="32" t="str">
        <f>IF($E2393="","",INDEX(成本费用登记表!$N$4:$N$303,95))</f>
        <v/>
      </c>
      <c r="M2393" s="32"/>
      <c r="N2393" s="26" t="str">
        <f t="shared" si="114"/>
        <v/>
      </c>
      <c r="O2393" s="26" t="str">
        <f t="shared" si="115"/>
        <v/>
      </c>
      <c r="P2393" s="10"/>
    </row>
    <row r="2394" ht="18" customHeight="1" spans="1:16">
      <c r="A2394" s="32" t="str">
        <f t="shared" si="116"/>
        <v/>
      </c>
      <c r="B2394" s="100" t="str">
        <f>IF($E2394="","",INDEX(成本费用登记表!$B$4:$B$303,95))</f>
        <v/>
      </c>
      <c r="C2394" s="26" t="str">
        <f t="shared" si="113"/>
        <v/>
      </c>
      <c r="D2394" s="32" t="str">
        <f>IF($E2394="","",INDEX(成本费用登记表!$E$4:$E$303,95))</f>
        <v/>
      </c>
      <c r="E2394" s="26" t="str">
        <f>IF(INDEX(成本费用登记表!$Q$4:$Y$303,95,7)=0,"",INDEX(成本费用登记表!$Q$4:$Y$303,95,7))</f>
        <v/>
      </c>
      <c r="F2394" s="25" t="str">
        <f>IF($E2394="","",IFERROR(INDEX(科目表!$A$4:$A$81,MATCH($E2394,科目表!$B$4:$B$81,0)),""))</f>
        <v/>
      </c>
      <c r="G2394" s="26" t="str">
        <f>IF($E2394="","",IFERROR(INDEX(科目表!$E$4:$E$81,MATCH($E2394,科目表!$B$4:$B$81,0)),""))</f>
        <v/>
      </c>
      <c r="H2394" s="27" t="str">
        <f>IF($E2394="","",N(INDEX(成本费用登记表!$Q$4:$Y$303,95,8)))</f>
        <v/>
      </c>
      <c r="I2394" s="27" t="str">
        <f>IF($E2394="","",N(INDEX(成本费用登记表!$Q$4:$Y$303,95,9)))</f>
        <v/>
      </c>
      <c r="J2394" s="26" t="str">
        <f>IF($E2394="","",INDEX(成本费用登记表!$C$4:$C$303,95))</f>
        <v/>
      </c>
      <c r="K2394" s="26" t="str">
        <f>IF($E2394="","",INDEX(成本费用登记表!$D$4:$D$303,95))</f>
        <v/>
      </c>
      <c r="L2394" s="32" t="str">
        <f>IF($E2394="","",INDEX(成本费用登记表!$N$4:$N$303,95))</f>
        <v/>
      </c>
      <c r="M2394" s="32"/>
      <c r="N2394" s="26" t="str">
        <f t="shared" si="114"/>
        <v/>
      </c>
      <c r="O2394" s="26" t="str">
        <f t="shared" si="115"/>
        <v/>
      </c>
      <c r="P2394" s="10"/>
    </row>
    <row r="2395" ht="18" customHeight="1" spans="1:16">
      <c r="A2395" s="32" t="str">
        <f t="shared" si="116"/>
        <v/>
      </c>
      <c r="B2395" s="100" t="str">
        <f>IF($E2395="","",INDEX(成本费用登记表!$B$4:$B$303,96))</f>
        <v/>
      </c>
      <c r="C2395" s="26" t="str">
        <f t="shared" si="113"/>
        <v/>
      </c>
      <c r="D2395" s="32" t="str">
        <f>IF($E2395="","",INDEX(成本费用登记表!$E$4:$E$303,96))</f>
        <v/>
      </c>
      <c r="E2395" s="26" t="str">
        <f>IF(INDEX(成本费用登记表!$Q$4:$Y$303,96,1)=0,"",INDEX(成本费用登记表!$Q$4:$Y$303,96,1))</f>
        <v/>
      </c>
      <c r="F2395" s="25" t="str">
        <f>IF($E2395="","",IFERROR(INDEX(科目表!$A$4:$A$81,MATCH($E2395,科目表!$B$4:$B$81,0)),""))</f>
        <v/>
      </c>
      <c r="G2395" s="26" t="str">
        <f>IF($E2395="","",IFERROR(INDEX(科目表!$E$4:$E$81,MATCH($E2395,科目表!$B$4:$B$81,0)),""))</f>
        <v/>
      </c>
      <c r="H2395" s="27" t="str">
        <f>IF($E2395="","",N(INDEX(成本费用登记表!$Q$4:$Y$303,96,2)))</f>
        <v/>
      </c>
      <c r="I2395" s="27" t="str">
        <f>IF($E2395="","",N(INDEX(成本费用登记表!$Q$4:$Y$303,96,3)))</f>
        <v/>
      </c>
      <c r="J2395" s="26" t="str">
        <f>IF($E2395="","",INDEX(成本费用登记表!$C$4:$C$303,96))</f>
        <v/>
      </c>
      <c r="K2395" s="26" t="str">
        <f>IF($E2395="","",INDEX(成本费用登记表!$D$4:$D$303,96))</f>
        <v/>
      </c>
      <c r="L2395" s="32" t="str">
        <f>IF($E2395="","",INDEX(成本费用登记表!$N$4:$N$303,96))</f>
        <v/>
      </c>
      <c r="M2395" s="32"/>
      <c r="N2395" s="26" t="str">
        <f t="shared" si="114"/>
        <v/>
      </c>
      <c r="O2395" s="26" t="str">
        <f t="shared" si="115"/>
        <v/>
      </c>
      <c r="P2395" s="10"/>
    </row>
    <row r="2396" ht="18" customHeight="1" spans="1:16">
      <c r="A2396" s="32" t="str">
        <f t="shared" si="116"/>
        <v/>
      </c>
      <c r="B2396" s="100" t="str">
        <f>IF($E2396="","",INDEX(成本费用登记表!$B$4:$B$303,96))</f>
        <v/>
      </c>
      <c r="C2396" s="26" t="str">
        <f t="shared" si="113"/>
        <v/>
      </c>
      <c r="D2396" s="32" t="str">
        <f>IF($E2396="","",INDEX(成本费用登记表!$E$4:$E$303,96))</f>
        <v/>
      </c>
      <c r="E2396" s="26" t="str">
        <f>IF(INDEX(成本费用登记表!$Q$4:$Y$303,96,4)=0,"",INDEX(成本费用登记表!$Q$4:$Y$303,96,4))</f>
        <v/>
      </c>
      <c r="F2396" s="25" t="str">
        <f>IF($E2396="","",IFERROR(INDEX(科目表!$A$4:$A$81,MATCH($E2396,科目表!$B$4:$B$81,0)),""))</f>
        <v/>
      </c>
      <c r="G2396" s="26" t="str">
        <f>IF($E2396="","",IFERROR(INDEX(科目表!$E$4:$E$81,MATCH($E2396,科目表!$B$4:$B$81,0)),""))</f>
        <v/>
      </c>
      <c r="H2396" s="27" t="str">
        <f>IF($E2396="","",N(INDEX(成本费用登记表!$Q$4:$Y$303,96,5)))</f>
        <v/>
      </c>
      <c r="I2396" s="27" t="str">
        <f>IF($E2396="","",N(INDEX(成本费用登记表!$Q$4:$Y$303,96,6)))</f>
        <v/>
      </c>
      <c r="J2396" s="26" t="str">
        <f>IF($E2396="","",INDEX(成本费用登记表!$C$4:$C$303,96))</f>
        <v/>
      </c>
      <c r="K2396" s="26" t="str">
        <f>IF($E2396="","",INDEX(成本费用登记表!$D$4:$D$303,96))</f>
        <v/>
      </c>
      <c r="L2396" s="32" t="str">
        <f>IF($E2396="","",INDEX(成本费用登记表!$N$4:$N$303,96))</f>
        <v/>
      </c>
      <c r="M2396" s="32"/>
      <c r="N2396" s="26" t="str">
        <f t="shared" si="114"/>
        <v/>
      </c>
      <c r="O2396" s="26" t="str">
        <f t="shared" si="115"/>
        <v/>
      </c>
      <c r="P2396" s="10"/>
    </row>
    <row r="2397" ht="18" customHeight="1" spans="1:16">
      <c r="A2397" s="32" t="str">
        <f t="shared" si="116"/>
        <v/>
      </c>
      <c r="B2397" s="100" t="str">
        <f>IF($E2397="","",INDEX(成本费用登记表!$B$4:$B$303,96))</f>
        <v/>
      </c>
      <c r="C2397" s="26" t="str">
        <f t="shared" si="113"/>
        <v/>
      </c>
      <c r="D2397" s="32" t="str">
        <f>IF($E2397="","",INDEX(成本费用登记表!$E$4:$E$303,96))</f>
        <v/>
      </c>
      <c r="E2397" s="26" t="str">
        <f>IF(INDEX(成本费用登记表!$Q$4:$Y$303,96,7)=0,"",INDEX(成本费用登记表!$Q$4:$Y$303,96,7))</f>
        <v/>
      </c>
      <c r="F2397" s="25" t="str">
        <f>IF($E2397="","",IFERROR(INDEX(科目表!$A$4:$A$81,MATCH($E2397,科目表!$B$4:$B$81,0)),""))</f>
        <v/>
      </c>
      <c r="G2397" s="26" t="str">
        <f>IF($E2397="","",IFERROR(INDEX(科目表!$E$4:$E$81,MATCH($E2397,科目表!$B$4:$B$81,0)),""))</f>
        <v/>
      </c>
      <c r="H2397" s="27" t="str">
        <f>IF($E2397="","",N(INDEX(成本费用登记表!$Q$4:$Y$303,96,8)))</f>
        <v/>
      </c>
      <c r="I2397" s="27" t="str">
        <f>IF($E2397="","",N(INDEX(成本费用登记表!$Q$4:$Y$303,96,9)))</f>
        <v/>
      </c>
      <c r="J2397" s="26" t="str">
        <f>IF($E2397="","",INDEX(成本费用登记表!$C$4:$C$303,96))</f>
        <v/>
      </c>
      <c r="K2397" s="26" t="str">
        <f>IF($E2397="","",INDEX(成本费用登记表!$D$4:$D$303,96))</f>
        <v/>
      </c>
      <c r="L2397" s="32" t="str">
        <f>IF($E2397="","",INDEX(成本费用登记表!$N$4:$N$303,96))</f>
        <v/>
      </c>
      <c r="M2397" s="32"/>
      <c r="N2397" s="26" t="str">
        <f t="shared" si="114"/>
        <v/>
      </c>
      <c r="O2397" s="26" t="str">
        <f t="shared" si="115"/>
        <v/>
      </c>
      <c r="P2397" s="10"/>
    </row>
    <row r="2398" ht="18" customHeight="1" spans="1:16">
      <c r="A2398" s="32" t="str">
        <f t="shared" si="116"/>
        <v/>
      </c>
      <c r="B2398" s="100" t="str">
        <f>IF($E2398="","",INDEX(成本费用登记表!$B$4:$B$303,97))</f>
        <v/>
      </c>
      <c r="C2398" s="26" t="str">
        <f t="shared" si="113"/>
        <v/>
      </c>
      <c r="D2398" s="32" t="str">
        <f>IF($E2398="","",INDEX(成本费用登记表!$E$4:$E$303,97))</f>
        <v/>
      </c>
      <c r="E2398" s="26" t="str">
        <f>IF(INDEX(成本费用登记表!$Q$4:$Y$303,97,1)=0,"",INDEX(成本费用登记表!$Q$4:$Y$303,97,1))</f>
        <v/>
      </c>
      <c r="F2398" s="25" t="str">
        <f>IF($E2398="","",IFERROR(INDEX(科目表!$A$4:$A$81,MATCH($E2398,科目表!$B$4:$B$81,0)),""))</f>
        <v/>
      </c>
      <c r="G2398" s="26" t="str">
        <f>IF($E2398="","",IFERROR(INDEX(科目表!$E$4:$E$81,MATCH($E2398,科目表!$B$4:$B$81,0)),""))</f>
        <v/>
      </c>
      <c r="H2398" s="27" t="str">
        <f>IF($E2398="","",N(INDEX(成本费用登记表!$Q$4:$Y$303,97,2)))</f>
        <v/>
      </c>
      <c r="I2398" s="27" t="str">
        <f>IF($E2398="","",N(INDEX(成本费用登记表!$Q$4:$Y$303,97,3)))</f>
        <v/>
      </c>
      <c r="J2398" s="26" t="str">
        <f>IF($E2398="","",INDEX(成本费用登记表!$C$4:$C$303,97))</f>
        <v/>
      </c>
      <c r="K2398" s="26" t="str">
        <f>IF($E2398="","",INDEX(成本费用登记表!$D$4:$D$303,97))</f>
        <v/>
      </c>
      <c r="L2398" s="32" t="str">
        <f>IF($E2398="","",INDEX(成本费用登记表!$N$4:$N$303,97))</f>
        <v/>
      </c>
      <c r="M2398" s="32"/>
      <c r="N2398" s="26" t="str">
        <f t="shared" si="114"/>
        <v/>
      </c>
      <c r="O2398" s="26" t="str">
        <f t="shared" si="115"/>
        <v/>
      </c>
      <c r="P2398" s="10"/>
    </row>
    <row r="2399" ht="18" customHeight="1" spans="1:16">
      <c r="A2399" s="32" t="str">
        <f t="shared" si="116"/>
        <v/>
      </c>
      <c r="B2399" s="100" t="str">
        <f>IF($E2399="","",INDEX(成本费用登记表!$B$4:$B$303,97))</f>
        <v/>
      </c>
      <c r="C2399" s="26" t="str">
        <f t="shared" si="113"/>
        <v/>
      </c>
      <c r="D2399" s="32" t="str">
        <f>IF($E2399="","",INDEX(成本费用登记表!$E$4:$E$303,97))</f>
        <v/>
      </c>
      <c r="E2399" s="26" t="str">
        <f>IF(INDEX(成本费用登记表!$Q$4:$Y$303,97,4)=0,"",INDEX(成本费用登记表!$Q$4:$Y$303,97,4))</f>
        <v/>
      </c>
      <c r="F2399" s="25" t="str">
        <f>IF($E2399="","",IFERROR(INDEX(科目表!$A$4:$A$81,MATCH($E2399,科目表!$B$4:$B$81,0)),""))</f>
        <v/>
      </c>
      <c r="G2399" s="26" t="str">
        <f>IF($E2399="","",IFERROR(INDEX(科目表!$E$4:$E$81,MATCH($E2399,科目表!$B$4:$B$81,0)),""))</f>
        <v/>
      </c>
      <c r="H2399" s="27" t="str">
        <f>IF($E2399="","",N(INDEX(成本费用登记表!$Q$4:$Y$303,97,5)))</f>
        <v/>
      </c>
      <c r="I2399" s="27" t="str">
        <f>IF($E2399="","",N(INDEX(成本费用登记表!$Q$4:$Y$303,97,6)))</f>
        <v/>
      </c>
      <c r="J2399" s="26" t="str">
        <f>IF($E2399="","",INDEX(成本费用登记表!$C$4:$C$303,97))</f>
        <v/>
      </c>
      <c r="K2399" s="26" t="str">
        <f>IF($E2399="","",INDEX(成本费用登记表!$D$4:$D$303,97))</f>
        <v/>
      </c>
      <c r="L2399" s="32" t="str">
        <f>IF($E2399="","",INDEX(成本费用登记表!$N$4:$N$303,97))</f>
        <v/>
      </c>
      <c r="M2399" s="32"/>
      <c r="N2399" s="26" t="str">
        <f t="shared" si="114"/>
        <v/>
      </c>
      <c r="O2399" s="26" t="str">
        <f t="shared" si="115"/>
        <v/>
      </c>
      <c r="P2399" s="10"/>
    </row>
    <row r="2400" ht="18" customHeight="1" spans="1:16">
      <c r="A2400" s="32" t="str">
        <f t="shared" si="116"/>
        <v/>
      </c>
      <c r="B2400" s="100" t="str">
        <f>IF($E2400="","",INDEX(成本费用登记表!$B$4:$B$303,97))</f>
        <v/>
      </c>
      <c r="C2400" s="26" t="str">
        <f t="shared" si="113"/>
        <v/>
      </c>
      <c r="D2400" s="32" t="str">
        <f>IF($E2400="","",INDEX(成本费用登记表!$E$4:$E$303,97))</f>
        <v/>
      </c>
      <c r="E2400" s="26" t="str">
        <f>IF(INDEX(成本费用登记表!$Q$4:$Y$303,97,7)=0,"",INDEX(成本费用登记表!$Q$4:$Y$303,97,7))</f>
        <v/>
      </c>
      <c r="F2400" s="25" t="str">
        <f>IF($E2400="","",IFERROR(INDEX(科目表!$A$4:$A$81,MATCH($E2400,科目表!$B$4:$B$81,0)),""))</f>
        <v/>
      </c>
      <c r="G2400" s="26" t="str">
        <f>IF($E2400="","",IFERROR(INDEX(科目表!$E$4:$E$81,MATCH($E2400,科目表!$B$4:$B$81,0)),""))</f>
        <v/>
      </c>
      <c r="H2400" s="27" t="str">
        <f>IF($E2400="","",N(INDEX(成本费用登记表!$Q$4:$Y$303,97,8)))</f>
        <v/>
      </c>
      <c r="I2400" s="27" t="str">
        <f>IF($E2400="","",N(INDEX(成本费用登记表!$Q$4:$Y$303,97,9)))</f>
        <v/>
      </c>
      <c r="J2400" s="26" t="str">
        <f>IF($E2400="","",INDEX(成本费用登记表!$C$4:$C$303,97))</f>
        <v/>
      </c>
      <c r="K2400" s="26" t="str">
        <f>IF($E2400="","",INDEX(成本费用登记表!$D$4:$D$303,97))</f>
        <v/>
      </c>
      <c r="L2400" s="32" t="str">
        <f>IF($E2400="","",INDEX(成本费用登记表!$N$4:$N$303,97))</f>
        <v/>
      </c>
      <c r="M2400" s="32"/>
      <c r="N2400" s="26" t="str">
        <f t="shared" si="114"/>
        <v/>
      </c>
      <c r="O2400" s="26" t="str">
        <f t="shared" si="115"/>
        <v/>
      </c>
      <c r="P2400" s="10"/>
    </row>
    <row r="2401" ht="18" customHeight="1" spans="1:16">
      <c r="A2401" s="32" t="str">
        <f t="shared" si="116"/>
        <v/>
      </c>
      <c r="B2401" s="100" t="str">
        <f>IF($E2401="","",INDEX(成本费用登记表!$B$4:$B$303,98))</f>
        <v/>
      </c>
      <c r="C2401" s="26" t="str">
        <f t="shared" si="113"/>
        <v/>
      </c>
      <c r="D2401" s="32" t="str">
        <f>IF($E2401="","",INDEX(成本费用登记表!$E$4:$E$303,98))</f>
        <v/>
      </c>
      <c r="E2401" s="26" t="str">
        <f>IF(INDEX(成本费用登记表!$Q$4:$Y$303,98,1)=0,"",INDEX(成本费用登记表!$Q$4:$Y$303,98,1))</f>
        <v/>
      </c>
      <c r="F2401" s="25" t="str">
        <f>IF($E2401="","",IFERROR(INDEX(科目表!$A$4:$A$81,MATCH($E2401,科目表!$B$4:$B$81,0)),""))</f>
        <v/>
      </c>
      <c r="G2401" s="26" t="str">
        <f>IF($E2401="","",IFERROR(INDEX(科目表!$E$4:$E$81,MATCH($E2401,科目表!$B$4:$B$81,0)),""))</f>
        <v/>
      </c>
      <c r="H2401" s="27" t="str">
        <f>IF($E2401="","",N(INDEX(成本费用登记表!$Q$4:$Y$303,98,2)))</f>
        <v/>
      </c>
      <c r="I2401" s="27" t="str">
        <f>IF($E2401="","",N(INDEX(成本费用登记表!$Q$4:$Y$303,98,3)))</f>
        <v/>
      </c>
      <c r="J2401" s="26" t="str">
        <f>IF($E2401="","",INDEX(成本费用登记表!$C$4:$C$303,98))</f>
        <v/>
      </c>
      <c r="K2401" s="26" t="str">
        <f>IF($E2401="","",INDEX(成本费用登记表!$D$4:$D$303,98))</f>
        <v/>
      </c>
      <c r="L2401" s="32" t="str">
        <f>IF($E2401="","",INDEX(成本费用登记表!$N$4:$N$303,98))</f>
        <v/>
      </c>
      <c r="M2401" s="32"/>
      <c r="N2401" s="26" t="str">
        <f t="shared" si="114"/>
        <v/>
      </c>
      <c r="O2401" s="26" t="str">
        <f t="shared" si="115"/>
        <v/>
      </c>
      <c r="P2401" s="10"/>
    </row>
    <row r="2402" ht="18" customHeight="1" spans="1:16">
      <c r="A2402" s="32" t="str">
        <f t="shared" si="116"/>
        <v/>
      </c>
      <c r="B2402" s="100" t="str">
        <f>IF($E2402="","",INDEX(成本费用登记表!$B$4:$B$303,98))</f>
        <v/>
      </c>
      <c r="C2402" s="26" t="str">
        <f t="shared" si="113"/>
        <v/>
      </c>
      <c r="D2402" s="32" t="str">
        <f>IF($E2402="","",INDEX(成本费用登记表!$E$4:$E$303,98))</f>
        <v/>
      </c>
      <c r="E2402" s="26" t="str">
        <f>IF(INDEX(成本费用登记表!$Q$4:$Y$303,98,4)=0,"",INDEX(成本费用登记表!$Q$4:$Y$303,98,4))</f>
        <v/>
      </c>
      <c r="F2402" s="25" t="str">
        <f>IF($E2402="","",IFERROR(INDEX(科目表!$A$4:$A$81,MATCH($E2402,科目表!$B$4:$B$81,0)),""))</f>
        <v/>
      </c>
      <c r="G2402" s="26" t="str">
        <f>IF($E2402="","",IFERROR(INDEX(科目表!$E$4:$E$81,MATCH($E2402,科目表!$B$4:$B$81,0)),""))</f>
        <v/>
      </c>
      <c r="H2402" s="27" t="str">
        <f>IF($E2402="","",N(INDEX(成本费用登记表!$Q$4:$Y$303,98,5)))</f>
        <v/>
      </c>
      <c r="I2402" s="27" t="str">
        <f>IF($E2402="","",N(INDEX(成本费用登记表!$Q$4:$Y$303,98,6)))</f>
        <v/>
      </c>
      <c r="J2402" s="26" t="str">
        <f>IF($E2402="","",INDEX(成本费用登记表!$C$4:$C$303,98))</f>
        <v/>
      </c>
      <c r="K2402" s="26" t="str">
        <f>IF($E2402="","",INDEX(成本费用登记表!$D$4:$D$303,98))</f>
        <v/>
      </c>
      <c r="L2402" s="32" t="str">
        <f>IF($E2402="","",INDEX(成本费用登记表!$N$4:$N$303,98))</f>
        <v/>
      </c>
      <c r="M2402" s="32"/>
      <c r="N2402" s="26" t="str">
        <f t="shared" si="114"/>
        <v/>
      </c>
      <c r="O2402" s="26" t="str">
        <f t="shared" si="115"/>
        <v/>
      </c>
      <c r="P2402" s="10"/>
    </row>
    <row r="2403" ht="18" customHeight="1" spans="1:16">
      <c r="A2403" s="32" t="str">
        <f t="shared" si="116"/>
        <v/>
      </c>
      <c r="B2403" s="100" t="str">
        <f>IF($E2403="","",INDEX(成本费用登记表!$B$4:$B$303,98))</f>
        <v/>
      </c>
      <c r="C2403" s="26" t="str">
        <f t="shared" si="113"/>
        <v/>
      </c>
      <c r="D2403" s="32" t="str">
        <f>IF($E2403="","",INDEX(成本费用登记表!$E$4:$E$303,98))</f>
        <v/>
      </c>
      <c r="E2403" s="26" t="str">
        <f>IF(INDEX(成本费用登记表!$Q$4:$Y$303,98,7)=0,"",INDEX(成本费用登记表!$Q$4:$Y$303,98,7))</f>
        <v/>
      </c>
      <c r="F2403" s="25" t="str">
        <f>IF($E2403="","",IFERROR(INDEX(科目表!$A$4:$A$81,MATCH($E2403,科目表!$B$4:$B$81,0)),""))</f>
        <v/>
      </c>
      <c r="G2403" s="26" t="str">
        <f>IF($E2403="","",IFERROR(INDEX(科目表!$E$4:$E$81,MATCH($E2403,科目表!$B$4:$B$81,0)),""))</f>
        <v/>
      </c>
      <c r="H2403" s="27" t="str">
        <f>IF($E2403="","",N(INDEX(成本费用登记表!$Q$4:$Y$303,98,8)))</f>
        <v/>
      </c>
      <c r="I2403" s="27" t="str">
        <f>IF($E2403="","",N(INDEX(成本费用登记表!$Q$4:$Y$303,98,9)))</f>
        <v/>
      </c>
      <c r="J2403" s="26" t="str">
        <f>IF($E2403="","",INDEX(成本费用登记表!$C$4:$C$303,98))</f>
        <v/>
      </c>
      <c r="K2403" s="26" t="str">
        <f>IF($E2403="","",INDEX(成本费用登记表!$D$4:$D$303,98))</f>
        <v/>
      </c>
      <c r="L2403" s="32" t="str">
        <f>IF($E2403="","",INDEX(成本费用登记表!$N$4:$N$303,98))</f>
        <v/>
      </c>
      <c r="M2403" s="32"/>
      <c r="N2403" s="26" t="str">
        <f t="shared" si="114"/>
        <v/>
      </c>
      <c r="O2403" s="26" t="str">
        <f t="shared" si="115"/>
        <v/>
      </c>
      <c r="P2403" s="10"/>
    </row>
    <row r="2404" ht="18" customHeight="1" spans="1:16">
      <c r="A2404" s="32" t="str">
        <f t="shared" si="116"/>
        <v/>
      </c>
      <c r="B2404" s="100" t="str">
        <f>IF($E2404="","",INDEX(成本费用登记表!$B$4:$B$303,99))</f>
        <v/>
      </c>
      <c r="C2404" s="26" t="str">
        <f t="shared" si="113"/>
        <v/>
      </c>
      <c r="D2404" s="32" t="str">
        <f>IF($E2404="","",INDEX(成本费用登记表!$E$4:$E$303,99))</f>
        <v/>
      </c>
      <c r="E2404" s="26" t="str">
        <f>IF(INDEX(成本费用登记表!$Q$4:$Y$303,99,1)=0,"",INDEX(成本费用登记表!$Q$4:$Y$303,99,1))</f>
        <v/>
      </c>
      <c r="F2404" s="25" t="str">
        <f>IF($E2404="","",IFERROR(INDEX(科目表!$A$4:$A$81,MATCH($E2404,科目表!$B$4:$B$81,0)),""))</f>
        <v/>
      </c>
      <c r="G2404" s="26" t="str">
        <f>IF($E2404="","",IFERROR(INDEX(科目表!$E$4:$E$81,MATCH($E2404,科目表!$B$4:$B$81,0)),""))</f>
        <v/>
      </c>
      <c r="H2404" s="27" t="str">
        <f>IF($E2404="","",N(INDEX(成本费用登记表!$Q$4:$Y$303,99,2)))</f>
        <v/>
      </c>
      <c r="I2404" s="27" t="str">
        <f>IF($E2404="","",N(INDEX(成本费用登记表!$Q$4:$Y$303,99,3)))</f>
        <v/>
      </c>
      <c r="J2404" s="26" t="str">
        <f>IF($E2404="","",INDEX(成本费用登记表!$C$4:$C$303,99))</f>
        <v/>
      </c>
      <c r="K2404" s="26" t="str">
        <f>IF($E2404="","",INDEX(成本费用登记表!$D$4:$D$303,99))</f>
        <v/>
      </c>
      <c r="L2404" s="32" t="str">
        <f>IF($E2404="","",INDEX(成本费用登记表!$N$4:$N$303,99))</f>
        <v/>
      </c>
      <c r="M2404" s="32"/>
      <c r="N2404" s="26" t="str">
        <f t="shared" si="114"/>
        <v/>
      </c>
      <c r="O2404" s="26" t="str">
        <f t="shared" si="115"/>
        <v/>
      </c>
      <c r="P2404" s="10"/>
    </row>
    <row r="2405" ht="18" customHeight="1" spans="1:16">
      <c r="A2405" s="32" t="str">
        <f t="shared" si="116"/>
        <v/>
      </c>
      <c r="B2405" s="100" t="str">
        <f>IF($E2405="","",INDEX(成本费用登记表!$B$4:$B$303,99))</f>
        <v/>
      </c>
      <c r="C2405" s="26" t="str">
        <f t="shared" si="113"/>
        <v/>
      </c>
      <c r="D2405" s="32" t="str">
        <f>IF($E2405="","",INDEX(成本费用登记表!$E$4:$E$303,99))</f>
        <v/>
      </c>
      <c r="E2405" s="26" t="str">
        <f>IF(INDEX(成本费用登记表!$Q$4:$Y$303,99,4)=0,"",INDEX(成本费用登记表!$Q$4:$Y$303,99,4))</f>
        <v/>
      </c>
      <c r="F2405" s="25" t="str">
        <f>IF($E2405="","",IFERROR(INDEX(科目表!$A$4:$A$81,MATCH($E2405,科目表!$B$4:$B$81,0)),""))</f>
        <v/>
      </c>
      <c r="G2405" s="26" t="str">
        <f>IF($E2405="","",IFERROR(INDEX(科目表!$E$4:$E$81,MATCH($E2405,科目表!$B$4:$B$81,0)),""))</f>
        <v/>
      </c>
      <c r="H2405" s="27" t="str">
        <f>IF($E2405="","",N(INDEX(成本费用登记表!$Q$4:$Y$303,99,5)))</f>
        <v/>
      </c>
      <c r="I2405" s="27" t="str">
        <f>IF($E2405="","",N(INDEX(成本费用登记表!$Q$4:$Y$303,99,6)))</f>
        <v/>
      </c>
      <c r="J2405" s="26" t="str">
        <f>IF($E2405="","",INDEX(成本费用登记表!$C$4:$C$303,99))</f>
        <v/>
      </c>
      <c r="K2405" s="26" t="str">
        <f>IF($E2405="","",INDEX(成本费用登记表!$D$4:$D$303,99))</f>
        <v/>
      </c>
      <c r="L2405" s="32" t="str">
        <f>IF($E2405="","",INDEX(成本费用登记表!$N$4:$N$303,99))</f>
        <v/>
      </c>
      <c r="M2405" s="32"/>
      <c r="N2405" s="26" t="str">
        <f t="shared" si="114"/>
        <v/>
      </c>
      <c r="O2405" s="26" t="str">
        <f t="shared" si="115"/>
        <v/>
      </c>
      <c r="P2405" s="10"/>
    </row>
    <row r="2406" ht="18" customHeight="1" spans="1:16">
      <c r="A2406" s="32" t="str">
        <f t="shared" si="116"/>
        <v/>
      </c>
      <c r="B2406" s="100" t="str">
        <f>IF($E2406="","",INDEX(成本费用登记表!$B$4:$B$303,99))</f>
        <v/>
      </c>
      <c r="C2406" s="26" t="str">
        <f t="shared" si="113"/>
        <v/>
      </c>
      <c r="D2406" s="32" t="str">
        <f>IF($E2406="","",INDEX(成本费用登记表!$E$4:$E$303,99))</f>
        <v/>
      </c>
      <c r="E2406" s="26" t="str">
        <f>IF(INDEX(成本费用登记表!$Q$4:$Y$303,99,7)=0,"",INDEX(成本费用登记表!$Q$4:$Y$303,99,7))</f>
        <v/>
      </c>
      <c r="F2406" s="25" t="str">
        <f>IF($E2406="","",IFERROR(INDEX(科目表!$A$4:$A$81,MATCH($E2406,科目表!$B$4:$B$81,0)),""))</f>
        <v/>
      </c>
      <c r="G2406" s="26" t="str">
        <f>IF($E2406="","",IFERROR(INDEX(科目表!$E$4:$E$81,MATCH($E2406,科目表!$B$4:$B$81,0)),""))</f>
        <v/>
      </c>
      <c r="H2406" s="27" t="str">
        <f>IF($E2406="","",N(INDEX(成本费用登记表!$Q$4:$Y$303,99,8)))</f>
        <v/>
      </c>
      <c r="I2406" s="27" t="str">
        <f>IF($E2406="","",N(INDEX(成本费用登记表!$Q$4:$Y$303,99,9)))</f>
        <v/>
      </c>
      <c r="J2406" s="26" t="str">
        <f>IF($E2406="","",INDEX(成本费用登记表!$C$4:$C$303,99))</f>
        <v/>
      </c>
      <c r="K2406" s="26" t="str">
        <f>IF($E2406="","",INDEX(成本费用登记表!$D$4:$D$303,99))</f>
        <v/>
      </c>
      <c r="L2406" s="32" t="str">
        <f>IF($E2406="","",INDEX(成本费用登记表!$N$4:$N$303,99))</f>
        <v/>
      </c>
      <c r="M2406" s="32"/>
      <c r="N2406" s="26" t="str">
        <f t="shared" si="114"/>
        <v/>
      </c>
      <c r="O2406" s="26" t="str">
        <f t="shared" si="115"/>
        <v/>
      </c>
      <c r="P2406" s="10"/>
    </row>
    <row r="2407" ht="18" customHeight="1" spans="1:16">
      <c r="A2407" s="32" t="str">
        <f t="shared" si="116"/>
        <v/>
      </c>
      <c r="B2407" s="100" t="str">
        <f>IF($E2407="","",INDEX(成本费用登记表!$B$4:$B$303,100))</f>
        <v/>
      </c>
      <c r="C2407" s="26" t="str">
        <f t="shared" si="113"/>
        <v/>
      </c>
      <c r="D2407" s="32" t="str">
        <f>IF($E2407="","",INDEX(成本费用登记表!$E$4:$E$303,100))</f>
        <v/>
      </c>
      <c r="E2407" s="26" t="str">
        <f>IF(INDEX(成本费用登记表!$Q$4:$Y$303,100,1)=0,"",INDEX(成本费用登记表!$Q$4:$Y$303,100,1))</f>
        <v/>
      </c>
      <c r="F2407" s="25" t="str">
        <f>IF($E2407="","",IFERROR(INDEX(科目表!$A$4:$A$81,MATCH($E2407,科目表!$B$4:$B$81,0)),""))</f>
        <v/>
      </c>
      <c r="G2407" s="26" t="str">
        <f>IF($E2407="","",IFERROR(INDEX(科目表!$E$4:$E$81,MATCH($E2407,科目表!$B$4:$B$81,0)),""))</f>
        <v/>
      </c>
      <c r="H2407" s="27" t="str">
        <f>IF($E2407="","",N(INDEX(成本费用登记表!$Q$4:$Y$303,100,2)))</f>
        <v/>
      </c>
      <c r="I2407" s="27" t="str">
        <f>IF($E2407="","",N(INDEX(成本费用登记表!$Q$4:$Y$303,100,3)))</f>
        <v/>
      </c>
      <c r="J2407" s="26" t="str">
        <f>IF($E2407="","",INDEX(成本费用登记表!$C$4:$C$303,100))</f>
        <v/>
      </c>
      <c r="K2407" s="26" t="str">
        <f>IF($E2407="","",INDEX(成本费用登记表!$D$4:$D$303,100))</f>
        <v/>
      </c>
      <c r="L2407" s="32" t="str">
        <f>IF($E2407="","",INDEX(成本费用登记表!$N$4:$N$303,100))</f>
        <v/>
      </c>
      <c r="M2407" s="32"/>
      <c r="N2407" s="26" t="str">
        <f t="shared" si="114"/>
        <v/>
      </c>
      <c r="O2407" s="26" t="str">
        <f t="shared" si="115"/>
        <v/>
      </c>
      <c r="P2407" s="10"/>
    </row>
    <row r="2408" ht="18" customHeight="1" spans="1:16">
      <c r="A2408" s="32" t="str">
        <f t="shared" si="116"/>
        <v/>
      </c>
      <c r="B2408" s="100" t="str">
        <f>IF($E2408="","",INDEX(成本费用登记表!$B$4:$B$303,100))</f>
        <v/>
      </c>
      <c r="C2408" s="26" t="str">
        <f t="shared" si="113"/>
        <v/>
      </c>
      <c r="D2408" s="32" t="str">
        <f>IF($E2408="","",INDEX(成本费用登记表!$E$4:$E$303,100))</f>
        <v/>
      </c>
      <c r="E2408" s="26" t="str">
        <f>IF(INDEX(成本费用登记表!$Q$4:$Y$303,100,4)=0,"",INDEX(成本费用登记表!$Q$4:$Y$303,100,4))</f>
        <v/>
      </c>
      <c r="F2408" s="25" t="str">
        <f>IF($E2408="","",IFERROR(INDEX(科目表!$A$4:$A$81,MATCH($E2408,科目表!$B$4:$B$81,0)),""))</f>
        <v/>
      </c>
      <c r="G2408" s="26" t="str">
        <f>IF($E2408="","",IFERROR(INDEX(科目表!$E$4:$E$81,MATCH($E2408,科目表!$B$4:$B$81,0)),""))</f>
        <v/>
      </c>
      <c r="H2408" s="27" t="str">
        <f>IF($E2408="","",N(INDEX(成本费用登记表!$Q$4:$Y$303,100,5)))</f>
        <v/>
      </c>
      <c r="I2408" s="27" t="str">
        <f>IF($E2408="","",N(INDEX(成本费用登记表!$Q$4:$Y$303,100,6)))</f>
        <v/>
      </c>
      <c r="J2408" s="26" t="str">
        <f>IF($E2408="","",INDEX(成本费用登记表!$C$4:$C$303,100))</f>
        <v/>
      </c>
      <c r="K2408" s="26" t="str">
        <f>IF($E2408="","",INDEX(成本费用登记表!$D$4:$D$303,100))</f>
        <v/>
      </c>
      <c r="L2408" s="32" t="str">
        <f>IF($E2408="","",INDEX(成本费用登记表!$N$4:$N$303,100))</f>
        <v/>
      </c>
      <c r="M2408" s="32"/>
      <c r="N2408" s="26" t="str">
        <f t="shared" si="114"/>
        <v/>
      </c>
      <c r="O2408" s="26" t="str">
        <f t="shared" si="115"/>
        <v/>
      </c>
      <c r="P2408" s="10"/>
    </row>
    <row r="2409" ht="18" customHeight="1" spans="1:16">
      <c r="A2409" s="32" t="str">
        <f t="shared" si="116"/>
        <v/>
      </c>
      <c r="B2409" s="100" t="str">
        <f>IF($E2409="","",INDEX(成本费用登记表!$B$4:$B$303,100))</f>
        <v/>
      </c>
      <c r="C2409" s="26" t="str">
        <f t="shared" si="113"/>
        <v/>
      </c>
      <c r="D2409" s="32" t="str">
        <f>IF($E2409="","",INDEX(成本费用登记表!$E$4:$E$303,100))</f>
        <v/>
      </c>
      <c r="E2409" s="26" t="str">
        <f>IF(INDEX(成本费用登记表!$Q$4:$Y$303,100,7)=0,"",INDEX(成本费用登记表!$Q$4:$Y$303,100,7))</f>
        <v/>
      </c>
      <c r="F2409" s="25" t="str">
        <f>IF($E2409="","",IFERROR(INDEX(科目表!$A$4:$A$81,MATCH($E2409,科目表!$B$4:$B$81,0)),""))</f>
        <v/>
      </c>
      <c r="G2409" s="26" t="str">
        <f>IF($E2409="","",IFERROR(INDEX(科目表!$E$4:$E$81,MATCH($E2409,科目表!$B$4:$B$81,0)),""))</f>
        <v/>
      </c>
      <c r="H2409" s="27" t="str">
        <f>IF($E2409="","",N(INDEX(成本费用登记表!$Q$4:$Y$303,100,8)))</f>
        <v/>
      </c>
      <c r="I2409" s="27" t="str">
        <f>IF($E2409="","",N(INDEX(成本费用登记表!$Q$4:$Y$303,100,9)))</f>
        <v/>
      </c>
      <c r="J2409" s="26" t="str">
        <f>IF($E2409="","",INDEX(成本费用登记表!$C$4:$C$303,100))</f>
        <v/>
      </c>
      <c r="K2409" s="26" t="str">
        <f>IF($E2409="","",INDEX(成本费用登记表!$D$4:$D$303,100))</f>
        <v/>
      </c>
      <c r="L2409" s="32" t="str">
        <f>IF($E2409="","",INDEX(成本费用登记表!$N$4:$N$303,100))</f>
        <v/>
      </c>
      <c r="M2409" s="32"/>
      <c r="N2409" s="26" t="str">
        <f t="shared" si="114"/>
        <v/>
      </c>
      <c r="O2409" s="26" t="str">
        <f t="shared" si="115"/>
        <v/>
      </c>
      <c r="P2409" s="10"/>
    </row>
    <row r="2410" ht="18" customHeight="1" spans="1:16">
      <c r="A2410" s="32" t="str">
        <f t="shared" si="116"/>
        <v/>
      </c>
      <c r="B2410" s="100" t="str">
        <f>IF($E2410="","",INDEX(成本费用登记表!$B$4:$B$303,101))</f>
        <v/>
      </c>
      <c r="C2410" s="26" t="str">
        <f t="shared" si="113"/>
        <v/>
      </c>
      <c r="D2410" s="32" t="str">
        <f>IF($E2410="","",INDEX(成本费用登记表!$E$4:$E$303,101))</f>
        <v/>
      </c>
      <c r="E2410" s="26" t="str">
        <f>IF(INDEX(成本费用登记表!$Q$4:$Y$303,101,1)=0,"",INDEX(成本费用登记表!$Q$4:$Y$303,101,1))</f>
        <v/>
      </c>
      <c r="F2410" s="25" t="str">
        <f>IF($E2410="","",IFERROR(INDEX(科目表!$A$4:$A$81,MATCH($E2410,科目表!$B$4:$B$81,0)),""))</f>
        <v/>
      </c>
      <c r="G2410" s="26" t="str">
        <f>IF($E2410="","",IFERROR(INDEX(科目表!$E$4:$E$81,MATCH($E2410,科目表!$B$4:$B$81,0)),""))</f>
        <v/>
      </c>
      <c r="H2410" s="27" t="str">
        <f>IF($E2410="","",N(INDEX(成本费用登记表!$Q$4:$Y$303,101,2)))</f>
        <v/>
      </c>
      <c r="I2410" s="27" t="str">
        <f>IF($E2410="","",N(INDEX(成本费用登记表!$Q$4:$Y$303,101,3)))</f>
        <v/>
      </c>
      <c r="J2410" s="26" t="str">
        <f>IF($E2410="","",INDEX(成本费用登记表!$C$4:$C$303,101))</f>
        <v/>
      </c>
      <c r="K2410" s="26" t="str">
        <f>IF($E2410="","",INDEX(成本费用登记表!$D$4:$D$303,101))</f>
        <v/>
      </c>
      <c r="L2410" s="32" t="str">
        <f>IF($E2410="","",INDEX(成本费用登记表!$N$4:$N$303,101))</f>
        <v/>
      </c>
      <c r="M2410" s="32"/>
      <c r="N2410" s="26" t="str">
        <f t="shared" si="114"/>
        <v/>
      </c>
      <c r="O2410" s="26" t="str">
        <f t="shared" si="115"/>
        <v/>
      </c>
      <c r="P2410" s="10"/>
    </row>
    <row r="2411" ht="18" customHeight="1" spans="1:16">
      <c r="A2411" s="32" t="str">
        <f t="shared" si="116"/>
        <v/>
      </c>
      <c r="B2411" s="100" t="str">
        <f>IF($E2411="","",INDEX(成本费用登记表!$B$4:$B$303,101))</f>
        <v/>
      </c>
      <c r="C2411" s="26" t="str">
        <f t="shared" si="113"/>
        <v/>
      </c>
      <c r="D2411" s="32" t="str">
        <f>IF($E2411="","",INDEX(成本费用登记表!$E$4:$E$303,101))</f>
        <v/>
      </c>
      <c r="E2411" s="26" t="str">
        <f>IF(INDEX(成本费用登记表!$Q$4:$Y$303,101,4)=0,"",INDEX(成本费用登记表!$Q$4:$Y$303,101,4))</f>
        <v/>
      </c>
      <c r="F2411" s="25" t="str">
        <f>IF($E2411="","",IFERROR(INDEX(科目表!$A$4:$A$81,MATCH($E2411,科目表!$B$4:$B$81,0)),""))</f>
        <v/>
      </c>
      <c r="G2411" s="26" t="str">
        <f>IF($E2411="","",IFERROR(INDEX(科目表!$E$4:$E$81,MATCH($E2411,科目表!$B$4:$B$81,0)),""))</f>
        <v/>
      </c>
      <c r="H2411" s="27" t="str">
        <f>IF($E2411="","",N(INDEX(成本费用登记表!$Q$4:$Y$303,101,5)))</f>
        <v/>
      </c>
      <c r="I2411" s="27" t="str">
        <f>IF($E2411="","",N(INDEX(成本费用登记表!$Q$4:$Y$303,101,6)))</f>
        <v/>
      </c>
      <c r="J2411" s="26" t="str">
        <f>IF($E2411="","",INDEX(成本费用登记表!$C$4:$C$303,101))</f>
        <v/>
      </c>
      <c r="K2411" s="26" t="str">
        <f>IF($E2411="","",INDEX(成本费用登记表!$D$4:$D$303,101))</f>
        <v/>
      </c>
      <c r="L2411" s="32" t="str">
        <f>IF($E2411="","",INDEX(成本费用登记表!$N$4:$N$303,101))</f>
        <v/>
      </c>
      <c r="M2411" s="32"/>
      <c r="N2411" s="26" t="str">
        <f t="shared" si="114"/>
        <v/>
      </c>
      <c r="O2411" s="26" t="str">
        <f t="shared" si="115"/>
        <v/>
      </c>
      <c r="P2411" s="10"/>
    </row>
    <row r="2412" ht="18" customHeight="1" spans="1:16">
      <c r="A2412" s="32" t="str">
        <f t="shared" si="116"/>
        <v/>
      </c>
      <c r="B2412" s="100" t="str">
        <f>IF($E2412="","",INDEX(成本费用登记表!$B$4:$B$303,101))</f>
        <v/>
      </c>
      <c r="C2412" s="26" t="str">
        <f t="shared" si="113"/>
        <v/>
      </c>
      <c r="D2412" s="32" t="str">
        <f>IF($E2412="","",INDEX(成本费用登记表!$E$4:$E$303,101))</f>
        <v/>
      </c>
      <c r="E2412" s="26" t="str">
        <f>IF(INDEX(成本费用登记表!$Q$4:$Y$303,101,7)=0,"",INDEX(成本费用登记表!$Q$4:$Y$303,101,7))</f>
        <v/>
      </c>
      <c r="F2412" s="25" t="str">
        <f>IF($E2412="","",IFERROR(INDEX(科目表!$A$4:$A$81,MATCH($E2412,科目表!$B$4:$B$81,0)),""))</f>
        <v/>
      </c>
      <c r="G2412" s="26" t="str">
        <f>IF($E2412="","",IFERROR(INDEX(科目表!$E$4:$E$81,MATCH($E2412,科目表!$B$4:$B$81,0)),""))</f>
        <v/>
      </c>
      <c r="H2412" s="27" t="str">
        <f>IF($E2412="","",N(INDEX(成本费用登记表!$Q$4:$Y$303,101,8)))</f>
        <v/>
      </c>
      <c r="I2412" s="27" t="str">
        <f>IF($E2412="","",N(INDEX(成本费用登记表!$Q$4:$Y$303,101,9)))</f>
        <v/>
      </c>
      <c r="J2412" s="26" t="str">
        <f>IF($E2412="","",INDEX(成本费用登记表!$C$4:$C$303,101))</f>
        <v/>
      </c>
      <c r="K2412" s="26" t="str">
        <f>IF($E2412="","",INDEX(成本费用登记表!$D$4:$D$303,101))</f>
        <v/>
      </c>
      <c r="L2412" s="32" t="str">
        <f>IF($E2412="","",INDEX(成本费用登记表!$N$4:$N$303,101))</f>
        <v/>
      </c>
      <c r="M2412" s="32"/>
      <c r="N2412" s="26" t="str">
        <f t="shared" si="114"/>
        <v/>
      </c>
      <c r="O2412" s="26" t="str">
        <f t="shared" si="115"/>
        <v/>
      </c>
      <c r="P2412" s="10"/>
    </row>
    <row r="2413" ht="18" customHeight="1" spans="1:16">
      <c r="A2413" s="32" t="str">
        <f t="shared" si="116"/>
        <v/>
      </c>
      <c r="B2413" s="100" t="str">
        <f>IF($E2413="","",INDEX(成本费用登记表!$B$4:$B$303,102))</f>
        <v/>
      </c>
      <c r="C2413" s="26" t="str">
        <f t="shared" si="113"/>
        <v/>
      </c>
      <c r="D2413" s="32" t="str">
        <f>IF($E2413="","",INDEX(成本费用登记表!$E$4:$E$303,102))</f>
        <v/>
      </c>
      <c r="E2413" s="26" t="str">
        <f>IF(INDEX(成本费用登记表!$Q$4:$Y$303,102,1)=0,"",INDEX(成本费用登记表!$Q$4:$Y$303,102,1))</f>
        <v/>
      </c>
      <c r="F2413" s="25" t="str">
        <f>IF($E2413="","",IFERROR(INDEX(科目表!$A$4:$A$81,MATCH($E2413,科目表!$B$4:$B$81,0)),""))</f>
        <v/>
      </c>
      <c r="G2413" s="26" t="str">
        <f>IF($E2413="","",IFERROR(INDEX(科目表!$E$4:$E$81,MATCH($E2413,科目表!$B$4:$B$81,0)),""))</f>
        <v/>
      </c>
      <c r="H2413" s="27" t="str">
        <f>IF($E2413="","",N(INDEX(成本费用登记表!$Q$4:$Y$303,102,2)))</f>
        <v/>
      </c>
      <c r="I2413" s="27" t="str">
        <f>IF($E2413="","",N(INDEX(成本费用登记表!$Q$4:$Y$303,102,3)))</f>
        <v/>
      </c>
      <c r="J2413" s="26" t="str">
        <f>IF($E2413="","",INDEX(成本费用登记表!$C$4:$C$303,102))</f>
        <v/>
      </c>
      <c r="K2413" s="26" t="str">
        <f>IF($E2413="","",INDEX(成本费用登记表!$D$4:$D$303,102))</f>
        <v/>
      </c>
      <c r="L2413" s="32" t="str">
        <f>IF($E2413="","",INDEX(成本费用登记表!$N$4:$N$303,102))</f>
        <v/>
      </c>
      <c r="M2413" s="32"/>
      <c r="N2413" s="26" t="str">
        <f t="shared" si="114"/>
        <v/>
      </c>
      <c r="O2413" s="26" t="str">
        <f t="shared" si="115"/>
        <v/>
      </c>
      <c r="P2413" s="10"/>
    </row>
    <row r="2414" ht="18" customHeight="1" spans="1:16">
      <c r="A2414" s="32" t="str">
        <f t="shared" si="116"/>
        <v/>
      </c>
      <c r="B2414" s="100" t="str">
        <f>IF($E2414="","",INDEX(成本费用登记表!$B$4:$B$303,102))</f>
        <v/>
      </c>
      <c r="C2414" s="26" t="str">
        <f t="shared" si="113"/>
        <v/>
      </c>
      <c r="D2414" s="32" t="str">
        <f>IF($E2414="","",INDEX(成本费用登记表!$E$4:$E$303,102))</f>
        <v/>
      </c>
      <c r="E2414" s="26" t="str">
        <f>IF(INDEX(成本费用登记表!$Q$4:$Y$303,102,4)=0,"",INDEX(成本费用登记表!$Q$4:$Y$303,102,4))</f>
        <v/>
      </c>
      <c r="F2414" s="25" t="str">
        <f>IF($E2414="","",IFERROR(INDEX(科目表!$A$4:$A$81,MATCH($E2414,科目表!$B$4:$B$81,0)),""))</f>
        <v/>
      </c>
      <c r="G2414" s="26" t="str">
        <f>IF($E2414="","",IFERROR(INDEX(科目表!$E$4:$E$81,MATCH($E2414,科目表!$B$4:$B$81,0)),""))</f>
        <v/>
      </c>
      <c r="H2414" s="27" t="str">
        <f>IF($E2414="","",N(INDEX(成本费用登记表!$Q$4:$Y$303,102,5)))</f>
        <v/>
      </c>
      <c r="I2414" s="27" t="str">
        <f>IF($E2414="","",N(INDEX(成本费用登记表!$Q$4:$Y$303,102,6)))</f>
        <v/>
      </c>
      <c r="J2414" s="26" t="str">
        <f>IF($E2414="","",INDEX(成本费用登记表!$C$4:$C$303,102))</f>
        <v/>
      </c>
      <c r="K2414" s="26" t="str">
        <f>IF($E2414="","",INDEX(成本费用登记表!$D$4:$D$303,102))</f>
        <v/>
      </c>
      <c r="L2414" s="32" t="str">
        <f>IF($E2414="","",INDEX(成本费用登记表!$N$4:$N$303,102))</f>
        <v/>
      </c>
      <c r="M2414" s="32"/>
      <c r="N2414" s="26" t="str">
        <f t="shared" si="114"/>
        <v/>
      </c>
      <c r="O2414" s="26" t="str">
        <f t="shared" si="115"/>
        <v/>
      </c>
      <c r="P2414" s="10"/>
    </row>
    <row r="2415" ht="18" customHeight="1" spans="1:16">
      <c r="A2415" s="32" t="str">
        <f t="shared" si="116"/>
        <v/>
      </c>
      <c r="B2415" s="100" t="str">
        <f>IF($E2415="","",INDEX(成本费用登记表!$B$4:$B$303,102))</f>
        <v/>
      </c>
      <c r="C2415" s="26" t="str">
        <f t="shared" si="113"/>
        <v/>
      </c>
      <c r="D2415" s="32" t="str">
        <f>IF($E2415="","",INDEX(成本费用登记表!$E$4:$E$303,102))</f>
        <v/>
      </c>
      <c r="E2415" s="26" t="str">
        <f>IF(INDEX(成本费用登记表!$Q$4:$Y$303,102,7)=0,"",INDEX(成本费用登记表!$Q$4:$Y$303,102,7))</f>
        <v/>
      </c>
      <c r="F2415" s="25" t="str">
        <f>IF($E2415="","",IFERROR(INDEX(科目表!$A$4:$A$81,MATCH($E2415,科目表!$B$4:$B$81,0)),""))</f>
        <v/>
      </c>
      <c r="G2415" s="26" t="str">
        <f>IF($E2415="","",IFERROR(INDEX(科目表!$E$4:$E$81,MATCH($E2415,科目表!$B$4:$B$81,0)),""))</f>
        <v/>
      </c>
      <c r="H2415" s="27" t="str">
        <f>IF($E2415="","",N(INDEX(成本费用登记表!$Q$4:$Y$303,102,8)))</f>
        <v/>
      </c>
      <c r="I2415" s="27" t="str">
        <f>IF($E2415="","",N(INDEX(成本费用登记表!$Q$4:$Y$303,102,9)))</f>
        <v/>
      </c>
      <c r="J2415" s="26" t="str">
        <f>IF($E2415="","",INDEX(成本费用登记表!$C$4:$C$303,102))</f>
        <v/>
      </c>
      <c r="K2415" s="26" t="str">
        <f>IF($E2415="","",INDEX(成本费用登记表!$D$4:$D$303,102))</f>
        <v/>
      </c>
      <c r="L2415" s="32" t="str">
        <f>IF($E2415="","",INDEX(成本费用登记表!$N$4:$N$303,102))</f>
        <v/>
      </c>
      <c r="M2415" s="32"/>
      <c r="N2415" s="26" t="str">
        <f t="shared" si="114"/>
        <v/>
      </c>
      <c r="O2415" s="26" t="str">
        <f t="shared" si="115"/>
        <v/>
      </c>
      <c r="P2415" s="10"/>
    </row>
    <row r="2416" ht="18" customHeight="1" spans="1:16">
      <c r="A2416" s="32" t="str">
        <f t="shared" si="116"/>
        <v/>
      </c>
      <c r="B2416" s="100" t="str">
        <f>IF($E2416="","",INDEX(成本费用登记表!$B$4:$B$303,103))</f>
        <v/>
      </c>
      <c r="C2416" s="26" t="str">
        <f t="shared" si="113"/>
        <v/>
      </c>
      <c r="D2416" s="32" t="str">
        <f>IF($E2416="","",INDEX(成本费用登记表!$E$4:$E$303,103))</f>
        <v/>
      </c>
      <c r="E2416" s="26" t="str">
        <f>IF(INDEX(成本费用登记表!$Q$4:$Y$303,103,1)=0,"",INDEX(成本费用登记表!$Q$4:$Y$303,103,1))</f>
        <v/>
      </c>
      <c r="F2416" s="25" t="str">
        <f>IF($E2416="","",IFERROR(INDEX(科目表!$A$4:$A$81,MATCH($E2416,科目表!$B$4:$B$81,0)),""))</f>
        <v/>
      </c>
      <c r="G2416" s="26" t="str">
        <f>IF($E2416="","",IFERROR(INDEX(科目表!$E$4:$E$81,MATCH($E2416,科目表!$B$4:$B$81,0)),""))</f>
        <v/>
      </c>
      <c r="H2416" s="27" t="str">
        <f>IF($E2416="","",N(INDEX(成本费用登记表!$Q$4:$Y$303,103,2)))</f>
        <v/>
      </c>
      <c r="I2416" s="27" t="str">
        <f>IF($E2416="","",N(INDEX(成本费用登记表!$Q$4:$Y$303,103,3)))</f>
        <v/>
      </c>
      <c r="J2416" s="26" t="str">
        <f>IF($E2416="","",INDEX(成本费用登记表!$C$4:$C$303,103))</f>
        <v/>
      </c>
      <c r="K2416" s="26" t="str">
        <f>IF($E2416="","",INDEX(成本费用登记表!$D$4:$D$303,103))</f>
        <v/>
      </c>
      <c r="L2416" s="32" t="str">
        <f>IF($E2416="","",INDEX(成本费用登记表!$N$4:$N$303,103))</f>
        <v/>
      </c>
      <c r="M2416" s="32"/>
      <c r="N2416" s="26" t="str">
        <f t="shared" si="114"/>
        <v/>
      </c>
      <c r="O2416" s="26" t="str">
        <f t="shared" si="115"/>
        <v/>
      </c>
      <c r="P2416" s="10"/>
    </row>
    <row r="2417" ht="18" customHeight="1" spans="1:16">
      <c r="A2417" s="32" t="str">
        <f t="shared" si="116"/>
        <v/>
      </c>
      <c r="B2417" s="100" t="str">
        <f>IF($E2417="","",INDEX(成本费用登记表!$B$4:$B$303,103))</f>
        <v/>
      </c>
      <c r="C2417" s="26" t="str">
        <f t="shared" si="113"/>
        <v/>
      </c>
      <c r="D2417" s="32" t="str">
        <f>IF($E2417="","",INDEX(成本费用登记表!$E$4:$E$303,103))</f>
        <v/>
      </c>
      <c r="E2417" s="26" t="str">
        <f>IF(INDEX(成本费用登记表!$Q$4:$Y$303,103,4)=0,"",INDEX(成本费用登记表!$Q$4:$Y$303,103,4))</f>
        <v/>
      </c>
      <c r="F2417" s="25" t="str">
        <f>IF($E2417="","",IFERROR(INDEX(科目表!$A$4:$A$81,MATCH($E2417,科目表!$B$4:$B$81,0)),""))</f>
        <v/>
      </c>
      <c r="G2417" s="26" t="str">
        <f>IF($E2417="","",IFERROR(INDEX(科目表!$E$4:$E$81,MATCH($E2417,科目表!$B$4:$B$81,0)),""))</f>
        <v/>
      </c>
      <c r="H2417" s="27" t="str">
        <f>IF($E2417="","",N(INDEX(成本费用登记表!$Q$4:$Y$303,103,5)))</f>
        <v/>
      </c>
      <c r="I2417" s="27" t="str">
        <f>IF($E2417="","",N(INDEX(成本费用登记表!$Q$4:$Y$303,103,6)))</f>
        <v/>
      </c>
      <c r="J2417" s="26" t="str">
        <f>IF($E2417="","",INDEX(成本费用登记表!$C$4:$C$303,103))</f>
        <v/>
      </c>
      <c r="K2417" s="26" t="str">
        <f>IF($E2417="","",INDEX(成本费用登记表!$D$4:$D$303,103))</f>
        <v/>
      </c>
      <c r="L2417" s="32" t="str">
        <f>IF($E2417="","",INDEX(成本费用登记表!$N$4:$N$303,103))</f>
        <v/>
      </c>
      <c r="M2417" s="32"/>
      <c r="N2417" s="26" t="str">
        <f t="shared" si="114"/>
        <v/>
      </c>
      <c r="O2417" s="26" t="str">
        <f t="shared" si="115"/>
        <v/>
      </c>
      <c r="P2417" s="10"/>
    </row>
    <row r="2418" ht="18" customHeight="1" spans="1:16">
      <c r="A2418" s="32" t="str">
        <f t="shared" si="116"/>
        <v/>
      </c>
      <c r="B2418" s="100" t="str">
        <f>IF($E2418="","",INDEX(成本费用登记表!$B$4:$B$303,103))</f>
        <v/>
      </c>
      <c r="C2418" s="26" t="str">
        <f t="shared" si="113"/>
        <v/>
      </c>
      <c r="D2418" s="32" t="str">
        <f>IF($E2418="","",INDEX(成本费用登记表!$E$4:$E$303,103))</f>
        <v/>
      </c>
      <c r="E2418" s="26" t="str">
        <f>IF(INDEX(成本费用登记表!$Q$4:$Y$303,103,7)=0,"",INDEX(成本费用登记表!$Q$4:$Y$303,103,7))</f>
        <v/>
      </c>
      <c r="F2418" s="25" t="str">
        <f>IF($E2418="","",IFERROR(INDEX(科目表!$A$4:$A$81,MATCH($E2418,科目表!$B$4:$B$81,0)),""))</f>
        <v/>
      </c>
      <c r="G2418" s="26" t="str">
        <f>IF($E2418="","",IFERROR(INDEX(科目表!$E$4:$E$81,MATCH($E2418,科目表!$B$4:$B$81,0)),""))</f>
        <v/>
      </c>
      <c r="H2418" s="27" t="str">
        <f>IF($E2418="","",N(INDEX(成本费用登记表!$Q$4:$Y$303,103,8)))</f>
        <v/>
      </c>
      <c r="I2418" s="27" t="str">
        <f>IF($E2418="","",N(INDEX(成本费用登记表!$Q$4:$Y$303,103,9)))</f>
        <v/>
      </c>
      <c r="J2418" s="26" t="str">
        <f>IF($E2418="","",INDEX(成本费用登记表!$C$4:$C$303,103))</f>
        <v/>
      </c>
      <c r="K2418" s="26" t="str">
        <f>IF($E2418="","",INDEX(成本费用登记表!$D$4:$D$303,103))</f>
        <v/>
      </c>
      <c r="L2418" s="32" t="str">
        <f>IF($E2418="","",INDEX(成本费用登记表!$N$4:$N$303,103))</f>
        <v/>
      </c>
      <c r="M2418" s="32"/>
      <c r="N2418" s="26" t="str">
        <f t="shared" si="114"/>
        <v/>
      </c>
      <c r="O2418" s="26" t="str">
        <f t="shared" si="115"/>
        <v/>
      </c>
      <c r="P2418" s="10"/>
    </row>
    <row r="2419" ht="18" customHeight="1" spans="1:16">
      <c r="A2419" s="32" t="str">
        <f t="shared" si="116"/>
        <v/>
      </c>
      <c r="B2419" s="100" t="str">
        <f>IF($E2419="","",INDEX(成本费用登记表!$B$4:$B$303,104))</f>
        <v/>
      </c>
      <c r="C2419" s="26" t="str">
        <f t="shared" si="113"/>
        <v/>
      </c>
      <c r="D2419" s="32" t="str">
        <f>IF($E2419="","",INDEX(成本费用登记表!$E$4:$E$303,104))</f>
        <v/>
      </c>
      <c r="E2419" s="26" t="str">
        <f>IF(INDEX(成本费用登记表!$Q$4:$Y$303,104,1)=0,"",INDEX(成本费用登记表!$Q$4:$Y$303,104,1))</f>
        <v/>
      </c>
      <c r="F2419" s="25" t="str">
        <f>IF($E2419="","",IFERROR(INDEX(科目表!$A$4:$A$81,MATCH($E2419,科目表!$B$4:$B$81,0)),""))</f>
        <v/>
      </c>
      <c r="G2419" s="26" t="str">
        <f>IF($E2419="","",IFERROR(INDEX(科目表!$E$4:$E$81,MATCH($E2419,科目表!$B$4:$B$81,0)),""))</f>
        <v/>
      </c>
      <c r="H2419" s="27" t="str">
        <f>IF($E2419="","",N(INDEX(成本费用登记表!$Q$4:$Y$303,104,2)))</f>
        <v/>
      </c>
      <c r="I2419" s="27" t="str">
        <f>IF($E2419="","",N(INDEX(成本费用登记表!$Q$4:$Y$303,104,3)))</f>
        <v/>
      </c>
      <c r="J2419" s="26" t="str">
        <f>IF($E2419="","",INDEX(成本费用登记表!$C$4:$C$303,104))</f>
        <v/>
      </c>
      <c r="K2419" s="26" t="str">
        <f>IF($E2419="","",INDEX(成本费用登记表!$D$4:$D$303,104))</f>
        <v/>
      </c>
      <c r="L2419" s="32" t="str">
        <f>IF($E2419="","",INDEX(成本费用登记表!$N$4:$N$303,104))</f>
        <v/>
      </c>
      <c r="M2419" s="32"/>
      <c r="N2419" s="26" t="str">
        <f t="shared" si="114"/>
        <v/>
      </c>
      <c r="O2419" s="26" t="str">
        <f t="shared" si="115"/>
        <v/>
      </c>
      <c r="P2419" s="10"/>
    </row>
    <row r="2420" ht="18" customHeight="1" spans="1:16">
      <c r="A2420" s="32" t="str">
        <f t="shared" si="116"/>
        <v/>
      </c>
      <c r="B2420" s="100" t="str">
        <f>IF($E2420="","",INDEX(成本费用登记表!$B$4:$B$303,104))</f>
        <v/>
      </c>
      <c r="C2420" s="26" t="str">
        <f t="shared" si="113"/>
        <v/>
      </c>
      <c r="D2420" s="32" t="str">
        <f>IF($E2420="","",INDEX(成本费用登记表!$E$4:$E$303,104))</f>
        <v/>
      </c>
      <c r="E2420" s="26" t="str">
        <f>IF(INDEX(成本费用登记表!$Q$4:$Y$303,104,4)=0,"",INDEX(成本费用登记表!$Q$4:$Y$303,104,4))</f>
        <v/>
      </c>
      <c r="F2420" s="25" t="str">
        <f>IF($E2420="","",IFERROR(INDEX(科目表!$A$4:$A$81,MATCH($E2420,科目表!$B$4:$B$81,0)),""))</f>
        <v/>
      </c>
      <c r="G2420" s="26" t="str">
        <f>IF($E2420="","",IFERROR(INDEX(科目表!$E$4:$E$81,MATCH($E2420,科目表!$B$4:$B$81,0)),""))</f>
        <v/>
      </c>
      <c r="H2420" s="27" t="str">
        <f>IF($E2420="","",N(INDEX(成本费用登记表!$Q$4:$Y$303,104,5)))</f>
        <v/>
      </c>
      <c r="I2420" s="27" t="str">
        <f>IF($E2420="","",N(INDEX(成本费用登记表!$Q$4:$Y$303,104,6)))</f>
        <v/>
      </c>
      <c r="J2420" s="26" t="str">
        <f>IF($E2420="","",INDEX(成本费用登记表!$C$4:$C$303,104))</f>
        <v/>
      </c>
      <c r="K2420" s="26" t="str">
        <f>IF($E2420="","",INDEX(成本费用登记表!$D$4:$D$303,104))</f>
        <v/>
      </c>
      <c r="L2420" s="32" t="str">
        <f>IF($E2420="","",INDEX(成本费用登记表!$N$4:$N$303,104))</f>
        <v/>
      </c>
      <c r="M2420" s="32"/>
      <c r="N2420" s="26" t="str">
        <f t="shared" si="114"/>
        <v/>
      </c>
      <c r="O2420" s="26" t="str">
        <f t="shared" si="115"/>
        <v/>
      </c>
      <c r="P2420" s="10"/>
    </row>
    <row r="2421" ht="18" customHeight="1" spans="1:16">
      <c r="A2421" s="32" t="str">
        <f t="shared" si="116"/>
        <v/>
      </c>
      <c r="B2421" s="100" t="str">
        <f>IF($E2421="","",INDEX(成本费用登记表!$B$4:$B$303,104))</f>
        <v/>
      </c>
      <c r="C2421" s="26" t="str">
        <f t="shared" si="113"/>
        <v/>
      </c>
      <c r="D2421" s="32" t="str">
        <f>IF($E2421="","",INDEX(成本费用登记表!$E$4:$E$303,104))</f>
        <v/>
      </c>
      <c r="E2421" s="26" t="str">
        <f>IF(INDEX(成本费用登记表!$Q$4:$Y$303,104,7)=0,"",INDEX(成本费用登记表!$Q$4:$Y$303,104,7))</f>
        <v/>
      </c>
      <c r="F2421" s="25" t="str">
        <f>IF($E2421="","",IFERROR(INDEX(科目表!$A$4:$A$81,MATCH($E2421,科目表!$B$4:$B$81,0)),""))</f>
        <v/>
      </c>
      <c r="G2421" s="26" t="str">
        <f>IF($E2421="","",IFERROR(INDEX(科目表!$E$4:$E$81,MATCH($E2421,科目表!$B$4:$B$81,0)),""))</f>
        <v/>
      </c>
      <c r="H2421" s="27" t="str">
        <f>IF($E2421="","",N(INDEX(成本费用登记表!$Q$4:$Y$303,104,8)))</f>
        <v/>
      </c>
      <c r="I2421" s="27" t="str">
        <f>IF($E2421="","",N(INDEX(成本费用登记表!$Q$4:$Y$303,104,9)))</f>
        <v/>
      </c>
      <c r="J2421" s="26" t="str">
        <f>IF($E2421="","",INDEX(成本费用登记表!$C$4:$C$303,104))</f>
        <v/>
      </c>
      <c r="K2421" s="26" t="str">
        <f>IF($E2421="","",INDEX(成本费用登记表!$D$4:$D$303,104))</f>
        <v/>
      </c>
      <c r="L2421" s="32" t="str">
        <f>IF($E2421="","",INDEX(成本费用登记表!$N$4:$N$303,104))</f>
        <v/>
      </c>
      <c r="M2421" s="32"/>
      <c r="N2421" s="26" t="str">
        <f t="shared" si="114"/>
        <v/>
      </c>
      <c r="O2421" s="26" t="str">
        <f t="shared" si="115"/>
        <v/>
      </c>
      <c r="P2421" s="10"/>
    </row>
    <row r="2422" ht="18" customHeight="1" spans="1:16">
      <c r="A2422" s="32" t="str">
        <f t="shared" si="116"/>
        <v/>
      </c>
      <c r="B2422" s="100" t="str">
        <f>IF($E2422="","",INDEX(成本费用登记表!$B$4:$B$303,105))</f>
        <v/>
      </c>
      <c r="C2422" s="26" t="str">
        <f t="shared" si="113"/>
        <v/>
      </c>
      <c r="D2422" s="32" t="str">
        <f>IF($E2422="","",INDEX(成本费用登记表!$E$4:$E$303,105))</f>
        <v/>
      </c>
      <c r="E2422" s="26" t="str">
        <f>IF(INDEX(成本费用登记表!$Q$4:$Y$303,105,1)=0,"",INDEX(成本费用登记表!$Q$4:$Y$303,105,1))</f>
        <v/>
      </c>
      <c r="F2422" s="25" t="str">
        <f>IF($E2422="","",IFERROR(INDEX(科目表!$A$4:$A$81,MATCH($E2422,科目表!$B$4:$B$81,0)),""))</f>
        <v/>
      </c>
      <c r="G2422" s="26" t="str">
        <f>IF($E2422="","",IFERROR(INDEX(科目表!$E$4:$E$81,MATCH($E2422,科目表!$B$4:$B$81,0)),""))</f>
        <v/>
      </c>
      <c r="H2422" s="27" t="str">
        <f>IF($E2422="","",N(INDEX(成本费用登记表!$Q$4:$Y$303,105,2)))</f>
        <v/>
      </c>
      <c r="I2422" s="27" t="str">
        <f>IF($E2422="","",N(INDEX(成本费用登记表!$Q$4:$Y$303,105,3)))</f>
        <v/>
      </c>
      <c r="J2422" s="26" t="str">
        <f>IF($E2422="","",INDEX(成本费用登记表!$C$4:$C$303,105))</f>
        <v/>
      </c>
      <c r="K2422" s="26" t="str">
        <f>IF($E2422="","",INDEX(成本费用登记表!$D$4:$D$303,105))</f>
        <v/>
      </c>
      <c r="L2422" s="32" t="str">
        <f>IF($E2422="","",INDEX(成本费用登记表!$N$4:$N$303,105))</f>
        <v/>
      </c>
      <c r="M2422" s="32"/>
      <c r="N2422" s="26" t="str">
        <f t="shared" si="114"/>
        <v/>
      </c>
      <c r="O2422" s="26" t="str">
        <f t="shared" si="115"/>
        <v/>
      </c>
      <c r="P2422" s="10"/>
    </row>
    <row r="2423" ht="18" customHeight="1" spans="1:16">
      <c r="A2423" s="32" t="str">
        <f t="shared" si="116"/>
        <v/>
      </c>
      <c r="B2423" s="100" t="str">
        <f>IF($E2423="","",INDEX(成本费用登记表!$B$4:$B$303,105))</f>
        <v/>
      </c>
      <c r="C2423" s="26" t="str">
        <f t="shared" si="113"/>
        <v/>
      </c>
      <c r="D2423" s="32" t="str">
        <f>IF($E2423="","",INDEX(成本费用登记表!$E$4:$E$303,105))</f>
        <v/>
      </c>
      <c r="E2423" s="26" t="str">
        <f>IF(INDEX(成本费用登记表!$Q$4:$Y$303,105,4)=0,"",INDEX(成本费用登记表!$Q$4:$Y$303,105,4))</f>
        <v/>
      </c>
      <c r="F2423" s="25" t="str">
        <f>IF($E2423="","",IFERROR(INDEX(科目表!$A$4:$A$81,MATCH($E2423,科目表!$B$4:$B$81,0)),""))</f>
        <v/>
      </c>
      <c r="G2423" s="26" t="str">
        <f>IF($E2423="","",IFERROR(INDEX(科目表!$E$4:$E$81,MATCH($E2423,科目表!$B$4:$B$81,0)),""))</f>
        <v/>
      </c>
      <c r="H2423" s="27" t="str">
        <f>IF($E2423="","",N(INDEX(成本费用登记表!$Q$4:$Y$303,105,5)))</f>
        <v/>
      </c>
      <c r="I2423" s="27" t="str">
        <f>IF($E2423="","",N(INDEX(成本费用登记表!$Q$4:$Y$303,105,6)))</f>
        <v/>
      </c>
      <c r="J2423" s="26" t="str">
        <f>IF($E2423="","",INDEX(成本费用登记表!$C$4:$C$303,105))</f>
        <v/>
      </c>
      <c r="K2423" s="26" t="str">
        <f>IF($E2423="","",INDEX(成本费用登记表!$D$4:$D$303,105))</f>
        <v/>
      </c>
      <c r="L2423" s="32" t="str">
        <f>IF($E2423="","",INDEX(成本费用登记表!$N$4:$N$303,105))</f>
        <v/>
      </c>
      <c r="M2423" s="32"/>
      <c r="N2423" s="26" t="str">
        <f t="shared" si="114"/>
        <v/>
      </c>
      <c r="O2423" s="26" t="str">
        <f t="shared" si="115"/>
        <v/>
      </c>
      <c r="P2423" s="10"/>
    </row>
    <row r="2424" ht="18" customHeight="1" spans="1:16">
      <c r="A2424" s="32" t="str">
        <f t="shared" si="116"/>
        <v/>
      </c>
      <c r="B2424" s="100" t="str">
        <f>IF($E2424="","",INDEX(成本费用登记表!$B$4:$B$303,105))</f>
        <v/>
      </c>
      <c r="C2424" s="26" t="str">
        <f t="shared" si="113"/>
        <v/>
      </c>
      <c r="D2424" s="32" t="str">
        <f>IF($E2424="","",INDEX(成本费用登记表!$E$4:$E$303,105))</f>
        <v/>
      </c>
      <c r="E2424" s="26" t="str">
        <f>IF(INDEX(成本费用登记表!$Q$4:$Y$303,105,7)=0,"",INDEX(成本费用登记表!$Q$4:$Y$303,105,7))</f>
        <v/>
      </c>
      <c r="F2424" s="25" t="str">
        <f>IF($E2424="","",IFERROR(INDEX(科目表!$A$4:$A$81,MATCH($E2424,科目表!$B$4:$B$81,0)),""))</f>
        <v/>
      </c>
      <c r="G2424" s="26" t="str">
        <f>IF($E2424="","",IFERROR(INDEX(科目表!$E$4:$E$81,MATCH($E2424,科目表!$B$4:$B$81,0)),""))</f>
        <v/>
      </c>
      <c r="H2424" s="27" t="str">
        <f>IF($E2424="","",N(INDEX(成本费用登记表!$Q$4:$Y$303,105,8)))</f>
        <v/>
      </c>
      <c r="I2424" s="27" t="str">
        <f>IF($E2424="","",N(INDEX(成本费用登记表!$Q$4:$Y$303,105,9)))</f>
        <v/>
      </c>
      <c r="J2424" s="26" t="str">
        <f>IF($E2424="","",INDEX(成本费用登记表!$C$4:$C$303,105))</f>
        <v/>
      </c>
      <c r="K2424" s="26" t="str">
        <f>IF($E2424="","",INDEX(成本费用登记表!$D$4:$D$303,105))</f>
        <v/>
      </c>
      <c r="L2424" s="32" t="str">
        <f>IF($E2424="","",INDEX(成本费用登记表!$N$4:$N$303,105))</f>
        <v/>
      </c>
      <c r="M2424" s="32"/>
      <c r="N2424" s="26" t="str">
        <f t="shared" si="114"/>
        <v/>
      </c>
      <c r="O2424" s="26" t="str">
        <f t="shared" si="115"/>
        <v/>
      </c>
      <c r="P2424" s="10"/>
    </row>
    <row r="2425" ht="18" customHeight="1" spans="1:16">
      <c r="A2425" s="32" t="str">
        <f t="shared" si="116"/>
        <v/>
      </c>
      <c r="B2425" s="100" t="str">
        <f>IF($E2425="","",INDEX(成本费用登记表!$B$4:$B$303,106))</f>
        <v/>
      </c>
      <c r="C2425" s="26" t="str">
        <f t="shared" si="113"/>
        <v/>
      </c>
      <c r="D2425" s="32" t="str">
        <f>IF($E2425="","",INDEX(成本费用登记表!$E$4:$E$303,106))</f>
        <v/>
      </c>
      <c r="E2425" s="26" t="str">
        <f>IF(INDEX(成本费用登记表!$Q$4:$Y$303,106,1)=0,"",INDEX(成本费用登记表!$Q$4:$Y$303,106,1))</f>
        <v/>
      </c>
      <c r="F2425" s="25" t="str">
        <f>IF($E2425="","",IFERROR(INDEX(科目表!$A$4:$A$81,MATCH($E2425,科目表!$B$4:$B$81,0)),""))</f>
        <v/>
      </c>
      <c r="G2425" s="26" t="str">
        <f>IF($E2425="","",IFERROR(INDEX(科目表!$E$4:$E$81,MATCH($E2425,科目表!$B$4:$B$81,0)),""))</f>
        <v/>
      </c>
      <c r="H2425" s="27" t="str">
        <f>IF($E2425="","",N(INDEX(成本费用登记表!$Q$4:$Y$303,106,2)))</f>
        <v/>
      </c>
      <c r="I2425" s="27" t="str">
        <f>IF($E2425="","",N(INDEX(成本费用登记表!$Q$4:$Y$303,106,3)))</f>
        <v/>
      </c>
      <c r="J2425" s="26" t="str">
        <f>IF($E2425="","",INDEX(成本费用登记表!$C$4:$C$303,106))</f>
        <v/>
      </c>
      <c r="K2425" s="26" t="str">
        <f>IF($E2425="","",INDEX(成本费用登记表!$D$4:$D$303,106))</f>
        <v/>
      </c>
      <c r="L2425" s="32" t="str">
        <f>IF($E2425="","",INDEX(成本费用登记表!$N$4:$N$303,106))</f>
        <v/>
      </c>
      <c r="M2425" s="32"/>
      <c r="N2425" s="26" t="str">
        <f t="shared" si="114"/>
        <v/>
      </c>
      <c r="O2425" s="26" t="str">
        <f t="shared" si="115"/>
        <v/>
      </c>
      <c r="P2425" s="10"/>
    </row>
    <row r="2426" ht="18" customHeight="1" spans="1:16">
      <c r="A2426" s="32" t="str">
        <f t="shared" si="116"/>
        <v/>
      </c>
      <c r="B2426" s="100" t="str">
        <f>IF($E2426="","",INDEX(成本费用登记表!$B$4:$B$303,106))</f>
        <v/>
      </c>
      <c r="C2426" s="26" t="str">
        <f t="shared" si="113"/>
        <v/>
      </c>
      <c r="D2426" s="32" t="str">
        <f>IF($E2426="","",INDEX(成本费用登记表!$E$4:$E$303,106))</f>
        <v/>
      </c>
      <c r="E2426" s="26" t="str">
        <f>IF(INDEX(成本费用登记表!$Q$4:$Y$303,106,4)=0,"",INDEX(成本费用登记表!$Q$4:$Y$303,106,4))</f>
        <v/>
      </c>
      <c r="F2426" s="25" t="str">
        <f>IF($E2426="","",IFERROR(INDEX(科目表!$A$4:$A$81,MATCH($E2426,科目表!$B$4:$B$81,0)),""))</f>
        <v/>
      </c>
      <c r="G2426" s="26" t="str">
        <f>IF($E2426="","",IFERROR(INDEX(科目表!$E$4:$E$81,MATCH($E2426,科目表!$B$4:$B$81,0)),""))</f>
        <v/>
      </c>
      <c r="H2426" s="27" t="str">
        <f>IF($E2426="","",N(INDEX(成本费用登记表!$Q$4:$Y$303,106,5)))</f>
        <v/>
      </c>
      <c r="I2426" s="27" t="str">
        <f>IF($E2426="","",N(INDEX(成本费用登记表!$Q$4:$Y$303,106,6)))</f>
        <v/>
      </c>
      <c r="J2426" s="26" t="str">
        <f>IF($E2426="","",INDEX(成本费用登记表!$C$4:$C$303,106))</f>
        <v/>
      </c>
      <c r="K2426" s="26" t="str">
        <f>IF($E2426="","",INDEX(成本费用登记表!$D$4:$D$303,106))</f>
        <v/>
      </c>
      <c r="L2426" s="32" t="str">
        <f>IF($E2426="","",INDEX(成本费用登记表!$N$4:$N$303,106))</f>
        <v/>
      </c>
      <c r="M2426" s="32"/>
      <c r="N2426" s="26" t="str">
        <f t="shared" si="114"/>
        <v/>
      </c>
      <c r="O2426" s="26" t="str">
        <f t="shared" si="115"/>
        <v/>
      </c>
      <c r="P2426" s="10"/>
    </row>
    <row r="2427" ht="18" customHeight="1" spans="1:16">
      <c r="A2427" s="32" t="str">
        <f t="shared" si="116"/>
        <v/>
      </c>
      <c r="B2427" s="100" t="str">
        <f>IF($E2427="","",INDEX(成本费用登记表!$B$4:$B$303,106))</f>
        <v/>
      </c>
      <c r="C2427" s="26" t="str">
        <f t="shared" si="113"/>
        <v/>
      </c>
      <c r="D2427" s="32" t="str">
        <f>IF($E2427="","",INDEX(成本费用登记表!$E$4:$E$303,106))</f>
        <v/>
      </c>
      <c r="E2427" s="26" t="str">
        <f>IF(INDEX(成本费用登记表!$Q$4:$Y$303,106,7)=0,"",INDEX(成本费用登记表!$Q$4:$Y$303,106,7))</f>
        <v/>
      </c>
      <c r="F2427" s="25" t="str">
        <f>IF($E2427="","",IFERROR(INDEX(科目表!$A$4:$A$81,MATCH($E2427,科目表!$B$4:$B$81,0)),""))</f>
        <v/>
      </c>
      <c r="G2427" s="26" t="str">
        <f>IF($E2427="","",IFERROR(INDEX(科目表!$E$4:$E$81,MATCH($E2427,科目表!$B$4:$B$81,0)),""))</f>
        <v/>
      </c>
      <c r="H2427" s="27" t="str">
        <f>IF($E2427="","",N(INDEX(成本费用登记表!$Q$4:$Y$303,106,8)))</f>
        <v/>
      </c>
      <c r="I2427" s="27" t="str">
        <f>IF($E2427="","",N(INDEX(成本费用登记表!$Q$4:$Y$303,106,9)))</f>
        <v/>
      </c>
      <c r="J2427" s="26" t="str">
        <f>IF($E2427="","",INDEX(成本费用登记表!$C$4:$C$303,106))</f>
        <v/>
      </c>
      <c r="K2427" s="26" t="str">
        <f>IF($E2427="","",INDEX(成本费用登记表!$D$4:$D$303,106))</f>
        <v/>
      </c>
      <c r="L2427" s="32" t="str">
        <f>IF($E2427="","",INDEX(成本费用登记表!$N$4:$N$303,106))</f>
        <v/>
      </c>
      <c r="M2427" s="32"/>
      <c r="N2427" s="26" t="str">
        <f t="shared" si="114"/>
        <v/>
      </c>
      <c r="O2427" s="26" t="str">
        <f t="shared" si="115"/>
        <v/>
      </c>
      <c r="P2427" s="10"/>
    </row>
    <row r="2428" ht="18" customHeight="1" spans="1:16">
      <c r="A2428" s="32" t="str">
        <f t="shared" si="116"/>
        <v/>
      </c>
      <c r="B2428" s="100" t="str">
        <f>IF($E2428="","",INDEX(成本费用登记表!$B$4:$B$303,107))</f>
        <v/>
      </c>
      <c r="C2428" s="26" t="str">
        <f t="shared" si="113"/>
        <v/>
      </c>
      <c r="D2428" s="32" t="str">
        <f>IF($E2428="","",INDEX(成本费用登记表!$E$4:$E$303,107))</f>
        <v/>
      </c>
      <c r="E2428" s="26" t="str">
        <f>IF(INDEX(成本费用登记表!$Q$4:$Y$303,107,1)=0,"",INDEX(成本费用登记表!$Q$4:$Y$303,107,1))</f>
        <v/>
      </c>
      <c r="F2428" s="25" t="str">
        <f>IF($E2428="","",IFERROR(INDEX(科目表!$A$4:$A$81,MATCH($E2428,科目表!$B$4:$B$81,0)),""))</f>
        <v/>
      </c>
      <c r="G2428" s="26" t="str">
        <f>IF($E2428="","",IFERROR(INDEX(科目表!$E$4:$E$81,MATCH($E2428,科目表!$B$4:$B$81,0)),""))</f>
        <v/>
      </c>
      <c r="H2428" s="27" t="str">
        <f>IF($E2428="","",N(INDEX(成本费用登记表!$Q$4:$Y$303,107,2)))</f>
        <v/>
      </c>
      <c r="I2428" s="27" t="str">
        <f>IF($E2428="","",N(INDEX(成本费用登记表!$Q$4:$Y$303,107,3)))</f>
        <v/>
      </c>
      <c r="J2428" s="26" t="str">
        <f>IF($E2428="","",INDEX(成本费用登记表!$C$4:$C$303,107))</f>
        <v/>
      </c>
      <c r="K2428" s="26" t="str">
        <f>IF($E2428="","",INDEX(成本费用登记表!$D$4:$D$303,107))</f>
        <v/>
      </c>
      <c r="L2428" s="32" t="str">
        <f>IF($E2428="","",INDEX(成本费用登记表!$N$4:$N$303,107))</f>
        <v/>
      </c>
      <c r="M2428" s="32"/>
      <c r="N2428" s="26" t="str">
        <f t="shared" si="114"/>
        <v/>
      </c>
      <c r="O2428" s="26" t="str">
        <f t="shared" si="115"/>
        <v/>
      </c>
      <c r="P2428" s="10"/>
    </row>
    <row r="2429" ht="18" customHeight="1" spans="1:16">
      <c r="A2429" s="32" t="str">
        <f t="shared" si="116"/>
        <v/>
      </c>
      <c r="B2429" s="100" t="str">
        <f>IF($E2429="","",INDEX(成本费用登记表!$B$4:$B$303,107))</f>
        <v/>
      </c>
      <c r="C2429" s="26" t="str">
        <f t="shared" si="113"/>
        <v/>
      </c>
      <c r="D2429" s="32" t="str">
        <f>IF($E2429="","",INDEX(成本费用登记表!$E$4:$E$303,107))</f>
        <v/>
      </c>
      <c r="E2429" s="26" t="str">
        <f>IF(INDEX(成本费用登记表!$Q$4:$Y$303,107,4)=0,"",INDEX(成本费用登记表!$Q$4:$Y$303,107,4))</f>
        <v/>
      </c>
      <c r="F2429" s="25" t="str">
        <f>IF($E2429="","",IFERROR(INDEX(科目表!$A$4:$A$81,MATCH($E2429,科目表!$B$4:$B$81,0)),""))</f>
        <v/>
      </c>
      <c r="G2429" s="26" t="str">
        <f>IF($E2429="","",IFERROR(INDEX(科目表!$E$4:$E$81,MATCH($E2429,科目表!$B$4:$B$81,0)),""))</f>
        <v/>
      </c>
      <c r="H2429" s="27" t="str">
        <f>IF($E2429="","",N(INDEX(成本费用登记表!$Q$4:$Y$303,107,5)))</f>
        <v/>
      </c>
      <c r="I2429" s="27" t="str">
        <f>IF($E2429="","",N(INDEX(成本费用登记表!$Q$4:$Y$303,107,6)))</f>
        <v/>
      </c>
      <c r="J2429" s="26" t="str">
        <f>IF($E2429="","",INDEX(成本费用登记表!$C$4:$C$303,107))</f>
        <v/>
      </c>
      <c r="K2429" s="26" t="str">
        <f>IF($E2429="","",INDEX(成本费用登记表!$D$4:$D$303,107))</f>
        <v/>
      </c>
      <c r="L2429" s="32" t="str">
        <f>IF($E2429="","",INDEX(成本费用登记表!$N$4:$N$303,107))</f>
        <v/>
      </c>
      <c r="M2429" s="32"/>
      <c r="N2429" s="26" t="str">
        <f t="shared" si="114"/>
        <v/>
      </c>
      <c r="O2429" s="26" t="str">
        <f t="shared" si="115"/>
        <v/>
      </c>
      <c r="P2429" s="10"/>
    </row>
    <row r="2430" ht="18" customHeight="1" spans="1:16">
      <c r="A2430" s="32" t="str">
        <f t="shared" si="116"/>
        <v/>
      </c>
      <c r="B2430" s="100" t="str">
        <f>IF($E2430="","",INDEX(成本费用登记表!$B$4:$B$303,107))</f>
        <v/>
      </c>
      <c r="C2430" s="26" t="str">
        <f t="shared" ref="C2430:C2493" si="117">IF($E2430="","","记-"&amp;TEXT($B2430,"YYYYMM")&amp;"-费用")</f>
        <v/>
      </c>
      <c r="D2430" s="32" t="str">
        <f>IF($E2430="","",INDEX(成本费用登记表!$E$4:$E$303,107))</f>
        <v/>
      </c>
      <c r="E2430" s="26" t="str">
        <f>IF(INDEX(成本费用登记表!$Q$4:$Y$303,107,7)=0,"",INDEX(成本费用登记表!$Q$4:$Y$303,107,7))</f>
        <v/>
      </c>
      <c r="F2430" s="25" t="str">
        <f>IF($E2430="","",IFERROR(INDEX(科目表!$A$4:$A$81,MATCH($E2430,科目表!$B$4:$B$81,0)),""))</f>
        <v/>
      </c>
      <c r="G2430" s="26" t="str">
        <f>IF($E2430="","",IFERROR(INDEX(科目表!$E$4:$E$81,MATCH($E2430,科目表!$B$4:$B$81,0)),""))</f>
        <v/>
      </c>
      <c r="H2430" s="27" t="str">
        <f>IF($E2430="","",N(INDEX(成本费用登记表!$Q$4:$Y$303,107,8)))</f>
        <v/>
      </c>
      <c r="I2430" s="27" t="str">
        <f>IF($E2430="","",N(INDEX(成本费用登记表!$Q$4:$Y$303,107,9)))</f>
        <v/>
      </c>
      <c r="J2430" s="26" t="str">
        <f>IF($E2430="","",INDEX(成本费用登记表!$C$4:$C$303,107))</f>
        <v/>
      </c>
      <c r="K2430" s="26" t="str">
        <f>IF($E2430="","",INDEX(成本费用登记表!$D$4:$D$303,107))</f>
        <v/>
      </c>
      <c r="L2430" s="32" t="str">
        <f>IF($E2430="","",INDEX(成本费用登记表!$N$4:$N$303,107))</f>
        <v/>
      </c>
      <c r="M2430" s="32"/>
      <c r="N2430" s="26" t="str">
        <f t="shared" ref="N2430:N2493" si="118">IF($E2430="","","系统")</f>
        <v/>
      </c>
      <c r="O2430" s="26" t="str">
        <f t="shared" ref="O2430:O2493" si="119">IF($E2430="","","自动C")</f>
        <v/>
      </c>
      <c r="P2430" s="10"/>
    </row>
    <row r="2431" ht="18" customHeight="1" spans="1:16">
      <c r="A2431" s="32" t="str">
        <f t="shared" si="116"/>
        <v/>
      </c>
      <c r="B2431" s="100" t="str">
        <f>IF($E2431="","",INDEX(成本费用登记表!$B$4:$B$303,108))</f>
        <v/>
      </c>
      <c r="C2431" s="26" t="str">
        <f t="shared" si="117"/>
        <v/>
      </c>
      <c r="D2431" s="32" t="str">
        <f>IF($E2431="","",INDEX(成本费用登记表!$E$4:$E$303,108))</f>
        <v/>
      </c>
      <c r="E2431" s="26" t="str">
        <f>IF(INDEX(成本费用登记表!$Q$4:$Y$303,108,1)=0,"",INDEX(成本费用登记表!$Q$4:$Y$303,108,1))</f>
        <v/>
      </c>
      <c r="F2431" s="25" t="str">
        <f>IF($E2431="","",IFERROR(INDEX(科目表!$A$4:$A$81,MATCH($E2431,科目表!$B$4:$B$81,0)),""))</f>
        <v/>
      </c>
      <c r="G2431" s="26" t="str">
        <f>IF($E2431="","",IFERROR(INDEX(科目表!$E$4:$E$81,MATCH($E2431,科目表!$B$4:$B$81,0)),""))</f>
        <v/>
      </c>
      <c r="H2431" s="27" t="str">
        <f>IF($E2431="","",N(INDEX(成本费用登记表!$Q$4:$Y$303,108,2)))</f>
        <v/>
      </c>
      <c r="I2431" s="27" t="str">
        <f>IF($E2431="","",N(INDEX(成本费用登记表!$Q$4:$Y$303,108,3)))</f>
        <v/>
      </c>
      <c r="J2431" s="26" t="str">
        <f>IF($E2431="","",INDEX(成本费用登记表!$C$4:$C$303,108))</f>
        <v/>
      </c>
      <c r="K2431" s="26" t="str">
        <f>IF($E2431="","",INDEX(成本费用登记表!$D$4:$D$303,108))</f>
        <v/>
      </c>
      <c r="L2431" s="32" t="str">
        <f>IF($E2431="","",INDEX(成本费用登记表!$N$4:$N$303,108))</f>
        <v/>
      </c>
      <c r="M2431" s="32"/>
      <c r="N2431" s="26" t="str">
        <f t="shared" si="118"/>
        <v/>
      </c>
      <c r="O2431" s="26" t="str">
        <f t="shared" si="119"/>
        <v/>
      </c>
      <c r="P2431" s="10"/>
    </row>
    <row r="2432" ht="18" customHeight="1" spans="1:16">
      <c r="A2432" s="32" t="str">
        <f t="shared" si="116"/>
        <v/>
      </c>
      <c r="B2432" s="100" t="str">
        <f>IF($E2432="","",INDEX(成本费用登记表!$B$4:$B$303,108))</f>
        <v/>
      </c>
      <c r="C2432" s="26" t="str">
        <f t="shared" si="117"/>
        <v/>
      </c>
      <c r="D2432" s="32" t="str">
        <f>IF($E2432="","",INDEX(成本费用登记表!$E$4:$E$303,108))</f>
        <v/>
      </c>
      <c r="E2432" s="26" t="str">
        <f>IF(INDEX(成本费用登记表!$Q$4:$Y$303,108,4)=0,"",INDEX(成本费用登记表!$Q$4:$Y$303,108,4))</f>
        <v/>
      </c>
      <c r="F2432" s="25" t="str">
        <f>IF($E2432="","",IFERROR(INDEX(科目表!$A$4:$A$81,MATCH($E2432,科目表!$B$4:$B$81,0)),""))</f>
        <v/>
      </c>
      <c r="G2432" s="26" t="str">
        <f>IF($E2432="","",IFERROR(INDEX(科目表!$E$4:$E$81,MATCH($E2432,科目表!$B$4:$B$81,0)),""))</f>
        <v/>
      </c>
      <c r="H2432" s="27" t="str">
        <f>IF($E2432="","",N(INDEX(成本费用登记表!$Q$4:$Y$303,108,5)))</f>
        <v/>
      </c>
      <c r="I2432" s="27" t="str">
        <f>IF($E2432="","",N(INDEX(成本费用登记表!$Q$4:$Y$303,108,6)))</f>
        <v/>
      </c>
      <c r="J2432" s="26" t="str">
        <f>IF($E2432="","",INDEX(成本费用登记表!$C$4:$C$303,108))</f>
        <v/>
      </c>
      <c r="K2432" s="26" t="str">
        <f>IF($E2432="","",INDEX(成本费用登记表!$D$4:$D$303,108))</f>
        <v/>
      </c>
      <c r="L2432" s="32" t="str">
        <f>IF($E2432="","",INDEX(成本费用登记表!$N$4:$N$303,108))</f>
        <v/>
      </c>
      <c r="M2432" s="32"/>
      <c r="N2432" s="26" t="str">
        <f t="shared" si="118"/>
        <v/>
      </c>
      <c r="O2432" s="26" t="str">
        <f t="shared" si="119"/>
        <v/>
      </c>
      <c r="P2432" s="10"/>
    </row>
    <row r="2433" ht="18" customHeight="1" spans="1:16">
      <c r="A2433" s="32" t="str">
        <f t="shared" si="116"/>
        <v/>
      </c>
      <c r="B2433" s="100" t="str">
        <f>IF($E2433="","",INDEX(成本费用登记表!$B$4:$B$303,108))</f>
        <v/>
      </c>
      <c r="C2433" s="26" t="str">
        <f t="shared" si="117"/>
        <v/>
      </c>
      <c r="D2433" s="32" t="str">
        <f>IF($E2433="","",INDEX(成本费用登记表!$E$4:$E$303,108))</f>
        <v/>
      </c>
      <c r="E2433" s="26" t="str">
        <f>IF(INDEX(成本费用登记表!$Q$4:$Y$303,108,7)=0,"",INDEX(成本费用登记表!$Q$4:$Y$303,108,7))</f>
        <v/>
      </c>
      <c r="F2433" s="25" t="str">
        <f>IF($E2433="","",IFERROR(INDEX(科目表!$A$4:$A$81,MATCH($E2433,科目表!$B$4:$B$81,0)),""))</f>
        <v/>
      </c>
      <c r="G2433" s="26" t="str">
        <f>IF($E2433="","",IFERROR(INDEX(科目表!$E$4:$E$81,MATCH($E2433,科目表!$B$4:$B$81,0)),""))</f>
        <v/>
      </c>
      <c r="H2433" s="27" t="str">
        <f>IF($E2433="","",N(INDEX(成本费用登记表!$Q$4:$Y$303,108,8)))</f>
        <v/>
      </c>
      <c r="I2433" s="27" t="str">
        <f>IF($E2433="","",N(INDEX(成本费用登记表!$Q$4:$Y$303,108,9)))</f>
        <v/>
      </c>
      <c r="J2433" s="26" t="str">
        <f>IF($E2433="","",INDEX(成本费用登记表!$C$4:$C$303,108))</f>
        <v/>
      </c>
      <c r="K2433" s="26" t="str">
        <f>IF($E2433="","",INDEX(成本费用登记表!$D$4:$D$303,108))</f>
        <v/>
      </c>
      <c r="L2433" s="32" t="str">
        <f>IF($E2433="","",INDEX(成本费用登记表!$N$4:$N$303,108))</f>
        <v/>
      </c>
      <c r="M2433" s="32"/>
      <c r="N2433" s="26" t="str">
        <f t="shared" si="118"/>
        <v/>
      </c>
      <c r="O2433" s="26" t="str">
        <f t="shared" si="119"/>
        <v/>
      </c>
      <c r="P2433" s="10"/>
    </row>
    <row r="2434" ht="18" customHeight="1" spans="1:16">
      <c r="A2434" s="32" t="str">
        <f t="shared" si="116"/>
        <v/>
      </c>
      <c r="B2434" s="100" t="str">
        <f>IF($E2434="","",INDEX(成本费用登记表!$B$4:$B$303,109))</f>
        <v/>
      </c>
      <c r="C2434" s="26" t="str">
        <f t="shared" si="117"/>
        <v/>
      </c>
      <c r="D2434" s="32" t="str">
        <f>IF($E2434="","",INDEX(成本费用登记表!$E$4:$E$303,109))</f>
        <v/>
      </c>
      <c r="E2434" s="26" t="str">
        <f>IF(INDEX(成本费用登记表!$Q$4:$Y$303,109,1)=0,"",INDEX(成本费用登记表!$Q$4:$Y$303,109,1))</f>
        <v/>
      </c>
      <c r="F2434" s="25" t="str">
        <f>IF($E2434="","",IFERROR(INDEX(科目表!$A$4:$A$81,MATCH($E2434,科目表!$B$4:$B$81,0)),""))</f>
        <v/>
      </c>
      <c r="G2434" s="26" t="str">
        <f>IF($E2434="","",IFERROR(INDEX(科目表!$E$4:$E$81,MATCH($E2434,科目表!$B$4:$B$81,0)),""))</f>
        <v/>
      </c>
      <c r="H2434" s="27" t="str">
        <f>IF($E2434="","",N(INDEX(成本费用登记表!$Q$4:$Y$303,109,2)))</f>
        <v/>
      </c>
      <c r="I2434" s="27" t="str">
        <f>IF($E2434="","",N(INDEX(成本费用登记表!$Q$4:$Y$303,109,3)))</f>
        <v/>
      </c>
      <c r="J2434" s="26" t="str">
        <f>IF($E2434="","",INDEX(成本费用登记表!$C$4:$C$303,109))</f>
        <v/>
      </c>
      <c r="K2434" s="26" t="str">
        <f>IF($E2434="","",INDEX(成本费用登记表!$D$4:$D$303,109))</f>
        <v/>
      </c>
      <c r="L2434" s="32" t="str">
        <f>IF($E2434="","",INDEX(成本费用登记表!$N$4:$N$303,109))</f>
        <v/>
      </c>
      <c r="M2434" s="32"/>
      <c r="N2434" s="26" t="str">
        <f t="shared" si="118"/>
        <v/>
      </c>
      <c r="O2434" s="26" t="str">
        <f t="shared" si="119"/>
        <v/>
      </c>
      <c r="P2434" s="10"/>
    </row>
    <row r="2435" ht="18" customHeight="1" spans="1:16">
      <c r="A2435" s="32" t="str">
        <f t="shared" si="116"/>
        <v/>
      </c>
      <c r="B2435" s="100" t="str">
        <f>IF($E2435="","",INDEX(成本费用登记表!$B$4:$B$303,109))</f>
        <v/>
      </c>
      <c r="C2435" s="26" t="str">
        <f t="shared" si="117"/>
        <v/>
      </c>
      <c r="D2435" s="32" t="str">
        <f>IF($E2435="","",INDEX(成本费用登记表!$E$4:$E$303,109))</f>
        <v/>
      </c>
      <c r="E2435" s="26" t="str">
        <f>IF(INDEX(成本费用登记表!$Q$4:$Y$303,109,4)=0,"",INDEX(成本费用登记表!$Q$4:$Y$303,109,4))</f>
        <v/>
      </c>
      <c r="F2435" s="25" t="str">
        <f>IF($E2435="","",IFERROR(INDEX(科目表!$A$4:$A$81,MATCH($E2435,科目表!$B$4:$B$81,0)),""))</f>
        <v/>
      </c>
      <c r="G2435" s="26" t="str">
        <f>IF($E2435="","",IFERROR(INDEX(科目表!$E$4:$E$81,MATCH($E2435,科目表!$B$4:$B$81,0)),""))</f>
        <v/>
      </c>
      <c r="H2435" s="27" t="str">
        <f>IF($E2435="","",N(INDEX(成本费用登记表!$Q$4:$Y$303,109,5)))</f>
        <v/>
      </c>
      <c r="I2435" s="27" t="str">
        <f>IF($E2435="","",N(INDEX(成本费用登记表!$Q$4:$Y$303,109,6)))</f>
        <v/>
      </c>
      <c r="J2435" s="26" t="str">
        <f>IF($E2435="","",INDEX(成本费用登记表!$C$4:$C$303,109))</f>
        <v/>
      </c>
      <c r="K2435" s="26" t="str">
        <f>IF($E2435="","",INDEX(成本费用登记表!$D$4:$D$303,109))</f>
        <v/>
      </c>
      <c r="L2435" s="32" t="str">
        <f>IF($E2435="","",INDEX(成本费用登记表!$N$4:$N$303,109))</f>
        <v/>
      </c>
      <c r="M2435" s="32"/>
      <c r="N2435" s="26" t="str">
        <f t="shared" si="118"/>
        <v/>
      </c>
      <c r="O2435" s="26" t="str">
        <f t="shared" si="119"/>
        <v/>
      </c>
      <c r="P2435" s="10"/>
    </row>
    <row r="2436" ht="18" customHeight="1" spans="1:16">
      <c r="A2436" s="32" t="str">
        <f t="shared" ref="A2436:A2499" si="120">IF($E2436="","",ROW()-3)</f>
        <v/>
      </c>
      <c r="B2436" s="100" t="str">
        <f>IF($E2436="","",INDEX(成本费用登记表!$B$4:$B$303,109))</f>
        <v/>
      </c>
      <c r="C2436" s="26" t="str">
        <f t="shared" si="117"/>
        <v/>
      </c>
      <c r="D2436" s="32" t="str">
        <f>IF($E2436="","",INDEX(成本费用登记表!$E$4:$E$303,109))</f>
        <v/>
      </c>
      <c r="E2436" s="26" t="str">
        <f>IF(INDEX(成本费用登记表!$Q$4:$Y$303,109,7)=0,"",INDEX(成本费用登记表!$Q$4:$Y$303,109,7))</f>
        <v/>
      </c>
      <c r="F2436" s="25" t="str">
        <f>IF($E2436="","",IFERROR(INDEX(科目表!$A$4:$A$81,MATCH($E2436,科目表!$B$4:$B$81,0)),""))</f>
        <v/>
      </c>
      <c r="G2436" s="26" t="str">
        <f>IF($E2436="","",IFERROR(INDEX(科目表!$E$4:$E$81,MATCH($E2436,科目表!$B$4:$B$81,0)),""))</f>
        <v/>
      </c>
      <c r="H2436" s="27" t="str">
        <f>IF($E2436="","",N(INDEX(成本费用登记表!$Q$4:$Y$303,109,8)))</f>
        <v/>
      </c>
      <c r="I2436" s="27" t="str">
        <f>IF($E2436="","",N(INDEX(成本费用登记表!$Q$4:$Y$303,109,9)))</f>
        <v/>
      </c>
      <c r="J2436" s="26" t="str">
        <f>IF($E2436="","",INDEX(成本费用登记表!$C$4:$C$303,109))</f>
        <v/>
      </c>
      <c r="K2436" s="26" t="str">
        <f>IF($E2436="","",INDEX(成本费用登记表!$D$4:$D$303,109))</f>
        <v/>
      </c>
      <c r="L2436" s="32" t="str">
        <f>IF($E2436="","",INDEX(成本费用登记表!$N$4:$N$303,109))</f>
        <v/>
      </c>
      <c r="M2436" s="32"/>
      <c r="N2436" s="26" t="str">
        <f t="shared" si="118"/>
        <v/>
      </c>
      <c r="O2436" s="26" t="str">
        <f t="shared" si="119"/>
        <v/>
      </c>
      <c r="P2436" s="10"/>
    </row>
    <row r="2437" ht="18" customHeight="1" spans="1:16">
      <c r="A2437" s="32" t="str">
        <f t="shared" si="120"/>
        <v/>
      </c>
      <c r="B2437" s="100" t="str">
        <f>IF($E2437="","",INDEX(成本费用登记表!$B$4:$B$303,110))</f>
        <v/>
      </c>
      <c r="C2437" s="26" t="str">
        <f t="shared" si="117"/>
        <v/>
      </c>
      <c r="D2437" s="32" t="str">
        <f>IF($E2437="","",INDEX(成本费用登记表!$E$4:$E$303,110))</f>
        <v/>
      </c>
      <c r="E2437" s="26" t="str">
        <f>IF(INDEX(成本费用登记表!$Q$4:$Y$303,110,1)=0,"",INDEX(成本费用登记表!$Q$4:$Y$303,110,1))</f>
        <v/>
      </c>
      <c r="F2437" s="25" t="str">
        <f>IF($E2437="","",IFERROR(INDEX(科目表!$A$4:$A$81,MATCH($E2437,科目表!$B$4:$B$81,0)),""))</f>
        <v/>
      </c>
      <c r="G2437" s="26" t="str">
        <f>IF($E2437="","",IFERROR(INDEX(科目表!$E$4:$E$81,MATCH($E2437,科目表!$B$4:$B$81,0)),""))</f>
        <v/>
      </c>
      <c r="H2437" s="27" t="str">
        <f>IF($E2437="","",N(INDEX(成本费用登记表!$Q$4:$Y$303,110,2)))</f>
        <v/>
      </c>
      <c r="I2437" s="27" t="str">
        <f>IF($E2437="","",N(INDEX(成本费用登记表!$Q$4:$Y$303,110,3)))</f>
        <v/>
      </c>
      <c r="J2437" s="26" t="str">
        <f>IF($E2437="","",INDEX(成本费用登记表!$C$4:$C$303,110))</f>
        <v/>
      </c>
      <c r="K2437" s="26" t="str">
        <f>IF($E2437="","",INDEX(成本费用登记表!$D$4:$D$303,110))</f>
        <v/>
      </c>
      <c r="L2437" s="32" t="str">
        <f>IF($E2437="","",INDEX(成本费用登记表!$N$4:$N$303,110))</f>
        <v/>
      </c>
      <c r="M2437" s="32"/>
      <c r="N2437" s="26" t="str">
        <f t="shared" si="118"/>
        <v/>
      </c>
      <c r="O2437" s="26" t="str">
        <f t="shared" si="119"/>
        <v/>
      </c>
      <c r="P2437" s="10"/>
    </row>
    <row r="2438" ht="18" customHeight="1" spans="1:16">
      <c r="A2438" s="32" t="str">
        <f t="shared" si="120"/>
        <v/>
      </c>
      <c r="B2438" s="100" t="str">
        <f>IF($E2438="","",INDEX(成本费用登记表!$B$4:$B$303,110))</f>
        <v/>
      </c>
      <c r="C2438" s="26" t="str">
        <f t="shared" si="117"/>
        <v/>
      </c>
      <c r="D2438" s="32" t="str">
        <f>IF($E2438="","",INDEX(成本费用登记表!$E$4:$E$303,110))</f>
        <v/>
      </c>
      <c r="E2438" s="26" t="str">
        <f>IF(INDEX(成本费用登记表!$Q$4:$Y$303,110,4)=0,"",INDEX(成本费用登记表!$Q$4:$Y$303,110,4))</f>
        <v/>
      </c>
      <c r="F2438" s="25" t="str">
        <f>IF($E2438="","",IFERROR(INDEX(科目表!$A$4:$A$81,MATCH($E2438,科目表!$B$4:$B$81,0)),""))</f>
        <v/>
      </c>
      <c r="G2438" s="26" t="str">
        <f>IF($E2438="","",IFERROR(INDEX(科目表!$E$4:$E$81,MATCH($E2438,科目表!$B$4:$B$81,0)),""))</f>
        <v/>
      </c>
      <c r="H2438" s="27" t="str">
        <f>IF($E2438="","",N(INDEX(成本费用登记表!$Q$4:$Y$303,110,5)))</f>
        <v/>
      </c>
      <c r="I2438" s="27" t="str">
        <f>IF($E2438="","",N(INDEX(成本费用登记表!$Q$4:$Y$303,110,6)))</f>
        <v/>
      </c>
      <c r="J2438" s="26" t="str">
        <f>IF($E2438="","",INDEX(成本费用登记表!$C$4:$C$303,110))</f>
        <v/>
      </c>
      <c r="K2438" s="26" t="str">
        <f>IF($E2438="","",INDEX(成本费用登记表!$D$4:$D$303,110))</f>
        <v/>
      </c>
      <c r="L2438" s="32" t="str">
        <f>IF($E2438="","",INDEX(成本费用登记表!$N$4:$N$303,110))</f>
        <v/>
      </c>
      <c r="M2438" s="32"/>
      <c r="N2438" s="26" t="str">
        <f t="shared" si="118"/>
        <v/>
      </c>
      <c r="O2438" s="26" t="str">
        <f t="shared" si="119"/>
        <v/>
      </c>
      <c r="P2438" s="10"/>
    </row>
    <row r="2439" ht="18" customHeight="1" spans="1:16">
      <c r="A2439" s="32" t="str">
        <f t="shared" si="120"/>
        <v/>
      </c>
      <c r="B2439" s="100" t="str">
        <f>IF($E2439="","",INDEX(成本费用登记表!$B$4:$B$303,110))</f>
        <v/>
      </c>
      <c r="C2439" s="26" t="str">
        <f t="shared" si="117"/>
        <v/>
      </c>
      <c r="D2439" s="32" t="str">
        <f>IF($E2439="","",INDEX(成本费用登记表!$E$4:$E$303,110))</f>
        <v/>
      </c>
      <c r="E2439" s="26" t="str">
        <f>IF(INDEX(成本费用登记表!$Q$4:$Y$303,110,7)=0,"",INDEX(成本费用登记表!$Q$4:$Y$303,110,7))</f>
        <v/>
      </c>
      <c r="F2439" s="25" t="str">
        <f>IF($E2439="","",IFERROR(INDEX(科目表!$A$4:$A$81,MATCH($E2439,科目表!$B$4:$B$81,0)),""))</f>
        <v/>
      </c>
      <c r="G2439" s="26" t="str">
        <f>IF($E2439="","",IFERROR(INDEX(科目表!$E$4:$E$81,MATCH($E2439,科目表!$B$4:$B$81,0)),""))</f>
        <v/>
      </c>
      <c r="H2439" s="27" t="str">
        <f>IF($E2439="","",N(INDEX(成本费用登记表!$Q$4:$Y$303,110,8)))</f>
        <v/>
      </c>
      <c r="I2439" s="27" t="str">
        <f>IF($E2439="","",N(INDEX(成本费用登记表!$Q$4:$Y$303,110,9)))</f>
        <v/>
      </c>
      <c r="J2439" s="26" t="str">
        <f>IF($E2439="","",INDEX(成本费用登记表!$C$4:$C$303,110))</f>
        <v/>
      </c>
      <c r="K2439" s="26" t="str">
        <f>IF($E2439="","",INDEX(成本费用登记表!$D$4:$D$303,110))</f>
        <v/>
      </c>
      <c r="L2439" s="32" t="str">
        <f>IF($E2439="","",INDEX(成本费用登记表!$N$4:$N$303,110))</f>
        <v/>
      </c>
      <c r="M2439" s="32"/>
      <c r="N2439" s="26" t="str">
        <f t="shared" si="118"/>
        <v/>
      </c>
      <c r="O2439" s="26" t="str">
        <f t="shared" si="119"/>
        <v/>
      </c>
      <c r="P2439" s="10"/>
    </row>
    <row r="2440" ht="18" customHeight="1" spans="1:16">
      <c r="A2440" s="32" t="str">
        <f t="shared" si="120"/>
        <v/>
      </c>
      <c r="B2440" s="100" t="str">
        <f>IF($E2440="","",INDEX(成本费用登记表!$B$4:$B$303,111))</f>
        <v/>
      </c>
      <c r="C2440" s="26" t="str">
        <f t="shared" si="117"/>
        <v/>
      </c>
      <c r="D2440" s="32" t="str">
        <f>IF($E2440="","",INDEX(成本费用登记表!$E$4:$E$303,111))</f>
        <v/>
      </c>
      <c r="E2440" s="26" t="str">
        <f>IF(INDEX(成本费用登记表!$Q$4:$Y$303,111,1)=0,"",INDEX(成本费用登记表!$Q$4:$Y$303,111,1))</f>
        <v/>
      </c>
      <c r="F2440" s="25" t="str">
        <f>IF($E2440="","",IFERROR(INDEX(科目表!$A$4:$A$81,MATCH($E2440,科目表!$B$4:$B$81,0)),""))</f>
        <v/>
      </c>
      <c r="G2440" s="26" t="str">
        <f>IF($E2440="","",IFERROR(INDEX(科目表!$E$4:$E$81,MATCH($E2440,科目表!$B$4:$B$81,0)),""))</f>
        <v/>
      </c>
      <c r="H2440" s="27" t="str">
        <f>IF($E2440="","",N(INDEX(成本费用登记表!$Q$4:$Y$303,111,2)))</f>
        <v/>
      </c>
      <c r="I2440" s="27" t="str">
        <f>IF($E2440="","",N(INDEX(成本费用登记表!$Q$4:$Y$303,111,3)))</f>
        <v/>
      </c>
      <c r="J2440" s="26" t="str">
        <f>IF($E2440="","",INDEX(成本费用登记表!$C$4:$C$303,111))</f>
        <v/>
      </c>
      <c r="K2440" s="26" t="str">
        <f>IF($E2440="","",INDEX(成本费用登记表!$D$4:$D$303,111))</f>
        <v/>
      </c>
      <c r="L2440" s="32" t="str">
        <f>IF($E2440="","",INDEX(成本费用登记表!$N$4:$N$303,111))</f>
        <v/>
      </c>
      <c r="M2440" s="32"/>
      <c r="N2440" s="26" t="str">
        <f t="shared" si="118"/>
        <v/>
      </c>
      <c r="O2440" s="26" t="str">
        <f t="shared" si="119"/>
        <v/>
      </c>
      <c r="P2440" s="10"/>
    </row>
    <row r="2441" ht="18" customHeight="1" spans="1:16">
      <c r="A2441" s="32" t="str">
        <f t="shared" si="120"/>
        <v/>
      </c>
      <c r="B2441" s="100" t="str">
        <f>IF($E2441="","",INDEX(成本费用登记表!$B$4:$B$303,111))</f>
        <v/>
      </c>
      <c r="C2441" s="26" t="str">
        <f t="shared" si="117"/>
        <v/>
      </c>
      <c r="D2441" s="32" t="str">
        <f>IF($E2441="","",INDEX(成本费用登记表!$E$4:$E$303,111))</f>
        <v/>
      </c>
      <c r="E2441" s="26" t="str">
        <f>IF(INDEX(成本费用登记表!$Q$4:$Y$303,111,4)=0,"",INDEX(成本费用登记表!$Q$4:$Y$303,111,4))</f>
        <v/>
      </c>
      <c r="F2441" s="25" t="str">
        <f>IF($E2441="","",IFERROR(INDEX(科目表!$A$4:$A$81,MATCH($E2441,科目表!$B$4:$B$81,0)),""))</f>
        <v/>
      </c>
      <c r="G2441" s="26" t="str">
        <f>IF($E2441="","",IFERROR(INDEX(科目表!$E$4:$E$81,MATCH($E2441,科目表!$B$4:$B$81,0)),""))</f>
        <v/>
      </c>
      <c r="H2441" s="27" t="str">
        <f>IF($E2441="","",N(INDEX(成本费用登记表!$Q$4:$Y$303,111,5)))</f>
        <v/>
      </c>
      <c r="I2441" s="27" t="str">
        <f>IF($E2441="","",N(INDEX(成本费用登记表!$Q$4:$Y$303,111,6)))</f>
        <v/>
      </c>
      <c r="J2441" s="26" t="str">
        <f>IF($E2441="","",INDEX(成本费用登记表!$C$4:$C$303,111))</f>
        <v/>
      </c>
      <c r="K2441" s="26" t="str">
        <f>IF($E2441="","",INDEX(成本费用登记表!$D$4:$D$303,111))</f>
        <v/>
      </c>
      <c r="L2441" s="32" t="str">
        <f>IF($E2441="","",INDEX(成本费用登记表!$N$4:$N$303,111))</f>
        <v/>
      </c>
      <c r="M2441" s="32"/>
      <c r="N2441" s="26" t="str">
        <f t="shared" si="118"/>
        <v/>
      </c>
      <c r="O2441" s="26" t="str">
        <f t="shared" si="119"/>
        <v/>
      </c>
      <c r="P2441" s="10"/>
    </row>
    <row r="2442" ht="18" customHeight="1" spans="1:16">
      <c r="A2442" s="32" t="str">
        <f t="shared" si="120"/>
        <v/>
      </c>
      <c r="B2442" s="100" t="str">
        <f>IF($E2442="","",INDEX(成本费用登记表!$B$4:$B$303,111))</f>
        <v/>
      </c>
      <c r="C2442" s="26" t="str">
        <f t="shared" si="117"/>
        <v/>
      </c>
      <c r="D2442" s="32" t="str">
        <f>IF($E2442="","",INDEX(成本费用登记表!$E$4:$E$303,111))</f>
        <v/>
      </c>
      <c r="E2442" s="26" t="str">
        <f>IF(INDEX(成本费用登记表!$Q$4:$Y$303,111,7)=0,"",INDEX(成本费用登记表!$Q$4:$Y$303,111,7))</f>
        <v/>
      </c>
      <c r="F2442" s="25" t="str">
        <f>IF($E2442="","",IFERROR(INDEX(科目表!$A$4:$A$81,MATCH($E2442,科目表!$B$4:$B$81,0)),""))</f>
        <v/>
      </c>
      <c r="G2442" s="26" t="str">
        <f>IF($E2442="","",IFERROR(INDEX(科目表!$E$4:$E$81,MATCH($E2442,科目表!$B$4:$B$81,0)),""))</f>
        <v/>
      </c>
      <c r="H2442" s="27" t="str">
        <f>IF($E2442="","",N(INDEX(成本费用登记表!$Q$4:$Y$303,111,8)))</f>
        <v/>
      </c>
      <c r="I2442" s="27" t="str">
        <f>IF($E2442="","",N(INDEX(成本费用登记表!$Q$4:$Y$303,111,9)))</f>
        <v/>
      </c>
      <c r="J2442" s="26" t="str">
        <f>IF($E2442="","",INDEX(成本费用登记表!$C$4:$C$303,111))</f>
        <v/>
      </c>
      <c r="K2442" s="26" t="str">
        <f>IF($E2442="","",INDEX(成本费用登记表!$D$4:$D$303,111))</f>
        <v/>
      </c>
      <c r="L2442" s="32" t="str">
        <f>IF($E2442="","",INDEX(成本费用登记表!$N$4:$N$303,111))</f>
        <v/>
      </c>
      <c r="M2442" s="32"/>
      <c r="N2442" s="26" t="str">
        <f t="shared" si="118"/>
        <v/>
      </c>
      <c r="O2442" s="26" t="str">
        <f t="shared" si="119"/>
        <v/>
      </c>
      <c r="P2442" s="10"/>
    </row>
    <row r="2443" ht="18" customHeight="1" spans="1:16">
      <c r="A2443" s="32" t="str">
        <f t="shared" si="120"/>
        <v/>
      </c>
      <c r="B2443" s="100" t="str">
        <f>IF($E2443="","",INDEX(成本费用登记表!$B$4:$B$303,112))</f>
        <v/>
      </c>
      <c r="C2443" s="26" t="str">
        <f t="shared" si="117"/>
        <v/>
      </c>
      <c r="D2443" s="32" t="str">
        <f>IF($E2443="","",INDEX(成本费用登记表!$E$4:$E$303,112))</f>
        <v/>
      </c>
      <c r="E2443" s="26" t="str">
        <f>IF(INDEX(成本费用登记表!$Q$4:$Y$303,112,1)=0,"",INDEX(成本费用登记表!$Q$4:$Y$303,112,1))</f>
        <v/>
      </c>
      <c r="F2443" s="25" t="str">
        <f>IF($E2443="","",IFERROR(INDEX(科目表!$A$4:$A$81,MATCH($E2443,科目表!$B$4:$B$81,0)),""))</f>
        <v/>
      </c>
      <c r="G2443" s="26" t="str">
        <f>IF($E2443="","",IFERROR(INDEX(科目表!$E$4:$E$81,MATCH($E2443,科目表!$B$4:$B$81,0)),""))</f>
        <v/>
      </c>
      <c r="H2443" s="27" t="str">
        <f>IF($E2443="","",N(INDEX(成本费用登记表!$Q$4:$Y$303,112,2)))</f>
        <v/>
      </c>
      <c r="I2443" s="27" t="str">
        <f>IF($E2443="","",N(INDEX(成本费用登记表!$Q$4:$Y$303,112,3)))</f>
        <v/>
      </c>
      <c r="J2443" s="26" t="str">
        <f>IF($E2443="","",INDEX(成本费用登记表!$C$4:$C$303,112))</f>
        <v/>
      </c>
      <c r="K2443" s="26" t="str">
        <f>IF($E2443="","",INDEX(成本费用登记表!$D$4:$D$303,112))</f>
        <v/>
      </c>
      <c r="L2443" s="32" t="str">
        <f>IF($E2443="","",INDEX(成本费用登记表!$N$4:$N$303,112))</f>
        <v/>
      </c>
      <c r="M2443" s="32"/>
      <c r="N2443" s="26" t="str">
        <f t="shared" si="118"/>
        <v/>
      </c>
      <c r="O2443" s="26" t="str">
        <f t="shared" si="119"/>
        <v/>
      </c>
      <c r="P2443" s="10"/>
    </row>
    <row r="2444" ht="18" customHeight="1" spans="1:16">
      <c r="A2444" s="32" t="str">
        <f t="shared" si="120"/>
        <v/>
      </c>
      <c r="B2444" s="100" t="str">
        <f>IF($E2444="","",INDEX(成本费用登记表!$B$4:$B$303,112))</f>
        <v/>
      </c>
      <c r="C2444" s="26" t="str">
        <f t="shared" si="117"/>
        <v/>
      </c>
      <c r="D2444" s="32" t="str">
        <f>IF($E2444="","",INDEX(成本费用登记表!$E$4:$E$303,112))</f>
        <v/>
      </c>
      <c r="E2444" s="26" t="str">
        <f>IF(INDEX(成本费用登记表!$Q$4:$Y$303,112,4)=0,"",INDEX(成本费用登记表!$Q$4:$Y$303,112,4))</f>
        <v/>
      </c>
      <c r="F2444" s="25" t="str">
        <f>IF($E2444="","",IFERROR(INDEX(科目表!$A$4:$A$81,MATCH($E2444,科目表!$B$4:$B$81,0)),""))</f>
        <v/>
      </c>
      <c r="G2444" s="26" t="str">
        <f>IF($E2444="","",IFERROR(INDEX(科目表!$E$4:$E$81,MATCH($E2444,科目表!$B$4:$B$81,0)),""))</f>
        <v/>
      </c>
      <c r="H2444" s="27" t="str">
        <f>IF($E2444="","",N(INDEX(成本费用登记表!$Q$4:$Y$303,112,5)))</f>
        <v/>
      </c>
      <c r="I2444" s="27" t="str">
        <f>IF($E2444="","",N(INDEX(成本费用登记表!$Q$4:$Y$303,112,6)))</f>
        <v/>
      </c>
      <c r="J2444" s="26" t="str">
        <f>IF($E2444="","",INDEX(成本费用登记表!$C$4:$C$303,112))</f>
        <v/>
      </c>
      <c r="K2444" s="26" t="str">
        <f>IF($E2444="","",INDEX(成本费用登记表!$D$4:$D$303,112))</f>
        <v/>
      </c>
      <c r="L2444" s="32" t="str">
        <f>IF($E2444="","",INDEX(成本费用登记表!$N$4:$N$303,112))</f>
        <v/>
      </c>
      <c r="M2444" s="32"/>
      <c r="N2444" s="26" t="str">
        <f t="shared" si="118"/>
        <v/>
      </c>
      <c r="O2444" s="26" t="str">
        <f t="shared" si="119"/>
        <v/>
      </c>
      <c r="P2444" s="10"/>
    </row>
    <row r="2445" ht="18" customHeight="1" spans="1:16">
      <c r="A2445" s="32" t="str">
        <f t="shared" si="120"/>
        <v/>
      </c>
      <c r="B2445" s="100" t="str">
        <f>IF($E2445="","",INDEX(成本费用登记表!$B$4:$B$303,112))</f>
        <v/>
      </c>
      <c r="C2445" s="26" t="str">
        <f t="shared" si="117"/>
        <v/>
      </c>
      <c r="D2445" s="32" t="str">
        <f>IF($E2445="","",INDEX(成本费用登记表!$E$4:$E$303,112))</f>
        <v/>
      </c>
      <c r="E2445" s="26" t="str">
        <f>IF(INDEX(成本费用登记表!$Q$4:$Y$303,112,7)=0,"",INDEX(成本费用登记表!$Q$4:$Y$303,112,7))</f>
        <v/>
      </c>
      <c r="F2445" s="25" t="str">
        <f>IF($E2445="","",IFERROR(INDEX(科目表!$A$4:$A$81,MATCH($E2445,科目表!$B$4:$B$81,0)),""))</f>
        <v/>
      </c>
      <c r="G2445" s="26" t="str">
        <f>IF($E2445="","",IFERROR(INDEX(科目表!$E$4:$E$81,MATCH($E2445,科目表!$B$4:$B$81,0)),""))</f>
        <v/>
      </c>
      <c r="H2445" s="27" t="str">
        <f>IF($E2445="","",N(INDEX(成本费用登记表!$Q$4:$Y$303,112,8)))</f>
        <v/>
      </c>
      <c r="I2445" s="27" t="str">
        <f>IF($E2445="","",N(INDEX(成本费用登记表!$Q$4:$Y$303,112,9)))</f>
        <v/>
      </c>
      <c r="J2445" s="26" t="str">
        <f>IF($E2445="","",INDEX(成本费用登记表!$C$4:$C$303,112))</f>
        <v/>
      </c>
      <c r="K2445" s="26" t="str">
        <f>IF($E2445="","",INDEX(成本费用登记表!$D$4:$D$303,112))</f>
        <v/>
      </c>
      <c r="L2445" s="32" t="str">
        <f>IF($E2445="","",INDEX(成本费用登记表!$N$4:$N$303,112))</f>
        <v/>
      </c>
      <c r="M2445" s="32"/>
      <c r="N2445" s="26" t="str">
        <f t="shared" si="118"/>
        <v/>
      </c>
      <c r="O2445" s="26" t="str">
        <f t="shared" si="119"/>
        <v/>
      </c>
      <c r="P2445" s="10"/>
    </row>
    <row r="2446" ht="18" customHeight="1" spans="1:16">
      <c r="A2446" s="32" t="str">
        <f t="shared" si="120"/>
        <v/>
      </c>
      <c r="B2446" s="100" t="str">
        <f>IF($E2446="","",INDEX(成本费用登记表!$B$4:$B$303,113))</f>
        <v/>
      </c>
      <c r="C2446" s="26" t="str">
        <f t="shared" si="117"/>
        <v/>
      </c>
      <c r="D2446" s="32" t="str">
        <f>IF($E2446="","",INDEX(成本费用登记表!$E$4:$E$303,113))</f>
        <v/>
      </c>
      <c r="E2446" s="26" t="str">
        <f>IF(INDEX(成本费用登记表!$Q$4:$Y$303,113,1)=0,"",INDEX(成本费用登记表!$Q$4:$Y$303,113,1))</f>
        <v/>
      </c>
      <c r="F2446" s="25" t="str">
        <f>IF($E2446="","",IFERROR(INDEX(科目表!$A$4:$A$81,MATCH($E2446,科目表!$B$4:$B$81,0)),""))</f>
        <v/>
      </c>
      <c r="G2446" s="26" t="str">
        <f>IF($E2446="","",IFERROR(INDEX(科目表!$E$4:$E$81,MATCH($E2446,科目表!$B$4:$B$81,0)),""))</f>
        <v/>
      </c>
      <c r="H2446" s="27" t="str">
        <f>IF($E2446="","",N(INDEX(成本费用登记表!$Q$4:$Y$303,113,2)))</f>
        <v/>
      </c>
      <c r="I2446" s="27" t="str">
        <f>IF($E2446="","",N(INDEX(成本费用登记表!$Q$4:$Y$303,113,3)))</f>
        <v/>
      </c>
      <c r="J2446" s="26" t="str">
        <f>IF($E2446="","",INDEX(成本费用登记表!$C$4:$C$303,113))</f>
        <v/>
      </c>
      <c r="K2446" s="26" t="str">
        <f>IF($E2446="","",INDEX(成本费用登记表!$D$4:$D$303,113))</f>
        <v/>
      </c>
      <c r="L2446" s="32" t="str">
        <f>IF($E2446="","",INDEX(成本费用登记表!$N$4:$N$303,113))</f>
        <v/>
      </c>
      <c r="M2446" s="32"/>
      <c r="N2446" s="26" t="str">
        <f t="shared" si="118"/>
        <v/>
      </c>
      <c r="O2446" s="26" t="str">
        <f t="shared" si="119"/>
        <v/>
      </c>
      <c r="P2446" s="10"/>
    </row>
    <row r="2447" ht="18" customHeight="1" spans="1:16">
      <c r="A2447" s="32" t="str">
        <f t="shared" si="120"/>
        <v/>
      </c>
      <c r="B2447" s="100" t="str">
        <f>IF($E2447="","",INDEX(成本费用登记表!$B$4:$B$303,113))</f>
        <v/>
      </c>
      <c r="C2447" s="26" t="str">
        <f t="shared" si="117"/>
        <v/>
      </c>
      <c r="D2447" s="32" t="str">
        <f>IF($E2447="","",INDEX(成本费用登记表!$E$4:$E$303,113))</f>
        <v/>
      </c>
      <c r="E2447" s="26" t="str">
        <f>IF(INDEX(成本费用登记表!$Q$4:$Y$303,113,4)=0,"",INDEX(成本费用登记表!$Q$4:$Y$303,113,4))</f>
        <v/>
      </c>
      <c r="F2447" s="25" t="str">
        <f>IF($E2447="","",IFERROR(INDEX(科目表!$A$4:$A$81,MATCH($E2447,科目表!$B$4:$B$81,0)),""))</f>
        <v/>
      </c>
      <c r="G2447" s="26" t="str">
        <f>IF($E2447="","",IFERROR(INDEX(科目表!$E$4:$E$81,MATCH($E2447,科目表!$B$4:$B$81,0)),""))</f>
        <v/>
      </c>
      <c r="H2447" s="27" t="str">
        <f>IF($E2447="","",N(INDEX(成本费用登记表!$Q$4:$Y$303,113,5)))</f>
        <v/>
      </c>
      <c r="I2447" s="27" t="str">
        <f>IF($E2447="","",N(INDEX(成本费用登记表!$Q$4:$Y$303,113,6)))</f>
        <v/>
      </c>
      <c r="J2447" s="26" t="str">
        <f>IF($E2447="","",INDEX(成本费用登记表!$C$4:$C$303,113))</f>
        <v/>
      </c>
      <c r="K2447" s="26" t="str">
        <f>IF($E2447="","",INDEX(成本费用登记表!$D$4:$D$303,113))</f>
        <v/>
      </c>
      <c r="L2447" s="32" t="str">
        <f>IF($E2447="","",INDEX(成本费用登记表!$N$4:$N$303,113))</f>
        <v/>
      </c>
      <c r="M2447" s="32"/>
      <c r="N2447" s="26" t="str">
        <f t="shared" si="118"/>
        <v/>
      </c>
      <c r="O2447" s="26" t="str">
        <f t="shared" si="119"/>
        <v/>
      </c>
      <c r="P2447" s="10"/>
    </row>
    <row r="2448" ht="18" customHeight="1" spans="1:16">
      <c r="A2448" s="32" t="str">
        <f t="shared" si="120"/>
        <v/>
      </c>
      <c r="B2448" s="100" t="str">
        <f>IF($E2448="","",INDEX(成本费用登记表!$B$4:$B$303,113))</f>
        <v/>
      </c>
      <c r="C2448" s="26" t="str">
        <f t="shared" si="117"/>
        <v/>
      </c>
      <c r="D2448" s="32" t="str">
        <f>IF($E2448="","",INDEX(成本费用登记表!$E$4:$E$303,113))</f>
        <v/>
      </c>
      <c r="E2448" s="26" t="str">
        <f>IF(INDEX(成本费用登记表!$Q$4:$Y$303,113,7)=0,"",INDEX(成本费用登记表!$Q$4:$Y$303,113,7))</f>
        <v/>
      </c>
      <c r="F2448" s="25" t="str">
        <f>IF($E2448="","",IFERROR(INDEX(科目表!$A$4:$A$81,MATCH($E2448,科目表!$B$4:$B$81,0)),""))</f>
        <v/>
      </c>
      <c r="G2448" s="26" t="str">
        <f>IF($E2448="","",IFERROR(INDEX(科目表!$E$4:$E$81,MATCH($E2448,科目表!$B$4:$B$81,0)),""))</f>
        <v/>
      </c>
      <c r="H2448" s="27" t="str">
        <f>IF($E2448="","",N(INDEX(成本费用登记表!$Q$4:$Y$303,113,8)))</f>
        <v/>
      </c>
      <c r="I2448" s="27" t="str">
        <f>IF($E2448="","",N(INDEX(成本费用登记表!$Q$4:$Y$303,113,9)))</f>
        <v/>
      </c>
      <c r="J2448" s="26" t="str">
        <f>IF($E2448="","",INDEX(成本费用登记表!$C$4:$C$303,113))</f>
        <v/>
      </c>
      <c r="K2448" s="26" t="str">
        <f>IF($E2448="","",INDEX(成本费用登记表!$D$4:$D$303,113))</f>
        <v/>
      </c>
      <c r="L2448" s="32" t="str">
        <f>IF($E2448="","",INDEX(成本费用登记表!$N$4:$N$303,113))</f>
        <v/>
      </c>
      <c r="M2448" s="32"/>
      <c r="N2448" s="26" t="str">
        <f t="shared" si="118"/>
        <v/>
      </c>
      <c r="O2448" s="26" t="str">
        <f t="shared" si="119"/>
        <v/>
      </c>
      <c r="P2448" s="10"/>
    </row>
    <row r="2449" ht="18" customHeight="1" spans="1:16">
      <c r="A2449" s="32" t="str">
        <f t="shared" si="120"/>
        <v/>
      </c>
      <c r="B2449" s="100" t="str">
        <f>IF($E2449="","",INDEX(成本费用登记表!$B$4:$B$303,114))</f>
        <v/>
      </c>
      <c r="C2449" s="26" t="str">
        <f t="shared" si="117"/>
        <v/>
      </c>
      <c r="D2449" s="32" t="str">
        <f>IF($E2449="","",INDEX(成本费用登记表!$E$4:$E$303,114))</f>
        <v/>
      </c>
      <c r="E2449" s="26" t="str">
        <f>IF(INDEX(成本费用登记表!$Q$4:$Y$303,114,1)=0,"",INDEX(成本费用登记表!$Q$4:$Y$303,114,1))</f>
        <v/>
      </c>
      <c r="F2449" s="25" t="str">
        <f>IF($E2449="","",IFERROR(INDEX(科目表!$A$4:$A$81,MATCH($E2449,科目表!$B$4:$B$81,0)),""))</f>
        <v/>
      </c>
      <c r="G2449" s="26" t="str">
        <f>IF($E2449="","",IFERROR(INDEX(科目表!$E$4:$E$81,MATCH($E2449,科目表!$B$4:$B$81,0)),""))</f>
        <v/>
      </c>
      <c r="H2449" s="27" t="str">
        <f>IF($E2449="","",N(INDEX(成本费用登记表!$Q$4:$Y$303,114,2)))</f>
        <v/>
      </c>
      <c r="I2449" s="27" t="str">
        <f>IF($E2449="","",N(INDEX(成本费用登记表!$Q$4:$Y$303,114,3)))</f>
        <v/>
      </c>
      <c r="J2449" s="26" t="str">
        <f>IF($E2449="","",INDEX(成本费用登记表!$C$4:$C$303,114))</f>
        <v/>
      </c>
      <c r="K2449" s="26" t="str">
        <f>IF($E2449="","",INDEX(成本费用登记表!$D$4:$D$303,114))</f>
        <v/>
      </c>
      <c r="L2449" s="32" t="str">
        <f>IF($E2449="","",INDEX(成本费用登记表!$N$4:$N$303,114))</f>
        <v/>
      </c>
      <c r="M2449" s="32"/>
      <c r="N2449" s="26" t="str">
        <f t="shared" si="118"/>
        <v/>
      </c>
      <c r="O2449" s="26" t="str">
        <f t="shared" si="119"/>
        <v/>
      </c>
      <c r="P2449" s="10"/>
    </row>
    <row r="2450" ht="18" customHeight="1" spans="1:16">
      <c r="A2450" s="32" t="str">
        <f t="shared" si="120"/>
        <v/>
      </c>
      <c r="B2450" s="100" t="str">
        <f>IF($E2450="","",INDEX(成本费用登记表!$B$4:$B$303,114))</f>
        <v/>
      </c>
      <c r="C2450" s="26" t="str">
        <f t="shared" si="117"/>
        <v/>
      </c>
      <c r="D2450" s="32" t="str">
        <f>IF($E2450="","",INDEX(成本费用登记表!$E$4:$E$303,114))</f>
        <v/>
      </c>
      <c r="E2450" s="26" t="str">
        <f>IF(INDEX(成本费用登记表!$Q$4:$Y$303,114,4)=0,"",INDEX(成本费用登记表!$Q$4:$Y$303,114,4))</f>
        <v/>
      </c>
      <c r="F2450" s="25" t="str">
        <f>IF($E2450="","",IFERROR(INDEX(科目表!$A$4:$A$81,MATCH($E2450,科目表!$B$4:$B$81,0)),""))</f>
        <v/>
      </c>
      <c r="G2450" s="26" t="str">
        <f>IF($E2450="","",IFERROR(INDEX(科目表!$E$4:$E$81,MATCH($E2450,科目表!$B$4:$B$81,0)),""))</f>
        <v/>
      </c>
      <c r="H2450" s="27" t="str">
        <f>IF($E2450="","",N(INDEX(成本费用登记表!$Q$4:$Y$303,114,5)))</f>
        <v/>
      </c>
      <c r="I2450" s="27" t="str">
        <f>IF($E2450="","",N(INDEX(成本费用登记表!$Q$4:$Y$303,114,6)))</f>
        <v/>
      </c>
      <c r="J2450" s="26" t="str">
        <f>IF($E2450="","",INDEX(成本费用登记表!$C$4:$C$303,114))</f>
        <v/>
      </c>
      <c r="K2450" s="26" t="str">
        <f>IF($E2450="","",INDEX(成本费用登记表!$D$4:$D$303,114))</f>
        <v/>
      </c>
      <c r="L2450" s="32" t="str">
        <f>IF($E2450="","",INDEX(成本费用登记表!$N$4:$N$303,114))</f>
        <v/>
      </c>
      <c r="M2450" s="32"/>
      <c r="N2450" s="26" t="str">
        <f t="shared" si="118"/>
        <v/>
      </c>
      <c r="O2450" s="26" t="str">
        <f t="shared" si="119"/>
        <v/>
      </c>
      <c r="P2450" s="10"/>
    </row>
    <row r="2451" ht="18" customHeight="1" spans="1:16">
      <c r="A2451" s="32" t="str">
        <f t="shared" si="120"/>
        <v/>
      </c>
      <c r="B2451" s="100" t="str">
        <f>IF($E2451="","",INDEX(成本费用登记表!$B$4:$B$303,114))</f>
        <v/>
      </c>
      <c r="C2451" s="26" t="str">
        <f t="shared" si="117"/>
        <v/>
      </c>
      <c r="D2451" s="32" t="str">
        <f>IF($E2451="","",INDEX(成本费用登记表!$E$4:$E$303,114))</f>
        <v/>
      </c>
      <c r="E2451" s="26" t="str">
        <f>IF(INDEX(成本费用登记表!$Q$4:$Y$303,114,7)=0,"",INDEX(成本费用登记表!$Q$4:$Y$303,114,7))</f>
        <v/>
      </c>
      <c r="F2451" s="25" t="str">
        <f>IF($E2451="","",IFERROR(INDEX(科目表!$A$4:$A$81,MATCH($E2451,科目表!$B$4:$B$81,0)),""))</f>
        <v/>
      </c>
      <c r="G2451" s="26" t="str">
        <f>IF($E2451="","",IFERROR(INDEX(科目表!$E$4:$E$81,MATCH($E2451,科目表!$B$4:$B$81,0)),""))</f>
        <v/>
      </c>
      <c r="H2451" s="27" t="str">
        <f>IF($E2451="","",N(INDEX(成本费用登记表!$Q$4:$Y$303,114,8)))</f>
        <v/>
      </c>
      <c r="I2451" s="27" t="str">
        <f>IF($E2451="","",N(INDEX(成本费用登记表!$Q$4:$Y$303,114,9)))</f>
        <v/>
      </c>
      <c r="J2451" s="26" t="str">
        <f>IF($E2451="","",INDEX(成本费用登记表!$C$4:$C$303,114))</f>
        <v/>
      </c>
      <c r="K2451" s="26" t="str">
        <f>IF($E2451="","",INDEX(成本费用登记表!$D$4:$D$303,114))</f>
        <v/>
      </c>
      <c r="L2451" s="32" t="str">
        <f>IF($E2451="","",INDEX(成本费用登记表!$N$4:$N$303,114))</f>
        <v/>
      </c>
      <c r="M2451" s="32"/>
      <c r="N2451" s="26" t="str">
        <f t="shared" si="118"/>
        <v/>
      </c>
      <c r="O2451" s="26" t="str">
        <f t="shared" si="119"/>
        <v/>
      </c>
      <c r="P2451" s="10"/>
    </row>
    <row r="2452" ht="18" customHeight="1" spans="1:16">
      <c r="A2452" s="32" t="str">
        <f t="shared" si="120"/>
        <v/>
      </c>
      <c r="B2452" s="100" t="str">
        <f>IF($E2452="","",INDEX(成本费用登记表!$B$4:$B$303,115))</f>
        <v/>
      </c>
      <c r="C2452" s="26" t="str">
        <f t="shared" si="117"/>
        <v/>
      </c>
      <c r="D2452" s="32" t="str">
        <f>IF($E2452="","",INDEX(成本费用登记表!$E$4:$E$303,115))</f>
        <v/>
      </c>
      <c r="E2452" s="26" t="str">
        <f>IF(INDEX(成本费用登记表!$Q$4:$Y$303,115,1)=0,"",INDEX(成本费用登记表!$Q$4:$Y$303,115,1))</f>
        <v/>
      </c>
      <c r="F2452" s="25" t="str">
        <f>IF($E2452="","",IFERROR(INDEX(科目表!$A$4:$A$81,MATCH($E2452,科目表!$B$4:$B$81,0)),""))</f>
        <v/>
      </c>
      <c r="G2452" s="26" t="str">
        <f>IF($E2452="","",IFERROR(INDEX(科目表!$E$4:$E$81,MATCH($E2452,科目表!$B$4:$B$81,0)),""))</f>
        <v/>
      </c>
      <c r="H2452" s="27" t="str">
        <f>IF($E2452="","",N(INDEX(成本费用登记表!$Q$4:$Y$303,115,2)))</f>
        <v/>
      </c>
      <c r="I2452" s="27" t="str">
        <f>IF($E2452="","",N(INDEX(成本费用登记表!$Q$4:$Y$303,115,3)))</f>
        <v/>
      </c>
      <c r="J2452" s="26" t="str">
        <f>IF($E2452="","",INDEX(成本费用登记表!$C$4:$C$303,115))</f>
        <v/>
      </c>
      <c r="K2452" s="26" t="str">
        <f>IF($E2452="","",INDEX(成本费用登记表!$D$4:$D$303,115))</f>
        <v/>
      </c>
      <c r="L2452" s="32" t="str">
        <f>IF($E2452="","",INDEX(成本费用登记表!$N$4:$N$303,115))</f>
        <v/>
      </c>
      <c r="M2452" s="32"/>
      <c r="N2452" s="26" t="str">
        <f t="shared" si="118"/>
        <v/>
      </c>
      <c r="O2452" s="26" t="str">
        <f t="shared" si="119"/>
        <v/>
      </c>
      <c r="P2452" s="10"/>
    </row>
    <row r="2453" ht="18" customHeight="1" spans="1:16">
      <c r="A2453" s="32" t="str">
        <f t="shared" si="120"/>
        <v/>
      </c>
      <c r="B2453" s="100" t="str">
        <f>IF($E2453="","",INDEX(成本费用登记表!$B$4:$B$303,115))</f>
        <v/>
      </c>
      <c r="C2453" s="26" t="str">
        <f t="shared" si="117"/>
        <v/>
      </c>
      <c r="D2453" s="32" t="str">
        <f>IF($E2453="","",INDEX(成本费用登记表!$E$4:$E$303,115))</f>
        <v/>
      </c>
      <c r="E2453" s="26" t="str">
        <f>IF(INDEX(成本费用登记表!$Q$4:$Y$303,115,4)=0,"",INDEX(成本费用登记表!$Q$4:$Y$303,115,4))</f>
        <v/>
      </c>
      <c r="F2453" s="25" t="str">
        <f>IF($E2453="","",IFERROR(INDEX(科目表!$A$4:$A$81,MATCH($E2453,科目表!$B$4:$B$81,0)),""))</f>
        <v/>
      </c>
      <c r="G2453" s="26" t="str">
        <f>IF($E2453="","",IFERROR(INDEX(科目表!$E$4:$E$81,MATCH($E2453,科目表!$B$4:$B$81,0)),""))</f>
        <v/>
      </c>
      <c r="H2453" s="27" t="str">
        <f>IF($E2453="","",N(INDEX(成本费用登记表!$Q$4:$Y$303,115,5)))</f>
        <v/>
      </c>
      <c r="I2453" s="27" t="str">
        <f>IF($E2453="","",N(INDEX(成本费用登记表!$Q$4:$Y$303,115,6)))</f>
        <v/>
      </c>
      <c r="J2453" s="26" t="str">
        <f>IF($E2453="","",INDEX(成本费用登记表!$C$4:$C$303,115))</f>
        <v/>
      </c>
      <c r="K2453" s="26" t="str">
        <f>IF($E2453="","",INDEX(成本费用登记表!$D$4:$D$303,115))</f>
        <v/>
      </c>
      <c r="L2453" s="32" t="str">
        <f>IF($E2453="","",INDEX(成本费用登记表!$N$4:$N$303,115))</f>
        <v/>
      </c>
      <c r="M2453" s="32"/>
      <c r="N2453" s="26" t="str">
        <f t="shared" si="118"/>
        <v/>
      </c>
      <c r="O2453" s="26" t="str">
        <f t="shared" si="119"/>
        <v/>
      </c>
      <c r="P2453" s="10"/>
    </row>
    <row r="2454" ht="18" customHeight="1" spans="1:16">
      <c r="A2454" s="32" t="str">
        <f t="shared" si="120"/>
        <v/>
      </c>
      <c r="B2454" s="100" t="str">
        <f>IF($E2454="","",INDEX(成本费用登记表!$B$4:$B$303,115))</f>
        <v/>
      </c>
      <c r="C2454" s="26" t="str">
        <f t="shared" si="117"/>
        <v/>
      </c>
      <c r="D2454" s="32" t="str">
        <f>IF($E2454="","",INDEX(成本费用登记表!$E$4:$E$303,115))</f>
        <v/>
      </c>
      <c r="E2454" s="26" t="str">
        <f>IF(INDEX(成本费用登记表!$Q$4:$Y$303,115,7)=0,"",INDEX(成本费用登记表!$Q$4:$Y$303,115,7))</f>
        <v/>
      </c>
      <c r="F2454" s="25" t="str">
        <f>IF($E2454="","",IFERROR(INDEX(科目表!$A$4:$A$81,MATCH($E2454,科目表!$B$4:$B$81,0)),""))</f>
        <v/>
      </c>
      <c r="G2454" s="26" t="str">
        <f>IF($E2454="","",IFERROR(INDEX(科目表!$E$4:$E$81,MATCH($E2454,科目表!$B$4:$B$81,0)),""))</f>
        <v/>
      </c>
      <c r="H2454" s="27" t="str">
        <f>IF($E2454="","",N(INDEX(成本费用登记表!$Q$4:$Y$303,115,8)))</f>
        <v/>
      </c>
      <c r="I2454" s="27" t="str">
        <f>IF($E2454="","",N(INDEX(成本费用登记表!$Q$4:$Y$303,115,9)))</f>
        <v/>
      </c>
      <c r="J2454" s="26" t="str">
        <f>IF($E2454="","",INDEX(成本费用登记表!$C$4:$C$303,115))</f>
        <v/>
      </c>
      <c r="K2454" s="26" t="str">
        <f>IF($E2454="","",INDEX(成本费用登记表!$D$4:$D$303,115))</f>
        <v/>
      </c>
      <c r="L2454" s="32" t="str">
        <f>IF($E2454="","",INDEX(成本费用登记表!$N$4:$N$303,115))</f>
        <v/>
      </c>
      <c r="M2454" s="32"/>
      <c r="N2454" s="26" t="str">
        <f t="shared" si="118"/>
        <v/>
      </c>
      <c r="O2454" s="26" t="str">
        <f t="shared" si="119"/>
        <v/>
      </c>
      <c r="P2454" s="10"/>
    </row>
    <row r="2455" ht="18" customHeight="1" spans="1:16">
      <c r="A2455" s="32" t="str">
        <f t="shared" si="120"/>
        <v/>
      </c>
      <c r="B2455" s="100" t="str">
        <f>IF($E2455="","",INDEX(成本费用登记表!$B$4:$B$303,116))</f>
        <v/>
      </c>
      <c r="C2455" s="26" t="str">
        <f t="shared" si="117"/>
        <v/>
      </c>
      <c r="D2455" s="32" t="str">
        <f>IF($E2455="","",INDEX(成本费用登记表!$E$4:$E$303,116))</f>
        <v/>
      </c>
      <c r="E2455" s="26" t="str">
        <f>IF(INDEX(成本费用登记表!$Q$4:$Y$303,116,1)=0,"",INDEX(成本费用登记表!$Q$4:$Y$303,116,1))</f>
        <v/>
      </c>
      <c r="F2455" s="25" t="str">
        <f>IF($E2455="","",IFERROR(INDEX(科目表!$A$4:$A$81,MATCH($E2455,科目表!$B$4:$B$81,0)),""))</f>
        <v/>
      </c>
      <c r="G2455" s="26" t="str">
        <f>IF($E2455="","",IFERROR(INDEX(科目表!$E$4:$E$81,MATCH($E2455,科目表!$B$4:$B$81,0)),""))</f>
        <v/>
      </c>
      <c r="H2455" s="27" t="str">
        <f>IF($E2455="","",N(INDEX(成本费用登记表!$Q$4:$Y$303,116,2)))</f>
        <v/>
      </c>
      <c r="I2455" s="27" t="str">
        <f>IF($E2455="","",N(INDEX(成本费用登记表!$Q$4:$Y$303,116,3)))</f>
        <v/>
      </c>
      <c r="J2455" s="26" t="str">
        <f>IF($E2455="","",INDEX(成本费用登记表!$C$4:$C$303,116))</f>
        <v/>
      </c>
      <c r="K2455" s="26" t="str">
        <f>IF($E2455="","",INDEX(成本费用登记表!$D$4:$D$303,116))</f>
        <v/>
      </c>
      <c r="L2455" s="32" t="str">
        <f>IF($E2455="","",INDEX(成本费用登记表!$N$4:$N$303,116))</f>
        <v/>
      </c>
      <c r="M2455" s="32"/>
      <c r="N2455" s="26" t="str">
        <f t="shared" si="118"/>
        <v/>
      </c>
      <c r="O2455" s="26" t="str">
        <f t="shared" si="119"/>
        <v/>
      </c>
      <c r="P2455" s="10"/>
    </row>
    <row r="2456" ht="18" customHeight="1" spans="1:16">
      <c r="A2456" s="32" t="str">
        <f t="shared" si="120"/>
        <v/>
      </c>
      <c r="B2456" s="100" t="str">
        <f>IF($E2456="","",INDEX(成本费用登记表!$B$4:$B$303,116))</f>
        <v/>
      </c>
      <c r="C2456" s="26" t="str">
        <f t="shared" si="117"/>
        <v/>
      </c>
      <c r="D2456" s="32" t="str">
        <f>IF($E2456="","",INDEX(成本费用登记表!$E$4:$E$303,116))</f>
        <v/>
      </c>
      <c r="E2456" s="26" t="str">
        <f>IF(INDEX(成本费用登记表!$Q$4:$Y$303,116,4)=0,"",INDEX(成本费用登记表!$Q$4:$Y$303,116,4))</f>
        <v/>
      </c>
      <c r="F2456" s="25" t="str">
        <f>IF($E2456="","",IFERROR(INDEX(科目表!$A$4:$A$81,MATCH($E2456,科目表!$B$4:$B$81,0)),""))</f>
        <v/>
      </c>
      <c r="G2456" s="26" t="str">
        <f>IF($E2456="","",IFERROR(INDEX(科目表!$E$4:$E$81,MATCH($E2456,科目表!$B$4:$B$81,0)),""))</f>
        <v/>
      </c>
      <c r="H2456" s="27" t="str">
        <f>IF($E2456="","",N(INDEX(成本费用登记表!$Q$4:$Y$303,116,5)))</f>
        <v/>
      </c>
      <c r="I2456" s="27" t="str">
        <f>IF($E2456="","",N(INDEX(成本费用登记表!$Q$4:$Y$303,116,6)))</f>
        <v/>
      </c>
      <c r="J2456" s="26" t="str">
        <f>IF($E2456="","",INDEX(成本费用登记表!$C$4:$C$303,116))</f>
        <v/>
      </c>
      <c r="K2456" s="26" t="str">
        <f>IF($E2456="","",INDEX(成本费用登记表!$D$4:$D$303,116))</f>
        <v/>
      </c>
      <c r="L2456" s="32" t="str">
        <f>IF($E2456="","",INDEX(成本费用登记表!$N$4:$N$303,116))</f>
        <v/>
      </c>
      <c r="M2456" s="32"/>
      <c r="N2456" s="26" t="str">
        <f t="shared" si="118"/>
        <v/>
      </c>
      <c r="O2456" s="26" t="str">
        <f t="shared" si="119"/>
        <v/>
      </c>
      <c r="P2456" s="10"/>
    </row>
    <row r="2457" ht="18" customHeight="1" spans="1:16">
      <c r="A2457" s="32" t="str">
        <f t="shared" si="120"/>
        <v/>
      </c>
      <c r="B2457" s="100" t="str">
        <f>IF($E2457="","",INDEX(成本费用登记表!$B$4:$B$303,116))</f>
        <v/>
      </c>
      <c r="C2457" s="26" t="str">
        <f t="shared" si="117"/>
        <v/>
      </c>
      <c r="D2457" s="32" t="str">
        <f>IF($E2457="","",INDEX(成本费用登记表!$E$4:$E$303,116))</f>
        <v/>
      </c>
      <c r="E2457" s="26" t="str">
        <f>IF(INDEX(成本费用登记表!$Q$4:$Y$303,116,7)=0,"",INDEX(成本费用登记表!$Q$4:$Y$303,116,7))</f>
        <v/>
      </c>
      <c r="F2457" s="25" t="str">
        <f>IF($E2457="","",IFERROR(INDEX(科目表!$A$4:$A$81,MATCH($E2457,科目表!$B$4:$B$81,0)),""))</f>
        <v/>
      </c>
      <c r="G2457" s="26" t="str">
        <f>IF($E2457="","",IFERROR(INDEX(科目表!$E$4:$E$81,MATCH($E2457,科目表!$B$4:$B$81,0)),""))</f>
        <v/>
      </c>
      <c r="H2457" s="27" t="str">
        <f>IF($E2457="","",N(INDEX(成本费用登记表!$Q$4:$Y$303,116,8)))</f>
        <v/>
      </c>
      <c r="I2457" s="27" t="str">
        <f>IF($E2457="","",N(INDEX(成本费用登记表!$Q$4:$Y$303,116,9)))</f>
        <v/>
      </c>
      <c r="J2457" s="26" t="str">
        <f>IF($E2457="","",INDEX(成本费用登记表!$C$4:$C$303,116))</f>
        <v/>
      </c>
      <c r="K2457" s="26" t="str">
        <f>IF($E2457="","",INDEX(成本费用登记表!$D$4:$D$303,116))</f>
        <v/>
      </c>
      <c r="L2457" s="32" t="str">
        <f>IF($E2457="","",INDEX(成本费用登记表!$N$4:$N$303,116))</f>
        <v/>
      </c>
      <c r="M2457" s="32"/>
      <c r="N2457" s="26" t="str">
        <f t="shared" si="118"/>
        <v/>
      </c>
      <c r="O2457" s="26" t="str">
        <f t="shared" si="119"/>
        <v/>
      </c>
      <c r="P2457" s="10"/>
    </row>
    <row r="2458" ht="18" customHeight="1" spans="1:16">
      <c r="A2458" s="32" t="str">
        <f t="shared" si="120"/>
        <v/>
      </c>
      <c r="B2458" s="100" t="str">
        <f>IF($E2458="","",INDEX(成本费用登记表!$B$4:$B$303,117))</f>
        <v/>
      </c>
      <c r="C2458" s="26" t="str">
        <f t="shared" si="117"/>
        <v/>
      </c>
      <c r="D2458" s="32" t="str">
        <f>IF($E2458="","",INDEX(成本费用登记表!$E$4:$E$303,117))</f>
        <v/>
      </c>
      <c r="E2458" s="26" t="str">
        <f>IF(INDEX(成本费用登记表!$Q$4:$Y$303,117,1)=0,"",INDEX(成本费用登记表!$Q$4:$Y$303,117,1))</f>
        <v/>
      </c>
      <c r="F2458" s="25" t="str">
        <f>IF($E2458="","",IFERROR(INDEX(科目表!$A$4:$A$81,MATCH($E2458,科目表!$B$4:$B$81,0)),""))</f>
        <v/>
      </c>
      <c r="G2458" s="26" t="str">
        <f>IF($E2458="","",IFERROR(INDEX(科目表!$E$4:$E$81,MATCH($E2458,科目表!$B$4:$B$81,0)),""))</f>
        <v/>
      </c>
      <c r="H2458" s="27" t="str">
        <f>IF($E2458="","",N(INDEX(成本费用登记表!$Q$4:$Y$303,117,2)))</f>
        <v/>
      </c>
      <c r="I2458" s="27" t="str">
        <f>IF($E2458="","",N(INDEX(成本费用登记表!$Q$4:$Y$303,117,3)))</f>
        <v/>
      </c>
      <c r="J2458" s="26" t="str">
        <f>IF($E2458="","",INDEX(成本费用登记表!$C$4:$C$303,117))</f>
        <v/>
      </c>
      <c r="K2458" s="26" t="str">
        <f>IF($E2458="","",INDEX(成本费用登记表!$D$4:$D$303,117))</f>
        <v/>
      </c>
      <c r="L2458" s="32" t="str">
        <f>IF($E2458="","",INDEX(成本费用登记表!$N$4:$N$303,117))</f>
        <v/>
      </c>
      <c r="M2458" s="32"/>
      <c r="N2458" s="26" t="str">
        <f t="shared" si="118"/>
        <v/>
      </c>
      <c r="O2458" s="26" t="str">
        <f t="shared" si="119"/>
        <v/>
      </c>
      <c r="P2458" s="10"/>
    </row>
    <row r="2459" ht="18" customHeight="1" spans="1:16">
      <c r="A2459" s="32" t="str">
        <f t="shared" si="120"/>
        <v/>
      </c>
      <c r="B2459" s="100" t="str">
        <f>IF($E2459="","",INDEX(成本费用登记表!$B$4:$B$303,117))</f>
        <v/>
      </c>
      <c r="C2459" s="26" t="str">
        <f t="shared" si="117"/>
        <v/>
      </c>
      <c r="D2459" s="32" t="str">
        <f>IF($E2459="","",INDEX(成本费用登记表!$E$4:$E$303,117))</f>
        <v/>
      </c>
      <c r="E2459" s="26" t="str">
        <f>IF(INDEX(成本费用登记表!$Q$4:$Y$303,117,4)=0,"",INDEX(成本费用登记表!$Q$4:$Y$303,117,4))</f>
        <v/>
      </c>
      <c r="F2459" s="25" t="str">
        <f>IF($E2459="","",IFERROR(INDEX(科目表!$A$4:$A$81,MATCH($E2459,科目表!$B$4:$B$81,0)),""))</f>
        <v/>
      </c>
      <c r="G2459" s="26" t="str">
        <f>IF($E2459="","",IFERROR(INDEX(科目表!$E$4:$E$81,MATCH($E2459,科目表!$B$4:$B$81,0)),""))</f>
        <v/>
      </c>
      <c r="H2459" s="27" t="str">
        <f>IF($E2459="","",N(INDEX(成本费用登记表!$Q$4:$Y$303,117,5)))</f>
        <v/>
      </c>
      <c r="I2459" s="27" t="str">
        <f>IF($E2459="","",N(INDEX(成本费用登记表!$Q$4:$Y$303,117,6)))</f>
        <v/>
      </c>
      <c r="J2459" s="26" t="str">
        <f>IF($E2459="","",INDEX(成本费用登记表!$C$4:$C$303,117))</f>
        <v/>
      </c>
      <c r="K2459" s="26" t="str">
        <f>IF($E2459="","",INDEX(成本费用登记表!$D$4:$D$303,117))</f>
        <v/>
      </c>
      <c r="L2459" s="32" t="str">
        <f>IF($E2459="","",INDEX(成本费用登记表!$N$4:$N$303,117))</f>
        <v/>
      </c>
      <c r="M2459" s="32"/>
      <c r="N2459" s="26" t="str">
        <f t="shared" si="118"/>
        <v/>
      </c>
      <c r="O2459" s="26" t="str">
        <f t="shared" si="119"/>
        <v/>
      </c>
      <c r="P2459" s="10"/>
    </row>
    <row r="2460" ht="18" customHeight="1" spans="1:16">
      <c r="A2460" s="32" t="str">
        <f t="shared" si="120"/>
        <v/>
      </c>
      <c r="B2460" s="100" t="str">
        <f>IF($E2460="","",INDEX(成本费用登记表!$B$4:$B$303,117))</f>
        <v/>
      </c>
      <c r="C2460" s="26" t="str">
        <f t="shared" si="117"/>
        <v/>
      </c>
      <c r="D2460" s="32" t="str">
        <f>IF($E2460="","",INDEX(成本费用登记表!$E$4:$E$303,117))</f>
        <v/>
      </c>
      <c r="E2460" s="26" t="str">
        <f>IF(INDEX(成本费用登记表!$Q$4:$Y$303,117,7)=0,"",INDEX(成本费用登记表!$Q$4:$Y$303,117,7))</f>
        <v/>
      </c>
      <c r="F2460" s="25" t="str">
        <f>IF($E2460="","",IFERROR(INDEX(科目表!$A$4:$A$81,MATCH($E2460,科目表!$B$4:$B$81,0)),""))</f>
        <v/>
      </c>
      <c r="G2460" s="26" t="str">
        <f>IF($E2460="","",IFERROR(INDEX(科目表!$E$4:$E$81,MATCH($E2460,科目表!$B$4:$B$81,0)),""))</f>
        <v/>
      </c>
      <c r="H2460" s="27" t="str">
        <f>IF($E2460="","",N(INDEX(成本费用登记表!$Q$4:$Y$303,117,8)))</f>
        <v/>
      </c>
      <c r="I2460" s="27" t="str">
        <f>IF($E2460="","",N(INDEX(成本费用登记表!$Q$4:$Y$303,117,9)))</f>
        <v/>
      </c>
      <c r="J2460" s="26" t="str">
        <f>IF($E2460="","",INDEX(成本费用登记表!$C$4:$C$303,117))</f>
        <v/>
      </c>
      <c r="K2460" s="26" t="str">
        <f>IF($E2460="","",INDEX(成本费用登记表!$D$4:$D$303,117))</f>
        <v/>
      </c>
      <c r="L2460" s="32" t="str">
        <f>IF($E2460="","",INDEX(成本费用登记表!$N$4:$N$303,117))</f>
        <v/>
      </c>
      <c r="M2460" s="32"/>
      <c r="N2460" s="26" t="str">
        <f t="shared" si="118"/>
        <v/>
      </c>
      <c r="O2460" s="26" t="str">
        <f t="shared" si="119"/>
        <v/>
      </c>
      <c r="P2460" s="10"/>
    </row>
    <row r="2461" ht="18" customHeight="1" spans="1:16">
      <c r="A2461" s="32" t="str">
        <f t="shared" si="120"/>
        <v/>
      </c>
      <c r="B2461" s="100" t="str">
        <f>IF($E2461="","",INDEX(成本费用登记表!$B$4:$B$303,118))</f>
        <v/>
      </c>
      <c r="C2461" s="26" t="str">
        <f t="shared" si="117"/>
        <v/>
      </c>
      <c r="D2461" s="32" t="str">
        <f>IF($E2461="","",INDEX(成本费用登记表!$E$4:$E$303,118))</f>
        <v/>
      </c>
      <c r="E2461" s="26" t="str">
        <f>IF(INDEX(成本费用登记表!$Q$4:$Y$303,118,1)=0,"",INDEX(成本费用登记表!$Q$4:$Y$303,118,1))</f>
        <v/>
      </c>
      <c r="F2461" s="25" t="str">
        <f>IF($E2461="","",IFERROR(INDEX(科目表!$A$4:$A$81,MATCH($E2461,科目表!$B$4:$B$81,0)),""))</f>
        <v/>
      </c>
      <c r="G2461" s="26" t="str">
        <f>IF($E2461="","",IFERROR(INDEX(科目表!$E$4:$E$81,MATCH($E2461,科目表!$B$4:$B$81,0)),""))</f>
        <v/>
      </c>
      <c r="H2461" s="27" t="str">
        <f>IF($E2461="","",N(INDEX(成本费用登记表!$Q$4:$Y$303,118,2)))</f>
        <v/>
      </c>
      <c r="I2461" s="27" t="str">
        <f>IF($E2461="","",N(INDEX(成本费用登记表!$Q$4:$Y$303,118,3)))</f>
        <v/>
      </c>
      <c r="J2461" s="26" t="str">
        <f>IF($E2461="","",INDEX(成本费用登记表!$C$4:$C$303,118))</f>
        <v/>
      </c>
      <c r="K2461" s="26" t="str">
        <f>IF($E2461="","",INDEX(成本费用登记表!$D$4:$D$303,118))</f>
        <v/>
      </c>
      <c r="L2461" s="32" t="str">
        <f>IF($E2461="","",INDEX(成本费用登记表!$N$4:$N$303,118))</f>
        <v/>
      </c>
      <c r="M2461" s="32"/>
      <c r="N2461" s="26" t="str">
        <f t="shared" si="118"/>
        <v/>
      </c>
      <c r="O2461" s="26" t="str">
        <f t="shared" si="119"/>
        <v/>
      </c>
      <c r="P2461" s="10"/>
    </row>
    <row r="2462" ht="18" customHeight="1" spans="1:16">
      <c r="A2462" s="32" t="str">
        <f t="shared" si="120"/>
        <v/>
      </c>
      <c r="B2462" s="100" t="str">
        <f>IF($E2462="","",INDEX(成本费用登记表!$B$4:$B$303,118))</f>
        <v/>
      </c>
      <c r="C2462" s="26" t="str">
        <f t="shared" si="117"/>
        <v/>
      </c>
      <c r="D2462" s="32" t="str">
        <f>IF($E2462="","",INDEX(成本费用登记表!$E$4:$E$303,118))</f>
        <v/>
      </c>
      <c r="E2462" s="26" t="str">
        <f>IF(INDEX(成本费用登记表!$Q$4:$Y$303,118,4)=0,"",INDEX(成本费用登记表!$Q$4:$Y$303,118,4))</f>
        <v/>
      </c>
      <c r="F2462" s="25" t="str">
        <f>IF($E2462="","",IFERROR(INDEX(科目表!$A$4:$A$81,MATCH($E2462,科目表!$B$4:$B$81,0)),""))</f>
        <v/>
      </c>
      <c r="G2462" s="26" t="str">
        <f>IF($E2462="","",IFERROR(INDEX(科目表!$E$4:$E$81,MATCH($E2462,科目表!$B$4:$B$81,0)),""))</f>
        <v/>
      </c>
      <c r="H2462" s="27" t="str">
        <f>IF($E2462="","",N(INDEX(成本费用登记表!$Q$4:$Y$303,118,5)))</f>
        <v/>
      </c>
      <c r="I2462" s="27" t="str">
        <f>IF($E2462="","",N(INDEX(成本费用登记表!$Q$4:$Y$303,118,6)))</f>
        <v/>
      </c>
      <c r="J2462" s="26" t="str">
        <f>IF($E2462="","",INDEX(成本费用登记表!$C$4:$C$303,118))</f>
        <v/>
      </c>
      <c r="K2462" s="26" t="str">
        <f>IF($E2462="","",INDEX(成本费用登记表!$D$4:$D$303,118))</f>
        <v/>
      </c>
      <c r="L2462" s="32" t="str">
        <f>IF($E2462="","",INDEX(成本费用登记表!$N$4:$N$303,118))</f>
        <v/>
      </c>
      <c r="M2462" s="32"/>
      <c r="N2462" s="26" t="str">
        <f t="shared" si="118"/>
        <v/>
      </c>
      <c r="O2462" s="26" t="str">
        <f t="shared" si="119"/>
        <v/>
      </c>
      <c r="P2462" s="10"/>
    </row>
    <row r="2463" ht="18" customHeight="1" spans="1:16">
      <c r="A2463" s="32" t="str">
        <f t="shared" si="120"/>
        <v/>
      </c>
      <c r="B2463" s="100" t="str">
        <f>IF($E2463="","",INDEX(成本费用登记表!$B$4:$B$303,118))</f>
        <v/>
      </c>
      <c r="C2463" s="26" t="str">
        <f t="shared" si="117"/>
        <v/>
      </c>
      <c r="D2463" s="32" t="str">
        <f>IF($E2463="","",INDEX(成本费用登记表!$E$4:$E$303,118))</f>
        <v/>
      </c>
      <c r="E2463" s="26" t="str">
        <f>IF(INDEX(成本费用登记表!$Q$4:$Y$303,118,7)=0,"",INDEX(成本费用登记表!$Q$4:$Y$303,118,7))</f>
        <v/>
      </c>
      <c r="F2463" s="25" t="str">
        <f>IF($E2463="","",IFERROR(INDEX(科目表!$A$4:$A$81,MATCH($E2463,科目表!$B$4:$B$81,0)),""))</f>
        <v/>
      </c>
      <c r="G2463" s="26" t="str">
        <f>IF($E2463="","",IFERROR(INDEX(科目表!$E$4:$E$81,MATCH($E2463,科目表!$B$4:$B$81,0)),""))</f>
        <v/>
      </c>
      <c r="H2463" s="27" t="str">
        <f>IF($E2463="","",N(INDEX(成本费用登记表!$Q$4:$Y$303,118,8)))</f>
        <v/>
      </c>
      <c r="I2463" s="27" t="str">
        <f>IF($E2463="","",N(INDEX(成本费用登记表!$Q$4:$Y$303,118,9)))</f>
        <v/>
      </c>
      <c r="J2463" s="26" t="str">
        <f>IF($E2463="","",INDEX(成本费用登记表!$C$4:$C$303,118))</f>
        <v/>
      </c>
      <c r="K2463" s="26" t="str">
        <f>IF($E2463="","",INDEX(成本费用登记表!$D$4:$D$303,118))</f>
        <v/>
      </c>
      <c r="L2463" s="32" t="str">
        <f>IF($E2463="","",INDEX(成本费用登记表!$N$4:$N$303,118))</f>
        <v/>
      </c>
      <c r="M2463" s="32"/>
      <c r="N2463" s="26" t="str">
        <f t="shared" si="118"/>
        <v/>
      </c>
      <c r="O2463" s="26" t="str">
        <f t="shared" si="119"/>
        <v/>
      </c>
      <c r="P2463" s="10"/>
    </row>
    <row r="2464" ht="18" customHeight="1" spans="1:16">
      <c r="A2464" s="32" t="str">
        <f t="shared" si="120"/>
        <v/>
      </c>
      <c r="B2464" s="100" t="str">
        <f>IF($E2464="","",INDEX(成本费用登记表!$B$4:$B$303,119))</f>
        <v/>
      </c>
      <c r="C2464" s="26" t="str">
        <f t="shared" si="117"/>
        <v/>
      </c>
      <c r="D2464" s="32" t="str">
        <f>IF($E2464="","",INDEX(成本费用登记表!$E$4:$E$303,119))</f>
        <v/>
      </c>
      <c r="E2464" s="26" t="str">
        <f>IF(INDEX(成本费用登记表!$Q$4:$Y$303,119,1)=0,"",INDEX(成本费用登记表!$Q$4:$Y$303,119,1))</f>
        <v/>
      </c>
      <c r="F2464" s="25" t="str">
        <f>IF($E2464="","",IFERROR(INDEX(科目表!$A$4:$A$81,MATCH($E2464,科目表!$B$4:$B$81,0)),""))</f>
        <v/>
      </c>
      <c r="G2464" s="26" t="str">
        <f>IF($E2464="","",IFERROR(INDEX(科目表!$E$4:$E$81,MATCH($E2464,科目表!$B$4:$B$81,0)),""))</f>
        <v/>
      </c>
      <c r="H2464" s="27" t="str">
        <f>IF($E2464="","",N(INDEX(成本费用登记表!$Q$4:$Y$303,119,2)))</f>
        <v/>
      </c>
      <c r="I2464" s="27" t="str">
        <f>IF($E2464="","",N(INDEX(成本费用登记表!$Q$4:$Y$303,119,3)))</f>
        <v/>
      </c>
      <c r="J2464" s="26" t="str">
        <f>IF($E2464="","",INDEX(成本费用登记表!$C$4:$C$303,119))</f>
        <v/>
      </c>
      <c r="K2464" s="26" t="str">
        <f>IF($E2464="","",INDEX(成本费用登记表!$D$4:$D$303,119))</f>
        <v/>
      </c>
      <c r="L2464" s="32" t="str">
        <f>IF($E2464="","",INDEX(成本费用登记表!$N$4:$N$303,119))</f>
        <v/>
      </c>
      <c r="M2464" s="32"/>
      <c r="N2464" s="26" t="str">
        <f t="shared" si="118"/>
        <v/>
      </c>
      <c r="O2464" s="26" t="str">
        <f t="shared" si="119"/>
        <v/>
      </c>
      <c r="P2464" s="10"/>
    </row>
    <row r="2465" ht="18" customHeight="1" spans="1:16">
      <c r="A2465" s="32" t="str">
        <f t="shared" si="120"/>
        <v/>
      </c>
      <c r="B2465" s="100" t="str">
        <f>IF($E2465="","",INDEX(成本费用登记表!$B$4:$B$303,119))</f>
        <v/>
      </c>
      <c r="C2465" s="26" t="str">
        <f t="shared" si="117"/>
        <v/>
      </c>
      <c r="D2465" s="32" t="str">
        <f>IF($E2465="","",INDEX(成本费用登记表!$E$4:$E$303,119))</f>
        <v/>
      </c>
      <c r="E2465" s="26" t="str">
        <f>IF(INDEX(成本费用登记表!$Q$4:$Y$303,119,4)=0,"",INDEX(成本费用登记表!$Q$4:$Y$303,119,4))</f>
        <v/>
      </c>
      <c r="F2465" s="25" t="str">
        <f>IF($E2465="","",IFERROR(INDEX(科目表!$A$4:$A$81,MATCH($E2465,科目表!$B$4:$B$81,0)),""))</f>
        <v/>
      </c>
      <c r="G2465" s="26" t="str">
        <f>IF($E2465="","",IFERROR(INDEX(科目表!$E$4:$E$81,MATCH($E2465,科目表!$B$4:$B$81,0)),""))</f>
        <v/>
      </c>
      <c r="H2465" s="27" t="str">
        <f>IF($E2465="","",N(INDEX(成本费用登记表!$Q$4:$Y$303,119,5)))</f>
        <v/>
      </c>
      <c r="I2465" s="27" t="str">
        <f>IF($E2465="","",N(INDEX(成本费用登记表!$Q$4:$Y$303,119,6)))</f>
        <v/>
      </c>
      <c r="J2465" s="26" t="str">
        <f>IF($E2465="","",INDEX(成本费用登记表!$C$4:$C$303,119))</f>
        <v/>
      </c>
      <c r="K2465" s="26" t="str">
        <f>IF($E2465="","",INDEX(成本费用登记表!$D$4:$D$303,119))</f>
        <v/>
      </c>
      <c r="L2465" s="32" t="str">
        <f>IF($E2465="","",INDEX(成本费用登记表!$N$4:$N$303,119))</f>
        <v/>
      </c>
      <c r="M2465" s="32"/>
      <c r="N2465" s="26" t="str">
        <f t="shared" si="118"/>
        <v/>
      </c>
      <c r="O2465" s="26" t="str">
        <f t="shared" si="119"/>
        <v/>
      </c>
      <c r="P2465" s="10"/>
    </row>
    <row r="2466" ht="18" customHeight="1" spans="1:16">
      <c r="A2466" s="32" t="str">
        <f t="shared" si="120"/>
        <v/>
      </c>
      <c r="B2466" s="100" t="str">
        <f>IF($E2466="","",INDEX(成本费用登记表!$B$4:$B$303,119))</f>
        <v/>
      </c>
      <c r="C2466" s="26" t="str">
        <f t="shared" si="117"/>
        <v/>
      </c>
      <c r="D2466" s="32" t="str">
        <f>IF($E2466="","",INDEX(成本费用登记表!$E$4:$E$303,119))</f>
        <v/>
      </c>
      <c r="E2466" s="26" t="str">
        <f>IF(INDEX(成本费用登记表!$Q$4:$Y$303,119,7)=0,"",INDEX(成本费用登记表!$Q$4:$Y$303,119,7))</f>
        <v/>
      </c>
      <c r="F2466" s="25" t="str">
        <f>IF($E2466="","",IFERROR(INDEX(科目表!$A$4:$A$81,MATCH($E2466,科目表!$B$4:$B$81,0)),""))</f>
        <v/>
      </c>
      <c r="G2466" s="26" t="str">
        <f>IF($E2466="","",IFERROR(INDEX(科目表!$E$4:$E$81,MATCH($E2466,科目表!$B$4:$B$81,0)),""))</f>
        <v/>
      </c>
      <c r="H2466" s="27" t="str">
        <f>IF($E2466="","",N(INDEX(成本费用登记表!$Q$4:$Y$303,119,8)))</f>
        <v/>
      </c>
      <c r="I2466" s="27" t="str">
        <f>IF($E2466="","",N(INDEX(成本费用登记表!$Q$4:$Y$303,119,9)))</f>
        <v/>
      </c>
      <c r="J2466" s="26" t="str">
        <f>IF($E2466="","",INDEX(成本费用登记表!$C$4:$C$303,119))</f>
        <v/>
      </c>
      <c r="K2466" s="26" t="str">
        <f>IF($E2466="","",INDEX(成本费用登记表!$D$4:$D$303,119))</f>
        <v/>
      </c>
      <c r="L2466" s="32" t="str">
        <f>IF($E2466="","",INDEX(成本费用登记表!$N$4:$N$303,119))</f>
        <v/>
      </c>
      <c r="M2466" s="32"/>
      <c r="N2466" s="26" t="str">
        <f t="shared" si="118"/>
        <v/>
      </c>
      <c r="O2466" s="26" t="str">
        <f t="shared" si="119"/>
        <v/>
      </c>
      <c r="P2466" s="10"/>
    </row>
    <row r="2467" ht="18" customHeight="1" spans="1:16">
      <c r="A2467" s="32" t="str">
        <f t="shared" si="120"/>
        <v/>
      </c>
      <c r="B2467" s="100" t="str">
        <f>IF($E2467="","",INDEX(成本费用登记表!$B$4:$B$303,120))</f>
        <v/>
      </c>
      <c r="C2467" s="26" t="str">
        <f t="shared" si="117"/>
        <v/>
      </c>
      <c r="D2467" s="32" t="str">
        <f>IF($E2467="","",INDEX(成本费用登记表!$E$4:$E$303,120))</f>
        <v/>
      </c>
      <c r="E2467" s="26" t="str">
        <f>IF(INDEX(成本费用登记表!$Q$4:$Y$303,120,1)=0,"",INDEX(成本费用登记表!$Q$4:$Y$303,120,1))</f>
        <v/>
      </c>
      <c r="F2467" s="25" t="str">
        <f>IF($E2467="","",IFERROR(INDEX(科目表!$A$4:$A$81,MATCH($E2467,科目表!$B$4:$B$81,0)),""))</f>
        <v/>
      </c>
      <c r="G2467" s="26" t="str">
        <f>IF($E2467="","",IFERROR(INDEX(科目表!$E$4:$E$81,MATCH($E2467,科目表!$B$4:$B$81,0)),""))</f>
        <v/>
      </c>
      <c r="H2467" s="27" t="str">
        <f>IF($E2467="","",N(INDEX(成本费用登记表!$Q$4:$Y$303,120,2)))</f>
        <v/>
      </c>
      <c r="I2467" s="27" t="str">
        <f>IF($E2467="","",N(INDEX(成本费用登记表!$Q$4:$Y$303,120,3)))</f>
        <v/>
      </c>
      <c r="J2467" s="26" t="str">
        <f>IF($E2467="","",INDEX(成本费用登记表!$C$4:$C$303,120))</f>
        <v/>
      </c>
      <c r="K2467" s="26" t="str">
        <f>IF($E2467="","",INDEX(成本费用登记表!$D$4:$D$303,120))</f>
        <v/>
      </c>
      <c r="L2467" s="32" t="str">
        <f>IF($E2467="","",INDEX(成本费用登记表!$N$4:$N$303,120))</f>
        <v/>
      </c>
      <c r="M2467" s="32"/>
      <c r="N2467" s="26" t="str">
        <f t="shared" si="118"/>
        <v/>
      </c>
      <c r="O2467" s="26" t="str">
        <f t="shared" si="119"/>
        <v/>
      </c>
      <c r="P2467" s="10"/>
    </row>
    <row r="2468" ht="18" customHeight="1" spans="1:16">
      <c r="A2468" s="32" t="str">
        <f t="shared" si="120"/>
        <v/>
      </c>
      <c r="B2468" s="100" t="str">
        <f>IF($E2468="","",INDEX(成本费用登记表!$B$4:$B$303,120))</f>
        <v/>
      </c>
      <c r="C2468" s="26" t="str">
        <f t="shared" si="117"/>
        <v/>
      </c>
      <c r="D2468" s="32" t="str">
        <f>IF($E2468="","",INDEX(成本费用登记表!$E$4:$E$303,120))</f>
        <v/>
      </c>
      <c r="E2468" s="26" t="str">
        <f>IF(INDEX(成本费用登记表!$Q$4:$Y$303,120,4)=0,"",INDEX(成本费用登记表!$Q$4:$Y$303,120,4))</f>
        <v/>
      </c>
      <c r="F2468" s="25" t="str">
        <f>IF($E2468="","",IFERROR(INDEX(科目表!$A$4:$A$81,MATCH($E2468,科目表!$B$4:$B$81,0)),""))</f>
        <v/>
      </c>
      <c r="G2468" s="26" t="str">
        <f>IF($E2468="","",IFERROR(INDEX(科目表!$E$4:$E$81,MATCH($E2468,科目表!$B$4:$B$81,0)),""))</f>
        <v/>
      </c>
      <c r="H2468" s="27" t="str">
        <f>IF($E2468="","",N(INDEX(成本费用登记表!$Q$4:$Y$303,120,5)))</f>
        <v/>
      </c>
      <c r="I2468" s="27" t="str">
        <f>IF($E2468="","",N(INDEX(成本费用登记表!$Q$4:$Y$303,120,6)))</f>
        <v/>
      </c>
      <c r="J2468" s="26" t="str">
        <f>IF($E2468="","",INDEX(成本费用登记表!$C$4:$C$303,120))</f>
        <v/>
      </c>
      <c r="K2468" s="26" t="str">
        <f>IF($E2468="","",INDEX(成本费用登记表!$D$4:$D$303,120))</f>
        <v/>
      </c>
      <c r="L2468" s="32" t="str">
        <f>IF($E2468="","",INDEX(成本费用登记表!$N$4:$N$303,120))</f>
        <v/>
      </c>
      <c r="M2468" s="32"/>
      <c r="N2468" s="26" t="str">
        <f t="shared" si="118"/>
        <v/>
      </c>
      <c r="O2468" s="26" t="str">
        <f t="shared" si="119"/>
        <v/>
      </c>
      <c r="P2468" s="10"/>
    </row>
    <row r="2469" ht="18" customHeight="1" spans="1:16">
      <c r="A2469" s="32" t="str">
        <f t="shared" si="120"/>
        <v/>
      </c>
      <c r="B2469" s="100" t="str">
        <f>IF($E2469="","",INDEX(成本费用登记表!$B$4:$B$303,120))</f>
        <v/>
      </c>
      <c r="C2469" s="26" t="str">
        <f t="shared" si="117"/>
        <v/>
      </c>
      <c r="D2469" s="32" t="str">
        <f>IF($E2469="","",INDEX(成本费用登记表!$E$4:$E$303,120))</f>
        <v/>
      </c>
      <c r="E2469" s="26" t="str">
        <f>IF(INDEX(成本费用登记表!$Q$4:$Y$303,120,7)=0,"",INDEX(成本费用登记表!$Q$4:$Y$303,120,7))</f>
        <v/>
      </c>
      <c r="F2469" s="25" t="str">
        <f>IF($E2469="","",IFERROR(INDEX(科目表!$A$4:$A$81,MATCH($E2469,科目表!$B$4:$B$81,0)),""))</f>
        <v/>
      </c>
      <c r="G2469" s="26" t="str">
        <f>IF($E2469="","",IFERROR(INDEX(科目表!$E$4:$E$81,MATCH($E2469,科目表!$B$4:$B$81,0)),""))</f>
        <v/>
      </c>
      <c r="H2469" s="27" t="str">
        <f>IF($E2469="","",N(INDEX(成本费用登记表!$Q$4:$Y$303,120,8)))</f>
        <v/>
      </c>
      <c r="I2469" s="27" t="str">
        <f>IF($E2469="","",N(INDEX(成本费用登记表!$Q$4:$Y$303,120,9)))</f>
        <v/>
      </c>
      <c r="J2469" s="26" t="str">
        <f>IF($E2469="","",INDEX(成本费用登记表!$C$4:$C$303,120))</f>
        <v/>
      </c>
      <c r="K2469" s="26" t="str">
        <f>IF($E2469="","",INDEX(成本费用登记表!$D$4:$D$303,120))</f>
        <v/>
      </c>
      <c r="L2469" s="32" t="str">
        <f>IF($E2469="","",INDEX(成本费用登记表!$N$4:$N$303,120))</f>
        <v/>
      </c>
      <c r="M2469" s="32"/>
      <c r="N2469" s="26" t="str">
        <f t="shared" si="118"/>
        <v/>
      </c>
      <c r="O2469" s="26" t="str">
        <f t="shared" si="119"/>
        <v/>
      </c>
      <c r="P2469" s="10"/>
    </row>
    <row r="2470" ht="18" customHeight="1" spans="1:16">
      <c r="A2470" s="32" t="str">
        <f t="shared" si="120"/>
        <v/>
      </c>
      <c r="B2470" s="100" t="str">
        <f>IF($E2470="","",INDEX(成本费用登记表!$B$4:$B$303,121))</f>
        <v/>
      </c>
      <c r="C2470" s="26" t="str">
        <f t="shared" si="117"/>
        <v/>
      </c>
      <c r="D2470" s="32" t="str">
        <f>IF($E2470="","",INDEX(成本费用登记表!$E$4:$E$303,121))</f>
        <v/>
      </c>
      <c r="E2470" s="26" t="str">
        <f>IF(INDEX(成本费用登记表!$Q$4:$Y$303,121,1)=0,"",INDEX(成本费用登记表!$Q$4:$Y$303,121,1))</f>
        <v/>
      </c>
      <c r="F2470" s="25" t="str">
        <f>IF($E2470="","",IFERROR(INDEX(科目表!$A$4:$A$81,MATCH($E2470,科目表!$B$4:$B$81,0)),""))</f>
        <v/>
      </c>
      <c r="G2470" s="26" t="str">
        <f>IF($E2470="","",IFERROR(INDEX(科目表!$E$4:$E$81,MATCH($E2470,科目表!$B$4:$B$81,0)),""))</f>
        <v/>
      </c>
      <c r="H2470" s="27" t="str">
        <f>IF($E2470="","",N(INDEX(成本费用登记表!$Q$4:$Y$303,121,2)))</f>
        <v/>
      </c>
      <c r="I2470" s="27" t="str">
        <f>IF($E2470="","",N(INDEX(成本费用登记表!$Q$4:$Y$303,121,3)))</f>
        <v/>
      </c>
      <c r="J2470" s="26" t="str">
        <f>IF($E2470="","",INDEX(成本费用登记表!$C$4:$C$303,121))</f>
        <v/>
      </c>
      <c r="K2470" s="26" t="str">
        <f>IF($E2470="","",INDEX(成本费用登记表!$D$4:$D$303,121))</f>
        <v/>
      </c>
      <c r="L2470" s="32" t="str">
        <f>IF($E2470="","",INDEX(成本费用登记表!$N$4:$N$303,121))</f>
        <v/>
      </c>
      <c r="M2470" s="32"/>
      <c r="N2470" s="26" t="str">
        <f t="shared" si="118"/>
        <v/>
      </c>
      <c r="O2470" s="26" t="str">
        <f t="shared" si="119"/>
        <v/>
      </c>
      <c r="P2470" s="10"/>
    </row>
    <row r="2471" ht="18" customHeight="1" spans="1:16">
      <c r="A2471" s="32" t="str">
        <f t="shared" si="120"/>
        <v/>
      </c>
      <c r="B2471" s="100" t="str">
        <f>IF($E2471="","",INDEX(成本费用登记表!$B$4:$B$303,121))</f>
        <v/>
      </c>
      <c r="C2471" s="26" t="str">
        <f t="shared" si="117"/>
        <v/>
      </c>
      <c r="D2471" s="32" t="str">
        <f>IF($E2471="","",INDEX(成本费用登记表!$E$4:$E$303,121))</f>
        <v/>
      </c>
      <c r="E2471" s="26" t="str">
        <f>IF(INDEX(成本费用登记表!$Q$4:$Y$303,121,4)=0,"",INDEX(成本费用登记表!$Q$4:$Y$303,121,4))</f>
        <v/>
      </c>
      <c r="F2471" s="25" t="str">
        <f>IF($E2471="","",IFERROR(INDEX(科目表!$A$4:$A$81,MATCH($E2471,科目表!$B$4:$B$81,0)),""))</f>
        <v/>
      </c>
      <c r="G2471" s="26" t="str">
        <f>IF($E2471="","",IFERROR(INDEX(科目表!$E$4:$E$81,MATCH($E2471,科目表!$B$4:$B$81,0)),""))</f>
        <v/>
      </c>
      <c r="H2471" s="27" t="str">
        <f>IF($E2471="","",N(INDEX(成本费用登记表!$Q$4:$Y$303,121,5)))</f>
        <v/>
      </c>
      <c r="I2471" s="27" t="str">
        <f>IF($E2471="","",N(INDEX(成本费用登记表!$Q$4:$Y$303,121,6)))</f>
        <v/>
      </c>
      <c r="J2471" s="26" t="str">
        <f>IF($E2471="","",INDEX(成本费用登记表!$C$4:$C$303,121))</f>
        <v/>
      </c>
      <c r="K2471" s="26" t="str">
        <f>IF($E2471="","",INDEX(成本费用登记表!$D$4:$D$303,121))</f>
        <v/>
      </c>
      <c r="L2471" s="32" t="str">
        <f>IF($E2471="","",INDEX(成本费用登记表!$N$4:$N$303,121))</f>
        <v/>
      </c>
      <c r="M2471" s="32"/>
      <c r="N2471" s="26" t="str">
        <f t="shared" si="118"/>
        <v/>
      </c>
      <c r="O2471" s="26" t="str">
        <f t="shared" si="119"/>
        <v/>
      </c>
      <c r="P2471" s="10"/>
    </row>
    <row r="2472" ht="18" customHeight="1" spans="1:16">
      <c r="A2472" s="32" t="str">
        <f t="shared" si="120"/>
        <v/>
      </c>
      <c r="B2472" s="100" t="str">
        <f>IF($E2472="","",INDEX(成本费用登记表!$B$4:$B$303,121))</f>
        <v/>
      </c>
      <c r="C2472" s="26" t="str">
        <f t="shared" si="117"/>
        <v/>
      </c>
      <c r="D2472" s="32" t="str">
        <f>IF($E2472="","",INDEX(成本费用登记表!$E$4:$E$303,121))</f>
        <v/>
      </c>
      <c r="E2472" s="26" t="str">
        <f>IF(INDEX(成本费用登记表!$Q$4:$Y$303,121,7)=0,"",INDEX(成本费用登记表!$Q$4:$Y$303,121,7))</f>
        <v/>
      </c>
      <c r="F2472" s="25" t="str">
        <f>IF($E2472="","",IFERROR(INDEX(科目表!$A$4:$A$81,MATCH($E2472,科目表!$B$4:$B$81,0)),""))</f>
        <v/>
      </c>
      <c r="G2472" s="26" t="str">
        <f>IF($E2472="","",IFERROR(INDEX(科目表!$E$4:$E$81,MATCH($E2472,科目表!$B$4:$B$81,0)),""))</f>
        <v/>
      </c>
      <c r="H2472" s="27" t="str">
        <f>IF($E2472="","",N(INDEX(成本费用登记表!$Q$4:$Y$303,121,8)))</f>
        <v/>
      </c>
      <c r="I2472" s="27" t="str">
        <f>IF($E2472="","",N(INDEX(成本费用登记表!$Q$4:$Y$303,121,9)))</f>
        <v/>
      </c>
      <c r="J2472" s="26" t="str">
        <f>IF($E2472="","",INDEX(成本费用登记表!$C$4:$C$303,121))</f>
        <v/>
      </c>
      <c r="K2472" s="26" t="str">
        <f>IF($E2472="","",INDEX(成本费用登记表!$D$4:$D$303,121))</f>
        <v/>
      </c>
      <c r="L2472" s="32" t="str">
        <f>IF($E2472="","",INDEX(成本费用登记表!$N$4:$N$303,121))</f>
        <v/>
      </c>
      <c r="M2472" s="32"/>
      <c r="N2472" s="26" t="str">
        <f t="shared" si="118"/>
        <v/>
      </c>
      <c r="O2472" s="26" t="str">
        <f t="shared" si="119"/>
        <v/>
      </c>
      <c r="P2472" s="10"/>
    </row>
    <row r="2473" ht="18" customHeight="1" spans="1:16">
      <c r="A2473" s="32" t="str">
        <f t="shared" si="120"/>
        <v/>
      </c>
      <c r="B2473" s="100" t="str">
        <f>IF($E2473="","",INDEX(成本费用登记表!$B$4:$B$303,122))</f>
        <v/>
      </c>
      <c r="C2473" s="26" t="str">
        <f t="shared" si="117"/>
        <v/>
      </c>
      <c r="D2473" s="32" t="str">
        <f>IF($E2473="","",INDEX(成本费用登记表!$E$4:$E$303,122))</f>
        <v/>
      </c>
      <c r="E2473" s="26" t="str">
        <f>IF(INDEX(成本费用登记表!$Q$4:$Y$303,122,1)=0,"",INDEX(成本费用登记表!$Q$4:$Y$303,122,1))</f>
        <v/>
      </c>
      <c r="F2473" s="25" t="str">
        <f>IF($E2473="","",IFERROR(INDEX(科目表!$A$4:$A$81,MATCH($E2473,科目表!$B$4:$B$81,0)),""))</f>
        <v/>
      </c>
      <c r="G2473" s="26" t="str">
        <f>IF($E2473="","",IFERROR(INDEX(科目表!$E$4:$E$81,MATCH($E2473,科目表!$B$4:$B$81,0)),""))</f>
        <v/>
      </c>
      <c r="H2473" s="27" t="str">
        <f>IF($E2473="","",N(INDEX(成本费用登记表!$Q$4:$Y$303,122,2)))</f>
        <v/>
      </c>
      <c r="I2473" s="27" t="str">
        <f>IF($E2473="","",N(INDEX(成本费用登记表!$Q$4:$Y$303,122,3)))</f>
        <v/>
      </c>
      <c r="J2473" s="26" t="str">
        <f>IF($E2473="","",INDEX(成本费用登记表!$C$4:$C$303,122))</f>
        <v/>
      </c>
      <c r="K2473" s="26" t="str">
        <f>IF($E2473="","",INDEX(成本费用登记表!$D$4:$D$303,122))</f>
        <v/>
      </c>
      <c r="L2473" s="32" t="str">
        <f>IF($E2473="","",INDEX(成本费用登记表!$N$4:$N$303,122))</f>
        <v/>
      </c>
      <c r="M2473" s="32"/>
      <c r="N2473" s="26" t="str">
        <f t="shared" si="118"/>
        <v/>
      </c>
      <c r="O2473" s="26" t="str">
        <f t="shared" si="119"/>
        <v/>
      </c>
      <c r="P2473" s="10"/>
    </row>
    <row r="2474" ht="18" customHeight="1" spans="1:16">
      <c r="A2474" s="32" t="str">
        <f t="shared" si="120"/>
        <v/>
      </c>
      <c r="B2474" s="100" t="str">
        <f>IF($E2474="","",INDEX(成本费用登记表!$B$4:$B$303,122))</f>
        <v/>
      </c>
      <c r="C2474" s="26" t="str">
        <f t="shared" si="117"/>
        <v/>
      </c>
      <c r="D2474" s="32" t="str">
        <f>IF($E2474="","",INDEX(成本费用登记表!$E$4:$E$303,122))</f>
        <v/>
      </c>
      <c r="E2474" s="26" t="str">
        <f>IF(INDEX(成本费用登记表!$Q$4:$Y$303,122,4)=0,"",INDEX(成本费用登记表!$Q$4:$Y$303,122,4))</f>
        <v/>
      </c>
      <c r="F2474" s="25" t="str">
        <f>IF($E2474="","",IFERROR(INDEX(科目表!$A$4:$A$81,MATCH($E2474,科目表!$B$4:$B$81,0)),""))</f>
        <v/>
      </c>
      <c r="G2474" s="26" t="str">
        <f>IF($E2474="","",IFERROR(INDEX(科目表!$E$4:$E$81,MATCH($E2474,科目表!$B$4:$B$81,0)),""))</f>
        <v/>
      </c>
      <c r="H2474" s="27" t="str">
        <f>IF($E2474="","",N(INDEX(成本费用登记表!$Q$4:$Y$303,122,5)))</f>
        <v/>
      </c>
      <c r="I2474" s="27" t="str">
        <f>IF($E2474="","",N(INDEX(成本费用登记表!$Q$4:$Y$303,122,6)))</f>
        <v/>
      </c>
      <c r="J2474" s="26" t="str">
        <f>IF($E2474="","",INDEX(成本费用登记表!$C$4:$C$303,122))</f>
        <v/>
      </c>
      <c r="K2474" s="26" t="str">
        <f>IF($E2474="","",INDEX(成本费用登记表!$D$4:$D$303,122))</f>
        <v/>
      </c>
      <c r="L2474" s="32" t="str">
        <f>IF($E2474="","",INDEX(成本费用登记表!$N$4:$N$303,122))</f>
        <v/>
      </c>
      <c r="M2474" s="32"/>
      <c r="N2474" s="26" t="str">
        <f t="shared" si="118"/>
        <v/>
      </c>
      <c r="O2474" s="26" t="str">
        <f t="shared" si="119"/>
        <v/>
      </c>
      <c r="P2474" s="10"/>
    </row>
    <row r="2475" ht="18" customHeight="1" spans="1:16">
      <c r="A2475" s="32" t="str">
        <f t="shared" si="120"/>
        <v/>
      </c>
      <c r="B2475" s="100" t="str">
        <f>IF($E2475="","",INDEX(成本费用登记表!$B$4:$B$303,122))</f>
        <v/>
      </c>
      <c r="C2475" s="26" t="str">
        <f t="shared" si="117"/>
        <v/>
      </c>
      <c r="D2475" s="32" t="str">
        <f>IF($E2475="","",INDEX(成本费用登记表!$E$4:$E$303,122))</f>
        <v/>
      </c>
      <c r="E2475" s="26" t="str">
        <f>IF(INDEX(成本费用登记表!$Q$4:$Y$303,122,7)=0,"",INDEX(成本费用登记表!$Q$4:$Y$303,122,7))</f>
        <v/>
      </c>
      <c r="F2475" s="25" t="str">
        <f>IF($E2475="","",IFERROR(INDEX(科目表!$A$4:$A$81,MATCH($E2475,科目表!$B$4:$B$81,0)),""))</f>
        <v/>
      </c>
      <c r="G2475" s="26" t="str">
        <f>IF($E2475="","",IFERROR(INDEX(科目表!$E$4:$E$81,MATCH($E2475,科目表!$B$4:$B$81,0)),""))</f>
        <v/>
      </c>
      <c r="H2475" s="27" t="str">
        <f>IF($E2475="","",N(INDEX(成本费用登记表!$Q$4:$Y$303,122,8)))</f>
        <v/>
      </c>
      <c r="I2475" s="27" t="str">
        <f>IF($E2475="","",N(INDEX(成本费用登记表!$Q$4:$Y$303,122,9)))</f>
        <v/>
      </c>
      <c r="J2475" s="26" t="str">
        <f>IF($E2475="","",INDEX(成本费用登记表!$C$4:$C$303,122))</f>
        <v/>
      </c>
      <c r="K2475" s="26" t="str">
        <f>IF($E2475="","",INDEX(成本费用登记表!$D$4:$D$303,122))</f>
        <v/>
      </c>
      <c r="L2475" s="32" t="str">
        <f>IF($E2475="","",INDEX(成本费用登记表!$N$4:$N$303,122))</f>
        <v/>
      </c>
      <c r="M2475" s="32"/>
      <c r="N2475" s="26" t="str">
        <f t="shared" si="118"/>
        <v/>
      </c>
      <c r="O2475" s="26" t="str">
        <f t="shared" si="119"/>
        <v/>
      </c>
      <c r="P2475" s="10"/>
    </row>
    <row r="2476" ht="18" customHeight="1" spans="1:16">
      <c r="A2476" s="32" t="str">
        <f t="shared" si="120"/>
        <v/>
      </c>
      <c r="B2476" s="100" t="str">
        <f>IF($E2476="","",INDEX(成本费用登记表!$B$4:$B$303,123))</f>
        <v/>
      </c>
      <c r="C2476" s="26" t="str">
        <f t="shared" si="117"/>
        <v/>
      </c>
      <c r="D2476" s="32" t="str">
        <f>IF($E2476="","",INDEX(成本费用登记表!$E$4:$E$303,123))</f>
        <v/>
      </c>
      <c r="E2476" s="26" t="str">
        <f>IF(INDEX(成本费用登记表!$Q$4:$Y$303,123,1)=0,"",INDEX(成本费用登记表!$Q$4:$Y$303,123,1))</f>
        <v/>
      </c>
      <c r="F2476" s="25" t="str">
        <f>IF($E2476="","",IFERROR(INDEX(科目表!$A$4:$A$81,MATCH($E2476,科目表!$B$4:$B$81,0)),""))</f>
        <v/>
      </c>
      <c r="G2476" s="26" t="str">
        <f>IF($E2476="","",IFERROR(INDEX(科目表!$E$4:$E$81,MATCH($E2476,科目表!$B$4:$B$81,0)),""))</f>
        <v/>
      </c>
      <c r="H2476" s="27" t="str">
        <f>IF($E2476="","",N(INDEX(成本费用登记表!$Q$4:$Y$303,123,2)))</f>
        <v/>
      </c>
      <c r="I2476" s="27" t="str">
        <f>IF($E2476="","",N(INDEX(成本费用登记表!$Q$4:$Y$303,123,3)))</f>
        <v/>
      </c>
      <c r="J2476" s="26" t="str">
        <f>IF($E2476="","",INDEX(成本费用登记表!$C$4:$C$303,123))</f>
        <v/>
      </c>
      <c r="K2476" s="26" t="str">
        <f>IF($E2476="","",INDEX(成本费用登记表!$D$4:$D$303,123))</f>
        <v/>
      </c>
      <c r="L2476" s="32" t="str">
        <f>IF($E2476="","",INDEX(成本费用登记表!$N$4:$N$303,123))</f>
        <v/>
      </c>
      <c r="M2476" s="32"/>
      <c r="N2476" s="26" t="str">
        <f t="shared" si="118"/>
        <v/>
      </c>
      <c r="O2476" s="26" t="str">
        <f t="shared" si="119"/>
        <v/>
      </c>
      <c r="P2476" s="10"/>
    </row>
    <row r="2477" ht="18" customHeight="1" spans="1:16">
      <c r="A2477" s="32" t="str">
        <f t="shared" si="120"/>
        <v/>
      </c>
      <c r="B2477" s="100" t="str">
        <f>IF($E2477="","",INDEX(成本费用登记表!$B$4:$B$303,123))</f>
        <v/>
      </c>
      <c r="C2477" s="26" t="str">
        <f t="shared" si="117"/>
        <v/>
      </c>
      <c r="D2477" s="32" t="str">
        <f>IF($E2477="","",INDEX(成本费用登记表!$E$4:$E$303,123))</f>
        <v/>
      </c>
      <c r="E2477" s="26" t="str">
        <f>IF(INDEX(成本费用登记表!$Q$4:$Y$303,123,4)=0,"",INDEX(成本费用登记表!$Q$4:$Y$303,123,4))</f>
        <v/>
      </c>
      <c r="F2477" s="25" t="str">
        <f>IF($E2477="","",IFERROR(INDEX(科目表!$A$4:$A$81,MATCH($E2477,科目表!$B$4:$B$81,0)),""))</f>
        <v/>
      </c>
      <c r="G2477" s="26" t="str">
        <f>IF($E2477="","",IFERROR(INDEX(科目表!$E$4:$E$81,MATCH($E2477,科目表!$B$4:$B$81,0)),""))</f>
        <v/>
      </c>
      <c r="H2477" s="27" t="str">
        <f>IF($E2477="","",N(INDEX(成本费用登记表!$Q$4:$Y$303,123,5)))</f>
        <v/>
      </c>
      <c r="I2477" s="27" t="str">
        <f>IF($E2477="","",N(INDEX(成本费用登记表!$Q$4:$Y$303,123,6)))</f>
        <v/>
      </c>
      <c r="J2477" s="26" t="str">
        <f>IF($E2477="","",INDEX(成本费用登记表!$C$4:$C$303,123))</f>
        <v/>
      </c>
      <c r="K2477" s="26" t="str">
        <f>IF($E2477="","",INDEX(成本费用登记表!$D$4:$D$303,123))</f>
        <v/>
      </c>
      <c r="L2477" s="32" t="str">
        <f>IF($E2477="","",INDEX(成本费用登记表!$N$4:$N$303,123))</f>
        <v/>
      </c>
      <c r="M2477" s="32"/>
      <c r="N2477" s="26" t="str">
        <f t="shared" si="118"/>
        <v/>
      </c>
      <c r="O2477" s="26" t="str">
        <f t="shared" si="119"/>
        <v/>
      </c>
      <c r="P2477" s="10"/>
    </row>
    <row r="2478" ht="18" customHeight="1" spans="1:16">
      <c r="A2478" s="32" t="str">
        <f t="shared" si="120"/>
        <v/>
      </c>
      <c r="B2478" s="100" t="str">
        <f>IF($E2478="","",INDEX(成本费用登记表!$B$4:$B$303,123))</f>
        <v/>
      </c>
      <c r="C2478" s="26" t="str">
        <f t="shared" si="117"/>
        <v/>
      </c>
      <c r="D2478" s="32" t="str">
        <f>IF($E2478="","",INDEX(成本费用登记表!$E$4:$E$303,123))</f>
        <v/>
      </c>
      <c r="E2478" s="26" t="str">
        <f>IF(INDEX(成本费用登记表!$Q$4:$Y$303,123,7)=0,"",INDEX(成本费用登记表!$Q$4:$Y$303,123,7))</f>
        <v/>
      </c>
      <c r="F2478" s="25" t="str">
        <f>IF($E2478="","",IFERROR(INDEX(科目表!$A$4:$A$81,MATCH($E2478,科目表!$B$4:$B$81,0)),""))</f>
        <v/>
      </c>
      <c r="G2478" s="26" t="str">
        <f>IF($E2478="","",IFERROR(INDEX(科目表!$E$4:$E$81,MATCH($E2478,科目表!$B$4:$B$81,0)),""))</f>
        <v/>
      </c>
      <c r="H2478" s="27" t="str">
        <f>IF($E2478="","",N(INDEX(成本费用登记表!$Q$4:$Y$303,123,8)))</f>
        <v/>
      </c>
      <c r="I2478" s="27" t="str">
        <f>IF($E2478="","",N(INDEX(成本费用登记表!$Q$4:$Y$303,123,9)))</f>
        <v/>
      </c>
      <c r="J2478" s="26" t="str">
        <f>IF($E2478="","",INDEX(成本费用登记表!$C$4:$C$303,123))</f>
        <v/>
      </c>
      <c r="K2478" s="26" t="str">
        <f>IF($E2478="","",INDEX(成本费用登记表!$D$4:$D$303,123))</f>
        <v/>
      </c>
      <c r="L2478" s="32" t="str">
        <f>IF($E2478="","",INDEX(成本费用登记表!$N$4:$N$303,123))</f>
        <v/>
      </c>
      <c r="M2478" s="32"/>
      <c r="N2478" s="26" t="str">
        <f t="shared" si="118"/>
        <v/>
      </c>
      <c r="O2478" s="26" t="str">
        <f t="shared" si="119"/>
        <v/>
      </c>
      <c r="P2478" s="10"/>
    </row>
    <row r="2479" ht="18" customHeight="1" spans="1:16">
      <c r="A2479" s="32" t="str">
        <f t="shared" si="120"/>
        <v/>
      </c>
      <c r="B2479" s="100" t="str">
        <f>IF($E2479="","",INDEX(成本费用登记表!$B$4:$B$303,124))</f>
        <v/>
      </c>
      <c r="C2479" s="26" t="str">
        <f t="shared" si="117"/>
        <v/>
      </c>
      <c r="D2479" s="32" t="str">
        <f>IF($E2479="","",INDEX(成本费用登记表!$E$4:$E$303,124))</f>
        <v/>
      </c>
      <c r="E2479" s="26" t="str">
        <f>IF(INDEX(成本费用登记表!$Q$4:$Y$303,124,1)=0,"",INDEX(成本费用登记表!$Q$4:$Y$303,124,1))</f>
        <v/>
      </c>
      <c r="F2479" s="25" t="str">
        <f>IF($E2479="","",IFERROR(INDEX(科目表!$A$4:$A$81,MATCH($E2479,科目表!$B$4:$B$81,0)),""))</f>
        <v/>
      </c>
      <c r="G2479" s="26" t="str">
        <f>IF($E2479="","",IFERROR(INDEX(科目表!$E$4:$E$81,MATCH($E2479,科目表!$B$4:$B$81,0)),""))</f>
        <v/>
      </c>
      <c r="H2479" s="27" t="str">
        <f>IF($E2479="","",N(INDEX(成本费用登记表!$Q$4:$Y$303,124,2)))</f>
        <v/>
      </c>
      <c r="I2479" s="27" t="str">
        <f>IF($E2479="","",N(INDEX(成本费用登记表!$Q$4:$Y$303,124,3)))</f>
        <v/>
      </c>
      <c r="J2479" s="26" t="str">
        <f>IF($E2479="","",INDEX(成本费用登记表!$C$4:$C$303,124))</f>
        <v/>
      </c>
      <c r="K2479" s="26" t="str">
        <f>IF($E2479="","",INDEX(成本费用登记表!$D$4:$D$303,124))</f>
        <v/>
      </c>
      <c r="L2479" s="32" t="str">
        <f>IF($E2479="","",INDEX(成本费用登记表!$N$4:$N$303,124))</f>
        <v/>
      </c>
      <c r="M2479" s="32"/>
      <c r="N2479" s="26" t="str">
        <f t="shared" si="118"/>
        <v/>
      </c>
      <c r="O2479" s="26" t="str">
        <f t="shared" si="119"/>
        <v/>
      </c>
      <c r="P2479" s="10"/>
    </row>
    <row r="2480" ht="18" customHeight="1" spans="1:16">
      <c r="A2480" s="32" t="str">
        <f t="shared" si="120"/>
        <v/>
      </c>
      <c r="B2480" s="100" t="str">
        <f>IF($E2480="","",INDEX(成本费用登记表!$B$4:$B$303,124))</f>
        <v/>
      </c>
      <c r="C2480" s="26" t="str">
        <f t="shared" si="117"/>
        <v/>
      </c>
      <c r="D2480" s="32" t="str">
        <f>IF($E2480="","",INDEX(成本费用登记表!$E$4:$E$303,124))</f>
        <v/>
      </c>
      <c r="E2480" s="26" t="str">
        <f>IF(INDEX(成本费用登记表!$Q$4:$Y$303,124,4)=0,"",INDEX(成本费用登记表!$Q$4:$Y$303,124,4))</f>
        <v/>
      </c>
      <c r="F2480" s="25" t="str">
        <f>IF($E2480="","",IFERROR(INDEX(科目表!$A$4:$A$81,MATCH($E2480,科目表!$B$4:$B$81,0)),""))</f>
        <v/>
      </c>
      <c r="G2480" s="26" t="str">
        <f>IF($E2480="","",IFERROR(INDEX(科目表!$E$4:$E$81,MATCH($E2480,科目表!$B$4:$B$81,0)),""))</f>
        <v/>
      </c>
      <c r="H2480" s="27" t="str">
        <f>IF($E2480="","",N(INDEX(成本费用登记表!$Q$4:$Y$303,124,5)))</f>
        <v/>
      </c>
      <c r="I2480" s="27" t="str">
        <f>IF($E2480="","",N(INDEX(成本费用登记表!$Q$4:$Y$303,124,6)))</f>
        <v/>
      </c>
      <c r="J2480" s="26" t="str">
        <f>IF($E2480="","",INDEX(成本费用登记表!$C$4:$C$303,124))</f>
        <v/>
      </c>
      <c r="K2480" s="26" t="str">
        <f>IF($E2480="","",INDEX(成本费用登记表!$D$4:$D$303,124))</f>
        <v/>
      </c>
      <c r="L2480" s="32" t="str">
        <f>IF($E2480="","",INDEX(成本费用登记表!$N$4:$N$303,124))</f>
        <v/>
      </c>
      <c r="M2480" s="32"/>
      <c r="N2480" s="26" t="str">
        <f t="shared" si="118"/>
        <v/>
      </c>
      <c r="O2480" s="26" t="str">
        <f t="shared" si="119"/>
        <v/>
      </c>
      <c r="P2480" s="10"/>
    </row>
    <row r="2481" ht="18" customHeight="1" spans="1:16">
      <c r="A2481" s="32" t="str">
        <f t="shared" si="120"/>
        <v/>
      </c>
      <c r="B2481" s="100" t="str">
        <f>IF($E2481="","",INDEX(成本费用登记表!$B$4:$B$303,124))</f>
        <v/>
      </c>
      <c r="C2481" s="26" t="str">
        <f t="shared" si="117"/>
        <v/>
      </c>
      <c r="D2481" s="32" t="str">
        <f>IF($E2481="","",INDEX(成本费用登记表!$E$4:$E$303,124))</f>
        <v/>
      </c>
      <c r="E2481" s="26" t="str">
        <f>IF(INDEX(成本费用登记表!$Q$4:$Y$303,124,7)=0,"",INDEX(成本费用登记表!$Q$4:$Y$303,124,7))</f>
        <v/>
      </c>
      <c r="F2481" s="25" t="str">
        <f>IF($E2481="","",IFERROR(INDEX(科目表!$A$4:$A$81,MATCH($E2481,科目表!$B$4:$B$81,0)),""))</f>
        <v/>
      </c>
      <c r="G2481" s="26" t="str">
        <f>IF($E2481="","",IFERROR(INDEX(科目表!$E$4:$E$81,MATCH($E2481,科目表!$B$4:$B$81,0)),""))</f>
        <v/>
      </c>
      <c r="H2481" s="27" t="str">
        <f>IF($E2481="","",N(INDEX(成本费用登记表!$Q$4:$Y$303,124,8)))</f>
        <v/>
      </c>
      <c r="I2481" s="27" t="str">
        <f>IF($E2481="","",N(INDEX(成本费用登记表!$Q$4:$Y$303,124,9)))</f>
        <v/>
      </c>
      <c r="J2481" s="26" t="str">
        <f>IF($E2481="","",INDEX(成本费用登记表!$C$4:$C$303,124))</f>
        <v/>
      </c>
      <c r="K2481" s="26" t="str">
        <f>IF($E2481="","",INDEX(成本费用登记表!$D$4:$D$303,124))</f>
        <v/>
      </c>
      <c r="L2481" s="32" t="str">
        <f>IF($E2481="","",INDEX(成本费用登记表!$N$4:$N$303,124))</f>
        <v/>
      </c>
      <c r="M2481" s="32"/>
      <c r="N2481" s="26" t="str">
        <f t="shared" si="118"/>
        <v/>
      </c>
      <c r="O2481" s="26" t="str">
        <f t="shared" si="119"/>
        <v/>
      </c>
      <c r="P2481" s="10"/>
    </row>
    <row r="2482" ht="18" customHeight="1" spans="1:16">
      <c r="A2482" s="32" t="str">
        <f t="shared" si="120"/>
        <v/>
      </c>
      <c r="B2482" s="100" t="str">
        <f>IF($E2482="","",INDEX(成本费用登记表!$B$4:$B$303,125))</f>
        <v/>
      </c>
      <c r="C2482" s="26" t="str">
        <f t="shared" si="117"/>
        <v/>
      </c>
      <c r="D2482" s="32" t="str">
        <f>IF($E2482="","",INDEX(成本费用登记表!$E$4:$E$303,125))</f>
        <v/>
      </c>
      <c r="E2482" s="26" t="str">
        <f>IF(INDEX(成本费用登记表!$Q$4:$Y$303,125,1)=0,"",INDEX(成本费用登记表!$Q$4:$Y$303,125,1))</f>
        <v/>
      </c>
      <c r="F2482" s="25" t="str">
        <f>IF($E2482="","",IFERROR(INDEX(科目表!$A$4:$A$81,MATCH($E2482,科目表!$B$4:$B$81,0)),""))</f>
        <v/>
      </c>
      <c r="G2482" s="26" t="str">
        <f>IF($E2482="","",IFERROR(INDEX(科目表!$E$4:$E$81,MATCH($E2482,科目表!$B$4:$B$81,0)),""))</f>
        <v/>
      </c>
      <c r="H2482" s="27" t="str">
        <f>IF($E2482="","",N(INDEX(成本费用登记表!$Q$4:$Y$303,125,2)))</f>
        <v/>
      </c>
      <c r="I2482" s="27" t="str">
        <f>IF($E2482="","",N(INDEX(成本费用登记表!$Q$4:$Y$303,125,3)))</f>
        <v/>
      </c>
      <c r="J2482" s="26" t="str">
        <f>IF($E2482="","",INDEX(成本费用登记表!$C$4:$C$303,125))</f>
        <v/>
      </c>
      <c r="K2482" s="26" t="str">
        <f>IF($E2482="","",INDEX(成本费用登记表!$D$4:$D$303,125))</f>
        <v/>
      </c>
      <c r="L2482" s="32" t="str">
        <f>IF($E2482="","",INDEX(成本费用登记表!$N$4:$N$303,125))</f>
        <v/>
      </c>
      <c r="M2482" s="32"/>
      <c r="N2482" s="26" t="str">
        <f t="shared" si="118"/>
        <v/>
      </c>
      <c r="O2482" s="26" t="str">
        <f t="shared" si="119"/>
        <v/>
      </c>
      <c r="P2482" s="10"/>
    </row>
    <row r="2483" ht="18" customHeight="1" spans="1:16">
      <c r="A2483" s="32" t="str">
        <f t="shared" si="120"/>
        <v/>
      </c>
      <c r="B2483" s="100" t="str">
        <f>IF($E2483="","",INDEX(成本费用登记表!$B$4:$B$303,125))</f>
        <v/>
      </c>
      <c r="C2483" s="26" t="str">
        <f t="shared" si="117"/>
        <v/>
      </c>
      <c r="D2483" s="32" t="str">
        <f>IF($E2483="","",INDEX(成本费用登记表!$E$4:$E$303,125))</f>
        <v/>
      </c>
      <c r="E2483" s="26" t="str">
        <f>IF(INDEX(成本费用登记表!$Q$4:$Y$303,125,4)=0,"",INDEX(成本费用登记表!$Q$4:$Y$303,125,4))</f>
        <v/>
      </c>
      <c r="F2483" s="25" t="str">
        <f>IF($E2483="","",IFERROR(INDEX(科目表!$A$4:$A$81,MATCH($E2483,科目表!$B$4:$B$81,0)),""))</f>
        <v/>
      </c>
      <c r="G2483" s="26" t="str">
        <f>IF($E2483="","",IFERROR(INDEX(科目表!$E$4:$E$81,MATCH($E2483,科目表!$B$4:$B$81,0)),""))</f>
        <v/>
      </c>
      <c r="H2483" s="27" t="str">
        <f>IF($E2483="","",N(INDEX(成本费用登记表!$Q$4:$Y$303,125,5)))</f>
        <v/>
      </c>
      <c r="I2483" s="27" t="str">
        <f>IF($E2483="","",N(INDEX(成本费用登记表!$Q$4:$Y$303,125,6)))</f>
        <v/>
      </c>
      <c r="J2483" s="26" t="str">
        <f>IF($E2483="","",INDEX(成本费用登记表!$C$4:$C$303,125))</f>
        <v/>
      </c>
      <c r="K2483" s="26" t="str">
        <f>IF($E2483="","",INDEX(成本费用登记表!$D$4:$D$303,125))</f>
        <v/>
      </c>
      <c r="L2483" s="32" t="str">
        <f>IF($E2483="","",INDEX(成本费用登记表!$N$4:$N$303,125))</f>
        <v/>
      </c>
      <c r="M2483" s="32"/>
      <c r="N2483" s="26" t="str">
        <f t="shared" si="118"/>
        <v/>
      </c>
      <c r="O2483" s="26" t="str">
        <f t="shared" si="119"/>
        <v/>
      </c>
      <c r="P2483" s="10"/>
    </row>
    <row r="2484" ht="18" customHeight="1" spans="1:16">
      <c r="A2484" s="32" t="str">
        <f t="shared" si="120"/>
        <v/>
      </c>
      <c r="B2484" s="100" t="str">
        <f>IF($E2484="","",INDEX(成本费用登记表!$B$4:$B$303,125))</f>
        <v/>
      </c>
      <c r="C2484" s="26" t="str">
        <f t="shared" si="117"/>
        <v/>
      </c>
      <c r="D2484" s="32" t="str">
        <f>IF($E2484="","",INDEX(成本费用登记表!$E$4:$E$303,125))</f>
        <v/>
      </c>
      <c r="E2484" s="26" t="str">
        <f>IF(INDEX(成本费用登记表!$Q$4:$Y$303,125,7)=0,"",INDEX(成本费用登记表!$Q$4:$Y$303,125,7))</f>
        <v/>
      </c>
      <c r="F2484" s="25" t="str">
        <f>IF($E2484="","",IFERROR(INDEX(科目表!$A$4:$A$81,MATCH($E2484,科目表!$B$4:$B$81,0)),""))</f>
        <v/>
      </c>
      <c r="G2484" s="26" t="str">
        <f>IF($E2484="","",IFERROR(INDEX(科目表!$E$4:$E$81,MATCH($E2484,科目表!$B$4:$B$81,0)),""))</f>
        <v/>
      </c>
      <c r="H2484" s="27" t="str">
        <f>IF($E2484="","",N(INDEX(成本费用登记表!$Q$4:$Y$303,125,8)))</f>
        <v/>
      </c>
      <c r="I2484" s="27" t="str">
        <f>IF($E2484="","",N(INDEX(成本费用登记表!$Q$4:$Y$303,125,9)))</f>
        <v/>
      </c>
      <c r="J2484" s="26" t="str">
        <f>IF($E2484="","",INDEX(成本费用登记表!$C$4:$C$303,125))</f>
        <v/>
      </c>
      <c r="K2484" s="26" t="str">
        <f>IF($E2484="","",INDEX(成本费用登记表!$D$4:$D$303,125))</f>
        <v/>
      </c>
      <c r="L2484" s="32" t="str">
        <f>IF($E2484="","",INDEX(成本费用登记表!$N$4:$N$303,125))</f>
        <v/>
      </c>
      <c r="M2484" s="32"/>
      <c r="N2484" s="26" t="str">
        <f t="shared" si="118"/>
        <v/>
      </c>
      <c r="O2484" s="26" t="str">
        <f t="shared" si="119"/>
        <v/>
      </c>
      <c r="P2484" s="10"/>
    </row>
    <row r="2485" ht="18" customHeight="1" spans="1:16">
      <c r="A2485" s="32" t="str">
        <f t="shared" si="120"/>
        <v/>
      </c>
      <c r="B2485" s="100" t="str">
        <f>IF($E2485="","",INDEX(成本费用登记表!$B$4:$B$303,126))</f>
        <v/>
      </c>
      <c r="C2485" s="26" t="str">
        <f t="shared" si="117"/>
        <v/>
      </c>
      <c r="D2485" s="32" t="str">
        <f>IF($E2485="","",INDEX(成本费用登记表!$E$4:$E$303,126))</f>
        <v/>
      </c>
      <c r="E2485" s="26" t="str">
        <f>IF(INDEX(成本费用登记表!$Q$4:$Y$303,126,1)=0,"",INDEX(成本费用登记表!$Q$4:$Y$303,126,1))</f>
        <v/>
      </c>
      <c r="F2485" s="25" t="str">
        <f>IF($E2485="","",IFERROR(INDEX(科目表!$A$4:$A$81,MATCH($E2485,科目表!$B$4:$B$81,0)),""))</f>
        <v/>
      </c>
      <c r="G2485" s="26" t="str">
        <f>IF($E2485="","",IFERROR(INDEX(科目表!$E$4:$E$81,MATCH($E2485,科目表!$B$4:$B$81,0)),""))</f>
        <v/>
      </c>
      <c r="H2485" s="27" t="str">
        <f>IF($E2485="","",N(INDEX(成本费用登记表!$Q$4:$Y$303,126,2)))</f>
        <v/>
      </c>
      <c r="I2485" s="27" t="str">
        <f>IF($E2485="","",N(INDEX(成本费用登记表!$Q$4:$Y$303,126,3)))</f>
        <v/>
      </c>
      <c r="J2485" s="26" t="str">
        <f>IF($E2485="","",INDEX(成本费用登记表!$C$4:$C$303,126))</f>
        <v/>
      </c>
      <c r="K2485" s="26" t="str">
        <f>IF($E2485="","",INDEX(成本费用登记表!$D$4:$D$303,126))</f>
        <v/>
      </c>
      <c r="L2485" s="32" t="str">
        <f>IF($E2485="","",INDEX(成本费用登记表!$N$4:$N$303,126))</f>
        <v/>
      </c>
      <c r="M2485" s="32"/>
      <c r="N2485" s="26" t="str">
        <f t="shared" si="118"/>
        <v/>
      </c>
      <c r="O2485" s="26" t="str">
        <f t="shared" si="119"/>
        <v/>
      </c>
      <c r="P2485" s="10"/>
    </row>
    <row r="2486" ht="18" customHeight="1" spans="1:16">
      <c r="A2486" s="32" t="str">
        <f t="shared" si="120"/>
        <v/>
      </c>
      <c r="B2486" s="100" t="str">
        <f>IF($E2486="","",INDEX(成本费用登记表!$B$4:$B$303,126))</f>
        <v/>
      </c>
      <c r="C2486" s="26" t="str">
        <f t="shared" si="117"/>
        <v/>
      </c>
      <c r="D2486" s="32" t="str">
        <f>IF($E2486="","",INDEX(成本费用登记表!$E$4:$E$303,126))</f>
        <v/>
      </c>
      <c r="E2486" s="26" t="str">
        <f>IF(INDEX(成本费用登记表!$Q$4:$Y$303,126,4)=0,"",INDEX(成本费用登记表!$Q$4:$Y$303,126,4))</f>
        <v/>
      </c>
      <c r="F2486" s="25" t="str">
        <f>IF($E2486="","",IFERROR(INDEX(科目表!$A$4:$A$81,MATCH($E2486,科目表!$B$4:$B$81,0)),""))</f>
        <v/>
      </c>
      <c r="G2486" s="26" t="str">
        <f>IF($E2486="","",IFERROR(INDEX(科目表!$E$4:$E$81,MATCH($E2486,科目表!$B$4:$B$81,0)),""))</f>
        <v/>
      </c>
      <c r="H2486" s="27" t="str">
        <f>IF($E2486="","",N(INDEX(成本费用登记表!$Q$4:$Y$303,126,5)))</f>
        <v/>
      </c>
      <c r="I2486" s="27" t="str">
        <f>IF($E2486="","",N(INDEX(成本费用登记表!$Q$4:$Y$303,126,6)))</f>
        <v/>
      </c>
      <c r="J2486" s="26" t="str">
        <f>IF($E2486="","",INDEX(成本费用登记表!$C$4:$C$303,126))</f>
        <v/>
      </c>
      <c r="K2486" s="26" t="str">
        <f>IF($E2486="","",INDEX(成本费用登记表!$D$4:$D$303,126))</f>
        <v/>
      </c>
      <c r="L2486" s="32" t="str">
        <f>IF($E2486="","",INDEX(成本费用登记表!$N$4:$N$303,126))</f>
        <v/>
      </c>
      <c r="M2486" s="32"/>
      <c r="N2486" s="26" t="str">
        <f t="shared" si="118"/>
        <v/>
      </c>
      <c r="O2486" s="26" t="str">
        <f t="shared" si="119"/>
        <v/>
      </c>
      <c r="P2486" s="10"/>
    </row>
    <row r="2487" ht="18" customHeight="1" spans="1:16">
      <c r="A2487" s="32" t="str">
        <f t="shared" si="120"/>
        <v/>
      </c>
      <c r="B2487" s="100" t="str">
        <f>IF($E2487="","",INDEX(成本费用登记表!$B$4:$B$303,126))</f>
        <v/>
      </c>
      <c r="C2487" s="26" t="str">
        <f t="shared" si="117"/>
        <v/>
      </c>
      <c r="D2487" s="32" t="str">
        <f>IF($E2487="","",INDEX(成本费用登记表!$E$4:$E$303,126))</f>
        <v/>
      </c>
      <c r="E2487" s="26" t="str">
        <f>IF(INDEX(成本费用登记表!$Q$4:$Y$303,126,7)=0,"",INDEX(成本费用登记表!$Q$4:$Y$303,126,7))</f>
        <v/>
      </c>
      <c r="F2487" s="25" t="str">
        <f>IF($E2487="","",IFERROR(INDEX(科目表!$A$4:$A$81,MATCH($E2487,科目表!$B$4:$B$81,0)),""))</f>
        <v/>
      </c>
      <c r="G2487" s="26" t="str">
        <f>IF($E2487="","",IFERROR(INDEX(科目表!$E$4:$E$81,MATCH($E2487,科目表!$B$4:$B$81,0)),""))</f>
        <v/>
      </c>
      <c r="H2487" s="27" t="str">
        <f>IF($E2487="","",N(INDEX(成本费用登记表!$Q$4:$Y$303,126,8)))</f>
        <v/>
      </c>
      <c r="I2487" s="27" t="str">
        <f>IF($E2487="","",N(INDEX(成本费用登记表!$Q$4:$Y$303,126,9)))</f>
        <v/>
      </c>
      <c r="J2487" s="26" t="str">
        <f>IF($E2487="","",INDEX(成本费用登记表!$C$4:$C$303,126))</f>
        <v/>
      </c>
      <c r="K2487" s="26" t="str">
        <f>IF($E2487="","",INDEX(成本费用登记表!$D$4:$D$303,126))</f>
        <v/>
      </c>
      <c r="L2487" s="32" t="str">
        <f>IF($E2487="","",INDEX(成本费用登记表!$N$4:$N$303,126))</f>
        <v/>
      </c>
      <c r="M2487" s="32"/>
      <c r="N2487" s="26" t="str">
        <f t="shared" si="118"/>
        <v/>
      </c>
      <c r="O2487" s="26" t="str">
        <f t="shared" si="119"/>
        <v/>
      </c>
      <c r="P2487" s="10"/>
    </row>
    <row r="2488" ht="18" customHeight="1" spans="1:16">
      <c r="A2488" s="32" t="str">
        <f t="shared" si="120"/>
        <v/>
      </c>
      <c r="B2488" s="100" t="str">
        <f>IF($E2488="","",INDEX(成本费用登记表!$B$4:$B$303,127))</f>
        <v/>
      </c>
      <c r="C2488" s="26" t="str">
        <f t="shared" si="117"/>
        <v/>
      </c>
      <c r="D2488" s="32" t="str">
        <f>IF($E2488="","",INDEX(成本费用登记表!$E$4:$E$303,127))</f>
        <v/>
      </c>
      <c r="E2488" s="26" t="str">
        <f>IF(INDEX(成本费用登记表!$Q$4:$Y$303,127,1)=0,"",INDEX(成本费用登记表!$Q$4:$Y$303,127,1))</f>
        <v/>
      </c>
      <c r="F2488" s="25" t="str">
        <f>IF($E2488="","",IFERROR(INDEX(科目表!$A$4:$A$81,MATCH($E2488,科目表!$B$4:$B$81,0)),""))</f>
        <v/>
      </c>
      <c r="G2488" s="26" t="str">
        <f>IF($E2488="","",IFERROR(INDEX(科目表!$E$4:$E$81,MATCH($E2488,科目表!$B$4:$B$81,0)),""))</f>
        <v/>
      </c>
      <c r="H2488" s="27" t="str">
        <f>IF($E2488="","",N(INDEX(成本费用登记表!$Q$4:$Y$303,127,2)))</f>
        <v/>
      </c>
      <c r="I2488" s="27" t="str">
        <f>IF($E2488="","",N(INDEX(成本费用登记表!$Q$4:$Y$303,127,3)))</f>
        <v/>
      </c>
      <c r="J2488" s="26" t="str">
        <f>IF($E2488="","",INDEX(成本费用登记表!$C$4:$C$303,127))</f>
        <v/>
      </c>
      <c r="K2488" s="26" t="str">
        <f>IF($E2488="","",INDEX(成本费用登记表!$D$4:$D$303,127))</f>
        <v/>
      </c>
      <c r="L2488" s="32" t="str">
        <f>IF($E2488="","",INDEX(成本费用登记表!$N$4:$N$303,127))</f>
        <v/>
      </c>
      <c r="M2488" s="32"/>
      <c r="N2488" s="26" t="str">
        <f t="shared" si="118"/>
        <v/>
      </c>
      <c r="O2488" s="26" t="str">
        <f t="shared" si="119"/>
        <v/>
      </c>
      <c r="P2488" s="10"/>
    </row>
    <row r="2489" ht="18" customHeight="1" spans="1:16">
      <c r="A2489" s="32" t="str">
        <f t="shared" si="120"/>
        <v/>
      </c>
      <c r="B2489" s="100" t="str">
        <f>IF($E2489="","",INDEX(成本费用登记表!$B$4:$B$303,127))</f>
        <v/>
      </c>
      <c r="C2489" s="26" t="str">
        <f t="shared" si="117"/>
        <v/>
      </c>
      <c r="D2489" s="32" t="str">
        <f>IF($E2489="","",INDEX(成本费用登记表!$E$4:$E$303,127))</f>
        <v/>
      </c>
      <c r="E2489" s="26" t="str">
        <f>IF(INDEX(成本费用登记表!$Q$4:$Y$303,127,4)=0,"",INDEX(成本费用登记表!$Q$4:$Y$303,127,4))</f>
        <v/>
      </c>
      <c r="F2489" s="25" t="str">
        <f>IF($E2489="","",IFERROR(INDEX(科目表!$A$4:$A$81,MATCH($E2489,科目表!$B$4:$B$81,0)),""))</f>
        <v/>
      </c>
      <c r="G2489" s="26" t="str">
        <f>IF($E2489="","",IFERROR(INDEX(科目表!$E$4:$E$81,MATCH($E2489,科目表!$B$4:$B$81,0)),""))</f>
        <v/>
      </c>
      <c r="H2489" s="27" t="str">
        <f>IF($E2489="","",N(INDEX(成本费用登记表!$Q$4:$Y$303,127,5)))</f>
        <v/>
      </c>
      <c r="I2489" s="27" t="str">
        <f>IF($E2489="","",N(INDEX(成本费用登记表!$Q$4:$Y$303,127,6)))</f>
        <v/>
      </c>
      <c r="J2489" s="26" t="str">
        <f>IF($E2489="","",INDEX(成本费用登记表!$C$4:$C$303,127))</f>
        <v/>
      </c>
      <c r="K2489" s="26" t="str">
        <f>IF($E2489="","",INDEX(成本费用登记表!$D$4:$D$303,127))</f>
        <v/>
      </c>
      <c r="L2489" s="32" t="str">
        <f>IF($E2489="","",INDEX(成本费用登记表!$N$4:$N$303,127))</f>
        <v/>
      </c>
      <c r="M2489" s="32"/>
      <c r="N2489" s="26" t="str">
        <f t="shared" si="118"/>
        <v/>
      </c>
      <c r="O2489" s="26" t="str">
        <f t="shared" si="119"/>
        <v/>
      </c>
      <c r="P2489" s="10"/>
    </row>
    <row r="2490" ht="18" customHeight="1" spans="1:16">
      <c r="A2490" s="32" t="str">
        <f t="shared" si="120"/>
        <v/>
      </c>
      <c r="B2490" s="100" t="str">
        <f>IF($E2490="","",INDEX(成本费用登记表!$B$4:$B$303,127))</f>
        <v/>
      </c>
      <c r="C2490" s="26" t="str">
        <f t="shared" si="117"/>
        <v/>
      </c>
      <c r="D2490" s="32" t="str">
        <f>IF($E2490="","",INDEX(成本费用登记表!$E$4:$E$303,127))</f>
        <v/>
      </c>
      <c r="E2490" s="26" t="str">
        <f>IF(INDEX(成本费用登记表!$Q$4:$Y$303,127,7)=0,"",INDEX(成本费用登记表!$Q$4:$Y$303,127,7))</f>
        <v/>
      </c>
      <c r="F2490" s="25" t="str">
        <f>IF($E2490="","",IFERROR(INDEX(科目表!$A$4:$A$81,MATCH($E2490,科目表!$B$4:$B$81,0)),""))</f>
        <v/>
      </c>
      <c r="G2490" s="26" t="str">
        <f>IF($E2490="","",IFERROR(INDEX(科目表!$E$4:$E$81,MATCH($E2490,科目表!$B$4:$B$81,0)),""))</f>
        <v/>
      </c>
      <c r="H2490" s="27" t="str">
        <f>IF($E2490="","",N(INDEX(成本费用登记表!$Q$4:$Y$303,127,8)))</f>
        <v/>
      </c>
      <c r="I2490" s="27" t="str">
        <f>IF($E2490="","",N(INDEX(成本费用登记表!$Q$4:$Y$303,127,9)))</f>
        <v/>
      </c>
      <c r="J2490" s="26" t="str">
        <f>IF($E2490="","",INDEX(成本费用登记表!$C$4:$C$303,127))</f>
        <v/>
      </c>
      <c r="K2490" s="26" t="str">
        <f>IF($E2490="","",INDEX(成本费用登记表!$D$4:$D$303,127))</f>
        <v/>
      </c>
      <c r="L2490" s="32" t="str">
        <f>IF($E2490="","",INDEX(成本费用登记表!$N$4:$N$303,127))</f>
        <v/>
      </c>
      <c r="M2490" s="32"/>
      <c r="N2490" s="26" t="str">
        <f t="shared" si="118"/>
        <v/>
      </c>
      <c r="O2490" s="26" t="str">
        <f t="shared" si="119"/>
        <v/>
      </c>
      <c r="P2490" s="10"/>
    </row>
    <row r="2491" ht="18" customHeight="1" spans="1:16">
      <c r="A2491" s="32" t="str">
        <f t="shared" si="120"/>
        <v/>
      </c>
      <c r="B2491" s="100" t="str">
        <f>IF($E2491="","",INDEX(成本费用登记表!$B$4:$B$303,128))</f>
        <v/>
      </c>
      <c r="C2491" s="26" t="str">
        <f t="shared" si="117"/>
        <v/>
      </c>
      <c r="D2491" s="32" t="str">
        <f>IF($E2491="","",INDEX(成本费用登记表!$E$4:$E$303,128))</f>
        <v/>
      </c>
      <c r="E2491" s="26" t="str">
        <f>IF(INDEX(成本费用登记表!$Q$4:$Y$303,128,1)=0,"",INDEX(成本费用登记表!$Q$4:$Y$303,128,1))</f>
        <v/>
      </c>
      <c r="F2491" s="25" t="str">
        <f>IF($E2491="","",IFERROR(INDEX(科目表!$A$4:$A$81,MATCH($E2491,科目表!$B$4:$B$81,0)),""))</f>
        <v/>
      </c>
      <c r="G2491" s="26" t="str">
        <f>IF($E2491="","",IFERROR(INDEX(科目表!$E$4:$E$81,MATCH($E2491,科目表!$B$4:$B$81,0)),""))</f>
        <v/>
      </c>
      <c r="H2491" s="27" t="str">
        <f>IF($E2491="","",N(INDEX(成本费用登记表!$Q$4:$Y$303,128,2)))</f>
        <v/>
      </c>
      <c r="I2491" s="27" t="str">
        <f>IF($E2491="","",N(INDEX(成本费用登记表!$Q$4:$Y$303,128,3)))</f>
        <v/>
      </c>
      <c r="J2491" s="26" t="str">
        <f>IF($E2491="","",INDEX(成本费用登记表!$C$4:$C$303,128))</f>
        <v/>
      </c>
      <c r="K2491" s="26" t="str">
        <f>IF($E2491="","",INDEX(成本费用登记表!$D$4:$D$303,128))</f>
        <v/>
      </c>
      <c r="L2491" s="32" t="str">
        <f>IF($E2491="","",INDEX(成本费用登记表!$N$4:$N$303,128))</f>
        <v/>
      </c>
      <c r="M2491" s="32"/>
      <c r="N2491" s="26" t="str">
        <f t="shared" si="118"/>
        <v/>
      </c>
      <c r="O2491" s="26" t="str">
        <f t="shared" si="119"/>
        <v/>
      </c>
      <c r="P2491" s="10"/>
    </row>
    <row r="2492" ht="18" customHeight="1" spans="1:16">
      <c r="A2492" s="32" t="str">
        <f t="shared" si="120"/>
        <v/>
      </c>
      <c r="B2492" s="100" t="str">
        <f>IF($E2492="","",INDEX(成本费用登记表!$B$4:$B$303,128))</f>
        <v/>
      </c>
      <c r="C2492" s="26" t="str">
        <f t="shared" si="117"/>
        <v/>
      </c>
      <c r="D2492" s="32" t="str">
        <f>IF($E2492="","",INDEX(成本费用登记表!$E$4:$E$303,128))</f>
        <v/>
      </c>
      <c r="E2492" s="26" t="str">
        <f>IF(INDEX(成本费用登记表!$Q$4:$Y$303,128,4)=0,"",INDEX(成本费用登记表!$Q$4:$Y$303,128,4))</f>
        <v/>
      </c>
      <c r="F2492" s="25" t="str">
        <f>IF($E2492="","",IFERROR(INDEX(科目表!$A$4:$A$81,MATCH($E2492,科目表!$B$4:$B$81,0)),""))</f>
        <v/>
      </c>
      <c r="G2492" s="26" t="str">
        <f>IF($E2492="","",IFERROR(INDEX(科目表!$E$4:$E$81,MATCH($E2492,科目表!$B$4:$B$81,0)),""))</f>
        <v/>
      </c>
      <c r="H2492" s="27" t="str">
        <f>IF($E2492="","",N(INDEX(成本费用登记表!$Q$4:$Y$303,128,5)))</f>
        <v/>
      </c>
      <c r="I2492" s="27" t="str">
        <f>IF($E2492="","",N(INDEX(成本费用登记表!$Q$4:$Y$303,128,6)))</f>
        <v/>
      </c>
      <c r="J2492" s="26" t="str">
        <f>IF($E2492="","",INDEX(成本费用登记表!$C$4:$C$303,128))</f>
        <v/>
      </c>
      <c r="K2492" s="26" t="str">
        <f>IF($E2492="","",INDEX(成本费用登记表!$D$4:$D$303,128))</f>
        <v/>
      </c>
      <c r="L2492" s="32" t="str">
        <f>IF($E2492="","",INDEX(成本费用登记表!$N$4:$N$303,128))</f>
        <v/>
      </c>
      <c r="M2492" s="32"/>
      <c r="N2492" s="26" t="str">
        <f t="shared" si="118"/>
        <v/>
      </c>
      <c r="O2492" s="26" t="str">
        <f t="shared" si="119"/>
        <v/>
      </c>
      <c r="P2492" s="10"/>
    </row>
    <row r="2493" ht="18" customHeight="1" spans="1:16">
      <c r="A2493" s="32" t="str">
        <f t="shared" si="120"/>
        <v/>
      </c>
      <c r="B2493" s="100" t="str">
        <f>IF($E2493="","",INDEX(成本费用登记表!$B$4:$B$303,128))</f>
        <v/>
      </c>
      <c r="C2493" s="26" t="str">
        <f t="shared" si="117"/>
        <v/>
      </c>
      <c r="D2493" s="32" t="str">
        <f>IF($E2493="","",INDEX(成本费用登记表!$E$4:$E$303,128))</f>
        <v/>
      </c>
      <c r="E2493" s="26" t="str">
        <f>IF(INDEX(成本费用登记表!$Q$4:$Y$303,128,7)=0,"",INDEX(成本费用登记表!$Q$4:$Y$303,128,7))</f>
        <v/>
      </c>
      <c r="F2493" s="25" t="str">
        <f>IF($E2493="","",IFERROR(INDEX(科目表!$A$4:$A$81,MATCH($E2493,科目表!$B$4:$B$81,0)),""))</f>
        <v/>
      </c>
      <c r="G2493" s="26" t="str">
        <f>IF($E2493="","",IFERROR(INDEX(科目表!$E$4:$E$81,MATCH($E2493,科目表!$B$4:$B$81,0)),""))</f>
        <v/>
      </c>
      <c r="H2493" s="27" t="str">
        <f>IF($E2493="","",N(INDEX(成本费用登记表!$Q$4:$Y$303,128,8)))</f>
        <v/>
      </c>
      <c r="I2493" s="27" t="str">
        <f>IF($E2493="","",N(INDEX(成本费用登记表!$Q$4:$Y$303,128,9)))</f>
        <v/>
      </c>
      <c r="J2493" s="26" t="str">
        <f>IF($E2493="","",INDEX(成本费用登记表!$C$4:$C$303,128))</f>
        <v/>
      </c>
      <c r="K2493" s="26" t="str">
        <f>IF($E2493="","",INDEX(成本费用登记表!$D$4:$D$303,128))</f>
        <v/>
      </c>
      <c r="L2493" s="32" t="str">
        <f>IF($E2493="","",INDEX(成本费用登记表!$N$4:$N$303,128))</f>
        <v/>
      </c>
      <c r="M2493" s="32"/>
      <c r="N2493" s="26" t="str">
        <f t="shared" si="118"/>
        <v/>
      </c>
      <c r="O2493" s="26" t="str">
        <f t="shared" si="119"/>
        <v/>
      </c>
      <c r="P2493" s="10"/>
    </row>
    <row r="2494" ht="18" customHeight="1" spans="1:16">
      <c r="A2494" s="32" t="str">
        <f t="shared" si="120"/>
        <v/>
      </c>
      <c r="B2494" s="100" t="str">
        <f>IF($E2494="","",INDEX(成本费用登记表!$B$4:$B$303,129))</f>
        <v/>
      </c>
      <c r="C2494" s="26" t="str">
        <f t="shared" ref="C2494:C2557" si="121">IF($E2494="","","记-"&amp;TEXT($B2494,"YYYYMM")&amp;"-费用")</f>
        <v/>
      </c>
      <c r="D2494" s="32" t="str">
        <f>IF($E2494="","",INDEX(成本费用登记表!$E$4:$E$303,129))</f>
        <v/>
      </c>
      <c r="E2494" s="26" t="str">
        <f>IF(INDEX(成本费用登记表!$Q$4:$Y$303,129,1)=0,"",INDEX(成本费用登记表!$Q$4:$Y$303,129,1))</f>
        <v/>
      </c>
      <c r="F2494" s="25" t="str">
        <f>IF($E2494="","",IFERROR(INDEX(科目表!$A$4:$A$81,MATCH($E2494,科目表!$B$4:$B$81,0)),""))</f>
        <v/>
      </c>
      <c r="G2494" s="26" t="str">
        <f>IF($E2494="","",IFERROR(INDEX(科目表!$E$4:$E$81,MATCH($E2494,科目表!$B$4:$B$81,0)),""))</f>
        <v/>
      </c>
      <c r="H2494" s="27" t="str">
        <f>IF($E2494="","",N(INDEX(成本费用登记表!$Q$4:$Y$303,129,2)))</f>
        <v/>
      </c>
      <c r="I2494" s="27" t="str">
        <f>IF($E2494="","",N(INDEX(成本费用登记表!$Q$4:$Y$303,129,3)))</f>
        <v/>
      </c>
      <c r="J2494" s="26" t="str">
        <f>IF($E2494="","",INDEX(成本费用登记表!$C$4:$C$303,129))</f>
        <v/>
      </c>
      <c r="K2494" s="26" t="str">
        <f>IF($E2494="","",INDEX(成本费用登记表!$D$4:$D$303,129))</f>
        <v/>
      </c>
      <c r="L2494" s="32" t="str">
        <f>IF($E2494="","",INDEX(成本费用登记表!$N$4:$N$303,129))</f>
        <v/>
      </c>
      <c r="M2494" s="32"/>
      <c r="N2494" s="26" t="str">
        <f t="shared" ref="N2494:N2557" si="122">IF($E2494="","","系统")</f>
        <v/>
      </c>
      <c r="O2494" s="26" t="str">
        <f t="shared" ref="O2494:O2557" si="123">IF($E2494="","","自动C")</f>
        <v/>
      </c>
      <c r="P2494" s="10"/>
    </row>
    <row r="2495" ht="18" customHeight="1" spans="1:16">
      <c r="A2495" s="32" t="str">
        <f t="shared" si="120"/>
        <v/>
      </c>
      <c r="B2495" s="100" t="str">
        <f>IF($E2495="","",INDEX(成本费用登记表!$B$4:$B$303,129))</f>
        <v/>
      </c>
      <c r="C2495" s="26" t="str">
        <f t="shared" si="121"/>
        <v/>
      </c>
      <c r="D2495" s="32" t="str">
        <f>IF($E2495="","",INDEX(成本费用登记表!$E$4:$E$303,129))</f>
        <v/>
      </c>
      <c r="E2495" s="26" t="str">
        <f>IF(INDEX(成本费用登记表!$Q$4:$Y$303,129,4)=0,"",INDEX(成本费用登记表!$Q$4:$Y$303,129,4))</f>
        <v/>
      </c>
      <c r="F2495" s="25" t="str">
        <f>IF($E2495="","",IFERROR(INDEX(科目表!$A$4:$A$81,MATCH($E2495,科目表!$B$4:$B$81,0)),""))</f>
        <v/>
      </c>
      <c r="G2495" s="26" t="str">
        <f>IF($E2495="","",IFERROR(INDEX(科目表!$E$4:$E$81,MATCH($E2495,科目表!$B$4:$B$81,0)),""))</f>
        <v/>
      </c>
      <c r="H2495" s="27" t="str">
        <f>IF($E2495="","",N(INDEX(成本费用登记表!$Q$4:$Y$303,129,5)))</f>
        <v/>
      </c>
      <c r="I2495" s="27" t="str">
        <f>IF($E2495="","",N(INDEX(成本费用登记表!$Q$4:$Y$303,129,6)))</f>
        <v/>
      </c>
      <c r="J2495" s="26" t="str">
        <f>IF($E2495="","",INDEX(成本费用登记表!$C$4:$C$303,129))</f>
        <v/>
      </c>
      <c r="K2495" s="26" t="str">
        <f>IF($E2495="","",INDEX(成本费用登记表!$D$4:$D$303,129))</f>
        <v/>
      </c>
      <c r="L2495" s="32" t="str">
        <f>IF($E2495="","",INDEX(成本费用登记表!$N$4:$N$303,129))</f>
        <v/>
      </c>
      <c r="M2495" s="32"/>
      <c r="N2495" s="26" t="str">
        <f t="shared" si="122"/>
        <v/>
      </c>
      <c r="O2495" s="26" t="str">
        <f t="shared" si="123"/>
        <v/>
      </c>
      <c r="P2495" s="10"/>
    </row>
    <row r="2496" ht="18" customHeight="1" spans="1:16">
      <c r="A2496" s="32" t="str">
        <f t="shared" si="120"/>
        <v/>
      </c>
      <c r="B2496" s="100" t="str">
        <f>IF($E2496="","",INDEX(成本费用登记表!$B$4:$B$303,129))</f>
        <v/>
      </c>
      <c r="C2496" s="26" t="str">
        <f t="shared" si="121"/>
        <v/>
      </c>
      <c r="D2496" s="32" t="str">
        <f>IF($E2496="","",INDEX(成本费用登记表!$E$4:$E$303,129))</f>
        <v/>
      </c>
      <c r="E2496" s="26" t="str">
        <f>IF(INDEX(成本费用登记表!$Q$4:$Y$303,129,7)=0,"",INDEX(成本费用登记表!$Q$4:$Y$303,129,7))</f>
        <v/>
      </c>
      <c r="F2496" s="25" t="str">
        <f>IF($E2496="","",IFERROR(INDEX(科目表!$A$4:$A$81,MATCH($E2496,科目表!$B$4:$B$81,0)),""))</f>
        <v/>
      </c>
      <c r="G2496" s="26" t="str">
        <f>IF($E2496="","",IFERROR(INDEX(科目表!$E$4:$E$81,MATCH($E2496,科目表!$B$4:$B$81,0)),""))</f>
        <v/>
      </c>
      <c r="H2496" s="27" t="str">
        <f>IF($E2496="","",N(INDEX(成本费用登记表!$Q$4:$Y$303,129,8)))</f>
        <v/>
      </c>
      <c r="I2496" s="27" t="str">
        <f>IF($E2496="","",N(INDEX(成本费用登记表!$Q$4:$Y$303,129,9)))</f>
        <v/>
      </c>
      <c r="J2496" s="26" t="str">
        <f>IF($E2496="","",INDEX(成本费用登记表!$C$4:$C$303,129))</f>
        <v/>
      </c>
      <c r="K2496" s="26" t="str">
        <f>IF($E2496="","",INDEX(成本费用登记表!$D$4:$D$303,129))</f>
        <v/>
      </c>
      <c r="L2496" s="32" t="str">
        <f>IF($E2496="","",INDEX(成本费用登记表!$N$4:$N$303,129))</f>
        <v/>
      </c>
      <c r="M2496" s="32"/>
      <c r="N2496" s="26" t="str">
        <f t="shared" si="122"/>
        <v/>
      </c>
      <c r="O2496" s="26" t="str">
        <f t="shared" si="123"/>
        <v/>
      </c>
      <c r="P2496" s="10"/>
    </row>
    <row r="2497" ht="18" customHeight="1" spans="1:16">
      <c r="A2497" s="32" t="str">
        <f t="shared" si="120"/>
        <v/>
      </c>
      <c r="B2497" s="100" t="str">
        <f>IF($E2497="","",INDEX(成本费用登记表!$B$4:$B$303,130))</f>
        <v/>
      </c>
      <c r="C2497" s="26" t="str">
        <f t="shared" si="121"/>
        <v/>
      </c>
      <c r="D2497" s="32" t="str">
        <f>IF($E2497="","",INDEX(成本费用登记表!$E$4:$E$303,130))</f>
        <v/>
      </c>
      <c r="E2497" s="26" t="str">
        <f>IF(INDEX(成本费用登记表!$Q$4:$Y$303,130,1)=0,"",INDEX(成本费用登记表!$Q$4:$Y$303,130,1))</f>
        <v/>
      </c>
      <c r="F2497" s="25" t="str">
        <f>IF($E2497="","",IFERROR(INDEX(科目表!$A$4:$A$81,MATCH($E2497,科目表!$B$4:$B$81,0)),""))</f>
        <v/>
      </c>
      <c r="G2497" s="26" t="str">
        <f>IF($E2497="","",IFERROR(INDEX(科目表!$E$4:$E$81,MATCH($E2497,科目表!$B$4:$B$81,0)),""))</f>
        <v/>
      </c>
      <c r="H2497" s="27" t="str">
        <f>IF($E2497="","",N(INDEX(成本费用登记表!$Q$4:$Y$303,130,2)))</f>
        <v/>
      </c>
      <c r="I2497" s="27" t="str">
        <f>IF($E2497="","",N(INDEX(成本费用登记表!$Q$4:$Y$303,130,3)))</f>
        <v/>
      </c>
      <c r="J2497" s="26" t="str">
        <f>IF($E2497="","",INDEX(成本费用登记表!$C$4:$C$303,130))</f>
        <v/>
      </c>
      <c r="K2497" s="26" t="str">
        <f>IF($E2497="","",INDEX(成本费用登记表!$D$4:$D$303,130))</f>
        <v/>
      </c>
      <c r="L2497" s="32" t="str">
        <f>IF($E2497="","",INDEX(成本费用登记表!$N$4:$N$303,130))</f>
        <v/>
      </c>
      <c r="M2497" s="32"/>
      <c r="N2497" s="26" t="str">
        <f t="shared" si="122"/>
        <v/>
      </c>
      <c r="O2497" s="26" t="str">
        <f t="shared" si="123"/>
        <v/>
      </c>
      <c r="P2497" s="10"/>
    </row>
    <row r="2498" ht="18" customHeight="1" spans="1:16">
      <c r="A2498" s="32" t="str">
        <f t="shared" si="120"/>
        <v/>
      </c>
      <c r="B2498" s="100" t="str">
        <f>IF($E2498="","",INDEX(成本费用登记表!$B$4:$B$303,130))</f>
        <v/>
      </c>
      <c r="C2498" s="26" t="str">
        <f t="shared" si="121"/>
        <v/>
      </c>
      <c r="D2498" s="32" t="str">
        <f>IF($E2498="","",INDEX(成本费用登记表!$E$4:$E$303,130))</f>
        <v/>
      </c>
      <c r="E2498" s="26" t="str">
        <f>IF(INDEX(成本费用登记表!$Q$4:$Y$303,130,4)=0,"",INDEX(成本费用登记表!$Q$4:$Y$303,130,4))</f>
        <v/>
      </c>
      <c r="F2498" s="25" t="str">
        <f>IF($E2498="","",IFERROR(INDEX(科目表!$A$4:$A$81,MATCH($E2498,科目表!$B$4:$B$81,0)),""))</f>
        <v/>
      </c>
      <c r="G2498" s="26" t="str">
        <f>IF($E2498="","",IFERROR(INDEX(科目表!$E$4:$E$81,MATCH($E2498,科目表!$B$4:$B$81,0)),""))</f>
        <v/>
      </c>
      <c r="H2498" s="27" t="str">
        <f>IF($E2498="","",N(INDEX(成本费用登记表!$Q$4:$Y$303,130,5)))</f>
        <v/>
      </c>
      <c r="I2498" s="27" t="str">
        <f>IF($E2498="","",N(INDEX(成本费用登记表!$Q$4:$Y$303,130,6)))</f>
        <v/>
      </c>
      <c r="J2498" s="26" t="str">
        <f>IF($E2498="","",INDEX(成本费用登记表!$C$4:$C$303,130))</f>
        <v/>
      </c>
      <c r="K2498" s="26" t="str">
        <f>IF($E2498="","",INDEX(成本费用登记表!$D$4:$D$303,130))</f>
        <v/>
      </c>
      <c r="L2498" s="32" t="str">
        <f>IF($E2498="","",INDEX(成本费用登记表!$N$4:$N$303,130))</f>
        <v/>
      </c>
      <c r="M2498" s="32"/>
      <c r="N2498" s="26" t="str">
        <f t="shared" si="122"/>
        <v/>
      </c>
      <c r="O2498" s="26" t="str">
        <f t="shared" si="123"/>
        <v/>
      </c>
      <c r="P2498" s="10"/>
    </row>
    <row r="2499" ht="18" customHeight="1" spans="1:16">
      <c r="A2499" s="32" t="str">
        <f t="shared" si="120"/>
        <v/>
      </c>
      <c r="B2499" s="100" t="str">
        <f>IF($E2499="","",INDEX(成本费用登记表!$B$4:$B$303,130))</f>
        <v/>
      </c>
      <c r="C2499" s="26" t="str">
        <f t="shared" si="121"/>
        <v/>
      </c>
      <c r="D2499" s="32" t="str">
        <f>IF($E2499="","",INDEX(成本费用登记表!$E$4:$E$303,130))</f>
        <v/>
      </c>
      <c r="E2499" s="26" t="str">
        <f>IF(INDEX(成本费用登记表!$Q$4:$Y$303,130,7)=0,"",INDEX(成本费用登记表!$Q$4:$Y$303,130,7))</f>
        <v/>
      </c>
      <c r="F2499" s="25" t="str">
        <f>IF($E2499="","",IFERROR(INDEX(科目表!$A$4:$A$81,MATCH($E2499,科目表!$B$4:$B$81,0)),""))</f>
        <v/>
      </c>
      <c r="G2499" s="26" t="str">
        <f>IF($E2499="","",IFERROR(INDEX(科目表!$E$4:$E$81,MATCH($E2499,科目表!$B$4:$B$81,0)),""))</f>
        <v/>
      </c>
      <c r="H2499" s="27" t="str">
        <f>IF($E2499="","",N(INDEX(成本费用登记表!$Q$4:$Y$303,130,8)))</f>
        <v/>
      </c>
      <c r="I2499" s="27" t="str">
        <f>IF($E2499="","",N(INDEX(成本费用登记表!$Q$4:$Y$303,130,9)))</f>
        <v/>
      </c>
      <c r="J2499" s="26" t="str">
        <f>IF($E2499="","",INDEX(成本费用登记表!$C$4:$C$303,130))</f>
        <v/>
      </c>
      <c r="K2499" s="26" t="str">
        <f>IF($E2499="","",INDEX(成本费用登记表!$D$4:$D$303,130))</f>
        <v/>
      </c>
      <c r="L2499" s="32" t="str">
        <f>IF($E2499="","",INDEX(成本费用登记表!$N$4:$N$303,130))</f>
        <v/>
      </c>
      <c r="M2499" s="32"/>
      <c r="N2499" s="26" t="str">
        <f t="shared" si="122"/>
        <v/>
      </c>
      <c r="O2499" s="26" t="str">
        <f t="shared" si="123"/>
        <v/>
      </c>
      <c r="P2499" s="10"/>
    </row>
    <row r="2500" ht="18" customHeight="1" spans="1:16">
      <c r="A2500" s="32" t="str">
        <f t="shared" ref="A2500:A2563" si="124">IF($E2500="","",ROW()-3)</f>
        <v/>
      </c>
      <c r="B2500" s="100" t="str">
        <f>IF($E2500="","",INDEX(成本费用登记表!$B$4:$B$303,131))</f>
        <v/>
      </c>
      <c r="C2500" s="26" t="str">
        <f t="shared" si="121"/>
        <v/>
      </c>
      <c r="D2500" s="32" t="str">
        <f>IF($E2500="","",INDEX(成本费用登记表!$E$4:$E$303,131))</f>
        <v/>
      </c>
      <c r="E2500" s="26" t="str">
        <f>IF(INDEX(成本费用登记表!$Q$4:$Y$303,131,1)=0,"",INDEX(成本费用登记表!$Q$4:$Y$303,131,1))</f>
        <v/>
      </c>
      <c r="F2500" s="25" t="str">
        <f>IF($E2500="","",IFERROR(INDEX(科目表!$A$4:$A$81,MATCH($E2500,科目表!$B$4:$B$81,0)),""))</f>
        <v/>
      </c>
      <c r="G2500" s="26" t="str">
        <f>IF($E2500="","",IFERROR(INDEX(科目表!$E$4:$E$81,MATCH($E2500,科目表!$B$4:$B$81,0)),""))</f>
        <v/>
      </c>
      <c r="H2500" s="27" t="str">
        <f>IF($E2500="","",N(INDEX(成本费用登记表!$Q$4:$Y$303,131,2)))</f>
        <v/>
      </c>
      <c r="I2500" s="27" t="str">
        <f>IF($E2500="","",N(INDEX(成本费用登记表!$Q$4:$Y$303,131,3)))</f>
        <v/>
      </c>
      <c r="J2500" s="26" t="str">
        <f>IF($E2500="","",INDEX(成本费用登记表!$C$4:$C$303,131))</f>
        <v/>
      </c>
      <c r="K2500" s="26" t="str">
        <f>IF($E2500="","",INDEX(成本费用登记表!$D$4:$D$303,131))</f>
        <v/>
      </c>
      <c r="L2500" s="32" t="str">
        <f>IF($E2500="","",INDEX(成本费用登记表!$N$4:$N$303,131))</f>
        <v/>
      </c>
      <c r="M2500" s="32"/>
      <c r="N2500" s="26" t="str">
        <f t="shared" si="122"/>
        <v/>
      </c>
      <c r="O2500" s="26" t="str">
        <f t="shared" si="123"/>
        <v/>
      </c>
      <c r="P2500" s="10"/>
    </row>
    <row r="2501" ht="18" customHeight="1" spans="1:16">
      <c r="A2501" s="32" t="str">
        <f t="shared" si="124"/>
        <v/>
      </c>
      <c r="B2501" s="100" t="str">
        <f>IF($E2501="","",INDEX(成本费用登记表!$B$4:$B$303,131))</f>
        <v/>
      </c>
      <c r="C2501" s="26" t="str">
        <f t="shared" si="121"/>
        <v/>
      </c>
      <c r="D2501" s="32" t="str">
        <f>IF($E2501="","",INDEX(成本费用登记表!$E$4:$E$303,131))</f>
        <v/>
      </c>
      <c r="E2501" s="26" t="str">
        <f>IF(INDEX(成本费用登记表!$Q$4:$Y$303,131,4)=0,"",INDEX(成本费用登记表!$Q$4:$Y$303,131,4))</f>
        <v/>
      </c>
      <c r="F2501" s="25" t="str">
        <f>IF($E2501="","",IFERROR(INDEX(科目表!$A$4:$A$81,MATCH($E2501,科目表!$B$4:$B$81,0)),""))</f>
        <v/>
      </c>
      <c r="G2501" s="26" t="str">
        <f>IF($E2501="","",IFERROR(INDEX(科目表!$E$4:$E$81,MATCH($E2501,科目表!$B$4:$B$81,0)),""))</f>
        <v/>
      </c>
      <c r="H2501" s="27" t="str">
        <f>IF($E2501="","",N(INDEX(成本费用登记表!$Q$4:$Y$303,131,5)))</f>
        <v/>
      </c>
      <c r="I2501" s="27" t="str">
        <f>IF($E2501="","",N(INDEX(成本费用登记表!$Q$4:$Y$303,131,6)))</f>
        <v/>
      </c>
      <c r="J2501" s="26" t="str">
        <f>IF($E2501="","",INDEX(成本费用登记表!$C$4:$C$303,131))</f>
        <v/>
      </c>
      <c r="K2501" s="26" t="str">
        <f>IF($E2501="","",INDEX(成本费用登记表!$D$4:$D$303,131))</f>
        <v/>
      </c>
      <c r="L2501" s="32" t="str">
        <f>IF($E2501="","",INDEX(成本费用登记表!$N$4:$N$303,131))</f>
        <v/>
      </c>
      <c r="M2501" s="32"/>
      <c r="N2501" s="26" t="str">
        <f t="shared" si="122"/>
        <v/>
      </c>
      <c r="O2501" s="26" t="str">
        <f t="shared" si="123"/>
        <v/>
      </c>
      <c r="P2501" s="10"/>
    </row>
    <row r="2502" ht="18" customHeight="1" spans="1:16">
      <c r="A2502" s="32" t="str">
        <f t="shared" si="124"/>
        <v/>
      </c>
      <c r="B2502" s="100" t="str">
        <f>IF($E2502="","",INDEX(成本费用登记表!$B$4:$B$303,131))</f>
        <v/>
      </c>
      <c r="C2502" s="26" t="str">
        <f t="shared" si="121"/>
        <v/>
      </c>
      <c r="D2502" s="32" t="str">
        <f>IF($E2502="","",INDEX(成本费用登记表!$E$4:$E$303,131))</f>
        <v/>
      </c>
      <c r="E2502" s="26" t="str">
        <f>IF(INDEX(成本费用登记表!$Q$4:$Y$303,131,7)=0,"",INDEX(成本费用登记表!$Q$4:$Y$303,131,7))</f>
        <v/>
      </c>
      <c r="F2502" s="25" t="str">
        <f>IF($E2502="","",IFERROR(INDEX(科目表!$A$4:$A$81,MATCH($E2502,科目表!$B$4:$B$81,0)),""))</f>
        <v/>
      </c>
      <c r="G2502" s="26" t="str">
        <f>IF($E2502="","",IFERROR(INDEX(科目表!$E$4:$E$81,MATCH($E2502,科目表!$B$4:$B$81,0)),""))</f>
        <v/>
      </c>
      <c r="H2502" s="27" t="str">
        <f>IF($E2502="","",N(INDEX(成本费用登记表!$Q$4:$Y$303,131,8)))</f>
        <v/>
      </c>
      <c r="I2502" s="27" t="str">
        <f>IF($E2502="","",N(INDEX(成本费用登记表!$Q$4:$Y$303,131,9)))</f>
        <v/>
      </c>
      <c r="J2502" s="26" t="str">
        <f>IF($E2502="","",INDEX(成本费用登记表!$C$4:$C$303,131))</f>
        <v/>
      </c>
      <c r="K2502" s="26" t="str">
        <f>IF($E2502="","",INDEX(成本费用登记表!$D$4:$D$303,131))</f>
        <v/>
      </c>
      <c r="L2502" s="32" t="str">
        <f>IF($E2502="","",INDEX(成本费用登记表!$N$4:$N$303,131))</f>
        <v/>
      </c>
      <c r="M2502" s="32"/>
      <c r="N2502" s="26" t="str">
        <f t="shared" si="122"/>
        <v/>
      </c>
      <c r="O2502" s="26" t="str">
        <f t="shared" si="123"/>
        <v/>
      </c>
      <c r="P2502" s="10"/>
    </row>
    <row r="2503" ht="18" customHeight="1" spans="1:16">
      <c r="A2503" s="32" t="str">
        <f t="shared" si="124"/>
        <v/>
      </c>
      <c r="B2503" s="100" t="str">
        <f>IF($E2503="","",INDEX(成本费用登记表!$B$4:$B$303,132))</f>
        <v/>
      </c>
      <c r="C2503" s="26" t="str">
        <f t="shared" si="121"/>
        <v/>
      </c>
      <c r="D2503" s="32" t="str">
        <f>IF($E2503="","",INDEX(成本费用登记表!$E$4:$E$303,132))</f>
        <v/>
      </c>
      <c r="E2503" s="26" t="str">
        <f>IF(INDEX(成本费用登记表!$Q$4:$Y$303,132,1)=0,"",INDEX(成本费用登记表!$Q$4:$Y$303,132,1))</f>
        <v/>
      </c>
      <c r="F2503" s="25" t="str">
        <f>IF($E2503="","",IFERROR(INDEX(科目表!$A$4:$A$81,MATCH($E2503,科目表!$B$4:$B$81,0)),""))</f>
        <v/>
      </c>
      <c r="G2503" s="26" t="str">
        <f>IF($E2503="","",IFERROR(INDEX(科目表!$E$4:$E$81,MATCH($E2503,科目表!$B$4:$B$81,0)),""))</f>
        <v/>
      </c>
      <c r="H2503" s="27" t="str">
        <f>IF($E2503="","",N(INDEX(成本费用登记表!$Q$4:$Y$303,132,2)))</f>
        <v/>
      </c>
      <c r="I2503" s="27" t="str">
        <f>IF($E2503="","",N(INDEX(成本费用登记表!$Q$4:$Y$303,132,3)))</f>
        <v/>
      </c>
      <c r="J2503" s="26" t="str">
        <f>IF($E2503="","",INDEX(成本费用登记表!$C$4:$C$303,132))</f>
        <v/>
      </c>
      <c r="K2503" s="26" t="str">
        <f>IF($E2503="","",INDEX(成本费用登记表!$D$4:$D$303,132))</f>
        <v/>
      </c>
      <c r="L2503" s="32" t="str">
        <f>IF($E2503="","",INDEX(成本费用登记表!$N$4:$N$303,132))</f>
        <v/>
      </c>
      <c r="M2503" s="32"/>
      <c r="N2503" s="26" t="str">
        <f t="shared" si="122"/>
        <v/>
      </c>
      <c r="O2503" s="26" t="str">
        <f t="shared" si="123"/>
        <v/>
      </c>
      <c r="P2503" s="10"/>
    </row>
    <row r="2504" ht="18" customHeight="1" spans="1:16">
      <c r="A2504" s="32" t="str">
        <f t="shared" si="124"/>
        <v/>
      </c>
      <c r="B2504" s="100" t="str">
        <f>IF($E2504="","",INDEX(成本费用登记表!$B$4:$B$303,132))</f>
        <v/>
      </c>
      <c r="C2504" s="26" t="str">
        <f t="shared" si="121"/>
        <v/>
      </c>
      <c r="D2504" s="32" t="str">
        <f>IF($E2504="","",INDEX(成本费用登记表!$E$4:$E$303,132))</f>
        <v/>
      </c>
      <c r="E2504" s="26" t="str">
        <f>IF(INDEX(成本费用登记表!$Q$4:$Y$303,132,4)=0,"",INDEX(成本费用登记表!$Q$4:$Y$303,132,4))</f>
        <v/>
      </c>
      <c r="F2504" s="25" t="str">
        <f>IF($E2504="","",IFERROR(INDEX(科目表!$A$4:$A$81,MATCH($E2504,科目表!$B$4:$B$81,0)),""))</f>
        <v/>
      </c>
      <c r="G2504" s="26" t="str">
        <f>IF($E2504="","",IFERROR(INDEX(科目表!$E$4:$E$81,MATCH($E2504,科目表!$B$4:$B$81,0)),""))</f>
        <v/>
      </c>
      <c r="H2504" s="27" t="str">
        <f>IF($E2504="","",N(INDEX(成本费用登记表!$Q$4:$Y$303,132,5)))</f>
        <v/>
      </c>
      <c r="I2504" s="27" t="str">
        <f>IF($E2504="","",N(INDEX(成本费用登记表!$Q$4:$Y$303,132,6)))</f>
        <v/>
      </c>
      <c r="J2504" s="26" t="str">
        <f>IF($E2504="","",INDEX(成本费用登记表!$C$4:$C$303,132))</f>
        <v/>
      </c>
      <c r="K2504" s="26" t="str">
        <f>IF($E2504="","",INDEX(成本费用登记表!$D$4:$D$303,132))</f>
        <v/>
      </c>
      <c r="L2504" s="32" t="str">
        <f>IF($E2504="","",INDEX(成本费用登记表!$N$4:$N$303,132))</f>
        <v/>
      </c>
      <c r="M2504" s="32"/>
      <c r="N2504" s="26" t="str">
        <f t="shared" si="122"/>
        <v/>
      </c>
      <c r="O2504" s="26" t="str">
        <f t="shared" si="123"/>
        <v/>
      </c>
      <c r="P2504" s="10"/>
    </row>
    <row r="2505" ht="18" customHeight="1" spans="1:16">
      <c r="A2505" s="32" t="str">
        <f t="shared" si="124"/>
        <v/>
      </c>
      <c r="B2505" s="100" t="str">
        <f>IF($E2505="","",INDEX(成本费用登记表!$B$4:$B$303,132))</f>
        <v/>
      </c>
      <c r="C2505" s="26" t="str">
        <f t="shared" si="121"/>
        <v/>
      </c>
      <c r="D2505" s="32" t="str">
        <f>IF($E2505="","",INDEX(成本费用登记表!$E$4:$E$303,132))</f>
        <v/>
      </c>
      <c r="E2505" s="26" t="str">
        <f>IF(INDEX(成本费用登记表!$Q$4:$Y$303,132,7)=0,"",INDEX(成本费用登记表!$Q$4:$Y$303,132,7))</f>
        <v/>
      </c>
      <c r="F2505" s="25" t="str">
        <f>IF($E2505="","",IFERROR(INDEX(科目表!$A$4:$A$81,MATCH($E2505,科目表!$B$4:$B$81,0)),""))</f>
        <v/>
      </c>
      <c r="G2505" s="26" t="str">
        <f>IF($E2505="","",IFERROR(INDEX(科目表!$E$4:$E$81,MATCH($E2505,科目表!$B$4:$B$81,0)),""))</f>
        <v/>
      </c>
      <c r="H2505" s="27" t="str">
        <f>IF($E2505="","",N(INDEX(成本费用登记表!$Q$4:$Y$303,132,8)))</f>
        <v/>
      </c>
      <c r="I2505" s="27" t="str">
        <f>IF($E2505="","",N(INDEX(成本费用登记表!$Q$4:$Y$303,132,9)))</f>
        <v/>
      </c>
      <c r="J2505" s="26" t="str">
        <f>IF($E2505="","",INDEX(成本费用登记表!$C$4:$C$303,132))</f>
        <v/>
      </c>
      <c r="K2505" s="26" t="str">
        <f>IF($E2505="","",INDEX(成本费用登记表!$D$4:$D$303,132))</f>
        <v/>
      </c>
      <c r="L2505" s="32" t="str">
        <f>IF($E2505="","",INDEX(成本费用登记表!$N$4:$N$303,132))</f>
        <v/>
      </c>
      <c r="M2505" s="32"/>
      <c r="N2505" s="26" t="str">
        <f t="shared" si="122"/>
        <v/>
      </c>
      <c r="O2505" s="26" t="str">
        <f t="shared" si="123"/>
        <v/>
      </c>
      <c r="P2505" s="10"/>
    </row>
    <row r="2506" ht="18" customHeight="1" spans="1:16">
      <c r="A2506" s="32" t="str">
        <f t="shared" si="124"/>
        <v/>
      </c>
      <c r="B2506" s="100" t="str">
        <f>IF($E2506="","",INDEX(成本费用登记表!$B$4:$B$303,133))</f>
        <v/>
      </c>
      <c r="C2506" s="26" t="str">
        <f t="shared" si="121"/>
        <v/>
      </c>
      <c r="D2506" s="32" t="str">
        <f>IF($E2506="","",INDEX(成本费用登记表!$E$4:$E$303,133))</f>
        <v/>
      </c>
      <c r="E2506" s="26" t="str">
        <f>IF(INDEX(成本费用登记表!$Q$4:$Y$303,133,1)=0,"",INDEX(成本费用登记表!$Q$4:$Y$303,133,1))</f>
        <v/>
      </c>
      <c r="F2506" s="25" t="str">
        <f>IF($E2506="","",IFERROR(INDEX(科目表!$A$4:$A$81,MATCH($E2506,科目表!$B$4:$B$81,0)),""))</f>
        <v/>
      </c>
      <c r="G2506" s="26" t="str">
        <f>IF($E2506="","",IFERROR(INDEX(科目表!$E$4:$E$81,MATCH($E2506,科目表!$B$4:$B$81,0)),""))</f>
        <v/>
      </c>
      <c r="H2506" s="27" t="str">
        <f>IF($E2506="","",N(INDEX(成本费用登记表!$Q$4:$Y$303,133,2)))</f>
        <v/>
      </c>
      <c r="I2506" s="27" t="str">
        <f>IF($E2506="","",N(INDEX(成本费用登记表!$Q$4:$Y$303,133,3)))</f>
        <v/>
      </c>
      <c r="J2506" s="26" t="str">
        <f>IF($E2506="","",INDEX(成本费用登记表!$C$4:$C$303,133))</f>
        <v/>
      </c>
      <c r="K2506" s="26" t="str">
        <f>IF($E2506="","",INDEX(成本费用登记表!$D$4:$D$303,133))</f>
        <v/>
      </c>
      <c r="L2506" s="32" t="str">
        <f>IF($E2506="","",INDEX(成本费用登记表!$N$4:$N$303,133))</f>
        <v/>
      </c>
      <c r="M2506" s="32"/>
      <c r="N2506" s="26" t="str">
        <f t="shared" si="122"/>
        <v/>
      </c>
      <c r="O2506" s="26" t="str">
        <f t="shared" si="123"/>
        <v/>
      </c>
      <c r="P2506" s="10"/>
    </row>
    <row r="2507" ht="18" customHeight="1" spans="1:16">
      <c r="A2507" s="32" t="str">
        <f t="shared" si="124"/>
        <v/>
      </c>
      <c r="B2507" s="100" t="str">
        <f>IF($E2507="","",INDEX(成本费用登记表!$B$4:$B$303,133))</f>
        <v/>
      </c>
      <c r="C2507" s="26" t="str">
        <f t="shared" si="121"/>
        <v/>
      </c>
      <c r="D2507" s="32" t="str">
        <f>IF($E2507="","",INDEX(成本费用登记表!$E$4:$E$303,133))</f>
        <v/>
      </c>
      <c r="E2507" s="26" t="str">
        <f>IF(INDEX(成本费用登记表!$Q$4:$Y$303,133,4)=0,"",INDEX(成本费用登记表!$Q$4:$Y$303,133,4))</f>
        <v/>
      </c>
      <c r="F2507" s="25" t="str">
        <f>IF($E2507="","",IFERROR(INDEX(科目表!$A$4:$A$81,MATCH($E2507,科目表!$B$4:$B$81,0)),""))</f>
        <v/>
      </c>
      <c r="G2507" s="26" t="str">
        <f>IF($E2507="","",IFERROR(INDEX(科目表!$E$4:$E$81,MATCH($E2507,科目表!$B$4:$B$81,0)),""))</f>
        <v/>
      </c>
      <c r="H2507" s="27" t="str">
        <f>IF($E2507="","",N(INDEX(成本费用登记表!$Q$4:$Y$303,133,5)))</f>
        <v/>
      </c>
      <c r="I2507" s="27" t="str">
        <f>IF($E2507="","",N(INDEX(成本费用登记表!$Q$4:$Y$303,133,6)))</f>
        <v/>
      </c>
      <c r="J2507" s="26" t="str">
        <f>IF($E2507="","",INDEX(成本费用登记表!$C$4:$C$303,133))</f>
        <v/>
      </c>
      <c r="K2507" s="26" t="str">
        <f>IF($E2507="","",INDEX(成本费用登记表!$D$4:$D$303,133))</f>
        <v/>
      </c>
      <c r="L2507" s="32" t="str">
        <f>IF($E2507="","",INDEX(成本费用登记表!$N$4:$N$303,133))</f>
        <v/>
      </c>
      <c r="M2507" s="32"/>
      <c r="N2507" s="26" t="str">
        <f t="shared" si="122"/>
        <v/>
      </c>
      <c r="O2507" s="26" t="str">
        <f t="shared" si="123"/>
        <v/>
      </c>
      <c r="P2507" s="10"/>
    </row>
    <row r="2508" ht="18" customHeight="1" spans="1:16">
      <c r="A2508" s="32" t="str">
        <f t="shared" si="124"/>
        <v/>
      </c>
      <c r="B2508" s="100" t="str">
        <f>IF($E2508="","",INDEX(成本费用登记表!$B$4:$B$303,133))</f>
        <v/>
      </c>
      <c r="C2508" s="26" t="str">
        <f t="shared" si="121"/>
        <v/>
      </c>
      <c r="D2508" s="32" t="str">
        <f>IF($E2508="","",INDEX(成本费用登记表!$E$4:$E$303,133))</f>
        <v/>
      </c>
      <c r="E2508" s="26" t="str">
        <f>IF(INDEX(成本费用登记表!$Q$4:$Y$303,133,7)=0,"",INDEX(成本费用登记表!$Q$4:$Y$303,133,7))</f>
        <v/>
      </c>
      <c r="F2508" s="25" t="str">
        <f>IF($E2508="","",IFERROR(INDEX(科目表!$A$4:$A$81,MATCH($E2508,科目表!$B$4:$B$81,0)),""))</f>
        <v/>
      </c>
      <c r="G2508" s="26" t="str">
        <f>IF($E2508="","",IFERROR(INDEX(科目表!$E$4:$E$81,MATCH($E2508,科目表!$B$4:$B$81,0)),""))</f>
        <v/>
      </c>
      <c r="H2508" s="27" t="str">
        <f>IF($E2508="","",N(INDEX(成本费用登记表!$Q$4:$Y$303,133,8)))</f>
        <v/>
      </c>
      <c r="I2508" s="27" t="str">
        <f>IF($E2508="","",N(INDEX(成本费用登记表!$Q$4:$Y$303,133,9)))</f>
        <v/>
      </c>
      <c r="J2508" s="26" t="str">
        <f>IF($E2508="","",INDEX(成本费用登记表!$C$4:$C$303,133))</f>
        <v/>
      </c>
      <c r="K2508" s="26" t="str">
        <f>IF($E2508="","",INDEX(成本费用登记表!$D$4:$D$303,133))</f>
        <v/>
      </c>
      <c r="L2508" s="32" t="str">
        <f>IF($E2508="","",INDEX(成本费用登记表!$N$4:$N$303,133))</f>
        <v/>
      </c>
      <c r="M2508" s="32"/>
      <c r="N2508" s="26" t="str">
        <f t="shared" si="122"/>
        <v/>
      </c>
      <c r="O2508" s="26" t="str">
        <f t="shared" si="123"/>
        <v/>
      </c>
      <c r="P2508" s="10"/>
    </row>
    <row r="2509" ht="18" customHeight="1" spans="1:16">
      <c r="A2509" s="32" t="str">
        <f t="shared" si="124"/>
        <v/>
      </c>
      <c r="B2509" s="100" t="str">
        <f>IF($E2509="","",INDEX(成本费用登记表!$B$4:$B$303,134))</f>
        <v/>
      </c>
      <c r="C2509" s="26" t="str">
        <f t="shared" si="121"/>
        <v/>
      </c>
      <c r="D2509" s="32" t="str">
        <f>IF($E2509="","",INDEX(成本费用登记表!$E$4:$E$303,134))</f>
        <v/>
      </c>
      <c r="E2509" s="26" t="str">
        <f>IF(INDEX(成本费用登记表!$Q$4:$Y$303,134,1)=0,"",INDEX(成本费用登记表!$Q$4:$Y$303,134,1))</f>
        <v/>
      </c>
      <c r="F2509" s="25" t="str">
        <f>IF($E2509="","",IFERROR(INDEX(科目表!$A$4:$A$81,MATCH($E2509,科目表!$B$4:$B$81,0)),""))</f>
        <v/>
      </c>
      <c r="G2509" s="26" t="str">
        <f>IF($E2509="","",IFERROR(INDEX(科目表!$E$4:$E$81,MATCH($E2509,科目表!$B$4:$B$81,0)),""))</f>
        <v/>
      </c>
      <c r="H2509" s="27" t="str">
        <f>IF($E2509="","",N(INDEX(成本费用登记表!$Q$4:$Y$303,134,2)))</f>
        <v/>
      </c>
      <c r="I2509" s="27" t="str">
        <f>IF($E2509="","",N(INDEX(成本费用登记表!$Q$4:$Y$303,134,3)))</f>
        <v/>
      </c>
      <c r="J2509" s="26" t="str">
        <f>IF($E2509="","",INDEX(成本费用登记表!$C$4:$C$303,134))</f>
        <v/>
      </c>
      <c r="K2509" s="26" t="str">
        <f>IF($E2509="","",INDEX(成本费用登记表!$D$4:$D$303,134))</f>
        <v/>
      </c>
      <c r="L2509" s="32" t="str">
        <f>IF($E2509="","",INDEX(成本费用登记表!$N$4:$N$303,134))</f>
        <v/>
      </c>
      <c r="M2509" s="32"/>
      <c r="N2509" s="26" t="str">
        <f t="shared" si="122"/>
        <v/>
      </c>
      <c r="O2509" s="26" t="str">
        <f t="shared" si="123"/>
        <v/>
      </c>
      <c r="P2509" s="10"/>
    </row>
    <row r="2510" ht="18" customHeight="1" spans="1:16">
      <c r="A2510" s="32" t="str">
        <f t="shared" si="124"/>
        <v/>
      </c>
      <c r="B2510" s="100" t="str">
        <f>IF($E2510="","",INDEX(成本费用登记表!$B$4:$B$303,134))</f>
        <v/>
      </c>
      <c r="C2510" s="26" t="str">
        <f t="shared" si="121"/>
        <v/>
      </c>
      <c r="D2510" s="32" t="str">
        <f>IF($E2510="","",INDEX(成本费用登记表!$E$4:$E$303,134))</f>
        <v/>
      </c>
      <c r="E2510" s="26" t="str">
        <f>IF(INDEX(成本费用登记表!$Q$4:$Y$303,134,4)=0,"",INDEX(成本费用登记表!$Q$4:$Y$303,134,4))</f>
        <v/>
      </c>
      <c r="F2510" s="25" t="str">
        <f>IF($E2510="","",IFERROR(INDEX(科目表!$A$4:$A$81,MATCH($E2510,科目表!$B$4:$B$81,0)),""))</f>
        <v/>
      </c>
      <c r="G2510" s="26" t="str">
        <f>IF($E2510="","",IFERROR(INDEX(科目表!$E$4:$E$81,MATCH($E2510,科目表!$B$4:$B$81,0)),""))</f>
        <v/>
      </c>
      <c r="H2510" s="27" t="str">
        <f>IF($E2510="","",N(INDEX(成本费用登记表!$Q$4:$Y$303,134,5)))</f>
        <v/>
      </c>
      <c r="I2510" s="27" t="str">
        <f>IF($E2510="","",N(INDEX(成本费用登记表!$Q$4:$Y$303,134,6)))</f>
        <v/>
      </c>
      <c r="J2510" s="26" t="str">
        <f>IF($E2510="","",INDEX(成本费用登记表!$C$4:$C$303,134))</f>
        <v/>
      </c>
      <c r="K2510" s="26" t="str">
        <f>IF($E2510="","",INDEX(成本费用登记表!$D$4:$D$303,134))</f>
        <v/>
      </c>
      <c r="L2510" s="32" t="str">
        <f>IF($E2510="","",INDEX(成本费用登记表!$N$4:$N$303,134))</f>
        <v/>
      </c>
      <c r="M2510" s="32"/>
      <c r="N2510" s="26" t="str">
        <f t="shared" si="122"/>
        <v/>
      </c>
      <c r="O2510" s="26" t="str">
        <f t="shared" si="123"/>
        <v/>
      </c>
      <c r="P2510" s="10"/>
    </row>
    <row r="2511" ht="18" customHeight="1" spans="1:16">
      <c r="A2511" s="32" t="str">
        <f t="shared" si="124"/>
        <v/>
      </c>
      <c r="B2511" s="100" t="str">
        <f>IF($E2511="","",INDEX(成本费用登记表!$B$4:$B$303,134))</f>
        <v/>
      </c>
      <c r="C2511" s="26" t="str">
        <f t="shared" si="121"/>
        <v/>
      </c>
      <c r="D2511" s="32" t="str">
        <f>IF($E2511="","",INDEX(成本费用登记表!$E$4:$E$303,134))</f>
        <v/>
      </c>
      <c r="E2511" s="26" t="str">
        <f>IF(INDEX(成本费用登记表!$Q$4:$Y$303,134,7)=0,"",INDEX(成本费用登记表!$Q$4:$Y$303,134,7))</f>
        <v/>
      </c>
      <c r="F2511" s="25" t="str">
        <f>IF($E2511="","",IFERROR(INDEX(科目表!$A$4:$A$81,MATCH($E2511,科目表!$B$4:$B$81,0)),""))</f>
        <v/>
      </c>
      <c r="G2511" s="26" t="str">
        <f>IF($E2511="","",IFERROR(INDEX(科目表!$E$4:$E$81,MATCH($E2511,科目表!$B$4:$B$81,0)),""))</f>
        <v/>
      </c>
      <c r="H2511" s="27" t="str">
        <f>IF($E2511="","",N(INDEX(成本费用登记表!$Q$4:$Y$303,134,8)))</f>
        <v/>
      </c>
      <c r="I2511" s="27" t="str">
        <f>IF($E2511="","",N(INDEX(成本费用登记表!$Q$4:$Y$303,134,9)))</f>
        <v/>
      </c>
      <c r="J2511" s="26" t="str">
        <f>IF($E2511="","",INDEX(成本费用登记表!$C$4:$C$303,134))</f>
        <v/>
      </c>
      <c r="K2511" s="26" t="str">
        <f>IF($E2511="","",INDEX(成本费用登记表!$D$4:$D$303,134))</f>
        <v/>
      </c>
      <c r="L2511" s="32" t="str">
        <f>IF($E2511="","",INDEX(成本费用登记表!$N$4:$N$303,134))</f>
        <v/>
      </c>
      <c r="M2511" s="32"/>
      <c r="N2511" s="26" t="str">
        <f t="shared" si="122"/>
        <v/>
      </c>
      <c r="O2511" s="26" t="str">
        <f t="shared" si="123"/>
        <v/>
      </c>
      <c r="P2511" s="10"/>
    </row>
    <row r="2512" ht="18" customHeight="1" spans="1:16">
      <c r="A2512" s="32" t="str">
        <f t="shared" si="124"/>
        <v/>
      </c>
      <c r="B2512" s="100" t="str">
        <f>IF($E2512="","",INDEX(成本费用登记表!$B$4:$B$303,135))</f>
        <v/>
      </c>
      <c r="C2512" s="26" t="str">
        <f t="shared" si="121"/>
        <v/>
      </c>
      <c r="D2512" s="32" t="str">
        <f>IF($E2512="","",INDEX(成本费用登记表!$E$4:$E$303,135))</f>
        <v/>
      </c>
      <c r="E2512" s="26" t="str">
        <f>IF(INDEX(成本费用登记表!$Q$4:$Y$303,135,1)=0,"",INDEX(成本费用登记表!$Q$4:$Y$303,135,1))</f>
        <v/>
      </c>
      <c r="F2512" s="25" t="str">
        <f>IF($E2512="","",IFERROR(INDEX(科目表!$A$4:$A$81,MATCH($E2512,科目表!$B$4:$B$81,0)),""))</f>
        <v/>
      </c>
      <c r="G2512" s="26" t="str">
        <f>IF($E2512="","",IFERROR(INDEX(科目表!$E$4:$E$81,MATCH($E2512,科目表!$B$4:$B$81,0)),""))</f>
        <v/>
      </c>
      <c r="H2512" s="27" t="str">
        <f>IF($E2512="","",N(INDEX(成本费用登记表!$Q$4:$Y$303,135,2)))</f>
        <v/>
      </c>
      <c r="I2512" s="27" t="str">
        <f>IF($E2512="","",N(INDEX(成本费用登记表!$Q$4:$Y$303,135,3)))</f>
        <v/>
      </c>
      <c r="J2512" s="26" t="str">
        <f>IF($E2512="","",INDEX(成本费用登记表!$C$4:$C$303,135))</f>
        <v/>
      </c>
      <c r="K2512" s="26" t="str">
        <f>IF($E2512="","",INDEX(成本费用登记表!$D$4:$D$303,135))</f>
        <v/>
      </c>
      <c r="L2512" s="32" t="str">
        <f>IF($E2512="","",INDEX(成本费用登记表!$N$4:$N$303,135))</f>
        <v/>
      </c>
      <c r="M2512" s="32"/>
      <c r="N2512" s="26" t="str">
        <f t="shared" si="122"/>
        <v/>
      </c>
      <c r="O2512" s="26" t="str">
        <f t="shared" si="123"/>
        <v/>
      </c>
      <c r="P2512" s="10"/>
    </row>
    <row r="2513" ht="18" customHeight="1" spans="1:16">
      <c r="A2513" s="32" t="str">
        <f t="shared" si="124"/>
        <v/>
      </c>
      <c r="B2513" s="100" t="str">
        <f>IF($E2513="","",INDEX(成本费用登记表!$B$4:$B$303,135))</f>
        <v/>
      </c>
      <c r="C2513" s="26" t="str">
        <f t="shared" si="121"/>
        <v/>
      </c>
      <c r="D2513" s="32" t="str">
        <f>IF($E2513="","",INDEX(成本费用登记表!$E$4:$E$303,135))</f>
        <v/>
      </c>
      <c r="E2513" s="26" t="str">
        <f>IF(INDEX(成本费用登记表!$Q$4:$Y$303,135,4)=0,"",INDEX(成本费用登记表!$Q$4:$Y$303,135,4))</f>
        <v/>
      </c>
      <c r="F2513" s="25" t="str">
        <f>IF($E2513="","",IFERROR(INDEX(科目表!$A$4:$A$81,MATCH($E2513,科目表!$B$4:$B$81,0)),""))</f>
        <v/>
      </c>
      <c r="G2513" s="26" t="str">
        <f>IF($E2513="","",IFERROR(INDEX(科目表!$E$4:$E$81,MATCH($E2513,科目表!$B$4:$B$81,0)),""))</f>
        <v/>
      </c>
      <c r="H2513" s="27" t="str">
        <f>IF($E2513="","",N(INDEX(成本费用登记表!$Q$4:$Y$303,135,5)))</f>
        <v/>
      </c>
      <c r="I2513" s="27" t="str">
        <f>IF($E2513="","",N(INDEX(成本费用登记表!$Q$4:$Y$303,135,6)))</f>
        <v/>
      </c>
      <c r="J2513" s="26" t="str">
        <f>IF($E2513="","",INDEX(成本费用登记表!$C$4:$C$303,135))</f>
        <v/>
      </c>
      <c r="K2513" s="26" t="str">
        <f>IF($E2513="","",INDEX(成本费用登记表!$D$4:$D$303,135))</f>
        <v/>
      </c>
      <c r="L2513" s="32" t="str">
        <f>IF($E2513="","",INDEX(成本费用登记表!$N$4:$N$303,135))</f>
        <v/>
      </c>
      <c r="M2513" s="32"/>
      <c r="N2513" s="26" t="str">
        <f t="shared" si="122"/>
        <v/>
      </c>
      <c r="O2513" s="26" t="str">
        <f t="shared" si="123"/>
        <v/>
      </c>
      <c r="P2513" s="10"/>
    </row>
    <row r="2514" ht="18" customHeight="1" spans="1:16">
      <c r="A2514" s="32" t="str">
        <f t="shared" si="124"/>
        <v/>
      </c>
      <c r="B2514" s="100" t="str">
        <f>IF($E2514="","",INDEX(成本费用登记表!$B$4:$B$303,135))</f>
        <v/>
      </c>
      <c r="C2514" s="26" t="str">
        <f t="shared" si="121"/>
        <v/>
      </c>
      <c r="D2514" s="32" t="str">
        <f>IF($E2514="","",INDEX(成本费用登记表!$E$4:$E$303,135))</f>
        <v/>
      </c>
      <c r="E2514" s="26" t="str">
        <f>IF(INDEX(成本费用登记表!$Q$4:$Y$303,135,7)=0,"",INDEX(成本费用登记表!$Q$4:$Y$303,135,7))</f>
        <v/>
      </c>
      <c r="F2514" s="25" t="str">
        <f>IF($E2514="","",IFERROR(INDEX(科目表!$A$4:$A$81,MATCH($E2514,科目表!$B$4:$B$81,0)),""))</f>
        <v/>
      </c>
      <c r="G2514" s="26" t="str">
        <f>IF($E2514="","",IFERROR(INDEX(科目表!$E$4:$E$81,MATCH($E2514,科目表!$B$4:$B$81,0)),""))</f>
        <v/>
      </c>
      <c r="H2514" s="27" t="str">
        <f>IF($E2514="","",N(INDEX(成本费用登记表!$Q$4:$Y$303,135,8)))</f>
        <v/>
      </c>
      <c r="I2514" s="27" t="str">
        <f>IF($E2514="","",N(INDEX(成本费用登记表!$Q$4:$Y$303,135,9)))</f>
        <v/>
      </c>
      <c r="J2514" s="26" t="str">
        <f>IF($E2514="","",INDEX(成本费用登记表!$C$4:$C$303,135))</f>
        <v/>
      </c>
      <c r="K2514" s="26" t="str">
        <f>IF($E2514="","",INDEX(成本费用登记表!$D$4:$D$303,135))</f>
        <v/>
      </c>
      <c r="L2514" s="32" t="str">
        <f>IF($E2514="","",INDEX(成本费用登记表!$N$4:$N$303,135))</f>
        <v/>
      </c>
      <c r="M2514" s="32"/>
      <c r="N2514" s="26" t="str">
        <f t="shared" si="122"/>
        <v/>
      </c>
      <c r="O2514" s="26" t="str">
        <f t="shared" si="123"/>
        <v/>
      </c>
      <c r="P2514" s="10"/>
    </row>
    <row r="2515" ht="18" customHeight="1" spans="1:16">
      <c r="A2515" s="32" t="str">
        <f t="shared" si="124"/>
        <v/>
      </c>
      <c r="B2515" s="100" t="str">
        <f>IF($E2515="","",INDEX(成本费用登记表!$B$4:$B$303,136))</f>
        <v/>
      </c>
      <c r="C2515" s="26" t="str">
        <f t="shared" si="121"/>
        <v/>
      </c>
      <c r="D2515" s="32" t="str">
        <f>IF($E2515="","",INDEX(成本费用登记表!$E$4:$E$303,136))</f>
        <v/>
      </c>
      <c r="E2515" s="26" t="str">
        <f>IF(INDEX(成本费用登记表!$Q$4:$Y$303,136,1)=0,"",INDEX(成本费用登记表!$Q$4:$Y$303,136,1))</f>
        <v/>
      </c>
      <c r="F2515" s="25" t="str">
        <f>IF($E2515="","",IFERROR(INDEX(科目表!$A$4:$A$81,MATCH($E2515,科目表!$B$4:$B$81,0)),""))</f>
        <v/>
      </c>
      <c r="G2515" s="26" t="str">
        <f>IF($E2515="","",IFERROR(INDEX(科目表!$E$4:$E$81,MATCH($E2515,科目表!$B$4:$B$81,0)),""))</f>
        <v/>
      </c>
      <c r="H2515" s="27" t="str">
        <f>IF($E2515="","",N(INDEX(成本费用登记表!$Q$4:$Y$303,136,2)))</f>
        <v/>
      </c>
      <c r="I2515" s="27" t="str">
        <f>IF($E2515="","",N(INDEX(成本费用登记表!$Q$4:$Y$303,136,3)))</f>
        <v/>
      </c>
      <c r="J2515" s="26" t="str">
        <f>IF($E2515="","",INDEX(成本费用登记表!$C$4:$C$303,136))</f>
        <v/>
      </c>
      <c r="K2515" s="26" t="str">
        <f>IF($E2515="","",INDEX(成本费用登记表!$D$4:$D$303,136))</f>
        <v/>
      </c>
      <c r="L2515" s="32" t="str">
        <f>IF($E2515="","",INDEX(成本费用登记表!$N$4:$N$303,136))</f>
        <v/>
      </c>
      <c r="M2515" s="32"/>
      <c r="N2515" s="26" t="str">
        <f t="shared" si="122"/>
        <v/>
      </c>
      <c r="O2515" s="26" t="str">
        <f t="shared" si="123"/>
        <v/>
      </c>
      <c r="P2515" s="10"/>
    </row>
    <row r="2516" ht="18" customHeight="1" spans="1:16">
      <c r="A2516" s="32" t="str">
        <f t="shared" si="124"/>
        <v/>
      </c>
      <c r="B2516" s="100" t="str">
        <f>IF($E2516="","",INDEX(成本费用登记表!$B$4:$B$303,136))</f>
        <v/>
      </c>
      <c r="C2516" s="26" t="str">
        <f t="shared" si="121"/>
        <v/>
      </c>
      <c r="D2516" s="32" t="str">
        <f>IF($E2516="","",INDEX(成本费用登记表!$E$4:$E$303,136))</f>
        <v/>
      </c>
      <c r="E2516" s="26" t="str">
        <f>IF(INDEX(成本费用登记表!$Q$4:$Y$303,136,4)=0,"",INDEX(成本费用登记表!$Q$4:$Y$303,136,4))</f>
        <v/>
      </c>
      <c r="F2516" s="25" t="str">
        <f>IF($E2516="","",IFERROR(INDEX(科目表!$A$4:$A$81,MATCH($E2516,科目表!$B$4:$B$81,0)),""))</f>
        <v/>
      </c>
      <c r="G2516" s="26" t="str">
        <f>IF($E2516="","",IFERROR(INDEX(科目表!$E$4:$E$81,MATCH($E2516,科目表!$B$4:$B$81,0)),""))</f>
        <v/>
      </c>
      <c r="H2516" s="27" t="str">
        <f>IF($E2516="","",N(INDEX(成本费用登记表!$Q$4:$Y$303,136,5)))</f>
        <v/>
      </c>
      <c r="I2516" s="27" t="str">
        <f>IF($E2516="","",N(INDEX(成本费用登记表!$Q$4:$Y$303,136,6)))</f>
        <v/>
      </c>
      <c r="J2516" s="26" t="str">
        <f>IF($E2516="","",INDEX(成本费用登记表!$C$4:$C$303,136))</f>
        <v/>
      </c>
      <c r="K2516" s="26" t="str">
        <f>IF($E2516="","",INDEX(成本费用登记表!$D$4:$D$303,136))</f>
        <v/>
      </c>
      <c r="L2516" s="32" t="str">
        <f>IF($E2516="","",INDEX(成本费用登记表!$N$4:$N$303,136))</f>
        <v/>
      </c>
      <c r="M2516" s="32"/>
      <c r="N2516" s="26" t="str">
        <f t="shared" si="122"/>
        <v/>
      </c>
      <c r="O2516" s="26" t="str">
        <f t="shared" si="123"/>
        <v/>
      </c>
      <c r="P2516" s="10"/>
    </row>
    <row r="2517" ht="18" customHeight="1" spans="1:16">
      <c r="A2517" s="32" t="str">
        <f t="shared" si="124"/>
        <v/>
      </c>
      <c r="B2517" s="100" t="str">
        <f>IF($E2517="","",INDEX(成本费用登记表!$B$4:$B$303,136))</f>
        <v/>
      </c>
      <c r="C2517" s="26" t="str">
        <f t="shared" si="121"/>
        <v/>
      </c>
      <c r="D2517" s="32" t="str">
        <f>IF($E2517="","",INDEX(成本费用登记表!$E$4:$E$303,136))</f>
        <v/>
      </c>
      <c r="E2517" s="26" t="str">
        <f>IF(INDEX(成本费用登记表!$Q$4:$Y$303,136,7)=0,"",INDEX(成本费用登记表!$Q$4:$Y$303,136,7))</f>
        <v/>
      </c>
      <c r="F2517" s="25" t="str">
        <f>IF($E2517="","",IFERROR(INDEX(科目表!$A$4:$A$81,MATCH($E2517,科目表!$B$4:$B$81,0)),""))</f>
        <v/>
      </c>
      <c r="G2517" s="26" t="str">
        <f>IF($E2517="","",IFERROR(INDEX(科目表!$E$4:$E$81,MATCH($E2517,科目表!$B$4:$B$81,0)),""))</f>
        <v/>
      </c>
      <c r="H2517" s="27" t="str">
        <f>IF($E2517="","",N(INDEX(成本费用登记表!$Q$4:$Y$303,136,8)))</f>
        <v/>
      </c>
      <c r="I2517" s="27" t="str">
        <f>IF($E2517="","",N(INDEX(成本费用登记表!$Q$4:$Y$303,136,9)))</f>
        <v/>
      </c>
      <c r="J2517" s="26" t="str">
        <f>IF($E2517="","",INDEX(成本费用登记表!$C$4:$C$303,136))</f>
        <v/>
      </c>
      <c r="K2517" s="26" t="str">
        <f>IF($E2517="","",INDEX(成本费用登记表!$D$4:$D$303,136))</f>
        <v/>
      </c>
      <c r="L2517" s="32" t="str">
        <f>IF($E2517="","",INDEX(成本费用登记表!$N$4:$N$303,136))</f>
        <v/>
      </c>
      <c r="M2517" s="32"/>
      <c r="N2517" s="26" t="str">
        <f t="shared" si="122"/>
        <v/>
      </c>
      <c r="O2517" s="26" t="str">
        <f t="shared" si="123"/>
        <v/>
      </c>
      <c r="P2517" s="10"/>
    </row>
    <row r="2518" ht="18" customHeight="1" spans="1:16">
      <c r="A2518" s="32" t="str">
        <f t="shared" si="124"/>
        <v/>
      </c>
      <c r="B2518" s="100" t="str">
        <f>IF($E2518="","",INDEX(成本费用登记表!$B$4:$B$303,137))</f>
        <v/>
      </c>
      <c r="C2518" s="26" t="str">
        <f t="shared" si="121"/>
        <v/>
      </c>
      <c r="D2518" s="32" t="str">
        <f>IF($E2518="","",INDEX(成本费用登记表!$E$4:$E$303,137))</f>
        <v/>
      </c>
      <c r="E2518" s="26" t="str">
        <f>IF(INDEX(成本费用登记表!$Q$4:$Y$303,137,1)=0,"",INDEX(成本费用登记表!$Q$4:$Y$303,137,1))</f>
        <v/>
      </c>
      <c r="F2518" s="25" t="str">
        <f>IF($E2518="","",IFERROR(INDEX(科目表!$A$4:$A$81,MATCH($E2518,科目表!$B$4:$B$81,0)),""))</f>
        <v/>
      </c>
      <c r="G2518" s="26" t="str">
        <f>IF($E2518="","",IFERROR(INDEX(科目表!$E$4:$E$81,MATCH($E2518,科目表!$B$4:$B$81,0)),""))</f>
        <v/>
      </c>
      <c r="H2518" s="27" t="str">
        <f>IF($E2518="","",N(INDEX(成本费用登记表!$Q$4:$Y$303,137,2)))</f>
        <v/>
      </c>
      <c r="I2518" s="27" t="str">
        <f>IF($E2518="","",N(INDEX(成本费用登记表!$Q$4:$Y$303,137,3)))</f>
        <v/>
      </c>
      <c r="J2518" s="26" t="str">
        <f>IF($E2518="","",INDEX(成本费用登记表!$C$4:$C$303,137))</f>
        <v/>
      </c>
      <c r="K2518" s="26" t="str">
        <f>IF($E2518="","",INDEX(成本费用登记表!$D$4:$D$303,137))</f>
        <v/>
      </c>
      <c r="L2518" s="32" t="str">
        <f>IF($E2518="","",INDEX(成本费用登记表!$N$4:$N$303,137))</f>
        <v/>
      </c>
      <c r="M2518" s="32"/>
      <c r="N2518" s="26" t="str">
        <f t="shared" si="122"/>
        <v/>
      </c>
      <c r="O2518" s="26" t="str">
        <f t="shared" si="123"/>
        <v/>
      </c>
      <c r="P2518" s="10"/>
    </row>
    <row r="2519" ht="18" customHeight="1" spans="1:16">
      <c r="A2519" s="32" t="str">
        <f t="shared" si="124"/>
        <v/>
      </c>
      <c r="B2519" s="100" t="str">
        <f>IF($E2519="","",INDEX(成本费用登记表!$B$4:$B$303,137))</f>
        <v/>
      </c>
      <c r="C2519" s="26" t="str">
        <f t="shared" si="121"/>
        <v/>
      </c>
      <c r="D2519" s="32" t="str">
        <f>IF($E2519="","",INDEX(成本费用登记表!$E$4:$E$303,137))</f>
        <v/>
      </c>
      <c r="E2519" s="26" t="str">
        <f>IF(INDEX(成本费用登记表!$Q$4:$Y$303,137,4)=0,"",INDEX(成本费用登记表!$Q$4:$Y$303,137,4))</f>
        <v/>
      </c>
      <c r="F2519" s="25" t="str">
        <f>IF($E2519="","",IFERROR(INDEX(科目表!$A$4:$A$81,MATCH($E2519,科目表!$B$4:$B$81,0)),""))</f>
        <v/>
      </c>
      <c r="G2519" s="26" t="str">
        <f>IF($E2519="","",IFERROR(INDEX(科目表!$E$4:$E$81,MATCH($E2519,科目表!$B$4:$B$81,0)),""))</f>
        <v/>
      </c>
      <c r="H2519" s="27" t="str">
        <f>IF($E2519="","",N(INDEX(成本费用登记表!$Q$4:$Y$303,137,5)))</f>
        <v/>
      </c>
      <c r="I2519" s="27" t="str">
        <f>IF($E2519="","",N(INDEX(成本费用登记表!$Q$4:$Y$303,137,6)))</f>
        <v/>
      </c>
      <c r="J2519" s="26" t="str">
        <f>IF($E2519="","",INDEX(成本费用登记表!$C$4:$C$303,137))</f>
        <v/>
      </c>
      <c r="K2519" s="26" t="str">
        <f>IF($E2519="","",INDEX(成本费用登记表!$D$4:$D$303,137))</f>
        <v/>
      </c>
      <c r="L2519" s="32" t="str">
        <f>IF($E2519="","",INDEX(成本费用登记表!$N$4:$N$303,137))</f>
        <v/>
      </c>
      <c r="M2519" s="32"/>
      <c r="N2519" s="26" t="str">
        <f t="shared" si="122"/>
        <v/>
      </c>
      <c r="O2519" s="26" t="str">
        <f t="shared" si="123"/>
        <v/>
      </c>
      <c r="P2519" s="10"/>
    </row>
    <row r="2520" ht="18" customHeight="1" spans="1:16">
      <c r="A2520" s="32" t="str">
        <f t="shared" si="124"/>
        <v/>
      </c>
      <c r="B2520" s="100" t="str">
        <f>IF($E2520="","",INDEX(成本费用登记表!$B$4:$B$303,137))</f>
        <v/>
      </c>
      <c r="C2520" s="26" t="str">
        <f t="shared" si="121"/>
        <v/>
      </c>
      <c r="D2520" s="32" t="str">
        <f>IF($E2520="","",INDEX(成本费用登记表!$E$4:$E$303,137))</f>
        <v/>
      </c>
      <c r="E2520" s="26" t="str">
        <f>IF(INDEX(成本费用登记表!$Q$4:$Y$303,137,7)=0,"",INDEX(成本费用登记表!$Q$4:$Y$303,137,7))</f>
        <v/>
      </c>
      <c r="F2520" s="25" t="str">
        <f>IF($E2520="","",IFERROR(INDEX(科目表!$A$4:$A$81,MATCH($E2520,科目表!$B$4:$B$81,0)),""))</f>
        <v/>
      </c>
      <c r="G2520" s="26" t="str">
        <f>IF($E2520="","",IFERROR(INDEX(科目表!$E$4:$E$81,MATCH($E2520,科目表!$B$4:$B$81,0)),""))</f>
        <v/>
      </c>
      <c r="H2520" s="27" t="str">
        <f>IF($E2520="","",N(INDEX(成本费用登记表!$Q$4:$Y$303,137,8)))</f>
        <v/>
      </c>
      <c r="I2520" s="27" t="str">
        <f>IF($E2520="","",N(INDEX(成本费用登记表!$Q$4:$Y$303,137,9)))</f>
        <v/>
      </c>
      <c r="J2520" s="26" t="str">
        <f>IF($E2520="","",INDEX(成本费用登记表!$C$4:$C$303,137))</f>
        <v/>
      </c>
      <c r="K2520" s="26" t="str">
        <f>IF($E2520="","",INDEX(成本费用登记表!$D$4:$D$303,137))</f>
        <v/>
      </c>
      <c r="L2520" s="32" t="str">
        <f>IF($E2520="","",INDEX(成本费用登记表!$N$4:$N$303,137))</f>
        <v/>
      </c>
      <c r="M2520" s="32"/>
      <c r="N2520" s="26" t="str">
        <f t="shared" si="122"/>
        <v/>
      </c>
      <c r="O2520" s="26" t="str">
        <f t="shared" si="123"/>
        <v/>
      </c>
      <c r="P2520" s="10"/>
    </row>
    <row r="2521" ht="18" customHeight="1" spans="1:16">
      <c r="A2521" s="32" t="str">
        <f t="shared" si="124"/>
        <v/>
      </c>
      <c r="B2521" s="100" t="str">
        <f>IF($E2521="","",INDEX(成本费用登记表!$B$4:$B$303,138))</f>
        <v/>
      </c>
      <c r="C2521" s="26" t="str">
        <f t="shared" si="121"/>
        <v/>
      </c>
      <c r="D2521" s="32" t="str">
        <f>IF($E2521="","",INDEX(成本费用登记表!$E$4:$E$303,138))</f>
        <v/>
      </c>
      <c r="E2521" s="26" t="str">
        <f>IF(INDEX(成本费用登记表!$Q$4:$Y$303,138,1)=0,"",INDEX(成本费用登记表!$Q$4:$Y$303,138,1))</f>
        <v/>
      </c>
      <c r="F2521" s="25" t="str">
        <f>IF($E2521="","",IFERROR(INDEX(科目表!$A$4:$A$81,MATCH($E2521,科目表!$B$4:$B$81,0)),""))</f>
        <v/>
      </c>
      <c r="G2521" s="26" t="str">
        <f>IF($E2521="","",IFERROR(INDEX(科目表!$E$4:$E$81,MATCH($E2521,科目表!$B$4:$B$81,0)),""))</f>
        <v/>
      </c>
      <c r="H2521" s="27" t="str">
        <f>IF($E2521="","",N(INDEX(成本费用登记表!$Q$4:$Y$303,138,2)))</f>
        <v/>
      </c>
      <c r="I2521" s="27" t="str">
        <f>IF($E2521="","",N(INDEX(成本费用登记表!$Q$4:$Y$303,138,3)))</f>
        <v/>
      </c>
      <c r="J2521" s="26" t="str">
        <f>IF($E2521="","",INDEX(成本费用登记表!$C$4:$C$303,138))</f>
        <v/>
      </c>
      <c r="K2521" s="26" t="str">
        <f>IF($E2521="","",INDEX(成本费用登记表!$D$4:$D$303,138))</f>
        <v/>
      </c>
      <c r="L2521" s="32" t="str">
        <f>IF($E2521="","",INDEX(成本费用登记表!$N$4:$N$303,138))</f>
        <v/>
      </c>
      <c r="M2521" s="32"/>
      <c r="N2521" s="26" t="str">
        <f t="shared" si="122"/>
        <v/>
      </c>
      <c r="O2521" s="26" t="str">
        <f t="shared" si="123"/>
        <v/>
      </c>
      <c r="P2521" s="10"/>
    </row>
    <row r="2522" ht="18" customHeight="1" spans="1:16">
      <c r="A2522" s="32" t="str">
        <f t="shared" si="124"/>
        <v/>
      </c>
      <c r="B2522" s="100" t="str">
        <f>IF($E2522="","",INDEX(成本费用登记表!$B$4:$B$303,138))</f>
        <v/>
      </c>
      <c r="C2522" s="26" t="str">
        <f t="shared" si="121"/>
        <v/>
      </c>
      <c r="D2522" s="32" t="str">
        <f>IF($E2522="","",INDEX(成本费用登记表!$E$4:$E$303,138))</f>
        <v/>
      </c>
      <c r="E2522" s="26" t="str">
        <f>IF(INDEX(成本费用登记表!$Q$4:$Y$303,138,4)=0,"",INDEX(成本费用登记表!$Q$4:$Y$303,138,4))</f>
        <v/>
      </c>
      <c r="F2522" s="25" t="str">
        <f>IF($E2522="","",IFERROR(INDEX(科目表!$A$4:$A$81,MATCH($E2522,科目表!$B$4:$B$81,0)),""))</f>
        <v/>
      </c>
      <c r="G2522" s="26" t="str">
        <f>IF($E2522="","",IFERROR(INDEX(科目表!$E$4:$E$81,MATCH($E2522,科目表!$B$4:$B$81,0)),""))</f>
        <v/>
      </c>
      <c r="H2522" s="27" t="str">
        <f>IF($E2522="","",N(INDEX(成本费用登记表!$Q$4:$Y$303,138,5)))</f>
        <v/>
      </c>
      <c r="I2522" s="27" t="str">
        <f>IF($E2522="","",N(INDEX(成本费用登记表!$Q$4:$Y$303,138,6)))</f>
        <v/>
      </c>
      <c r="J2522" s="26" t="str">
        <f>IF($E2522="","",INDEX(成本费用登记表!$C$4:$C$303,138))</f>
        <v/>
      </c>
      <c r="K2522" s="26" t="str">
        <f>IF($E2522="","",INDEX(成本费用登记表!$D$4:$D$303,138))</f>
        <v/>
      </c>
      <c r="L2522" s="32" t="str">
        <f>IF($E2522="","",INDEX(成本费用登记表!$N$4:$N$303,138))</f>
        <v/>
      </c>
      <c r="M2522" s="32"/>
      <c r="N2522" s="26" t="str">
        <f t="shared" si="122"/>
        <v/>
      </c>
      <c r="O2522" s="26" t="str">
        <f t="shared" si="123"/>
        <v/>
      </c>
      <c r="P2522" s="10"/>
    </row>
    <row r="2523" ht="18" customHeight="1" spans="1:16">
      <c r="A2523" s="32" t="str">
        <f t="shared" si="124"/>
        <v/>
      </c>
      <c r="B2523" s="100" t="str">
        <f>IF($E2523="","",INDEX(成本费用登记表!$B$4:$B$303,138))</f>
        <v/>
      </c>
      <c r="C2523" s="26" t="str">
        <f t="shared" si="121"/>
        <v/>
      </c>
      <c r="D2523" s="32" t="str">
        <f>IF($E2523="","",INDEX(成本费用登记表!$E$4:$E$303,138))</f>
        <v/>
      </c>
      <c r="E2523" s="26" t="str">
        <f>IF(INDEX(成本费用登记表!$Q$4:$Y$303,138,7)=0,"",INDEX(成本费用登记表!$Q$4:$Y$303,138,7))</f>
        <v/>
      </c>
      <c r="F2523" s="25" t="str">
        <f>IF($E2523="","",IFERROR(INDEX(科目表!$A$4:$A$81,MATCH($E2523,科目表!$B$4:$B$81,0)),""))</f>
        <v/>
      </c>
      <c r="G2523" s="26" t="str">
        <f>IF($E2523="","",IFERROR(INDEX(科目表!$E$4:$E$81,MATCH($E2523,科目表!$B$4:$B$81,0)),""))</f>
        <v/>
      </c>
      <c r="H2523" s="27" t="str">
        <f>IF($E2523="","",N(INDEX(成本费用登记表!$Q$4:$Y$303,138,8)))</f>
        <v/>
      </c>
      <c r="I2523" s="27" t="str">
        <f>IF($E2523="","",N(INDEX(成本费用登记表!$Q$4:$Y$303,138,9)))</f>
        <v/>
      </c>
      <c r="J2523" s="26" t="str">
        <f>IF($E2523="","",INDEX(成本费用登记表!$C$4:$C$303,138))</f>
        <v/>
      </c>
      <c r="K2523" s="26" t="str">
        <f>IF($E2523="","",INDEX(成本费用登记表!$D$4:$D$303,138))</f>
        <v/>
      </c>
      <c r="L2523" s="32" t="str">
        <f>IF($E2523="","",INDEX(成本费用登记表!$N$4:$N$303,138))</f>
        <v/>
      </c>
      <c r="M2523" s="32"/>
      <c r="N2523" s="26" t="str">
        <f t="shared" si="122"/>
        <v/>
      </c>
      <c r="O2523" s="26" t="str">
        <f t="shared" si="123"/>
        <v/>
      </c>
      <c r="P2523" s="10"/>
    </row>
    <row r="2524" ht="18" customHeight="1" spans="1:16">
      <c r="A2524" s="32" t="str">
        <f t="shared" si="124"/>
        <v/>
      </c>
      <c r="B2524" s="100" t="str">
        <f>IF($E2524="","",INDEX(成本费用登记表!$B$4:$B$303,139))</f>
        <v/>
      </c>
      <c r="C2524" s="26" t="str">
        <f t="shared" si="121"/>
        <v/>
      </c>
      <c r="D2524" s="32" t="str">
        <f>IF($E2524="","",INDEX(成本费用登记表!$E$4:$E$303,139))</f>
        <v/>
      </c>
      <c r="E2524" s="26" t="str">
        <f>IF(INDEX(成本费用登记表!$Q$4:$Y$303,139,1)=0,"",INDEX(成本费用登记表!$Q$4:$Y$303,139,1))</f>
        <v/>
      </c>
      <c r="F2524" s="25" t="str">
        <f>IF($E2524="","",IFERROR(INDEX(科目表!$A$4:$A$81,MATCH($E2524,科目表!$B$4:$B$81,0)),""))</f>
        <v/>
      </c>
      <c r="G2524" s="26" t="str">
        <f>IF($E2524="","",IFERROR(INDEX(科目表!$E$4:$E$81,MATCH($E2524,科目表!$B$4:$B$81,0)),""))</f>
        <v/>
      </c>
      <c r="H2524" s="27" t="str">
        <f>IF($E2524="","",N(INDEX(成本费用登记表!$Q$4:$Y$303,139,2)))</f>
        <v/>
      </c>
      <c r="I2524" s="27" t="str">
        <f>IF($E2524="","",N(INDEX(成本费用登记表!$Q$4:$Y$303,139,3)))</f>
        <v/>
      </c>
      <c r="J2524" s="26" t="str">
        <f>IF($E2524="","",INDEX(成本费用登记表!$C$4:$C$303,139))</f>
        <v/>
      </c>
      <c r="K2524" s="26" t="str">
        <f>IF($E2524="","",INDEX(成本费用登记表!$D$4:$D$303,139))</f>
        <v/>
      </c>
      <c r="L2524" s="32" t="str">
        <f>IF($E2524="","",INDEX(成本费用登记表!$N$4:$N$303,139))</f>
        <v/>
      </c>
      <c r="M2524" s="32"/>
      <c r="N2524" s="26" t="str">
        <f t="shared" si="122"/>
        <v/>
      </c>
      <c r="O2524" s="26" t="str">
        <f t="shared" si="123"/>
        <v/>
      </c>
      <c r="P2524" s="10"/>
    </row>
    <row r="2525" ht="18" customHeight="1" spans="1:16">
      <c r="A2525" s="32" t="str">
        <f t="shared" si="124"/>
        <v/>
      </c>
      <c r="B2525" s="100" t="str">
        <f>IF($E2525="","",INDEX(成本费用登记表!$B$4:$B$303,139))</f>
        <v/>
      </c>
      <c r="C2525" s="26" t="str">
        <f t="shared" si="121"/>
        <v/>
      </c>
      <c r="D2525" s="32" t="str">
        <f>IF($E2525="","",INDEX(成本费用登记表!$E$4:$E$303,139))</f>
        <v/>
      </c>
      <c r="E2525" s="26" t="str">
        <f>IF(INDEX(成本费用登记表!$Q$4:$Y$303,139,4)=0,"",INDEX(成本费用登记表!$Q$4:$Y$303,139,4))</f>
        <v/>
      </c>
      <c r="F2525" s="25" t="str">
        <f>IF($E2525="","",IFERROR(INDEX(科目表!$A$4:$A$81,MATCH($E2525,科目表!$B$4:$B$81,0)),""))</f>
        <v/>
      </c>
      <c r="G2525" s="26" t="str">
        <f>IF($E2525="","",IFERROR(INDEX(科目表!$E$4:$E$81,MATCH($E2525,科目表!$B$4:$B$81,0)),""))</f>
        <v/>
      </c>
      <c r="H2525" s="27" t="str">
        <f>IF($E2525="","",N(INDEX(成本费用登记表!$Q$4:$Y$303,139,5)))</f>
        <v/>
      </c>
      <c r="I2525" s="27" t="str">
        <f>IF($E2525="","",N(INDEX(成本费用登记表!$Q$4:$Y$303,139,6)))</f>
        <v/>
      </c>
      <c r="J2525" s="26" t="str">
        <f>IF($E2525="","",INDEX(成本费用登记表!$C$4:$C$303,139))</f>
        <v/>
      </c>
      <c r="K2525" s="26" t="str">
        <f>IF($E2525="","",INDEX(成本费用登记表!$D$4:$D$303,139))</f>
        <v/>
      </c>
      <c r="L2525" s="32" t="str">
        <f>IF($E2525="","",INDEX(成本费用登记表!$N$4:$N$303,139))</f>
        <v/>
      </c>
      <c r="M2525" s="32"/>
      <c r="N2525" s="26" t="str">
        <f t="shared" si="122"/>
        <v/>
      </c>
      <c r="O2525" s="26" t="str">
        <f t="shared" si="123"/>
        <v/>
      </c>
      <c r="P2525" s="10"/>
    </row>
    <row r="2526" ht="18" customHeight="1" spans="1:16">
      <c r="A2526" s="32" t="str">
        <f t="shared" si="124"/>
        <v/>
      </c>
      <c r="B2526" s="100" t="str">
        <f>IF($E2526="","",INDEX(成本费用登记表!$B$4:$B$303,139))</f>
        <v/>
      </c>
      <c r="C2526" s="26" t="str">
        <f t="shared" si="121"/>
        <v/>
      </c>
      <c r="D2526" s="32" t="str">
        <f>IF($E2526="","",INDEX(成本费用登记表!$E$4:$E$303,139))</f>
        <v/>
      </c>
      <c r="E2526" s="26" t="str">
        <f>IF(INDEX(成本费用登记表!$Q$4:$Y$303,139,7)=0,"",INDEX(成本费用登记表!$Q$4:$Y$303,139,7))</f>
        <v/>
      </c>
      <c r="F2526" s="25" t="str">
        <f>IF($E2526="","",IFERROR(INDEX(科目表!$A$4:$A$81,MATCH($E2526,科目表!$B$4:$B$81,0)),""))</f>
        <v/>
      </c>
      <c r="G2526" s="26" t="str">
        <f>IF($E2526="","",IFERROR(INDEX(科目表!$E$4:$E$81,MATCH($E2526,科目表!$B$4:$B$81,0)),""))</f>
        <v/>
      </c>
      <c r="H2526" s="27" t="str">
        <f>IF($E2526="","",N(INDEX(成本费用登记表!$Q$4:$Y$303,139,8)))</f>
        <v/>
      </c>
      <c r="I2526" s="27" t="str">
        <f>IF($E2526="","",N(INDEX(成本费用登记表!$Q$4:$Y$303,139,9)))</f>
        <v/>
      </c>
      <c r="J2526" s="26" t="str">
        <f>IF($E2526="","",INDEX(成本费用登记表!$C$4:$C$303,139))</f>
        <v/>
      </c>
      <c r="K2526" s="26" t="str">
        <f>IF($E2526="","",INDEX(成本费用登记表!$D$4:$D$303,139))</f>
        <v/>
      </c>
      <c r="L2526" s="32" t="str">
        <f>IF($E2526="","",INDEX(成本费用登记表!$N$4:$N$303,139))</f>
        <v/>
      </c>
      <c r="M2526" s="32"/>
      <c r="N2526" s="26" t="str">
        <f t="shared" si="122"/>
        <v/>
      </c>
      <c r="O2526" s="26" t="str">
        <f t="shared" si="123"/>
        <v/>
      </c>
      <c r="P2526" s="10"/>
    </row>
    <row r="2527" ht="18" customHeight="1" spans="1:16">
      <c r="A2527" s="32" t="str">
        <f t="shared" si="124"/>
        <v/>
      </c>
      <c r="B2527" s="100" t="str">
        <f>IF($E2527="","",INDEX(成本费用登记表!$B$4:$B$303,140))</f>
        <v/>
      </c>
      <c r="C2527" s="26" t="str">
        <f t="shared" si="121"/>
        <v/>
      </c>
      <c r="D2527" s="32" t="str">
        <f>IF($E2527="","",INDEX(成本费用登记表!$E$4:$E$303,140))</f>
        <v/>
      </c>
      <c r="E2527" s="26" t="str">
        <f>IF(INDEX(成本费用登记表!$Q$4:$Y$303,140,1)=0,"",INDEX(成本费用登记表!$Q$4:$Y$303,140,1))</f>
        <v/>
      </c>
      <c r="F2527" s="25" t="str">
        <f>IF($E2527="","",IFERROR(INDEX(科目表!$A$4:$A$81,MATCH($E2527,科目表!$B$4:$B$81,0)),""))</f>
        <v/>
      </c>
      <c r="G2527" s="26" t="str">
        <f>IF($E2527="","",IFERROR(INDEX(科目表!$E$4:$E$81,MATCH($E2527,科目表!$B$4:$B$81,0)),""))</f>
        <v/>
      </c>
      <c r="H2527" s="27" t="str">
        <f>IF($E2527="","",N(INDEX(成本费用登记表!$Q$4:$Y$303,140,2)))</f>
        <v/>
      </c>
      <c r="I2527" s="27" t="str">
        <f>IF($E2527="","",N(INDEX(成本费用登记表!$Q$4:$Y$303,140,3)))</f>
        <v/>
      </c>
      <c r="J2527" s="26" t="str">
        <f>IF($E2527="","",INDEX(成本费用登记表!$C$4:$C$303,140))</f>
        <v/>
      </c>
      <c r="K2527" s="26" t="str">
        <f>IF($E2527="","",INDEX(成本费用登记表!$D$4:$D$303,140))</f>
        <v/>
      </c>
      <c r="L2527" s="32" t="str">
        <f>IF($E2527="","",INDEX(成本费用登记表!$N$4:$N$303,140))</f>
        <v/>
      </c>
      <c r="M2527" s="32"/>
      <c r="N2527" s="26" t="str">
        <f t="shared" si="122"/>
        <v/>
      </c>
      <c r="O2527" s="26" t="str">
        <f t="shared" si="123"/>
        <v/>
      </c>
      <c r="P2527" s="10"/>
    </row>
    <row r="2528" ht="18" customHeight="1" spans="1:16">
      <c r="A2528" s="32" t="str">
        <f t="shared" si="124"/>
        <v/>
      </c>
      <c r="B2528" s="100" t="str">
        <f>IF($E2528="","",INDEX(成本费用登记表!$B$4:$B$303,140))</f>
        <v/>
      </c>
      <c r="C2528" s="26" t="str">
        <f t="shared" si="121"/>
        <v/>
      </c>
      <c r="D2528" s="32" t="str">
        <f>IF($E2528="","",INDEX(成本费用登记表!$E$4:$E$303,140))</f>
        <v/>
      </c>
      <c r="E2528" s="26" t="str">
        <f>IF(INDEX(成本费用登记表!$Q$4:$Y$303,140,4)=0,"",INDEX(成本费用登记表!$Q$4:$Y$303,140,4))</f>
        <v/>
      </c>
      <c r="F2528" s="25" t="str">
        <f>IF($E2528="","",IFERROR(INDEX(科目表!$A$4:$A$81,MATCH($E2528,科目表!$B$4:$B$81,0)),""))</f>
        <v/>
      </c>
      <c r="G2528" s="26" t="str">
        <f>IF($E2528="","",IFERROR(INDEX(科目表!$E$4:$E$81,MATCH($E2528,科目表!$B$4:$B$81,0)),""))</f>
        <v/>
      </c>
      <c r="H2528" s="27" t="str">
        <f>IF($E2528="","",N(INDEX(成本费用登记表!$Q$4:$Y$303,140,5)))</f>
        <v/>
      </c>
      <c r="I2528" s="27" t="str">
        <f>IF($E2528="","",N(INDEX(成本费用登记表!$Q$4:$Y$303,140,6)))</f>
        <v/>
      </c>
      <c r="J2528" s="26" t="str">
        <f>IF($E2528="","",INDEX(成本费用登记表!$C$4:$C$303,140))</f>
        <v/>
      </c>
      <c r="K2528" s="26" t="str">
        <f>IF($E2528="","",INDEX(成本费用登记表!$D$4:$D$303,140))</f>
        <v/>
      </c>
      <c r="L2528" s="32" t="str">
        <f>IF($E2528="","",INDEX(成本费用登记表!$N$4:$N$303,140))</f>
        <v/>
      </c>
      <c r="M2528" s="32"/>
      <c r="N2528" s="26" t="str">
        <f t="shared" si="122"/>
        <v/>
      </c>
      <c r="O2528" s="26" t="str">
        <f t="shared" si="123"/>
        <v/>
      </c>
      <c r="P2528" s="10"/>
    </row>
    <row r="2529" ht="18" customHeight="1" spans="1:16">
      <c r="A2529" s="32" t="str">
        <f t="shared" si="124"/>
        <v/>
      </c>
      <c r="B2529" s="100" t="str">
        <f>IF($E2529="","",INDEX(成本费用登记表!$B$4:$B$303,140))</f>
        <v/>
      </c>
      <c r="C2529" s="26" t="str">
        <f t="shared" si="121"/>
        <v/>
      </c>
      <c r="D2529" s="32" t="str">
        <f>IF($E2529="","",INDEX(成本费用登记表!$E$4:$E$303,140))</f>
        <v/>
      </c>
      <c r="E2529" s="26" t="str">
        <f>IF(INDEX(成本费用登记表!$Q$4:$Y$303,140,7)=0,"",INDEX(成本费用登记表!$Q$4:$Y$303,140,7))</f>
        <v/>
      </c>
      <c r="F2529" s="25" t="str">
        <f>IF($E2529="","",IFERROR(INDEX(科目表!$A$4:$A$81,MATCH($E2529,科目表!$B$4:$B$81,0)),""))</f>
        <v/>
      </c>
      <c r="G2529" s="26" t="str">
        <f>IF($E2529="","",IFERROR(INDEX(科目表!$E$4:$E$81,MATCH($E2529,科目表!$B$4:$B$81,0)),""))</f>
        <v/>
      </c>
      <c r="H2529" s="27" t="str">
        <f>IF($E2529="","",N(INDEX(成本费用登记表!$Q$4:$Y$303,140,8)))</f>
        <v/>
      </c>
      <c r="I2529" s="27" t="str">
        <f>IF($E2529="","",N(INDEX(成本费用登记表!$Q$4:$Y$303,140,9)))</f>
        <v/>
      </c>
      <c r="J2529" s="26" t="str">
        <f>IF($E2529="","",INDEX(成本费用登记表!$C$4:$C$303,140))</f>
        <v/>
      </c>
      <c r="K2529" s="26" t="str">
        <f>IF($E2529="","",INDEX(成本费用登记表!$D$4:$D$303,140))</f>
        <v/>
      </c>
      <c r="L2529" s="32" t="str">
        <f>IF($E2529="","",INDEX(成本费用登记表!$N$4:$N$303,140))</f>
        <v/>
      </c>
      <c r="M2529" s="32"/>
      <c r="N2529" s="26" t="str">
        <f t="shared" si="122"/>
        <v/>
      </c>
      <c r="O2529" s="26" t="str">
        <f t="shared" si="123"/>
        <v/>
      </c>
      <c r="P2529" s="10"/>
    </row>
    <row r="2530" ht="18" customHeight="1" spans="1:16">
      <c r="A2530" s="32" t="str">
        <f t="shared" si="124"/>
        <v/>
      </c>
      <c r="B2530" s="100" t="str">
        <f>IF($E2530="","",INDEX(成本费用登记表!$B$4:$B$303,141))</f>
        <v/>
      </c>
      <c r="C2530" s="26" t="str">
        <f t="shared" si="121"/>
        <v/>
      </c>
      <c r="D2530" s="32" t="str">
        <f>IF($E2530="","",INDEX(成本费用登记表!$E$4:$E$303,141))</f>
        <v/>
      </c>
      <c r="E2530" s="26" t="str">
        <f>IF(INDEX(成本费用登记表!$Q$4:$Y$303,141,1)=0,"",INDEX(成本费用登记表!$Q$4:$Y$303,141,1))</f>
        <v/>
      </c>
      <c r="F2530" s="25" t="str">
        <f>IF($E2530="","",IFERROR(INDEX(科目表!$A$4:$A$81,MATCH($E2530,科目表!$B$4:$B$81,0)),""))</f>
        <v/>
      </c>
      <c r="G2530" s="26" t="str">
        <f>IF($E2530="","",IFERROR(INDEX(科目表!$E$4:$E$81,MATCH($E2530,科目表!$B$4:$B$81,0)),""))</f>
        <v/>
      </c>
      <c r="H2530" s="27" t="str">
        <f>IF($E2530="","",N(INDEX(成本费用登记表!$Q$4:$Y$303,141,2)))</f>
        <v/>
      </c>
      <c r="I2530" s="27" t="str">
        <f>IF($E2530="","",N(INDEX(成本费用登记表!$Q$4:$Y$303,141,3)))</f>
        <v/>
      </c>
      <c r="J2530" s="26" t="str">
        <f>IF($E2530="","",INDEX(成本费用登记表!$C$4:$C$303,141))</f>
        <v/>
      </c>
      <c r="K2530" s="26" t="str">
        <f>IF($E2530="","",INDEX(成本费用登记表!$D$4:$D$303,141))</f>
        <v/>
      </c>
      <c r="L2530" s="32" t="str">
        <f>IF($E2530="","",INDEX(成本费用登记表!$N$4:$N$303,141))</f>
        <v/>
      </c>
      <c r="M2530" s="32"/>
      <c r="N2530" s="26" t="str">
        <f t="shared" si="122"/>
        <v/>
      </c>
      <c r="O2530" s="26" t="str">
        <f t="shared" si="123"/>
        <v/>
      </c>
      <c r="P2530" s="10"/>
    </row>
    <row r="2531" ht="18" customHeight="1" spans="1:16">
      <c r="A2531" s="32" t="str">
        <f t="shared" si="124"/>
        <v/>
      </c>
      <c r="B2531" s="100" t="str">
        <f>IF($E2531="","",INDEX(成本费用登记表!$B$4:$B$303,141))</f>
        <v/>
      </c>
      <c r="C2531" s="26" t="str">
        <f t="shared" si="121"/>
        <v/>
      </c>
      <c r="D2531" s="32" t="str">
        <f>IF($E2531="","",INDEX(成本费用登记表!$E$4:$E$303,141))</f>
        <v/>
      </c>
      <c r="E2531" s="26" t="str">
        <f>IF(INDEX(成本费用登记表!$Q$4:$Y$303,141,4)=0,"",INDEX(成本费用登记表!$Q$4:$Y$303,141,4))</f>
        <v/>
      </c>
      <c r="F2531" s="25" t="str">
        <f>IF($E2531="","",IFERROR(INDEX(科目表!$A$4:$A$81,MATCH($E2531,科目表!$B$4:$B$81,0)),""))</f>
        <v/>
      </c>
      <c r="G2531" s="26" t="str">
        <f>IF($E2531="","",IFERROR(INDEX(科目表!$E$4:$E$81,MATCH($E2531,科目表!$B$4:$B$81,0)),""))</f>
        <v/>
      </c>
      <c r="H2531" s="27" t="str">
        <f>IF($E2531="","",N(INDEX(成本费用登记表!$Q$4:$Y$303,141,5)))</f>
        <v/>
      </c>
      <c r="I2531" s="27" t="str">
        <f>IF($E2531="","",N(INDEX(成本费用登记表!$Q$4:$Y$303,141,6)))</f>
        <v/>
      </c>
      <c r="J2531" s="26" t="str">
        <f>IF($E2531="","",INDEX(成本费用登记表!$C$4:$C$303,141))</f>
        <v/>
      </c>
      <c r="K2531" s="26" t="str">
        <f>IF($E2531="","",INDEX(成本费用登记表!$D$4:$D$303,141))</f>
        <v/>
      </c>
      <c r="L2531" s="32" t="str">
        <f>IF($E2531="","",INDEX(成本费用登记表!$N$4:$N$303,141))</f>
        <v/>
      </c>
      <c r="M2531" s="32"/>
      <c r="N2531" s="26" t="str">
        <f t="shared" si="122"/>
        <v/>
      </c>
      <c r="O2531" s="26" t="str">
        <f t="shared" si="123"/>
        <v/>
      </c>
      <c r="P2531" s="10"/>
    </row>
    <row r="2532" ht="18" customHeight="1" spans="1:16">
      <c r="A2532" s="32" t="str">
        <f t="shared" si="124"/>
        <v/>
      </c>
      <c r="B2532" s="100" t="str">
        <f>IF($E2532="","",INDEX(成本费用登记表!$B$4:$B$303,141))</f>
        <v/>
      </c>
      <c r="C2532" s="26" t="str">
        <f t="shared" si="121"/>
        <v/>
      </c>
      <c r="D2532" s="32" t="str">
        <f>IF($E2532="","",INDEX(成本费用登记表!$E$4:$E$303,141))</f>
        <v/>
      </c>
      <c r="E2532" s="26" t="str">
        <f>IF(INDEX(成本费用登记表!$Q$4:$Y$303,141,7)=0,"",INDEX(成本费用登记表!$Q$4:$Y$303,141,7))</f>
        <v/>
      </c>
      <c r="F2532" s="25" t="str">
        <f>IF($E2532="","",IFERROR(INDEX(科目表!$A$4:$A$81,MATCH($E2532,科目表!$B$4:$B$81,0)),""))</f>
        <v/>
      </c>
      <c r="G2532" s="26" t="str">
        <f>IF($E2532="","",IFERROR(INDEX(科目表!$E$4:$E$81,MATCH($E2532,科目表!$B$4:$B$81,0)),""))</f>
        <v/>
      </c>
      <c r="H2532" s="27" t="str">
        <f>IF($E2532="","",N(INDEX(成本费用登记表!$Q$4:$Y$303,141,8)))</f>
        <v/>
      </c>
      <c r="I2532" s="27" t="str">
        <f>IF($E2532="","",N(INDEX(成本费用登记表!$Q$4:$Y$303,141,9)))</f>
        <v/>
      </c>
      <c r="J2532" s="26" t="str">
        <f>IF($E2532="","",INDEX(成本费用登记表!$C$4:$C$303,141))</f>
        <v/>
      </c>
      <c r="K2532" s="26" t="str">
        <f>IF($E2532="","",INDEX(成本费用登记表!$D$4:$D$303,141))</f>
        <v/>
      </c>
      <c r="L2532" s="32" t="str">
        <f>IF($E2532="","",INDEX(成本费用登记表!$N$4:$N$303,141))</f>
        <v/>
      </c>
      <c r="M2532" s="32"/>
      <c r="N2532" s="26" t="str">
        <f t="shared" si="122"/>
        <v/>
      </c>
      <c r="O2532" s="26" t="str">
        <f t="shared" si="123"/>
        <v/>
      </c>
      <c r="P2532" s="10"/>
    </row>
    <row r="2533" ht="18" customHeight="1" spans="1:16">
      <c r="A2533" s="32" t="str">
        <f t="shared" si="124"/>
        <v/>
      </c>
      <c r="B2533" s="100" t="str">
        <f>IF($E2533="","",INDEX(成本费用登记表!$B$4:$B$303,142))</f>
        <v/>
      </c>
      <c r="C2533" s="26" t="str">
        <f t="shared" si="121"/>
        <v/>
      </c>
      <c r="D2533" s="32" t="str">
        <f>IF($E2533="","",INDEX(成本费用登记表!$E$4:$E$303,142))</f>
        <v/>
      </c>
      <c r="E2533" s="26" t="str">
        <f>IF(INDEX(成本费用登记表!$Q$4:$Y$303,142,1)=0,"",INDEX(成本费用登记表!$Q$4:$Y$303,142,1))</f>
        <v/>
      </c>
      <c r="F2533" s="25" t="str">
        <f>IF($E2533="","",IFERROR(INDEX(科目表!$A$4:$A$81,MATCH($E2533,科目表!$B$4:$B$81,0)),""))</f>
        <v/>
      </c>
      <c r="G2533" s="26" t="str">
        <f>IF($E2533="","",IFERROR(INDEX(科目表!$E$4:$E$81,MATCH($E2533,科目表!$B$4:$B$81,0)),""))</f>
        <v/>
      </c>
      <c r="H2533" s="27" t="str">
        <f>IF($E2533="","",N(INDEX(成本费用登记表!$Q$4:$Y$303,142,2)))</f>
        <v/>
      </c>
      <c r="I2533" s="27" t="str">
        <f>IF($E2533="","",N(INDEX(成本费用登记表!$Q$4:$Y$303,142,3)))</f>
        <v/>
      </c>
      <c r="J2533" s="26" t="str">
        <f>IF($E2533="","",INDEX(成本费用登记表!$C$4:$C$303,142))</f>
        <v/>
      </c>
      <c r="K2533" s="26" t="str">
        <f>IF($E2533="","",INDEX(成本费用登记表!$D$4:$D$303,142))</f>
        <v/>
      </c>
      <c r="L2533" s="32" t="str">
        <f>IF($E2533="","",INDEX(成本费用登记表!$N$4:$N$303,142))</f>
        <v/>
      </c>
      <c r="M2533" s="32"/>
      <c r="N2533" s="26" t="str">
        <f t="shared" si="122"/>
        <v/>
      </c>
      <c r="O2533" s="26" t="str">
        <f t="shared" si="123"/>
        <v/>
      </c>
      <c r="P2533" s="10"/>
    </row>
    <row r="2534" ht="18" customHeight="1" spans="1:16">
      <c r="A2534" s="32" t="str">
        <f t="shared" si="124"/>
        <v/>
      </c>
      <c r="B2534" s="100" t="str">
        <f>IF($E2534="","",INDEX(成本费用登记表!$B$4:$B$303,142))</f>
        <v/>
      </c>
      <c r="C2534" s="26" t="str">
        <f t="shared" si="121"/>
        <v/>
      </c>
      <c r="D2534" s="32" t="str">
        <f>IF($E2534="","",INDEX(成本费用登记表!$E$4:$E$303,142))</f>
        <v/>
      </c>
      <c r="E2534" s="26" t="str">
        <f>IF(INDEX(成本费用登记表!$Q$4:$Y$303,142,4)=0,"",INDEX(成本费用登记表!$Q$4:$Y$303,142,4))</f>
        <v/>
      </c>
      <c r="F2534" s="25" t="str">
        <f>IF($E2534="","",IFERROR(INDEX(科目表!$A$4:$A$81,MATCH($E2534,科目表!$B$4:$B$81,0)),""))</f>
        <v/>
      </c>
      <c r="G2534" s="26" t="str">
        <f>IF($E2534="","",IFERROR(INDEX(科目表!$E$4:$E$81,MATCH($E2534,科目表!$B$4:$B$81,0)),""))</f>
        <v/>
      </c>
      <c r="H2534" s="27" t="str">
        <f>IF($E2534="","",N(INDEX(成本费用登记表!$Q$4:$Y$303,142,5)))</f>
        <v/>
      </c>
      <c r="I2534" s="27" t="str">
        <f>IF($E2534="","",N(INDEX(成本费用登记表!$Q$4:$Y$303,142,6)))</f>
        <v/>
      </c>
      <c r="J2534" s="26" t="str">
        <f>IF($E2534="","",INDEX(成本费用登记表!$C$4:$C$303,142))</f>
        <v/>
      </c>
      <c r="K2534" s="26" t="str">
        <f>IF($E2534="","",INDEX(成本费用登记表!$D$4:$D$303,142))</f>
        <v/>
      </c>
      <c r="L2534" s="32" t="str">
        <f>IF($E2534="","",INDEX(成本费用登记表!$N$4:$N$303,142))</f>
        <v/>
      </c>
      <c r="M2534" s="32"/>
      <c r="N2534" s="26" t="str">
        <f t="shared" si="122"/>
        <v/>
      </c>
      <c r="O2534" s="26" t="str">
        <f t="shared" si="123"/>
        <v/>
      </c>
      <c r="P2534" s="10"/>
    </row>
    <row r="2535" ht="18" customHeight="1" spans="1:16">
      <c r="A2535" s="32" t="str">
        <f t="shared" si="124"/>
        <v/>
      </c>
      <c r="B2535" s="100" t="str">
        <f>IF($E2535="","",INDEX(成本费用登记表!$B$4:$B$303,142))</f>
        <v/>
      </c>
      <c r="C2535" s="26" t="str">
        <f t="shared" si="121"/>
        <v/>
      </c>
      <c r="D2535" s="32" t="str">
        <f>IF($E2535="","",INDEX(成本费用登记表!$E$4:$E$303,142))</f>
        <v/>
      </c>
      <c r="E2535" s="26" t="str">
        <f>IF(INDEX(成本费用登记表!$Q$4:$Y$303,142,7)=0,"",INDEX(成本费用登记表!$Q$4:$Y$303,142,7))</f>
        <v/>
      </c>
      <c r="F2535" s="25" t="str">
        <f>IF($E2535="","",IFERROR(INDEX(科目表!$A$4:$A$81,MATCH($E2535,科目表!$B$4:$B$81,0)),""))</f>
        <v/>
      </c>
      <c r="G2535" s="26" t="str">
        <f>IF($E2535="","",IFERROR(INDEX(科目表!$E$4:$E$81,MATCH($E2535,科目表!$B$4:$B$81,0)),""))</f>
        <v/>
      </c>
      <c r="H2535" s="27" t="str">
        <f>IF($E2535="","",N(INDEX(成本费用登记表!$Q$4:$Y$303,142,8)))</f>
        <v/>
      </c>
      <c r="I2535" s="27" t="str">
        <f>IF($E2535="","",N(INDEX(成本费用登记表!$Q$4:$Y$303,142,9)))</f>
        <v/>
      </c>
      <c r="J2535" s="26" t="str">
        <f>IF($E2535="","",INDEX(成本费用登记表!$C$4:$C$303,142))</f>
        <v/>
      </c>
      <c r="K2535" s="26" t="str">
        <f>IF($E2535="","",INDEX(成本费用登记表!$D$4:$D$303,142))</f>
        <v/>
      </c>
      <c r="L2535" s="32" t="str">
        <f>IF($E2535="","",INDEX(成本费用登记表!$N$4:$N$303,142))</f>
        <v/>
      </c>
      <c r="M2535" s="32"/>
      <c r="N2535" s="26" t="str">
        <f t="shared" si="122"/>
        <v/>
      </c>
      <c r="O2535" s="26" t="str">
        <f t="shared" si="123"/>
        <v/>
      </c>
      <c r="P2535" s="10"/>
    </row>
    <row r="2536" ht="18" customHeight="1" spans="1:16">
      <c r="A2536" s="32" t="str">
        <f t="shared" si="124"/>
        <v/>
      </c>
      <c r="B2536" s="100" t="str">
        <f>IF($E2536="","",INDEX(成本费用登记表!$B$4:$B$303,143))</f>
        <v/>
      </c>
      <c r="C2536" s="26" t="str">
        <f t="shared" si="121"/>
        <v/>
      </c>
      <c r="D2536" s="32" t="str">
        <f>IF($E2536="","",INDEX(成本费用登记表!$E$4:$E$303,143))</f>
        <v/>
      </c>
      <c r="E2536" s="26" t="str">
        <f>IF(INDEX(成本费用登记表!$Q$4:$Y$303,143,1)=0,"",INDEX(成本费用登记表!$Q$4:$Y$303,143,1))</f>
        <v/>
      </c>
      <c r="F2536" s="25" t="str">
        <f>IF($E2536="","",IFERROR(INDEX(科目表!$A$4:$A$81,MATCH($E2536,科目表!$B$4:$B$81,0)),""))</f>
        <v/>
      </c>
      <c r="G2536" s="26" t="str">
        <f>IF($E2536="","",IFERROR(INDEX(科目表!$E$4:$E$81,MATCH($E2536,科目表!$B$4:$B$81,0)),""))</f>
        <v/>
      </c>
      <c r="H2536" s="27" t="str">
        <f>IF($E2536="","",N(INDEX(成本费用登记表!$Q$4:$Y$303,143,2)))</f>
        <v/>
      </c>
      <c r="I2536" s="27" t="str">
        <f>IF($E2536="","",N(INDEX(成本费用登记表!$Q$4:$Y$303,143,3)))</f>
        <v/>
      </c>
      <c r="J2536" s="26" t="str">
        <f>IF($E2536="","",INDEX(成本费用登记表!$C$4:$C$303,143))</f>
        <v/>
      </c>
      <c r="K2536" s="26" t="str">
        <f>IF($E2536="","",INDEX(成本费用登记表!$D$4:$D$303,143))</f>
        <v/>
      </c>
      <c r="L2536" s="32" t="str">
        <f>IF($E2536="","",INDEX(成本费用登记表!$N$4:$N$303,143))</f>
        <v/>
      </c>
      <c r="M2536" s="32"/>
      <c r="N2536" s="26" t="str">
        <f t="shared" si="122"/>
        <v/>
      </c>
      <c r="O2536" s="26" t="str">
        <f t="shared" si="123"/>
        <v/>
      </c>
      <c r="P2536" s="10"/>
    </row>
    <row r="2537" ht="18" customHeight="1" spans="1:16">
      <c r="A2537" s="32" t="str">
        <f t="shared" si="124"/>
        <v/>
      </c>
      <c r="B2537" s="100" t="str">
        <f>IF($E2537="","",INDEX(成本费用登记表!$B$4:$B$303,143))</f>
        <v/>
      </c>
      <c r="C2537" s="26" t="str">
        <f t="shared" si="121"/>
        <v/>
      </c>
      <c r="D2537" s="32" t="str">
        <f>IF($E2537="","",INDEX(成本费用登记表!$E$4:$E$303,143))</f>
        <v/>
      </c>
      <c r="E2537" s="26" t="str">
        <f>IF(INDEX(成本费用登记表!$Q$4:$Y$303,143,4)=0,"",INDEX(成本费用登记表!$Q$4:$Y$303,143,4))</f>
        <v/>
      </c>
      <c r="F2537" s="25" t="str">
        <f>IF($E2537="","",IFERROR(INDEX(科目表!$A$4:$A$81,MATCH($E2537,科目表!$B$4:$B$81,0)),""))</f>
        <v/>
      </c>
      <c r="G2537" s="26" t="str">
        <f>IF($E2537="","",IFERROR(INDEX(科目表!$E$4:$E$81,MATCH($E2537,科目表!$B$4:$B$81,0)),""))</f>
        <v/>
      </c>
      <c r="H2537" s="27" t="str">
        <f>IF($E2537="","",N(INDEX(成本费用登记表!$Q$4:$Y$303,143,5)))</f>
        <v/>
      </c>
      <c r="I2537" s="27" t="str">
        <f>IF($E2537="","",N(INDEX(成本费用登记表!$Q$4:$Y$303,143,6)))</f>
        <v/>
      </c>
      <c r="J2537" s="26" t="str">
        <f>IF($E2537="","",INDEX(成本费用登记表!$C$4:$C$303,143))</f>
        <v/>
      </c>
      <c r="K2537" s="26" t="str">
        <f>IF($E2537="","",INDEX(成本费用登记表!$D$4:$D$303,143))</f>
        <v/>
      </c>
      <c r="L2537" s="32" t="str">
        <f>IF($E2537="","",INDEX(成本费用登记表!$N$4:$N$303,143))</f>
        <v/>
      </c>
      <c r="M2537" s="32"/>
      <c r="N2537" s="26" t="str">
        <f t="shared" si="122"/>
        <v/>
      </c>
      <c r="O2537" s="26" t="str">
        <f t="shared" si="123"/>
        <v/>
      </c>
      <c r="P2537" s="10"/>
    </row>
    <row r="2538" ht="18" customHeight="1" spans="1:16">
      <c r="A2538" s="32" t="str">
        <f t="shared" si="124"/>
        <v/>
      </c>
      <c r="B2538" s="100" t="str">
        <f>IF($E2538="","",INDEX(成本费用登记表!$B$4:$B$303,143))</f>
        <v/>
      </c>
      <c r="C2538" s="26" t="str">
        <f t="shared" si="121"/>
        <v/>
      </c>
      <c r="D2538" s="32" t="str">
        <f>IF($E2538="","",INDEX(成本费用登记表!$E$4:$E$303,143))</f>
        <v/>
      </c>
      <c r="E2538" s="26" t="str">
        <f>IF(INDEX(成本费用登记表!$Q$4:$Y$303,143,7)=0,"",INDEX(成本费用登记表!$Q$4:$Y$303,143,7))</f>
        <v/>
      </c>
      <c r="F2538" s="25" t="str">
        <f>IF($E2538="","",IFERROR(INDEX(科目表!$A$4:$A$81,MATCH($E2538,科目表!$B$4:$B$81,0)),""))</f>
        <v/>
      </c>
      <c r="G2538" s="26" t="str">
        <f>IF($E2538="","",IFERROR(INDEX(科目表!$E$4:$E$81,MATCH($E2538,科目表!$B$4:$B$81,0)),""))</f>
        <v/>
      </c>
      <c r="H2538" s="27" t="str">
        <f>IF($E2538="","",N(INDEX(成本费用登记表!$Q$4:$Y$303,143,8)))</f>
        <v/>
      </c>
      <c r="I2538" s="27" t="str">
        <f>IF($E2538="","",N(INDEX(成本费用登记表!$Q$4:$Y$303,143,9)))</f>
        <v/>
      </c>
      <c r="J2538" s="26" t="str">
        <f>IF($E2538="","",INDEX(成本费用登记表!$C$4:$C$303,143))</f>
        <v/>
      </c>
      <c r="K2538" s="26" t="str">
        <f>IF($E2538="","",INDEX(成本费用登记表!$D$4:$D$303,143))</f>
        <v/>
      </c>
      <c r="L2538" s="32" t="str">
        <f>IF($E2538="","",INDEX(成本费用登记表!$N$4:$N$303,143))</f>
        <v/>
      </c>
      <c r="M2538" s="32"/>
      <c r="N2538" s="26" t="str">
        <f t="shared" si="122"/>
        <v/>
      </c>
      <c r="O2538" s="26" t="str">
        <f t="shared" si="123"/>
        <v/>
      </c>
      <c r="P2538" s="10"/>
    </row>
    <row r="2539" ht="18" customHeight="1" spans="1:16">
      <c r="A2539" s="32" t="str">
        <f t="shared" si="124"/>
        <v/>
      </c>
      <c r="B2539" s="100" t="str">
        <f>IF($E2539="","",INDEX(成本费用登记表!$B$4:$B$303,144))</f>
        <v/>
      </c>
      <c r="C2539" s="26" t="str">
        <f t="shared" si="121"/>
        <v/>
      </c>
      <c r="D2539" s="32" t="str">
        <f>IF($E2539="","",INDEX(成本费用登记表!$E$4:$E$303,144))</f>
        <v/>
      </c>
      <c r="E2539" s="26" t="str">
        <f>IF(INDEX(成本费用登记表!$Q$4:$Y$303,144,1)=0,"",INDEX(成本费用登记表!$Q$4:$Y$303,144,1))</f>
        <v/>
      </c>
      <c r="F2539" s="25" t="str">
        <f>IF($E2539="","",IFERROR(INDEX(科目表!$A$4:$A$81,MATCH($E2539,科目表!$B$4:$B$81,0)),""))</f>
        <v/>
      </c>
      <c r="G2539" s="26" t="str">
        <f>IF($E2539="","",IFERROR(INDEX(科目表!$E$4:$E$81,MATCH($E2539,科目表!$B$4:$B$81,0)),""))</f>
        <v/>
      </c>
      <c r="H2539" s="27" t="str">
        <f>IF($E2539="","",N(INDEX(成本费用登记表!$Q$4:$Y$303,144,2)))</f>
        <v/>
      </c>
      <c r="I2539" s="27" t="str">
        <f>IF($E2539="","",N(INDEX(成本费用登记表!$Q$4:$Y$303,144,3)))</f>
        <v/>
      </c>
      <c r="J2539" s="26" t="str">
        <f>IF($E2539="","",INDEX(成本费用登记表!$C$4:$C$303,144))</f>
        <v/>
      </c>
      <c r="K2539" s="26" t="str">
        <f>IF($E2539="","",INDEX(成本费用登记表!$D$4:$D$303,144))</f>
        <v/>
      </c>
      <c r="L2539" s="32" t="str">
        <f>IF($E2539="","",INDEX(成本费用登记表!$N$4:$N$303,144))</f>
        <v/>
      </c>
      <c r="M2539" s="32"/>
      <c r="N2539" s="26" t="str">
        <f t="shared" si="122"/>
        <v/>
      </c>
      <c r="O2539" s="26" t="str">
        <f t="shared" si="123"/>
        <v/>
      </c>
      <c r="P2539" s="10"/>
    </row>
    <row r="2540" ht="18" customHeight="1" spans="1:16">
      <c r="A2540" s="32" t="str">
        <f t="shared" si="124"/>
        <v/>
      </c>
      <c r="B2540" s="100" t="str">
        <f>IF($E2540="","",INDEX(成本费用登记表!$B$4:$B$303,144))</f>
        <v/>
      </c>
      <c r="C2540" s="26" t="str">
        <f t="shared" si="121"/>
        <v/>
      </c>
      <c r="D2540" s="32" t="str">
        <f>IF($E2540="","",INDEX(成本费用登记表!$E$4:$E$303,144))</f>
        <v/>
      </c>
      <c r="E2540" s="26" t="str">
        <f>IF(INDEX(成本费用登记表!$Q$4:$Y$303,144,4)=0,"",INDEX(成本费用登记表!$Q$4:$Y$303,144,4))</f>
        <v/>
      </c>
      <c r="F2540" s="25" t="str">
        <f>IF($E2540="","",IFERROR(INDEX(科目表!$A$4:$A$81,MATCH($E2540,科目表!$B$4:$B$81,0)),""))</f>
        <v/>
      </c>
      <c r="G2540" s="26" t="str">
        <f>IF($E2540="","",IFERROR(INDEX(科目表!$E$4:$E$81,MATCH($E2540,科目表!$B$4:$B$81,0)),""))</f>
        <v/>
      </c>
      <c r="H2540" s="27" t="str">
        <f>IF($E2540="","",N(INDEX(成本费用登记表!$Q$4:$Y$303,144,5)))</f>
        <v/>
      </c>
      <c r="I2540" s="27" t="str">
        <f>IF($E2540="","",N(INDEX(成本费用登记表!$Q$4:$Y$303,144,6)))</f>
        <v/>
      </c>
      <c r="J2540" s="26" t="str">
        <f>IF($E2540="","",INDEX(成本费用登记表!$C$4:$C$303,144))</f>
        <v/>
      </c>
      <c r="K2540" s="26" t="str">
        <f>IF($E2540="","",INDEX(成本费用登记表!$D$4:$D$303,144))</f>
        <v/>
      </c>
      <c r="L2540" s="32" t="str">
        <f>IF($E2540="","",INDEX(成本费用登记表!$N$4:$N$303,144))</f>
        <v/>
      </c>
      <c r="M2540" s="32"/>
      <c r="N2540" s="26" t="str">
        <f t="shared" si="122"/>
        <v/>
      </c>
      <c r="O2540" s="26" t="str">
        <f t="shared" si="123"/>
        <v/>
      </c>
      <c r="P2540" s="10"/>
    </row>
    <row r="2541" ht="18" customHeight="1" spans="1:16">
      <c r="A2541" s="32" t="str">
        <f t="shared" si="124"/>
        <v/>
      </c>
      <c r="B2541" s="100" t="str">
        <f>IF($E2541="","",INDEX(成本费用登记表!$B$4:$B$303,144))</f>
        <v/>
      </c>
      <c r="C2541" s="26" t="str">
        <f t="shared" si="121"/>
        <v/>
      </c>
      <c r="D2541" s="32" t="str">
        <f>IF($E2541="","",INDEX(成本费用登记表!$E$4:$E$303,144))</f>
        <v/>
      </c>
      <c r="E2541" s="26" t="str">
        <f>IF(INDEX(成本费用登记表!$Q$4:$Y$303,144,7)=0,"",INDEX(成本费用登记表!$Q$4:$Y$303,144,7))</f>
        <v/>
      </c>
      <c r="F2541" s="25" t="str">
        <f>IF($E2541="","",IFERROR(INDEX(科目表!$A$4:$A$81,MATCH($E2541,科目表!$B$4:$B$81,0)),""))</f>
        <v/>
      </c>
      <c r="G2541" s="26" t="str">
        <f>IF($E2541="","",IFERROR(INDEX(科目表!$E$4:$E$81,MATCH($E2541,科目表!$B$4:$B$81,0)),""))</f>
        <v/>
      </c>
      <c r="H2541" s="27" t="str">
        <f>IF($E2541="","",N(INDEX(成本费用登记表!$Q$4:$Y$303,144,8)))</f>
        <v/>
      </c>
      <c r="I2541" s="27" t="str">
        <f>IF($E2541="","",N(INDEX(成本费用登记表!$Q$4:$Y$303,144,9)))</f>
        <v/>
      </c>
      <c r="J2541" s="26" t="str">
        <f>IF($E2541="","",INDEX(成本费用登记表!$C$4:$C$303,144))</f>
        <v/>
      </c>
      <c r="K2541" s="26" t="str">
        <f>IF($E2541="","",INDEX(成本费用登记表!$D$4:$D$303,144))</f>
        <v/>
      </c>
      <c r="L2541" s="32" t="str">
        <f>IF($E2541="","",INDEX(成本费用登记表!$N$4:$N$303,144))</f>
        <v/>
      </c>
      <c r="M2541" s="32"/>
      <c r="N2541" s="26" t="str">
        <f t="shared" si="122"/>
        <v/>
      </c>
      <c r="O2541" s="26" t="str">
        <f t="shared" si="123"/>
        <v/>
      </c>
      <c r="P2541" s="10"/>
    </row>
    <row r="2542" ht="18" customHeight="1" spans="1:16">
      <c r="A2542" s="32" t="str">
        <f t="shared" si="124"/>
        <v/>
      </c>
      <c r="B2542" s="100" t="str">
        <f>IF($E2542="","",INDEX(成本费用登记表!$B$4:$B$303,145))</f>
        <v/>
      </c>
      <c r="C2542" s="26" t="str">
        <f t="shared" si="121"/>
        <v/>
      </c>
      <c r="D2542" s="32" t="str">
        <f>IF($E2542="","",INDEX(成本费用登记表!$E$4:$E$303,145))</f>
        <v/>
      </c>
      <c r="E2542" s="26" t="str">
        <f>IF(INDEX(成本费用登记表!$Q$4:$Y$303,145,1)=0,"",INDEX(成本费用登记表!$Q$4:$Y$303,145,1))</f>
        <v/>
      </c>
      <c r="F2542" s="25" t="str">
        <f>IF($E2542="","",IFERROR(INDEX(科目表!$A$4:$A$81,MATCH($E2542,科目表!$B$4:$B$81,0)),""))</f>
        <v/>
      </c>
      <c r="G2542" s="26" t="str">
        <f>IF($E2542="","",IFERROR(INDEX(科目表!$E$4:$E$81,MATCH($E2542,科目表!$B$4:$B$81,0)),""))</f>
        <v/>
      </c>
      <c r="H2542" s="27" t="str">
        <f>IF($E2542="","",N(INDEX(成本费用登记表!$Q$4:$Y$303,145,2)))</f>
        <v/>
      </c>
      <c r="I2542" s="27" t="str">
        <f>IF($E2542="","",N(INDEX(成本费用登记表!$Q$4:$Y$303,145,3)))</f>
        <v/>
      </c>
      <c r="J2542" s="26" t="str">
        <f>IF($E2542="","",INDEX(成本费用登记表!$C$4:$C$303,145))</f>
        <v/>
      </c>
      <c r="K2542" s="26" t="str">
        <f>IF($E2542="","",INDEX(成本费用登记表!$D$4:$D$303,145))</f>
        <v/>
      </c>
      <c r="L2542" s="32" t="str">
        <f>IF($E2542="","",INDEX(成本费用登记表!$N$4:$N$303,145))</f>
        <v/>
      </c>
      <c r="M2542" s="32"/>
      <c r="N2542" s="26" t="str">
        <f t="shared" si="122"/>
        <v/>
      </c>
      <c r="O2542" s="26" t="str">
        <f t="shared" si="123"/>
        <v/>
      </c>
      <c r="P2542" s="10"/>
    </row>
    <row r="2543" ht="18" customHeight="1" spans="1:16">
      <c r="A2543" s="32" t="str">
        <f t="shared" si="124"/>
        <v/>
      </c>
      <c r="B2543" s="100" t="str">
        <f>IF($E2543="","",INDEX(成本费用登记表!$B$4:$B$303,145))</f>
        <v/>
      </c>
      <c r="C2543" s="26" t="str">
        <f t="shared" si="121"/>
        <v/>
      </c>
      <c r="D2543" s="32" t="str">
        <f>IF($E2543="","",INDEX(成本费用登记表!$E$4:$E$303,145))</f>
        <v/>
      </c>
      <c r="E2543" s="26" t="str">
        <f>IF(INDEX(成本费用登记表!$Q$4:$Y$303,145,4)=0,"",INDEX(成本费用登记表!$Q$4:$Y$303,145,4))</f>
        <v/>
      </c>
      <c r="F2543" s="25" t="str">
        <f>IF($E2543="","",IFERROR(INDEX(科目表!$A$4:$A$81,MATCH($E2543,科目表!$B$4:$B$81,0)),""))</f>
        <v/>
      </c>
      <c r="G2543" s="26" t="str">
        <f>IF($E2543="","",IFERROR(INDEX(科目表!$E$4:$E$81,MATCH($E2543,科目表!$B$4:$B$81,0)),""))</f>
        <v/>
      </c>
      <c r="H2543" s="27" t="str">
        <f>IF($E2543="","",N(INDEX(成本费用登记表!$Q$4:$Y$303,145,5)))</f>
        <v/>
      </c>
      <c r="I2543" s="27" t="str">
        <f>IF($E2543="","",N(INDEX(成本费用登记表!$Q$4:$Y$303,145,6)))</f>
        <v/>
      </c>
      <c r="J2543" s="26" t="str">
        <f>IF($E2543="","",INDEX(成本费用登记表!$C$4:$C$303,145))</f>
        <v/>
      </c>
      <c r="K2543" s="26" t="str">
        <f>IF($E2543="","",INDEX(成本费用登记表!$D$4:$D$303,145))</f>
        <v/>
      </c>
      <c r="L2543" s="32" t="str">
        <f>IF($E2543="","",INDEX(成本费用登记表!$N$4:$N$303,145))</f>
        <v/>
      </c>
      <c r="M2543" s="32"/>
      <c r="N2543" s="26" t="str">
        <f t="shared" si="122"/>
        <v/>
      </c>
      <c r="O2543" s="26" t="str">
        <f t="shared" si="123"/>
        <v/>
      </c>
      <c r="P2543" s="10"/>
    </row>
    <row r="2544" ht="18" customHeight="1" spans="1:16">
      <c r="A2544" s="32" t="str">
        <f t="shared" si="124"/>
        <v/>
      </c>
      <c r="B2544" s="100" t="str">
        <f>IF($E2544="","",INDEX(成本费用登记表!$B$4:$B$303,145))</f>
        <v/>
      </c>
      <c r="C2544" s="26" t="str">
        <f t="shared" si="121"/>
        <v/>
      </c>
      <c r="D2544" s="32" t="str">
        <f>IF($E2544="","",INDEX(成本费用登记表!$E$4:$E$303,145))</f>
        <v/>
      </c>
      <c r="E2544" s="26" t="str">
        <f>IF(INDEX(成本费用登记表!$Q$4:$Y$303,145,7)=0,"",INDEX(成本费用登记表!$Q$4:$Y$303,145,7))</f>
        <v/>
      </c>
      <c r="F2544" s="25" t="str">
        <f>IF($E2544="","",IFERROR(INDEX(科目表!$A$4:$A$81,MATCH($E2544,科目表!$B$4:$B$81,0)),""))</f>
        <v/>
      </c>
      <c r="G2544" s="26" t="str">
        <f>IF($E2544="","",IFERROR(INDEX(科目表!$E$4:$E$81,MATCH($E2544,科目表!$B$4:$B$81,0)),""))</f>
        <v/>
      </c>
      <c r="H2544" s="27" t="str">
        <f>IF($E2544="","",N(INDEX(成本费用登记表!$Q$4:$Y$303,145,8)))</f>
        <v/>
      </c>
      <c r="I2544" s="27" t="str">
        <f>IF($E2544="","",N(INDEX(成本费用登记表!$Q$4:$Y$303,145,9)))</f>
        <v/>
      </c>
      <c r="J2544" s="26" t="str">
        <f>IF($E2544="","",INDEX(成本费用登记表!$C$4:$C$303,145))</f>
        <v/>
      </c>
      <c r="K2544" s="26" t="str">
        <f>IF($E2544="","",INDEX(成本费用登记表!$D$4:$D$303,145))</f>
        <v/>
      </c>
      <c r="L2544" s="32" t="str">
        <f>IF($E2544="","",INDEX(成本费用登记表!$N$4:$N$303,145))</f>
        <v/>
      </c>
      <c r="M2544" s="32"/>
      <c r="N2544" s="26" t="str">
        <f t="shared" si="122"/>
        <v/>
      </c>
      <c r="O2544" s="26" t="str">
        <f t="shared" si="123"/>
        <v/>
      </c>
      <c r="P2544" s="10"/>
    </row>
    <row r="2545" ht="18" customHeight="1" spans="1:16">
      <c r="A2545" s="32" t="str">
        <f t="shared" si="124"/>
        <v/>
      </c>
      <c r="B2545" s="100" t="str">
        <f>IF($E2545="","",INDEX(成本费用登记表!$B$4:$B$303,146))</f>
        <v/>
      </c>
      <c r="C2545" s="26" t="str">
        <f t="shared" si="121"/>
        <v/>
      </c>
      <c r="D2545" s="32" t="str">
        <f>IF($E2545="","",INDEX(成本费用登记表!$E$4:$E$303,146))</f>
        <v/>
      </c>
      <c r="E2545" s="26" t="str">
        <f>IF(INDEX(成本费用登记表!$Q$4:$Y$303,146,1)=0,"",INDEX(成本费用登记表!$Q$4:$Y$303,146,1))</f>
        <v/>
      </c>
      <c r="F2545" s="25" t="str">
        <f>IF($E2545="","",IFERROR(INDEX(科目表!$A$4:$A$81,MATCH($E2545,科目表!$B$4:$B$81,0)),""))</f>
        <v/>
      </c>
      <c r="G2545" s="26" t="str">
        <f>IF($E2545="","",IFERROR(INDEX(科目表!$E$4:$E$81,MATCH($E2545,科目表!$B$4:$B$81,0)),""))</f>
        <v/>
      </c>
      <c r="H2545" s="27" t="str">
        <f>IF($E2545="","",N(INDEX(成本费用登记表!$Q$4:$Y$303,146,2)))</f>
        <v/>
      </c>
      <c r="I2545" s="27" t="str">
        <f>IF($E2545="","",N(INDEX(成本费用登记表!$Q$4:$Y$303,146,3)))</f>
        <v/>
      </c>
      <c r="J2545" s="26" t="str">
        <f>IF($E2545="","",INDEX(成本费用登记表!$C$4:$C$303,146))</f>
        <v/>
      </c>
      <c r="K2545" s="26" t="str">
        <f>IF($E2545="","",INDEX(成本费用登记表!$D$4:$D$303,146))</f>
        <v/>
      </c>
      <c r="L2545" s="32" t="str">
        <f>IF($E2545="","",INDEX(成本费用登记表!$N$4:$N$303,146))</f>
        <v/>
      </c>
      <c r="M2545" s="32"/>
      <c r="N2545" s="26" t="str">
        <f t="shared" si="122"/>
        <v/>
      </c>
      <c r="O2545" s="26" t="str">
        <f t="shared" si="123"/>
        <v/>
      </c>
      <c r="P2545" s="10"/>
    </row>
    <row r="2546" ht="18" customHeight="1" spans="1:16">
      <c r="A2546" s="32" t="str">
        <f t="shared" si="124"/>
        <v/>
      </c>
      <c r="B2546" s="100" t="str">
        <f>IF($E2546="","",INDEX(成本费用登记表!$B$4:$B$303,146))</f>
        <v/>
      </c>
      <c r="C2546" s="26" t="str">
        <f t="shared" si="121"/>
        <v/>
      </c>
      <c r="D2546" s="32" t="str">
        <f>IF($E2546="","",INDEX(成本费用登记表!$E$4:$E$303,146))</f>
        <v/>
      </c>
      <c r="E2546" s="26" t="str">
        <f>IF(INDEX(成本费用登记表!$Q$4:$Y$303,146,4)=0,"",INDEX(成本费用登记表!$Q$4:$Y$303,146,4))</f>
        <v/>
      </c>
      <c r="F2546" s="25" t="str">
        <f>IF($E2546="","",IFERROR(INDEX(科目表!$A$4:$A$81,MATCH($E2546,科目表!$B$4:$B$81,0)),""))</f>
        <v/>
      </c>
      <c r="G2546" s="26" t="str">
        <f>IF($E2546="","",IFERROR(INDEX(科目表!$E$4:$E$81,MATCH($E2546,科目表!$B$4:$B$81,0)),""))</f>
        <v/>
      </c>
      <c r="H2546" s="27" t="str">
        <f>IF($E2546="","",N(INDEX(成本费用登记表!$Q$4:$Y$303,146,5)))</f>
        <v/>
      </c>
      <c r="I2546" s="27" t="str">
        <f>IF($E2546="","",N(INDEX(成本费用登记表!$Q$4:$Y$303,146,6)))</f>
        <v/>
      </c>
      <c r="J2546" s="26" t="str">
        <f>IF($E2546="","",INDEX(成本费用登记表!$C$4:$C$303,146))</f>
        <v/>
      </c>
      <c r="K2546" s="26" t="str">
        <f>IF($E2546="","",INDEX(成本费用登记表!$D$4:$D$303,146))</f>
        <v/>
      </c>
      <c r="L2546" s="32" t="str">
        <f>IF($E2546="","",INDEX(成本费用登记表!$N$4:$N$303,146))</f>
        <v/>
      </c>
      <c r="M2546" s="32"/>
      <c r="N2546" s="26" t="str">
        <f t="shared" si="122"/>
        <v/>
      </c>
      <c r="O2546" s="26" t="str">
        <f t="shared" si="123"/>
        <v/>
      </c>
      <c r="P2546" s="10"/>
    </row>
    <row r="2547" ht="18" customHeight="1" spans="1:16">
      <c r="A2547" s="32" t="str">
        <f t="shared" si="124"/>
        <v/>
      </c>
      <c r="B2547" s="100" t="str">
        <f>IF($E2547="","",INDEX(成本费用登记表!$B$4:$B$303,146))</f>
        <v/>
      </c>
      <c r="C2547" s="26" t="str">
        <f t="shared" si="121"/>
        <v/>
      </c>
      <c r="D2547" s="32" t="str">
        <f>IF($E2547="","",INDEX(成本费用登记表!$E$4:$E$303,146))</f>
        <v/>
      </c>
      <c r="E2547" s="26" t="str">
        <f>IF(INDEX(成本费用登记表!$Q$4:$Y$303,146,7)=0,"",INDEX(成本费用登记表!$Q$4:$Y$303,146,7))</f>
        <v/>
      </c>
      <c r="F2547" s="25" t="str">
        <f>IF($E2547="","",IFERROR(INDEX(科目表!$A$4:$A$81,MATCH($E2547,科目表!$B$4:$B$81,0)),""))</f>
        <v/>
      </c>
      <c r="G2547" s="26" t="str">
        <f>IF($E2547="","",IFERROR(INDEX(科目表!$E$4:$E$81,MATCH($E2547,科目表!$B$4:$B$81,0)),""))</f>
        <v/>
      </c>
      <c r="H2547" s="27" t="str">
        <f>IF($E2547="","",N(INDEX(成本费用登记表!$Q$4:$Y$303,146,8)))</f>
        <v/>
      </c>
      <c r="I2547" s="27" t="str">
        <f>IF($E2547="","",N(INDEX(成本费用登记表!$Q$4:$Y$303,146,9)))</f>
        <v/>
      </c>
      <c r="J2547" s="26" t="str">
        <f>IF($E2547="","",INDEX(成本费用登记表!$C$4:$C$303,146))</f>
        <v/>
      </c>
      <c r="K2547" s="26" t="str">
        <f>IF($E2547="","",INDEX(成本费用登记表!$D$4:$D$303,146))</f>
        <v/>
      </c>
      <c r="L2547" s="32" t="str">
        <f>IF($E2547="","",INDEX(成本费用登记表!$N$4:$N$303,146))</f>
        <v/>
      </c>
      <c r="M2547" s="32"/>
      <c r="N2547" s="26" t="str">
        <f t="shared" si="122"/>
        <v/>
      </c>
      <c r="O2547" s="26" t="str">
        <f t="shared" si="123"/>
        <v/>
      </c>
      <c r="P2547" s="10"/>
    </row>
    <row r="2548" ht="18" customHeight="1" spans="1:16">
      <c r="A2548" s="32" t="str">
        <f t="shared" si="124"/>
        <v/>
      </c>
      <c r="B2548" s="100" t="str">
        <f>IF($E2548="","",INDEX(成本费用登记表!$B$4:$B$303,147))</f>
        <v/>
      </c>
      <c r="C2548" s="26" t="str">
        <f t="shared" si="121"/>
        <v/>
      </c>
      <c r="D2548" s="32" t="str">
        <f>IF($E2548="","",INDEX(成本费用登记表!$E$4:$E$303,147))</f>
        <v/>
      </c>
      <c r="E2548" s="26" t="str">
        <f>IF(INDEX(成本费用登记表!$Q$4:$Y$303,147,1)=0,"",INDEX(成本费用登记表!$Q$4:$Y$303,147,1))</f>
        <v/>
      </c>
      <c r="F2548" s="25" t="str">
        <f>IF($E2548="","",IFERROR(INDEX(科目表!$A$4:$A$81,MATCH($E2548,科目表!$B$4:$B$81,0)),""))</f>
        <v/>
      </c>
      <c r="G2548" s="26" t="str">
        <f>IF($E2548="","",IFERROR(INDEX(科目表!$E$4:$E$81,MATCH($E2548,科目表!$B$4:$B$81,0)),""))</f>
        <v/>
      </c>
      <c r="H2548" s="27" t="str">
        <f>IF($E2548="","",N(INDEX(成本费用登记表!$Q$4:$Y$303,147,2)))</f>
        <v/>
      </c>
      <c r="I2548" s="27" t="str">
        <f>IF($E2548="","",N(INDEX(成本费用登记表!$Q$4:$Y$303,147,3)))</f>
        <v/>
      </c>
      <c r="J2548" s="26" t="str">
        <f>IF($E2548="","",INDEX(成本费用登记表!$C$4:$C$303,147))</f>
        <v/>
      </c>
      <c r="K2548" s="26" t="str">
        <f>IF($E2548="","",INDEX(成本费用登记表!$D$4:$D$303,147))</f>
        <v/>
      </c>
      <c r="L2548" s="32" t="str">
        <f>IF($E2548="","",INDEX(成本费用登记表!$N$4:$N$303,147))</f>
        <v/>
      </c>
      <c r="M2548" s="32"/>
      <c r="N2548" s="26" t="str">
        <f t="shared" si="122"/>
        <v/>
      </c>
      <c r="O2548" s="26" t="str">
        <f t="shared" si="123"/>
        <v/>
      </c>
      <c r="P2548" s="10"/>
    </row>
    <row r="2549" ht="18" customHeight="1" spans="1:16">
      <c r="A2549" s="32" t="str">
        <f t="shared" si="124"/>
        <v/>
      </c>
      <c r="B2549" s="100" t="str">
        <f>IF($E2549="","",INDEX(成本费用登记表!$B$4:$B$303,147))</f>
        <v/>
      </c>
      <c r="C2549" s="26" t="str">
        <f t="shared" si="121"/>
        <v/>
      </c>
      <c r="D2549" s="32" t="str">
        <f>IF($E2549="","",INDEX(成本费用登记表!$E$4:$E$303,147))</f>
        <v/>
      </c>
      <c r="E2549" s="26" t="str">
        <f>IF(INDEX(成本费用登记表!$Q$4:$Y$303,147,4)=0,"",INDEX(成本费用登记表!$Q$4:$Y$303,147,4))</f>
        <v/>
      </c>
      <c r="F2549" s="25" t="str">
        <f>IF($E2549="","",IFERROR(INDEX(科目表!$A$4:$A$81,MATCH($E2549,科目表!$B$4:$B$81,0)),""))</f>
        <v/>
      </c>
      <c r="G2549" s="26" t="str">
        <f>IF($E2549="","",IFERROR(INDEX(科目表!$E$4:$E$81,MATCH($E2549,科目表!$B$4:$B$81,0)),""))</f>
        <v/>
      </c>
      <c r="H2549" s="27" t="str">
        <f>IF($E2549="","",N(INDEX(成本费用登记表!$Q$4:$Y$303,147,5)))</f>
        <v/>
      </c>
      <c r="I2549" s="27" t="str">
        <f>IF($E2549="","",N(INDEX(成本费用登记表!$Q$4:$Y$303,147,6)))</f>
        <v/>
      </c>
      <c r="J2549" s="26" t="str">
        <f>IF($E2549="","",INDEX(成本费用登记表!$C$4:$C$303,147))</f>
        <v/>
      </c>
      <c r="K2549" s="26" t="str">
        <f>IF($E2549="","",INDEX(成本费用登记表!$D$4:$D$303,147))</f>
        <v/>
      </c>
      <c r="L2549" s="32" t="str">
        <f>IF($E2549="","",INDEX(成本费用登记表!$N$4:$N$303,147))</f>
        <v/>
      </c>
      <c r="M2549" s="32"/>
      <c r="N2549" s="26" t="str">
        <f t="shared" si="122"/>
        <v/>
      </c>
      <c r="O2549" s="26" t="str">
        <f t="shared" si="123"/>
        <v/>
      </c>
      <c r="P2549" s="10"/>
    </row>
    <row r="2550" ht="18" customHeight="1" spans="1:16">
      <c r="A2550" s="32" t="str">
        <f t="shared" si="124"/>
        <v/>
      </c>
      <c r="B2550" s="100" t="str">
        <f>IF($E2550="","",INDEX(成本费用登记表!$B$4:$B$303,147))</f>
        <v/>
      </c>
      <c r="C2550" s="26" t="str">
        <f t="shared" si="121"/>
        <v/>
      </c>
      <c r="D2550" s="32" t="str">
        <f>IF($E2550="","",INDEX(成本费用登记表!$E$4:$E$303,147))</f>
        <v/>
      </c>
      <c r="E2550" s="26" t="str">
        <f>IF(INDEX(成本费用登记表!$Q$4:$Y$303,147,7)=0,"",INDEX(成本费用登记表!$Q$4:$Y$303,147,7))</f>
        <v/>
      </c>
      <c r="F2550" s="25" t="str">
        <f>IF($E2550="","",IFERROR(INDEX(科目表!$A$4:$A$81,MATCH($E2550,科目表!$B$4:$B$81,0)),""))</f>
        <v/>
      </c>
      <c r="G2550" s="26" t="str">
        <f>IF($E2550="","",IFERROR(INDEX(科目表!$E$4:$E$81,MATCH($E2550,科目表!$B$4:$B$81,0)),""))</f>
        <v/>
      </c>
      <c r="H2550" s="27" t="str">
        <f>IF($E2550="","",N(INDEX(成本费用登记表!$Q$4:$Y$303,147,8)))</f>
        <v/>
      </c>
      <c r="I2550" s="27" t="str">
        <f>IF($E2550="","",N(INDEX(成本费用登记表!$Q$4:$Y$303,147,9)))</f>
        <v/>
      </c>
      <c r="J2550" s="26" t="str">
        <f>IF($E2550="","",INDEX(成本费用登记表!$C$4:$C$303,147))</f>
        <v/>
      </c>
      <c r="K2550" s="26" t="str">
        <f>IF($E2550="","",INDEX(成本费用登记表!$D$4:$D$303,147))</f>
        <v/>
      </c>
      <c r="L2550" s="32" t="str">
        <f>IF($E2550="","",INDEX(成本费用登记表!$N$4:$N$303,147))</f>
        <v/>
      </c>
      <c r="M2550" s="32"/>
      <c r="N2550" s="26" t="str">
        <f t="shared" si="122"/>
        <v/>
      </c>
      <c r="O2550" s="26" t="str">
        <f t="shared" si="123"/>
        <v/>
      </c>
      <c r="P2550" s="10"/>
    </row>
    <row r="2551" ht="18" customHeight="1" spans="1:16">
      <c r="A2551" s="32" t="str">
        <f t="shared" si="124"/>
        <v/>
      </c>
      <c r="B2551" s="100" t="str">
        <f>IF($E2551="","",INDEX(成本费用登记表!$B$4:$B$303,148))</f>
        <v/>
      </c>
      <c r="C2551" s="26" t="str">
        <f t="shared" si="121"/>
        <v/>
      </c>
      <c r="D2551" s="32" t="str">
        <f>IF($E2551="","",INDEX(成本费用登记表!$E$4:$E$303,148))</f>
        <v/>
      </c>
      <c r="E2551" s="26" t="str">
        <f>IF(INDEX(成本费用登记表!$Q$4:$Y$303,148,1)=0,"",INDEX(成本费用登记表!$Q$4:$Y$303,148,1))</f>
        <v/>
      </c>
      <c r="F2551" s="25" t="str">
        <f>IF($E2551="","",IFERROR(INDEX(科目表!$A$4:$A$81,MATCH($E2551,科目表!$B$4:$B$81,0)),""))</f>
        <v/>
      </c>
      <c r="G2551" s="26" t="str">
        <f>IF($E2551="","",IFERROR(INDEX(科目表!$E$4:$E$81,MATCH($E2551,科目表!$B$4:$B$81,0)),""))</f>
        <v/>
      </c>
      <c r="H2551" s="27" t="str">
        <f>IF($E2551="","",N(INDEX(成本费用登记表!$Q$4:$Y$303,148,2)))</f>
        <v/>
      </c>
      <c r="I2551" s="27" t="str">
        <f>IF($E2551="","",N(INDEX(成本费用登记表!$Q$4:$Y$303,148,3)))</f>
        <v/>
      </c>
      <c r="J2551" s="26" t="str">
        <f>IF($E2551="","",INDEX(成本费用登记表!$C$4:$C$303,148))</f>
        <v/>
      </c>
      <c r="K2551" s="26" t="str">
        <f>IF($E2551="","",INDEX(成本费用登记表!$D$4:$D$303,148))</f>
        <v/>
      </c>
      <c r="L2551" s="32" t="str">
        <f>IF($E2551="","",INDEX(成本费用登记表!$N$4:$N$303,148))</f>
        <v/>
      </c>
      <c r="M2551" s="32"/>
      <c r="N2551" s="26" t="str">
        <f t="shared" si="122"/>
        <v/>
      </c>
      <c r="O2551" s="26" t="str">
        <f t="shared" si="123"/>
        <v/>
      </c>
      <c r="P2551" s="10"/>
    </row>
    <row r="2552" ht="18" customHeight="1" spans="1:16">
      <c r="A2552" s="32" t="str">
        <f t="shared" si="124"/>
        <v/>
      </c>
      <c r="B2552" s="100" t="str">
        <f>IF($E2552="","",INDEX(成本费用登记表!$B$4:$B$303,148))</f>
        <v/>
      </c>
      <c r="C2552" s="26" t="str">
        <f t="shared" si="121"/>
        <v/>
      </c>
      <c r="D2552" s="32" t="str">
        <f>IF($E2552="","",INDEX(成本费用登记表!$E$4:$E$303,148))</f>
        <v/>
      </c>
      <c r="E2552" s="26" t="str">
        <f>IF(INDEX(成本费用登记表!$Q$4:$Y$303,148,4)=0,"",INDEX(成本费用登记表!$Q$4:$Y$303,148,4))</f>
        <v/>
      </c>
      <c r="F2552" s="25" t="str">
        <f>IF($E2552="","",IFERROR(INDEX(科目表!$A$4:$A$81,MATCH($E2552,科目表!$B$4:$B$81,0)),""))</f>
        <v/>
      </c>
      <c r="G2552" s="26" t="str">
        <f>IF($E2552="","",IFERROR(INDEX(科目表!$E$4:$E$81,MATCH($E2552,科目表!$B$4:$B$81,0)),""))</f>
        <v/>
      </c>
      <c r="H2552" s="27" t="str">
        <f>IF($E2552="","",N(INDEX(成本费用登记表!$Q$4:$Y$303,148,5)))</f>
        <v/>
      </c>
      <c r="I2552" s="27" t="str">
        <f>IF($E2552="","",N(INDEX(成本费用登记表!$Q$4:$Y$303,148,6)))</f>
        <v/>
      </c>
      <c r="J2552" s="26" t="str">
        <f>IF($E2552="","",INDEX(成本费用登记表!$C$4:$C$303,148))</f>
        <v/>
      </c>
      <c r="K2552" s="26" t="str">
        <f>IF($E2552="","",INDEX(成本费用登记表!$D$4:$D$303,148))</f>
        <v/>
      </c>
      <c r="L2552" s="32" t="str">
        <f>IF($E2552="","",INDEX(成本费用登记表!$N$4:$N$303,148))</f>
        <v/>
      </c>
      <c r="M2552" s="32"/>
      <c r="N2552" s="26" t="str">
        <f t="shared" si="122"/>
        <v/>
      </c>
      <c r="O2552" s="26" t="str">
        <f t="shared" si="123"/>
        <v/>
      </c>
      <c r="P2552" s="10"/>
    </row>
    <row r="2553" ht="18" customHeight="1" spans="1:16">
      <c r="A2553" s="32" t="str">
        <f t="shared" si="124"/>
        <v/>
      </c>
      <c r="B2553" s="100" t="str">
        <f>IF($E2553="","",INDEX(成本费用登记表!$B$4:$B$303,148))</f>
        <v/>
      </c>
      <c r="C2553" s="26" t="str">
        <f t="shared" si="121"/>
        <v/>
      </c>
      <c r="D2553" s="32" t="str">
        <f>IF($E2553="","",INDEX(成本费用登记表!$E$4:$E$303,148))</f>
        <v/>
      </c>
      <c r="E2553" s="26" t="str">
        <f>IF(INDEX(成本费用登记表!$Q$4:$Y$303,148,7)=0,"",INDEX(成本费用登记表!$Q$4:$Y$303,148,7))</f>
        <v/>
      </c>
      <c r="F2553" s="25" t="str">
        <f>IF($E2553="","",IFERROR(INDEX(科目表!$A$4:$A$81,MATCH($E2553,科目表!$B$4:$B$81,0)),""))</f>
        <v/>
      </c>
      <c r="G2553" s="26" t="str">
        <f>IF($E2553="","",IFERROR(INDEX(科目表!$E$4:$E$81,MATCH($E2553,科目表!$B$4:$B$81,0)),""))</f>
        <v/>
      </c>
      <c r="H2553" s="27" t="str">
        <f>IF($E2553="","",N(INDEX(成本费用登记表!$Q$4:$Y$303,148,8)))</f>
        <v/>
      </c>
      <c r="I2553" s="27" t="str">
        <f>IF($E2553="","",N(INDEX(成本费用登记表!$Q$4:$Y$303,148,9)))</f>
        <v/>
      </c>
      <c r="J2553" s="26" t="str">
        <f>IF($E2553="","",INDEX(成本费用登记表!$C$4:$C$303,148))</f>
        <v/>
      </c>
      <c r="K2553" s="26" t="str">
        <f>IF($E2553="","",INDEX(成本费用登记表!$D$4:$D$303,148))</f>
        <v/>
      </c>
      <c r="L2553" s="32" t="str">
        <f>IF($E2553="","",INDEX(成本费用登记表!$N$4:$N$303,148))</f>
        <v/>
      </c>
      <c r="M2553" s="32"/>
      <c r="N2553" s="26" t="str">
        <f t="shared" si="122"/>
        <v/>
      </c>
      <c r="O2553" s="26" t="str">
        <f t="shared" si="123"/>
        <v/>
      </c>
      <c r="P2553" s="10"/>
    </row>
    <row r="2554" ht="18" customHeight="1" spans="1:16">
      <c r="A2554" s="32" t="str">
        <f t="shared" si="124"/>
        <v/>
      </c>
      <c r="B2554" s="100" t="str">
        <f>IF($E2554="","",INDEX(成本费用登记表!$B$4:$B$303,149))</f>
        <v/>
      </c>
      <c r="C2554" s="26" t="str">
        <f t="shared" si="121"/>
        <v/>
      </c>
      <c r="D2554" s="32" t="str">
        <f>IF($E2554="","",INDEX(成本费用登记表!$E$4:$E$303,149))</f>
        <v/>
      </c>
      <c r="E2554" s="26" t="str">
        <f>IF(INDEX(成本费用登记表!$Q$4:$Y$303,149,1)=0,"",INDEX(成本费用登记表!$Q$4:$Y$303,149,1))</f>
        <v/>
      </c>
      <c r="F2554" s="25" t="str">
        <f>IF($E2554="","",IFERROR(INDEX(科目表!$A$4:$A$81,MATCH($E2554,科目表!$B$4:$B$81,0)),""))</f>
        <v/>
      </c>
      <c r="G2554" s="26" t="str">
        <f>IF($E2554="","",IFERROR(INDEX(科目表!$E$4:$E$81,MATCH($E2554,科目表!$B$4:$B$81,0)),""))</f>
        <v/>
      </c>
      <c r="H2554" s="27" t="str">
        <f>IF($E2554="","",N(INDEX(成本费用登记表!$Q$4:$Y$303,149,2)))</f>
        <v/>
      </c>
      <c r="I2554" s="27" t="str">
        <f>IF($E2554="","",N(INDEX(成本费用登记表!$Q$4:$Y$303,149,3)))</f>
        <v/>
      </c>
      <c r="J2554" s="26" t="str">
        <f>IF($E2554="","",INDEX(成本费用登记表!$C$4:$C$303,149))</f>
        <v/>
      </c>
      <c r="K2554" s="26" t="str">
        <f>IF($E2554="","",INDEX(成本费用登记表!$D$4:$D$303,149))</f>
        <v/>
      </c>
      <c r="L2554" s="32" t="str">
        <f>IF($E2554="","",INDEX(成本费用登记表!$N$4:$N$303,149))</f>
        <v/>
      </c>
      <c r="M2554" s="32"/>
      <c r="N2554" s="26" t="str">
        <f t="shared" si="122"/>
        <v/>
      </c>
      <c r="O2554" s="26" t="str">
        <f t="shared" si="123"/>
        <v/>
      </c>
      <c r="P2554" s="10"/>
    </row>
    <row r="2555" ht="18" customHeight="1" spans="1:16">
      <c r="A2555" s="32" t="str">
        <f t="shared" si="124"/>
        <v/>
      </c>
      <c r="B2555" s="100" t="str">
        <f>IF($E2555="","",INDEX(成本费用登记表!$B$4:$B$303,149))</f>
        <v/>
      </c>
      <c r="C2555" s="26" t="str">
        <f t="shared" si="121"/>
        <v/>
      </c>
      <c r="D2555" s="32" t="str">
        <f>IF($E2555="","",INDEX(成本费用登记表!$E$4:$E$303,149))</f>
        <v/>
      </c>
      <c r="E2555" s="26" t="str">
        <f>IF(INDEX(成本费用登记表!$Q$4:$Y$303,149,4)=0,"",INDEX(成本费用登记表!$Q$4:$Y$303,149,4))</f>
        <v/>
      </c>
      <c r="F2555" s="25" t="str">
        <f>IF($E2555="","",IFERROR(INDEX(科目表!$A$4:$A$81,MATCH($E2555,科目表!$B$4:$B$81,0)),""))</f>
        <v/>
      </c>
      <c r="G2555" s="26" t="str">
        <f>IF($E2555="","",IFERROR(INDEX(科目表!$E$4:$E$81,MATCH($E2555,科目表!$B$4:$B$81,0)),""))</f>
        <v/>
      </c>
      <c r="H2555" s="27" t="str">
        <f>IF($E2555="","",N(INDEX(成本费用登记表!$Q$4:$Y$303,149,5)))</f>
        <v/>
      </c>
      <c r="I2555" s="27" t="str">
        <f>IF($E2555="","",N(INDEX(成本费用登记表!$Q$4:$Y$303,149,6)))</f>
        <v/>
      </c>
      <c r="J2555" s="26" t="str">
        <f>IF($E2555="","",INDEX(成本费用登记表!$C$4:$C$303,149))</f>
        <v/>
      </c>
      <c r="K2555" s="26" t="str">
        <f>IF($E2555="","",INDEX(成本费用登记表!$D$4:$D$303,149))</f>
        <v/>
      </c>
      <c r="L2555" s="32" t="str">
        <f>IF($E2555="","",INDEX(成本费用登记表!$N$4:$N$303,149))</f>
        <v/>
      </c>
      <c r="M2555" s="32"/>
      <c r="N2555" s="26" t="str">
        <f t="shared" si="122"/>
        <v/>
      </c>
      <c r="O2555" s="26" t="str">
        <f t="shared" si="123"/>
        <v/>
      </c>
      <c r="P2555" s="10"/>
    </row>
    <row r="2556" ht="18" customHeight="1" spans="1:16">
      <c r="A2556" s="32" t="str">
        <f t="shared" si="124"/>
        <v/>
      </c>
      <c r="B2556" s="100" t="str">
        <f>IF($E2556="","",INDEX(成本费用登记表!$B$4:$B$303,149))</f>
        <v/>
      </c>
      <c r="C2556" s="26" t="str">
        <f t="shared" si="121"/>
        <v/>
      </c>
      <c r="D2556" s="32" t="str">
        <f>IF($E2556="","",INDEX(成本费用登记表!$E$4:$E$303,149))</f>
        <v/>
      </c>
      <c r="E2556" s="26" t="str">
        <f>IF(INDEX(成本费用登记表!$Q$4:$Y$303,149,7)=0,"",INDEX(成本费用登记表!$Q$4:$Y$303,149,7))</f>
        <v/>
      </c>
      <c r="F2556" s="25" t="str">
        <f>IF($E2556="","",IFERROR(INDEX(科目表!$A$4:$A$81,MATCH($E2556,科目表!$B$4:$B$81,0)),""))</f>
        <v/>
      </c>
      <c r="G2556" s="26" t="str">
        <f>IF($E2556="","",IFERROR(INDEX(科目表!$E$4:$E$81,MATCH($E2556,科目表!$B$4:$B$81,0)),""))</f>
        <v/>
      </c>
      <c r="H2556" s="27" t="str">
        <f>IF($E2556="","",N(INDEX(成本费用登记表!$Q$4:$Y$303,149,8)))</f>
        <v/>
      </c>
      <c r="I2556" s="27" t="str">
        <f>IF($E2556="","",N(INDEX(成本费用登记表!$Q$4:$Y$303,149,9)))</f>
        <v/>
      </c>
      <c r="J2556" s="26" t="str">
        <f>IF($E2556="","",INDEX(成本费用登记表!$C$4:$C$303,149))</f>
        <v/>
      </c>
      <c r="K2556" s="26" t="str">
        <f>IF($E2556="","",INDEX(成本费用登记表!$D$4:$D$303,149))</f>
        <v/>
      </c>
      <c r="L2556" s="32" t="str">
        <f>IF($E2556="","",INDEX(成本费用登记表!$N$4:$N$303,149))</f>
        <v/>
      </c>
      <c r="M2556" s="32"/>
      <c r="N2556" s="26" t="str">
        <f t="shared" si="122"/>
        <v/>
      </c>
      <c r="O2556" s="26" t="str">
        <f t="shared" si="123"/>
        <v/>
      </c>
      <c r="P2556" s="10"/>
    </row>
    <row r="2557" ht="18" customHeight="1" spans="1:16">
      <c r="A2557" s="32" t="str">
        <f t="shared" si="124"/>
        <v/>
      </c>
      <c r="B2557" s="100" t="str">
        <f>IF($E2557="","",INDEX(成本费用登记表!$B$4:$B$303,150))</f>
        <v/>
      </c>
      <c r="C2557" s="26" t="str">
        <f t="shared" si="121"/>
        <v/>
      </c>
      <c r="D2557" s="32" t="str">
        <f>IF($E2557="","",INDEX(成本费用登记表!$E$4:$E$303,150))</f>
        <v/>
      </c>
      <c r="E2557" s="26" t="str">
        <f>IF(INDEX(成本费用登记表!$Q$4:$Y$303,150,1)=0,"",INDEX(成本费用登记表!$Q$4:$Y$303,150,1))</f>
        <v/>
      </c>
      <c r="F2557" s="25" t="str">
        <f>IF($E2557="","",IFERROR(INDEX(科目表!$A$4:$A$81,MATCH($E2557,科目表!$B$4:$B$81,0)),""))</f>
        <v/>
      </c>
      <c r="G2557" s="26" t="str">
        <f>IF($E2557="","",IFERROR(INDEX(科目表!$E$4:$E$81,MATCH($E2557,科目表!$B$4:$B$81,0)),""))</f>
        <v/>
      </c>
      <c r="H2557" s="27" t="str">
        <f>IF($E2557="","",N(INDEX(成本费用登记表!$Q$4:$Y$303,150,2)))</f>
        <v/>
      </c>
      <c r="I2557" s="27" t="str">
        <f>IF($E2557="","",N(INDEX(成本费用登记表!$Q$4:$Y$303,150,3)))</f>
        <v/>
      </c>
      <c r="J2557" s="26" t="str">
        <f>IF($E2557="","",INDEX(成本费用登记表!$C$4:$C$303,150))</f>
        <v/>
      </c>
      <c r="K2557" s="26" t="str">
        <f>IF($E2557="","",INDEX(成本费用登记表!$D$4:$D$303,150))</f>
        <v/>
      </c>
      <c r="L2557" s="32" t="str">
        <f>IF($E2557="","",INDEX(成本费用登记表!$N$4:$N$303,150))</f>
        <v/>
      </c>
      <c r="M2557" s="32"/>
      <c r="N2557" s="26" t="str">
        <f t="shared" si="122"/>
        <v/>
      </c>
      <c r="O2557" s="26" t="str">
        <f t="shared" si="123"/>
        <v/>
      </c>
      <c r="P2557" s="10"/>
    </row>
    <row r="2558" ht="18" customHeight="1" spans="1:16">
      <c r="A2558" s="32" t="str">
        <f t="shared" si="124"/>
        <v/>
      </c>
      <c r="B2558" s="100" t="str">
        <f>IF($E2558="","",INDEX(成本费用登记表!$B$4:$B$303,150))</f>
        <v/>
      </c>
      <c r="C2558" s="26" t="str">
        <f t="shared" ref="C2558:C2621" si="125">IF($E2558="","","记-"&amp;TEXT($B2558,"YYYYMM")&amp;"-费用")</f>
        <v/>
      </c>
      <c r="D2558" s="32" t="str">
        <f>IF($E2558="","",INDEX(成本费用登记表!$E$4:$E$303,150))</f>
        <v/>
      </c>
      <c r="E2558" s="26" t="str">
        <f>IF(INDEX(成本费用登记表!$Q$4:$Y$303,150,4)=0,"",INDEX(成本费用登记表!$Q$4:$Y$303,150,4))</f>
        <v/>
      </c>
      <c r="F2558" s="25" t="str">
        <f>IF($E2558="","",IFERROR(INDEX(科目表!$A$4:$A$81,MATCH($E2558,科目表!$B$4:$B$81,0)),""))</f>
        <v/>
      </c>
      <c r="G2558" s="26" t="str">
        <f>IF($E2558="","",IFERROR(INDEX(科目表!$E$4:$E$81,MATCH($E2558,科目表!$B$4:$B$81,0)),""))</f>
        <v/>
      </c>
      <c r="H2558" s="27" t="str">
        <f>IF($E2558="","",N(INDEX(成本费用登记表!$Q$4:$Y$303,150,5)))</f>
        <v/>
      </c>
      <c r="I2558" s="27" t="str">
        <f>IF($E2558="","",N(INDEX(成本费用登记表!$Q$4:$Y$303,150,6)))</f>
        <v/>
      </c>
      <c r="J2558" s="26" t="str">
        <f>IF($E2558="","",INDEX(成本费用登记表!$C$4:$C$303,150))</f>
        <v/>
      </c>
      <c r="K2558" s="26" t="str">
        <f>IF($E2558="","",INDEX(成本费用登记表!$D$4:$D$303,150))</f>
        <v/>
      </c>
      <c r="L2558" s="32" t="str">
        <f>IF($E2558="","",INDEX(成本费用登记表!$N$4:$N$303,150))</f>
        <v/>
      </c>
      <c r="M2558" s="32"/>
      <c r="N2558" s="26" t="str">
        <f t="shared" ref="N2558:N2621" si="126">IF($E2558="","","系统")</f>
        <v/>
      </c>
      <c r="O2558" s="26" t="str">
        <f t="shared" ref="O2558:O2621" si="127">IF($E2558="","","自动C")</f>
        <v/>
      </c>
      <c r="P2558" s="10"/>
    </row>
    <row r="2559" ht="18" customHeight="1" spans="1:16">
      <c r="A2559" s="32" t="str">
        <f t="shared" si="124"/>
        <v/>
      </c>
      <c r="B2559" s="100" t="str">
        <f>IF($E2559="","",INDEX(成本费用登记表!$B$4:$B$303,150))</f>
        <v/>
      </c>
      <c r="C2559" s="26" t="str">
        <f t="shared" si="125"/>
        <v/>
      </c>
      <c r="D2559" s="32" t="str">
        <f>IF($E2559="","",INDEX(成本费用登记表!$E$4:$E$303,150))</f>
        <v/>
      </c>
      <c r="E2559" s="26" t="str">
        <f>IF(INDEX(成本费用登记表!$Q$4:$Y$303,150,7)=0,"",INDEX(成本费用登记表!$Q$4:$Y$303,150,7))</f>
        <v/>
      </c>
      <c r="F2559" s="25" t="str">
        <f>IF($E2559="","",IFERROR(INDEX(科目表!$A$4:$A$81,MATCH($E2559,科目表!$B$4:$B$81,0)),""))</f>
        <v/>
      </c>
      <c r="G2559" s="26" t="str">
        <f>IF($E2559="","",IFERROR(INDEX(科目表!$E$4:$E$81,MATCH($E2559,科目表!$B$4:$B$81,0)),""))</f>
        <v/>
      </c>
      <c r="H2559" s="27" t="str">
        <f>IF($E2559="","",N(INDEX(成本费用登记表!$Q$4:$Y$303,150,8)))</f>
        <v/>
      </c>
      <c r="I2559" s="27" t="str">
        <f>IF($E2559="","",N(INDEX(成本费用登记表!$Q$4:$Y$303,150,9)))</f>
        <v/>
      </c>
      <c r="J2559" s="26" t="str">
        <f>IF($E2559="","",INDEX(成本费用登记表!$C$4:$C$303,150))</f>
        <v/>
      </c>
      <c r="K2559" s="26" t="str">
        <f>IF($E2559="","",INDEX(成本费用登记表!$D$4:$D$303,150))</f>
        <v/>
      </c>
      <c r="L2559" s="32" t="str">
        <f>IF($E2559="","",INDEX(成本费用登记表!$N$4:$N$303,150))</f>
        <v/>
      </c>
      <c r="M2559" s="32"/>
      <c r="N2559" s="26" t="str">
        <f t="shared" si="126"/>
        <v/>
      </c>
      <c r="O2559" s="26" t="str">
        <f t="shared" si="127"/>
        <v/>
      </c>
      <c r="P2559" s="10"/>
    </row>
    <row r="2560" ht="18" customHeight="1" spans="1:16">
      <c r="A2560" s="32" t="str">
        <f t="shared" si="124"/>
        <v/>
      </c>
      <c r="B2560" s="100" t="str">
        <f>IF($E2560="","",INDEX(成本费用登记表!$B$4:$B$303,151))</f>
        <v/>
      </c>
      <c r="C2560" s="26" t="str">
        <f t="shared" si="125"/>
        <v/>
      </c>
      <c r="D2560" s="32" t="str">
        <f>IF($E2560="","",INDEX(成本费用登记表!$E$4:$E$303,151))</f>
        <v/>
      </c>
      <c r="E2560" s="26" t="str">
        <f>IF(INDEX(成本费用登记表!$Q$4:$Y$303,151,1)=0,"",INDEX(成本费用登记表!$Q$4:$Y$303,151,1))</f>
        <v/>
      </c>
      <c r="F2560" s="25" t="str">
        <f>IF($E2560="","",IFERROR(INDEX(科目表!$A$4:$A$81,MATCH($E2560,科目表!$B$4:$B$81,0)),""))</f>
        <v/>
      </c>
      <c r="G2560" s="26" t="str">
        <f>IF($E2560="","",IFERROR(INDEX(科目表!$E$4:$E$81,MATCH($E2560,科目表!$B$4:$B$81,0)),""))</f>
        <v/>
      </c>
      <c r="H2560" s="27" t="str">
        <f>IF($E2560="","",N(INDEX(成本费用登记表!$Q$4:$Y$303,151,2)))</f>
        <v/>
      </c>
      <c r="I2560" s="27" t="str">
        <f>IF($E2560="","",N(INDEX(成本费用登记表!$Q$4:$Y$303,151,3)))</f>
        <v/>
      </c>
      <c r="J2560" s="26" t="str">
        <f>IF($E2560="","",INDEX(成本费用登记表!$C$4:$C$303,151))</f>
        <v/>
      </c>
      <c r="K2560" s="26" t="str">
        <f>IF($E2560="","",INDEX(成本费用登记表!$D$4:$D$303,151))</f>
        <v/>
      </c>
      <c r="L2560" s="32" t="str">
        <f>IF($E2560="","",INDEX(成本费用登记表!$N$4:$N$303,151))</f>
        <v/>
      </c>
      <c r="M2560" s="32"/>
      <c r="N2560" s="26" t="str">
        <f t="shared" si="126"/>
        <v/>
      </c>
      <c r="O2560" s="26" t="str">
        <f t="shared" si="127"/>
        <v/>
      </c>
      <c r="P2560" s="10"/>
    </row>
    <row r="2561" ht="18" customHeight="1" spans="1:16">
      <c r="A2561" s="32" t="str">
        <f t="shared" si="124"/>
        <v/>
      </c>
      <c r="B2561" s="100" t="str">
        <f>IF($E2561="","",INDEX(成本费用登记表!$B$4:$B$303,151))</f>
        <v/>
      </c>
      <c r="C2561" s="26" t="str">
        <f t="shared" si="125"/>
        <v/>
      </c>
      <c r="D2561" s="32" t="str">
        <f>IF($E2561="","",INDEX(成本费用登记表!$E$4:$E$303,151))</f>
        <v/>
      </c>
      <c r="E2561" s="26" t="str">
        <f>IF(INDEX(成本费用登记表!$Q$4:$Y$303,151,4)=0,"",INDEX(成本费用登记表!$Q$4:$Y$303,151,4))</f>
        <v/>
      </c>
      <c r="F2561" s="25" t="str">
        <f>IF($E2561="","",IFERROR(INDEX(科目表!$A$4:$A$81,MATCH($E2561,科目表!$B$4:$B$81,0)),""))</f>
        <v/>
      </c>
      <c r="G2561" s="26" t="str">
        <f>IF($E2561="","",IFERROR(INDEX(科目表!$E$4:$E$81,MATCH($E2561,科目表!$B$4:$B$81,0)),""))</f>
        <v/>
      </c>
      <c r="H2561" s="27" t="str">
        <f>IF($E2561="","",N(INDEX(成本费用登记表!$Q$4:$Y$303,151,5)))</f>
        <v/>
      </c>
      <c r="I2561" s="27" t="str">
        <f>IF($E2561="","",N(INDEX(成本费用登记表!$Q$4:$Y$303,151,6)))</f>
        <v/>
      </c>
      <c r="J2561" s="26" t="str">
        <f>IF($E2561="","",INDEX(成本费用登记表!$C$4:$C$303,151))</f>
        <v/>
      </c>
      <c r="K2561" s="26" t="str">
        <f>IF($E2561="","",INDEX(成本费用登记表!$D$4:$D$303,151))</f>
        <v/>
      </c>
      <c r="L2561" s="32" t="str">
        <f>IF($E2561="","",INDEX(成本费用登记表!$N$4:$N$303,151))</f>
        <v/>
      </c>
      <c r="M2561" s="32"/>
      <c r="N2561" s="26" t="str">
        <f t="shared" si="126"/>
        <v/>
      </c>
      <c r="O2561" s="26" t="str">
        <f t="shared" si="127"/>
        <v/>
      </c>
      <c r="P2561" s="10"/>
    </row>
    <row r="2562" ht="18" customHeight="1" spans="1:16">
      <c r="A2562" s="32" t="str">
        <f t="shared" si="124"/>
        <v/>
      </c>
      <c r="B2562" s="100" t="str">
        <f>IF($E2562="","",INDEX(成本费用登记表!$B$4:$B$303,151))</f>
        <v/>
      </c>
      <c r="C2562" s="26" t="str">
        <f t="shared" si="125"/>
        <v/>
      </c>
      <c r="D2562" s="32" t="str">
        <f>IF($E2562="","",INDEX(成本费用登记表!$E$4:$E$303,151))</f>
        <v/>
      </c>
      <c r="E2562" s="26" t="str">
        <f>IF(INDEX(成本费用登记表!$Q$4:$Y$303,151,7)=0,"",INDEX(成本费用登记表!$Q$4:$Y$303,151,7))</f>
        <v/>
      </c>
      <c r="F2562" s="25" t="str">
        <f>IF($E2562="","",IFERROR(INDEX(科目表!$A$4:$A$81,MATCH($E2562,科目表!$B$4:$B$81,0)),""))</f>
        <v/>
      </c>
      <c r="G2562" s="26" t="str">
        <f>IF($E2562="","",IFERROR(INDEX(科目表!$E$4:$E$81,MATCH($E2562,科目表!$B$4:$B$81,0)),""))</f>
        <v/>
      </c>
      <c r="H2562" s="27" t="str">
        <f>IF($E2562="","",N(INDEX(成本费用登记表!$Q$4:$Y$303,151,8)))</f>
        <v/>
      </c>
      <c r="I2562" s="27" t="str">
        <f>IF($E2562="","",N(INDEX(成本费用登记表!$Q$4:$Y$303,151,9)))</f>
        <v/>
      </c>
      <c r="J2562" s="26" t="str">
        <f>IF($E2562="","",INDEX(成本费用登记表!$C$4:$C$303,151))</f>
        <v/>
      </c>
      <c r="K2562" s="26" t="str">
        <f>IF($E2562="","",INDEX(成本费用登记表!$D$4:$D$303,151))</f>
        <v/>
      </c>
      <c r="L2562" s="32" t="str">
        <f>IF($E2562="","",INDEX(成本费用登记表!$N$4:$N$303,151))</f>
        <v/>
      </c>
      <c r="M2562" s="32"/>
      <c r="N2562" s="26" t="str">
        <f t="shared" si="126"/>
        <v/>
      </c>
      <c r="O2562" s="26" t="str">
        <f t="shared" si="127"/>
        <v/>
      </c>
      <c r="P2562" s="10"/>
    </row>
    <row r="2563" ht="18" customHeight="1" spans="1:16">
      <c r="A2563" s="32" t="str">
        <f t="shared" si="124"/>
        <v/>
      </c>
      <c r="B2563" s="100" t="str">
        <f>IF($E2563="","",INDEX(成本费用登记表!$B$4:$B$303,152))</f>
        <v/>
      </c>
      <c r="C2563" s="26" t="str">
        <f t="shared" si="125"/>
        <v/>
      </c>
      <c r="D2563" s="32" t="str">
        <f>IF($E2563="","",INDEX(成本费用登记表!$E$4:$E$303,152))</f>
        <v/>
      </c>
      <c r="E2563" s="26" t="str">
        <f>IF(INDEX(成本费用登记表!$Q$4:$Y$303,152,1)=0,"",INDEX(成本费用登记表!$Q$4:$Y$303,152,1))</f>
        <v/>
      </c>
      <c r="F2563" s="25" t="str">
        <f>IF($E2563="","",IFERROR(INDEX(科目表!$A$4:$A$81,MATCH($E2563,科目表!$B$4:$B$81,0)),""))</f>
        <v/>
      </c>
      <c r="G2563" s="26" t="str">
        <f>IF($E2563="","",IFERROR(INDEX(科目表!$E$4:$E$81,MATCH($E2563,科目表!$B$4:$B$81,0)),""))</f>
        <v/>
      </c>
      <c r="H2563" s="27" t="str">
        <f>IF($E2563="","",N(INDEX(成本费用登记表!$Q$4:$Y$303,152,2)))</f>
        <v/>
      </c>
      <c r="I2563" s="27" t="str">
        <f>IF($E2563="","",N(INDEX(成本费用登记表!$Q$4:$Y$303,152,3)))</f>
        <v/>
      </c>
      <c r="J2563" s="26" t="str">
        <f>IF($E2563="","",INDEX(成本费用登记表!$C$4:$C$303,152))</f>
        <v/>
      </c>
      <c r="K2563" s="26" t="str">
        <f>IF($E2563="","",INDEX(成本费用登记表!$D$4:$D$303,152))</f>
        <v/>
      </c>
      <c r="L2563" s="32" t="str">
        <f>IF($E2563="","",INDEX(成本费用登记表!$N$4:$N$303,152))</f>
        <v/>
      </c>
      <c r="M2563" s="32"/>
      <c r="N2563" s="26" t="str">
        <f t="shared" si="126"/>
        <v/>
      </c>
      <c r="O2563" s="26" t="str">
        <f t="shared" si="127"/>
        <v/>
      </c>
      <c r="P2563" s="10"/>
    </row>
    <row r="2564" ht="18" customHeight="1" spans="1:16">
      <c r="A2564" s="32" t="str">
        <f t="shared" ref="A2564:A2627" si="128">IF($E2564="","",ROW()-3)</f>
        <v/>
      </c>
      <c r="B2564" s="100" t="str">
        <f>IF($E2564="","",INDEX(成本费用登记表!$B$4:$B$303,152))</f>
        <v/>
      </c>
      <c r="C2564" s="26" t="str">
        <f t="shared" si="125"/>
        <v/>
      </c>
      <c r="D2564" s="32" t="str">
        <f>IF($E2564="","",INDEX(成本费用登记表!$E$4:$E$303,152))</f>
        <v/>
      </c>
      <c r="E2564" s="26" t="str">
        <f>IF(INDEX(成本费用登记表!$Q$4:$Y$303,152,4)=0,"",INDEX(成本费用登记表!$Q$4:$Y$303,152,4))</f>
        <v/>
      </c>
      <c r="F2564" s="25" t="str">
        <f>IF($E2564="","",IFERROR(INDEX(科目表!$A$4:$A$81,MATCH($E2564,科目表!$B$4:$B$81,0)),""))</f>
        <v/>
      </c>
      <c r="G2564" s="26" t="str">
        <f>IF($E2564="","",IFERROR(INDEX(科目表!$E$4:$E$81,MATCH($E2564,科目表!$B$4:$B$81,0)),""))</f>
        <v/>
      </c>
      <c r="H2564" s="27" t="str">
        <f>IF($E2564="","",N(INDEX(成本费用登记表!$Q$4:$Y$303,152,5)))</f>
        <v/>
      </c>
      <c r="I2564" s="27" t="str">
        <f>IF($E2564="","",N(INDEX(成本费用登记表!$Q$4:$Y$303,152,6)))</f>
        <v/>
      </c>
      <c r="J2564" s="26" t="str">
        <f>IF($E2564="","",INDEX(成本费用登记表!$C$4:$C$303,152))</f>
        <v/>
      </c>
      <c r="K2564" s="26" t="str">
        <f>IF($E2564="","",INDEX(成本费用登记表!$D$4:$D$303,152))</f>
        <v/>
      </c>
      <c r="L2564" s="32" t="str">
        <f>IF($E2564="","",INDEX(成本费用登记表!$N$4:$N$303,152))</f>
        <v/>
      </c>
      <c r="M2564" s="32"/>
      <c r="N2564" s="26" t="str">
        <f t="shared" si="126"/>
        <v/>
      </c>
      <c r="O2564" s="26" t="str">
        <f t="shared" si="127"/>
        <v/>
      </c>
      <c r="P2564" s="10"/>
    </row>
    <row r="2565" ht="18" customHeight="1" spans="1:16">
      <c r="A2565" s="32" t="str">
        <f t="shared" si="128"/>
        <v/>
      </c>
      <c r="B2565" s="100" t="str">
        <f>IF($E2565="","",INDEX(成本费用登记表!$B$4:$B$303,152))</f>
        <v/>
      </c>
      <c r="C2565" s="26" t="str">
        <f t="shared" si="125"/>
        <v/>
      </c>
      <c r="D2565" s="32" t="str">
        <f>IF($E2565="","",INDEX(成本费用登记表!$E$4:$E$303,152))</f>
        <v/>
      </c>
      <c r="E2565" s="26" t="str">
        <f>IF(INDEX(成本费用登记表!$Q$4:$Y$303,152,7)=0,"",INDEX(成本费用登记表!$Q$4:$Y$303,152,7))</f>
        <v/>
      </c>
      <c r="F2565" s="25" t="str">
        <f>IF($E2565="","",IFERROR(INDEX(科目表!$A$4:$A$81,MATCH($E2565,科目表!$B$4:$B$81,0)),""))</f>
        <v/>
      </c>
      <c r="G2565" s="26" t="str">
        <f>IF($E2565="","",IFERROR(INDEX(科目表!$E$4:$E$81,MATCH($E2565,科目表!$B$4:$B$81,0)),""))</f>
        <v/>
      </c>
      <c r="H2565" s="27" t="str">
        <f>IF($E2565="","",N(INDEX(成本费用登记表!$Q$4:$Y$303,152,8)))</f>
        <v/>
      </c>
      <c r="I2565" s="27" t="str">
        <f>IF($E2565="","",N(INDEX(成本费用登记表!$Q$4:$Y$303,152,9)))</f>
        <v/>
      </c>
      <c r="J2565" s="26" t="str">
        <f>IF($E2565="","",INDEX(成本费用登记表!$C$4:$C$303,152))</f>
        <v/>
      </c>
      <c r="K2565" s="26" t="str">
        <f>IF($E2565="","",INDEX(成本费用登记表!$D$4:$D$303,152))</f>
        <v/>
      </c>
      <c r="L2565" s="32" t="str">
        <f>IF($E2565="","",INDEX(成本费用登记表!$N$4:$N$303,152))</f>
        <v/>
      </c>
      <c r="M2565" s="32"/>
      <c r="N2565" s="26" t="str">
        <f t="shared" si="126"/>
        <v/>
      </c>
      <c r="O2565" s="26" t="str">
        <f t="shared" si="127"/>
        <v/>
      </c>
      <c r="P2565" s="10"/>
    </row>
    <row r="2566" ht="18" customHeight="1" spans="1:16">
      <c r="A2566" s="32" t="str">
        <f t="shared" si="128"/>
        <v/>
      </c>
      <c r="B2566" s="100" t="str">
        <f>IF($E2566="","",INDEX(成本费用登记表!$B$4:$B$303,153))</f>
        <v/>
      </c>
      <c r="C2566" s="26" t="str">
        <f t="shared" si="125"/>
        <v/>
      </c>
      <c r="D2566" s="32" t="str">
        <f>IF($E2566="","",INDEX(成本费用登记表!$E$4:$E$303,153))</f>
        <v/>
      </c>
      <c r="E2566" s="26" t="str">
        <f>IF(INDEX(成本费用登记表!$Q$4:$Y$303,153,1)=0,"",INDEX(成本费用登记表!$Q$4:$Y$303,153,1))</f>
        <v/>
      </c>
      <c r="F2566" s="25" t="str">
        <f>IF($E2566="","",IFERROR(INDEX(科目表!$A$4:$A$81,MATCH($E2566,科目表!$B$4:$B$81,0)),""))</f>
        <v/>
      </c>
      <c r="G2566" s="26" t="str">
        <f>IF($E2566="","",IFERROR(INDEX(科目表!$E$4:$E$81,MATCH($E2566,科目表!$B$4:$B$81,0)),""))</f>
        <v/>
      </c>
      <c r="H2566" s="27" t="str">
        <f>IF($E2566="","",N(INDEX(成本费用登记表!$Q$4:$Y$303,153,2)))</f>
        <v/>
      </c>
      <c r="I2566" s="27" t="str">
        <f>IF($E2566="","",N(INDEX(成本费用登记表!$Q$4:$Y$303,153,3)))</f>
        <v/>
      </c>
      <c r="J2566" s="26" t="str">
        <f>IF($E2566="","",INDEX(成本费用登记表!$C$4:$C$303,153))</f>
        <v/>
      </c>
      <c r="K2566" s="26" t="str">
        <f>IF($E2566="","",INDEX(成本费用登记表!$D$4:$D$303,153))</f>
        <v/>
      </c>
      <c r="L2566" s="32" t="str">
        <f>IF($E2566="","",INDEX(成本费用登记表!$N$4:$N$303,153))</f>
        <v/>
      </c>
      <c r="M2566" s="32"/>
      <c r="N2566" s="26" t="str">
        <f t="shared" si="126"/>
        <v/>
      </c>
      <c r="O2566" s="26" t="str">
        <f t="shared" si="127"/>
        <v/>
      </c>
      <c r="P2566" s="10"/>
    </row>
    <row r="2567" ht="18" customHeight="1" spans="1:16">
      <c r="A2567" s="32" t="str">
        <f t="shared" si="128"/>
        <v/>
      </c>
      <c r="B2567" s="100" t="str">
        <f>IF($E2567="","",INDEX(成本费用登记表!$B$4:$B$303,153))</f>
        <v/>
      </c>
      <c r="C2567" s="26" t="str">
        <f t="shared" si="125"/>
        <v/>
      </c>
      <c r="D2567" s="32" t="str">
        <f>IF($E2567="","",INDEX(成本费用登记表!$E$4:$E$303,153))</f>
        <v/>
      </c>
      <c r="E2567" s="26" t="str">
        <f>IF(INDEX(成本费用登记表!$Q$4:$Y$303,153,4)=0,"",INDEX(成本费用登记表!$Q$4:$Y$303,153,4))</f>
        <v/>
      </c>
      <c r="F2567" s="25" t="str">
        <f>IF($E2567="","",IFERROR(INDEX(科目表!$A$4:$A$81,MATCH($E2567,科目表!$B$4:$B$81,0)),""))</f>
        <v/>
      </c>
      <c r="G2567" s="26" t="str">
        <f>IF($E2567="","",IFERROR(INDEX(科目表!$E$4:$E$81,MATCH($E2567,科目表!$B$4:$B$81,0)),""))</f>
        <v/>
      </c>
      <c r="H2567" s="27" t="str">
        <f>IF($E2567="","",N(INDEX(成本费用登记表!$Q$4:$Y$303,153,5)))</f>
        <v/>
      </c>
      <c r="I2567" s="27" t="str">
        <f>IF($E2567="","",N(INDEX(成本费用登记表!$Q$4:$Y$303,153,6)))</f>
        <v/>
      </c>
      <c r="J2567" s="26" t="str">
        <f>IF($E2567="","",INDEX(成本费用登记表!$C$4:$C$303,153))</f>
        <v/>
      </c>
      <c r="K2567" s="26" t="str">
        <f>IF($E2567="","",INDEX(成本费用登记表!$D$4:$D$303,153))</f>
        <v/>
      </c>
      <c r="L2567" s="32" t="str">
        <f>IF($E2567="","",INDEX(成本费用登记表!$N$4:$N$303,153))</f>
        <v/>
      </c>
      <c r="M2567" s="32"/>
      <c r="N2567" s="26" t="str">
        <f t="shared" si="126"/>
        <v/>
      </c>
      <c r="O2567" s="26" t="str">
        <f t="shared" si="127"/>
        <v/>
      </c>
      <c r="P2567" s="10"/>
    </row>
    <row r="2568" ht="18" customHeight="1" spans="1:16">
      <c r="A2568" s="32" t="str">
        <f t="shared" si="128"/>
        <v/>
      </c>
      <c r="B2568" s="100" t="str">
        <f>IF($E2568="","",INDEX(成本费用登记表!$B$4:$B$303,153))</f>
        <v/>
      </c>
      <c r="C2568" s="26" t="str">
        <f t="shared" si="125"/>
        <v/>
      </c>
      <c r="D2568" s="32" t="str">
        <f>IF($E2568="","",INDEX(成本费用登记表!$E$4:$E$303,153))</f>
        <v/>
      </c>
      <c r="E2568" s="26" t="str">
        <f>IF(INDEX(成本费用登记表!$Q$4:$Y$303,153,7)=0,"",INDEX(成本费用登记表!$Q$4:$Y$303,153,7))</f>
        <v/>
      </c>
      <c r="F2568" s="25" t="str">
        <f>IF($E2568="","",IFERROR(INDEX(科目表!$A$4:$A$81,MATCH($E2568,科目表!$B$4:$B$81,0)),""))</f>
        <v/>
      </c>
      <c r="G2568" s="26" t="str">
        <f>IF($E2568="","",IFERROR(INDEX(科目表!$E$4:$E$81,MATCH($E2568,科目表!$B$4:$B$81,0)),""))</f>
        <v/>
      </c>
      <c r="H2568" s="27" t="str">
        <f>IF($E2568="","",N(INDEX(成本费用登记表!$Q$4:$Y$303,153,8)))</f>
        <v/>
      </c>
      <c r="I2568" s="27" t="str">
        <f>IF($E2568="","",N(INDEX(成本费用登记表!$Q$4:$Y$303,153,9)))</f>
        <v/>
      </c>
      <c r="J2568" s="26" t="str">
        <f>IF($E2568="","",INDEX(成本费用登记表!$C$4:$C$303,153))</f>
        <v/>
      </c>
      <c r="K2568" s="26" t="str">
        <f>IF($E2568="","",INDEX(成本费用登记表!$D$4:$D$303,153))</f>
        <v/>
      </c>
      <c r="L2568" s="32" t="str">
        <f>IF($E2568="","",INDEX(成本费用登记表!$N$4:$N$303,153))</f>
        <v/>
      </c>
      <c r="M2568" s="32"/>
      <c r="N2568" s="26" t="str">
        <f t="shared" si="126"/>
        <v/>
      </c>
      <c r="O2568" s="26" t="str">
        <f t="shared" si="127"/>
        <v/>
      </c>
      <c r="P2568" s="10"/>
    </row>
    <row r="2569" ht="18" customHeight="1" spans="1:16">
      <c r="A2569" s="32" t="str">
        <f t="shared" si="128"/>
        <v/>
      </c>
      <c r="B2569" s="100" t="str">
        <f>IF($E2569="","",INDEX(成本费用登记表!$B$4:$B$303,154))</f>
        <v/>
      </c>
      <c r="C2569" s="26" t="str">
        <f t="shared" si="125"/>
        <v/>
      </c>
      <c r="D2569" s="32" t="str">
        <f>IF($E2569="","",INDEX(成本费用登记表!$E$4:$E$303,154))</f>
        <v/>
      </c>
      <c r="E2569" s="26" t="str">
        <f>IF(INDEX(成本费用登记表!$Q$4:$Y$303,154,1)=0,"",INDEX(成本费用登记表!$Q$4:$Y$303,154,1))</f>
        <v/>
      </c>
      <c r="F2569" s="25" t="str">
        <f>IF($E2569="","",IFERROR(INDEX(科目表!$A$4:$A$81,MATCH($E2569,科目表!$B$4:$B$81,0)),""))</f>
        <v/>
      </c>
      <c r="G2569" s="26" t="str">
        <f>IF($E2569="","",IFERROR(INDEX(科目表!$E$4:$E$81,MATCH($E2569,科目表!$B$4:$B$81,0)),""))</f>
        <v/>
      </c>
      <c r="H2569" s="27" t="str">
        <f>IF($E2569="","",N(INDEX(成本费用登记表!$Q$4:$Y$303,154,2)))</f>
        <v/>
      </c>
      <c r="I2569" s="27" t="str">
        <f>IF($E2569="","",N(INDEX(成本费用登记表!$Q$4:$Y$303,154,3)))</f>
        <v/>
      </c>
      <c r="J2569" s="26" t="str">
        <f>IF($E2569="","",INDEX(成本费用登记表!$C$4:$C$303,154))</f>
        <v/>
      </c>
      <c r="K2569" s="26" t="str">
        <f>IF($E2569="","",INDEX(成本费用登记表!$D$4:$D$303,154))</f>
        <v/>
      </c>
      <c r="L2569" s="32" t="str">
        <f>IF($E2569="","",INDEX(成本费用登记表!$N$4:$N$303,154))</f>
        <v/>
      </c>
      <c r="M2569" s="32"/>
      <c r="N2569" s="26" t="str">
        <f t="shared" si="126"/>
        <v/>
      </c>
      <c r="O2569" s="26" t="str">
        <f t="shared" si="127"/>
        <v/>
      </c>
      <c r="P2569" s="10"/>
    </row>
    <row r="2570" ht="18" customHeight="1" spans="1:16">
      <c r="A2570" s="32" t="str">
        <f t="shared" si="128"/>
        <v/>
      </c>
      <c r="B2570" s="100" t="str">
        <f>IF($E2570="","",INDEX(成本费用登记表!$B$4:$B$303,154))</f>
        <v/>
      </c>
      <c r="C2570" s="26" t="str">
        <f t="shared" si="125"/>
        <v/>
      </c>
      <c r="D2570" s="32" t="str">
        <f>IF($E2570="","",INDEX(成本费用登记表!$E$4:$E$303,154))</f>
        <v/>
      </c>
      <c r="E2570" s="26" t="str">
        <f>IF(INDEX(成本费用登记表!$Q$4:$Y$303,154,4)=0,"",INDEX(成本费用登记表!$Q$4:$Y$303,154,4))</f>
        <v/>
      </c>
      <c r="F2570" s="25" t="str">
        <f>IF($E2570="","",IFERROR(INDEX(科目表!$A$4:$A$81,MATCH($E2570,科目表!$B$4:$B$81,0)),""))</f>
        <v/>
      </c>
      <c r="G2570" s="26" t="str">
        <f>IF($E2570="","",IFERROR(INDEX(科目表!$E$4:$E$81,MATCH($E2570,科目表!$B$4:$B$81,0)),""))</f>
        <v/>
      </c>
      <c r="H2570" s="27" t="str">
        <f>IF($E2570="","",N(INDEX(成本费用登记表!$Q$4:$Y$303,154,5)))</f>
        <v/>
      </c>
      <c r="I2570" s="27" t="str">
        <f>IF($E2570="","",N(INDEX(成本费用登记表!$Q$4:$Y$303,154,6)))</f>
        <v/>
      </c>
      <c r="J2570" s="26" t="str">
        <f>IF($E2570="","",INDEX(成本费用登记表!$C$4:$C$303,154))</f>
        <v/>
      </c>
      <c r="K2570" s="26" t="str">
        <f>IF($E2570="","",INDEX(成本费用登记表!$D$4:$D$303,154))</f>
        <v/>
      </c>
      <c r="L2570" s="32" t="str">
        <f>IF($E2570="","",INDEX(成本费用登记表!$N$4:$N$303,154))</f>
        <v/>
      </c>
      <c r="M2570" s="32"/>
      <c r="N2570" s="26" t="str">
        <f t="shared" si="126"/>
        <v/>
      </c>
      <c r="O2570" s="26" t="str">
        <f t="shared" si="127"/>
        <v/>
      </c>
      <c r="P2570" s="10"/>
    </row>
    <row r="2571" ht="18" customHeight="1" spans="1:16">
      <c r="A2571" s="32" t="str">
        <f t="shared" si="128"/>
        <v/>
      </c>
      <c r="B2571" s="100" t="str">
        <f>IF($E2571="","",INDEX(成本费用登记表!$B$4:$B$303,154))</f>
        <v/>
      </c>
      <c r="C2571" s="26" t="str">
        <f t="shared" si="125"/>
        <v/>
      </c>
      <c r="D2571" s="32" t="str">
        <f>IF($E2571="","",INDEX(成本费用登记表!$E$4:$E$303,154))</f>
        <v/>
      </c>
      <c r="E2571" s="26" t="str">
        <f>IF(INDEX(成本费用登记表!$Q$4:$Y$303,154,7)=0,"",INDEX(成本费用登记表!$Q$4:$Y$303,154,7))</f>
        <v/>
      </c>
      <c r="F2571" s="25" t="str">
        <f>IF($E2571="","",IFERROR(INDEX(科目表!$A$4:$A$81,MATCH($E2571,科目表!$B$4:$B$81,0)),""))</f>
        <v/>
      </c>
      <c r="G2571" s="26" t="str">
        <f>IF($E2571="","",IFERROR(INDEX(科目表!$E$4:$E$81,MATCH($E2571,科目表!$B$4:$B$81,0)),""))</f>
        <v/>
      </c>
      <c r="H2571" s="27" t="str">
        <f>IF($E2571="","",N(INDEX(成本费用登记表!$Q$4:$Y$303,154,8)))</f>
        <v/>
      </c>
      <c r="I2571" s="27" t="str">
        <f>IF($E2571="","",N(INDEX(成本费用登记表!$Q$4:$Y$303,154,9)))</f>
        <v/>
      </c>
      <c r="J2571" s="26" t="str">
        <f>IF($E2571="","",INDEX(成本费用登记表!$C$4:$C$303,154))</f>
        <v/>
      </c>
      <c r="K2571" s="26" t="str">
        <f>IF($E2571="","",INDEX(成本费用登记表!$D$4:$D$303,154))</f>
        <v/>
      </c>
      <c r="L2571" s="32" t="str">
        <f>IF($E2571="","",INDEX(成本费用登记表!$N$4:$N$303,154))</f>
        <v/>
      </c>
      <c r="M2571" s="32"/>
      <c r="N2571" s="26" t="str">
        <f t="shared" si="126"/>
        <v/>
      </c>
      <c r="O2571" s="26" t="str">
        <f t="shared" si="127"/>
        <v/>
      </c>
      <c r="P2571" s="10"/>
    </row>
    <row r="2572" ht="18" customHeight="1" spans="1:16">
      <c r="A2572" s="32" t="str">
        <f t="shared" si="128"/>
        <v/>
      </c>
      <c r="B2572" s="100" t="str">
        <f>IF($E2572="","",INDEX(成本费用登记表!$B$4:$B$303,155))</f>
        <v/>
      </c>
      <c r="C2572" s="26" t="str">
        <f t="shared" si="125"/>
        <v/>
      </c>
      <c r="D2572" s="32" t="str">
        <f>IF($E2572="","",INDEX(成本费用登记表!$E$4:$E$303,155))</f>
        <v/>
      </c>
      <c r="E2572" s="26" t="str">
        <f>IF(INDEX(成本费用登记表!$Q$4:$Y$303,155,1)=0,"",INDEX(成本费用登记表!$Q$4:$Y$303,155,1))</f>
        <v/>
      </c>
      <c r="F2572" s="25" t="str">
        <f>IF($E2572="","",IFERROR(INDEX(科目表!$A$4:$A$81,MATCH($E2572,科目表!$B$4:$B$81,0)),""))</f>
        <v/>
      </c>
      <c r="G2572" s="26" t="str">
        <f>IF($E2572="","",IFERROR(INDEX(科目表!$E$4:$E$81,MATCH($E2572,科目表!$B$4:$B$81,0)),""))</f>
        <v/>
      </c>
      <c r="H2572" s="27" t="str">
        <f>IF($E2572="","",N(INDEX(成本费用登记表!$Q$4:$Y$303,155,2)))</f>
        <v/>
      </c>
      <c r="I2572" s="27" t="str">
        <f>IF($E2572="","",N(INDEX(成本费用登记表!$Q$4:$Y$303,155,3)))</f>
        <v/>
      </c>
      <c r="J2572" s="26" t="str">
        <f>IF($E2572="","",INDEX(成本费用登记表!$C$4:$C$303,155))</f>
        <v/>
      </c>
      <c r="K2572" s="26" t="str">
        <f>IF($E2572="","",INDEX(成本费用登记表!$D$4:$D$303,155))</f>
        <v/>
      </c>
      <c r="L2572" s="32" t="str">
        <f>IF($E2572="","",INDEX(成本费用登记表!$N$4:$N$303,155))</f>
        <v/>
      </c>
      <c r="M2572" s="32"/>
      <c r="N2572" s="26" t="str">
        <f t="shared" si="126"/>
        <v/>
      </c>
      <c r="O2572" s="26" t="str">
        <f t="shared" si="127"/>
        <v/>
      </c>
      <c r="P2572" s="10"/>
    </row>
    <row r="2573" ht="18" customHeight="1" spans="1:16">
      <c r="A2573" s="32" t="str">
        <f t="shared" si="128"/>
        <v/>
      </c>
      <c r="B2573" s="100" t="str">
        <f>IF($E2573="","",INDEX(成本费用登记表!$B$4:$B$303,155))</f>
        <v/>
      </c>
      <c r="C2573" s="26" t="str">
        <f t="shared" si="125"/>
        <v/>
      </c>
      <c r="D2573" s="32" t="str">
        <f>IF($E2573="","",INDEX(成本费用登记表!$E$4:$E$303,155))</f>
        <v/>
      </c>
      <c r="E2573" s="26" t="str">
        <f>IF(INDEX(成本费用登记表!$Q$4:$Y$303,155,4)=0,"",INDEX(成本费用登记表!$Q$4:$Y$303,155,4))</f>
        <v/>
      </c>
      <c r="F2573" s="25" t="str">
        <f>IF($E2573="","",IFERROR(INDEX(科目表!$A$4:$A$81,MATCH($E2573,科目表!$B$4:$B$81,0)),""))</f>
        <v/>
      </c>
      <c r="G2573" s="26" t="str">
        <f>IF($E2573="","",IFERROR(INDEX(科目表!$E$4:$E$81,MATCH($E2573,科目表!$B$4:$B$81,0)),""))</f>
        <v/>
      </c>
      <c r="H2573" s="27" t="str">
        <f>IF($E2573="","",N(INDEX(成本费用登记表!$Q$4:$Y$303,155,5)))</f>
        <v/>
      </c>
      <c r="I2573" s="27" t="str">
        <f>IF($E2573="","",N(INDEX(成本费用登记表!$Q$4:$Y$303,155,6)))</f>
        <v/>
      </c>
      <c r="J2573" s="26" t="str">
        <f>IF($E2573="","",INDEX(成本费用登记表!$C$4:$C$303,155))</f>
        <v/>
      </c>
      <c r="K2573" s="26" t="str">
        <f>IF($E2573="","",INDEX(成本费用登记表!$D$4:$D$303,155))</f>
        <v/>
      </c>
      <c r="L2573" s="32" t="str">
        <f>IF($E2573="","",INDEX(成本费用登记表!$N$4:$N$303,155))</f>
        <v/>
      </c>
      <c r="M2573" s="32"/>
      <c r="N2573" s="26" t="str">
        <f t="shared" si="126"/>
        <v/>
      </c>
      <c r="O2573" s="26" t="str">
        <f t="shared" si="127"/>
        <v/>
      </c>
      <c r="P2573" s="10"/>
    </row>
    <row r="2574" ht="18" customHeight="1" spans="1:16">
      <c r="A2574" s="32" t="str">
        <f t="shared" si="128"/>
        <v/>
      </c>
      <c r="B2574" s="100" t="str">
        <f>IF($E2574="","",INDEX(成本费用登记表!$B$4:$B$303,155))</f>
        <v/>
      </c>
      <c r="C2574" s="26" t="str">
        <f t="shared" si="125"/>
        <v/>
      </c>
      <c r="D2574" s="32" t="str">
        <f>IF($E2574="","",INDEX(成本费用登记表!$E$4:$E$303,155))</f>
        <v/>
      </c>
      <c r="E2574" s="26" t="str">
        <f>IF(INDEX(成本费用登记表!$Q$4:$Y$303,155,7)=0,"",INDEX(成本费用登记表!$Q$4:$Y$303,155,7))</f>
        <v/>
      </c>
      <c r="F2574" s="25" t="str">
        <f>IF($E2574="","",IFERROR(INDEX(科目表!$A$4:$A$81,MATCH($E2574,科目表!$B$4:$B$81,0)),""))</f>
        <v/>
      </c>
      <c r="G2574" s="26" t="str">
        <f>IF($E2574="","",IFERROR(INDEX(科目表!$E$4:$E$81,MATCH($E2574,科目表!$B$4:$B$81,0)),""))</f>
        <v/>
      </c>
      <c r="H2574" s="27" t="str">
        <f>IF($E2574="","",N(INDEX(成本费用登记表!$Q$4:$Y$303,155,8)))</f>
        <v/>
      </c>
      <c r="I2574" s="27" t="str">
        <f>IF($E2574="","",N(INDEX(成本费用登记表!$Q$4:$Y$303,155,9)))</f>
        <v/>
      </c>
      <c r="J2574" s="26" t="str">
        <f>IF($E2574="","",INDEX(成本费用登记表!$C$4:$C$303,155))</f>
        <v/>
      </c>
      <c r="K2574" s="26" t="str">
        <f>IF($E2574="","",INDEX(成本费用登记表!$D$4:$D$303,155))</f>
        <v/>
      </c>
      <c r="L2574" s="32" t="str">
        <f>IF($E2574="","",INDEX(成本费用登记表!$N$4:$N$303,155))</f>
        <v/>
      </c>
      <c r="M2574" s="32"/>
      <c r="N2574" s="26" t="str">
        <f t="shared" si="126"/>
        <v/>
      </c>
      <c r="O2574" s="26" t="str">
        <f t="shared" si="127"/>
        <v/>
      </c>
      <c r="P2574" s="10"/>
    </row>
    <row r="2575" ht="18" customHeight="1" spans="1:16">
      <c r="A2575" s="32" t="str">
        <f t="shared" si="128"/>
        <v/>
      </c>
      <c r="B2575" s="100" t="str">
        <f>IF($E2575="","",INDEX(成本费用登记表!$B$4:$B$303,156))</f>
        <v/>
      </c>
      <c r="C2575" s="26" t="str">
        <f t="shared" si="125"/>
        <v/>
      </c>
      <c r="D2575" s="32" t="str">
        <f>IF($E2575="","",INDEX(成本费用登记表!$E$4:$E$303,156))</f>
        <v/>
      </c>
      <c r="E2575" s="26" t="str">
        <f>IF(INDEX(成本费用登记表!$Q$4:$Y$303,156,1)=0,"",INDEX(成本费用登记表!$Q$4:$Y$303,156,1))</f>
        <v/>
      </c>
      <c r="F2575" s="25" t="str">
        <f>IF($E2575="","",IFERROR(INDEX(科目表!$A$4:$A$81,MATCH($E2575,科目表!$B$4:$B$81,0)),""))</f>
        <v/>
      </c>
      <c r="G2575" s="26" t="str">
        <f>IF($E2575="","",IFERROR(INDEX(科目表!$E$4:$E$81,MATCH($E2575,科目表!$B$4:$B$81,0)),""))</f>
        <v/>
      </c>
      <c r="H2575" s="27" t="str">
        <f>IF($E2575="","",N(INDEX(成本费用登记表!$Q$4:$Y$303,156,2)))</f>
        <v/>
      </c>
      <c r="I2575" s="27" t="str">
        <f>IF($E2575="","",N(INDEX(成本费用登记表!$Q$4:$Y$303,156,3)))</f>
        <v/>
      </c>
      <c r="J2575" s="26" t="str">
        <f>IF($E2575="","",INDEX(成本费用登记表!$C$4:$C$303,156))</f>
        <v/>
      </c>
      <c r="K2575" s="26" t="str">
        <f>IF($E2575="","",INDEX(成本费用登记表!$D$4:$D$303,156))</f>
        <v/>
      </c>
      <c r="L2575" s="32" t="str">
        <f>IF($E2575="","",INDEX(成本费用登记表!$N$4:$N$303,156))</f>
        <v/>
      </c>
      <c r="M2575" s="32"/>
      <c r="N2575" s="26" t="str">
        <f t="shared" si="126"/>
        <v/>
      </c>
      <c r="O2575" s="26" t="str">
        <f t="shared" si="127"/>
        <v/>
      </c>
      <c r="P2575" s="10"/>
    </row>
    <row r="2576" ht="18" customHeight="1" spans="1:16">
      <c r="A2576" s="32" t="str">
        <f t="shared" si="128"/>
        <v/>
      </c>
      <c r="B2576" s="100" t="str">
        <f>IF($E2576="","",INDEX(成本费用登记表!$B$4:$B$303,156))</f>
        <v/>
      </c>
      <c r="C2576" s="26" t="str">
        <f t="shared" si="125"/>
        <v/>
      </c>
      <c r="D2576" s="32" t="str">
        <f>IF($E2576="","",INDEX(成本费用登记表!$E$4:$E$303,156))</f>
        <v/>
      </c>
      <c r="E2576" s="26" t="str">
        <f>IF(INDEX(成本费用登记表!$Q$4:$Y$303,156,4)=0,"",INDEX(成本费用登记表!$Q$4:$Y$303,156,4))</f>
        <v/>
      </c>
      <c r="F2576" s="25" t="str">
        <f>IF($E2576="","",IFERROR(INDEX(科目表!$A$4:$A$81,MATCH($E2576,科目表!$B$4:$B$81,0)),""))</f>
        <v/>
      </c>
      <c r="G2576" s="26" t="str">
        <f>IF($E2576="","",IFERROR(INDEX(科目表!$E$4:$E$81,MATCH($E2576,科目表!$B$4:$B$81,0)),""))</f>
        <v/>
      </c>
      <c r="H2576" s="27" t="str">
        <f>IF($E2576="","",N(INDEX(成本费用登记表!$Q$4:$Y$303,156,5)))</f>
        <v/>
      </c>
      <c r="I2576" s="27" t="str">
        <f>IF($E2576="","",N(INDEX(成本费用登记表!$Q$4:$Y$303,156,6)))</f>
        <v/>
      </c>
      <c r="J2576" s="26" t="str">
        <f>IF($E2576="","",INDEX(成本费用登记表!$C$4:$C$303,156))</f>
        <v/>
      </c>
      <c r="K2576" s="26" t="str">
        <f>IF($E2576="","",INDEX(成本费用登记表!$D$4:$D$303,156))</f>
        <v/>
      </c>
      <c r="L2576" s="32" t="str">
        <f>IF($E2576="","",INDEX(成本费用登记表!$N$4:$N$303,156))</f>
        <v/>
      </c>
      <c r="M2576" s="32"/>
      <c r="N2576" s="26" t="str">
        <f t="shared" si="126"/>
        <v/>
      </c>
      <c r="O2576" s="26" t="str">
        <f t="shared" si="127"/>
        <v/>
      </c>
      <c r="P2576" s="10"/>
    </row>
    <row r="2577" ht="18" customHeight="1" spans="1:16">
      <c r="A2577" s="32" t="str">
        <f t="shared" si="128"/>
        <v/>
      </c>
      <c r="B2577" s="100" t="str">
        <f>IF($E2577="","",INDEX(成本费用登记表!$B$4:$B$303,156))</f>
        <v/>
      </c>
      <c r="C2577" s="26" t="str">
        <f t="shared" si="125"/>
        <v/>
      </c>
      <c r="D2577" s="32" t="str">
        <f>IF($E2577="","",INDEX(成本费用登记表!$E$4:$E$303,156))</f>
        <v/>
      </c>
      <c r="E2577" s="26" t="str">
        <f>IF(INDEX(成本费用登记表!$Q$4:$Y$303,156,7)=0,"",INDEX(成本费用登记表!$Q$4:$Y$303,156,7))</f>
        <v/>
      </c>
      <c r="F2577" s="25" t="str">
        <f>IF($E2577="","",IFERROR(INDEX(科目表!$A$4:$A$81,MATCH($E2577,科目表!$B$4:$B$81,0)),""))</f>
        <v/>
      </c>
      <c r="G2577" s="26" t="str">
        <f>IF($E2577="","",IFERROR(INDEX(科目表!$E$4:$E$81,MATCH($E2577,科目表!$B$4:$B$81,0)),""))</f>
        <v/>
      </c>
      <c r="H2577" s="27" t="str">
        <f>IF($E2577="","",N(INDEX(成本费用登记表!$Q$4:$Y$303,156,8)))</f>
        <v/>
      </c>
      <c r="I2577" s="27" t="str">
        <f>IF($E2577="","",N(INDEX(成本费用登记表!$Q$4:$Y$303,156,9)))</f>
        <v/>
      </c>
      <c r="J2577" s="26" t="str">
        <f>IF($E2577="","",INDEX(成本费用登记表!$C$4:$C$303,156))</f>
        <v/>
      </c>
      <c r="K2577" s="26" t="str">
        <f>IF($E2577="","",INDEX(成本费用登记表!$D$4:$D$303,156))</f>
        <v/>
      </c>
      <c r="L2577" s="32" t="str">
        <f>IF($E2577="","",INDEX(成本费用登记表!$N$4:$N$303,156))</f>
        <v/>
      </c>
      <c r="M2577" s="32"/>
      <c r="N2577" s="26" t="str">
        <f t="shared" si="126"/>
        <v/>
      </c>
      <c r="O2577" s="26" t="str">
        <f t="shared" si="127"/>
        <v/>
      </c>
      <c r="P2577" s="10"/>
    </row>
    <row r="2578" ht="18" customHeight="1" spans="1:16">
      <c r="A2578" s="32" t="str">
        <f t="shared" si="128"/>
        <v/>
      </c>
      <c r="B2578" s="100" t="str">
        <f>IF($E2578="","",INDEX(成本费用登记表!$B$4:$B$303,157))</f>
        <v/>
      </c>
      <c r="C2578" s="26" t="str">
        <f t="shared" si="125"/>
        <v/>
      </c>
      <c r="D2578" s="32" t="str">
        <f>IF($E2578="","",INDEX(成本费用登记表!$E$4:$E$303,157))</f>
        <v/>
      </c>
      <c r="E2578" s="26" t="str">
        <f>IF(INDEX(成本费用登记表!$Q$4:$Y$303,157,1)=0,"",INDEX(成本费用登记表!$Q$4:$Y$303,157,1))</f>
        <v/>
      </c>
      <c r="F2578" s="25" t="str">
        <f>IF($E2578="","",IFERROR(INDEX(科目表!$A$4:$A$81,MATCH($E2578,科目表!$B$4:$B$81,0)),""))</f>
        <v/>
      </c>
      <c r="G2578" s="26" t="str">
        <f>IF($E2578="","",IFERROR(INDEX(科目表!$E$4:$E$81,MATCH($E2578,科目表!$B$4:$B$81,0)),""))</f>
        <v/>
      </c>
      <c r="H2578" s="27" t="str">
        <f>IF($E2578="","",N(INDEX(成本费用登记表!$Q$4:$Y$303,157,2)))</f>
        <v/>
      </c>
      <c r="I2578" s="27" t="str">
        <f>IF($E2578="","",N(INDEX(成本费用登记表!$Q$4:$Y$303,157,3)))</f>
        <v/>
      </c>
      <c r="J2578" s="26" t="str">
        <f>IF($E2578="","",INDEX(成本费用登记表!$C$4:$C$303,157))</f>
        <v/>
      </c>
      <c r="K2578" s="26" t="str">
        <f>IF($E2578="","",INDEX(成本费用登记表!$D$4:$D$303,157))</f>
        <v/>
      </c>
      <c r="L2578" s="32" t="str">
        <f>IF($E2578="","",INDEX(成本费用登记表!$N$4:$N$303,157))</f>
        <v/>
      </c>
      <c r="M2578" s="32"/>
      <c r="N2578" s="26" t="str">
        <f t="shared" si="126"/>
        <v/>
      </c>
      <c r="O2578" s="26" t="str">
        <f t="shared" si="127"/>
        <v/>
      </c>
      <c r="P2578" s="10"/>
    </row>
    <row r="2579" ht="18" customHeight="1" spans="1:16">
      <c r="A2579" s="32" t="str">
        <f t="shared" si="128"/>
        <v/>
      </c>
      <c r="B2579" s="100" t="str">
        <f>IF($E2579="","",INDEX(成本费用登记表!$B$4:$B$303,157))</f>
        <v/>
      </c>
      <c r="C2579" s="26" t="str">
        <f t="shared" si="125"/>
        <v/>
      </c>
      <c r="D2579" s="32" t="str">
        <f>IF($E2579="","",INDEX(成本费用登记表!$E$4:$E$303,157))</f>
        <v/>
      </c>
      <c r="E2579" s="26" t="str">
        <f>IF(INDEX(成本费用登记表!$Q$4:$Y$303,157,4)=0,"",INDEX(成本费用登记表!$Q$4:$Y$303,157,4))</f>
        <v/>
      </c>
      <c r="F2579" s="25" t="str">
        <f>IF($E2579="","",IFERROR(INDEX(科目表!$A$4:$A$81,MATCH($E2579,科目表!$B$4:$B$81,0)),""))</f>
        <v/>
      </c>
      <c r="G2579" s="26" t="str">
        <f>IF($E2579="","",IFERROR(INDEX(科目表!$E$4:$E$81,MATCH($E2579,科目表!$B$4:$B$81,0)),""))</f>
        <v/>
      </c>
      <c r="H2579" s="27" t="str">
        <f>IF($E2579="","",N(INDEX(成本费用登记表!$Q$4:$Y$303,157,5)))</f>
        <v/>
      </c>
      <c r="I2579" s="27" t="str">
        <f>IF($E2579="","",N(INDEX(成本费用登记表!$Q$4:$Y$303,157,6)))</f>
        <v/>
      </c>
      <c r="J2579" s="26" t="str">
        <f>IF($E2579="","",INDEX(成本费用登记表!$C$4:$C$303,157))</f>
        <v/>
      </c>
      <c r="K2579" s="26" t="str">
        <f>IF($E2579="","",INDEX(成本费用登记表!$D$4:$D$303,157))</f>
        <v/>
      </c>
      <c r="L2579" s="32" t="str">
        <f>IF($E2579="","",INDEX(成本费用登记表!$N$4:$N$303,157))</f>
        <v/>
      </c>
      <c r="M2579" s="32"/>
      <c r="N2579" s="26" t="str">
        <f t="shared" si="126"/>
        <v/>
      </c>
      <c r="O2579" s="26" t="str">
        <f t="shared" si="127"/>
        <v/>
      </c>
      <c r="P2579" s="10"/>
    </row>
    <row r="2580" ht="18" customHeight="1" spans="1:16">
      <c r="A2580" s="32" t="str">
        <f t="shared" si="128"/>
        <v/>
      </c>
      <c r="B2580" s="100" t="str">
        <f>IF($E2580="","",INDEX(成本费用登记表!$B$4:$B$303,157))</f>
        <v/>
      </c>
      <c r="C2580" s="26" t="str">
        <f t="shared" si="125"/>
        <v/>
      </c>
      <c r="D2580" s="32" t="str">
        <f>IF($E2580="","",INDEX(成本费用登记表!$E$4:$E$303,157))</f>
        <v/>
      </c>
      <c r="E2580" s="26" t="str">
        <f>IF(INDEX(成本费用登记表!$Q$4:$Y$303,157,7)=0,"",INDEX(成本费用登记表!$Q$4:$Y$303,157,7))</f>
        <v/>
      </c>
      <c r="F2580" s="25" t="str">
        <f>IF($E2580="","",IFERROR(INDEX(科目表!$A$4:$A$81,MATCH($E2580,科目表!$B$4:$B$81,0)),""))</f>
        <v/>
      </c>
      <c r="G2580" s="26" t="str">
        <f>IF($E2580="","",IFERROR(INDEX(科目表!$E$4:$E$81,MATCH($E2580,科目表!$B$4:$B$81,0)),""))</f>
        <v/>
      </c>
      <c r="H2580" s="27" t="str">
        <f>IF($E2580="","",N(INDEX(成本费用登记表!$Q$4:$Y$303,157,8)))</f>
        <v/>
      </c>
      <c r="I2580" s="27" t="str">
        <f>IF($E2580="","",N(INDEX(成本费用登记表!$Q$4:$Y$303,157,9)))</f>
        <v/>
      </c>
      <c r="J2580" s="26" t="str">
        <f>IF($E2580="","",INDEX(成本费用登记表!$C$4:$C$303,157))</f>
        <v/>
      </c>
      <c r="K2580" s="26" t="str">
        <f>IF($E2580="","",INDEX(成本费用登记表!$D$4:$D$303,157))</f>
        <v/>
      </c>
      <c r="L2580" s="32" t="str">
        <f>IF($E2580="","",INDEX(成本费用登记表!$N$4:$N$303,157))</f>
        <v/>
      </c>
      <c r="M2580" s="32"/>
      <c r="N2580" s="26" t="str">
        <f t="shared" si="126"/>
        <v/>
      </c>
      <c r="O2580" s="26" t="str">
        <f t="shared" si="127"/>
        <v/>
      </c>
      <c r="P2580" s="10"/>
    </row>
    <row r="2581" ht="18" customHeight="1" spans="1:16">
      <c r="A2581" s="32" t="str">
        <f t="shared" si="128"/>
        <v/>
      </c>
      <c r="B2581" s="100" t="str">
        <f>IF($E2581="","",INDEX(成本费用登记表!$B$4:$B$303,158))</f>
        <v/>
      </c>
      <c r="C2581" s="26" t="str">
        <f t="shared" si="125"/>
        <v/>
      </c>
      <c r="D2581" s="32" t="str">
        <f>IF($E2581="","",INDEX(成本费用登记表!$E$4:$E$303,158))</f>
        <v/>
      </c>
      <c r="E2581" s="26" t="str">
        <f>IF(INDEX(成本费用登记表!$Q$4:$Y$303,158,1)=0,"",INDEX(成本费用登记表!$Q$4:$Y$303,158,1))</f>
        <v/>
      </c>
      <c r="F2581" s="25" t="str">
        <f>IF($E2581="","",IFERROR(INDEX(科目表!$A$4:$A$81,MATCH($E2581,科目表!$B$4:$B$81,0)),""))</f>
        <v/>
      </c>
      <c r="G2581" s="26" t="str">
        <f>IF($E2581="","",IFERROR(INDEX(科目表!$E$4:$E$81,MATCH($E2581,科目表!$B$4:$B$81,0)),""))</f>
        <v/>
      </c>
      <c r="H2581" s="27" t="str">
        <f>IF($E2581="","",N(INDEX(成本费用登记表!$Q$4:$Y$303,158,2)))</f>
        <v/>
      </c>
      <c r="I2581" s="27" t="str">
        <f>IF($E2581="","",N(INDEX(成本费用登记表!$Q$4:$Y$303,158,3)))</f>
        <v/>
      </c>
      <c r="J2581" s="26" t="str">
        <f>IF($E2581="","",INDEX(成本费用登记表!$C$4:$C$303,158))</f>
        <v/>
      </c>
      <c r="K2581" s="26" t="str">
        <f>IF($E2581="","",INDEX(成本费用登记表!$D$4:$D$303,158))</f>
        <v/>
      </c>
      <c r="L2581" s="32" t="str">
        <f>IF($E2581="","",INDEX(成本费用登记表!$N$4:$N$303,158))</f>
        <v/>
      </c>
      <c r="M2581" s="32"/>
      <c r="N2581" s="26" t="str">
        <f t="shared" si="126"/>
        <v/>
      </c>
      <c r="O2581" s="26" t="str">
        <f t="shared" si="127"/>
        <v/>
      </c>
      <c r="P2581" s="10"/>
    </row>
    <row r="2582" ht="18" customHeight="1" spans="1:16">
      <c r="A2582" s="32" t="str">
        <f t="shared" si="128"/>
        <v/>
      </c>
      <c r="B2582" s="100" t="str">
        <f>IF($E2582="","",INDEX(成本费用登记表!$B$4:$B$303,158))</f>
        <v/>
      </c>
      <c r="C2582" s="26" t="str">
        <f t="shared" si="125"/>
        <v/>
      </c>
      <c r="D2582" s="32" t="str">
        <f>IF($E2582="","",INDEX(成本费用登记表!$E$4:$E$303,158))</f>
        <v/>
      </c>
      <c r="E2582" s="26" t="str">
        <f>IF(INDEX(成本费用登记表!$Q$4:$Y$303,158,4)=0,"",INDEX(成本费用登记表!$Q$4:$Y$303,158,4))</f>
        <v/>
      </c>
      <c r="F2582" s="25" t="str">
        <f>IF($E2582="","",IFERROR(INDEX(科目表!$A$4:$A$81,MATCH($E2582,科目表!$B$4:$B$81,0)),""))</f>
        <v/>
      </c>
      <c r="G2582" s="26" t="str">
        <f>IF($E2582="","",IFERROR(INDEX(科目表!$E$4:$E$81,MATCH($E2582,科目表!$B$4:$B$81,0)),""))</f>
        <v/>
      </c>
      <c r="H2582" s="27" t="str">
        <f>IF($E2582="","",N(INDEX(成本费用登记表!$Q$4:$Y$303,158,5)))</f>
        <v/>
      </c>
      <c r="I2582" s="27" t="str">
        <f>IF($E2582="","",N(INDEX(成本费用登记表!$Q$4:$Y$303,158,6)))</f>
        <v/>
      </c>
      <c r="J2582" s="26" t="str">
        <f>IF($E2582="","",INDEX(成本费用登记表!$C$4:$C$303,158))</f>
        <v/>
      </c>
      <c r="K2582" s="26" t="str">
        <f>IF($E2582="","",INDEX(成本费用登记表!$D$4:$D$303,158))</f>
        <v/>
      </c>
      <c r="L2582" s="32" t="str">
        <f>IF($E2582="","",INDEX(成本费用登记表!$N$4:$N$303,158))</f>
        <v/>
      </c>
      <c r="M2582" s="32"/>
      <c r="N2582" s="26" t="str">
        <f t="shared" si="126"/>
        <v/>
      </c>
      <c r="O2582" s="26" t="str">
        <f t="shared" si="127"/>
        <v/>
      </c>
      <c r="P2582" s="10"/>
    </row>
    <row r="2583" ht="18" customHeight="1" spans="1:16">
      <c r="A2583" s="32" t="str">
        <f t="shared" si="128"/>
        <v/>
      </c>
      <c r="B2583" s="100" t="str">
        <f>IF($E2583="","",INDEX(成本费用登记表!$B$4:$B$303,158))</f>
        <v/>
      </c>
      <c r="C2583" s="26" t="str">
        <f t="shared" si="125"/>
        <v/>
      </c>
      <c r="D2583" s="32" t="str">
        <f>IF($E2583="","",INDEX(成本费用登记表!$E$4:$E$303,158))</f>
        <v/>
      </c>
      <c r="E2583" s="26" t="str">
        <f>IF(INDEX(成本费用登记表!$Q$4:$Y$303,158,7)=0,"",INDEX(成本费用登记表!$Q$4:$Y$303,158,7))</f>
        <v/>
      </c>
      <c r="F2583" s="25" t="str">
        <f>IF($E2583="","",IFERROR(INDEX(科目表!$A$4:$A$81,MATCH($E2583,科目表!$B$4:$B$81,0)),""))</f>
        <v/>
      </c>
      <c r="G2583" s="26" t="str">
        <f>IF($E2583="","",IFERROR(INDEX(科目表!$E$4:$E$81,MATCH($E2583,科目表!$B$4:$B$81,0)),""))</f>
        <v/>
      </c>
      <c r="H2583" s="27" t="str">
        <f>IF($E2583="","",N(INDEX(成本费用登记表!$Q$4:$Y$303,158,8)))</f>
        <v/>
      </c>
      <c r="I2583" s="27" t="str">
        <f>IF($E2583="","",N(INDEX(成本费用登记表!$Q$4:$Y$303,158,9)))</f>
        <v/>
      </c>
      <c r="J2583" s="26" t="str">
        <f>IF($E2583="","",INDEX(成本费用登记表!$C$4:$C$303,158))</f>
        <v/>
      </c>
      <c r="K2583" s="26" t="str">
        <f>IF($E2583="","",INDEX(成本费用登记表!$D$4:$D$303,158))</f>
        <v/>
      </c>
      <c r="L2583" s="32" t="str">
        <f>IF($E2583="","",INDEX(成本费用登记表!$N$4:$N$303,158))</f>
        <v/>
      </c>
      <c r="M2583" s="32"/>
      <c r="N2583" s="26" t="str">
        <f t="shared" si="126"/>
        <v/>
      </c>
      <c r="O2583" s="26" t="str">
        <f t="shared" si="127"/>
        <v/>
      </c>
      <c r="P2583" s="10"/>
    </row>
    <row r="2584" ht="18" customHeight="1" spans="1:16">
      <c r="A2584" s="32" t="str">
        <f t="shared" si="128"/>
        <v/>
      </c>
      <c r="B2584" s="100" t="str">
        <f>IF($E2584="","",INDEX(成本费用登记表!$B$4:$B$303,159))</f>
        <v/>
      </c>
      <c r="C2584" s="26" t="str">
        <f t="shared" si="125"/>
        <v/>
      </c>
      <c r="D2584" s="32" t="str">
        <f>IF($E2584="","",INDEX(成本费用登记表!$E$4:$E$303,159))</f>
        <v/>
      </c>
      <c r="E2584" s="26" t="str">
        <f>IF(INDEX(成本费用登记表!$Q$4:$Y$303,159,1)=0,"",INDEX(成本费用登记表!$Q$4:$Y$303,159,1))</f>
        <v/>
      </c>
      <c r="F2584" s="25" t="str">
        <f>IF($E2584="","",IFERROR(INDEX(科目表!$A$4:$A$81,MATCH($E2584,科目表!$B$4:$B$81,0)),""))</f>
        <v/>
      </c>
      <c r="G2584" s="26" t="str">
        <f>IF($E2584="","",IFERROR(INDEX(科目表!$E$4:$E$81,MATCH($E2584,科目表!$B$4:$B$81,0)),""))</f>
        <v/>
      </c>
      <c r="H2584" s="27" t="str">
        <f>IF($E2584="","",N(INDEX(成本费用登记表!$Q$4:$Y$303,159,2)))</f>
        <v/>
      </c>
      <c r="I2584" s="27" t="str">
        <f>IF($E2584="","",N(INDEX(成本费用登记表!$Q$4:$Y$303,159,3)))</f>
        <v/>
      </c>
      <c r="J2584" s="26" t="str">
        <f>IF($E2584="","",INDEX(成本费用登记表!$C$4:$C$303,159))</f>
        <v/>
      </c>
      <c r="K2584" s="26" t="str">
        <f>IF($E2584="","",INDEX(成本费用登记表!$D$4:$D$303,159))</f>
        <v/>
      </c>
      <c r="L2584" s="32" t="str">
        <f>IF($E2584="","",INDEX(成本费用登记表!$N$4:$N$303,159))</f>
        <v/>
      </c>
      <c r="M2584" s="32"/>
      <c r="N2584" s="26" t="str">
        <f t="shared" si="126"/>
        <v/>
      </c>
      <c r="O2584" s="26" t="str">
        <f t="shared" si="127"/>
        <v/>
      </c>
      <c r="P2584" s="10"/>
    </row>
    <row r="2585" ht="18" customHeight="1" spans="1:16">
      <c r="A2585" s="32" t="str">
        <f t="shared" si="128"/>
        <v/>
      </c>
      <c r="B2585" s="100" t="str">
        <f>IF($E2585="","",INDEX(成本费用登记表!$B$4:$B$303,159))</f>
        <v/>
      </c>
      <c r="C2585" s="26" t="str">
        <f t="shared" si="125"/>
        <v/>
      </c>
      <c r="D2585" s="32" t="str">
        <f>IF($E2585="","",INDEX(成本费用登记表!$E$4:$E$303,159))</f>
        <v/>
      </c>
      <c r="E2585" s="26" t="str">
        <f>IF(INDEX(成本费用登记表!$Q$4:$Y$303,159,4)=0,"",INDEX(成本费用登记表!$Q$4:$Y$303,159,4))</f>
        <v/>
      </c>
      <c r="F2585" s="25" t="str">
        <f>IF($E2585="","",IFERROR(INDEX(科目表!$A$4:$A$81,MATCH($E2585,科目表!$B$4:$B$81,0)),""))</f>
        <v/>
      </c>
      <c r="G2585" s="26" t="str">
        <f>IF($E2585="","",IFERROR(INDEX(科目表!$E$4:$E$81,MATCH($E2585,科目表!$B$4:$B$81,0)),""))</f>
        <v/>
      </c>
      <c r="H2585" s="27" t="str">
        <f>IF($E2585="","",N(INDEX(成本费用登记表!$Q$4:$Y$303,159,5)))</f>
        <v/>
      </c>
      <c r="I2585" s="27" t="str">
        <f>IF($E2585="","",N(INDEX(成本费用登记表!$Q$4:$Y$303,159,6)))</f>
        <v/>
      </c>
      <c r="J2585" s="26" t="str">
        <f>IF($E2585="","",INDEX(成本费用登记表!$C$4:$C$303,159))</f>
        <v/>
      </c>
      <c r="K2585" s="26" t="str">
        <f>IF($E2585="","",INDEX(成本费用登记表!$D$4:$D$303,159))</f>
        <v/>
      </c>
      <c r="L2585" s="32" t="str">
        <f>IF($E2585="","",INDEX(成本费用登记表!$N$4:$N$303,159))</f>
        <v/>
      </c>
      <c r="M2585" s="32"/>
      <c r="N2585" s="26" t="str">
        <f t="shared" si="126"/>
        <v/>
      </c>
      <c r="O2585" s="26" t="str">
        <f t="shared" si="127"/>
        <v/>
      </c>
      <c r="P2585" s="10"/>
    </row>
    <row r="2586" ht="18" customHeight="1" spans="1:16">
      <c r="A2586" s="32" t="str">
        <f t="shared" si="128"/>
        <v/>
      </c>
      <c r="B2586" s="100" t="str">
        <f>IF($E2586="","",INDEX(成本费用登记表!$B$4:$B$303,159))</f>
        <v/>
      </c>
      <c r="C2586" s="26" t="str">
        <f t="shared" si="125"/>
        <v/>
      </c>
      <c r="D2586" s="32" t="str">
        <f>IF($E2586="","",INDEX(成本费用登记表!$E$4:$E$303,159))</f>
        <v/>
      </c>
      <c r="E2586" s="26" t="str">
        <f>IF(INDEX(成本费用登记表!$Q$4:$Y$303,159,7)=0,"",INDEX(成本费用登记表!$Q$4:$Y$303,159,7))</f>
        <v/>
      </c>
      <c r="F2586" s="25" t="str">
        <f>IF($E2586="","",IFERROR(INDEX(科目表!$A$4:$A$81,MATCH($E2586,科目表!$B$4:$B$81,0)),""))</f>
        <v/>
      </c>
      <c r="G2586" s="26" t="str">
        <f>IF($E2586="","",IFERROR(INDEX(科目表!$E$4:$E$81,MATCH($E2586,科目表!$B$4:$B$81,0)),""))</f>
        <v/>
      </c>
      <c r="H2586" s="27" t="str">
        <f>IF($E2586="","",N(INDEX(成本费用登记表!$Q$4:$Y$303,159,8)))</f>
        <v/>
      </c>
      <c r="I2586" s="27" t="str">
        <f>IF($E2586="","",N(INDEX(成本费用登记表!$Q$4:$Y$303,159,9)))</f>
        <v/>
      </c>
      <c r="J2586" s="26" t="str">
        <f>IF($E2586="","",INDEX(成本费用登记表!$C$4:$C$303,159))</f>
        <v/>
      </c>
      <c r="K2586" s="26" t="str">
        <f>IF($E2586="","",INDEX(成本费用登记表!$D$4:$D$303,159))</f>
        <v/>
      </c>
      <c r="L2586" s="32" t="str">
        <f>IF($E2586="","",INDEX(成本费用登记表!$N$4:$N$303,159))</f>
        <v/>
      </c>
      <c r="M2586" s="32"/>
      <c r="N2586" s="26" t="str">
        <f t="shared" si="126"/>
        <v/>
      </c>
      <c r="O2586" s="26" t="str">
        <f t="shared" si="127"/>
        <v/>
      </c>
      <c r="P2586" s="10"/>
    </row>
    <row r="2587" ht="18" customHeight="1" spans="1:16">
      <c r="A2587" s="32" t="str">
        <f t="shared" si="128"/>
        <v/>
      </c>
      <c r="B2587" s="100" t="str">
        <f>IF($E2587="","",INDEX(成本费用登记表!$B$4:$B$303,160))</f>
        <v/>
      </c>
      <c r="C2587" s="26" t="str">
        <f t="shared" si="125"/>
        <v/>
      </c>
      <c r="D2587" s="32" t="str">
        <f>IF($E2587="","",INDEX(成本费用登记表!$E$4:$E$303,160))</f>
        <v/>
      </c>
      <c r="E2587" s="26" t="str">
        <f>IF(INDEX(成本费用登记表!$Q$4:$Y$303,160,1)=0,"",INDEX(成本费用登记表!$Q$4:$Y$303,160,1))</f>
        <v/>
      </c>
      <c r="F2587" s="25" t="str">
        <f>IF($E2587="","",IFERROR(INDEX(科目表!$A$4:$A$81,MATCH($E2587,科目表!$B$4:$B$81,0)),""))</f>
        <v/>
      </c>
      <c r="G2587" s="26" t="str">
        <f>IF($E2587="","",IFERROR(INDEX(科目表!$E$4:$E$81,MATCH($E2587,科目表!$B$4:$B$81,0)),""))</f>
        <v/>
      </c>
      <c r="H2587" s="27" t="str">
        <f>IF($E2587="","",N(INDEX(成本费用登记表!$Q$4:$Y$303,160,2)))</f>
        <v/>
      </c>
      <c r="I2587" s="27" t="str">
        <f>IF($E2587="","",N(INDEX(成本费用登记表!$Q$4:$Y$303,160,3)))</f>
        <v/>
      </c>
      <c r="J2587" s="26" t="str">
        <f>IF($E2587="","",INDEX(成本费用登记表!$C$4:$C$303,160))</f>
        <v/>
      </c>
      <c r="K2587" s="26" t="str">
        <f>IF($E2587="","",INDEX(成本费用登记表!$D$4:$D$303,160))</f>
        <v/>
      </c>
      <c r="L2587" s="32" t="str">
        <f>IF($E2587="","",INDEX(成本费用登记表!$N$4:$N$303,160))</f>
        <v/>
      </c>
      <c r="M2587" s="32"/>
      <c r="N2587" s="26" t="str">
        <f t="shared" si="126"/>
        <v/>
      </c>
      <c r="O2587" s="26" t="str">
        <f t="shared" si="127"/>
        <v/>
      </c>
      <c r="P2587" s="10"/>
    </row>
    <row r="2588" ht="18" customHeight="1" spans="1:16">
      <c r="A2588" s="32" t="str">
        <f t="shared" si="128"/>
        <v/>
      </c>
      <c r="B2588" s="100" t="str">
        <f>IF($E2588="","",INDEX(成本费用登记表!$B$4:$B$303,160))</f>
        <v/>
      </c>
      <c r="C2588" s="26" t="str">
        <f t="shared" si="125"/>
        <v/>
      </c>
      <c r="D2588" s="32" t="str">
        <f>IF($E2588="","",INDEX(成本费用登记表!$E$4:$E$303,160))</f>
        <v/>
      </c>
      <c r="E2588" s="26" t="str">
        <f>IF(INDEX(成本费用登记表!$Q$4:$Y$303,160,4)=0,"",INDEX(成本费用登记表!$Q$4:$Y$303,160,4))</f>
        <v/>
      </c>
      <c r="F2588" s="25" t="str">
        <f>IF($E2588="","",IFERROR(INDEX(科目表!$A$4:$A$81,MATCH($E2588,科目表!$B$4:$B$81,0)),""))</f>
        <v/>
      </c>
      <c r="G2588" s="26" t="str">
        <f>IF($E2588="","",IFERROR(INDEX(科目表!$E$4:$E$81,MATCH($E2588,科目表!$B$4:$B$81,0)),""))</f>
        <v/>
      </c>
      <c r="H2588" s="27" t="str">
        <f>IF($E2588="","",N(INDEX(成本费用登记表!$Q$4:$Y$303,160,5)))</f>
        <v/>
      </c>
      <c r="I2588" s="27" t="str">
        <f>IF($E2588="","",N(INDEX(成本费用登记表!$Q$4:$Y$303,160,6)))</f>
        <v/>
      </c>
      <c r="J2588" s="26" t="str">
        <f>IF($E2588="","",INDEX(成本费用登记表!$C$4:$C$303,160))</f>
        <v/>
      </c>
      <c r="K2588" s="26" t="str">
        <f>IF($E2588="","",INDEX(成本费用登记表!$D$4:$D$303,160))</f>
        <v/>
      </c>
      <c r="L2588" s="32" t="str">
        <f>IF($E2588="","",INDEX(成本费用登记表!$N$4:$N$303,160))</f>
        <v/>
      </c>
      <c r="M2588" s="32"/>
      <c r="N2588" s="26" t="str">
        <f t="shared" si="126"/>
        <v/>
      </c>
      <c r="O2588" s="26" t="str">
        <f t="shared" si="127"/>
        <v/>
      </c>
      <c r="P2588" s="10"/>
    </row>
    <row r="2589" ht="18" customHeight="1" spans="1:16">
      <c r="A2589" s="32" t="str">
        <f t="shared" si="128"/>
        <v/>
      </c>
      <c r="B2589" s="100" t="str">
        <f>IF($E2589="","",INDEX(成本费用登记表!$B$4:$B$303,160))</f>
        <v/>
      </c>
      <c r="C2589" s="26" t="str">
        <f t="shared" si="125"/>
        <v/>
      </c>
      <c r="D2589" s="32" t="str">
        <f>IF($E2589="","",INDEX(成本费用登记表!$E$4:$E$303,160))</f>
        <v/>
      </c>
      <c r="E2589" s="26" t="str">
        <f>IF(INDEX(成本费用登记表!$Q$4:$Y$303,160,7)=0,"",INDEX(成本费用登记表!$Q$4:$Y$303,160,7))</f>
        <v/>
      </c>
      <c r="F2589" s="25" t="str">
        <f>IF($E2589="","",IFERROR(INDEX(科目表!$A$4:$A$81,MATCH($E2589,科目表!$B$4:$B$81,0)),""))</f>
        <v/>
      </c>
      <c r="G2589" s="26" t="str">
        <f>IF($E2589="","",IFERROR(INDEX(科目表!$E$4:$E$81,MATCH($E2589,科目表!$B$4:$B$81,0)),""))</f>
        <v/>
      </c>
      <c r="H2589" s="27" t="str">
        <f>IF($E2589="","",N(INDEX(成本费用登记表!$Q$4:$Y$303,160,8)))</f>
        <v/>
      </c>
      <c r="I2589" s="27" t="str">
        <f>IF($E2589="","",N(INDEX(成本费用登记表!$Q$4:$Y$303,160,9)))</f>
        <v/>
      </c>
      <c r="J2589" s="26" t="str">
        <f>IF($E2589="","",INDEX(成本费用登记表!$C$4:$C$303,160))</f>
        <v/>
      </c>
      <c r="K2589" s="26" t="str">
        <f>IF($E2589="","",INDEX(成本费用登记表!$D$4:$D$303,160))</f>
        <v/>
      </c>
      <c r="L2589" s="32" t="str">
        <f>IF($E2589="","",INDEX(成本费用登记表!$N$4:$N$303,160))</f>
        <v/>
      </c>
      <c r="M2589" s="32"/>
      <c r="N2589" s="26" t="str">
        <f t="shared" si="126"/>
        <v/>
      </c>
      <c r="O2589" s="26" t="str">
        <f t="shared" si="127"/>
        <v/>
      </c>
      <c r="P2589" s="10"/>
    </row>
    <row r="2590" ht="18" customHeight="1" spans="1:16">
      <c r="A2590" s="32" t="str">
        <f t="shared" si="128"/>
        <v/>
      </c>
      <c r="B2590" s="100" t="str">
        <f>IF($E2590="","",INDEX(成本费用登记表!$B$4:$B$303,161))</f>
        <v/>
      </c>
      <c r="C2590" s="26" t="str">
        <f t="shared" si="125"/>
        <v/>
      </c>
      <c r="D2590" s="32" t="str">
        <f>IF($E2590="","",INDEX(成本费用登记表!$E$4:$E$303,161))</f>
        <v/>
      </c>
      <c r="E2590" s="26" t="str">
        <f>IF(INDEX(成本费用登记表!$Q$4:$Y$303,161,1)=0,"",INDEX(成本费用登记表!$Q$4:$Y$303,161,1))</f>
        <v/>
      </c>
      <c r="F2590" s="25" t="str">
        <f>IF($E2590="","",IFERROR(INDEX(科目表!$A$4:$A$81,MATCH($E2590,科目表!$B$4:$B$81,0)),""))</f>
        <v/>
      </c>
      <c r="G2590" s="26" t="str">
        <f>IF($E2590="","",IFERROR(INDEX(科目表!$E$4:$E$81,MATCH($E2590,科目表!$B$4:$B$81,0)),""))</f>
        <v/>
      </c>
      <c r="H2590" s="27" t="str">
        <f>IF($E2590="","",N(INDEX(成本费用登记表!$Q$4:$Y$303,161,2)))</f>
        <v/>
      </c>
      <c r="I2590" s="27" t="str">
        <f>IF($E2590="","",N(INDEX(成本费用登记表!$Q$4:$Y$303,161,3)))</f>
        <v/>
      </c>
      <c r="J2590" s="26" t="str">
        <f>IF($E2590="","",INDEX(成本费用登记表!$C$4:$C$303,161))</f>
        <v/>
      </c>
      <c r="K2590" s="26" t="str">
        <f>IF($E2590="","",INDEX(成本费用登记表!$D$4:$D$303,161))</f>
        <v/>
      </c>
      <c r="L2590" s="32" t="str">
        <f>IF($E2590="","",INDEX(成本费用登记表!$N$4:$N$303,161))</f>
        <v/>
      </c>
      <c r="M2590" s="32"/>
      <c r="N2590" s="26" t="str">
        <f t="shared" si="126"/>
        <v/>
      </c>
      <c r="O2590" s="26" t="str">
        <f t="shared" si="127"/>
        <v/>
      </c>
      <c r="P2590" s="10"/>
    </row>
    <row r="2591" ht="18" customHeight="1" spans="1:16">
      <c r="A2591" s="32" t="str">
        <f t="shared" si="128"/>
        <v/>
      </c>
      <c r="B2591" s="100" t="str">
        <f>IF($E2591="","",INDEX(成本费用登记表!$B$4:$B$303,161))</f>
        <v/>
      </c>
      <c r="C2591" s="26" t="str">
        <f t="shared" si="125"/>
        <v/>
      </c>
      <c r="D2591" s="32" t="str">
        <f>IF($E2591="","",INDEX(成本费用登记表!$E$4:$E$303,161))</f>
        <v/>
      </c>
      <c r="E2591" s="26" t="str">
        <f>IF(INDEX(成本费用登记表!$Q$4:$Y$303,161,4)=0,"",INDEX(成本费用登记表!$Q$4:$Y$303,161,4))</f>
        <v/>
      </c>
      <c r="F2591" s="25" t="str">
        <f>IF($E2591="","",IFERROR(INDEX(科目表!$A$4:$A$81,MATCH($E2591,科目表!$B$4:$B$81,0)),""))</f>
        <v/>
      </c>
      <c r="G2591" s="26" t="str">
        <f>IF($E2591="","",IFERROR(INDEX(科目表!$E$4:$E$81,MATCH($E2591,科目表!$B$4:$B$81,0)),""))</f>
        <v/>
      </c>
      <c r="H2591" s="27" t="str">
        <f>IF($E2591="","",N(INDEX(成本费用登记表!$Q$4:$Y$303,161,5)))</f>
        <v/>
      </c>
      <c r="I2591" s="27" t="str">
        <f>IF($E2591="","",N(INDEX(成本费用登记表!$Q$4:$Y$303,161,6)))</f>
        <v/>
      </c>
      <c r="J2591" s="26" t="str">
        <f>IF($E2591="","",INDEX(成本费用登记表!$C$4:$C$303,161))</f>
        <v/>
      </c>
      <c r="K2591" s="26" t="str">
        <f>IF($E2591="","",INDEX(成本费用登记表!$D$4:$D$303,161))</f>
        <v/>
      </c>
      <c r="L2591" s="32" t="str">
        <f>IF($E2591="","",INDEX(成本费用登记表!$N$4:$N$303,161))</f>
        <v/>
      </c>
      <c r="M2591" s="32"/>
      <c r="N2591" s="26" t="str">
        <f t="shared" si="126"/>
        <v/>
      </c>
      <c r="O2591" s="26" t="str">
        <f t="shared" si="127"/>
        <v/>
      </c>
      <c r="P2591" s="10"/>
    </row>
    <row r="2592" ht="18" customHeight="1" spans="1:16">
      <c r="A2592" s="32" t="str">
        <f t="shared" si="128"/>
        <v/>
      </c>
      <c r="B2592" s="100" t="str">
        <f>IF($E2592="","",INDEX(成本费用登记表!$B$4:$B$303,161))</f>
        <v/>
      </c>
      <c r="C2592" s="26" t="str">
        <f t="shared" si="125"/>
        <v/>
      </c>
      <c r="D2592" s="32" t="str">
        <f>IF($E2592="","",INDEX(成本费用登记表!$E$4:$E$303,161))</f>
        <v/>
      </c>
      <c r="E2592" s="26" t="str">
        <f>IF(INDEX(成本费用登记表!$Q$4:$Y$303,161,7)=0,"",INDEX(成本费用登记表!$Q$4:$Y$303,161,7))</f>
        <v/>
      </c>
      <c r="F2592" s="25" t="str">
        <f>IF($E2592="","",IFERROR(INDEX(科目表!$A$4:$A$81,MATCH($E2592,科目表!$B$4:$B$81,0)),""))</f>
        <v/>
      </c>
      <c r="G2592" s="26" t="str">
        <f>IF($E2592="","",IFERROR(INDEX(科目表!$E$4:$E$81,MATCH($E2592,科目表!$B$4:$B$81,0)),""))</f>
        <v/>
      </c>
      <c r="H2592" s="27" t="str">
        <f>IF($E2592="","",N(INDEX(成本费用登记表!$Q$4:$Y$303,161,8)))</f>
        <v/>
      </c>
      <c r="I2592" s="27" t="str">
        <f>IF($E2592="","",N(INDEX(成本费用登记表!$Q$4:$Y$303,161,9)))</f>
        <v/>
      </c>
      <c r="J2592" s="26" t="str">
        <f>IF($E2592="","",INDEX(成本费用登记表!$C$4:$C$303,161))</f>
        <v/>
      </c>
      <c r="K2592" s="26" t="str">
        <f>IF($E2592="","",INDEX(成本费用登记表!$D$4:$D$303,161))</f>
        <v/>
      </c>
      <c r="L2592" s="32" t="str">
        <f>IF($E2592="","",INDEX(成本费用登记表!$N$4:$N$303,161))</f>
        <v/>
      </c>
      <c r="M2592" s="32"/>
      <c r="N2592" s="26" t="str">
        <f t="shared" si="126"/>
        <v/>
      </c>
      <c r="O2592" s="26" t="str">
        <f t="shared" si="127"/>
        <v/>
      </c>
      <c r="P2592" s="10"/>
    </row>
    <row r="2593" ht="18" customHeight="1" spans="1:16">
      <c r="A2593" s="32" t="str">
        <f t="shared" si="128"/>
        <v/>
      </c>
      <c r="B2593" s="100" t="str">
        <f>IF($E2593="","",INDEX(成本费用登记表!$B$4:$B$303,162))</f>
        <v/>
      </c>
      <c r="C2593" s="26" t="str">
        <f t="shared" si="125"/>
        <v/>
      </c>
      <c r="D2593" s="32" t="str">
        <f>IF($E2593="","",INDEX(成本费用登记表!$E$4:$E$303,162))</f>
        <v/>
      </c>
      <c r="E2593" s="26" t="str">
        <f>IF(INDEX(成本费用登记表!$Q$4:$Y$303,162,1)=0,"",INDEX(成本费用登记表!$Q$4:$Y$303,162,1))</f>
        <v/>
      </c>
      <c r="F2593" s="25" t="str">
        <f>IF($E2593="","",IFERROR(INDEX(科目表!$A$4:$A$81,MATCH($E2593,科目表!$B$4:$B$81,0)),""))</f>
        <v/>
      </c>
      <c r="G2593" s="26" t="str">
        <f>IF($E2593="","",IFERROR(INDEX(科目表!$E$4:$E$81,MATCH($E2593,科目表!$B$4:$B$81,0)),""))</f>
        <v/>
      </c>
      <c r="H2593" s="27" t="str">
        <f>IF($E2593="","",N(INDEX(成本费用登记表!$Q$4:$Y$303,162,2)))</f>
        <v/>
      </c>
      <c r="I2593" s="27" t="str">
        <f>IF($E2593="","",N(INDEX(成本费用登记表!$Q$4:$Y$303,162,3)))</f>
        <v/>
      </c>
      <c r="J2593" s="26" t="str">
        <f>IF($E2593="","",INDEX(成本费用登记表!$C$4:$C$303,162))</f>
        <v/>
      </c>
      <c r="K2593" s="26" t="str">
        <f>IF($E2593="","",INDEX(成本费用登记表!$D$4:$D$303,162))</f>
        <v/>
      </c>
      <c r="L2593" s="32" t="str">
        <f>IF($E2593="","",INDEX(成本费用登记表!$N$4:$N$303,162))</f>
        <v/>
      </c>
      <c r="M2593" s="32"/>
      <c r="N2593" s="26" t="str">
        <f t="shared" si="126"/>
        <v/>
      </c>
      <c r="O2593" s="26" t="str">
        <f t="shared" si="127"/>
        <v/>
      </c>
      <c r="P2593" s="10"/>
    </row>
    <row r="2594" ht="18" customHeight="1" spans="1:16">
      <c r="A2594" s="32" t="str">
        <f t="shared" si="128"/>
        <v/>
      </c>
      <c r="B2594" s="100" t="str">
        <f>IF($E2594="","",INDEX(成本费用登记表!$B$4:$B$303,162))</f>
        <v/>
      </c>
      <c r="C2594" s="26" t="str">
        <f t="shared" si="125"/>
        <v/>
      </c>
      <c r="D2594" s="32" t="str">
        <f>IF($E2594="","",INDEX(成本费用登记表!$E$4:$E$303,162))</f>
        <v/>
      </c>
      <c r="E2594" s="26" t="str">
        <f>IF(INDEX(成本费用登记表!$Q$4:$Y$303,162,4)=0,"",INDEX(成本费用登记表!$Q$4:$Y$303,162,4))</f>
        <v/>
      </c>
      <c r="F2594" s="25" t="str">
        <f>IF($E2594="","",IFERROR(INDEX(科目表!$A$4:$A$81,MATCH($E2594,科目表!$B$4:$B$81,0)),""))</f>
        <v/>
      </c>
      <c r="G2594" s="26" t="str">
        <f>IF($E2594="","",IFERROR(INDEX(科目表!$E$4:$E$81,MATCH($E2594,科目表!$B$4:$B$81,0)),""))</f>
        <v/>
      </c>
      <c r="H2594" s="27" t="str">
        <f>IF($E2594="","",N(INDEX(成本费用登记表!$Q$4:$Y$303,162,5)))</f>
        <v/>
      </c>
      <c r="I2594" s="27" t="str">
        <f>IF($E2594="","",N(INDEX(成本费用登记表!$Q$4:$Y$303,162,6)))</f>
        <v/>
      </c>
      <c r="J2594" s="26" t="str">
        <f>IF($E2594="","",INDEX(成本费用登记表!$C$4:$C$303,162))</f>
        <v/>
      </c>
      <c r="K2594" s="26" t="str">
        <f>IF($E2594="","",INDEX(成本费用登记表!$D$4:$D$303,162))</f>
        <v/>
      </c>
      <c r="L2594" s="32" t="str">
        <f>IF($E2594="","",INDEX(成本费用登记表!$N$4:$N$303,162))</f>
        <v/>
      </c>
      <c r="M2594" s="32"/>
      <c r="N2594" s="26" t="str">
        <f t="shared" si="126"/>
        <v/>
      </c>
      <c r="O2594" s="26" t="str">
        <f t="shared" si="127"/>
        <v/>
      </c>
      <c r="P2594" s="10"/>
    </row>
    <row r="2595" ht="18" customHeight="1" spans="1:16">
      <c r="A2595" s="32" t="str">
        <f t="shared" si="128"/>
        <v/>
      </c>
      <c r="B2595" s="100" t="str">
        <f>IF($E2595="","",INDEX(成本费用登记表!$B$4:$B$303,162))</f>
        <v/>
      </c>
      <c r="C2595" s="26" t="str">
        <f t="shared" si="125"/>
        <v/>
      </c>
      <c r="D2595" s="32" t="str">
        <f>IF($E2595="","",INDEX(成本费用登记表!$E$4:$E$303,162))</f>
        <v/>
      </c>
      <c r="E2595" s="26" t="str">
        <f>IF(INDEX(成本费用登记表!$Q$4:$Y$303,162,7)=0,"",INDEX(成本费用登记表!$Q$4:$Y$303,162,7))</f>
        <v/>
      </c>
      <c r="F2595" s="25" t="str">
        <f>IF($E2595="","",IFERROR(INDEX(科目表!$A$4:$A$81,MATCH($E2595,科目表!$B$4:$B$81,0)),""))</f>
        <v/>
      </c>
      <c r="G2595" s="26" t="str">
        <f>IF($E2595="","",IFERROR(INDEX(科目表!$E$4:$E$81,MATCH($E2595,科目表!$B$4:$B$81,0)),""))</f>
        <v/>
      </c>
      <c r="H2595" s="27" t="str">
        <f>IF($E2595="","",N(INDEX(成本费用登记表!$Q$4:$Y$303,162,8)))</f>
        <v/>
      </c>
      <c r="I2595" s="27" t="str">
        <f>IF($E2595="","",N(INDEX(成本费用登记表!$Q$4:$Y$303,162,9)))</f>
        <v/>
      </c>
      <c r="J2595" s="26" t="str">
        <f>IF($E2595="","",INDEX(成本费用登记表!$C$4:$C$303,162))</f>
        <v/>
      </c>
      <c r="K2595" s="26" t="str">
        <f>IF($E2595="","",INDEX(成本费用登记表!$D$4:$D$303,162))</f>
        <v/>
      </c>
      <c r="L2595" s="32" t="str">
        <f>IF($E2595="","",INDEX(成本费用登记表!$N$4:$N$303,162))</f>
        <v/>
      </c>
      <c r="M2595" s="32"/>
      <c r="N2595" s="26" t="str">
        <f t="shared" si="126"/>
        <v/>
      </c>
      <c r="O2595" s="26" t="str">
        <f t="shared" si="127"/>
        <v/>
      </c>
      <c r="P2595" s="10"/>
    </row>
    <row r="2596" ht="18" customHeight="1" spans="1:16">
      <c r="A2596" s="32" t="str">
        <f t="shared" si="128"/>
        <v/>
      </c>
      <c r="B2596" s="100" t="str">
        <f>IF($E2596="","",INDEX(成本费用登记表!$B$4:$B$303,163))</f>
        <v/>
      </c>
      <c r="C2596" s="26" t="str">
        <f t="shared" si="125"/>
        <v/>
      </c>
      <c r="D2596" s="32" t="str">
        <f>IF($E2596="","",INDEX(成本费用登记表!$E$4:$E$303,163))</f>
        <v/>
      </c>
      <c r="E2596" s="26" t="str">
        <f>IF(INDEX(成本费用登记表!$Q$4:$Y$303,163,1)=0,"",INDEX(成本费用登记表!$Q$4:$Y$303,163,1))</f>
        <v/>
      </c>
      <c r="F2596" s="25" t="str">
        <f>IF($E2596="","",IFERROR(INDEX(科目表!$A$4:$A$81,MATCH($E2596,科目表!$B$4:$B$81,0)),""))</f>
        <v/>
      </c>
      <c r="G2596" s="26" t="str">
        <f>IF($E2596="","",IFERROR(INDEX(科目表!$E$4:$E$81,MATCH($E2596,科目表!$B$4:$B$81,0)),""))</f>
        <v/>
      </c>
      <c r="H2596" s="27" t="str">
        <f>IF($E2596="","",N(INDEX(成本费用登记表!$Q$4:$Y$303,163,2)))</f>
        <v/>
      </c>
      <c r="I2596" s="27" t="str">
        <f>IF($E2596="","",N(INDEX(成本费用登记表!$Q$4:$Y$303,163,3)))</f>
        <v/>
      </c>
      <c r="J2596" s="26" t="str">
        <f>IF($E2596="","",INDEX(成本费用登记表!$C$4:$C$303,163))</f>
        <v/>
      </c>
      <c r="K2596" s="26" t="str">
        <f>IF($E2596="","",INDEX(成本费用登记表!$D$4:$D$303,163))</f>
        <v/>
      </c>
      <c r="L2596" s="32" t="str">
        <f>IF($E2596="","",INDEX(成本费用登记表!$N$4:$N$303,163))</f>
        <v/>
      </c>
      <c r="M2596" s="32"/>
      <c r="N2596" s="26" t="str">
        <f t="shared" si="126"/>
        <v/>
      </c>
      <c r="O2596" s="26" t="str">
        <f t="shared" si="127"/>
        <v/>
      </c>
      <c r="P2596" s="10"/>
    </row>
    <row r="2597" ht="18" customHeight="1" spans="1:16">
      <c r="A2597" s="32" t="str">
        <f t="shared" si="128"/>
        <v/>
      </c>
      <c r="B2597" s="100" t="str">
        <f>IF($E2597="","",INDEX(成本费用登记表!$B$4:$B$303,163))</f>
        <v/>
      </c>
      <c r="C2597" s="26" t="str">
        <f t="shared" si="125"/>
        <v/>
      </c>
      <c r="D2597" s="32" t="str">
        <f>IF($E2597="","",INDEX(成本费用登记表!$E$4:$E$303,163))</f>
        <v/>
      </c>
      <c r="E2597" s="26" t="str">
        <f>IF(INDEX(成本费用登记表!$Q$4:$Y$303,163,4)=0,"",INDEX(成本费用登记表!$Q$4:$Y$303,163,4))</f>
        <v/>
      </c>
      <c r="F2597" s="25" t="str">
        <f>IF($E2597="","",IFERROR(INDEX(科目表!$A$4:$A$81,MATCH($E2597,科目表!$B$4:$B$81,0)),""))</f>
        <v/>
      </c>
      <c r="G2597" s="26" t="str">
        <f>IF($E2597="","",IFERROR(INDEX(科目表!$E$4:$E$81,MATCH($E2597,科目表!$B$4:$B$81,0)),""))</f>
        <v/>
      </c>
      <c r="H2597" s="27" t="str">
        <f>IF($E2597="","",N(INDEX(成本费用登记表!$Q$4:$Y$303,163,5)))</f>
        <v/>
      </c>
      <c r="I2597" s="27" t="str">
        <f>IF($E2597="","",N(INDEX(成本费用登记表!$Q$4:$Y$303,163,6)))</f>
        <v/>
      </c>
      <c r="J2597" s="26" t="str">
        <f>IF($E2597="","",INDEX(成本费用登记表!$C$4:$C$303,163))</f>
        <v/>
      </c>
      <c r="K2597" s="26" t="str">
        <f>IF($E2597="","",INDEX(成本费用登记表!$D$4:$D$303,163))</f>
        <v/>
      </c>
      <c r="L2597" s="32" t="str">
        <f>IF($E2597="","",INDEX(成本费用登记表!$N$4:$N$303,163))</f>
        <v/>
      </c>
      <c r="M2597" s="32"/>
      <c r="N2597" s="26" t="str">
        <f t="shared" si="126"/>
        <v/>
      </c>
      <c r="O2597" s="26" t="str">
        <f t="shared" si="127"/>
        <v/>
      </c>
      <c r="P2597" s="10"/>
    </row>
    <row r="2598" ht="18" customHeight="1" spans="1:16">
      <c r="A2598" s="32" t="str">
        <f t="shared" si="128"/>
        <v/>
      </c>
      <c r="B2598" s="100" t="str">
        <f>IF($E2598="","",INDEX(成本费用登记表!$B$4:$B$303,163))</f>
        <v/>
      </c>
      <c r="C2598" s="26" t="str">
        <f t="shared" si="125"/>
        <v/>
      </c>
      <c r="D2598" s="32" t="str">
        <f>IF($E2598="","",INDEX(成本费用登记表!$E$4:$E$303,163))</f>
        <v/>
      </c>
      <c r="E2598" s="26" t="str">
        <f>IF(INDEX(成本费用登记表!$Q$4:$Y$303,163,7)=0,"",INDEX(成本费用登记表!$Q$4:$Y$303,163,7))</f>
        <v/>
      </c>
      <c r="F2598" s="25" t="str">
        <f>IF($E2598="","",IFERROR(INDEX(科目表!$A$4:$A$81,MATCH($E2598,科目表!$B$4:$B$81,0)),""))</f>
        <v/>
      </c>
      <c r="G2598" s="26" t="str">
        <f>IF($E2598="","",IFERROR(INDEX(科目表!$E$4:$E$81,MATCH($E2598,科目表!$B$4:$B$81,0)),""))</f>
        <v/>
      </c>
      <c r="H2598" s="27" t="str">
        <f>IF($E2598="","",N(INDEX(成本费用登记表!$Q$4:$Y$303,163,8)))</f>
        <v/>
      </c>
      <c r="I2598" s="27" t="str">
        <f>IF($E2598="","",N(INDEX(成本费用登记表!$Q$4:$Y$303,163,9)))</f>
        <v/>
      </c>
      <c r="J2598" s="26" t="str">
        <f>IF($E2598="","",INDEX(成本费用登记表!$C$4:$C$303,163))</f>
        <v/>
      </c>
      <c r="K2598" s="26" t="str">
        <f>IF($E2598="","",INDEX(成本费用登记表!$D$4:$D$303,163))</f>
        <v/>
      </c>
      <c r="L2598" s="32" t="str">
        <f>IF($E2598="","",INDEX(成本费用登记表!$N$4:$N$303,163))</f>
        <v/>
      </c>
      <c r="M2598" s="32"/>
      <c r="N2598" s="26" t="str">
        <f t="shared" si="126"/>
        <v/>
      </c>
      <c r="O2598" s="26" t="str">
        <f t="shared" si="127"/>
        <v/>
      </c>
      <c r="P2598" s="10"/>
    </row>
    <row r="2599" ht="18" customHeight="1" spans="1:16">
      <c r="A2599" s="32" t="str">
        <f t="shared" si="128"/>
        <v/>
      </c>
      <c r="B2599" s="100" t="str">
        <f>IF($E2599="","",INDEX(成本费用登记表!$B$4:$B$303,164))</f>
        <v/>
      </c>
      <c r="C2599" s="26" t="str">
        <f t="shared" si="125"/>
        <v/>
      </c>
      <c r="D2599" s="32" t="str">
        <f>IF($E2599="","",INDEX(成本费用登记表!$E$4:$E$303,164))</f>
        <v/>
      </c>
      <c r="E2599" s="26" t="str">
        <f>IF(INDEX(成本费用登记表!$Q$4:$Y$303,164,1)=0,"",INDEX(成本费用登记表!$Q$4:$Y$303,164,1))</f>
        <v/>
      </c>
      <c r="F2599" s="25" t="str">
        <f>IF($E2599="","",IFERROR(INDEX(科目表!$A$4:$A$81,MATCH($E2599,科目表!$B$4:$B$81,0)),""))</f>
        <v/>
      </c>
      <c r="G2599" s="26" t="str">
        <f>IF($E2599="","",IFERROR(INDEX(科目表!$E$4:$E$81,MATCH($E2599,科目表!$B$4:$B$81,0)),""))</f>
        <v/>
      </c>
      <c r="H2599" s="27" t="str">
        <f>IF($E2599="","",N(INDEX(成本费用登记表!$Q$4:$Y$303,164,2)))</f>
        <v/>
      </c>
      <c r="I2599" s="27" t="str">
        <f>IF($E2599="","",N(INDEX(成本费用登记表!$Q$4:$Y$303,164,3)))</f>
        <v/>
      </c>
      <c r="J2599" s="26" t="str">
        <f>IF($E2599="","",INDEX(成本费用登记表!$C$4:$C$303,164))</f>
        <v/>
      </c>
      <c r="K2599" s="26" t="str">
        <f>IF($E2599="","",INDEX(成本费用登记表!$D$4:$D$303,164))</f>
        <v/>
      </c>
      <c r="L2599" s="32" t="str">
        <f>IF($E2599="","",INDEX(成本费用登记表!$N$4:$N$303,164))</f>
        <v/>
      </c>
      <c r="M2599" s="32"/>
      <c r="N2599" s="26" t="str">
        <f t="shared" si="126"/>
        <v/>
      </c>
      <c r="O2599" s="26" t="str">
        <f t="shared" si="127"/>
        <v/>
      </c>
      <c r="P2599" s="10"/>
    </row>
    <row r="2600" ht="18" customHeight="1" spans="1:16">
      <c r="A2600" s="32" t="str">
        <f t="shared" si="128"/>
        <v/>
      </c>
      <c r="B2600" s="100" t="str">
        <f>IF($E2600="","",INDEX(成本费用登记表!$B$4:$B$303,164))</f>
        <v/>
      </c>
      <c r="C2600" s="26" t="str">
        <f t="shared" si="125"/>
        <v/>
      </c>
      <c r="D2600" s="32" t="str">
        <f>IF($E2600="","",INDEX(成本费用登记表!$E$4:$E$303,164))</f>
        <v/>
      </c>
      <c r="E2600" s="26" t="str">
        <f>IF(INDEX(成本费用登记表!$Q$4:$Y$303,164,4)=0,"",INDEX(成本费用登记表!$Q$4:$Y$303,164,4))</f>
        <v/>
      </c>
      <c r="F2600" s="25" t="str">
        <f>IF($E2600="","",IFERROR(INDEX(科目表!$A$4:$A$81,MATCH($E2600,科目表!$B$4:$B$81,0)),""))</f>
        <v/>
      </c>
      <c r="G2600" s="26" t="str">
        <f>IF($E2600="","",IFERROR(INDEX(科目表!$E$4:$E$81,MATCH($E2600,科目表!$B$4:$B$81,0)),""))</f>
        <v/>
      </c>
      <c r="H2600" s="27" t="str">
        <f>IF($E2600="","",N(INDEX(成本费用登记表!$Q$4:$Y$303,164,5)))</f>
        <v/>
      </c>
      <c r="I2600" s="27" t="str">
        <f>IF($E2600="","",N(INDEX(成本费用登记表!$Q$4:$Y$303,164,6)))</f>
        <v/>
      </c>
      <c r="J2600" s="26" t="str">
        <f>IF($E2600="","",INDEX(成本费用登记表!$C$4:$C$303,164))</f>
        <v/>
      </c>
      <c r="K2600" s="26" t="str">
        <f>IF($E2600="","",INDEX(成本费用登记表!$D$4:$D$303,164))</f>
        <v/>
      </c>
      <c r="L2600" s="32" t="str">
        <f>IF($E2600="","",INDEX(成本费用登记表!$N$4:$N$303,164))</f>
        <v/>
      </c>
      <c r="M2600" s="32"/>
      <c r="N2600" s="26" t="str">
        <f t="shared" si="126"/>
        <v/>
      </c>
      <c r="O2600" s="26" t="str">
        <f t="shared" si="127"/>
        <v/>
      </c>
      <c r="P2600" s="10"/>
    </row>
    <row r="2601" ht="18" customHeight="1" spans="1:16">
      <c r="A2601" s="32" t="str">
        <f t="shared" si="128"/>
        <v/>
      </c>
      <c r="B2601" s="100" t="str">
        <f>IF($E2601="","",INDEX(成本费用登记表!$B$4:$B$303,164))</f>
        <v/>
      </c>
      <c r="C2601" s="26" t="str">
        <f t="shared" si="125"/>
        <v/>
      </c>
      <c r="D2601" s="32" t="str">
        <f>IF($E2601="","",INDEX(成本费用登记表!$E$4:$E$303,164))</f>
        <v/>
      </c>
      <c r="E2601" s="26" t="str">
        <f>IF(INDEX(成本费用登记表!$Q$4:$Y$303,164,7)=0,"",INDEX(成本费用登记表!$Q$4:$Y$303,164,7))</f>
        <v/>
      </c>
      <c r="F2601" s="25" t="str">
        <f>IF($E2601="","",IFERROR(INDEX(科目表!$A$4:$A$81,MATCH($E2601,科目表!$B$4:$B$81,0)),""))</f>
        <v/>
      </c>
      <c r="G2601" s="26" t="str">
        <f>IF($E2601="","",IFERROR(INDEX(科目表!$E$4:$E$81,MATCH($E2601,科目表!$B$4:$B$81,0)),""))</f>
        <v/>
      </c>
      <c r="H2601" s="27" t="str">
        <f>IF($E2601="","",N(INDEX(成本费用登记表!$Q$4:$Y$303,164,8)))</f>
        <v/>
      </c>
      <c r="I2601" s="27" t="str">
        <f>IF($E2601="","",N(INDEX(成本费用登记表!$Q$4:$Y$303,164,9)))</f>
        <v/>
      </c>
      <c r="J2601" s="26" t="str">
        <f>IF($E2601="","",INDEX(成本费用登记表!$C$4:$C$303,164))</f>
        <v/>
      </c>
      <c r="K2601" s="26" t="str">
        <f>IF($E2601="","",INDEX(成本费用登记表!$D$4:$D$303,164))</f>
        <v/>
      </c>
      <c r="L2601" s="32" t="str">
        <f>IF($E2601="","",INDEX(成本费用登记表!$N$4:$N$303,164))</f>
        <v/>
      </c>
      <c r="M2601" s="32"/>
      <c r="N2601" s="26" t="str">
        <f t="shared" si="126"/>
        <v/>
      </c>
      <c r="O2601" s="26" t="str">
        <f t="shared" si="127"/>
        <v/>
      </c>
      <c r="P2601" s="10"/>
    </row>
    <row r="2602" ht="18" customHeight="1" spans="1:16">
      <c r="A2602" s="32" t="str">
        <f t="shared" si="128"/>
        <v/>
      </c>
      <c r="B2602" s="100" t="str">
        <f>IF($E2602="","",INDEX(成本费用登记表!$B$4:$B$303,165))</f>
        <v/>
      </c>
      <c r="C2602" s="26" t="str">
        <f t="shared" si="125"/>
        <v/>
      </c>
      <c r="D2602" s="32" t="str">
        <f>IF($E2602="","",INDEX(成本费用登记表!$E$4:$E$303,165))</f>
        <v/>
      </c>
      <c r="E2602" s="26" t="str">
        <f>IF(INDEX(成本费用登记表!$Q$4:$Y$303,165,1)=0,"",INDEX(成本费用登记表!$Q$4:$Y$303,165,1))</f>
        <v/>
      </c>
      <c r="F2602" s="25" t="str">
        <f>IF($E2602="","",IFERROR(INDEX(科目表!$A$4:$A$81,MATCH($E2602,科目表!$B$4:$B$81,0)),""))</f>
        <v/>
      </c>
      <c r="G2602" s="26" t="str">
        <f>IF($E2602="","",IFERROR(INDEX(科目表!$E$4:$E$81,MATCH($E2602,科目表!$B$4:$B$81,0)),""))</f>
        <v/>
      </c>
      <c r="H2602" s="27" t="str">
        <f>IF($E2602="","",N(INDEX(成本费用登记表!$Q$4:$Y$303,165,2)))</f>
        <v/>
      </c>
      <c r="I2602" s="27" t="str">
        <f>IF($E2602="","",N(INDEX(成本费用登记表!$Q$4:$Y$303,165,3)))</f>
        <v/>
      </c>
      <c r="J2602" s="26" t="str">
        <f>IF($E2602="","",INDEX(成本费用登记表!$C$4:$C$303,165))</f>
        <v/>
      </c>
      <c r="K2602" s="26" t="str">
        <f>IF($E2602="","",INDEX(成本费用登记表!$D$4:$D$303,165))</f>
        <v/>
      </c>
      <c r="L2602" s="32" t="str">
        <f>IF($E2602="","",INDEX(成本费用登记表!$N$4:$N$303,165))</f>
        <v/>
      </c>
      <c r="M2602" s="32"/>
      <c r="N2602" s="26" t="str">
        <f t="shared" si="126"/>
        <v/>
      </c>
      <c r="O2602" s="26" t="str">
        <f t="shared" si="127"/>
        <v/>
      </c>
      <c r="P2602" s="10"/>
    </row>
    <row r="2603" ht="18" customHeight="1" spans="1:16">
      <c r="A2603" s="32" t="str">
        <f t="shared" si="128"/>
        <v/>
      </c>
      <c r="B2603" s="100" t="str">
        <f>IF($E2603="","",INDEX(成本费用登记表!$B$4:$B$303,165))</f>
        <v/>
      </c>
      <c r="C2603" s="26" t="str">
        <f t="shared" si="125"/>
        <v/>
      </c>
      <c r="D2603" s="32" t="str">
        <f>IF($E2603="","",INDEX(成本费用登记表!$E$4:$E$303,165))</f>
        <v/>
      </c>
      <c r="E2603" s="26" t="str">
        <f>IF(INDEX(成本费用登记表!$Q$4:$Y$303,165,4)=0,"",INDEX(成本费用登记表!$Q$4:$Y$303,165,4))</f>
        <v/>
      </c>
      <c r="F2603" s="25" t="str">
        <f>IF($E2603="","",IFERROR(INDEX(科目表!$A$4:$A$81,MATCH($E2603,科目表!$B$4:$B$81,0)),""))</f>
        <v/>
      </c>
      <c r="G2603" s="26" t="str">
        <f>IF($E2603="","",IFERROR(INDEX(科目表!$E$4:$E$81,MATCH($E2603,科目表!$B$4:$B$81,0)),""))</f>
        <v/>
      </c>
      <c r="H2603" s="27" t="str">
        <f>IF($E2603="","",N(INDEX(成本费用登记表!$Q$4:$Y$303,165,5)))</f>
        <v/>
      </c>
      <c r="I2603" s="27" t="str">
        <f>IF($E2603="","",N(INDEX(成本费用登记表!$Q$4:$Y$303,165,6)))</f>
        <v/>
      </c>
      <c r="J2603" s="26" t="str">
        <f>IF($E2603="","",INDEX(成本费用登记表!$C$4:$C$303,165))</f>
        <v/>
      </c>
      <c r="K2603" s="26" t="str">
        <f>IF($E2603="","",INDEX(成本费用登记表!$D$4:$D$303,165))</f>
        <v/>
      </c>
      <c r="L2603" s="32" t="str">
        <f>IF($E2603="","",INDEX(成本费用登记表!$N$4:$N$303,165))</f>
        <v/>
      </c>
      <c r="M2603" s="32"/>
      <c r="N2603" s="26" t="str">
        <f t="shared" si="126"/>
        <v/>
      </c>
      <c r="O2603" s="26" t="str">
        <f t="shared" si="127"/>
        <v/>
      </c>
      <c r="P2603" s="10"/>
    </row>
    <row r="2604" ht="18" customHeight="1" spans="1:16">
      <c r="A2604" s="32" t="str">
        <f t="shared" si="128"/>
        <v/>
      </c>
      <c r="B2604" s="100" t="str">
        <f>IF($E2604="","",INDEX(成本费用登记表!$B$4:$B$303,165))</f>
        <v/>
      </c>
      <c r="C2604" s="26" t="str">
        <f t="shared" si="125"/>
        <v/>
      </c>
      <c r="D2604" s="32" t="str">
        <f>IF($E2604="","",INDEX(成本费用登记表!$E$4:$E$303,165))</f>
        <v/>
      </c>
      <c r="E2604" s="26" t="str">
        <f>IF(INDEX(成本费用登记表!$Q$4:$Y$303,165,7)=0,"",INDEX(成本费用登记表!$Q$4:$Y$303,165,7))</f>
        <v/>
      </c>
      <c r="F2604" s="25" t="str">
        <f>IF($E2604="","",IFERROR(INDEX(科目表!$A$4:$A$81,MATCH($E2604,科目表!$B$4:$B$81,0)),""))</f>
        <v/>
      </c>
      <c r="G2604" s="26" t="str">
        <f>IF($E2604="","",IFERROR(INDEX(科目表!$E$4:$E$81,MATCH($E2604,科目表!$B$4:$B$81,0)),""))</f>
        <v/>
      </c>
      <c r="H2604" s="27" t="str">
        <f>IF($E2604="","",N(INDEX(成本费用登记表!$Q$4:$Y$303,165,8)))</f>
        <v/>
      </c>
      <c r="I2604" s="27" t="str">
        <f>IF($E2604="","",N(INDEX(成本费用登记表!$Q$4:$Y$303,165,9)))</f>
        <v/>
      </c>
      <c r="J2604" s="26" t="str">
        <f>IF($E2604="","",INDEX(成本费用登记表!$C$4:$C$303,165))</f>
        <v/>
      </c>
      <c r="K2604" s="26" t="str">
        <f>IF($E2604="","",INDEX(成本费用登记表!$D$4:$D$303,165))</f>
        <v/>
      </c>
      <c r="L2604" s="32" t="str">
        <f>IF($E2604="","",INDEX(成本费用登记表!$N$4:$N$303,165))</f>
        <v/>
      </c>
      <c r="M2604" s="32"/>
      <c r="N2604" s="26" t="str">
        <f t="shared" si="126"/>
        <v/>
      </c>
      <c r="O2604" s="26" t="str">
        <f t="shared" si="127"/>
        <v/>
      </c>
      <c r="P2604" s="10"/>
    </row>
    <row r="2605" ht="18" customHeight="1" spans="1:16">
      <c r="A2605" s="32" t="str">
        <f t="shared" si="128"/>
        <v/>
      </c>
      <c r="B2605" s="100" t="str">
        <f>IF($E2605="","",INDEX(成本费用登记表!$B$4:$B$303,166))</f>
        <v/>
      </c>
      <c r="C2605" s="26" t="str">
        <f t="shared" si="125"/>
        <v/>
      </c>
      <c r="D2605" s="32" t="str">
        <f>IF($E2605="","",INDEX(成本费用登记表!$E$4:$E$303,166))</f>
        <v/>
      </c>
      <c r="E2605" s="26" t="str">
        <f>IF(INDEX(成本费用登记表!$Q$4:$Y$303,166,1)=0,"",INDEX(成本费用登记表!$Q$4:$Y$303,166,1))</f>
        <v/>
      </c>
      <c r="F2605" s="25" t="str">
        <f>IF($E2605="","",IFERROR(INDEX(科目表!$A$4:$A$81,MATCH($E2605,科目表!$B$4:$B$81,0)),""))</f>
        <v/>
      </c>
      <c r="G2605" s="26" t="str">
        <f>IF($E2605="","",IFERROR(INDEX(科目表!$E$4:$E$81,MATCH($E2605,科目表!$B$4:$B$81,0)),""))</f>
        <v/>
      </c>
      <c r="H2605" s="27" t="str">
        <f>IF($E2605="","",N(INDEX(成本费用登记表!$Q$4:$Y$303,166,2)))</f>
        <v/>
      </c>
      <c r="I2605" s="27" t="str">
        <f>IF($E2605="","",N(INDEX(成本费用登记表!$Q$4:$Y$303,166,3)))</f>
        <v/>
      </c>
      <c r="J2605" s="26" t="str">
        <f>IF($E2605="","",INDEX(成本费用登记表!$C$4:$C$303,166))</f>
        <v/>
      </c>
      <c r="K2605" s="26" t="str">
        <f>IF($E2605="","",INDEX(成本费用登记表!$D$4:$D$303,166))</f>
        <v/>
      </c>
      <c r="L2605" s="32" t="str">
        <f>IF($E2605="","",INDEX(成本费用登记表!$N$4:$N$303,166))</f>
        <v/>
      </c>
      <c r="M2605" s="32"/>
      <c r="N2605" s="26" t="str">
        <f t="shared" si="126"/>
        <v/>
      </c>
      <c r="O2605" s="26" t="str">
        <f t="shared" si="127"/>
        <v/>
      </c>
      <c r="P2605" s="10"/>
    </row>
    <row r="2606" ht="18" customHeight="1" spans="1:16">
      <c r="A2606" s="32" t="str">
        <f t="shared" si="128"/>
        <v/>
      </c>
      <c r="B2606" s="100" t="str">
        <f>IF($E2606="","",INDEX(成本费用登记表!$B$4:$B$303,166))</f>
        <v/>
      </c>
      <c r="C2606" s="26" t="str">
        <f t="shared" si="125"/>
        <v/>
      </c>
      <c r="D2606" s="32" t="str">
        <f>IF($E2606="","",INDEX(成本费用登记表!$E$4:$E$303,166))</f>
        <v/>
      </c>
      <c r="E2606" s="26" t="str">
        <f>IF(INDEX(成本费用登记表!$Q$4:$Y$303,166,4)=0,"",INDEX(成本费用登记表!$Q$4:$Y$303,166,4))</f>
        <v/>
      </c>
      <c r="F2606" s="25" t="str">
        <f>IF($E2606="","",IFERROR(INDEX(科目表!$A$4:$A$81,MATCH($E2606,科目表!$B$4:$B$81,0)),""))</f>
        <v/>
      </c>
      <c r="G2606" s="26" t="str">
        <f>IF($E2606="","",IFERROR(INDEX(科目表!$E$4:$E$81,MATCH($E2606,科目表!$B$4:$B$81,0)),""))</f>
        <v/>
      </c>
      <c r="H2606" s="27" t="str">
        <f>IF($E2606="","",N(INDEX(成本费用登记表!$Q$4:$Y$303,166,5)))</f>
        <v/>
      </c>
      <c r="I2606" s="27" t="str">
        <f>IF($E2606="","",N(INDEX(成本费用登记表!$Q$4:$Y$303,166,6)))</f>
        <v/>
      </c>
      <c r="J2606" s="26" t="str">
        <f>IF($E2606="","",INDEX(成本费用登记表!$C$4:$C$303,166))</f>
        <v/>
      </c>
      <c r="K2606" s="26" t="str">
        <f>IF($E2606="","",INDEX(成本费用登记表!$D$4:$D$303,166))</f>
        <v/>
      </c>
      <c r="L2606" s="32" t="str">
        <f>IF($E2606="","",INDEX(成本费用登记表!$N$4:$N$303,166))</f>
        <v/>
      </c>
      <c r="M2606" s="32"/>
      <c r="N2606" s="26" t="str">
        <f t="shared" si="126"/>
        <v/>
      </c>
      <c r="O2606" s="26" t="str">
        <f t="shared" si="127"/>
        <v/>
      </c>
      <c r="P2606" s="10"/>
    </row>
    <row r="2607" ht="18" customHeight="1" spans="1:16">
      <c r="A2607" s="32" t="str">
        <f t="shared" si="128"/>
        <v/>
      </c>
      <c r="B2607" s="100" t="str">
        <f>IF($E2607="","",INDEX(成本费用登记表!$B$4:$B$303,166))</f>
        <v/>
      </c>
      <c r="C2607" s="26" t="str">
        <f t="shared" si="125"/>
        <v/>
      </c>
      <c r="D2607" s="32" t="str">
        <f>IF($E2607="","",INDEX(成本费用登记表!$E$4:$E$303,166))</f>
        <v/>
      </c>
      <c r="E2607" s="26" t="str">
        <f>IF(INDEX(成本费用登记表!$Q$4:$Y$303,166,7)=0,"",INDEX(成本费用登记表!$Q$4:$Y$303,166,7))</f>
        <v/>
      </c>
      <c r="F2607" s="25" t="str">
        <f>IF($E2607="","",IFERROR(INDEX(科目表!$A$4:$A$81,MATCH($E2607,科目表!$B$4:$B$81,0)),""))</f>
        <v/>
      </c>
      <c r="G2607" s="26" t="str">
        <f>IF($E2607="","",IFERROR(INDEX(科目表!$E$4:$E$81,MATCH($E2607,科目表!$B$4:$B$81,0)),""))</f>
        <v/>
      </c>
      <c r="H2607" s="27" t="str">
        <f>IF($E2607="","",N(INDEX(成本费用登记表!$Q$4:$Y$303,166,8)))</f>
        <v/>
      </c>
      <c r="I2607" s="27" t="str">
        <f>IF($E2607="","",N(INDEX(成本费用登记表!$Q$4:$Y$303,166,9)))</f>
        <v/>
      </c>
      <c r="J2607" s="26" t="str">
        <f>IF($E2607="","",INDEX(成本费用登记表!$C$4:$C$303,166))</f>
        <v/>
      </c>
      <c r="K2607" s="26" t="str">
        <f>IF($E2607="","",INDEX(成本费用登记表!$D$4:$D$303,166))</f>
        <v/>
      </c>
      <c r="L2607" s="32" t="str">
        <f>IF($E2607="","",INDEX(成本费用登记表!$N$4:$N$303,166))</f>
        <v/>
      </c>
      <c r="M2607" s="32"/>
      <c r="N2607" s="26" t="str">
        <f t="shared" si="126"/>
        <v/>
      </c>
      <c r="O2607" s="26" t="str">
        <f t="shared" si="127"/>
        <v/>
      </c>
      <c r="P2607" s="10"/>
    </row>
    <row r="2608" ht="18" customHeight="1" spans="1:16">
      <c r="A2608" s="32" t="str">
        <f t="shared" si="128"/>
        <v/>
      </c>
      <c r="B2608" s="100" t="str">
        <f>IF($E2608="","",INDEX(成本费用登记表!$B$4:$B$303,167))</f>
        <v/>
      </c>
      <c r="C2608" s="26" t="str">
        <f t="shared" si="125"/>
        <v/>
      </c>
      <c r="D2608" s="32" t="str">
        <f>IF($E2608="","",INDEX(成本费用登记表!$E$4:$E$303,167))</f>
        <v/>
      </c>
      <c r="E2608" s="26" t="str">
        <f>IF(INDEX(成本费用登记表!$Q$4:$Y$303,167,1)=0,"",INDEX(成本费用登记表!$Q$4:$Y$303,167,1))</f>
        <v/>
      </c>
      <c r="F2608" s="25" t="str">
        <f>IF($E2608="","",IFERROR(INDEX(科目表!$A$4:$A$81,MATCH($E2608,科目表!$B$4:$B$81,0)),""))</f>
        <v/>
      </c>
      <c r="G2608" s="26" t="str">
        <f>IF($E2608="","",IFERROR(INDEX(科目表!$E$4:$E$81,MATCH($E2608,科目表!$B$4:$B$81,0)),""))</f>
        <v/>
      </c>
      <c r="H2608" s="27" t="str">
        <f>IF($E2608="","",N(INDEX(成本费用登记表!$Q$4:$Y$303,167,2)))</f>
        <v/>
      </c>
      <c r="I2608" s="27" t="str">
        <f>IF($E2608="","",N(INDEX(成本费用登记表!$Q$4:$Y$303,167,3)))</f>
        <v/>
      </c>
      <c r="J2608" s="26" t="str">
        <f>IF($E2608="","",INDEX(成本费用登记表!$C$4:$C$303,167))</f>
        <v/>
      </c>
      <c r="K2608" s="26" t="str">
        <f>IF($E2608="","",INDEX(成本费用登记表!$D$4:$D$303,167))</f>
        <v/>
      </c>
      <c r="L2608" s="32" t="str">
        <f>IF($E2608="","",INDEX(成本费用登记表!$N$4:$N$303,167))</f>
        <v/>
      </c>
      <c r="M2608" s="32"/>
      <c r="N2608" s="26" t="str">
        <f t="shared" si="126"/>
        <v/>
      </c>
      <c r="O2608" s="26" t="str">
        <f t="shared" si="127"/>
        <v/>
      </c>
      <c r="P2608" s="10"/>
    </row>
    <row r="2609" ht="18" customHeight="1" spans="1:16">
      <c r="A2609" s="32" t="str">
        <f t="shared" si="128"/>
        <v/>
      </c>
      <c r="B2609" s="100" t="str">
        <f>IF($E2609="","",INDEX(成本费用登记表!$B$4:$B$303,167))</f>
        <v/>
      </c>
      <c r="C2609" s="26" t="str">
        <f t="shared" si="125"/>
        <v/>
      </c>
      <c r="D2609" s="32" t="str">
        <f>IF($E2609="","",INDEX(成本费用登记表!$E$4:$E$303,167))</f>
        <v/>
      </c>
      <c r="E2609" s="26" t="str">
        <f>IF(INDEX(成本费用登记表!$Q$4:$Y$303,167,4)=0,"",INDEX(成本费用登记表!$Q$4:$Y$303,167,4))</f>
        <v/>
      </c>
      <c r="F2609" s="25" t="str">
        <f>IF($E2609="","",IFERROR(INDEX(科目表!$A$4:$A$81,MATCH($E2609,科目表!$B$4:$B$81,0)),""))</f>
        <v/>
      </c>
      <c r="G2609" s="26" t="str">
        <f>IF($E2609="","",IFERROR(INDEX(科目表!$E$4:$E$81,MATCH($E2609,科目表!$B$4:$B$81,0)),""))</f>
        <v/>
      </c>
      <c r="H2609" s="27" t="str">
        <f>IF($E2609="","",N(INDEX(成本费用登记表!$Q$4:$Y$303,167,5)))</f>
        <v/>
      </c>
      <c r="I2609" s="27" t="str">
        <f>IF($E2609="","",N(INDEX(成本费用登记表!$Q$4:$Y$303,167,6)))</f>
        <v/>
      </c>
      <c r="J2609" s="26" t="str">
        <f>IF($E2609="","",INDEX(成本费用登记表!$C$4:$C$303,167))</f>
        <v/>
      </c>
      <c r="K2609" s="26" t="str">
        <f>IF($E2609="","",INDEX(成本费用登记表!$D$4:$D$303,167))</f>
        <v/>
      </c>
      <c r="L2609" s="32" t="str">
        <f>IF($E2609="","",INDEX(成本费用登记表!$N$4:$N$303,167))</f>
        <v/>
      </c>
      <c r="M2609" s="32"/>
      <c r="N2609" s="26" t="str">
        <f t="shared" si="126"/>
        <v/>
      </c>
      <c r="O2609" s="26" t="str">
        <f t="shared" si="127"/>
        <v/>
      </c>
      <c r="P2609" s="10"/>
    </row>
    <row r="2610" ht="18" customHeight="1" spans="1:16">
      <c r="A2610" s="32" t="str">
        <f t="shared" si="128"/>
        <v/>
      </c>
      <c r="B2610" s="100" t="str">
        <f>IF($E2610="","",INDEX(成本费用登记表!$B$4:$B$303,167))</f>
        <v/>
      </c>
      <c r="C2610" s="26" t="str">
        <f t="shared" si="125"/>
        <v/>
      </c>
      <c r="D2610" s="32" t="str">
        <f>IF($E2610="","",INDEX(成本费用登记表!$E$4:$E$303,167))</f>
        <v/>
      </c>
      <c r="E2610" s="26" t="str">
        <f>IF(INDEX(成本费用登记表!$Q$4:$Y$303,167,7)=0,"",INDEX(成本费用登记表!$Q$4:$Y$303,167,7))</f>
        <v/>
      </c>
      <c r="F2610" s="25" t="str">
        <f>IF($E2610="","",IFERROR(INDEX(科目表!$A$4:$A$81,MATCH($E2610,科目表!$B$4:$B$81,0)),""))</f>
        <v/>
      </c>
      <c r="G2610" s="26" t="str">
        <f>IF($E2610="","",IFERROR(INDEX(科目表!$E$4:$E$81,MATCH($E2610,科目表!$B$4:$B$81,0)),""))</f>
        <v/>
      </c>
      <c r="H2610" s="27" t="str">
        <f>IF($E2610="","",N(INDEX(成本费用登记表!$Q$4:$Y$303,167,8)))</f>
        <v/>
      </c>
      <c r="I2610" s="27" t="str">
        <f>IF($E2610="","",N(INDEX(成本费用登记表!$Q$4:$Y$303,167,9)))</f>
        <v/>
      </c>
      <c r="J2610" s="26" t="str">
        <f>IF($E2610="","",INDEX(成本费用登记表!$C$4:$C$303,167))</f>
        <v/>
      </c>
      <c r="K2610" s="26" t="str">
        <f>IF($E2610="","",INDEX(成本费用登记表!$D$4:$D$303,167))</f>
        <v/>
      </c>
      <c r="L2610" s="32" t="str">
        <f>IF($E2610="","",INDEX(成本费用登记表!$N$4:$N$303,167))</f>
        <v/>
      </c>
      <c r="M2610" s="32"/>
      <c r="N2610" s="26" t="str">
        <f t="shared" si="126"/>
        <v/>
      </c>
      <c r="O2610" s="26" t="str">
        <f t="shared" si="127"/>
        <v/>
      </c>
      <c r="P2610" s="10"/>
    </row>
    <row r="2611" ht="18" customHeight="1" spans="1:16">
      <c r="A2611" s="32" t="str">
        <f t="shared" si="128"/>
        <v/>
      </c>
      <c r="B2611" s="100" t="str">
        <f>IF($E2611="","",INDEX(成本费用登记表!$B$4:$B$303,168))</f>
        <v/>
      </c>
      <c r="C2611" s="26" t="str">
        <f t="shared" si="125"/>
        <v/>
      </c>
      <c r="D2611" s="32" t="str">
        <f>IF($E2611="","",INDEX(成本费用登记表!$E$4:$E$303,168))</f>
        <v/>
      </c>
      <c r="E2611" s="26" t="str">
        <f>IF(INDEX(成本费用登记表!$Q$4:$Y$303,168,1)=0,"",INDEX(成本费用登记表!$Q$4:$Y$303,168,1))</f>
        <v/>
      </c>
      <c r="F2611" s="25" t="str">
        <f>IF($E2611="","",IFERROR(INDEX(科目表!$A$4:$A$81,MATCH($E2611,科目表!$B$4:$B$81,0)),""))</f>
        <v/>
      </c>
      <c r="G2611" s="26" t="str">
        <f>IF($E2611="","",IFERROR(INDEX(科目表!$E$4:$E$81,MATCH($E2611,科目表!$B$4:$B$81,0)),""))</f>
        <v/>
      </c>
      <c r="H2611" s="27" t="str">
        <f>IF($E2611="","",N(INDEX(成本费用登记表!$Q$4:$Y$303,168,2)))</f>
        <v/>
      </c>
      <c r="I2611" s="27" t="str">
        <f>IF($E2611="","",N(INDEX(成本费用登记表!$Q$4:$Y$303,168,3)))</f>
        <v/>
      </c>
      <c r="J2611" s="26" t="str">
        <f>IF($E2611="","",INDEX(成本费用登记表!$C$4:$C$303,168))</f>
        <v/>
      </c>
      <c r="K2611" s="26" t="str">
        <f>IF($E2611="","",INDEX(成本费用登记表!$D$4:$D$303,168))</f>
        <v/>
      </c>
      <c r="L2611" s="32" t="str">
        <f>IF($E2611="","",INDEX(成本费用登记表!$N$4:$N$303,168))</f>
        <v/>
      </c>
      <c r="M2611" s="32"/>
      <c r="N2611" s="26" t="str">
        <f t="shared" si="126"/>
        <v/>
      </c>
      <c r="O2611" s="26" t="str">
        <f t="shared" si="127"/>
        <v/>
      </c>
      <c r="P2611" s="10"/>
    </row>
    <row r="2612" ht="18" customHeight="1" spans="1:16">
      <c r="A2612" s="32" t="str">
        <f t="shared" si="128"/>
        <v/>
      </c>
      <c r="B2612" s="100" t="str">
        <f>IF($E2612="","",INDEX(成本费用登记表!$B$4:$B$303,168))</f>
        <v/>
      </c>
      <c r="C2612" s="26" t="str">
        <f t="shared" si="125"/>
        <v/>
      </c>
      <c r="D2612" s="32" t="str">
        <f>IF($E2612="","",INDEX(成本费用登记表!$E$4:$E$303,168))</f>
        <v/>
      </c>
      <c r="E2612" s="26" t="str">
        <f>IF(INDEX(成本费用登记表!$Q$4:$Y$303,168,4)=0,"",INDEX(成本费用登记表!$Q$4:$Y$303,168,4))</f>
        <v/>
      </c>
      <c r="F2612" s="25" t="str">
        <f>IF($E2612="","",IFERROR(INDEX(科目表!$A$4:$A$81,MATCH($E2612,科目表!$B$4:$B$81,0)),""))</f>
        <v/>
      </c>
      <c r="G2612" s="26" t="str">
        <f>IF($E2612="","",IFERROR(INDEX(科目表!$E$4:$E$81,MATCH($E2612,科目表!$B$4:$B$81,0)),""))</f>
        <v/>
      </c>
      <c r="H2612" s="27" t="str">
        <f>IF($E2612="","",N(INDEX(成本费用登记表!$Q$4:$Y$303,168,5)))</f>
        <v/>
      </c>
      <c r="I2612" s="27" t="str">
        <f>IF($E2612="","",N(INDEX(成本费用登记表!$Q$4:$Y$303,168,6)))</f>
        <v/>
      </c>
      <c r="J2612" s="26" t="str">
        <f>IF($E2612="","",INDEX(成本费用登记表!$C$4:$C$303,168))</f>
        <v/>
      </c>
      <c r="K2612" s="26" t="str">
        <f>IF($E2612="","",INDEX(成本费用登记表!$D$4:$D$303,168))</f>
        <v/>
      </c>
      <c r="L2612" s="32" t="str">
        <f>IF($E2612="","",INDEX(成本费用登记表!$N$4:$N$303,168))</f>
        <v/>
      </c>
      <c r="M2612" s="32"/>
      <c r="N2612" s="26" t="str">
        <f t="shared" si="126"/>
        <v/>
      </c>
      <c r="O2612" s="26" t="str">
        <f t="shared" si="127"/>
        <v/>
      </c>
      <c r="P2612" s="10"/>
    </row>
    <row r="2613" ht="18" customHeight="1" spans="1:16">
      <c r="A2613" s="32" t="str">
        <f t="shared" si="128"/>
        <v/>
      </c>
      <c r="B2613" s="100" t="str">
        <f>IF($E2613="","",INDEX(成本费用登记表!$B$4:$B$303,168))</f>
        <v/>
      </c>
      <c r="C2613" s="26" t="str">
        <f t="shared" si="125"/>
        <v/>
      </c>
      <c r="D2613" s="32" t="str">
        <f>IF($E2613="","",INDEX(成本费用登记表!$E$4:$E$303,168))</f>
        <v/>
      </c>
      <c r="E2613" s="26" t="str">
        <f>IF(INDEX(成本费用登记表!$Q$4:$Y$303,168,7)=0,"",INDEX(成本费用登记表!$Q$4:$Y$303,168,7))</f>
        <v/>
      </c>
      <c r="F2613" s="25" t="str">
        <f>IF($E2613="","",IFERROR(INDEX(科目表!$A$4:$A$81,MATCH($E2613,科目表!$B$4:$B$81,0)),""))</f>
        <v/>
      </c>
      <c r="G2613" s="26" t="str">
        <f>IF($E2613="","",IFERROR(INDEX(科目表!$E$4:$E$81,MATCH($E2613,科目表!$B$4:$B$81,0)),""))</f>
        <v/>
      </c>
      <c r="H2613" s="27" t="str">
        <f>IF($E2613="","",N(INDEX(成本费用登记表!$Q$4:$Y$303,168,8)))</f>
        <v/>
      </c>
      <c r="I2613" s="27" t="str">
        <f>IF($E2613="","",N(INDEX(成本费用登记表!$Q$4:$Y$303,168,9)))</f>
        <v/>
      </c>
      <c r="J2613" s="26" t="str">
        <f>IF($E2613="","",INDEX(成本费用登记表!$C$4:$C$303,168))</f>
        <v/>
      </c>
      <c r="K2613" s="26" t="str">
        <f>IF($E2613="","",INDEX(成本费用登记表!$D$4:$D$303,168))</f>
        <v/>
      </c>
      <c r="L2613" s="32" t="str">
        <f>IF($E2613="","",INDEX(成本费用登记表!$N$4:$N$303,168))</f>
        <v/>
      </c>
      <c r="M2613" s="32"/>
      <c r="N2613" s="26" t="str">
        <f t="shared" si="126"/>
        <v/>
      </c>
      <c r="O2613" s="26" t="str">
        <f t="shared" si="127"/>
        <v/>
      </c>
      <c r="P2613" s="10"/>
    </row>
    <row r="2614" ht="18" customHeight="1" spans="1:16">
      <c r="A2614" s="32" t="str">
        <f t="shared" si="128"/>
        <v/>
      </c>
      <c r="B2614" s="100" t="str">
        <f>IF($E2614="","",INDEX(成本费用登记表!$B$4:$B$303,169))</f>
        <v/>
      </c>
      <c r="C2614" s="26" t="str">
        <f t="shared" si="125"/>
        <v/>
      </c>
      <c r="D2614" s="32" t="str">
        <f>IF($E2614="","",INDEX(成本费用登记表!$E$4:$E$303,169))</f>
        <v/>
      </c>
      <c r="E2614" s="26" t="str">
        <f>IF(INDEX(成本费用登记表!$Q$4:$Y$303,169,1)=0,"",INDEX(成本费用登记表!$Q$4:$Y$303,169,1))</f>
        <v/>
      </c>
      <c r="F2614" s="25" t="str">
        <f>IF($E2614="","",IFERROR(INDEX(科目表!$A$4:$A$81,MATCH($E2614,科目表!$B$4:$B$81,0)),""))</f>
        <v/>
      </c>
      <c r="G2614" s="26" t="str">
        <f>IF($E2614="","",IFERROR(INDEX(科目表!$E$4:$E$81,MATCH($E2614,科目表!$B$4:$B$81,0)),""))</f>
        <v/>
      </c>
      <c r="H2614" s="27" t="str">
        <f>IF($E2614="","",N(INDEX(成本费用登记表!$Q$4:$Y$303,169,2)))</f>
        <v/>
      </c>
      <c r="I2614" s="27" t="str">
        <f>IF($E2614="","",N(INDEX(成本费用登记表!$Q$4:$Y$303,169,3)))</f>
        <v/>
      </c>
      <c r="J2614" s="26" t="str">
        <f>IF($E2614="","",INDEX(成本费用登记表!$C$4:$C$303,169))</f>
        <v/>
      </c>
      <c r="K2614" s="26" t="str">
        <f>IF($E2614="","",INDEX(成本费用登记表!$D$4:$D$303,169))</f>
        <v/>
      </c>
      <c r="L2614" s="32" t="str">
        <f>IF($E2614="","",INDEX(成本费用登记表!$N$4:$N$303,169))</f>
        <v/>
      </c>
      <c r="M2614" s="32"/>
      <c r="N2614" s="26" t="str">
        <f t="shared" si="126"/>
        <v/>
      </c>
      <c r="O2614" s="26" t="str">
        <f t="shared" si="127"/>
        <v/>
      </c>
      <c r="P2614" s="10"/>
    </row>
    <row r="2615" ht="18" customHeight="1" spans="1:16">
      <c r="A2615" s="32" t="str">
        <f t="shared" si="128"/>
        <v/>
      </c>
      <c r="B2615" s="100" t="str">
        <f>IF($E2615="","",INDEX(成本费用登记表!$B$4:$B$303,169))</f>
        <v/>
      </c>
      <c r="C2615" s="26" t="str">
        <f t="shared" si="125"/>
        <v/>
      </c>
      <c r="D2615" s="32" t="str">
        <f>IF($E2615="","",INDEX(成本费用登记表!$E$4:$E$303,169))</f>
        <v/>
      </c>
      <c r="E2615" s="26" t="str">
        <f>IF(INDEX(成本费用登记表!$Q$4:$Y$303,169,4)=0,"",INDEX(成本费用登记表!$Q$4:$Y$303,169,4))</f>
        <v/>
      </c>
      <c r="F2615" s="25" t="str">
        <f>IF($E2615="","",IFERROR(INDEX(科目表!$A$4:$A$81,MATCH($E2615,科目表!$B$4:$B$81,0)),""))</f>
        <v/>
      </c>
      <c r="G2615" s="26" t="str">
        <f>IF($E2615="","",IFERROR(INDEX(科目表!$E$4:$E$81,MATCH($E2615,科目表!$B$4:$B$81,0)),""))</f>
        <v/>
      </c>
      <c r="H2615" s="27" t="str">
        <f>IF($E2615="","",N(INDEX(成本费用登记表!$Q$4:$Y$303,169,5)))</f>
        <v/>
      </c>
      <c r="I2615" s="27" t="str">
        <f>IF($E2615="","",N(INDEX(成本费用登记表!$Q$4:$Y$303,169,6)))</f>
        <v/>
      </c>
      <c r="J2615" s="26" t="str">
        <f>IF($E2615="","",INDEX(成本费用登记表!$C$4:$C$303,169))</f>
        <v/>
      </c>
      <c r="K2615" s="26" t="str">
        <f>IF($E2615="","",INDEX(成本费用登记表!$D$4:$D$303,169))</f>
        <v/>
      </c>
      <c r="L2615" s="32" t="str">
        <f>IF($E2615="","",INDEX(成本费用登记表!$N$4:$N$303,169))</f>
        <v/>
      </c>
      <c r="M2615" s="32"/>
      <c r="N2615" s="26" t="str">
        <f t="shared" si="126"/>
        <v/>
      </c>
      <c r="O2615" s="26" t="str">
        <f t="shared" si="127"/>
        <v/>
      </c>
      <c r="P2615" s="10"/>
    </row>
    <row r="2616" ht="18" customHeight="1" spans="1:16">
      <c r="A2616" s="32" t="str">
        <f t="shared" si="128"/>
        <v/>
      </c>
      <c r="B2616" s="100" t="str">
        <f>IF($E2616="","",INDEX(成本费用登记表!$B$4:$B$303,169))</f>
        <v/>
      </c>
      <c r="C2616" s="26" t="str">
        <f t="shared" si="125"/>
        <v/>
      </c>
      <c r="D2616" s="32" t="str">
        <f>IF($E2616="","",INDEX(成本费用登记表!$E$4:$E$303,169))</f>
        <v/>
      </c>
      <c r="E2616" s="26" t="str">
        <f>IF(INDEX(成本费用登记表!$Q$4:$Y$303,169,7)=0,"",INDEX(成本费用登记表!$Q$4:$Y$303,169,7))</f>
        <v/>
      </c>
      <c r="F2616" s="25" t="str">
        <f>IF($E2616="","",IFERROR(INDEX(科目表!$A$4:$A$81,MATCH($E2616,科目表!$B$4:$B$81,0)),""))</f>
        <v/>
      </c>
      <c r="G2616" s="26" t="str">
        <f>IF($E2616="","",IFERROR(INDEX(科目表!$E$4:$E$81,MATCH($E2616,科目表!$B$4:$B$81,0)),""))</f>
        <v/>
      </c>
      <c r="H2616" s="27" t="str">
        <f>IF($E2616="","",N(INDEX(成本费用登记表!$Q$4:$Y$303,169,8)))</f>
        <v/>
      </c>
      <c r="I2616" s="27" t="str">
        <f>IF($E2616="","",N(INDEX(成本费用登记表!$Q$4:$Y$303,169,9)))</f>
        <v/>
      </c>
      <c r="J2616" s="26" t="str">
        <f>IF($E2616="","",INDEX(成本费用登记表!$C$4:$C$303,169))</f>
        <v/>
      </c>
      <c r="K2616" s="26" t="str">
        <f>IF($E2616="","",INDEX(成本费用登记表!$D$4:$D$303,169))</f>
        <v/>
      </c>
      <c r="L2616" s="32" t="str">
        <f>IF($E2616="","",INDEX(成本费用登记表!$N$4:$N$303,169))</f>
        <v/>
      </c>
      <c r="M2616" s="32"/>
      <c r="N2616" s="26" t="str">
        <f t="shared" si="126"/>
        <v/>
      </c>
      <c r="O2616" s="26" t="str">
        <f t="shared" si="127"/>
        <v/>
      </c>
      <c r="P2616" s="10"/>
    </row>
    <row r="2617" ht="18" customHeight="1" spans="1:16">
      <c r="A2617" s="32" t="str">
        <f t="shared" si="128"/>
        <v/>
      </c>
      <c r="B2617" s="100" t="str">
        <f>IF($E2617="","",INDEX(成本费用登记表!$B$4:$B$303,170))</f>
        <v/>
      </c>
      <c r="C2617" s="26" t="str">
        <f t="shared" si="125"/>
        <v/>
      </c>
      <c r="D2617" s="32" t="str">
        <f>IF($E2617="","",INDEX(成本费用登记表!$E$4:$E$303,170))</f>
        <v/>
      </c>
      <c r="E2617" s="26" t="str">
        <f>IF(INDEX(成本费用登记表!$Q$4:$Y$303,170,1)=0,"",INDEX(成本费用登记表!$Q$4:$Y$303,170,1))</f>
        <v/>
      </c>
      <c r="F2617" s="25" t="str">
        <f>IF($E2617="","",IFERROR(INDEX(科目表!$A$4:$A$81,MATCH($E2617,科目表!$B$4:$B$81,0)),""))</f>
        <v/>
      </c>
      <c r="G2617" s="26" t="str">
        <f>IF($E2617="","",IFERROR(INDEX(科目表!$E$4:$E$81,MATCH($E2617,科目表!$B$4:$B$81,0)),""))</f>
        <v/>
      </c>
      <c r="H2617" s="27" t="str">
        <f>IF($E2617="","",N(INDEX(成本费用登记表!$Q$4:$Y$303,170,2)))</f>
        <v/>
      </c>
      <c r="I2617" s="27" t="str">
        <f>IF($E2617="","",N(INDEX(成本费用登记表!$Q$4:$Y$303,170,3)))</f>
        <v/>
      </c>
      <c r="J2617" s="26" t="str">
        <f>IF($E2617="","",INDEX(成本费用登记表!$C$4:$C$303,170))</f>
        <v/>
      </c>
      <c r="K2617" s="26" t="str">
        <f>IF($E2617="","",INDEX(成本费用登记表!$D$4:$D$303,170))</f>
        <v/>
      </c>
      <c r="L2617" s="32" t="str">
        <f>IF($E2617="","",INDEX(成本费用登记表!$N$4:$N$303,170))</f>
        <v/>
      </c>
      <c r="M2617" s="32"/>
      <c r="N2617" s="26" t="str">
        <f t="shared" si="126"/>
        <v/>
      </c>
      <c r="O2617" s="26" t="str">
        <f t="shared" si="127"/>
        <v/>
      </c>
      <c r="P2617" s="10"/>
    </row>
    <row r="2618" ht="18" customHeight="1" spans="1:16">
      <c r="A2618" s="32" t="str">
        <f t="shared" si="128"/>
        <v/>
      </c>
      <c r="B2618" s="100" t="str">
        <f>IF($E2618="","",INDEX(成本费用登记表!$B$4:$B$303,170))</f>
        <v/>
      </c>
      <c r="C2618" s="26" t="str">
        <f t="shared" si="125"/>
        <v/>
      </c>
      <c r="D2618" s="32" t="str">
        <f>IF($E2618="","",INDEX(成本费用登记表!$E$4:$E$303,170))</f>
        <v/>
      </c>
      <c r="E2618" s="26" t="str">
        <f>IF(INDEX(成本费用登记表!$Q$4:$Y$303,170,4)=0,"",INDEX(成本费用登记表!$Q$4:$Y$303,170,4))</f>
        <v/>
      </c>
      <c r="F2618" s="25" t="str">
        <f>IF($E2618="","",IFERROR(INDEX(科目表!$A$4:$A$81,MATCH($E2618,科目表!$B$4:$B$81,0)),""))</f>
        <v/>
      </c>
      <c r="G2618" s="26" t="str">
        <f>IF($E2618="","",IFERROR(INDEX(科目表!$E$4:$E$81,MATCH($E2618,科目表!$B$4:$B$81,0)),""))</f>
        <v/>
      </c>
      <c r="H2618" s="27" t="str">
        <f>IF($E2618="","",N(INDEX(成本费用登记表!$Q$4:$Y$303,170,5)))</f>
        <v/>
      </c>
      <c r="I2618" s="27" t="str">
        <f>IF($E2618="","",N(INDEX(成本费用登记表!$Q$4:$Y$303,170,6)))</f>
        <v/>
      </c>
      <c r="J2618" s="26" t="str">
        <f>IF($E2618="","",INDEX(成本费用登记表!$C$4:$C$303,170))</f>
        <v/>
      </c>
      <c r="K2618" s="26" t="str">
        <f>IF($E2618="","",INDEX(成本费用登记表!$D$4:$D$303,170))</f>
        <v/>
      </c>
      <c r="L2618" s="32" t="str">
        <f>IF($E2618="","",INDEX(成本费用登记表!$N$4:$N$303,170))</f>
        <v/>
      </c>
      <c r="M2618" s="32"/>
      <c r="N2618" s="26" t="str">
        <f t="shared" si="126"/>
        <v/>
      </c>
      <c r="O2618" s="26" t="str">
        <f t="shared" si="127"/>
        <v/>
      </c>
      <c r="P2618" s="10"/>
    </row>
    <row r="2619" ht="18" customHeight="1" spans="1:16">
      <c r="A2619" s="32" t="str">
        <f t="shared" si="128"/>
        <v/>
      </c>
      <c r="B2619" s="100" t="str">
        <f>IF($E2619="","",INDEX(成本费用登记表!$B$4:$B$303,170))</f>
        <v/>
      </c>
      <c r="C2619" s="26" t="str">
        <f t="shared" si="125"/>
        <v/>
      </c>
      <c r="D2619" s="32" t="str">
        <f>IF($E2619="","",INDEX(成本费用登记表!$E$4:$E$303,170))</f>
        <v/>
      </c>
      <c r="E2619" s="26" t="str">
        <f>IF(INDEX(成本费用登记表!$Q$4:$Y$303,170,7)=0,"",INDEX(成本费用登记表!$Q$4:$Y$303,170,7))</f>
        <v/>
      </c>
      <c r="F2619" s="25" t="str">
        <f>IF($E2619="","",IFERROR(INDEX(科目表!$A$4:$A$81,MATCH($E2619,科目表!$B$4:$B$81,0)),""))</f>
        <v/>
      </c>
      <c r="G2619" s="26" t="str">
        <f>IF($E2619="","",IFERROR(INDEX(科目表!$E$4:$E$81,MATCH($E2619,科目表!$B$4:$B$81,0)),""))</f>
        <v/>
      </c>
      <c r="H2619" s="27" t="str">
        <f>IF($E2619="","",N(INDEX(成本费用登记表!$Q$4:$Y$303,170,8)))</f>
        <v/>
      </c>
      <c r="I2619" s="27" t="str">
        <f>IF($E2619="","",N(INDEX(成本费用登记表!$Q$4:$Y$303,170,9)))</f>
        <v/>
      </c>
      <c r="J2619" s="26" t="str">
        <f>IF($E2619="","",INDEX(成本费用登记表!$C$4:$C$303,170))</f>
        <v/>
      </c>
      <c r="K2619" s="26" t="str">
        <f>IF($E2619="","",INDEX(成本费用登记表!$D$4:$D$303,170))</f>
        <v/>
      </c>
      <c r="L2619" s="32" t="str">
        <f>IF($E2619="","",INDEX(成本费用登记表!$N$4:$N$303,170))</f>
        <v/>
      </c>
      <c r="M2619" s="32"/>
      <c r="N2619" s="26" t="str">
        <f t="shared" si="126"/>
        <v/>
      </c>
      <c r="O2619" s="26" t="str">
        <f t="shared" si="127"/>
        <v/>
      </c>
      <c r="P2619" s="10"/>
    </row>
    <row r="2620" ht="18" customHeight="1" spans="1:16">
      <c r="A2620" s="32" t="str">
        <f t="shared" si="128"/>
        <v/>
      </c>
      <c r="B2620" s="100" t="str">
        <f>IF($E2620="","",INDEX(成本费用登记表!$B$4:$B$303,171))</f>
        <v/>
      </c>
      <c r="C2620" s="26" t="str">
        <f t="shared" si="125"/>
        <v/>
      </c>
      <c r="D2620" s="32" t="str">
        <f>IF($E2620="","",INDEX(成本费用登记表!$E$4:$E$303,171))</f>
        <v/>
      </c>
      <c r="E2620" s="26" t="str">
        <f>IF(INDEX(成本费用登记表!$Q$4:$Y$303,171,1)=0,"",INDEX(成本费用登记表!$Q$4:$Y$303,171,1))</f>
        <v/>
      </c>
      <c r="F2620" s="25" t="str">
        <f>IF($E2620="","",IFERROR(INDEX(科目表!$A$4:$A$81,MATCH($E2620,科目表!$B$4:$B$81,0)),""))</f>
        <v/>
      </c>
      <c r="G2620" s="26" t="str">
        <f>IF($E2620="","",IFERROR(INDEX(科目表!$E$4:$E$81,MATCH($E2620,科目表!$B$4:$B$81,0)),""))</f>
        <v/>
      </c>
      <c r="H2620" s="27" t="str">
        <f>IF($E2620="","",N(INDEX(成本费用登记表!$Q$4:$Y$303,171,2)))</f>
        <v/>
      </c>
      <c r="I2620" s="27" t="str">
        <f>IF($E2620="","",N(INDEX(成本费用登记表!$Q$4:$Y$303,171,3)))</f>
        <v/>
      </c>
      <c r="J2620" s="26" t="str">
        <f>IF($E2620="","",INDEX(成本费用登记表!$C$4:$C$303,171))</f>
        <v/>
      </c>
      <c r="K2620" s="26" t="str">
        <f>IF($E2620="","",INDEX(成本费用登记表!$D$4:$D$303,171))</f>
        <v/>
      </c>
      <c r="L2620" s="32" t="str">
        <f>IF($E2620="","",INDEX(成本费用登记表!$N$4:$N$303,171))</f>
        <v/>
      </c>
      <c r="M2620" s="32"/>
      <c r="N2620" s="26" t="str">
        <f t="shared" si="126"/>
        <v/>
      </c>
      <c r="O2620" s="26" t="str">
        <f t="shared" si="127"/>
        <v/>
      </c>
      <c r="P2620" s="10"/>
    </row>
    <row r="2621" ht="18" customHeight="1" spans="1:16">
      <c r="A2621" s="32" t="str">
        <f t="shared" si="128"/>
        <v/>
      </c>
      <c r="B2621" s="100" t="str">
        <f>IF($E2621="","",INDEX(成本费用登记表!$B$4:$B$303,171))</f>
        <v/>
      </c>
      <c r="C2621" s="26" t="str">
        <f t="shared" si="125"/>
        <v/>
      </c>
      <c r="D2621" s="32" t="str">
        <f>IF($E2621="","",INDEX(成本费用登记表!$E$4:$E$303,171))</f>
        <v/>
      </c>
      <c r="E2621" s="26" t="str">
        <f>IF(INDEX(成本费用登记表!$Q$4:$Y$303,171,4)=0,"",INDEX(成本费用登记表!$Q$4:$Y$303,171,4))</f>
        <v/>
      </c>
      <c r="F2621" s="25" t="str">
        <f>IF($E2621="","",IFERROR(INDEX(科目表!$A$4:$A$81,MATCH($E2621,科目表!$B$4:$B$81,0)),""))</f>
        <v/>
      </c>
      <c r="G2621" s="26" t="str">
        <f>IF($E2621="","",IFERROR(INDEX(科目表!$E$4:$E$81,MATCH($E2621,科目表!$B$4:$B$81,0)),""))</f>
        <v/>
      </c>
      <c r="H2621" s="27" t="str">
        <f>IF($E2621="","",N(INDEX(成本费用登记表!$Q$4:$Y$303,171,5)))</f>
        <v/>
      </c>
      <c r="I2621" s="27" t="str">
        <f>IF($E2621="","",N(INDEX(成本费用登记表!$Q$4:$Y$303,171,6)))</f>
        <v/>
      </c>
      <c r="J2621" s="26" t="str">
        <f>IF($E2621="","",INDEX(成本费用登记表!$C$4:$C$303,171))</f>
        <v/>
      </c>
      <c r="K2621" s="26" t="str">
        <f>IF($E2621="","",INDEX(成本费用登记表!$D$4:$D$303,171))</f>
        <v/>
      </c>
      <c r="L2621" s="32" t="str">
        <f>IF($E2621="","",INDEX(成本费用登记表!$N$4:$N$303,171))</f>
        <v/>
      </c>
      <c r="M2621" s="32"/>
      <c r="N2621" s="26" t="str">
        <f t="shared" si="126"/>
        <v/>
      </c>
      <c r="O2621" s="26" t="str">
        <f t="shared" si="127"/>
        <v/>
      </c>
      <c r="P2621" s="10"/>
    </row>
    <row r="2622" ht="18" customHeight="1" spans="1:16">
      <c r="A2622" s="32" t="str">
        <f t="shared" si="128"/>
        <v/>
      </c>
      <c r="B2622" s="100" t="str">
        <f>IF($E2622="","",INDEX(成本费用登记表!$B$4:$B$303,171))</f>
        <v/>
      </c>
      <c r="C2622" s="26" t="str">
        <f t="shared" ref="C2622:C2685" si="129">IF($E2622="","","记-"&amp;TEXT($B2622,"YYYYMM")&amp;"-费用")</f>
        <v/>
      </c>
      <c r="D2622" s="32" t="str">
        <f>IF($E2622="","",INDEX(成本费用登记表!$E$4:$E$303,171))</f>
        <v/>
      </c>
      <c r="E2622" s="26" t="str">
        <f>IF(INDEX(成本费用登记表!$Q$4:$Y$303,171,7)=0,"",INDEX(成本费用登记表!$Q$4:$Y$303,171,7))</f>
        <v/>
      </c>
      <c r="F2622" s="25" t="str">
        <f>IF($E2622="","",IFERROR(INDEX(科目表!$A$4:$A$81,MATCH($E2622,科目表!$B$4:$B$81,0)),""))</f>
        <v/>
      </c>
      <c r="G2622" s="26" t="str">
        <f>IF($E2622="","",IFERROR(INDEX(科目表!$E$4:$E$81,MATCH($E2622,科目表!$B$4:$B$81,0)),""))</f>
        <v/>
      </c>
      <c r="H2622" s="27" t="str">
        <f>IF($E2622="","",N(INDEX(成本费用登记表!$Q$4:$Y$303,171,8)))</f>
        <v/>
      </c>
      <c r="I2622" s="27" t="str">
        <f>IF($E2622="","",N(INDEX(成本费用登记表!$Q$4:$Y$303,171,9)))</f>
        <v/>
      </c>
      <c r="J2622" s="26" t="str">
        <f>IF($E2622="","",INDEX(成本费用登记表!$C$4:$C$303,171))</f>
        <v/>
      </c>
      <c r="K2622" s="26" t="str">
        <f>IF($E2622="","",INDEX(成本费用登记表!$D$4:$D$303,171))</f>
        <v/>
      </c>
      <c r="L2622" s="32" t="str">
        <f>IF($E2622="","",INDEX(成本费用登记表!$N$4:$N$303,171))</f>
        <v/>
      </c>
      <c r="M2622" s="32"/>
      <c r="N2622" s="26" t="str">
        <f t="shared" ref="N2622:N2685" si="130">IF($E2622="","","系统")</f>
        <v/>
      </c>
      <c r="O2622" s="26" t="str">
        <f t="shared" ref="O2622:O2685" si="131">IF($E2622="","","自动C")</f>
        <v/>
      </c>
      <c r="P2622" s="10"/>
    </row>
    <row r="2623" ht="18" customHeight="1" spans="1:16">
      <c r="A2623" s="32" t="str">
        <f t="shared" si="128"/>
        <v/>
      </c>
      <c r="B2623" s="100" t="str">
        <f>IF($E2623="","",INDEX(成本费用登记表!$B$4:$B$303,172))</f>
        <v/>
      </c>
      <c r="C2623" s="26" t="str">
        <f t="shared" si="129"/>
        <v/>
      </c>
      <c r="D2623" s="32" t="str">
        <f>IF($E2623="","",INDEX(成本费用登记表!$E$4:$E$303,172))</f>
        <v/>
      </c>
      <c r="E2623" s="26" t="str">
        <f>IF(INDEX(成本费用登记表!$Q$4:$Y$303,172,1)=0,"",INDEX(成本费用登记表!$Q$4:$Y$303,172,1))</f>
        <v/>
      </c>
      <c r="F2623" s="25" t="str">
        <f>IF($E2623="","",IFERROR(INDEX(科目表!$A$4:$A$81,MATCH($E2623,科目表!$B$4:$B$81,0)),""))</f>
        <v/>
      </c>
      <c r="G2623" s="26" t="str">
        <f>IF($E2623="","",IFERROR(INDEX(科目表!$E$4:$E$81,MATCH($E2623,科目表!$B$4:$B$81,0)),""))</f>
        <v/>
      </c>
      <c r="H2623" s="27" t="str">
        <f>IF($E2623="","",N(INDEX(成本费用登记表!$Q$4:$Y$303,172,2)))</f>
        <v/>
      </c>
      <c r="I2623" s="27" t="str">
        <f>IF($E2623="","",N(INDEX(成本费用登记表!$Q$4:$Y$303,172,3)))</f>
        <v/>
      </c>
      <c r="J2623" s="26" t="str">
        <f>IF($E2623="","",INDEX(成本费用登记表!$C$4:$C$303,172))</f>
        <v/>
      </c>
      <c r="K2623" s="26" t="str">
        <f>IF($E2623="","",INDEX(成本费用登记表!$D$4:$D$303,172))</f>
        <v/>
      </c>
      <c r="L2623" s="32" t="str">
        <f>IF($E2623="","",INDEX(成本费用登记表!$N$4:$N$303,172))</f>
        <v/>
      </c>
      <c r="M2623" s="32"/>
      <c r="N2623" s="26" t="str">
        <f t="shared" si="130"/>
        <v/>
      </c>
      <c r="O2623" s="26" t="str">
        <f t="shared" si="131"/>
        <v/>
      </c>
      <c r="P2623" s="10"/>
    </row>
    <row r="2624" ht="18" customHeight="1" spans="1:16">
      <c r="A2624" s="32" t="str">
        <f t="shared" si="128"/>
        <v/>
      </c>
      <c r="B2624" s="100" t="str">
        <f>IF($E2624="","",INDEX(成本费用登记表!$B$4:$B$303,172))</f>
        <v/>
      </c>
      <c r="C2624" s="26" t="str">
        <f t="shared" si="129"/>
        <v/>
      </c>
      <c r="D2624" s="32" t="str">
        <f>IF($E2624="","",INDEX(成本费用登记表!$E$4:$E$303,172))</f>
        <v/>
      </c>
      <c r="E2624" s="26" t="str">
        <f>IF(INDEX(成本费用登记表!$Q$4:$Y$303,172,4)=0,"",INDEX(成本费用登记表!$Q$4:$Y$303,172,4))</f>
        <v/>
      </c>
      <c r="F2624" s="25" t="str">
        <f>IF($E2624="","",IFERROR(INDEX(科目表!$A$4:$A$81,MATCH($E2624,科目表!$B$4:$B$81,0)),""))</f>
        <v/>
      </c>
      <c r="G2624" s="26" t="str">
        <f>IF($E2624="","",IFERROR(INDEX(科目表!$E$4:$E$81,MATCH($E2624,科目表!$B$4:$B$81,0)),""))</f>
        <v/>
      </c>
      <c r="H2624" s="27" t="str">
        <f>IF($E2624="","",N(INDEX(成本费用登记表!$Q$4:$Y$303,172,5)))</f>
        <v/>
      </c>
      <c r="I2624" s="27" t="str">
        <f>IF($E2624="","",N(INDEX(成本费用登记表!$Q$4:$Y$303,172,6)))</f>
        <v/>
      </c>
      <c r="J2624" s="26" t="str">
        <f>IF($E2624="","",INDEX(成本费用登记表!$C$4:$C$303,172))</f>
        <v/>
      </c>
      <c r="K2624" s="26" t="str">
        <f>IF($E2624="","",INDEX(成本费用登记表!$D$4:$D$303,172))</f>
        <v/>
      </c>
      <c r="L2624" s="32" t="str">
        <f>IF($E2624="","",INDEX(成本费用登记表!$N$4:$N$303,172))</f>
        <v/>
      </c>
      <c r="M2624" s="32"/>
      <c r="N2624" s="26" t="str">
        <f t="shared" si="130"/>
        <v/>
      </c>
      <c r="O2624" s="26" t="str">
        <f t="shared" si="131"/>
        <v/>
      </c>
      <c r="P2624" s="10"/>
    </row>
    <row r="2625" ht="18" customHeight="1" spans="1:16">
      <c r="A2625" s="32" t="str">
        <f t="shared" si="128"/>
        <v/>
      </c>
      <c r="B2625" s="100" t="str">
        <f>IF($E2625="","",INDEX(成本费用登记表!$B$4:$B$303,172))</f>
        <v/>
      </c>
      <c r="C2625" s="26" t="str">
        <f t="shared" si="129"/>
        <v/>
      </c>
      <c r="D2625" s="32" t="str">
        <f>IF($E2625="","",INDEX(成本费用登记表!$E$4:$E$303,172))</f>
        <v/>
      </c>
      <c r="E2625" s="26" t="str">
        <f>IF(INDEX(成本费用登记表!$Q$4:$Y$303,172,7)=0,"",INDEX(成本费用登记表!$Q$4:$Y$303,172,7))</f>
        <v/>
      </c>
      <c r="F2625" s="25" t="str">
        <f>IF($E2625="","",IFERROR(INDEX(科目表!$A$4:$A$81,MATCH($E2625,科目表!$B$4:$B$81,0)),""))</f>
        <v/>
      </c>
      <c r="G2625" s="26" t="str">
        <f>IF($E2625="","",IFERROR(INDEX(科目表!$E$4:$E$81,MATCH($E2625,科目表!$B$4:$B$81,0)),""))</f>
        <v/>
      </c>
      <c r="H2625" s="27" t="str">
        <f>IF($E2625="","",N(INDEX(成本费用登记表!$Q$4:$Y$303,172,8)))</f>
        <v/>
      </c>
      <c r="I2625" s="27" t="str">
        <f>IF($E2625="","",N(INDEX(成本费用登记表!$Q$4:$Y$303,172,9)))</f>
        <v/>
      </c>
      <c r="J2625" s="26" t="str">
        <f>IF($E2625="","",INDEX(成本费用登记表!$C$4:$C$303,172))</f>
        <v/>
      </c>
      <c r="K2625" s="26" t="str">
        <f>IF($E2625="","",INDEX(成本费用登记表!$D$4:$D$303,172))</f>
        <v/>
      </c>
      <c r="L2625" s="32" t="str">
        <f>IF($E2625="","",INDEX(成本费用登记表!$N$4:$N$303,172))</f>
        <v/>
      </c>
      <c r="M2625" s="32"/>
      <c r="N2625" s="26" t="str">
        <f t="shared" si="130"/>
        <v/>
      </c>
      <c r="O2625" s="26" t="str">
        <f t="shared" si="131"/>
        <v/>
      </c>
      <c r="P2625" s="10"/>
    </row>
    <row r="2626" ht="18" customHeight="1" spans="1:16">
      <c r="A2626" s="32" t="str">
        <f t="shared" si="128"/>
        <v/>
      </c>
      <c r="B2626" s="100" t="str">
        <f>IF($E2626="","",INDEX(成本费用登记表!$B$4:$B$303,173))</f>
        <v/>
      </c>
      <c r="C2626" s="26" t="str">
        <f t="shared" si="129"/>
        <v/>
      </c>
      <c r="D2626" s="32" t="str">
        <f>IF($E2626="","",INDEX(成本费用登记表!$E$4:$E$303,173))</f>
        <v/>
      </c>
      <c r="E2626" s="26" t="str">
        <f>IF(INDEX(成本费用登记表!$Q$4:$Y$303,173,1)=0,"",INDEX(成本费用登记表!$Q$4:$Y$303,173,1))</f>
        <v/>
      </c>
      <c r="F2626" s="25" t="str">
        <f>IF($E2626="","",IFERROR(INDEX(科目表!$A$4:$A$81,MATCH($E2626,科目表!$B$4:$B$81,0)),""))</f>
        <v/>
      </c>
      <c r="G2626" s="26" t="str">
        <f>IF($E2626="","",IFERROR(INDEX(科目表!$E$4:$E$81,MATCH($E2626,科目表!$B$4:$B$81,0)),""))</f>
        <v/>
      </c>
      <c r="H2626" s="27" t="str">
        <f>IF($E2626="","",N(INDEX(成本费用登记表!$Q$4:$Y$303,173,2)))</f>
        <v/>
      </c>
      <c r="I2626" s="27" t="str">
        <f>IF($E2626="","",N(INDEX(成本费用登记表!$Q$4:$Y$303,173,3)))</f>
        <v/>
      </c>
      <c r="J2626" s="26" t="str">
        <f>IF($E2626="","",INDEX(成本费用登记表!$C$4:$C$303,173))</f>
        <v/>
      </c>
      <c r="K2626" s="26" t="str">
        <f>IF($E2626="","",INDEX(成本费用登记表!$D$4:$D$303,173))</f>
        <v/>
      </c>
      <c r="L2626" s="32" t="str">
        <f>IF($E2626="","",INDEX(成本费用登记表!$N$4:$N$303,173))</f>
        <v/>
      </c>
      <c r="M2626" s="32"/>
      <c r="N2626" s="26" t="str">
        <f t="shared" si="130"/>
        <v/>
      </c>
      <c r="O2626" s="26" t="str">
        <f t="shared" si="131"/>
        <v/>
      </c>
      <c r="P2626" s="10"/>
    </row>
    <row r="2627" ht="18" customHeight="1" spans="1:16">
      <c r="A2627" s="32" t="str">
        <f t="shared" si="128"/>
        <v/>
      </c>
      <c r="B2627" s="100" t="str">
        <f>IF($E2627="","",INDEX(成本费用登记表!$B$4:$B$303,173))</f>
        <v/>
      </c>
      <c r="C2627" s="26" t="str">
        <f t="shared" si="129"/>
        <v/>
      </c>
      <c r="D2627" s="32" t="str">
        <f>IF($E2627="","",INDEX(成本费用登记表!$E$4:$E$303,173))</f>
        <v/>
      </c>
      <c r="E2627" s="26" t="str">
        <f>IF(INDEX(成本费用登记表!$Q$4:$Y$303,173,4)=0,"",INDEX(成本费用登记表!$Q$4:$Y$303,173,4))</f>
        <v/>
      </c>
      <c r="F2627" s="25" t="str">
        <f>IF($E2627="","",IFERROR(INDEX(科目表!$A$4:$A$81,MATCH($E2627,科目表!$B$4:$B$81,0)),""))</f>
        <v/>
      </c>
      <c r="G2627" s="26" t="str">
        <f>IF($E2627="","",IFERROR(INDEX(科目表!$E$4:$E$81,MATCH($E2627,科目表!$B$4:$B$81,0)),""))</f>
        <v/>
      </c>
      <c r="H2627" s="27" t="str">
        <f>IF($E2627="","",N(INDEX(成本费用登记表!$Q$4:$Y$303,173,5)))</f>
        <v/>
      </c>
      <c r="I2627" s="27" t="str">
        <f>IF($E2627="","",N(INDEX(成本费用登记表!$Q$4:$Y$303,173,6)))</f>
        <v/>
      </c>
      <c r="J2627" s="26" t="str">
        <f>IF($E2627="","",INDEX(成本费用登记表!$C$4:$C$303,173))</f>
        <v/>
      </c>
      <c r="K2627" s="26" t="str">
        <f>IF($E2627="","",INDEX(成本费用登记表!$D$4:$D$303,173))</f>
        <v/>
      </c>
      <c r="L2627" s="32" t="str">
        <f>IF($E2627="","",INDEX(成本费用登记表!$N$4:$N$303,173))</f>
        <v/>
      </c>
      <c r="M2627" s="32"/>
      <c r="N2627" s="26" t="str">
        <f t="shared" si="130"/>
        <v/>
      </c>
      <c r="O2627" s="26" t="str">
        <f t="shared" si="131"/>
        <v/>
      </c>
      <c r="P2627" s="10"/>
    </row>
    <row r="2628" ht="18" customHeight="1" spans="1:16">
      <c r="A2628" s="32" t="str">
        <f t="shared" ref="A2628:A2691" si="132">IF($E2628="","",ROW()-3)</f>
        <v/>
      </c>
      <c r="B2628" s="100" t="str">
        <f>IF($E2628="","",INDEX(成本费用登记表!$B$4:$B$303,173))</f>
        <v/>
      </c>
      <c r="C2628" s="26" t="str">
        <f t="shared" si="129"/>
        <v/>
      </c>
      <c r="D2628" s="32" t="str">
        <f>IF($E2628="","",INDEX(成本费用登记表!$E$4:$E$303,173))</f>
        <v/>
      </c>
      <c r="E2628" s="26" t="str">
        <f>IF(INDEX(成本费用登记表!$Q$4:$Y$303,173,7)=0,"",INDEX(成本费用登记表!$Q$4:$Y$303,173,7))</f>
        <v/>
      </c>
      <c r="F2628" s="25" t="str">
        <f>IF($E2628="","",IFERROR(INDEX(科目表!$A$4:$A$81,MATCH($E2628,科目表!$B$4:$B$81,0)),""))</f>
        <v/>
      </c>
      <c r="G2628" s="26" t="str">
        <f>IF($E2628="","",IFERROR(INDEX(科目表!$E$4:$E$81,MATCH($E2628,科目表!$B$4:$B$81,0)),""))</f>
        <v/>
      </c>
      <c r="H2628" s="27" t="str">
        <f>IF($E2628="","",N(INDEX(成本费用登记表!$Q$4:$Y$303,173,8)))</f>
        <v/>
      </c>
      <c r="I2628" s="27" t="str">
        <f>IF($E2628="","",N(INDEX(成本费用登记表!$Q$4:$Y$303,173,9)))</f>
        <v/>
      </c>
      <c r="J2628" s="26" t="str">
        <f>IF($E2628="","",INDEX(成本费用登记表!$C$4:$C$303,173))</f>
        <v/>
      </c>
      <c r="K2628" s="26" t="str">
        <f>IF($E2628="","",INDEX(成本费用登记表!$D$4:$D$303,173))</f>
        <v/>
      </c>
      <c r="L2628" s="32" t="str">
        <f>IF($E2628="","",INDEX(成本费用登记表!$N$4:$N$303,173))</f>
        <v/>
      </c>
      <c r="M2628" s="32"/>
      <c r="N2628" s="26" t="str">
        <f t="shared" si="130"/>
        <v/>
      </c>
      <c r="O2628" s="26" t="str">
        <f t="shared" si="131"/>
        <v/>
      </c>
      <c r="P2628" s="10"/>
    </row>
    <row r="2629" ht="18" customHeight="1" spans="1:16">
      <c r="A2629" s="32" t="str">
        <f t="shared" si="132"/>
        <v/>
      </c>
      <c r="B2629" s="100" t="str">
        <f>IF($E2629="","",INDEX(成本费用登记表!$B$4:$B$303,174))</f>
        <v/>
      </c>
      <c r="C2629" s="26" t="str">
        <f t="shared" si="129"/>
        <v/>
      </c>
      <c r="D2629" s="32" t="str">
        <f>IF($E2629="","",INDEX(成本费用登记表!$E$4:$E$303,174))</f>
        <v/>
      </c>
      <c r="E2629" s="26" t="str">
        <f>IF(INDEX(成本费用登记表!$Q$4:$Y$303,174,1)=0,"",INDEX(成本费用登记表!$Q$4:$Y$303,174,1))</f>
        <v/>
      </c>
      <c r="F2629" s="25" t="str">
        <f>IF($E2629="","",IFERROR(INDEX(科目表!$A$4:$A$81,MATCH($E2629,科目表!$B$4:$B$81,0)),""))</f>
        <v/>
      </c>
      <c r="G2629" s="26" t="str">
        <f>IF($E2629="","",IFERROR(INDEX(科目表!$E$4:$E$81,MATCH($E2629,科目表!$B$4:$B$81,0)),""))</f>
        <v/>
      </c>
      <c r="H2629" s="27" t="str">
        <f>IF($E2629="","",N(INDEX(成本费用登记表!$Q$4:$Y$303,174,2)))</f>
        <v/>
      </c>
      <c r="I2629" s="27" t="str">
        <f>IF($E2629="","",N(INDEX(成本费用登记表!$Q$4:$Y$303,174,3)))</f>
        <v/>
      </c>
      <c r="J2629" s="26" t="str">
        <f>IF($E2629="","",INDEX(成本费用登记表!$C$4:$C$303,174))</f>
        <v/>
      </c>
      <c r="K2629" s="26" t="str">
        <f>IF($E2629="","",INDEX(成本费用登记表!$D$4:$D$303,174))</f>
        <v/>
      </c>
      <c r="L2629" s="32" t="str">
        <f>IF($E2629="","",INDEX(成本费用登记表!$N$4:$N$303,174))</f>
        <v/>
      </c>
      <c r="M2629" s="32"/>
      <c r="N2629" s="26" t="str">
        <f t="shared" si="130"/>
        <v/>
      </c>
      <c r="O2629" s="26" t="str">
        <f t="shared" si="131"/>
        <v/>
      </c>
      <c r="P2629" s="10"/>
    </row>
    <row r="2630" ht="18" customHeight="1" spans="1:16">
      <c r="A2630" s="32" t="str">
        <f t="shared" si="132"/>
        <v/>
      </c>
      <c r="B2630" s="100" t="str">
        <f>IF($E2630="","",INDEX(成本费用登记表!$B$4:$B$303,174))</f>
        <v/>
      </c>
      <c r="C2630" s="26" t="str">
        <f t="shared" si="129"/>
        <v/>
      </c>
      <c r="D2630" s="32" t="str">
        <f>IF($E2630="","",INDEX(成本费用登记表!$E$4:$E$303,174))</f>
        <v/>
      </c>
      <c r="E2630" s="26" t="str">
        <f>IF(INDEX(成本费用登记表!$Q$4:$Y$303,174,4)=0,"",INDEX(成本费用登记表!$Q$4:$Y$303,174,4))</f>
        <v/>
      </c>
      <c r="F2630" s="25" t="str">
        <f>IF($E2630="","",IFERROR(INDEX(科目表!$A$4:$A$81,MATCH($E2630,科目表!$B$4:$B$81,0)),""))</f>
        <v/>
      </c>
      <c r="G2630" s="26" t="str">
        <f>IF($E2630="","",IFERROR(INDEX(科目表!$E$4:$E$81,MATCH($E2630,科目表!$B$4:$B$81,0)),""))</f>
        <v/>
      </c>
      <c r="H2630" s="27" t="str">
        <f>IF($E2630="","",N(INDEX(成本费用登记表!$Q$4:$Y$303,174,5)))</f>
        <v/>
      </c>
      <c r="I2630" s="27" t="str">
        <f>IF($E2630="","",N(INDEX(成本费用登记表!$Q$4:$Y$303,174,6)))</f>
        <v/>
      </c>
      <c r="J2630" s="26" t="str">
        <f>IF($E2630="","",INDEX(成本费用登记表!$C$4:$C$303,174))</f>
        <v/>
      </c>
      <c r="K2630" s="26" t="str">
        <f>IF($E2630="","",INDEX(成本费用登记表!$D$4:$D$303,174))</f>
        <v/>
      </c>
      <c r="L2630" s="32" t="str">
        <f>IF($E2630="","",INDEX(成本费用登记表!$N$4:$N$303,174))</f>
        <v/>
      </c>
      <c r="M2630" s="32"/>
      <c r="N2630" s="26" t="str">
        <f t="shared" si="130"/>
        <v/>
      </c>
      <c r="O2630" s="26" t="str">
        <f t="shared" si="131"/>
        <v/>
      </c>
      <c r="P2630" s="10"/>
    </row>
    <row r="2631" ht="18" customHeight="1" spans="1:16">
      <c r="A2631" s="32" t="str">
        <f t="shared" si="132"/>
        <v/>
      </c>
      <c r="B2631" s="100" t="str">
        <f>IF($E2631="","",INDEX(成本费用登记表!$B$4:$B$303,174))</f>
        <v/>
      </c>
      <c r="C2631" s="26" t="str">
        <f t="shared" si="129"/>
        <v/>
      </c>
      <c r="D2631" s="32" t="str">
        <f>IF($E2631="","",INDEX(成本费用登记表!$E$4:$E$303,174))</f>
        <v/>
      </c>
      <c r="E2631" s="26" t="str">
        <f>IF(INDEX(成本费用登记表!$Q$4:$Y$303,174,7)=0,"",INDEX(成本费用登记表!$Q$4:$Y$303,174,7))</f>
        <v/>
      </c>
      <c r="F2631" s="25" t="str">
        <f>IF($E2631="","",IFERROR(INDEX(科目表!$A$4:$A$81,MATCH($E2631,科目表!$B$4:$B$81,0)),""))</f>
        <v/>
      </c>
      <c r="G2631" s="26" t="str">
        <f>IF($E2631="","",IFERROR(INDEX(科目表!$E$4:$E$81,MATCH($E2631,科目表!$B$4:$B$81,0)),""))</f>
        <v/>
      </c>
      <c r="H2631" s="27" t="str">
        <f>IF($E2631="","",N(INDEX(成本费用登记表!$Q$4:$Y$303,174,8)))</f>
        <v/>
      </c>
      <c r="I2631" s="27" t="str">
        <f>IF($E2631="","",N(INDEX(成本费用登记表!$Q$4:$Y$303,174,9)))</f>
        <v/>
      </c>
      <c r="J2631" s="26" t="str">
        <f>IF($E2631="","",INDEX(成本费用登记表!$C$4:$C$303,174))</f>
        <v/>
      </c>
      <c r="K2631" s="26" t="str">
        <f>IF($E2631="","",INDEX(成本费用登记表!$D$4:$D$303,174))</f>
        <v/>
      </c>
      <c r="L2631" s="32" t="str">
        <f>IF($E2631="","",INDEX(成本费用登记表!$N$4:$N$303,174))</f>
        <v/>
      </c>
      <c r="M2631" s="32"/>
      <c r="N2631" s="26" t="str">
        <f t="shared" si="130"/>
        <v/>
      </c>
      <c r="O2631" s="26" t="str">
        <f t="shared" si="131"/>
        <v/>
      </c>
      <c r="P2631" s="10"/>
    </row>
    <row r="2632" ht="18" customHeight="1" spans="1:16">
      <c r="A2632" s="32" t="str">
        <f t="shared" si="132"/>
        <v/>
      </c>
      <c r="B2632" s="100" t="str">
        <f>IF($E2632="","",INDEX(成本费用登记表!$B$4:$B$303,175))</f>
        <v/>
      </c>
      <c r="C2632" s="26" t="str">
        <f t="shared" si="129"/>
        <v/>
      </c>
      <c r="D2632" s="32" t="str">
        <f>IF($E2632="","",INDEX(成本费用登记表!$E$4:$E$303,175))</f>
        <v/>
      </c>
      <c r="E2632" s="26" t="str">
        <f>IF(INDEX(成本费用登记表!$Q$4:$Y$303,175,1)=0,"",INDEX(成本费用登记表!$Q$4:$Y$303,175,1))</f>
        <v/>
      </c>
      <c r="F2632" s="25" t="str">
        <f>IF($E2632="","",IFERROR(INDEX(科目表!$A$4:$A$81,MATCH($E2632,科目表!$B$4:$B$81,0)),""))</f>
        <v/>
      </c>
      <c r="G2632" s="26" t="str">
        <f>IF($E2632="","",IFERROR(INDEX(科目表!$E$4:$E$81,MATCH($E2632,科目表!$B$4:$B$81,0)),""))</f>
        <v/>
      </c>
      <c r="H2632" s="27" t="str">
        <f>IF($E2632="","",N(INDEX(成本费用登记表!$Q$4:$Y$303,175,2)))</f>
        <v/>
      </c>
      <c r="I2632" s="27" t="str">
        <f>IF($E2632="","",N(INDEX(成本费用登记表!$Q$4:$Y$303,175,3)))</f>
        <v/>
      </c>
      <c r="J2632" s="26" t="str">
        <f>IF($E2632="","",INDEX(成本费用登记表!$C$4:$C$303,175))</f>
        <v/>
      </c>
      <c r="K2632" s="26" t="str">
        <f>IF($E2632="","",INDEX(成本费用登记表!$D$4:$D$303,175))</f>
        <v/>
      </c>
      <c r="L2632" s="32" t="str">
        <f>IF($E2632="","",INDEX(成本费用登记表!$N$4:$N$303,175))</f>
        <v/>
      </c>
      <c r="M2632" s="32"/>
      <c r="N2632" s="26" t="str">
        <f t="shared" si="130"/>
        <v/>
      </c>
      <c r="O2632" s="26" t="str">
        <f t="shared" si="131"/>
        <v/>
      </c>
      <c r="P2632" s="10"/>
    </row>
    <row r="2633" ht="18" customHeight="1" spans="1:16">
      <c r="A2633" s="32" t="str">
        <f t="shared" si="132"/>
        <v/>
      </c>
      <c r="B2633" s="100" t="str">
        <f>IF($E2633="","",INDEX(成本费用登记表!$B$4:$B$303,175))</f>
        <v/>
      </c>
      <c r="C2633" s="26" t="str">
        <f t="shared" si="129"/>
        <v/>
      </c>
      <c r="D2633" s="32" t="str">
        <f>IF($E2633="","",INDEX(成本费用登记表!$E$4:$E$303,175))</f>
        <v/>
      </c>
      <c r="E2633" s="26" t="str">
        <f>IF(INDEX(成本费用登记表!$Q$4:$Y$303,175,4)=0,"",INDEX(成本费用登记表!$Q$4:$Y$303,175,4))</f>
        <v/>
      </c>
      <c r="F2633" s="25" t="str">
        <f>IF($E2633="","",IFERROR(INDEX(科目表!$A$4:$A$81,MATCH($E2633,科目表!$B$4:$B$81,0)),""))</f>
        <v/>
      </c>
      <c r="G2633" s="26" t="str">
        <f>IF($E2633="","",IFERROR(INDEX(科目表!$E$4:$E$81,MATCH($E2633,科目表!$B$4:$B$81,0)),""))</f>
        <v/>
      </c>
      <c r="H2633" s="27" t="str">
        <f>IF($E2633="","",N(INDEX(成本费用登记表!$Q$4:$Y$303,175,5)))</f>
        <v/>
      </c>
      <c r="I2633" s="27" t="str">
        <f>IF($E2633="","",N(INDEX(成本费用登记表!$Q$4:$Y$303,175,6)))</f>
        <v/>
      </c>
      <c r="J2633" s="26" t="str">
        <f>IF($E2633="","",INDEX(成本费用登记表!$C$4:$C$303,175))</f>
        <v/>
      </c>
      <c r="K2633" s="26" t="str">
        <f>IF($E2633="","",INDEX(成本费用登记表!$D$4:$D$303,175))</f>
        <v/>
      </c>
      <c r="L2633" s="32" t="str">
        <f>IF($E2633="","",INDEX(成本费用登记表!$N$4:$N$303,175))</f>
        <v/>
      </c>
      <c r="M2633" s="32"/>
      <c r="N2633" s="26" t="str">
        <f t="shared" si="130"/>
        <v/>
      </c>
      <c r="O2633" s="26" t="str">
        <f t="shared" si="131"/>
        <v/>
      </c>
      <c r="P2633" s="10"/>
    </row>
    <row r="2634" ht="18" customHeight="1" spans="1:16">
      <c r="A2634" s="32" t="str">
        <f t="shared" si="132"/>
        <v/>
      </c>
      <c r="B2634" s="100" t="str">
        <f>IF($E2634="","",INDEX(成本费用登记表!$B$4:$B$303,175))</f>
        <v/>
      </c>
      <c r="C2634" s="26" t="str">
        <f t="shared" si="129"/>
        <v/>
      </c>
      <c r="D2634" s="32" t="str">
        <f>IF($E2634="","",INDEX(成本费用登记表!$E$4:$E$303,175))</f>
        <v/>
      </c>
      <c r="E2634" s="26" t="str">
        <f>IF(INDEX(成本费用登记表!$Q$4:$Y$303,175,7)=0,"",INDEX(成本费用登记表!$Q$4:$Y$303,175,7))</f>
        <v/>
      </c>
      <c r="F2634" s="25" t="str">
        <f>IF($E2634="","",IFERROR(INDEX(科目表!$A$4:$A$81,MATCH($E2634,科目表!$B$4:$B$81,0)),""))</f>
        <v/>
      </c>
      <c r="G2634" s="26" t="str">
        <f>IF($E2634="","",IFERROR(INDEX(科目表!$E$4:$E$81,MATCH($E2634,科目表!$B$4:$B$81,0)),""))</f>
        <v/>
      </c>
      <c r="H2634" s="27" t="str">
        <f>IF($E2634="","",N(INDEX(成本费用登记表!$Q$4:$Y$303,175,8)))</f>
        <v/>
      </c>
      <c r="I2634" s="27" t="str">
        <f>IF($E2634="","",N(INDEX(成本费用登记表!$Q$4:$Y$303,175,9)))</f>
        <v/>
      </c>
      <c r="J2634" s="26" t="str">
        <f>IF($E2634="","",INDEX(成本费用登记表!$C$4:$C$303,175))</f>
        <v/>
      </c>
      <c r="K2634" s="26" t="str">
        <f>IF($E2634="","",INDEX(成本费用登记表!$D$4:$D$303,175))</f>
        <v/>
      </c>
      <c r="L2634" s="32" t="str">
        <f>IF($E2634="","",INDEX(成本费用登记表!$N$4:$N$303,175))</f>
        <v/>
      </c>
      <c r="M2634" s="32"/>
      <c r="N2634" s="26" t="str">
        <f t="shared" si="130"/>
        <v/>
      </c>
      <c r="O2634" s="26" t="str">
        <f t="shared" si="131"/>
        <v/>
      </c>
      <c r="P2634" s="10"/>
    </row>
    <row r="2635" ht="18" customHeight="1" spans="1:16">
      <c r="A2635" s="32" t="str">
        <f t="shared" si="132"/>
        <v/>
      </c>
      <c r="B2635" s="100" t="str">
        <f>IF($E2635="","",INDEX(成本费用登记表!$B$4:$B$303,176))</f>
        <v/>
      </c>
      <c r="C2635" s="26" t="str">
        <f t="shared" si="129"/>
        <v/>
      </c>
      <c r="D2635" s="32" t="str">
        <f>IF($E2635="","",INDEX(成本费用登记表!$E$4:$E$303,176))</f>
        <v/>
      </c>
      <c r="E2635" s="26" t="str">
        <f>IF(INDEX(成本费用登记表!$Q$4:$Y$303,176,1)=0,"",INDEX(成本费用登记表!$Q$4:$Y$303,176,1))</f>
        <v/>
      </c>
      <c r="F2635" s="25" t="str">
        <f>IF($E2635="","",IFERROR(INDEX(科目表!$A$4:$A$81,MATCH($E2635,科目表!$B$4:$B$81,0)),""))</f>
        <v/>
      </c>
      <c r="G2635" s="26" t="str">
        <f>IF($E2635="","",IFERROR(INDEX(科目表!$E$4:$E$81,MATCH($E2635,科目表!$B$4:$B$81,0)),""))</f>
        <v/>
      </c>
      <c r="H2635" s="27" t="str">
        <f>IF($E2635="","",N(INDEX(成本费用登记表!$Q$4:$Y$303,176,2)))</f>
        <v/>
      </c>
      <c r="I2635" s="27" t="str">
        <f>IF($E2635="","",N(INDEX(成本费用登记表!$Q$4:$Y$303,176,3)))</f>
        <v/>
      </c>
      <c r="J2635" s="26" t="str">
        <f>IF($E2635="","",INDEX(成本费用登记表!$C$4:$C$303,176))</f>
        <v/>
      </c>
      <c r="K2635" s="26" t="str">
        <f>IF($E2635="","",INDEX(成本费用登记表!$D$4:$D$303,176))</f>
        <v/>
      </c>
      <c r="L2635" s="32" t="str">
        <f>IF($E2635="","",INDEX(成本费用登记表!$N$4:$N$303,176))</f>
        <v/>
      </c>
      <c r="M2635" s="32"/>
      <c r="N2635" s="26" t="str">
        <f t="shared" si="130"/>
        <v/>
      </c>
      <c r="O2635" s="26" t="str">
        <f t="shared" si="131"/>
        <v/>
      </c>
      <c r="P2635" s="10"/>
    </row>
    <row r="2636" ht="18" customHeight="1" spans="1:16">
      <c r="A2636" s="32" t="str">
        <f t="shared" si="132"/>
        <v/>
      </c>
      <c r="B2636" s="100" t="str">
        <f>IF($E2636="","",INDEX(成本费用登记表!$B$4:$B$303,176))</f>
        <v/>
      </c>
      <c r="C2636" s="26" t="str">
        <f t="shared" si="129"/>
        <v/>
      </c>
      <c r="D2636" s="32" t="str">
        <f>IF($E2636="","",INDEX(成本费用登记表!$E$4:$E$303,176))</f>
        <v/>
      </c>
      <c r="E2636" s="26" t="str">
        <f>IF(INDEX(成本费用登记表!$Q$4:$Y$303,176,4)=0,"",INDEX(成本费用登记表!$Q$4:$Y$303,176,4))</f>
        <v/>
      </c>
      <c r="F2636" s="25" t="str">
        <f>IF($E2636="","",IFERROR(INDEX(科目表!$A$4:$A$81,MATCH($E2636,科目表!$B$4:$B$81,0)),""))</f>
        <v/>
      </c>
      <c r="G2636" s="26" t="str">
        <f>IF($E2636="","",IFERROR(INDEX(科目表!$E$4:$E$81,MATCH($E2636,科目表!$B$4:$B$81,0)),""))</f>
        <v/>
      </c>
      <c r="H2636" s="27" t="str">
        <f>IF($E2636="","",N(INDEX(成本费用登记表!$Q$4:$Y$303,176,5)))</f>
        <v/>
      </c>
      <c r="I2636" s="27" t="str">
        <f>IF($E2636="","",N(INDEX(成本费用登记表!$Q$4:$Y$303,176,6)))</f>
        <v/>
      </c>
      <c r="J2636" s="26" t="str">
        <f>IF($E2636="","",INDEX(成本费用登记表!$C$4:$C$303,176))</f>
        <v/>
      </c>
      <c r="K2636" s="26" t="str">
        <f>IF($E2636="","",INDEX(成本费用登记表!$D$4:$D$303,176))</f>
        <v/>
      </c>
      <c r="L2636" s="32" t="str">
        <f>IF($E2636="","",INDEX(成本费用登记表!$N$4:$N$303,176))</f>
        <v/>
      </c>
      <c r="M2636" s="32"/>
      <c r="N2636" s="26" t="str">
        <f t="shared" si="130"/>
        <v/>
      </c>
      <c r="O2636" s="26" t="str">
        <f t="shared" si="131"/>
        <v/>
      </c>
      <c r="P2636" s="10"/>
    </row>
    <row r="2637" ht="18" customHeight="1" spans="1:16">
      <c r="A2637" s="32" t="str">
        <f t="shared" si="132"/>
        <v/>
      </c>
      <c r="B2637" s="100" t="str">
        <f>IF($E2637="","",INDEX(成本费用登记表!$B$4:$B$303,176))</f>
        <v/>
      </c>
      <c r="C2637" s="26" t="str">
        <f t="shared" si="129"/>
        <v/>
      </c>
      <c r="D2637" s="32" t="str">
        <f>IF($E2637="","",INDEX(成本费用登记表!$E$4:$E$303,176))</f>
        <v/>
      </c>
      <c r="E2637" s="26" t="str">
        <f>IF(INDEX(成本费用登记表!$Q$4:$Y$303,176,7)=0,"",INDEX(成本费用登记表!$Q$4:$Y$303,176,7))</f>
        <v/>
      </c>
      <c r="F2637" s="25" t="str">
        <f>IF($E2637="","",IFERROR(INDEX(科目表!$A$4:$A$81,MATCH($E2637,科目表!$B$4:$B$81,0)),""))</f>
        <v/>
      </c>
      <c r="G2637" s="26" t="str">
        <f>IF($E2637="","",IFERROR(INDEX(科目表!$E$4:$E$81,MATCH($E2637,科目表!$B$4:$B$81,0)),""))</f>
        <v/>
      </c>
      <c r="H2637" s="27" t="str">
        <f>IF($E2637="","",N(INDEX(成本费用登记表!$Q$4:$Y$303,176,8)))</f>
        <v/>
      </c>
      <c r="I2637" s="27" t="str">
        <f>IF($E2637="","",N(INDEX(成本费用登记表!$Q$4:$Y$303,176,9)))</f>
        <v/>
      </c>
      <c r="J2637" s="26" t="str">
        <f>IF($E2637="","",INDEX(成本费用登记表!$C$4:$C$303,176))</f>
        <v/>
      </c>
      <c r="K2637" s="26" t="str">
        <f>IF($E2637="","",INDEX(成本费用登记表!$D$4:$D$303,176))</f>
        <v/>
      </c>
      <c r="L2637" s="32" t="str">
        <f>IF($E2637="","",INDEX(成本费用登记表!$N$4:$N$303,176))</f>
        <v/>
      </c>
      <c r="M2637" s="32"/>
      <c r="N2637" s="26" t="str">
        <f t="shared" si="130"/>
        <v/>
      </c>
      <c r="O2637" s="26" t="str">
        <f t="shared" si="131"/>
        <v/>
      </c>
      <c r="P2637" s="10"/>
    </row>
    <row r="2638" ht="18" customHeight="1" spans="1:16">
      <c r="A2638" s="32" t="str">
        <f t="shared" si="132"/>
        <v/>
      </c>
      <c r="B2638" s="100" t="str">
        <f>IF($E2638="","",INDEX(成本费用登记表!$B$4:$B$303,177))</f>
        <v/>
      </c>
      <c r="C2638" s="26" t="str">
        <f t="shared" si="129"/>
        <v/>
      </c>
      <c r="D2638" s="32" t="str">
        <f>IF($E2638="","",INDEX(成本费用登记表!$E$4:$E$303,177))</f>
        <v/>
      </c>
      <c r="E2638" s="26" t="str">
        <f>IF(INDEX(成本费用登记表!$Q$4:$Y$303,177,1)=0,"",INDEX(成本费用登记表!$Q$4:$Y$303,177,1))</f>
        <v/>
      </c>
      <c r="F2638" s="25" t="str">
        <f>IF($E2638="","",IFERROR(INDEX(科目表!$A$4:$A$81,MATCH($E2638,科目表!$B$4:$B$81,0)),""))</f>
        <v/>
      </c>
      <c r="G2638" s="26" t="str">
        <f>IF($E2638="","",IFERROR(INDEX(科目表!$E$4:$E$81,MATCH($E2638,科目表!$B$4:$B$81,0)),""))</f>
        <v/>
      </c>
      <c r="H2638" s="27" t="str">
        <f>IF($E2638="","",N(INDEX(成本费用登记表!$Q$4:$Y$303,177,2)))</f>
        <v/>
      </c>
      <c r="I2638" s="27" t="str">
        <f>IF($E2638="","",N(INDEX(成本费用登记表!$Q$4:$Y$303,177,3)))</f>
        <v/>
      </c>
      <c r="J2638" s="26" t="str">
        <f>IF($E2638="","",INDEX(成本费用登记表!$C$4:$C$303,177))</f>
        <v/>
      </c>
      <c r="K2638" s="26" t="str">
        <f>IF($E2638="","",INDEX(成本费用登记表!$D$4:$D$303,177))</f>
        <v/>
      </c>
      <c r="L2638" s="32" t="str">
        <f>IF($E2638="","",INDEX(成本费用登记表!$N$4:$N$303,177))</f>
        <v/>
      </c>
      <c r="M2638" s="32"/>
      <c r="N2638" s="26" t="str">
        <f t="shared" si="130"/>
        <v/>
      </c>
      <c r="O2638" s="26" t="str">
        <f t="shared" si="131"/>
        <v/>
      </c>
      <c r="P2638" s="10"/>
    </row>
    <row r="2639" ht="18" customHeight="1" spans="1:16">
      <c r="A2639" s="32" t="str">
        <f t="shared" si="132"/>
        <v/>
      </c>
      <c r="B2639" s="100" t="str">
        <f>IF($E2639="","",INDEX(成本费用登记表!$B$4:$B$303,177))</f>
        <v/>
      </c>
      <c r="C2639" s="26" t="str">
        <f t="shared" si="129"/>
        <v/>
      </c>
      <c r="D2639" s="32" t="str">
        <f>IF($E2639="","",INDEX(成本费用登记表!$E$4:$E$303,177))</f>
        <v/>
      </c>
      <c r="E2639" s="26" t="str">
        <f>IF(INDEX(成本费用登记表!$Q$4:$Y$303,177,4)=0,"",INDEX(成本费用登记表!$Q$4:$Y$303,177,4))</f>
        <v/>
      </c>
      <c r="F2639" s="25" t="str">
        <f>IF($E2639="","",IFERROR(INDEX(科目表!$A$4:$A$81,MATCH($E2639,科目表!$B$4:$B$81,0)),""))</f>
        <v/>
      </c>
      <c r="G2639" s="26" t="str">
        <f>IF($E2639="","",IFERROR(INDEX(科目表!$E$4:$E$81,MATCH($E2639,科目表!$B$4:$B$81,0)),""))</f>
        <v/>
      </c>
      <c r="H2639" s="27" t="str">
        <f>IF($E2639="","",N(INDEX(成本费用登记表!$Q$4:$Y$303,177,5)))</f>
        <v/>
      </c>
      <c r="I2639" s="27" t="str">
        <f>IF($E2639="","",N(INDEX(成本费用登记表!$Q$4:$Y$303,177,6)))</f>
        <v/>
      </c>
      <c r="J2639" s="26" t="str">
        <f>IF($E2639="","",INDEX(成本费用登记表!$C$4:$C$303,177))</f>
        <v/>
      </c>
      <c r="K2639" s="26" t="str">
        <f>IF($E2639="","",INDEX(成本费用登记表!$D$4:$D$303,177))</f>
        <v/>
      </c>
      <c r="L2639" s="32" t="str">
        <f>IF($E2639="","",INDEX(成本费用登记表!$N$4:$N$303,177))</f>
        <v/>
      </c>
      <c r="M2639" s="32"/>
      <c r="N2639" s="26" t="str">
        <f t="shared" si="130"/>
        <v/>
      </c>
      <c r="O2639" s="26" t="str">
        <f t="shared" si="131"/>
        <v/>
      </c>
      <c r="P2639" s="10"/>
    </row>
    <row r="2640" ht="18" customHeight="1" spans="1:16">
      <c r="A2640" s="32" t="str">
        <f t="shared" si="132"/>
        <v/>
      </c>
      <c r="B2640" s="100" t="str">
        <f>IF($E2640="","",INDEX(成本费用登记表!$B$4:$B$303,177))</f>
        <v/>
      </c>
      <c r="C2640" s="26" t="str">
        <f t="shared" si="129"/>
        <v/>
      </c>
      <c r="D2640" s="32" t="str">
        <f>IF($E2640="","",INDEX(成本费用登记表!$E$4:$E$303,177))</f>
        <v/>
      </c>
      <c r="E2640" s="26" t="str">
        <f>IF(INDEX(成本费用登记表!$Q$4:$Y$303,177,7)=0,"",INDEX(成本费用登记表!$Q$4:$Y$303,177,7))</f>
        <v/>
      </c>
      <c r="F2640" s="25" t="str">
        <f>IF($E2640="","",IFERROR(INDEX(科目表!$A$4:$A$81,MATCH($E2640,科目表!$B$4:$B$81,0)),""))</f>
        <v/>
      </c>
      <c r="G2640" s="26" t="str">
        <f>IF($E2640="","",IFERROR(INDEX(科目表!$E$4:$E$81,MATCH($E2640,科目表!$B$4:$B$81,0)),""))</f>
        <v/>
      </c>
      <c r="H2640" s="27" t="str">
        <f>IF($E2640="","",N(INDEX(成本费用登记表!$Q$4:$Y$303,177,8)))</f>
        <v/>
      </c>
      <c r="I2640" s="27" t="str">
        <f>IF($E2640="","",N(INDEX(成本费用登记表!$Q$4:$Y$303,177,9)))</f>
        <v/>
      </c>
      <c r="J2640" s="26" t="str">
        <f>IF($E2640="","",INDEX(成本费用登记表!$C$4:$C$303,177))</f>
        <v/>
      </c>
      <c r="K2640" s="26" t="str">
        <f>IF($E2640="","",INDEX(成本费用登记表!$D$4:$D$303,177))</f>
        <v/>
      </c>
      <c r="L2640" s="32" t="str">
        <f>IF($E2640="","",INDEX(成本费用登记表!$N$4:$N$303,177))</f>
        <v/>
      </c>
      <c r="M2640" s="32"/>
      <c r="N2640" s="26" t="str">
        <f t="shared" si="130"/>
        <v/>
      </c>
      <c r="O2640" s="26" t="str">
        <f t="shared" si="131"/>
        <v/>
      </c>
      <c r="P2640" s="10"/>
    </row>
    <row r="2641" ht="18" customHeight="1" spans="1:16">
      <c r="A2641" s="32" t="str">
        <f t="shared" si="132"/>
        <v/>
      </c>
      <c r="B2641" s="100" t="str">
        <f>IF($E2641="","",INDEX(成本费用登记表!$B$4:$B$303,178))</f>
        <v/>
      </c>
      <c r="C2641" s="26" t="str">
        <f t="shared" si="129"/>
        <v/>
      </c>
      <c r="D2641" s="32" t="str">
        <f>IF($E2641="","",INDEX(成本费用登记表!$E$4:$E$303,178))</f>
        <v/>
      </c>
      <c r="E2641" s="26" t="str">
        <f>IF(INDEX(成本费用登记表!$Q$4:$Y$303,178,1)=0,"",INDEX(成本费用登记表!$Q$4:$Y$303,178,1))</f>
        <v/>
      </c>
      <c r="F2641" s="25" t="str">
        <f>IF($E2641="","",IFERROR(INDEX(科目表!$A$4:$A$81,MATCH($E2641,科目表!$B$4:$B$81,0)),""))</f>
        <v/>
      </c>
      <c r="G2641" s="26" t="str">
        <f>IF($E2641="","",IFERROR(INDEX(科目表!$E$4:$E$81,MATCH($E2641,科目表!$B$4:$B$81,0)),""))</f>
        <v/>
      </c>
      <c r="H2641" s="27" t="str">
        <f>IF($E2641="","",N(INDEX(成本费用登记表!$Q$4:$Y$303,178,2)))</f>
        <v/>
      </c>
      <c r="I2641" s="27" t="str">
        <f>IF($E2641="","",N(INDEX(成本费用登记表!$Q$4:$Y$303,178,3)))</f>
        <v/>
      </c>
      <c r="J2641" s="26" t="str">
        <f>IF($E2641="","",INDEX(成本费用登记表!$C$4:$C$303,178))</f>
        <v/>
      </c>
      <c r="K2641" s="26" t="str">
        <f>IF($E2641="","",INDEX(成本费用登记表!$D$4:$D$303,178))</f>
        <v/>
      </c>
      <c r="L2641" s="32" t="str">
        <f>IF($E2641="","",INDEX(成本费用登记表!$N$4:$N$303,178))</f>
        <v/>
      </c>
      <c r="M2641" s="32"/>
      <c r="N2641" s="26" t="str">
        <f t="shared" si="130"/>
        <v/>
      </c>
      <c r="O2641" s="26" t="str">
        <f t="shared" si="131"/>
        <v/>
      </c>
      <c r="P2641" s="10"/>
    </row>
    <row r="2642" ht="18" customHeight="1" spans="1:16">
      <c r="A2642" s="32" t="str">
        <f t="shared" si="132"/>
        <v/>
      </c>
      <c r="B2642" s="100" t="str">
        <f>IF($E2642="","",INDEX(成本费用登记表!$B$4:$B$303,178))</f>
        <v/>
      </c>
      <c r="C2642" s="26" t="str">
        <f t="shared" si="129"/>
        <v/>
      </c>
      <c r="D2642" s="32" t="str">
        <f>IF($E2642="","",INDEX(成本费用登记表!$E$4:$E$303,178))</f>
        <v/>
      </c>
      <c r="E2642" s="26" t="str">
        <f>IF(INDEX(成本费用登记表!$Q$4:$Y$303,178,4)=0,"",INDEX(成本费用登记表!$Q$4:$Y$303,178,4))</f>
        <v/>
      </c>
      <c r="F2642" s="25" t="str">
        <f>IF($E2642="","",IFERROR(INDEX(科目表!$A$4:$A$81,MATCH($E2642,科目表!$B$4:$B$81,0)),""))</f>
        <v/>
      </c>
      <c r="G2642" s="26" t="str">
        <f>IF($E2642="","",IFERROR(INDEX(科目表!$E$4:$E$81,MATCH($E2642,科目表!$B$4:$B$81,0)),""))</f>
        <v/>
      </c>
      <c r="H2642" s="27" t="str">
        <f>IF($E2642="","",N(INDEX(成本费用登记表!$Q$4:$Y$303,178,5)))</f>
        <v/>
      </c>
      <c r="I2642" s="27" t="str">
        <f>IF($E2642="","",N(INDEX(成本费用登记表!$Q$4:$Y$303,178,6)))</f>
        <v/>
      </c>
      <c r="J2642" s="26" t="str">
        <f>IF($E2642="","",INDEX(成本费用登记表!$C$4:$C$303,178))</f>
        <v/>
      </c>
      <c r="K2642" s="26" t="str">
        <f>IF($E2642="","",INDEX(成本费用登记表!$D$4:$D$303,178))</f>
        <v/>
      </c>
      <c r="L2642" s="32" t="str">
        <f>IF($E2642="","",INDEX(成本费用登记表!$N$4:$N$303,178))</f>
        <v/>
      </c>
      <c r="M2642" s="32"/>
      <c r="N2642" s="26" t="str">
        <f t="shared" si="130"/>
        <v/>
      </c>
      <c r="O2642" s="26" t="str">
        <f t="shared" si="131"/>
        <v/>
      </c>
      <c r="P2642" s="10"/>
    </row>
    <row r="2643" ht="18" customHeight="1" spans="1:16">
      <c r="A2643" s="32" t="str">
        <f t="shared" si="132"/>
        <v/>
      </c>
      <c r="B2643" s="100" t="str">
        <f>IF($E2643="","",INDEX(成本费用登记表!$B$4:$B$303,178))</f>
        <v/>
      </c>
      <c r="C2643" s="26" t="str">
        <f t="shared" si="129"/>
        <v/>
      </c>
      <c r="D2643" s="32" t="str">
        <f>IF($E2643="","",INDEX(成本费用登记表!$E$4:$E$303,178))</f>
        <v/>
      </c>
      <c r="E2643" s="26" t="str">
        <f>IF(INDEX(成本费用登记表!$Q$4:$Y$303,178,7)=0,"",INDEX(成本费用登记表!$Q$4:$Y$303,178,7))</f>
        <v/>
      </c>
      <c r="F2643" s="25" t="str">
        <f>IF($E2643="","",IFERROR(INDEX(科目表!$A$4:$A$81,MATCH($E2643,科目表!$B$4:$B$81,0)),""))</f>
        <v/>
      </c>
      <c r="G2643" s="26" t="str">
        <f>IF($E2643="","",IFERROR(INDEX(科目表!$E$4:$E$81,MATCH($E2643,科目表!$B$4:$B$81,0)),""))</f>
        <v/>
      </c>
      <c r="H2643" s="27" t="str">
        <f>IF($E2643="","",N(INDEX(成本费用登记表!$Q$4:$Y$303,178,8)))</f>
        <v/>
      </c>
      <c r="I2643" s="27" t="str">
        <f>IF($E2643="","",N(INDEX(成本费用登记表!$Q$4:$Y$303,178,9)))</f>
        <v/>
      </c>
      <c r="J2643" s="26" t="str">
        <f>IF($E2643="","",INDEX(成本费用登记表!$C$4:$C$303,178))</f>
        <v/>
      </c>
      <c r="K2643" s="26" t="str">
        <f>IF($E2643="","",INDEX(成本费用登记表!$D$4:$D$303,178))</f>
        <v/>
      </c>
      <c r="L2643" s="32" t="str">
        <f>IF($E2643="","",INDEX(成本费用登记表!$N$4:$N$303,178))</f>
        <v/>
      </c>
      <c r="M2643" s="32"/>
      <c r="N2643" s="26" t="str">
        <f t="shared" si="130"/>
        <v/>
      </c>
      <c r="O2643" s="26" t="str">
        <f t="shared" si="131"/>
        <v/>
      </c>
      <c r="P2643" s="10"/>
    </row>
    <row r="2644" ht="18" customHeight="1" spans="1:16">
      <c r="A2644" s="32" t="str">
        <f t="shared" si="132"/>
        <v/>
      </c>
      <c r="B2644" s="100" t="str">
        <f>IF($E2644="","",INDEX(成本费用登记表!$B$4:$B$303,179))</f>
        <v/>
      </c>
      <c r="C2644" s="26" t="str">
        <f t="shared" si="129"/>
        <v/>
      </c>
      <c r="D2644" s="32" t="str">
        <f>IF($E2644="","",INDEX(成本费用登记表!$E$4:$E$303,179))</f>
        <v/>
      </c>
      <c r="E2644" s="26" t="str">
        <f>IF(INDEX(成本费用登记表!$Q$4:$Y$303,179,1)=0,"",INDEX(成本费用登记表!$Q$4:$Y$303,179,1))</f>
        <v/>
      </c>
      <c r="F2644" s="25" t="str">
        <f>IF($E2644="","",IFERROR(INDEX(科目表!$A$4:$A$81,MATCH($E2644,科目表!$B$4:$B$81,0)),""))</f>
        <v/>
      </c>
      <c r="G2644" s="26" t="str">
        <f>IF($E2644="","",IFERROR(INDEX(科目表!$E$4:$E$81,MATCH($E2644,科目表!$B$4:$B$81,0)),""))</f>
        <v/>
      </c>
      <c r="H2644" s="27" t="str">
        <f>IF($E2644="","",N(INDEX(成本费用登记表!$Q$4:$Y$303,179,2)))</f>
        <v/>
      </c>
      <c r="I2644" s="27" t="str">
        <f>IF($E2644="","",N(INDEX(成本费用登记表!$Q$4:$Y$303,179,3)))</f>
        <v/>
      </c>
      <c r="J2644" s="26" t="str">
        <f>IF($E2644="","",INDEX(成本费用登记表!$C$4:$C$303,179))</f>
        <v/>
      </c>
      <c r="K2644" s="26" t="str">
        <f>IF($E2644="","",INDEX(成本费用登记表!$D$4:$D$303,179))</f>
        <v/>
      </c>
      <c r="L2644" s="32" t="str">
        <f>IF($E2644="","",INDEX(成本费用登记表!$N$4:$N$303,179))</f>
        <v/>
      </c>
      <c r="M2644" s="32"/>
      <c r="N2644" s="26" t="str">
        <f t="shared" si="130"/>
        <v/>
      </c>
      <c r="O2644" s="26" t="str">
        <f t="shared" si="131"/>
        <v/>
      </c>
      <c r="P2644" s="10"/>
    </row>
    <row r="2645" ht="18" customHeight="1" spans="1:16">
      <c r="A2645" s="32" t="str">
        <f t="shared" si="132"/>
        <v/>
      </c>
      <c r="B2645" s="100" t="str">
        <f>IF($E2645="","",INDEX(成本费用登记表!$B$4:$B$303,179))</f>
        <v/>
      </c>
      <c r="C2645" s="26" t="str">
        <f t="shared" si="129"/>
        <v/>
      </c>
      <c r="D2645" s="32" t="str">
        <f>IF($E2645="","",INDEX(成本费用登记表!$E$4:$E$303,179))</f>
        <v/>
      </c>
      <c r="E2645" s="26" t="str">
        <f>IF(INDEX(成本费用登记表!$Q$4:$Y$303,179,4)=0,"",INDEX(成本费用登记表!$Q$4:$Y$303,179,4))</f>
        <v/>
      </c>
      <c r="F2645" s="25" t="str">
        <f>IF($E2645="","",IFERROR(INDEX(科目表!$A$4:$A$81,MATCH($E2645,科目表!$B$4:$B$81,0)),""))</f>
        <v/>
      </c>
      <c r="G2645" s="26" t="str">
        <f>IF($E2645="","",IFERROR(INDEX(科目表!$E$4:$E$81,MATCH($E2645,科目表!$B$4:$B$81,0)),""))</f>
        <v/>
      </c>
      <c r="H2645" s="27" t="str">
        <f>IF($E2645="","",N(INDEX(成本费用登记表!$Q$4:$Y$303,179,5)))</f>
        <v/>
      </c>
      <c r="I2645" s="27" t="str">
        <f>IF($E2645="","",N(INDEX(成本费用登记表!$Q$4:$Y$303,179,6)))</f>
        <v/>
      </c>
      <c r="J2645" s="26" t="str">
        <f>IF($E2645="","",INDEX(成本费用登记表!$C$4:$C$303,179))</f>
        <v/>
      </c>
      <c r="K2645" s="26" t="str">
        <f>IF($E2645="","",INDEX(成本费用登记表!$D$4:$D$303,179))</f>
        <v/>
      </c>
      <c r="L2645" s="32" t="str">
        <f>IF($E2645="","",INDEX(成本费用登记表!$N$4:$N$303,179))</f>
        <v/>
      </c>
      <c r="M2645" s="32"/>
      <c r="N2645" s="26" t="str">
        <f t="shared" si="130"/>
        <v/>
      </c>
      <c r="O2645" s="26" t="str">
        <f t="shared" si="131"/>
        <v/>
      </c>
      <c r="P2645" s="10"/>
    </row>
    <row r="2646" ht="18" customHeight="1" spans="1:16">
      <c r="A2646" s="32" t="str">
        <f t="shared" si="132"/>
        <v/>
      </c>
      <c r="B2646" s="100" t="str">
        <f>IF($E2646="","",INDEX(成本费用登记表!$B$4:$B$303,179))</f>
        <v/>
      </c>
      <c r="C2646" s="26" t="str">
        <f t="shared" si="129"/>
        <v/>
      </c>
      <c r="D2646" s="32" t="str">
        <f>IF($E2646="","",INDEX(成本费用登记表!$E$4:$E$303,179))</f>
        <v/>
      </c>
      <c r="E2646" s="26" t="str">
        <f>IF(INDEX(成本费用登记表!$Q$4:$Y$303,179,7)=0,"",INDEX(成本费用登记表!$Q$4:$Y$303,179,7))</f>
        <v/>
      </c>
      <c r="F2646" s="25" t="str">
        <f>IF($E2646="","",IFERROR(INDEX(科目表!$A$4:$A$81,MATCH($E2646,科目表!$B$4:$B$81,0)),""))</f>
        <v/>
      </c>
      <c r="G2646" s="26" t="str">
        <f>IF($E2646="","",IFERROR(INDEX(科目表!$E$4:$E$81,MATCH($E2646,科目表!$B$4:$B$81,0)),""))</f>
        <v/>
      </c>
      <c r="H2646" s="27" t="str">
        <f>IF($E2646="","",N(INDEX(成本费用登记表!$Q$4:$Y$303,179,8)))</f>
        <v/>
      </c>
      <c r="I2646" s="27" t="str">
        <f>IF($E2646="","",N(INDEX(成本费用登记表!$Q$4:$Y$303,179,9)))</f>
        <v/>
      </c>
      <c r="J2646" s="26" t="str">
        <f>IF($E2646="","",INDEX(成本费用登记表!$C$4:$C$303,179))</f>
        <v/>
      </c>
      <c r="K2646" s="26" t="str">
        <f>IF($E2646="","",INDEX(成本费用登记表!$D$4:$D$303,179))</f>
        <v/>
      </c>
      <c r="L2646" s="32" t="str">
        <f>IF($E2646="","",INDEX(成本费用登记表!$N$4:$N$303,179))</f>
        <v/>
      </c>
      <c r="M2646" s="32"/>
      <c r="N2646" s="26" t="str">
        <f t="shared" si="130"/>
        <v/>
      </c>
      <c r="O2646" s="26" t="str">
        <f t="shared" si="131"/>
        <v/>
      </c>
      <c r="P2646" s="10"/>
    </row>
    <row r="2647" ht="18" customHeight="1" spans="1:16">
      <c r="A2647" s="32" t="str">
        <f t="shared" si="132"/>
        <v/>
      </c>
      <c r="B2647" s="100" t="str">
        <f>IF($E2647="","",INDEX(成本费用登记表!$B$4:$B$303,180))</f>
        <v/>
      </c>
      <c r="C2647" s="26" t="str">
        <f t="shared" si="129"/>
        <v/>
      </c>
      <c r="D2647" s="32" t="str">
        <f>IF($E2647="","",INDEX(成本费用登记表!$E$4:$E$303,180))</f>
        <v/>
      </c>
      <c r="E2647" s="26" t="str">
        <f>IF(INDEX(成本费用登记表!$Q$4:$Y$303,180,1)=0,"",INDEX(成本费用登记表!$Q$4:$Y$303,180,1))</f>
        <v/>
      </c>
      <c r="F2647" s="25" t="str">
        <f>IF($E2647="","",IFERROR(INDEX(科目表!$A$4:$A$81,MATCH($E2647,科目表!$B$4:$B$81,0)),""))</f>
        <v/>
      </c>
      <c r="G2647" s="26" t="str">
        <f>IF($E2647="","",IFERROR(INDEX(科目表!$E$4:$E$81,MATCH($E2647,科目表!$B$4:$B$81,0)),""))</f>
        <v/>
      </c>
      <c r="H2647" s="27" t="str">
        <f>IF($E2647="","",N(INDEX(成本费用登记表!$Q$4:$Y$303,180,2)))</f>
        <v/>
      </c>
      <c r="I2647" s="27" t="str">
        <f>IF($E2647="","",N(INDEX(成本费用登记表!$Q$4:$Y$303,180,3)))</f>
        <v/>
      </c>
      <c r="J2647" s="26" t="str">
        <f>IF($E2647="","",INDEX(成本费用登记表!$C$4:$C$303,180))</f>
        <v/>
      </c>
      <c r="K2647" s="26" t="str">
        <f>IF($E2647="","",INDEX(成本费用登记表!$D$4:$D$303,180))</f>
        <v/>
      </c>
      <c r="L2647" s="32" t="str">
        <f>IF($E2647="","",INDEX(成本费用登记表!$N$4:$N$303,180))</f>
        <v/>
      </c>
      <c r="M2647" s="32"/>
      <c r="N2647" s="26" t="str">
        <f t="shared" si="130"/>
        <v/>
      </c>
      <c r="O2647" s="26" t="str">
        <f t="shared" si="131"/>
        <v/>
      </c>
      <c r="P2647" s="10"/>
    </row>
    <row r="2648" ht="18" customHeight="1" spans="1:16">
      <c r="A2648" s="32" t="str">
        <f t="shared" si="132"/>
        <v/>
      </c>
      <c r="B2648" s="100" t="str">
        <f>IF($E2648="","",INDEX(成本费用登记表!$B$4:$B$303,180))</f>
        <v/>
      </c>
      <c r="C2648" s="26" t="str">
        <f t="shared" si="129"/>
        <v/>
      </c>
      <c r="D2648" s="32" t="str">
        <f>IF($E2648="","",INDEX(成本费用登记表!$E$4:$E$303,180))</f>
        <v/>
      </c>
      <c r="E2648" s="26" t="str">
        <f>IF(INDEX(成本费用登记表!$Q$4:$Y$303,180,4)=0,"",INDEX(成本费用登记表!$Q$4:$Y$303,180,4))</f>
        <v/>
      </c>
      <c r="F2648" s="25" t="str">
        <f>IF($E2648="","",IFERROR(INDEX(科目表!$A$4:$A$81,MATCH($E2648,科目表!$B$4:$B$81,0)),""))</f>
        <v/>
      </c>
      <c r="G2648" s="26" t="str">
        <f>IF($E2648="","",IFERROR(INDEX(科目表!$E$4:$E$81,MATCH($E2648,科目表!$B$4:$B$81,0)),""))</f>
        <v/>
      </c>
      <c r="H2648" s="27" t="str">
        <f>IF($E2648="","",N(INDEX(成本费用登记表!$Q$4:$Y$303,180,5)))</f>
        <v/>
      </c>
      <c r="I2648" s="27" t="str">
        <f>IF($E2648="","",N(INDEX(成本费用登记表!$Q$4:$Y$303,180,6)))</f>
        <v/>
      </c>
      <c r="J2648" s="26" t="str">
        <f>IF($E2648="","",INDEX(成本费用登记表!$C$4:$C$303,180))</f>
        <v/>
      </c>
      <c r="K2648" s="26" t="str">
        <f>IF($E2648="","",INDEX(成本费用登记表!$D$4:$D$303,180))</f>
        <v/>
      </c>
      <c r="L2648" s="32" t="str">
        <f>IF($E2648="","",INDEX(成本费用登记表!$N$4:$N$303,180))</f>
        <v/>
      </c>
      <c r="M2648" s="32"/>
      <c r="N2648" s="26" t="str">
        <f t="shared" si="130"/>
        <v/>
      </c>
      <c r="O2648" s="26" t="str">
        <f t="shared" si="131"/>
        <v/>
      </c>
      <c r="P2648" s="10"/>
    </row>
    <row r="2649" ht="18" customHeight="1" spans="1:16">
      <c r="A2649" s="32" t="str">
        <f t="shared" si="132"/>
        <v/>
      </c>
      <c r="B2649" s="100" t="str">
        <f>IF($E2649="","",INDEX(成本费用登记表!$B$4:$B$303,180))</f>
        <v/>
      </c>
      <c r="C2649" s="26" t="str">
        <f t="shared" si="129"/>
        <v/>
      </c>
      <c r="D2649" s="32" t="str">
        <f>IF($E2649="","",INDEX(成本费用登记表!$E$4:$E$303,180))</f>
        <v/>
      </c>
      <c r="E2649" s="26" t="str">
        <f>IF(INDEX(成本费用登记表!$Q$4:$Y$303,180,7)=0,"",INDEX(成本费用登记表!$Q$4:$Y$303,180,7))</f>
        <v/>
      </c>
      <c r="F2649" s="25" t="str">
        <f>IF($E2649="","",IFERROR(INDEX(科目表!$A$4:$A$81,MATCH($E2649,科目表!$B$4:$B$81,0)),""))</f>
        <v/>
      </c>
      <c r="G2649" s="26" t="str">
        <f>IF($E2649="","",IFERROR(INDEX(科目表!$E$4:$E$81,MATCH($E2649,科目表!$B$4:$B$81,0)),""))</f>
        <v/>
      </c>
      <c r="H2649" s="27" t="str">
        <f>IF($E2649="","",N(INDEX(成本费用登记表!$Q$4:$Y$303,180,8)))</f>
        <v/>
      </c>
      <c r="I2649" s="27" t="str">
        <f>IF($E2649="","",N(INDEX(成本费用登记表!$Q$4:$Y$303,180,9)))</f>
        <v/>
      </c>
      <c r="J2649" s="26" t="str">
        <f>IF($E2649="","",INDEX(成本费用登记表!$C$4:$C$303,180))</f>
        <v/>
      </c>
      <c r="K2649" s="26" t="str">
        <f>IF($E2649="","",INDEX(成本费用登记表!$D$4:$D$303,180))</f>
        <v/>
      </c>
      <c r="L2649" s="32" t="str">
        <f>IF($E2649="","",INDEX(成本费用登记表!$N$4:$N$303,180))</f>
        <v/>
      </c>
      <c r="M2649" s="32"/>
      <c r="N2649" s="26" t="str">
        <f t="shared" si="130"/>
        <v/>
      </c>
      <c r="O2649" s="26" t="str">
        <f t="shared" si="131"/>
        <v/>
      </c>
      <c r="P2649" s="10"/>
    </row>
    <row r="2650" ht="18" customHeight="1" spans="1:16">
      <c r="A2650" s="32" t="str">
        <f t="shared" si="132"/>
        <v/>
      </c>
      <c r="B2650" s="100" t="str">
        <f>IF($E2650="","",INDEX(成本费用登记表!$B$4:$B$303,181))</f>
        <v/>
      </c>
      <c r="C2650" s="26" t="str">
        <f t="shared" si="129"/>
        <v/>
      </c>
      <c r="D2650" s="32" t="str">
        <f>IF($E2650="","",INDEX(成本费用登记表!$E$4:$E$303,181))</f>
        <v/>
      </c>
      <c r="E2650" s="26" t="str">
        <f>IF(INDEX(成本费用登记表!$Q$4:$Y$303,181,1)=0,"",INDEX(成本费用登记表!$Q$4:$Y$303,181,1))</f>
        <v/>
      </c>
      <c r="F2650" s="25" t="str">
        <f>IF($E2650="","",IFERROR(INDEX(科目表!$A$4:$A$81,MATCH($E2650,科目表!$B$4:$B$81,0)),""))</f>
        <v/>
      </c>
      <c r="G2650" s="26" t="str">
        <f>IF($E2650="","",IFERROR(INDEX(科目表!$E$4:$E$81,MATCH($E2650,科目表!$B$4:$B$81,0)),""))</f>
        <v/>
      </c>
      <c r="H2650" s="27" t="str">
        <f>IF($E2650="","",N(INDEX(成本费用登记表!$Q$4:$Y$303,181,2)))</f>
        <v/>
      </c>
      <c r="I2650" s="27" t="str">
        <f>IF($E2650="","",N(INDEX(成本费用登记表!$Q$4:$Y$303,181,3)))</f>
        <v/>
      </c>
      <c r="J2650" s="26" t="str">
        <f>IF($E2650="","",INDEX(成本费用登记表!$C$4:$C$303,181))</f>
        <v/>
      </c>
      <c r="K2650" s="26" t="str">
        <f>IF($E2650="","",INDEX(成本费用登记表!$D$4:$D$303,181))</f>
        <v/>
      </c>
      <c r="L2650" s="32" t="str">
        <f>IF($E2650="","",INDEX(成本费用登记表!$N$4:$N$303,181))</f>
        <v/>
      </c>
      <c r="M2650" s="32"/>
      <c r="N2650" s="26" t="str">
        <f t="shared" si="130"/>
        <v/>
      </c>
      <c r="O2650" s="26" t="str">
        <f t="shared" si="131"/>
        <v/>
      </c>
      <c r="P2650" s="10"/>
    </row>
    <row r="2651" ht="18" customHeight="1" spans="1:16">
      <c r="A2651" s="32" t="str">
        <f t="shared" si="132"/>
        <v/>
      </c>
      <c r="B2651" s="100" t="str">
        <f>IF($E2651="","",INDEX(成本费用登记表!$B$4:$B$303,181))</f>
        <v/>
      </c>
      <c r="C2651" s="26" t="str">
        <f t="shared" si="129"/>
        <v/>
      </c>
      <c r="D2651" s="32" t="str">
        <f>IF($E2651="","",INDEX(成本费用登记表!$E$4:$E$303,181))</f>
        <v/>
      </c>
      <c r="E2651" s="26" t="str">
        <f>IF(INDEX(成本费用登记表!$Q$4:$Y$303,181,4)=0,"",INDEX(成本费用登记表!$Q$4:$Y$303,181,4))</f>
        <v/>
      </c>
      <c r="F2651" s="25" t="str">
        <f>IF($E2651="","",IFERROR(INDEX(科目表!$A$4:$A$81,MATCH($E2651,科目表!$B$4:$B$81,0)),""))</f>
        <v/>
      </c>
      <c r="G2651" s="26" t="str">
        <f>IF($E2651="","",IFERROR(INDEX(科目表!$E$4:$E$81,MATCH($E2651,科目表!$B$4:$B$81,0)),""))</f>
        <v/>
      </c>
      <c r="H2651" s="27" t="str">
        <f>IF($E2651="","",N(INDEX(成本费用登记表!$Q$4:$Y$303,181,5)))</f>
        <v/>
      </c>
      <c r="I2651" s="27" t="str">
        <f>IF($E2651="","",N(INDEX(成本费用登记表!$Q$4:$Y$303,181,6)))</f>
        <v/>
      </c>
      <c r="J2651" s="26" t="str">
        <f>IF($E2651="","",INDEX(成本费用登记表!$C$4:$C$303,181))</f>
        <v/>
      </c>
      <c r="K2651" s="26" t="str">
        <f>IF($E2651="","",INDEX(成本费用登记表!$D$4:$D$303,181))</f>
        <v/>
      </c>
      <c r="L2651" s="32" t="str">
        <f>IF($E2651="","",INDEX(成本费用登记表!$N$4:$N$303,181))</f>
        <v/>
      </c>
      <c r="M2651" s="32"/>
      <c r="N2651" s="26" t="str">
        <f t="shared" si="130"/>
        <v/>
      </c>
      <c r="O2651" s="26" t="str">
        <f t="shared" si="131"/>
        <v/>
      </c>
      <c r="P2651" s="10"/>
    </row>
    <row r="2652" ht="18" customHeight="1" spans="1:16">
      <c r="A2652" s="32" t="str">
        <f t="shared" si="132"/>
        <v/>
      </c>
      <c r="B2652" s="100" t="str">
        <f>IF($E2652="","",INDEX(成本费用登记表!$B$4:$B$303,181))</f>
        <v/>
      </c>
      <c r="C2652" s="26" t="str">
        <f t="shared" si="129"/>
        <v/>
      </c>
      <c r="D2652" s="32" t="str">
        <f>IF($E2652="","",INDEX(成本费用登记表!$E$4:$E$303,181))</f>
        <v/>
      </c>
      <c r="E2652" s="26" t="str">
        <f>IF(INDEX(成本费用登记表!$Q$4:$Y$303,181,7)=0,"",INDEX(成本费用登记表!$Q$4:$Y$303,181,7))</f>
        <v/>
      </c>
      <c r="F2652" s="25" t="str">
        <f>IF($E2652="","",IFERROR(INDEX(科目表!$A$4:$A$81,MATCH($E2652,科目表!$B$4:$B$81,0)),""))</f>
        <v/>
      </c>
      <c r="G2652" s="26" t="str">
        <f>IF($E2652="","",IFERROR(INDEX(科目表!$E$4:$E$81,MATCH($E2652,科目表!$B$4:$B$81,0)),""))</f>
        <v/>
      </c>
      <c r="H2652" s="27" t="str">
        <f>IF($E2652="","",N(INDEX(成本费用登记表!$Q$4:$Y$303,181,8)))</f>
        <v/>
      </c>
      <c r="I2652" s="27" t="str">
        <f>IF($E2652="","",N(INDEX(成本费用登记表!$Q$4:$Y$303,181,9)))</f>
        <v/>
      </c>
      <c r="J2652" s="26" t="str">
        <f>IF($E2652="","",INDEX(成本费用登记表!$C$4:$C$303,181))</f>
        <v/>
      </c>
      <c r="K2652" s="26" t="str">
        <f>IF($E2652="","",INDEX(成本费用登记表!$D$4:$D$303,181))</f>
        <v/>
      </c>
      <c r="L2652" s="32" t="str">
        <f>IF($E2652="","",INDEX(成本费用登记表!$N$4:$N$303,181))</f>
        <v/>
      </c>
      <c r="M2652" s="32"/>
      <c r="N2652" s="26" t="str">
        <f t="shared" si="130"/>
        <v/>
      </c>
      <c r="O2652" s="26" t="str">
        <f t="shared" si="131"/>
        <v/>
      </c>
      <c r="P2652" s="10"/>
    </row>
    <row r="2653" ht="18" customHeight="1" spans="1:16">
      <c r="A2653" s="32" t="str">
        <f t="shared" si="132"/>
        <v/>
      </c>
      <c r="B2653" s="100" t="str">
        <f>IF($E2653="","",INDEX(成本费用登记表!$B$4:$B$303,182))</f>
        <v/>
      </c>
      <c r="C2653" s="26" t="str">
        <f t="shared" si="129"/>
        <v/>
      </c>
      <c r="D2653" s="32" t="str">
        <f>IF($E2653="","",INDEX(成本费用登记表!$E$4:$E$303,182))</f>
        <v/>
      </c>
      <c r="E2653" s="26" t="str">
        <f>IF(INDEX(成本费用登记表!$Q$4:$Y$303,182,1)=0,"",INDEX(成本费用登记表!$Q$4:$Y$303,182,1))</f>
        <v/>
      </c>
      <c r="F2653" s="25" t="str">
        <f>IF($E2653="","",IFERROR(INDEX(科目表!$A$4:$A$81,MATCH($E2653,科目表!$B$4:$B$81,0)),""))</f>
        <v/>
      </c>
      <c r="G2653" s="26" t="str">
        <f>IF($E2653="","",IFERROR(INDEX(科目表!$E$4:$E$81,MATCH($E2653,科目表!$B$4:$B$81,0)),""))</f>
        <v/>
      </c>
      <c r="H2653" s="27" t="str">
        <f>IF($E2653="","",N(INDEX(成本费用登记表!$Q$4:$Y$303,182,2)))</f>
        <v/>
      </c>
      <c r="I2653" s="27" t="str">
        <f>IF($E2653="","",N(INDEX(成本费用登记表!$Q$4:$Y$303,182,3)))</f>
        <v/>
      </c>
      <c r="J2653" s="26" t="str">
        <f>IF($E2653="","",INDEX(成本费用登记表!$C$4:$C$303,182))</f>
        <v/>
      </c>
      <c r="K2653" s="26" t="str">
        <f>IF($E2653="","",INDEX(成本费用登记表!$D$4:$D$303,182))</f>
        <v/>
      </c>
      <c r="L2653" s="32" t="str">
        <f>IF($E2653="","",INDEX(成本费用登记表!$N$4:$N$303,182))</f>
        <v/>
      </c>
      <c r="M2653" s="32"/>
      <c r="N2653" s="26" t="str">
        <f t="shared" si="130"/>
        <v/>
      </c>
      <c r="O2653" s="26" t="str">
        <f t="shared" si="131"/>
        <v/>
      </c>
      <c r="P2653" s="10"/>
    </row>
    <row r="2654" ht="18" customHeight="1" spans="1:16">
      <c r="A2654" s="32" t="str">
        <f t="shared" si="132"/>
        <v/>
      </c>
      <c r="B2654" s="100" t="str">
        <f>IF($E2654="","",INDEX(成本费用登记表!$B$4:$B$303,182))</f>
        <v/>
      </c>
      <c r="C2654" s="26" t="str">
        <f t="shared" si="129"/>
        <v/>
      </c>
      <c r="D2654" s="32" t="str">
        <f>IF($E2654="","",INDEX(成本费用登记表!$E$4:$E$303,182))</f>
        <v/>
      </c>
      <c r="E2654" s="26" t="str">
        <f>IF(INDEX(成本费用登记表!$Q$4:$Y$303,182,4)=0,"",INDEX(成本费用登记表!$Q$4:$Y$303,182,4))</f>
        <v/>
      </c>
      <c r="F2654" s="25" t="str">
        <f>IF($E2654="","",IFERROR(INDEX(科目表!$A$4:$A$81,MATCH($E2654,科目表!$B$4:$B$81,0)),""))</f>
        <v/>
      </c>
      <c r="G2654" s="26" t="str">
        <f>IF($E2654="","",IFERROR(INDEX(科目表!$E$4:$E$81,MATCH($E2654,科目表!$B$4:$B$81,0)),""))</f>
        <v/>
      </c>
      <c r="H2654" s="27" t="str">
        <f>IF($E2654="","",N(INDEX(成本费用登记表!$Q$4:$Y$303,182,5)))</f>
        <v/>
      </c>
      <c r="I2654" s="27" t="str">
        <f>IF($E2654="","",N(INDEX(成本费用登记表!$Q$4:$Y$303,182,6)))</f>
        <v/>
      </c>
      <c r="J2654" s="26" t="str">
        <f>IF($E2654="","",INDEX(成本费用登记表!$C$4:$C$303,182))</f>
        <v/>
      </c>
      <c r="K2654" s="26" t="str">
        <f>IF($E2654="","",INDEX(成本费用登记表!$D$4:$D$303,182))</f>
        <v/>
      </c>
      <c r="L2654" s="32" t="str">
        <f>IF($E2654="","",INDEX(成本费用登记表!$N$4:$N$303,182))</f>
        <v/>
      </c>
      <c r="M2654" s="32"/>
      <c r="N2654" s="26" t="str">
        <f t="shared" si="130"/>
        <v/>
      </c>
      <c r="O2654" s="26" t="str">
        <f t="shared" si="131"/>
        <v/>
      </c>
      <c r="P2654" s="10"/>
    </row>
    <row r="2655" ht="18" customHeight="1" spans="1:16">
      <c r="A2655" s="32" t="str">
        <f t="shared" si="132"/>
        <v/>
      </c>
      <c r="B2655" s="100" t="str">
        <f>IF($E2655="","",INDEX(成本费用登记表!$B$4:$B$303,182))</f>
        <v/>
      </c>
      <c r="C2655" s="26" t="str">
        <f t="shared" si="129"/>
        <v/>
      </c>
      <c r="D2655" s="32" t="str">
        <f>IF($E2655="","",INDEX(成本费用登记表!$E$4:$E$303,182))</f>
        <v/>
      </c>
      <c r="E2655" s="26" t="str">
        <f>IF(INDEX(成本费用登记表!$Q$4:$Y$303,182,7)=0,"",INDEX(成本费用登记表!$Q$4:$Y$303,182,7))</f>
        <v/>
      </c>
      <c r="F2655" s="25" t="str">
        <f>IF($E2655="","",IFERROR(INDEX(科目表!$A$4:$A$81,MATCH($E2655,科目表!$B$4:$B$81,0)),""))</f>
        <v/>
      </c>
      <c r="G2655" s="26" t="str">
        <f>IF($E2655="","",IFERROR(INDEX(科目表!$E$4:$E$81,MATCH($E2655,科目表!$B$4:$B$81,0)),""))</f>
        <v/>
      </c>
      <c r="H2655" s="27" t="str">
        <f>IF($E2655="","",N(INDEX(成本费用登记表!$Q$4:$Y$303,182,8)))</f>
        <v/>
      </c>
      <c r="I2655" s="27" t="str">
        <f>IF($E2655="","",N(INDEX(成本费用登记表!$Q$4:$Y$303,182,9)))</f>
        <v/>
      </c>
      <c r="J2655" s="26" t="str">
        <f>IF($E2655="","",INDEX(成本费用登记表!$C$4:$C$303,182))</f>
        <v/>
      </c>
      <c r="K2655" s="26" t="str">
        <f>IF($E2655="","",INDEX(成本费用登记表!$D$4:$D$303,182))</f>
        <v/>
      </c>
      <c r="L2655" s="32" t="str">
        <f>IF($E2655="","",INDEX(成本费用登记表!$N$4:$N$303,182))</f>
        <v/>
      </c>
      <c r="M2655" s="32"/>
      <c r="N2655" s="26" t="str">
        <f t="shared" si="130"/>
        <v/>
      </c>
      <c r="O2655" s="26" t="str">
        <f t="shared" si="131"/>
        <v/>
      </c>
      <c r="P2655" s="10"/>
    </row>
    <row r="2656" ht="18" customHeight="1" spans="1:16">
      <c r="A2656" s="32" t="str">
        <f t="shared" si="132"/>
        <v/>
      </c>
      <c r="B2656" s="100" t="str">
        <f>IF($E2656="","",INDEX(成本费用登记表!$B$4:$B$303,183))</f>
        <v/>
      </c>
      <c r="C2656" s="26" t="str">
        <f t="shared" si="129"/>
        <v/>
      </c>
      <c r="D2656" s="32" t="str">
        <f>IF($E2656="","",INDEX(成本费用登记表!$E$4:$E$303,183))</f>
        <v/>
      </c>
      <c r="E2656" s="26" t="str">
        <f>IF(INDEX(成本费用登记表!$Q$4:$Y$303,183,1)=0,"",INDEX(成本费用登记表!$Q$4:$Y$303,183,1))</f>
        <v/>
      </c>
      <c r="F2656" s="25" t="str">
        <f>IF($E2656="","",IFERROR(INDEX(科目表!$A$4:$A$81,MATCH($E2656,科目表!$B$4:$B$81,0)),""))</f>
        <v/>
      </c>
      <c r="G2656" s="26" t="str">
        <f>IF($E2656="","",IFERROR(INDEX(科目表!$E$4:$E$81,MATCH($E2656,科目表!$B$4:$B$81,0)),""))</f>
        <v/>
      </c>
      <c r="H2656" s="27" t="str">
        <f>IF($E2656="","",N(INDEX(成本费用登记表!$Q$4:$Y$303,183,2)))</f>
        <v/>
      </c>
      <c r="I2656" s="27" t="str">
        <f>IF($E2656="","",N(INDEX(成本费用登记表!$Q$4:$Y$303,183,3)))</f>
        <v/>
      </c>
      <c r="J2656" s="26" t="str">
        <f>IF($E2656="","",INDEX(成本费用登记表!$C$4:$C$303,183))</f>
        <v/>
      </c>
      <c r="K2656" s="26" t="str">
        <f>IF($E2656="","",INDEX(成本费用登记表!$D$4:$D$303,183))</f>
        <v/>
      </c>
      <c r="L2656" s="32" t="str">
        <f>IF($E2656="","",INDEX(成本费用登记表!$N$4:$N$303,183))</f>
        <v/>
      </c>
      <c r="M2656" s="32"/>
      <c r="N2656" s="26" t="str">
        <f t="shared" si="130"/>
        <v/>
      </c>
      <c r="O2656" s="26" t="str">
        <f t="shared" si="131"/>
        <v/>
      </c>
      <c r="P2656" s="10"/>
    </row>
    <row r="2657" ht="18" customHeight="1" spans="1:16">
      <c r="A2657" s="32" t="str">
        <f t="shared" si="132"/>
        <v/>
      </c>
      <c r="B2657" s="100" t="str">
        <f>IF($E2657="","",INDEX(成本费用登记表!$B$4:$B$303,183))</f>
        <v/>
      </c>
      <c r="C2657" s="26" t="str">
        <f t="shared" si="129"/>
        <v/>
      </c>
      <c r="D2657" s="32" t="str">
        <f>IF($E2657="","",INDEX(成本费用登记表!$E$4:$E$303,183))</f>
        <v/>
      </c>
      <c r="E2657" s="26" t="str">
        <f>IF(INDEX(成本费用登记表!$Q$4:$Y$303,183,4)=0,"",INDEX(成本费用登记表!$Q$4:$Y$303,183,4))</f>
        <v/>
      </c>
      <c r="F2657" s="25" t="str">
        <f>IF($E2657="","",IFERROR(INDEX(科目表!$A$4:$A$81,MATCH($E2657,科目表!$B$4:$B$81,0)),""))</f>
        <v/>
      </c>
      <c r="G2657" s="26" t="str">
        <f>IF($E2657="","",IFERROR(INDEX(科目表!$E$4:$E$81,MATCH($E2657,科目表!$B$4:$B$81,0)),""))</f>
        <v/>
      </c>
      <c r="H2657" s="27" t="str">
        <f>IF($E2657="","",N(INDEX(成本费用登记表!$Q$4:$Y$303,183,5)))</f>
        <v/>
      </c>
      <c r="I2657" s="27" t="str">
        <f>IF($E2657="","",N(INDEX(成本费用登记表!$Q$4:$Y$303,183,6)))</f>
        <v/>
      </c>
      <c r="J2657" s="26" t="str">
        <f>IF($E2657="","",INDEX(成本费用登记表!$C$4:$C$303,183))</f>
        <v/>
      </c>
      <c r="K2657" s="26" t="str">
        <f>IF($E2657="","",INDEX(成本费用登记表!$D$4:$D$303,183))</f>
        <v/>
      </c>
      <c r="L2657" s="32" t="str">
        <f>IF($E2657="","",INDEX(成本费用登记表!$N$4:$N$303,183))</f>
        <v/>
      </c>
      <c r="M2657" s="32"/>
      <c r="N2657" s="26" t="str">
        <f t="shared" si="130"/>
        <v/>
      </c>
      <c r="O2657" s="26" t="str">
        <f t="shared" si="131"/>
        <v/>
      </c>
      <c r="P2657" s="10"/>
    </row>
    <row r="2658" ht="18" customHeight="1" spans="1:16">
      <c r="A2658" s="32" t="str">
        <f t="shared" si="132"/>
        <v/>
      </c>
      <c r="B2658" s="100" t="str">
        <f>IF($E2658="","",INDEX(成本费用登记表!$B$4:$B$303,183))</f>
        <v/>
      </c>
      <c r="C2658" s="26" t="str">
        <f t="shared" si="129"/>
        <v/>
      </c>
      <c r="D2658" s="32" t="str">
        <f>IF($E2658="","",INDEX(成本费用登记表!$E$4:$E$303,183))</f>
        <v/>
      </c>
      <c r="E2658" s="26" t="str">
        <f>IF(INDEX(成本费用登记表!$Q$4:$Y$303,183,7)=0,"",INDEX(成本费用登记表!$Q$4:$Y$303,183,7))</f>
        <v/>
      </c>
      <c r="F2658" s="25" t="str">
        <f>IF($E2658="","",IFERROR(INDEX(科目表!$A$4:$A$81,MATCH($E2658,科目表!$B$4:$B$81,0)),""))</f>
        <v/>
      </c>
      <c r="G2658" s="26" t="str">
        <f>IF($E2658="","",IFERROR(INDEX(科目表!$E$4:$E$81,MATCH($E2658,科目表!$B$4:$B$81,0)),""))</f>
        <v/>
      </c>
      <c r="H2658" s="27" t="str">
        <f>IF($E2658="","",N(INDEX(成本费用登记表!$Q$4:$Y$303,183,8)))</f>
        <v/>
      </c>
      <c r="I2658" s="27" t="str">
        <f>IF($E2658="","",N(INDEX(成本费用登记表!$Q$4:$Y$303,183,9)))</f>
        <v/>
      </c>
      <c r="J2658" s="26" t="str">
        <f>IF($E2658="","",INDEX(成本费用登记表!$C$4:$C$303,183))</f>
        <v/>
      </c>
      <c r="K2658" s="26" t="str">
        <f>IF($E2658="","",INDEX(成本费用登记表!$D$4:$D$303,183))</f>
        <v/>
      </c>
      <c r="L2658" s="32" t="str">
        <f>IF($E2658="","",INDEX(成本费用登记表!$N$4:$N$303,183))</f>
        <v/>
      </c>
      <c r="M2658" s="32"/>
      <c r="N2658" s="26" t="str">
        <f t="shared" si="130"/>
        <v/>
      </c>
      <c r="O2658" s="26" t="str">
        <f t="shared" si="131"/>
        <v/>
      </c>
      <c r="P2658" s="10"/>
    </row>
    <row r="2659" ht="18" customHeight="1" spans="1:16">
      <c r="A2659" s="32" t="str">
        <f t="shared" si="132"/>
        <v/>
      </c>
      <c r="B2659" s="100" t="str">
        <f>IF($E2659="","",INDEX(成本费用登记表!$B$4:$B$303,184))</f>
        <v/>
      </c>
      <c r="C2659" s="26" t="str">
        <f t="shared" si="129"/>
        <v/>
      </c>
      <c r="D2659" s="32" t="str">
        <f>IF($E2659="","",INDEX(成本费用登记表!$E$4:$E$303,184))</f>
        <v/>
      </c>
      <c r="E2659" s="26" t="str">
        <f>IF(INDEX(成本费用登记表!$Q$4:$Y$303,184,1)=0,"",INDEX(成本费用登记表!$Q$4:$Y$303,184,1))</f>
        <v/>
      </c>
      <c r="F2659" s="25" t="str">
        <f>IF($E2659="","",IFERROR(INDEX(科目表!$A$4:$A$81,MATCH($E2659,科目表!$B$4:$B$81,0)),""))</f>
        <v/>
      </c>
      <c r="G2659" s="26" t="str">
        <f>IF($E2659="","",IFERROR(INDEX(科目表!$E$4:$E$81,MATCH($E2659,科目表!$B$4:$B$81,0)),""))</f>
        <v/>
      </c>
      <c r="H2659" s="27" t="str">
        <f>IF($E2659="","",N(INDEX(成本费用登记表!$Q$4:$Y$303,184,2)))</f>
        <v/>
      </c>
      <c r="I2659" s="27" t="str">
        <f>IF($E2659="","",N(INDEX(成本费用登记表!$Q$4:$Y$303,184,3)))</f>
        <v/>
      </c>
      <c r="J2659" s="26" t="str">
        <f>IF($E2659="","",INDEX(成本费用登记表!$C$4:$C$303,184))</f>
        <v/>
      </c>
      <c r="K2659" s="26" t="str">
        <f>IF($E2659="","",INDEX(成本费用登记表!$D$4:$D$303,184))</f>
        <v/>
      </c>
      <c r="L2659" s="32" t="str">
        <f>IF($E2659="","",INDEX(成本费用登记表!$N$4:$N$303,184))</f>
        <v/>
      </c>
      <c r="M2659" s="32"/>
      <c r="N2659" s="26" t="str">
        <f t="shared" si="130"/>
        <v/>
      </c>
      <c r="O2659" s="26" t="str">
        <f t="shared" si="131"/>
        <v/>
      </c>
      <c r="P2659" s="10"/>
    </row>
    <row r="2660" ht="18" customHeight="1" spans="1:16">
      <c r="A2660" s="32" t="str">
        <f t="shared" si="132"/>
        <v/>
      </c>
      <c r="B2660" s="100" t="str">
        <f>IF($E2660="","",INDEX(成本费用登记表!$B$4:$B$303,184))</f>
        <v/>
      </c>
      <c r="C2660" s="26" t="str">
        <f t="shared" si="129"/>
        <v/>
      </c>
      <c r="D2660" s="32" t="str">
        <f>IF($E2660="","",INDEX(成本费用登记表!$E$4:$E$303,184))</f>
        <v/>
      </c>
      <c r="E2660" s="26" t="str">
        <f>IF(INDEX(成本费用登记表!$Q$4:$Y$303,184,4)=0,"",INDEX(成本费用登记表!$Q$4:$Y$303,184,4))</f>
        <v/>
      </c>
      <c r="F2660" s="25" t="str">
        <f>IF($E2660="","",IFERROR(INDEX(科目表!$A$4:$A$81,MATCH($E2660,科目表!$B$4:$B$81,0)),""))</f>
        <v/>
      </c>
      <c r="G2660" s="26" t="str">
        <f>IF($E2660="","",IFERROR(INDEX(科目表!$E$4:$E$81,MATCH($E2660,科目表!$B$4:$B$81,0)),""))</f>
        <v/>
      </c>
      <c r="H2660" s="27" t="str">
        <f>IF($E2660="","",N(INDEX(成本费用登记表!$Q$4:$Y$303,184,5)))</f>
        <v/>
      </c>
      <c r="I2660" s="27" t="str">
        <f>IF($E2660="","",N(INDEX(成本费用登记表!$Q$4:$Y$303,184,6)))</f>
        <v/>
      </c>
      <c r="J2660" s="26" t="str">
        <f>IF($E2660="","",INDEX(成本费用登记表!$C$4:$C$303,184))</f>
        <v/>
      </c>
      <c r="K2660" s="26" t="str">
        <f>IF($E2660="","",INDEX(成本费用登记表!$D$4:$D$303,184))</f>
        <v/>
      </c>
      <c r="L2660" s="32" t="str">
        <f>IF($E2660="","",INDEX(成本费用登记表!$N$4:$N$303,184))</f>
        <v/>
      </c>
      <c r="M2660" s="32"/>
      <c r="N2660" s="26" t="str">
        <f t="shared" si="130"/>
        <v/>
      </c>
      <c r="O2660" s="26" t="str">
        <f t="shared" si="131"/>
        <v/>
      </c>
      <c r="P2660" s="10"/>
    </row>
    <row r="2661" ht="18" customHeight="1" spans="1:16">
      <c r="A2661" s="32" t="str">
        <f t="shared" si="132"/>
        <v/>
      </c>
      <c r="B2661" s="100" t="str">
        <f>IF($E2661="","",INDEX(成本费用登记表!$B$4:$B$303,184))</f>
        <v/>
      </c>
      <c r="C2661" s="26" t="str">
        <f t="shared" si="129"/>
        <v/>
      </c>
      <c r="D2661" s="32" t="str">
        <f>IF($E2661="","",INDEX(成本费用登记表!$E$4:$E$303,184))</f>
        <v/>
      </c>
      <c r="E2661" s="26" t="str">
        <f>IF(INDEX(成本费用登记表!$Q$4:$Y$303,184,7)=0,"",INDEX(成本费用登记表!$Q$4:$Y$303,184,7))</f>
        <v/>
      </c>
      <c r="F2661" s="25" t="str">
        <f>IF($E2661="","",IFERROR(INDEX(科目表!$A$4:$A$81,MATCH($E2661,科目表!$B$4:$B$81,0)),""))</f>
        <v/>
      </c>
      <c r="G2661" s="26" t="str">
        <f>IF($E2661="","",IFERROR(INDEX(科目表!$E$4:$E$81,MATCH($E2661,科目表!$B$4:$B$81,0)),""))</f>
        <v/>
      </c>
      <c r="H2661" s="27" t="str">
        <f>IF($E2661="","",N(INDEX(成本费用登记表!$Q$4:$Y$303,184,8)))</f>
        <v/>
      </c>
      <c r="I2661" s="27" t="str">
        <f>IF($E2661="","",N(INDEX(成本费用登记表!$Q$4:$Y$303,184,9)))</f>
        <v/>
      </c>
      <c r="J2661" s="26" t="str">
        <f>IF($E2661="","",INDEX(成本费用登记表!$C$4:$C$303,184))</f>
        <v/>
      </c>
      <c r="K2661" s="26" t="str">
        <f>IF($E2661="","",INDEX(成本费用登记表!$D$4:$D$303,184))</f>
        <v/>
      </c>
      <c r="L2661" s="32" t="str">
        <f>IF($E2661="","",INDEX(成本费用登记表!$N$4:$N$303,184))</f>
        <v/>
      </c>
      <c r="M2661" s="32"/>
      <c r="N2661" s="26" t="str">
        <f t="shared" si="130"/>
        <v/>
      </c>
      <c r="O2661" s="26" t="str">
        <f t="shared" si="131"/>
        <v/>
      </c>
      <c r="P2661" s="10"/>
    </row>
    <row r="2662" ht="18" customHeight="1" spans="1:16">
      <c r="A2662" s="32" t="str">
        <f t="shared" si="132"/>
        <v/>
      </c>
      <c r="B2662" s="100" t="str">
        <f>IF($E2662="","",INDEX(成本费用登记表!$B$4:$B$303,185))</f>
        <v/>
      </c>
      <c r="C2662" s="26" t="str">
        <f t="shared" si="129"/>
        <v/>
      </c>
      <c r="D2662" s="32" t="str">
        <f>IF($E2662="","",INDEX(成本费用登记表!$E$4:$E$303,185))</f>
        <v/>
      </c>
      <c r="E2662" s="26" t="str">
        <f>IF(INDEX(成本费用登记表!$Q$4:$Y$303,185,1)=0,"",INDEX(成本费用登记表!$Q$4:$Y$303,185,1))</f>
        <v/>
      </c>
      <c r="F2662" s="25" t="str">
        <f>IF($E2662="","",IFERROR(INDEX(科目表!$A$4:$A$81,MATCH($E2662,科目表!$B$4:$B$81,0)),""))</f>
        <v/>
      </c>
      <c r="G2662" s="26" t="str">
        <f>IF($E2662="","",IFERROR(INDEX(科目表!$E$4:$E$81,MATCH($E2662,科目表!$B$4:$B$81,0)),""))</f>
        <v/>
      </c>
      <c r="H2662" s="27" t="str">
        <f>IF($E2662="","",N(INDEX(成本费用登记表!$Q$4:$Y$303,185,2)))</f>
        <v/>
      </c>
      <c r="I2662" s="27" t="str">
        <f>IF($E2662="","",N(INDEX(成本费用登记表!$Q$4:$Y$303,185,3)))</f>
        <v/>
      </c>
      <c r="J2662" s="26" t="str">
        <f>IF($E2662="","",INDEX(成本费用登记表!$C$4:$C$303,185))</f>
        <v/>
      </c>
      <c r="K2662" s="26" t="str">
        <f>IF($E2662="","",INDEX(成本费用登记表!$D$4:$D$303,185))</f>
        <v/>
      </c>
      <c r="L2662" s="32" t="str">
        <f>IF($E2662="","",INDEX(成本费用登记表!$N$4:$N$303,185))</f>
        <v/>
      </c>
      <c r="M2662" s="32"/>
      <c r="N2662" s="26" t="str">
        <f t="shared" si="130"/>
        <v/>
      </c>
      <c r="O2662" s="26" t="str">
        <f t="shared" si="131"/>
        <v/>
      </c>
      <c r="P2662" s="10"/>
    </row>
    <row r="2663" ht="18" customHeight="1" spans="1:16">
      <c r="A2663" s="32" t="str">
        <f t="shared" si="132"/>
        <v/>
      </c>
      <c r="B2663" s="100" t="str">
        <f>IF($E2663="","",INDEX(成本费用登记表!$B$4:$B$303,185))</f>
        <v/>
      </c>
      <c r="C2663" s="26" t="str">
        <f t="shared" si="129"/>
        <v/>
      </c>
      <c r="D2663" s="32" t="str">
        <f>IF($E2663="","",INDEX(成本费用登记表!$E$4:$E$303,185))</f>
        <v/>
      </c>
      <c r="E2663" s="26" t="str">
        <f>IF(INDEX(成本费用登记表!$Q$4:$Y$303,185,4)=0,"",INDEX(成本费用登记表!$Q$4:$Y$303,185,4))</f>
        <v/>
      </c>
      <c r="F2663" s="25" t="str">
        <f>IF($E2663="","",IFERROR(INDEX(科目表!$A$4:$A$81,MATCH($E2663,科目表!$B$4:$B$81,0)),""))</f>
        <v/>
      </c>
      <c r="G2663" s="26" t="str">
        <f>IF($E2663="","",IFERROR(INDEX(科目表!$E$4:$E$81,MATCH($E2663,科目表!$B$4:$B$81,0)),""))</f>
        <v/>
      </c>
      <c r="H2663" s="27" t="str">
        <f>IF($E2663="","",N(INDEX(成本费用登记表!$Q$4:$Y$303,185,5)))</f>
        <v/>
      </c>
      <c r="I2663" s="27" t="str">
        <f>IF($E2663="","",N(INDEX(成本费用登记表!$Q$4:$Y$303,185,6)))</f>
        <v/>
      </c>
      <c r="J2663" s="26" t="str">
        <f>IF($E2663="","",INDEX(成本费用登记表!$C$4:$C$303,185))</f>
        <v/>
      </c>
      <c r="K2663" s="26" t="str">
        <f>IF($E2663="","",INDEX(成本费用登记表!$D$4:$D$303,185))</f>
        <v/>
      </c>
      <c r="L2663" s="32" t="str">
        <f>IF($E2663="","",INDEX(成本费用登记表!$N$4:$N$303,185))</f>
        <v/>
      </c>
      <c r="M2663" s="32"/>
      <c r="N2663" s="26" t="str">
        <f t="shared" si="130"/>
        <v/>
      </c>
      <c r="O2663" s="26" t="str">
        <f t="shared" si="131"/>
        <v/>
      </c>
      <c r="P2663" s="10"/>
    </row>
    <row r="2664" ht="18" customHeight="1" spans="1:16">
      <c r="A2664" s="32" t="str">
        <f t="shared" si="132"/>
        <v/>
      </c>
      <c r="B2664" s="100" t="str">
        <f>IF($E2664="","",INDEX(成本费用登记表!$B$4:$B$303,185))</f>
        <v/>
      </c>
      <c r="C2664" s="26" t="str">
        <f t="shared" si="129"/>
        <v/>
      </c>
      <c r="D2664" s="32" t="str">
        <f>IF($E2664="","",INDEX(成本费用登记表!$E$4:$E$303,185))</f>
        <v/>
      </c>
      <c r="E2664" s="26" t="str">
        <f>IF(INDEX(成本费用登记表!$Q$4:$Y$303,185,7)=0,"",INDEX(成本费用登记表!$Q$4:$Y$303,185,7))</f>
        <v/>
      </c>
      <c r="F2664" s="25" t="str">
        <f>IF($E2664="","",IFERROR(INDEX(科目表!$A$4:$A$81,MATCH($E2664,科目表!$B$4:$B$81,0)),""))</f>
        <v/>
      </c>
      <c r="G2664" s="26" t="str">
        <f>IF($E2664="","",IFERROR(INDEX(科目表!$E$4:$E$81,MATCH($E2664,科目表!$B$4:$B$81,0)),""))</f>
        <v/>
      </c>
      <c r="H2664" s="27" t="str">
        <f>IF($E2664="","",N(INDEX(成本费用登记表!$Q$4:$Y$303,185,8)))</f>
        <v/>
      </c>
      <c r="I2664" s="27" t="str">
        <f>IF($E2664="","",N(INDEX(成本费用登记表!$Q$4:$Y$303,185,9)))</f>
        <v/>
      </c>
      <c r="J2664" s="26" t="str">
        <f>IF($E2664="","",INDEX(成本费用登记表!$C$4:$C$303,185))</f>
        <v/>
      </c>
      <c r="K2664" s="26" t="str">
        <f>IF($E2664="","",INDEX(成本费用登记表!$D$4:$D$303,185))</f>
        <v/>
      </c>
      <c r="L2664" s="32" t="str">
        <f>IF($E2664="","",INDEX(成本费用登记表!$N$4:$N$303,185))</f>
        <v/>
      </c>
      <c r="M2664" s="32"/>
      <c r="N2664" s="26" t="str">
        <f t="shared" si="130"/>
        <v/>
      </c>
      <c r="O2664" s="26" t="str">
        <f t="shared" si="131"/>
        <v/>
      </c>
      <c r="P2664" s="10"/>
    </row>
    <row r="2665" ht="18" customHeight="1" spans="1:16">
      <c r="A2665" s="32" t="str">
        <f t="shared" si="132"/>
        <v/>
      </c>
      <c r="B2665" s="100" t="str">
        <f>IF($E2665="","",INDEX(成本费用登记表!$B$4:$B$303,186))</f>
        <v/>
      </c>
      <c r="C2665" s="26" t="str">
        <f t="shared" si="129"/>
        <v/>
      </c>
      <c r="D2665" s="32" t="str">
        <f>IF($E2665="","",INDEX(成本费用登记表!$E$4:$E$303,186))</f>
        <v/>
      </c>
      <c r="E2665" s="26" t="str">
        <f>IF(INDEX(成本费用登记表!$Q$4:$Y$303,186,1)=0,"",INDEX(成本费用登记表!$Q$4:$Y$303,186,1))</f>
        <v/>
      </c>
      <c r="F2665" s="25" t="str">
        <f>IF($E2665="","",IFERROR(INDEX(科目表!$A$4:$A$81,MATCH($E2665,科目表!$B$4:$B$81,0)),""))</f>
        <v/>
      </c>
      <c r="G2665" s="26" t="str">
        <f>IF($E2665="","",IFERROR(INDEX(科目表!$E$4:$E$81,MATCH($E2665,科目表!$B$4:$B$81,0)),""))</f>
        <v/>
      </c>
      <c r="H2665" s="27" t="str">
        <f>IF($E2665="","",N(INDEX(成本费用登记表!$Q$4:$Y$303,186,2)))</f>
        <v/>
      </c>
      <c r="I2665" s="27" t="str">
        <f>IF($E2665="","",N(INDEX(成本费用登记表!$Q$4:$Y$303,186,3)))</f>
        <v/>
      </c>
      <c r="J2665" s="26" t="str">
        <f>IF($E2665="","",INDEX(成本费用登记表!$C$4:$C$303,186))</f>
        <v/>
      </c>
      <c r="K2665" s="26" t="str">
        <f>IF($E2665="","",INDEX(成本费用登记表!$D$4:$D$303,186))</f>
        <v/>
      </c>
      <c r="L2665" s="32" t="str">
        <f>IF($E2665="","",INDEX(成本费用登记表!$N$4:$N$303,186))</f>
        <v/>
      </c>
      <c r="M2665" s="32"/>
      <c r="N2665" s="26" t="str">
        <f t="shared" si="130"/>
        <v/>
      </c>
      <c r="O2665" s="26" t="str">
        <f t="shared" si="131"/>
        <v/>
      </c>
      <c r="P2665" s="10"/>
    </row>
    <row r="2666" ht="18" customHeight="1" spans="1:16">
      <c r="A2666" s="32" t="str">
        <f t="shared" si="132"/>
        <v/>
      </c>
      <c r="B2666" s="100" t="str">
        <f>IF($E2666="","",INDEX(成本费用登记表!$B$4:$B$303,186))</f>
        <v/>
      </c>
      <c r="C2666" s="26" t="str">
        <f t="shared" si="129"/>
        <v/>
      </c>
      <c r="D2666" s="32" t="str">
        <f>IF($E2666="","",INDEX(成本费用登记表!$E$4:$E$303,186))</f>
        <v/>
      </c>
      <c r="E2666" s="26" t="str">
        <f>IF(INDEX(成本费用登记表!$Q$4:$Y$303,186,4)=0,"",INDEX(成本费用登记表!$Q$4:$Y$303,186,4))</f>
        <v/>
      </c>
      <c r="F2666" s="25" t="str">
        <f>IF($E2666="","",IFERROR(INDEX(科目表!$A$4:$A$81,MATCH($E2666,科目表!$B$4:$B$81,0)),""))</f>
        <v/>
      </c>
      <c r="G2666" s="26" t="str">
        <f>IF($E2666="","",IFERROR(INDEX(科目表!$E$4:$E$81,MATCH($E2666,科目表!$B$4:$B$81,0)),""))</f>
        <v/>
      </c>
      <c r="H2666" s="27" t="str">
        <f>IF($E2666="","",N(INDEX(成本费用登记表!$Q$4:$Y$303,186,5)))</f>
        <v/>
      </c>
      <c r="I2666" s="27" t="str">
        <f>IF($E2666="","",N(INDEX(成本费用登记表!$Q$4:$Y$303,186,6)))</f>
        <v/>
      </c>
      <c r="J2666" s="26" t="str">
        <f>IF($E2666="","",INDEX(成本费用登记表!$C$4:$C$303,186))</f>
        <v/>
      </c>
      <c r="K2666" s="26" t="str">
        <f>IF($E2666="","",INDEX(成本费用登记表!$D$4:$D$303,186))</f>
        <v/>
      </c>
      <c r="L2666" s="32" t="str">
        <f>IF($E2666="","",INDEX(成本费用登记表!$N$4:$N$303,186))</f>
        <v/>
      </c>
      <c r="M2666" s="32"/>
      <c r="N2666" s="26" t="str">
        <f t="shared" si="130"/>
        <v/>
      </c>
      <c r="O2666" s="26" t="str">
        <f t="shared" si="131"/>
        <v/>
      </c>
      <c r="P2666" s="10"/>
    </row>
    <row r="2667" ht="18" customHeight="1" spans="1:16">
      <c r="A2667" s="32" t="str">
        <f t="shared" si="132"/>
        <v/>
      </c>
      <c r="B2667" s="100" t="str">
        <f>IF($E2667="","",INDEX(成本费用登记表!$B$4:$B$303,186))</f>
        <v/>
      </c>
      <c r="C2667" s="26" t="str">
        <f t="shared" si="129"/>
        <v/>
      </c>
      <c r="D2667" s="32" t="str">
        <f>IF($E2667="","",INDEX(成本费用登记表!$E$4:$E$303,186))</f>
        <v/>
      </c>
      <c r="E2667" s="26" t="str">
        <f>IF(INDEX(成本费用登记表!$Q$4:$Y$303,186,7)=0,"",INDEX(成本费用登记表!$Q$4:$Y$303,186,7))</f>
        <v/>
      </c>
      <c r="F2667" s="25" t="str">
        <f>IF($E2667="","",IFERROR(INDEX(科目表!$A$4:$A$81,MATCH($E2667,科目表!$B$4:$B$81,0)),""))</f>
        <v/>
      </c>
      <c r="G2667" s="26" t="str">
        <f>IF($E2667="","",IFERROR(INDEX(科目表!$E$4:$E$81,MATCH($E2667,科目表!$B$4:$B$81,0)),""))</f>
        <v/>
      </c>
      <c r="H2667" s="27" t="str">
        <f>IF($E2667="","",N(INDEX(成本费用登记表!$Q$4:$Y$303,186,8)))</f>
        <v/>
      </c>
      <c r="I2667" s="27" t="str">
        <f>IF($E2667="","",N(INDEX(成本费用登记表!$Q$4:$Y$303,186,9)))</f>
        <v/>
      </c>
      <c r="J2667" s="26" t="str">
        <f>IF($E2667="","",INDEX(成本费用登记表!$C$4:$C$303,186))</f>
        <v/>
      </c>
      <c r="K2667" s="26" t="str">
        <f>IF($E2667="","",INDEX(成本费用登记表!$D$4:$D$303,186))</f>
        <v/>
      </c>
      <c r="L2667" s="32" t="str">
        <f>IF($E2667="","",INDEX(成本费用登记表!$N$4:$N$303,186))</f>
        <v/>
      </c>
      <c r="M2667" s="32"/>
      <c r="N2667" s="26" t="str">
        <f t="shared" si="130"/>
        <v/>
      </c>
      <c r="O2667" s="26" t="str">
        <f t="shared" si="131"/>
        <v/>
      </c>
      <c r="P2667" s="10"/>
    </row>
    <row r="2668" ht="18" customHeight="1" spans="1:16">
      <c r="A2668" s="32" t="str">
        <f t="shared" si="132"/>
        <v/>
      </c>
      <c r="B2668" s="100" t="str">
        <f>IF($E2668="","",INDEX(成本费用登记表!$B$4:$B$303,187))</f>
        <v/>
      </c>
      <c r="C2668" s="26" t="str">
        <f t="shared" si="129"/>
        <v/>
      </c>
      <c r="D2668" s="32" t="str">
        <f>IF($E2668="","",INDEX(成本费用登记表!$E$4:$E$303,187))</f>
        <v/>
      </c>
      <c r="E2668" s="26" t="str">
        <f>IF(INDEX(成本费用登记表!$Q$4:$Y$303,187,1)=0,"",INDEX(成本费用登记表!$Q$4:$Y$303,187,1))</f>
        <v/>
      </c>
      <c r="F2668" s="25" t="str">
        <f>IF($E2668="","",IFERROR(INDEX(科目表!$A$4:$A$81,MATCH($E2668,科目表!$B$4:$B$81,0)),""))</f>
        <v/>
      </c>
      <c r="G2668" s="26" t="str">
        <f>IF($E2668="","",IFERROR(INDEX(科目表!$E$4:$E$81,MATCH($E2668,科目表!$B$4:$B$81,0)),""))</f>
        <v/>
      </c>
      <c r="H2668" s="27" t="str">
        <f>IF($E2668="","",N(INDEX(成本费用登记表!$Q$4:$Y$303,187,2)))</f>
        <v/>
      </c>
      <c r="I2668" s="27" t="str">
        <f>IF($E2668="","",N(INDEX(成本费用登记表!$Q$4:$Y$303,187,3)))</f>
        <v/>
      </c>
      <c r="J2668" s="26" t="str">
        <f>IF($E2668="","",INDEX(成本费用登记表!$C$4:$C$303,187))</f>
        <v/>
      </c>
      <c r="K2668" s="26" t="str">
        <f>IF($E2668="","",INDEX(成本费用登记表!$D$4:$D$303,187))</f>
        <v/>
      </c>
      <c r="L2668" s="32" t="str">
        <f>IF($E2668="","",INDEX(成本费用登记表!$N$4:$N$303,187))</f>
        <v/>
      </c>
      <c r="M2668" s="32"/>
      <c r="N2668" s="26" t="str">
        <f t="shared" si="130"/>
        <v/>
      </c>
      <c r="O2668" s="26" t="str">
        <f t="shared" si="131"/>
        <v/>
      </c>
      <c r="P2668" s="10"/>
    </row>
    <row r="2669" ht="18" customHeight="1" spans="1:16">
      <c r="A2669" s="32" t="str">
        <f t="shared" si="132"/>
        <v/>
      </c>
      <c r="B2669" s="100" t="str">
        <f>IF($E2669="","",INDEX(成本费用登记表!$B$4:$B$303,187))</f>
        <v/>
      </c>
      <c r="C2669" s="26" t="str">
        <f t="shared" si="129"/>
        <v/>
      </c>
      <c r="D2669" s="32" t="str">
        <f>IF($E2669="","",INDEX(成本费用登记表!$E$4:$E$303,187))</f>
        <v/>
      </c>
      <c r="E2669" s="26" t="str">
        <f>IF(INDEX(成本费用登记表!$Q$4:$Y$303,187,4)=0,"",INDEX(成本费用登记表!$Q$4:$Y$303,187,4))</f>
        <v/>
      </c>
      <c r="F2669" s="25" t="str">
        <f>IF($E2669="","",IFERROR(INDEX(科目表!$A$4:$A$81,MATCH($E2669,科目表!$B$4:$B$81,0)),""))</f>
        <v/>
      </c>
      <c r="G2669" s="26" t="str">
        <f>IF($E2669="","",IFERROR(INDEX(科目表!$E$4:$E$81,MATCH($E2669,科目表!$B$4:$B$81,0)),""))</f>
        <v/>
      </c>
      <c r="H2669" s="27" t="str">
        <f>IF($E2669="","",N(INDEX(成本费用登记表!$Q$4:$Y$303,187,5)))</f>
        <v/>
      </c>
      <c r="I2669" s="27" t="str">
        <f>IF($E2669="","",N(INDEX(成本费用登记表!$Q$4:$Y$303,187,6)))</f>
        <v/>
      </c>
      <c r="J2669" s="26" t="str">
        <f>IF($E2669="","",INDEX(成本费用登记表!$C$4:$C$303,187))</f>
        <v/>
      </c>
      <c r="K2669" s="26" t="str">
        <f>IF($E2669="","",INDEX(成本费用登记表!$D$4:$D$303,187))</f>
        <v/>
      </c>
      <c r="L2669" s="32" t="str">
        <f>IF($E2669="","",INDEX(成本费用登记表!$N$4:$N$303,187))</f>
        <v/>
      </c>
      <c r="M2669" s="32"/>
      <c r="N2669" s="26" t="str">
        <f t="shared" si="130"/>
        <v/>
      </c>
      <c r="O2669" s="26" t="str">
        <f t="shared" si="131"/>
        <v/>
      </c>
      <c r="P2669" s="10"/>
    </row>
    <row r="2670" ht="18" customHeight="1" spans="1:16">
      <c r="A2670" s="32" t="str">
        <f t="shared" si="132"/>
        <v/>
      </c>
      <c r="B2670" s="100" t="str">
        <f>IF($E2670="","",INDEX(成本费用登记表!$B$4:$B$303,187))</f>
        <v/>
      </c>
      <c r="C2670" s="26" t="str">
        <f t="shared" si="129"/>
        <v/>
      </c>
      <c r="D2670" s="32" t="str">
        <f>IF($E2670="","",INDEX(成本费用登记表!$E$4:$E$303,187))</f>
        <v/>
      </c>
      <c r="E2670" s="26" t="str">
        <f>IF(INDEX(成本费用登记表!$Q$4:$Y$303,187,7)=0,"",INDEX(成本费用登记表!$Q$4:$Y$303,187,7))</f>
        <v/>
      </c>
      <c r="F2670" s="25" t="str">
        <f>IF($E2670="","",IFERROR(INDEX(科目表!$A$4:$A$81,MATCH($E2670,科目表!$B$4:$B$81,0)),""))</f>
        <v/>
      </c>
      <c r="G2670" s="26" t="str">
        <f>IF($E2670="","",IFERROR(INDEX(科目表!$E$4:$E$81,MATCH($E2670,科目表!$B$4:$B$81,0)),""))</f>
        <v/>
      </c>
      <c r="H2670" s="27" t="str">
        <f>IF($E2670="","",N(INDEX(成本费用登记表!$Q$4:$Y$303,187,8)))</f>
        <v/>
      </c>
      <c r="I2670" s="27" t="str">
        <f>IF($E2670="","",N(INDEX(成本费用登记表!$Q$4:$Y$303,187,9)))</f>
        <v/>
      </c>
      <c r="J2670" s="26" t="str">
        <f>IF($E2670="","",INDEX(成本费用登记表!$C$4:$C$303,187))</f>
        <v/>
      </c>
      <c r="K2670" s="26" t="str">
        <f>IF($E2670="","",INDEX(成本费用登记表!$D$4:$D$303,187))</f>
        <v/>
      </c>
      <c r="L2670" s="32" t="str">
        <f>IF($E2670="","",INDEX(成本费用登记表!$N$4:$N$303,187))</f>
        <v/>
      </c>
      <c r="M2670" s="32"/>
      <c r="N2670" s="26" t="str">
        <f t="shared" si="130"/>
        <v/>
      </c>
      <c r="O2670" s="26" t="str">
        <f t="shared" si="131"/>
        <v/>
      </c>
      <c r="P2670" s="10"/>
    </row>
    <row r="2671" ht="18" customHeight="1" spans="1:16">
      <c r="A2671" s="32" t="str">
        <f t="shared" si="132"/>
        <v/>
      </c>
      <c r="B2671" s="100" t="str">
        <f>IF($E2671="","",INDEX(成本费用登记表!$B$4:$B$303,188))</f>
        <v/>
      </c>
      <c r="C2671" s="26" t="str">
        <f t="shared" si="129"/>
        <v/>
      </c>
      <c r="D2671" s="32" t="str">
        <f>IF($E2671="","",INDEX(成本费用登记表!$E$4:$E$303,188))</f>
        <v/>
      </c>
      <c r="E2671" s="26" t="str">
        <f>IF(INDEX(成本费用登记表!$Q$4:$Y$303,188,1)=0,"",INDEX(成本费用登记表!$Q$4:$Y$303,188,1))</f>
        <v/>
      </c>
      <c r="F2671" s="25" t="str">
        <f>IF($E2671="","",IFERROR(INDEX(科目表!$A$4:$A$81,MATCH($E2671,科目表!$B$4:$B$81,0)),""))</f>
        <v/>
      </c>
      <c r="G2671" s="26" t="str">
        <f>IF($E2671="","",IFERROR(INDEX(科目表!$E$4:$E$81,MATCH($E2671,科目表!$B$4:$B$81,0)),""))</f>
        <v/>
      </c>
      <c r="H2671" s="27" t="str">
        <f>IF($E2671="","",N(INDEX(成本费用登记表!$Q$4:$Y$303,188,2)))</f>
        <v/>
      </c>
      <c r="I2671" s="27" t="str">
        <f>IF($E2671="","",N(INDEX(成本费用登记表!$Q$4:$Y$303,188,3)))</f>
        <v/>
      </c>
      <c r="J2671" s="26" t="str">
        <f>IF($E2671="","",INDEX(成本费用登记表!$C$4:$C$303,188))</f>
        <v/>
      </c>
      <c r="K2671" s="26" t="str">
        <f>IF($E2671="","",INDEX(成本费用登记表!$D$4:$D$303,188))</f>
        <v/>
      </c>
      <c r="L2671" s="32" t="str">
        <f>IF($E2671="","",INDEX(成本费用登记表!$N$4:$N$303,188))</f>
        <v/>
      </c>
      <c r="M2671" s="32"/>
      <c r="N2671" s="26" t="str">
        <f t="shared" si="130"/>
        <v/>
      </c>
      <c r="O2671" s="26" t="str">
        <f t="shared" si="131"/>
        <v/>
      </c>
      <c r="P2671" s="10"/>
    </row>
    <row r="2672" ht="18" customHeight="1" spans="1:16">
      <c r="A2672" s="32" t="str">
        <f t="shared" si="132"/>
        <v/>
      </c>
      <c r="B2672" s="100" t="str">
        <f>IF($E2672="","",INDEX(成本费用登记表!$B$4:$B$303,188))</f>
        <v/>
      </c>
      <c r="C2672" s="26" t="str">
        <f t="shared" si="129"/>
        <v/>
      </c>
      <c r="D2672" s="32" t="str">
        <f>IF($E2672="","",INDEX(成本费用登记表!$E$4:$E$303,188))</f>
        <v/>
      </c>
      <c r="E2672" s="26" t="str">
        <f>IF(INDEX(成本费用登记表!$Q$4:$Y$303,188,4)=0,"",INDEX(成本费用登记表!$Q$4:$Y$303,188,4))</f>
        <v/>
      </c>
      <c r="F2672" s="25" t="str">
        <f>IF($E2672="","",IFERROR(INDEX(科目表!$A$4:$A$81,MATCH($E2672,科目表!$B$4:$B$81,0)),""))</f>
        <v/>
      </c>
      <c r="G2672" s="26" t="str">
        <f>IF($E2672="","",IFERROR(INDEX(科目表!$E$4:$E$81,MATCH($E2672,科目表!$B$4:$B$81,0)),""))</f>
        <v/>
      </c>
      <c r="H2672" s="27" t="str">
        <f>IF($E2672="","",N(INDEX(成本费用登记表!$Q$4:$Y$303,188,5)))</f>
        <v/>
      </c>
      <c r="I2672" s="27" t="str">
        <f>IF($E2672="","",N(INDEX(成本费用登记表!$Q$4:$Y$303,188,6)))</f>
        <v/>
      </c>
      <c r="J2672" s="26" t="str">
        <f>IF($E2672="","",INDEX(成本费用登记表!$C$4:$C$303,188))</f>
        <v/>
      </c>
      <c r="K2672" s="26" t="str">
        <f>IF($E2672="","",INDEX(成本费用登记表!$D$4:$D$303,188))</f>
        <v/>
      </c>
      <c r="L2672" s="32" t="str">
        <f>IF($E2672="","",INDEX(成本费用登记表!$N$4:$N$303,188))</f>
        <v/>
      </c>
      <c r="M2672" s="32"/>
      <c r="N2672" s="26" t="str">
        <f t="shared" si="130"/>
        <v/>
      </c>
      <c r="O2672" s="26" t="str">
        <f t="shared" si="131"/>
        <v/>
      </c>
      <c r="P2672" s="10"/>
    </row>
    <row r="2673" ht="18" customHeight="1" spans="1:16">
      <c r="A2673" s="32" t="str">
        <f t="shared" si="132"/>
        <v/>
      </c>
      <c r="B2673" s="100" t="str">
        <f>IF($E2673="","",INDEX(成本费用登记表!$B$4:$B$303,188))</f>
        <v/>
      </c>
      <c r="C2673" s="26" t="str">
        <f t="shared" si="129"/>
        <v/>
      </c>
      <c r="D2673" s="32" t="str">
        <f>IF($E2673="","",INDEX(成本费用登记表!$E$4:$E$303,188))</f>
        <v/>
      </c>
      <c r="E2673" s="26" t="str">
        <f>IF(INDEX(成本费用登记表!$Q$4:$Y$303,188,7)=0,"",INDEX(成本费用登记表!$Q$4:$Y$303,188,7))</f>
        <v/>
      </c>
      <c r="F2673" s="25" t="str">
        <f>IF($E2673="","",IFERROR(INDEX(科目表!$A$4:$A$81,MATCH($E2673,科目表!$B$4:$B$81,0)),""))</f>
        <v/>
      </c>
      <c r="G2673" s="26" t="str">
        <f>IF($E2673="","",IFERROR(INDEX(科目表!$E$4:$E$81,MATCH($E2673,科目表!$B$4:$B$81,0)),""))</f>
        <v/>
      </c>
      <c r="H2673" s="27" t="str">
        <f>IF($E2673="","",N(INDEX(成本费用登记表!$Q$4:$Y$303,188,8)))</f>
        <v/>
      </c>
      <c r="I2673" s="27" t="str">
        <f>IF($E2673="","",N(INDEX(成本费用登记表!$Q$4:$Y$303,188,9)))</f>
        <v/>
      </c>
      <c r="J2673" s="26" t="str">
        <f>IF($E2673="","",INDEX(成本费用登记表!$C$4:$C$303,188))</f>
        <v/>
      </c>
      <c r="K2673" s="26" t="str">
        <f>IF($E2673="","",INDEX(成本费用登记表!$D$4:$D$303,188))</f>
        <v/>
      </c>
      <c r="L2673" s="32" t="str">
        <f>IF($E2673="","",INDEX(成本费用登记表!$N$4:$N$303,188))</f>
        <v/>
      </c>
      <c r="M2673" s="32"/>
      <c r="N2673" s="26" t="str">
        <f t="shared" si="130"/>
        <v/>
      </c>
      <c r="O2673" s="26" t="str">
        <f t="shared" si="131"/>
        <v/>
      </c>
      <c r="P2673" s="10"/>
    </row>
    <row r="2674" ht="18" customHeight="1" spans="1:16">
      <c r="A2674" s="32" t="str">
        <f t="shared" si="132"/>
        <v/>
      </c>
      <c r="B2674" s="100" t="str">
        <f>IF($E2674="","",INDEX(成本费用登记表!$B$4:$B$303,189))</f>
        <v/>
      </c>
      <c r="C2674" s="26" t="str">
        <f t="shared" si="129"/>
        <v/>
      </c>
      <c r="D2674" s="32" t="str">
        <f>IF($E2674="","",INDEX(成本费用登记表!$E$4:$E$303,189))</f>
        <v/>
      </c>
      <c r="E2674" s="26" t="str">
        <f>IF(INDEX(成本费用登记表!$Q$4:$Y$303,189,1)=0,"",INDEX(成本费用登记表!$Q$4:$Y$303,189,1))</f>
        <v/>
      </c>
      <c r="F2674" s="25" t="str">
        <f>IF($E2674="","",IFERROR(INDEX(科目表!$A$4:$A$81,MATCH($E2674,科目表!$B$4:$B$81,0)),""))</f>
        <v/>
      </c>
      <c r="G2674" s="26" t="str">
        <f>IF($E2674="","",IFERROR(INDEX(科目表!$E$4:$E$81,MATCH($E2674,科目表!$B$4:$B$81,0)),""))</f>
        <v/>
      </c>
      <c r="H2674" s="27" t="str">
        <f>IF($E2674="","",N(INDEX(成本费用登记表!$Q$4:$Y$303,189,2)))</f>
        <v/>
      </c>
      <c r="I2674" s="27" t="str">
        <f>IF($E2674="","",N(INDEX(成本费用登记表!$Q$4:$Y$303,189,3)))</f>
        <v/>
      </c>
      <c r="J2674" s="26" t="str">
        <f>IF($E2674="","",INDEX(成本费用登记表!$C$4:$C$303,189))</f>
        <v/>
      </c>
      <c r="K2674" s="26" t="str">
        <f>IF($E2674="","",INDEX(成本费用登记表!$D$4:$D$303,189))</f>
        <v/>
      </c>
      <c r="L2674" s="32" t="str">
        <f>IF($E2674="","",INDEX(成本费用登记表!$N$4:$N$303,189))</f>
        <v/>
      </c>
      <c r="M2674" s="32"/>
      <c r="N2674" s="26" t="str">
        <f t="shared" si="130"/>
        <v/>
      </c>
      <c r="O2674" s="26" t="str">
        <f t="shared" si="131"/>
        <v/>
      </c>
      <c r="P2674" s="10"/>
    </row>
    <row r="2675" ht="18" customHeight="1" spans="1:16">
      <c r="A2675" s="32" t="str">
        <f t="shared" si="132"/>
        <v/>
      </c>
      <c r="B2675" s="100" t="str">
        <f>IF($E2675="","",INDEX(成本费用登记表!$B$4:$B$303,189))</f>
        <v/>
      </c>
      <c r="C2675" s="26" t="str">
        <f t="shared" si="129"/>
        <v/>
      </c>
      <c r="D2675" s="32" t="str">
        <f>IF($E2675="","",INDEX(成本费用登记表!$E$4:$E$303,189))</f>
        <v/>
      </c>
      <c r="E2675" s="26" t="str">
        <f>IF(INDEX(成本费用登记表!$Q$4:$Y$303,189,4)=0,"",INDEX(成本费用登记表!$Q$4:$Y$303,189,4))</f>
        <v/>
      </c>
      <c r="F2675" s="25" t="str">
        <f>IF($E2675="","",IFERROR(INDEX(科目表!$A$4:$A$81,MATCH($E2675,科目表!$B$4:$B$81,0)),""))</f>
        <v/>
      </c>
      <c r="G2675" s="26" t="str">
        <f>IF($E2675="","",IFERROR(INDEX(科目表!$E$4:$E$81,MATCH($E2675,科目表!$B$4:$B$81,0)),""))</f>
        <v/>
      </c>
      <c r="H2675" s="27" t="str">
        <f>IF($E2675="","",N(INDEX(成本费用登记表!$Q$4:$Y$303,189,5)))</f>
        <v/>
      </c>
      <c r="I2675" s="27" t="str">
        <f>IF($E2675="","",N(INDEX(成本费用登记表!$Q$4:$Y$303,189,6)))</f>
        <v/>
      </c>
      <c r="J2675" s="26" t="str">
        <f>IF($E2675="","",INDEX(成本费用登记表!$C$4:$C$303,189))</f>
        <v/>
      </c>
      <c r="K2675" s="26" t="str">
        <f>IF($E2675="","",INDEX(成本费用登记表!$D$4:$D$303,189))</f>
        <v/>
      </c>
      <c r="L2675" s="32" t="str">
        <f>IF($E2675="","",INDEX(成本费用登记表!$N$4:$N$303,189))</f>
        <v/>
      </c>
      <c r="M2675" s="32"/>
      <c r="N2675" s="26" t="str">
        <f t="shared" si="130"/>
        <v/>
      </c>
      <c r="O2675" s="26" t="str">
        <f t="shared" si="131"/>
        <v/>
      </c>
      <c r="P2675" s="10"/>
    </row>
    <row r="2676" ht="18" customHeight="1" spans="1:16">
      <c r="A2676" s="32" t="str">
        <f t="shared" si="132"/>
        <v/>
      </c>
      <c r="B2676" s="100" t="str">
        <f>IF($E2676="","",INDEX(成本费用登记表!$B$4:$B$303,189))</f>
        <v/>
      </c>
      <c r="C2676" s="26" t="str">
        <f t="shared" si="129"/>
        <v/>
      </c>
      <c r="D2676" s="32" t="str">
        <f>IF($E2676="","",INDEX(成本费用登记表!$E$4:$E$303,189))</f>
        <v/>
      </c>
      <c r="E2676" s="26" t="str">
        <f>IF(INDEX(成本费用登记表!$Q$4:$Y$303,189,7)=0,"",INDEX(成本费用登记表!$Q$4:$Y$303,189,7))</f>
        <v/>
      </c>
      <c r="F2676" s="25" t="str">
        <f>IF($E2676="","",IFERROR(INDEX(科目表!$A$4:$A$81,MATCH($E2676,科目表!$B$4:$B$81,0)),""))</f>
        <v/>
      </c>
      <c r="G2676" s="26" t="str">
        <f>IF($E2676="","",IFERROR(INDEX(科目表!$E$4:$E$81,MATCH($E2676,科目表!$B$4:$B$81,0)),""))</f>
        <v/>
      </c>
      <c r="H2676" s="27" t="str">
        <f>IF($E2676="","",N(INDEX(成本费用登记表!$Q$4:$Y$303,189,8)))</f>
        <v/>
      </c>
      <c r="I2676" s="27" t="str">
        <f>IF($E2676="","",N(INDEX(成本费用登记表!$Q$4:$Y$303,189,9)))</f>
        <v/>
      </c>
      <c r="J2676" s="26" t="str">
        <f>IF($E2676="","",INDEX(成本费用登记表!$C$4:$C$303,189))</f>
        <v/>
      </c>
      <c r="K2676" s="26" t="str">
        <f>IF($E2676="","",INDEX(成本费用登记表!$D$4:$D$303,189))</f>
        <v/>
      </c>
      <c r="L2676" s="32" t="str">
        <f>IF($E2676="","",INDEX(成本费用登记表!$N$4:$N$303,189))</f>
        <v/>
      </c>
      <c r="M2676" s="32"/>
      <c r="N2676" s="26" t="str">
        <f t="shared" si="130"/>
        <v/>
      </c>
      <c r="O2676" s="26" t="str">
        <f t="shared" si="131"/>
        <v/>
      </c>
      <c r="P2676" s="10"/>
    </row>
    <row r="2677" ht="18" customHeight="1" spans="1:16">
      <c r="A2677" s="32" t="str">
        <f t="shared" si="132"/>
        <v/>
      </c>
      <c r="B2677" s="100" t="str">
        <f>IF($E2677="","",INDEX(成本费用登记表!$B$4:$B$303,190))</f>
        <v/>
      </c>
      <c r="C2677" s="26" t="str">
        <f t="shared" si="129"/>
        <v/>
      </c>
      <c r="D2677" s="32" t="str">
        <f>IF($E2677="","",INDEX(成本费用登记表!$E$4:$E$303,190))</f>
        <v/>
      </c>
      <c r="E2677" s="26" t="str">
        <f>IF(INDEX(成本费用登记表!$Q$4:$Y$303,190,1)=0,"",INDEX(成本费用登记表!$Q$4:$Y$303,190,1))</f>
        <v/>
      </c>
      <c r="F2677" s="25" t="str">
        <f>IF($E2677="","",IFERROR(INDEX(科目表!$A$4:$A$81,MATCH($E2677,科目表!$B$4:$B$81,0)),""))</f>
        <v/>
      </c>
      <c r="G2677" s="26" t="str">
        <f>IF($E2677="","",IFERROR(INDEX(科目表!$E$4:$E$81,MATCH($E2677,科目表!$B$4:$B$81,0)),""))</f>
        <v/>
      </c>
      <c r="H2677" s="27" t="str">
        <f>IF($E2677="","",N(INDEX(成本费用登记表!$Q$4:$Y$303,190,2)))</f>
        <v/>
      </c>
      <c r="I2677" s="27" t="str">
        <f>IF($E2677="","",N(INDEX(成本费用登记表!$Q$4:$Y$303,190,3)))</f>
        <v/>
      </c>
      <c r="J2677" s="26" t="str">
        <f>IF($E2677="","",INDEX(成本费用登记表!$C$4:$C$303,190))</f>
        <v/>
      </c>
      <c r="K2677" s="26" t="str">
        <f>IF($E2677="","",INDEX(成本费用登记表!$D$4:$D$303,190))</f>
        <v/>
      </c>
      <c r="L2677" s="32" t="str">
        <f>IF($E2677="","",INDEX(成本费用登记表!$N$4:$N$303,190))</f>
        <v/>
      </c>
      <c r="M2677" s="32"/>
      <c r="N2677" s="26" t="str">
        <f t="shared" si="130"/>
        <v/>
      </c>
      <c r="O2677" s="26" t="str">
        <f t="shared" si="131"/>
        <v/>
      </c>
      <c r="P2677" s="10"/>
    </row>
    <row r="2678" ht="18" customHeight="1" spans="1:16">
      <c r="A2678" s="32" t="str">
        <f t="shared" si="132"/>
        <v/>
      </c>
      <c r="B2678" s="100" t="str">
        <f>IF($E2678="","",INDEX(成本费用登记表!$B$4:$B$303,190))</f>
        <v/>
      </c>
      <c r="C2678" s="26" t="str">
        <f t="shared" si="129"/>
        <v/>
      </c>
      <c r="D2678" s="32" t="str">
        <f>IF($E2678="","",INDEX(成本费用登记表!$E$4:$E$303,190))</f>
        <v/>
      </c>
      <c r="E2678" s="26" t="str">
        <f>IF(INDEX(成本费用登记表!$Q$4:$Y$303,190,4)=0,"",INDEX(成本费用登记表!$Q$4:$Y$303,190,4))</f>
        <v/>
      </c>
      <c r="F2678" s="25" t="str">
        <f>IF($E2678="","",IFERROR(INDEX(科目表!$A$4:$A$81,MATCH($E2678,科目表!$B$4:$B$81,0)),""))</f>
        <v/>
      </c>
      <c r="G2678" s="26" t="str">
        <f>IF($E2678="","",IFERROR(INDEX(科目表!$E$4:$E$81,MATCH($E2678,科目表!$B$4:$B$81,0)),""))</f>
        <v/>
      </c>
      <c r="H2678" s="27" t="str">
        <f>IF($E2678="","",N(INDEX(成本费用登记表!$Q$4:$Y$303,190,5)))</f>
        <v/>
      </c>
      <c r="I2678" s="27" t="str">
        <f>IF($E2678="","",N(INDEX(成本费用登记表!$Q$4:$Y$303,190,6)))</f>
        <v/>
      </c>
      <c r="J2678" s="26" t="str">
        <f>IF($E2678="","",INDEX(成本费用登记表!$C$4:$C$303,190))</f>
        <v/>
      </c>
      <c r="K2678" s="26" t="str">
        <f>IF($E2678="","",INDEX(成本费用登记表!$D$4:$D$303,190))</f>
        <v/>
      </c>
      <c r="L2678" s="32" t="str">
        <f>IF($E2678="","",INDEX(成本费用登记表!$N$4:$N$303,190))</f>
        <v/>
      </c>
      <c r="M2678" s="32"/>
      <c r="N2678" s="26" t="str">
        <f t="shared" si="130"/>
        <v/>
      </c>
      <c r="O2678" s="26" t="str">
        <f t="shared" si="131"/>
        <v/>
      </c>
      <c r="P2678" s="10"/>
    </row>
    <row r="2679" ht="18" customHeight="1" spans="1:16">
      <c r="A2679" s="32" t="str">
        <f t="shared" si="132"/>
        <v/>
      </c>
      <c r="B2679" s="100" t="str">
        <f>IF($E2679="","",INDEX(成本费用登记表!$B$4:$B$303,190))</f>
        <v/>
      </c>
      <c r="C2679" s="26" t="str">
        <f t="shared" si="129"/>
        <v/>
      </c>
      <c r="D2679" s="32" t="str">
        <f>IF($E2679="","",INDEX(成本费用登记表!$E$4:$E$303,190))</f>
        <v/>
      </c>
      <c r="E2679" s="26" t="str">
        <f>IF(INDEX(成本费用登记表!$Q$4:$Y$303,190,7)=0,"",INDEX(成本费用登记表!$Q$4:$Y$303,190,7))</f>
        <v/>
      </c>
      <c r="F2679" s="25" t="str">
        <f>IF($E2679="","",IFERROR(INDEX(科目表!$A$4:$A$81,MATCH($E2679,科目表!$B$4:$B$81,0)),""))</f>
        <v/>
      </c>
      <c r="G2679" s="26" t="str">
        <f>IF($E2679="","",IFERROR(INDEX(科目表!$E$4:$E$81,MATCH($E2679,科目表!$B$4:$B$81,0)),""))</f>
        <v/>
      </c>
      <c r="H2679" s="27" t="str">
        <f>IF($E2679="","",N(INDEX(成本费用登记表!$Q$4:$Y$303,190,8)))</f>
        <v/>
      </c>
      <c r="I2679" s="27" t="str">
        <f>IF($E2679="","",N(INDEX(成本费用登记表!$Q$4:$Y$303,190,9)))</f>
        <v/>
      </c>
      <c r="J2679" s="26" t="str">
        <f>IF($E2679="","",INDEX(成本费用登记表!$C$4:$C$303,190))</f>
        <v/>
      </c>
      <c r="K2679" s="26" t="str">
        <f>IF($E2679="","",INDEX(成本费用登记表!$D$4:$D$303,190))</f>
        <v/>
      </c>
      <c r="L2679" s="32" t="str">
        <f>IF($E2679="","",INDEX(成本费用登记表!$N$4:$N$303,190))</f>
        <v/>
      </c>
      <c r="M2679" s="32"/>
      <c r="N2679" s="26" t="str">
        <f t="shared" si="130"/>
        <v/>
      </c>
      <c r="O2679" s="26" t="str">
        <f t="shared" si="131"/>
        <v/>
      </c>
      <c r="P2679" s="10"/>
    </row>
    <row r="2680" ht="18" customHeight="1" spans="1:16">
      <c r="A2680" s="32" t="str">
        <f t="shared" si="132"/>
        <v/>
      </c>
      <c r="B2680" s="100" t="str">
        <f>IF($E2680="","",INDEX(成本费用登记表!$B$4:$B$303,191))</f>
        <v/>
      </c>
      <c r="C2680" s="26" t="str">
        <f t="shared" si="129"/>
        <v/>
      </c>
      <c r="D2680" s="32" t="str">
        <f>IF($E2680="","",INDEX(成本费用登记表!$E$4:$E$303,191))</f>
        <v/>
      </c>
      <c r="E2680" s="26" t="str">
        <f>IF(INDEX(成本费用登记表!$Q$4:$Y$303,191,1)=0,"",INDEX(成本费用登记表!$Q$4:$Y$303,191,1))</f>
        <v/>
      </c>
      <c r="F2680" s="25" t="str">
        <f>IF($E2680="","",IFERROR(INDEX(科目表!$A$4:$A$81,MATCH($E2680,科目表!$B$4:$B$81,0)),""))</f>
        <v/>
      </c>
      <c r="G2680" s="26" t="str">
        <f>IF($E2680="","",IFERROR(INDEX(科目表!$E$4:$E$81,MATCH($E2680,科目表!$B$4:$B$81,0)),""))</f>
        <v/>
      </c>
      <c r="H2680" s="27" t="str">
        <f>IF($E2680="","",N(INDEX(成本费用登记表!$Q$4:$Y$303,191,2)))</f>
        <v/>
      </c>
      <c r="I2680" s="27" t="str">
        <f>IF($E2680="","",N(INDEX(成本费用登记表!$Q$4:$Y$303,191,3)))</f>
        <v/>
      </c>
      <c r="J2680" s="26" t="str">
        <f>IF($E2680="","",INDEX(成本费用登记表!$C$4:$C$303,191))</f>
        <v/>
      </c>
      <c r="K2680" s="26" t="str">
        <f>IF($E2680="","",INDEX(成本费用登记表!$D$4:$D$303,191))</f>
        <v/>
      </c>
      <c r="L2680" s="32" t="str">
        <f>IF($E2680="","",INDEX(成本费用登记表!$N$4:$N$303,191))</f>
        <v/>
      </c>
      <c r="M2680" s="32"/>
      <c r="N2680" s="26" t="str">
        <f t="shared" si="130"/>
        <v/>
      </c>
      <c r="O2680" s="26" t="str">
        <f t="shared" si="131"/>
        <v/>
      </c>
      <c r="P2680" s="10"/>
    </row>
    <row r="2681" ht="18" customHeight="1" spans="1:16">
      <c r="A2681" s="32" t="str">
        <f t="shared" si="132"/>
        <v/>
      </c>
      <c r="B2681" s="100" t="str">
        <f>IF($E2681="","",INDEX(成本费用登记表!$B$4:$B$303,191))</f>
        <v/>
      </c>
      <c r="C2681" s="26" t="str">
        <f t="shared" si="129"/>
        <v/>
      </c>
      <c r="D2681" s="32" t="str">
        <f>IF($E2681="","",INDEX(成本费用登记表!$E$4:$E$303,191))</f>
        <v/>
      </c>
      <c r="E2681" s="26" t="str">
        <f>IF(INDEX(成本费用登记表!$Q$4:$Y$303,191,4)=0,"",INDEX(成本费用登记表!$Q$4:$Y$303,191,4))</f>
        <v/>
      </c>
      <c r="F2681" s="25" t="str">
        <f>IF($E2681="","",IFERROR(INDEX(科目表!$A$4:$A$81,MATCH($E2681,科目表!$B$4:$B$81,0)),""))</f>
        <v/>
      </c>
      <c r="G2681" s="26" t="str">
        <f>IF($E2681="","",IFERROR(INDEX(科目表!$E$4:$E$81,MATCH($E2681,科目表!$B$4:$B$81,0)),""))</f>
        <v/>
      </c>
      <c r="H2681" s="27" t="str">
        <f>IF($E2681="","",N(INDEX(成本费用登记表!$Q$4:$Y$303,191,5)))</f>
        <v/>
      </c>
      <c r="I2681" s="27" t="str">
        <f>IF($E2681="","",N(INDEX(成本费用登记表!$Q$4:$Y$303,191,6)))</f>
        <v/>
      </c>
      <c r="J2681" s="26" t="str">
        <f>IF($E2681="","",INDEX(成本费用登记表!$C$4:$C$303,191))</f>
        <v/>
      </c>
      <c r="K2681" s="26" t="str">
        <f>IF($E2681="","",INDEX(成本费用登记表!$D$4:$D$303,191))</f>
        <v/>
      </c>
      <c r="L2681" s="32" t="str">
        <f>IF($E2681="","",INDEX(成本费用登记表!$N$4:$N$303,191))</f>
        <v/>
      </c>
      <c r="M2681" s="32"/>
      <c r="N2681" s="26" t="str">
        <f t="shared" si="130"/>
        <v/>
      </c>
      <c r="O2681" s="26" t="str">
        <f t="shared" si="131"/>
        <v/>
      </c>
      <c r="P2681" s="10"/>
    </row>
    <row r="2682" ht="18" customHeight="1" spans="1:16">
      <c r="A2682" s="32" t="str">
        <f t="shared" si="132"/>
        <v/>
      </c>
      <c r="B2682" s="100" t="str">
        <f>IF($E2682="","",INDEX(成本费用登记表!$B$4:$B$303,191))</f>
        <v/>
      </c>
      <c r="C2682" s="26" t="str">
        <f t="shared" si="129"/>
        <v/>
      </c>
      <c r="D2682" s="32" t="str">
        <f>IF($E2682="","",INDEX(成本费用登记表!$E$4:$E$303,191))</f>
        <v/>
      </c>
      <c r="E2682" s="26" t="str">
        <f>IF(INDEX(成本费用登记表!$Q$4:$Y$303,191,7)=0,"",INDEX(成本费用登记表!$Q$4:$Y$303,191,7))</f>
        <v/>
      </c>
      <c r="F2682" s="25" t="str">
        <f>IF($E2682="","",IFERROR(INDEX(科目表!$A$4:$A$81,MATCH($E2682,科目表!$B$4:$B$81,0)),""))</f>
        <v/>
      </c>
      <c r="G2682" s="26" t="str">
        <f>IF($E2682="","",IFERROR(INDEX(科目表!$E$4:$E$81,MATCH($E2682,科目表!$B$4:$B$81,0)),""))</f>
        <v/>
      </c>
      <c r="H2682" s="27" t="str">
        <f>IF($E2682="","",N(INDEX(成本费用登记表!$Q$4:$Y$303,191,8)))</f>
        <v/>
      </c>
      <c r="I2682" s="27" t="str">
        <f>IF($E2682="","",N(INDEX(成本费用登记表!$Q$4:$Y$303,191,9)))</f>
        <v/>
      </c>
      <c r="J2682" s="26" t="str">
        <f>IF($E2682="","",INDEX(成本费用登记表!$C$4:$C$303,191))</f>
        <v/>
      </c>
      <c r="K2682" s="26" t="str">
        <f>IF($E2682="","",INDEX(成本费用登记表!$D$4:$D$303,191))</f>
        <v/>
      </c>
      <c r="L2682" s="32" t="str">
        <f>IF($E2682="","",INDEX(成本费用登记表!$N$4:$N$303,191))</f>
        <v/>
      </c>
      <c r="M2682" s="32"/>
      <c r="N2682" s="26" t="str">
        <f t="shared" si="130"/>
        <v/>
      </c>
      <c r="O2682" s="26" t="str">
        <f t="shared" si="131"/>
        <v/>
      </c>
      <c r="P2682" s="10"/>
    </row>
    <row r="2683" ht="18" customHeight="1" spans="1:16">
      <c r="A2683" s="32" t="str">
        <f t="shared" si="132"/>
        <v/>
      </c>
      <c r="B2683" s="100" t="str">
        <f>IF($E2683="","",INDEX(成本费用登记表!$B$4:$B$303,192))</f>
        <v/>
      </c>
      <c r="C2683" s="26" t="str">
        <f t="shared" si="129"/>
        <v/>
      </c>
      <c r="D2683" s="32" t="str">
        <f>IF($E2683="","",INDEX(成本费用登记表!$E$4:$E$303,192))</f>
        <v/>
      </c>
      <c r="E2683" s="26" t="str">
        <f>IF(INDEX(成本费用登记表!$Q$4:$Y$303,192,1)=0,"",INDEX(成本费用登记表!$Q$4:$Y$303,192,1))</f>
        <v/>
      </c>
      <c r="F2683" s="25" t="str">
        <f>IF($E2683="","",IFERROR(INDEX(科目表!$A$4:$A$81,MATCH($E2683,科目表!$B$4:$B$81,0)),""))</f>
        <v/>
      </c>
      <c r="G2683" s="26" t="str">
        <f>IF($E2683="","",IFERROR(INDEX(科目表!$E$4:$E$81,MATCH($E2683,科目表!$B$4:$B$81,0)),""))</f>
        <v/>
      </c>
      <c r="H2683" s="27" t="str">
        <f>IF($E2683="","",N(INDEX(成本费用登记表!$Q$4:$Y$303,192,2)))</f>
        <v/>
      </c>
      <c r="I2683" s="27" t="str">
        <f>IF($E2683="","",N(INDEX(成本费用登记表!$Q$4:$Y$303,192,3)))</f>
        <v/>
      </c>
      <c r="J2683" s="26" t="str">
        <f>IF($E2683="","",INDEX(成本费用登记表!$C$4:$C$303,192))</f>
        <v/>
      </c>
      <c r="K2683" s="26" t="str">
        <f>IF($E2683="","",INDEX(成本费用登记表!$D$4:$D$303,192))</f>
        <v/>
      </c>
      <c r="L2683" s="32" t="str">
        <f>IF($E2683="","",INDEX(成本费用登记表!$N$4:$N$303,192))</f>
        <v/>
      </c>
      <c r="M2683" s="32"/>
      <c r="N2683" s="26" t="str">
        <f t="shared" si="130"/>
        <v/>
      </c>
      <c r="O2683" s="26" t="str">
        <f t="shared" si="131"/>
        <v/>
      </c>
      <c r="P2683" s="10"/>
    </row>
    <row r="2684" ht="18" customHeight="1" spans="1:16">
      <c r="A2684" s="32" t="str">
        <f t="shared" si="132"/>
        <v/>
      </c>
      <c r="B2684" s="100" t="str">
        <f>IF($E2684="","",INDEX(成本费用登记表!$B$4:$B$303,192))</f>
        <v/>
      </c>
      <c r="C2684" s="26" t="str">
        <f t="shared" si="129"/>
        <v/>
      </c>
      <c r="D2684" s="32" t="str">
        <f>IF($E2684="","",INDEX(成本费用登记表!$E$4:$E$303,192))</f>
        <v/>
      </c>
      <c r="E2684" s="26" t="str">
        <f>IF(INDEX(成本费用登记表!$Q$4:$Y$303,192,4)=0,"",INDEX(成本费用登记表!$Q$4:$Y$303,192,4))</f>
        <v/>
      </c>
      <c r="F2684" s="25" t="str">
        <f>IF($E2684="","",IFERROR(INDEX(科目表!$A$4:$A$81,MATCH($E2684,科目表!$B$4:$B$81,0)),""))</f>
        <v/>
      </c>
      <c r="G2684" s="26" t="str">
        <f>IF($E2684="","",IFERROR(INDEX(科目表!$E$4:$E$81,MATCH($E2684,科目表!$B$4:$B$81,0)),""))</f>
        <v/>
      </c>
      <c r="H2684" s="27" t="str">
        <f>IF($E2684="","",N(INDEX(成本费用登记表!$Q$4:$Y$303,192,5)))</f>
        <v/>
      </c>
      <c r="I2684" s="27" t="str">
        <f>IF($E2684="","",N(INDEX(成本费用登记表!$Q$4:$Y$303,192,6)))</f>
        <v/>
      </c>
      <c r="J2684" s="26" t="str">
        <f>IF($E2684="","",INDEX(成本费用登记表!$C$4:$C$303,192))</f>
        <v/>
      </c>
      <c r="K2684" s="26" t="str">
        <f>IF($E2684="","",INDEX(成本费用登记表!$D$4:$D$303,192))</f>
        <v/>
      </c>
      <c r="L2684" s="32" t="str">
        <f>IF($E2684="","",INDEX(成本费用登记表!$N$4:$N$303,192))</f>
        <v/>
      </c>
      <c r="M2684" s="32"/>
      <c r="N2684" s="26" t="str">
        <f t="shared" si="130"/>
        <v/>
      </c>
      <c r="O2684" s="26" t="str">
        <f t="shared" si="131"/>
        <v/>
      </c>
      <c r="P2684" s="10"/>
    </row>
    <row r="2685" ht="18" customHeight="1" spans="1:16">
      <c r="A2685" s="32" t="str">
        <f t="shared" si="132"/>
        <v/>
      </c>
      <c r="B2685" s="100" t="str">
        <f>IF($E2685="","",INDEX(成本费用登记表!$B$4:$B$303,192))</f>
        <v/>
      </c>
      <c r="C2685" s="26" t="str">
        <f t="shared" si="129"/>
        <v/>
      </c>
      <c r="D2685" s="32" t="str">
        <f>IF($E2685="","",INDEX(成本费用登记表!$E$4:$E$303,192))</f>
        <v/>
      </c>
      <c r="E2685" s="26" t="str">
        <f>IF(INDEX(成本费用登记表!$Q$4:$Y$303,192,7)=0,"",INDEX(成本费用登记表!$Q$4:$Y$303,192,7))</f>
        <v/>
      </c>
      <c r="F2685" s="25" t="str">
        <f>IF($E2685="","",IFERROR(INDEX(科目表!$A$4:$A$81,MATCH($E2685,科目表!$B$4:$B$81,0)),""))</f>
        <v/>
      </c>
      <c r="G2685" s="26" t="str">
        <f>IF($E2685="","",IFERROR(INDEX(科目表!$E$4:$E$81,MATCH($E2685,科目表!$B$4:$B$81,0)),""))</f>
        <v/>
      </c>
      <c r="H2685" s="27" t="str">
        <f>IF($E2685="","",N(INDEX(成本费用登记表!$Q$4:$Y$303,192,8)))</f>
        <v/>
      </c>
      <c r="I2685" s="27" t="str">
        <f>IF($E2685="","",N(INDEX(成本费用登记表!$Q$4:$Y$303,192,9)))</f>
        <v/>
      </c>
      <c r="J2685" s="26" t="str">
        <f>IF($E2685="","",INDEX(成本费用登记表!$C$4:$C$303,192))</f>
        <v/>
      </c>
      <c r="K2685" s="26" t="str">
        <f>IF($E2685="","",INDEX(成本费用登记表!$D$4:$D$303,192))</f>
        <v/>
      </c>
      <c r="L2685" s="32" t="str">
        <f>IF($E2685="","",INDEX(成本费用登记表!$N$4:$N$303,192))</f>
        <v/>
      </c>
      <c r="M2685" s="32"/>
      <c r="N2685" s="26" t="str">
        <f t="shared" si="130"/>
        <v/>
      </c>
      <c r="O2685" s="26" t="str">
        <f t="shared" si="131"/>
        <v/>
      </c>
      <c r="P2685" s="10"/>
    </row>
    <row r="2686" ht="18" customHeight="1" spans="1:16">
      <c r="A2686" s="32" t="str">
        <f t="shared" si="132"/>
        <v/>
      </c>
      <c r="B2686" s="100" t="str">
        <f>IF($E2686="","",INDEX(成本费用登记表!$B$4:$B$303,193))</f>
        <v/>
      </c>
      <c r="C2686" s="26" t="str">
        <f t="shared" ref="C2686:C2749" si="133">IF($E2686="","","记-"&amp;TEXT($B2686,"YYYYMM")&amp;"-费用")</f>
        <v/>
      </c>
      <c r="D2686" s="32" t="str">
        <f>IF($E2686="","",INDEX(成本费用登记表!$E$4:$E$303,193))</f>
        <v/>
      </c>
      <c r="E2686" s="26" t="str">
        <f>IF(INDEX(成本费用登记表!$Q$4:$Y$303,193,1)=0,"",INDEX(成本费用登记表!$Q$4:$Y$303,193,1))</f>
        <v/>
      </c>
      <c r="F2686" s="25" t="str">
        <f>IF($E2686="","",IFERROR(INDEX(科目表!$A$4:$A$81,MATCH($E2686,科目表!$B$4:$B$81,0)),""))</f>
        <v/>
      </c>
      <c r="G2686" s="26" t="str">
        <f>IF($E2686="","",IFERROR(INDEX(科目表!$E$4:$E$81,MATCH($E2686,科目表!$B$4:$B$81,0)),""))</f>
        <v/>
      </c>
      <c r="H2686" s="27" t="str">
        <f>IF($E2686="","",N(INDEX(成本费用登记表!$Q$4:$Y$303,193,2)))</f>
        <v/>
      </c>
      <c r="I2686" s="27" t="str">
        <f>IF($E2686="","",N(INDEX(成本费用登记表!$Q$4:$Y$303,193,3)))</f>
        <v/>
      </c>
      <c r="J2686" s="26" t="str">
        <f>IF($E2686="","",INDEX(成本费用登记表!$C$4:$C$303,193))</f>
        <v/>
      </c>
      <c r="K2686" s="26" t="str">
        <f>IF($E2686="","",INDEX(成本费用登记表!$D$4:$D$303,193))</f>
        <v/>
      </c>
      <c r="L2686" s="32" t="str">
        <f>IF($E2686="","",INDEX(成本费用登记表!$N$4:$N$303,193))</f>
        <v/>
      </c>
      <c r="M2686" s="32"/>
      <c r="N2686" s="26" t="str">
        <f t="shared" ref="N2686:N2749" si="134">IF($E2686="","","系统")</f>
        <v/>
      </c>
      <c r="O2686" s="26" t="str">
        <f t="shared" ref="O2686:O2749" si="135">IF($E2686="","","自动C")</f>
        <v/>
      </c>
      <c r="P2686" s="10"/>
    </row>
    <row r="2687" ht="18" customHeight="1" spans="1:16">
      <c r="A2687" s="32" t="str">
        <f t="shared" si="132"/>
        <v/>
      </c>
      <c r="B2687" s="100" t="str">
        <f>IF($E2687="","",INDEX(成本费用登记表!$B$4:$B$303,193))</f>
        <v/>
      </c>
      <c r="C2687" s="26" t="str">
        <f t="shared" si="133"/>
        <v/>
      </c>
      <c r="D2687" s="32" t="str">
        <f>IF($E2687="","",INDEX(成本费用登记表!$E$4:$E$303,193))</f>
        <v/>
      </c>
      <c r="E2687" s="26" t="str">
        <f>IF(INDEX(成本费用登记表!$Q$4:$Y$303,193,4)=0,"",INDEX(成本费用登记表!$Q$4:$Y$303,193,4))</f>
        <v/>
      </c>
      <c r="F2687" s="25" t="str">
        <f>IF($E2687="","",IFERROR(INDEX(科目表!$A$4:$A$81,MATCH($E2687,科目表!$B$4:$B$81,0)),""))</f>
        <v/>
      </c>
      <c r="G2687" s="26" t="str">
        <f>IF($E2687="","",IFERROR(INDEX(科目表!$E$4:$E$81,MATCH($E2687,科目表!$B$4:$B$81,0)),""))</f>
        <v/>
      </c>
      <c r="H2687" s="27" t="str">
        <f>IF($E2687="","",N(INDEX(成本费用登记表!$Q$4:$Y$303,193,5)))</f>
        <v/>
      </c>
      <c r="I2687" s="27" t="str">
        <f>IF($E2687="","",N(INDEX(成本费用登记表!$Q$4:$Y$303,193,6)))</f>
        <v/>
      </c>
      <c r="J2687" s="26" t="str">
        <f>IF($E2687="","",INDEX(成本费用登记表!$C$4:$C$303,193))</f>
        <v/>
      </c>
      <c r="K2687" s="26" t="str">
        <f>IF($E2687="","",INDEX(成本费用登记表!$D$4:$D$303,193))</f>
        <v/>
      </c>
      <c r="L2687" s="32" t="str">
        <f>IF($E2687="","",INDEX(成本费用登记表!$N$4:$N$303,193))</f>
        <v/>
      </c>
      <c r="M2687" s="32"/>
      <c r="N2687" s="26" t="str">
        <f t="shared" si="134"/>
        <v/>
      </c>
      <c r="O2687" s="26" t="str">
        <f t="shared" si="135"/>
        <v/>
      </c>
      <c r="P2687" s="10"/>
    </row>
    <row r="2688" ht="18" customHeight="1" spans="1:16">
      <c r="A2688" s="32" t="str">
        <f t="shared" si="132"/>
        <v/>
      </c>
      <c r="B2688" s="100" t="str">
        <f>IF($E2688="","",INDEX(成本费用登记表!$B$4:$B$303,193))</f>
        <v/>
      </c>
      <c r="C2688" s="26" t="str">
        <f t="shared" si="133"/>
        <v/>
      </c>
      <c r="D2688" s="32" t="str">
        <f>IF($E2688="","",INDEX(成本费用登记表!$E$4:$E$303,193))</f>
        <v/>
      </c>
      <c r="E2688" s="26" t="str">
        <f>IF(INDEX(成本费用登记表!$Q$4:$Y$303,193,7)=0,"",INDEX(成本费用登记表!$Q$4:$Y$303,193,7))</f>
        <v/>
      </c>
      <c r="F2688" s="25" t="str">
        <f>IF($E2688="","",IFERROR(INDEX(科目表!$A$4:$A$81,MATCH($E2688,科目表!$B$4:$B$81,0)),""))</f>
        <v/>
      </c>
      <c r="G2688" s="26" t="str">
        <f>IF($E2688="","",IFERROR(INDEX(科目表!$E$4:$E$81,MATCH($E2688,科目表!$B$4:$B$81,0)),""))</f>
        <v/>
      </c>
      <c r="H2688" s="27" t="str">
        <f>IF($E2688="","",N(INDEX(成本费用登记表!$Q$4:$Y$303,193,8)))</f>
        <v/>
      </c>
      <c r="I2688" s="27" t="str">
        <f>IF($E2688="","",N(INDEX(成本费用登记表!$Q$4:$Y$303,193,9)))</f>
        <v/>
      </c>
      <c r="J2688" s="26" t="str">
        <f>IF($E2688="","",INDEX(成本费用登记表!$C$4:$C$303,193))</f>
        <v/>
      </c>
      <c r="K2688" s="26" t="str">
        <f>IF($E2688="","",INDEX(成本费用登记表!$D$4:$D$303,193))</f>
        <v/>
      </c>
      <c r="L2688" s="32" t="str">
        <f>IF($E2688="","",INDEX(成本费用登记表!$N$4:$N$303,193))</f>
        <v/>
      </c>
      <c r="M2688" s="32"/>
      <c r="N2688" s="26" t="str">
        <f t="shared" si="134"/>
        <v/>
      </c>
      <c r="O2688" s="26" t="str">
        <f t="shared" si="135"/>
        <v/>
      </c>
      <c r="P2688" s="10"/>
    </row>
    <row r="2689" ht="18" customHeight="1" spans="1:16">
      <c r="A2689" s="32" t="str">
        <f t="shared" si="132"/>
        <v/>
      </c>
      <c r="B2689" s="100" t="str">
        <f>IF($E2689="","",INDEX(成本费用登记表!$B$4:$B$303,194))</f>
        <v/>
      </c>
      <c r="C2689" s="26" t="str">
        <f t="shared" si="133"/>
        <v/>
      </c>
      <c r="D2689" s="32" t="str">
        <f>IF($E2689="","",INDEX(成本费用登记表!$E$4:$E$303,194))</f>
        <v/>
      </c>
      <c r="E2689" s="26" t="str">
        <f>IF(INDEX(成本费用登记表!$Q$4:$Y$303,194,1)=0,"",INDEX(成本费用登记表!$Q$4:$Y$303,194,1))</f>
        <v/>
      </c>
      <c r="F2689" s="25" t="str">
        <f>IF($E2689="","",IFERROR(INDEX(科目表!$A$4:$A$81,MATCH($E2689,科目表!$B$4:$B$81,0)),""))</f>
        <v/>
      </c>
      <c r="G2689" s="26" t="str">
        <f>IF($E2689="","",IFERROR(INDEX(科目表!$E$4:$E$81,MATCH($E2689,科目表!$B$4:$B$81,0)),""))</f>
        <v/>
      </c>
      <c r="H2689" s="27" t="str">
        <f>IF($E2689="","",N(INDEX(成本费用登记表!$Q$4:$Y$303,194,2)))</f>
        <v/>
      </c>
      <c r="I2689" s="27" t="str">
        <f>IF($E2689="","",N(INDEX(成本费用登记表!$Q$4:$Y$303,194,3)))</f>
        <v/>
      </c>
      <c r="J2689" s="26" t="str">
        <f>IF($E2689="","",INDEX(成本费用登记表!$C$4:$C$303,194))</f>
        <v/>
      </c>
      <c r="K2689" s="26" t="str">
        <f>IF($E2689="","",INDEX(成本费用登记表!$D$4:$D$303,194))</f>
        <v/>
      </c>
      <c r="L2689" s="32" t="str">
        <f>IF($E2689="","",INDEX(成本费用登记表!$N$4:$N$303,194))</f>
        <v/>
      </c>
      <c r="M2689" s="32"/>
      <c r="N2689" s="26" t="str">
        <f t="shared" si="134"/>
        <v/>
      </c>
      <c r="O2689" s="26" t="str">
        <f t="shared" si="135"/>
        <v/>
      </c>
      <c r="P2689" s="10"/>
    </row>
    <row r="2690" ht="18" customHeight="1" spans="1:16">
      <c r="A2690" s="32" t="str">
        <f t="shared" si="132"/>
        <v/>
      </c>
      <c r="B2690" s="100" t="str">
        <f>IF($E2690="","",INDEX(成本费用登记表!$B$4:$B$303,194))</f>
        <v/>
      </c>
      <c r="C2690" s="26" t="str">
        <f t="shared" si="133"/>
        <v/>
      </c>
      <c r="D2690" s="32" t="str">
        <f>IF($E2690="","",INDEX(成本费用登记表!$E$4:$E$303,194))</f>
        <v/>
      </c>
      <c r="E2690" s="26" t="str">
        <f>IF(INDEX(成本费用登记表!$Q$4:$Y$303,194,4)=0,"",INDEX(成本费用登记表!$Q$4:$Y$303,194,4))</f>
        <v/>
      </c>
      <c r="F2690" s="25" t="str">
        <f>IF($E2690="","",IFERROR(INDEX(科目表!$A$4:$A$81,MATCH($E2690,科目表!$B$4:$B$81,0)),""))</f>
        <v/>
      </c>
      <c r="G2690" s="26" t="str">
        <f>IF($E2690="","",IFERROR(INDEX(科目表!$E$4:$E$81,MATCH($E2690,科目表!$B$4:$B$81,0)),""))</f>
        <v/>
      </c>
      <c r="H2690" s="27" t="str">
        <f>IF($E2690="","",N(INDEX(成本费用登记表!$Q$4:$Y$303,194,5)))</f>
        <v/>
      </c>
      <c r="I2690" s="27" t="str">
        <f>IF($E2690="","",N(INDEX(成本费用登记表!$Q$4:$Y$303,194,6)))</f>
        <v/>
      </c>
      <c r="J2690" s="26" t="str">
        <f>IF($E2690="","",INDEX(成本费用登记表!$C$4:$C$303,194))</f>
        <v/>
      </c>
      <c r="K2690" s="26" t="str">
        <f>IF($E2690="","",INDEX(成本费用登记表!$D$4:$D$303,194))</f>
        <v/>
      </c>
      <c r="L2690" s="32" t="str">
        <f>IF($E2690="","",INDEX(成本费用登记表!$N$4:$N$303,194))</f>
        <v/>
      </c>
      <c r="M2690" s="32"/>
      <c r="N2690" s="26" t="str">
        <f t="shared" si="134"/>
        <v/>
      </c>
      <c r="O2690" s="26" t="str">
        <f t="shared" si="135"/>
        <v/>
      </c>
      <c r="P2690" s="10"/>
    </row>
    <row r="2691" ht="18" customHeight="1" spans="1:16">
      <c r="A2691" s="32" t="str">
        <f t="shared" si="132"/>
        <v/>
      </c>
      <c r="B2691" s="100" t="str">
        <f>IF($E2691="","",INDEX(成本费用登记表!$B$4:$B$303,194))</f>
        <v/>
      </c>
      <c r="C2691" s="26" t="str">
        <f t="shared" si="133"/>
        <v/>
      </c>
      <c r="D2691" s="32" t="str">
        <f>IF($E2691="","",INDEX(成本费用登记表!$E$4:$E$303,194))</f>
        <v/>
      </c>
      <c r="E2691" s="26" t="str">
        <f>IF(INDEX(成本费用登记表!$Q$4:$Y$303,194,7)=0,"",INDEX(成本费用登记表!$Q$4:$Y$303,194,7))</f>
        <v/>
      </c>
      <c r="F2691" s="25" t="str">
        <f>IF($E2691="","",IFERROR(INDEX(科目表!$A$4:$A$81,MATCH($E2691,科目表!$B$4:$B$81,0)),""))</f>
        <v/>
      </c>
      <c r="G2691" s="26" t="str">
        <f>IF($E2691="","",IFERROR(INDEX(科目表!$E$4:$E$81,MATCH($E2691,科目表!$B$4:$B$81,0)),""))</f>
        <v/>
      </c>
      <c r="H2691" s="27" t="str">
        <f>IF($E2691="","",N(INDEX(成本费用登记表!$Q$4:$Y$303,194,8)))</f>
        <v/>
      </c>
      <c r="I2691" s="27" t="str">
        <f>IF($E2691="","",N(INDEX(成本费用登记表!$Q$4:$Y$303,194,9)))</f>
        <v/>
      </c>
      <c r="J2691" s="26" t="str">
        <f>IF($E2691="","",INDEX(成本费用登记表!$C$4:$C$303,194))</f>
        <v/>
      </c>
      <c r="K2691" s="26" t="str">
        <f>IF($E2691="","",INDEX(成本费用登记表!$D$4:$D$303,194))</f>
        <v/>
      </c>
      <c r="L2691" s="32" t="str">
        <f>IF($E2691="","",INDEX(成本费用登记表!$N$4:$N$303,194))</f>
        <v/>
      </c>
      <c r="M2691" s="32"/>
      <c r="N2691" s="26" t="str">
        <f t="shared" si="134"/>
        <v/>
      </c>
      <c r="O2691" s="26" t="str">
        <f t="shared" si="135"/>
        <v/>
      </c>
      <c r="P2691" s="10"/>
    </row>
    <row r="2692" ht="18" customHeight="1" spans="1:16">
      <c r="A2692" s="32" t="str">
        <f t="shared" ref="A2692:A2755" si="136">IF($E2692="","",ROW()-3)</f>
        <v/>
      </c>
      <c r="B2692" s="100" t="str">
        <f>IF($E2692="","",INDEX(成本费用登记表!$B$4:$B$303,195))</f>
        <v/>
      </c>
      <c r="C2692" s="26" t="str">
        <f t="shared" si="133"/>
        <v/>
      </c>
      <c r="D2692" s="32" t="str">
        <f>IF($E2692="","",INDEX(成本费用登记表!$E$4:$E$303,195))</f>
        <v/>
      </c>
      <c r="E2692" s="26" t="str">
        <f>IF(INDEX(成本费用登记表!$Q$4:$Y$303,195,1)=0,"",INDEX(成本费用登记表!$Q$4:$Y$303,195,1))</f>
        <v/>
      </c>
      <c r="F2692" s="25" t="str">
        <f>IF($E2692="","",IFERROR(INDEX(科目表!$A$4:$A$81,MATCH($E2692,科目表!$B$4:$B$81,0)),""))</f>
        <v/>
      </c>
      <c r="G2692" s="26" t="str">
        <f>IF($E2692="","",IFERROR(INDEX(科目表!$E$4:$E$81,MATCH($E2692,科目表!$B$4:$B$81,0)),""))</f>
        <v/>
      </c>
      <c r="H2692" s="27" t="str">
        <f>IF($E2692="","",N(INDEX(成本费用登记表!$Q$4:$Y$303,195,2)))</f>
        <v/>
      </c>
      <c r="I2692" s="27" t="str">
        <f>IF($E2692="","",N(INDEX(成本费用登记表!$Q$4:$Y$303,195,3)))</f>
        <v/>
      </c>
      <c r="J2692" s="26" t="str">
        <f>IF($E2692="","",INDEX(成本费用登记表!$C$4:$C$303,195))</f>
        <v/>
      </c>
      <c r="K2692" s="26" t="str">
        <f>IF($E2692="","",INDEX(成本费用登记表!$D$4:$D$303,195))</f>
        <v/>
      </c>
      <c r="L2692" s="32" t="str">
        <f>IF($E2692="","",INDEX(成本费用登记表!$N$4:$N$303,195))</f>
        <v/>
      </c>
      <c r="M2692" s="32"/>
      <c r="N2692" s="26" t="str">
        <f t="shared" si="134"/>
        <v/>
      </c>
      <c r="O2692" s="26" t="str">
        <f t="shared" si="135"/>
        <v/>
      </c>
      <c r="P2692" s="10"/>
    </row>
    <row r="2693" ht="18" customHeight="1" spans="1:16">
      <c r="A2693" s="32" t="str">
        <f t="shared" si="136"/>
        <v/>
      </c>
      <c r="B2693" s="100" t="str">
        <f>IF($E2693="","",INDEX(成本费用登记表!$B$4:$B$303,195))</f>
        <v/>
      </c>
      <c r="C2693" s="26" t="str">
        <f t="shared" si="133"/>
        <v/>
      </c>
      <c r="D2693" s="32" t="str">
        <f>IF($E2693="","",INDEX(成本费用登记表!$E$4:$E$303,195))</f>
        <v/>
      </c>
      <c r="E2693" s="26" t="str">
        <f>IF(INDEX(成本费用登记表!$Q$4:$Y$303,195,4)=0,"",INDEX(成本费用登记表!$Q$4:$Y$303,195,4))</f>
        <v/>
      </c>
      <c r="F2693" s="25" t="str">
        <f>IF($E2693="","",IFERROR(INDEX(科目表!$A$4:$A$81,MATCH($E2693,科目表!$B$4:$B$81,0)),""))</f>
        <v/>
      </c>
      <c r="G2693" s="26" t="str">
        <f>IF($E2693="","",IFERROR(INDEX(科目表!$E$4:$E$81,MATCH($E2693,科目表!$B$4:$B$81,0)),""))</f>
        <v/>
      </c>
      <c r="H2693" s="27" t="str">
        <f>IF($E2693="","",N(INDEX(成本费用登记表!$Q$4:$Y$303,195,5)))</f>
        <v/>
      </c>
      <c r="I2693" s="27" t="str">
        <f>IF($E2693="","",N(INDEX(成本费用登记表!$Q$4:$Y$303,195,6)))</f>
        <v/>
      </c>
      <c r="J2693" s="26" t="str">
        <f>IF($E2693="","",INDEX(成本费用登记表!$C$4:$C$303,195))</f>
        <v/>
      </c>
      <c r="K2693" s="26" t="str">
        <f>IF($E2693="","",INDEX(成本费用登记表!$D$4:$D$303,195))</f>
        <v/>
      </c>
      <c r="L2693" s="32" t="str">
        <f>IF($E2693="","",INDEX(成本费用登记表!$N$4:$N$303,195))</f>
        <v/>
      </c>
      <c r="M2693" s="32"/>
      <c r="N2693" s="26" t="str">
        <f t="shared" si="134"/>
        <v/>
      </c>
      <c r="O2693" s="26" t="str">
        <f t="shared" si="135"/>
        <v/>
      </c>
      <c r="P2693" s="10"/>
    </row>
    <row r="2694" ht="18" customHeight="1" spans="1:16">
      <c r="A2694" s="32" t="str">
        <f t="shared" si="136"/>
        <v/>
      </c>
      <c r="B2694" s="100" t="str">
        <f>IF($E2694="","",INDEX(成本费用登记表!$B$4:$B$303,195))</f>
        <v/>
      </c>
      <c r="C2694" s="26" t="str">
        <f t="shared" si="133"/>
        <v/>
      </c>
      <c r="D2694" s="32" t="str">
        <f>IF($E2694="","",INDEX(成本费用登记表!$E$4:$E$303,195))</f>
        <v/>
      </c>
      <c r="E2694" s="26" t="str">
        <f>IF(INDEX(成本费用登记表!$Q$4:$Y$303,195,7)=0,"",INDEX(成本费用登记表!$Q$4:$Y$303,195,7))</f>
        <v/>
      </c>
      <c r="F2694" s="25" t="str">
        <f>IF($E2694="","",IFERROR(INDEX(科目表!$A$4:$A$81,MATCH($E2694,科目表!$B$4:$B$81,0)),""))</f>
        <v/>
      </c>
      <c r="G2694" s="26" t="str">
        <f>IF($E2694="","",IFERROR(INDEX(科目表!$E$4:$E$81,MATCH($E2694,科目表!$B$4:$B$81,0)),""))</f>
        <v/>
      </c>
      <c r="H2694" s="27" t="str">
        <f>IF($E2694="","",N(INDEX(成本费用登记表!$Q$4:$Y$303,195,8)))</f>
        <v/>
      </c>
      <c r="I2694" s="27" t="str">
        <f>IF($E2694="","",N(INDEX(成本费用登记表!$Q$4:$Y$303,195,9)))</f>
        <v/>
      </c>
      <c r="J2694" s="26" t="str">
        <f>IF($E2694="","",INDEX(成本费用登记表!$C$4:$C$303,195))</f>
        <v/>
      </c>
      <c r="K2694" s="26" t="str">
        <f>IF($E2694="","",INDEX(成本费用登记表!$D$4:$D$303,195))</f>
        <v/>
      </c>
      <c r="L2694" s="32" t="str">
        <f>IF($E2694="","",INDEX(成本费用登记表!$N$4:$N$303,195))</f>
        <v/>
      </c>
      <c r="M2694" s="32"/>
      <c r="N2694" s="26" t="str">
        <f t="shared" si="134"/>
        <v/>
      </c>
      <c r="O2694" s="26" t="str">
        <f t="shared" si="135"/>
        <v/>
      </c>
      <c r="P2694" s="10"/>
    </row>
    <row r="2695" ht="18" customHeight="1" spans="1:16">
      <c r="A2695" s="32" t="str">
        <f t="shared" si="136"/>
        <v/>
      </c>
      <c r="B2695" s="100" t="str">
        <f>IF($E2695="","",INDEX(成本费用登记表!$B$4:$B$303,196))</f>
        <v/>
      </c>
      <c r="C2695" s="26" t="str">
        <f t="shared" si="133"/>
        <v/>
      </c>
      <c r="D2695" s="32" t="str">
        <f>IF($E2695="","",INDEX(成本费用登记表!$E$4:$E$303,196))</f>
        <v/>
      </c>
      <c r="E2695" s="26" t="str">
        <f>IF(INDEX(成本费用登记表!$Q$4:$Y$303,196,1)=0,"",INDEX(成本费用登记表!$Q$4:$Y$303,196,1))</f>
        <v/>
      </c>
      <c r="F2695" s="25" t="str">
        <f>IF($E2695="","",IFERROR(INDEX(科目表!$A$4:$A$81,MATCH($E2695,科目表!$B$4:$B$81,0)),""))</f>
        <v/>
      </c>
      <c r="G2695" s="26" t="str">
        <f>IF($E2695="","",IFERROR(INDEX(科目表!$E$4:$E$81,MATCH($E2695,科目表!$B$4:$B$81,0)),""))</f>
        <v/>
      </c>
      <c r="H2695" s="27" t="str">
        <f>IF($E2695="","",N(INDEX(成本费用登记表!$Q$4:$Y$303,196,2)))</f>
        <v/>
      </c>
      <c r="I2695" s="27" t="str">
        <f>IF($E2695="","",N(INDEX(成本费用登记表!$Q$4:$Y$303,196,3)))</f>
        <v/>
      </c>
      <c r="J2695" s="26" t="str">
        <f>IF($E2695="","",INDEX(成本费用登记表!$C$4:$C$303,196))</f>
        <v/>
      </c>
      <c r="K2695" s="26" t="str">
        <f>IF($E2695="","",INDEX(成本费用登记表!$D$4:$D$303,196))</f>
        <v/>
      </c>
      <c r="L2695" s="32" t="str">
        <f>IF($E2695="","",INDEX(成本费用登记表!$N$4:$N$303,196))</f>
        <v/>
      </c>
      <c r="M2695" s="32"/>
      <c r="N2695" s="26" t="str">
        <f t="shared" si="134"/>
        <v/>
      </c>
      <c r="O2695" s="26" t="str">
        <f t="shared" si="135"/>
        <v/>
      </c>
      <c r="P2695" s="10"/>
    </row>
    <row r="2696" ht="18" customHeight="1" spans="1:16">
      <c r="A2696" s="32" t="str">
        <f t="shared" si="136"/>
        <v/>
      </c>
      <c r="B2696" s="100" t="str">
        <f>IF($E2696="","",INDEX(成本费用登记表!$B$4:$B$303,196))</f>
        <v/>
      </c>
      <c r="C2696" s="26" t="str">
        <f t="shared" si="133"/>
        <v/>
      </c>
      <c r="D2696" s="32" t="str">
        <f>IF($E2696="","",INDEX(成本费用登记表!$E$4:$E$303,196))</f>
        <v/>
      </c>
      <c r="E2696" s="26" t="str">
        <f>IF(INDEX(成本费用登记表!$Q$4:$Y$303,196,4)=0,"",INDEX(成本费用登记表!$Q$4:$Y$303,196,4))</f>
        <v/>
      </c>
      <c r="F2696" s="25" t="str">
        <f>IF($E2696="","",IFERROR(INDEX(科目表!$A$4:$A$81,MATCH($E2696,科目表!$B$4:$B$81,0)),""))</f>
        <v/>
      </c>
      <c r="G2696" s="26" t="str">
        <f>IF($E2696="","",IFERROR(INDEX(科目表!$E$4:$E$81,MATCH($E2696,科目表!$B$4:$B$81,0)),""))</f>
        <v/>
      </c>
      <c r="H2696" s="27" t="str">
        <f>IF($E2696="","",N(INDEX(成本费用登记表!$Q$4:$Y$303,196,5)))</f>
        <v/>
      </c>
      <c r="I2696" s="27" t="str">
        <f>IF($E2696="","",N(INDEX(成本费用登记表!$Q$4:$Y$303,196,6)))</f>
        <v/>
      </c>
      <c r="J2696" s="26" t="str">
        <f>IF($E2696="","",INDEX(成本费用登记表!$C$4:$C$303,196))</f>
        <v/>
      </c>
      <c r="K2696" s="26" t="str">
        <f>IF($E2696="","",INDEX(成本费用登记表!$D$4:$D$303,196))</f>
        <v/>
      </c>
      <c r="L2696" s="32" t="str">
        <f>IF($E2696="","",INDEX(成本费用登记表!$N$4:$N$303,196))</f>
        <v/>
      </c>
      <c r="M2696" s="32"/>
      <c r="N2696" s="26" t="str">
        <f t="shared" si="134"/>
        <v/>
      </c>
      <c r="O2696" s="26" t="str">
        <f t="shared" si="135"/>
        <v/>
      </c>
      <c r="P2696" s="10"/>
    </row>
    <row r="2697" ht="18" customHeight="1" spans="1:16">
      <c r="A2697" s="32" t="str">
        <f t="shared" si="136"/>
        <v/>
      </c>
      <c r="B2697" s="100" t="str">
        <f>IF($E2697="","",INDEX(成本费用登记表!$B$4:$B$303,196))</f>
        <v/>
      </c>
      <c r="C2697" s="26" t="str">
        <f t="shared" si="133"/>
        <v/>
      </c>
      <c r="D2697" s="32" t="str">
        <f>IF($E2697="","",INDEX(成本费用登记表!$E$4:$E$303,196))</f>
        <v/>
      </c>
      <c r="E2697" s="26" t="str">
        <f>IF(INDEX(成本费用登记表!$Q$4:$Y$303,196,7)=0,"",INDEX(成本费用登记表!$Q$4:$Y$303,196,7))</f>
        <v/>
      </c>
      <c r="F2697" s="25" t="str">
        <f>IF($E2697="","",IFERROR(INDEX(科目表!$A$4:$A$81,MATCH($E2697,科目表!$B$4:$B$81,0)),""))</f>
        <v/>
      </c>
      <c r="G2697" s="26" t="str">
        <f>IF($E2697="","",IFERROR(INDEX(科目表!$E$4:$E$81,MATCH($E2697,科目表!$B$4:$B$81,0)),""))</f>
        <v/>
      </c>
      <c r="H2697" s="27" t="str">
        <f>IF($E2697="","",N(INDEX(成本费用登记表!$Q$4:$Y$303,196,8)))</f>
        <v/>
      </c>
      <c r="I2697" s="27" t="str">
        <f>IF($E2697="","",N(INDEX(成本费用登记表!$Q$4:$Y$303,196,9)))</f>
        <v/>
      </c>
      <c r="J2697" s="26" t="str">
        <f>IF($E2697="","",INDEX(成本费用登记表!$C$4:$C$303,196))</f>
        <v/>
      </c>
      <c r="K2697" s="26" t="str">
        <f>IF($E2697="","",INDEX(成本费用登记表!$D$4:$D$303,196))</f>
        <v/>
      </c>
      <c r="L2697" s="32" t="str">
        <f>IF($E2697="","",INDEX(成本费用登记表!$N$4:$N$303,196))</f>
        <v/>
      </c>
      <c r="M2697" s="32"/>
      <c r="N2697" s="26" t="str">
        <f t="shared" si="134"/>
        <v/>
      </c>
      <c r="O2697" s="26" t="str">
        <f t="shared" si="135"/>
        <v/>
      </c>
      <c r="P2697" s="10"/>
    </row>
    <row r="2698" ht="18" customHeight="1" spans="1:16">
      <c r="A2698" s="32" t="str">
        <f t="shared" si="136"/>
        <v/>
      </c>
      <c r="B2698" s="100" t="str">
        <f>IF($E2698="","",INDEX(成本费用登记表!$B$4:$B$303,197))</f>
        <v/>
      </c>
      <c r="C2698" s="26" t="str">
        <f t="shared" si="133"/>
        <v/>
      </c>
      <c r="D2698" s="32" t="str">
        <f>IF($E2698="","",INDEX(成本费用登记表!$E$4:$E$303,197))</f>
        <v/>
      </c>
      <c r="E2698" s="26" t="str">
        <f>IF(INDEX(成本费用登记表!$Q$4:$Y$303,197,1)=0,"",INDEX(成本费用登记表!$Q$4:$Y$303,197,1))</f>
        <v/>
      </c>
      <c r="F2698" s="25" t="str">
        <f>IF($E2698="","",IFERROR(INDEX(科目表!$A$4:$A$81,MATCH($E2698,科目表!$B$4:$B$81,0)),""))</f>
        <v/>
      </c>
      <c r="G2698" s="26" t="str">
        <f>IF($E2698="","",IFERROR(INDEX(科目表!$E$4:$E$81,MATCH($E2698,科目表!$B$4:$B$81,0)),""))</f>
        <v/>
      </c>
      <c r="H2698" s="27" t="str">
        <f>IF($E2698="","",N(INDEX(成本费用登记表!$Q$4:$Y$303,197,2)))</f>
        <v/>
      </c>
      <c r="I2698" s="27" t="str">
        <f>IF($E2698="","",N(INDEX(成本费用登记表!$Q$4:$Y$303,197,3)))</f>
        <v/>
      </c>
      <c r="J2698" s="26" t="str">
        <f>IF($E2698="","",INDEX(成本费用登记表!$C$4:$C$303,197))</f>
        <v/>
      </c>
      <c r="K2698" s="26" t="str">
        <f>IF($E2698="","",INDEX(成本费用登记表!$D$4:$D$303,197))</f>
        <v/>
      </c>
      <c r="L2698" s="32" t="str">
        <f>IF($E2698="","",INDEX(成本费用登记表!$N$4:$N$303,197))</f>
        <v/>
      </c>
      <c r="M2698" s="32"/>
      <c r="N2698" s="26" t="str">
        <f t="shared" si="134"/>
        <v/>
      </c>
      <c r="O2698" s="26" t="str">
        <f t="shared" si="135"/>
        <v/>
      </c>
      <c r="P2698" s="10"/>
    </row>
    <row r="2699" ht="18" customHeight="1" spans="1:16">
      <c r="A2699" s="32" t="str">
        <f t="shared" si="136"/>
        <v/>
      </c>
      <c r="B2699" s="100" t="str">
        <f>IF($E2699="","",INDEX(成本费用登记表!$B$4:$B$303,197))</f>
        <v/>
      </c>
      <c r="C2699" s="26" t="str">
        <f t="shared" si="133"/>
        <v/>
      </c>
      <c r="D2699" s="32" t="str">
        <f>IF($E2699="","",INDEX(成本费用登记表!$E$4:$E$303,197))</f>
        <v/>
      </c>
      <c r="E2699" s="26" t="str">
        <f>IF(INDEX(成本费用登记表!$Q$4:$Y$303,197,4)=0,"",INDEX(成本费用登记表!$Q$4:$Y$303,197,4))</f>
        <v/>
      </c>
      <c r="F2699" s="25" t="str">
        <f>IF($E2699="","",IFERROR(INDEX(科目表!$A$4:$A$81,MATCH($E2699,科目表!$B$4:$B$81,0)),""))</f>
        <v/>
      </c>
      <c r="G2699" s="26" t="str">
        <f>IF($E2699="","",IFERROR(INDEX(科目表!$E$4:$E$81,MATCH($E2699,科目表!$B$4:$B$81,0)),""))</f>
        <v/>
      </c>
      <c r="H2699" s="27" t="str">
        <f>IF($E2699="","",N(INDEX(成本费用登记表!$Q$4:$Y$303,197,5)))</f>
        <v/>
      </c>
      <c r="I2699" s="27" t="str">
        <f>IF($E2699="","",N(INDEX(成本费用登记表!$Q$4:$Y$303,197,6)))</f>
        <v/>
      </c>
      <c r="J2699" s="26" t="str">
        <f>IF($E2699="","",INDEX(成本费用登记表!$C$4:$C$303,197))</f>
        <v/>
      </c>
      <c r="K2699" s="26" t="str">
        <f>IF($E2699="","",INDEX(成本费用登记表!$D$4:$D$303,197))</f>
        <v/>
      </c>
      <c r="L2699" s="32" t="str">
        <f>IF($E2699="","",INDEX(成本费用登记表!$N$4:$N$303,197))</f>
        <v/>
      </c>
      <c r="M2699" s="32"/>
      <c r="N2699" s="26" t="str">
        <f t="shared" si="134"/>
        <v/>
      </c>
      <c r="O2699" s="26" t="str">
        <f t="shared" si="135"/>
        <v/>
      </c>
      <c r="P2699" s="10"/>
    </row>
    <row r="2700" ht="18" customHeight="1" spans="1:16">
      <c r="A2700" s="32" t="str">
        <f t="shared" si="136"/>
        <v/>
      </c>
      <c r="B2700" s="100" t="str">
        <f>IF($E2700="","",INDEX(成本费用登记表!$B$4:$B$303,197))</f>
        <v/>
      </c>
      <c r="C2700" s="26" t="str">
        <f t="shared" si="133"/>
        <v/>
      </c>
      <c r="D2700" s="32" t="str">
        <f>IF($E2700="","",INDEX(成本费用登记表!$E$4:$E$303,197))</f>
        <v/>
      </c>
      <c r="E2700" s="26" t="str">
        <f>IF(INDEX(成本费用登记表!$Q$4:$Y$303,197,7)=0,"",INDEX(成本费用登记表!$Q$4:$Y$303,197,7))</f>
        <v/>
      </c>
      <c r="F2700" s="25" t="str">
        <f>IF($E2700="","",IFERROR(INDEX(科目表!$A$4:$A$81,MATCH($E2700,科目表!$B$4:$B$81,0)),""))</f>
        <v/>
      </c>
      <c r="G2700" s="26" t="str">
        <f>IF($E2700="","",IFERROR(INDEX(科目表!$E$4:$E$81,MATCH($E2700,科目表!$B$4:$B$81,0)),""))</f>
        <v/>
      </c>
      <c r="H2700" s="27" t="str">
        <f>IF($E2700="","",N(INDEX(成本费用登记表!$Q$4:$Y$303,197,8)))</f>
        <v/>
      </c>
      <c r="I2700" s="27" t="str">
        <f>IF($E2700="","",N(INDEX(成本费用登记表!$Q$4:$Y$303,197,9)))</f>
        <v/>
      </c>
      <c r="J2700" s="26" t="str">
        <f>IF($E2700="","",INDEX(成本费用登记表!$C$4:$C$303,197))</f>
        <v/>
      </c>
      <c r="K2700" s="26" t="str">
        <f>IF($E2700="","",INDEX(成本费用登记表!$D$4:$D$303,197))</f>
        <v/>
      </c>
      <c r="L2700" s="32" t="str">
        <f>IF($E2700="","",INDEX(成本费用登记表!$N$4:$N$303,197))</f>
        <v/>
      </c>
      <c r="M2700" s="32"/>
      <c r="N2700" s="26" t="str">
        <f t="shared" si="134"/>
        <v/>
      </c>
      <c r="O2700" s="26" t="str">
        <f t="shared" si="135"/>
        <v/>
      </c>
      <c r="P2700" s="10"/>
    </row>
    <row r="2701" ht="18" customHeight="1" spans="1:16">
      <c r="A2701" s="32" t="str">
        <f t="shared" si="136"/>
        <v/>
      </c>
      <c r="B2701" s="100" t="str">
        <f>IF($E2701="","",INDEX(成本费用登记表!$B$4:$B$303,198))</f>
        <v/>
      </c>
      <c r="C2701" s="26" t="str">
        <f t="shared" si="133"/>
        <v/>
      </c>
      <c r="D2701" s="32" t="str">
        <f>IF($E2701="","",INDEX(成本费用登记表!$E$4:$E$303,198))</f>
        <v/>
      </c>
      <c r="E2701" s="26" t="str">
        <f>IF(INDEX(成本费用登记表!$Q$4:$Y$303,198,1)=0,"",INDEX(成本费用登记表!$Q$4:$Y$303,198,1))</f>
        <v/>
      </c>
      <c r="F2701" s="25" t="str">
        <f>IF($E2701="","",IFERROR(INDEX(科目表!$A$4:$A$81,MATCH($E2701,科目表!$B$4:$B$81,0)),""))</f>
        <v/>
      </c>
      <c r="G2701" s="26" t="str">
        <f>IF($E2701="","",IFERROR(INDEX(科目表!$E$4:$E$81,MATCH($E2701,科目表!$B$4:$B$81,0)),""))</f>
        <v/>
      </c>
      <c r="H2701" s="27" t="str">
        <f>IF($E2701="","",N(INDEX(成本费用登记表!$Q$4:$Y$303,198,2)))</f>
        <v/>
      </c>
      <c r="I2701" s="27" t="str">
        <f>IF($E2701="","",N(INDEX(成本费用登记表!$Q$4:$Y$303,198,3)))</f>
        <v/>
      </c>
      <c r="J2701" s="26" t="str">
        <f>IF($E2701="","",INDEX(成本费用登记表!$C$4:$C$303,198))</f>
        <v/>
      </c>
      <c r="K2701" s="26" t="str">
        <f>IF($E2701="","",INDEX(成本费用登记表!$D$4:$D$303,198))</f>
        <v/>
      </c>
      <c r="L2701" s="32" t="str">
        <f>IF($E2701="","",INDEX(成本费用登记表!$N$4:$N$303,198))</f>
        <v/>
      </c>
      <c r="M2701" s="32"/>
      <c r="N2701" s="26" t="str">
        <f t="shared" si="134"/>
        <v/>
      </c>
      <c r="O2701" s="26" t="str">
        <f t="shared" si="135"/>
        <v/>
      </c>
      <c r="P2701" s="10"/>
    </row>
    <row r="2702" ht="18" customHeight="1" spans="1:16">
      <c r="A2702" s="32" t="str">
        <f t="shared" si="136"/>
        <v/>
      </c>
      <c r="B2702" s="100" t="str">
        <f>IF($E2702="","",INDEX(成本费用登记表!$B$4:$B$303,198))</f>
        <v/>
      </c>
      <c r="C2702" s="26" t="str">
        <f t="shared" si="133"/>
        <v/>
      </c>
      <c r="D2702" s="32" t="str">
        <f>IF($E2702="","",INDEX(成本费用登记表!$E$4:$E$303,198))</f>
        <v/>
      </c>
      <c r="E2702" s="26" t="str">
        <f>IF(INDEX(成本费用登记表!$Q$4:$Y$303,198,4)=0,"",INDEX(成本费用登记表!$Q$4:$Y$303,198,4))</f>
        <v/>
      </c>
      <c r="F2702" s="25" t="str">
        <f>IF($E2702="","",IFERROR(INDEX(科目表!$A$4:$A$81,MATCH($E2702,科目表!$B$4:$B$81,0)),""))</f>
        <v/>
      </c>
      <c r="G2702" s="26" t="str">
        <f>IF($E2702="","",IFERROR(INDEX(科目表!$E$4:$E$81,MATCH($E2702,科目表!$B$4:$B$81,0)),""))</f>
        <v/>
      </c>
      <c r="H2702" s="27" t="str">
        <f>IF($E2702="","",N(INDEX(成本费用登记表!$Q$4:$Y$303,198,5)))</f>
        <v/>
      </c>
      <c r="I2702" s="27" t="str">
        <f>IF($E2702="","",N(INDEX(成本费用登记表!$Q$4:$Y$303,198,6)))</f>
        <v/>
      </c>
      <c r="J2702" s="26" t="str">
        <f>IF($E2702="","",INDEX(成本费用登记表!$C$4:$C$303,198))</f>
        <v/>
      </c>
      <c r="K2702" s="26" t="str">
        <f>IF($E2702="","",INDEX(成本费用登记表!$D$4:$D$303,198))</f>
        <v/>
      </c>
      <c r="L2702" s="32" t="str">
        <f>IF($E2702="","",INDEX(成本费用登记表!$N$4:$N$303,198))</f>
        <v/>
      </c>
      <c r="M2702" s="32"/>
      <c r="N2702" s="26" t="str">
        <f t="shared" si="134"/>
        <v/>
      </c>
      <c r="O2702" s="26" t="str">
        <f t="shared" si="135"/>
        <v/>
      </c>
      <c r="P2702" s="10"/>
    </row>
    <row r="2703" ht="18" customHeight="1" spans="1:16">
      <c r="A2703" s="32" t="str">
        <f t="shared" si="136"/>
        <v/>
      </c>
      <c r="B2703" s="100" t="str">
        <f>IF($E2703="","",INDEX(成本费用登记表!$B$4:$B$303,198))</f>
        <v/>
      </c>
      <c r="C2703" s="26" t="str">
        <f t="shared" si="133"/>
        <v/>
      </c>
      <c r="D2703" s="32" t="str">
        <f>IF($E2703="","",INDEX(成本费用登记表!$E$4:$E$303,198))</f>
        <v/>
      </c>
      <c r="E2703" s="26" t="str">
        <f>IF(INDEX(成本费用登记表!$Q$4:$Y$303,198,7)=0,"",INDEX(成本费用登记表!$Q$4:$Y$303,198,7))</f>
        <v/>
      </c>
      <c r="F2703" s="25" t="str">
        <f>IF($E2703="","",IFERROR(INDEX(科目表!$A$4:$A$81,MATCH($E2703,科目表!$B$4:$B$81,0)),""))</f>
        <v/>
      </c>
      <c r="G2703" s="26" t="str">
        <f>IF($E2703="","",IFERROR(INDEX(科目表!$E$4:$E$81,MATCH($E2703,科目表!$B$4:$B$81,0)),""))</f>
        <v/>
      </c>
      <c r="H2703" s="27" t="str">
        <f>IF($E2703="","",N(INDEX(成本费用登记表!$Q$4:$Y$303,198,8)))</f>
        <v/>
      </c>
      <c r="I2703" s="27" t="str">
        <f>IF($E2703="","",N(INDEX(成本费用登记表!$Q$4:$Y$303,198,9)))</f>
        <v/>
      </c>
      <c r="J2703" s="26" t="str">
        <f>IF($E2703="","",INDEX(成本费用登记表!$C$4:$C$303,198))</f>
        <v/>
      </c>
      <c r="K2703" s="26" t="str">
        <f>IF($E2703="","",INDEX(成本费用登记表!$D$4:$D$303,198))</f>
        <v/>
      </c>
      <c r="L2703" s="32" t="str">
        <f>IF($E2703="","",INDEX(成本费用登记表!$N$4:$N$303,198))</f>
        <v/>
      </c>
      <c r="M2703" s="32"/>
      <c r="N2703" s="26" t="str">
        <f t="shared" si="134"/>
        <v/>
      </c>
      <c r="O2703" s="26" t="str">
        <f t="shared" si="135"/>
        <v/>
      </c>
      <c r="P2703" s="10"/>
    </row>
    <row r="2704" ht="18" customHeight="1" spans="1:16">
      <c r="A2704" s="32" t="str">
        <f t="shared" si="136"/>
        <v/>
      </c>
      <c r="B2704" s="100" t="str">
        <f>IF($E2704="","",INDEX(成本费用登记表!$B$4:$B$303,199))</f>
        <v/>
      </c>
      <c r="C2704" s="26" t="str">
        <f t="shared" si="133"/>
        <v/>
      </c>
      <c r="D2704" s="32" t="str">
        <f>IF($E2704="","",INDEX(成本费用登记表!$E$4:$E$303,199))</f>
        <v/>
      </c>
      <c r="E2704" s="26" t="str">
        <f>IF(INDEX(成本费用登记表!$Q$4:$Y$303,199,1)=0,"",INDEX(成本费用登记表!$Q$4:$Y$303,199,1))</f>
        <v/>
      </c>
      <c r="F2704" s="25" t="str">
        <f>IF($E2704="","",IFERROR(INDEX(科目表!$A$4:$A$81,MATCH($E2704,科目表!$B$4:$B$81,0)),""))</f>
        <v/>
      </c>
      <c r="G2704" s="26" t="str">
        <f>IF($E2704="","",IFERROR(INDEX(科目表!$E$4:$E$81,MATCH($E2704,科目表!$B$4:$B$81,0)),""))</f>
        <v/>
      </c>
      <c r="H2704" s="27" t="str">
        <f>IF($E2704="","",N(INDEX(成本费用登记表!$Q$4:$Y$303,199,2)))</f>
        <v/>
      </c>
      <c r="I2704" s="27" t="str">
        <f>IF($E2704="","",N(INDEX(成本费用登记表!$Q$4:$Y$303,199,3)))</f>
        <v/>
      </c>
      <c r="J2704" s="26" t="str">
        <f>IF($E2704="","",INDEX(成本费用登记表!$C$4:$C$303,199))</f>
        <v/>
      </c>
      <c r="K2704" s="26" t="str">
        <f>IF($E2704="","",INDEX(成本费用登记表!$D$4:$D$303,199))</f>
        <v/>
      </c>
      <c r="L2704" s="32" t="str">
        <f>IF($E2704="","",INDEX(成本费用登记表!$N$4:$N$303,199))</f>
        <v/>
      </c>
      <c r="M2704" s="32"/>
      <c r="N2704" s="26" t="str">
        <f t="shared" si="134"/>
        <v/>
      </c>
      <c r="O2704" s="26" t="str">
        <f t="shared" si="135"/>
        <v/>
      </c>
      <c r="P2704" s="10"/>
    </row>
    <row r="2705" ht="18" customHeight="1" spans="1:16">
      <c r="A2705" s="32" t="str">
        <f t="shared" si="136"/>
        <v/>
      </c>
      <c r="B2705" s="100" t="str">
        <f>IF($E2705="","",INDEX(成本费用登记表!$B$4:$B$303,199))</f>
        <v/>
      </c>
      <c r="C2705" s="26" t="str">
        <f t="shared" si="133"/>
        <v/>
      </c>
      <c r="D2705" s="32" t="str">
        <f>IF($E2705="","",INDEX(成本费用登记表!$E$4:$E$303,199))</f>
        <v/>
      </c>
      <c r="E2705" s="26" t="str">
        <f>IF(INDEX(成本费用登记表!$Q$4:$Y$303,199,4)=0,"",INDEX(成本费用登记表!$Q$4:$Y$303,199,4))</f>
        <v/>
      </c>
      <c r="F2705" s="25" t="str">
        <f>IF($E2705="","",IFERROR(INDEX(科目表!$A$4:$A$81,MATCH($E2705,科目表!$B$4:$B$81,0)),""))</f>
        <v/>
      </c>
      <c r="G2705" s="26" t="str">
        <f>IF($E2705="","",IFERROR(INDEX(科目表!$E$4:$E$81,MATCH($E2705,科目表!$B$4:$B$81,0)),""))</f>
        <v/>
      </c>
      <c r="H2705" s="27" t="str">
        <f>IF($E2705="","",N(INDEX(成本费用登记表!$Q$4:$Y$303,199,5)))</f>
        <v/>
      </c>
      <c r="I2705" s="27" t="str">
        <f>IF($E2705="","",N(INDEX(成本费用登记表!$Q$4:$Y$303,199,6)))</f>
        <v/>
      </c>
      <c r="J2705" s="26" t="str">
        <f>IF($E2705="","",INDEX(成本费用登记表!$C$4:$C$303,199))</f>
        <v/>
      </c>
      <c r="K2705" s="26" t="str">
        <f>IF($E2705="","",INDEX(成本费用登记表!$D$4:$D$303,199))</f>
        <v/>
      </c>
      <c r="L2705" s="32" t="str">
        <f>IF($E2705="","",INDEX(成本费用登记表!$N$4:$N$303,199))</f>
        <v/>
      </c>
      <c r="M2705" s="32"/>
      <c r="N2705" s="26" t="str">
        <f t="shared" si="134"/>
        <v/>
      </c>
      <c r="O2705" s="26" t="str">
        <f t="shared" si="135"/>
        <v/>
      </c>
      <c r="P2705" s="10"/>
    </row>
    <row r="2706" ht="18" customHeight="1" spans="1:16">
      <c r="A2706" s="32" t="str">
        <f t="shared" si="136"/>
        <v/>
      </c>
      <c r="B2706" s="100" t="str">
        <f>IF($E2706="","",INDEX(成本费用登记表!$B$4:$B$303,199))</f>
        <v/>
      </c>
      <c r="C2706" s="26" t="str">
        <f t="shared" si="133"/>
        <v/>
      </c>
      <c r="D2706" s="32" t="str">
        <f>IF($E2706="","",INDEX(成本费用登记表!$E$4:$E$303,199))</f>
        <v/>
      </c>
      <c r="E2706" s="26" t="str">
        <f>IF(INDEX(成本费用登记表!$Q$4:$Y$303,199,7)=0,"",INDEX(成本费用登记表!$Q$4:$Y$303,199,7))</f>
        <v/>
      </c>
      <c r="F2706" s="25" t="str">
        <f>IF($E2706="","",IFERROR(INDEX(科目表!$A$4:$A$81,MATCH($E2706,科目表!$B$4:$B$81,0)),""))</f>
        <v/>
      </c>
      <c r="G2706" s="26" t="str">
        <f>IF($E2706="","",IFERROR(INDEX(科目表!$E$4:$E$81,MATCH($E2706,科目表!$B$4:$B$81,0)),""))</f>
        <v/>
      </c>
      <c r="H2706" s="27" t="str">
        <f>IF($E2706="","",N(INDEX(成本费用登记表!$Q$4:$Y$303,199,8)))</f>
        <v/>
      </c>
      <c r="I2706" s="27" t="str">
        <f>IF($E2706="","",N(INDEX(成本费用登记表!$Q$4:$Y$303,199,9)))</f>
        <v/>
      </c>
      <c r="J2706" s="26" t="str">
        <f>IF($E2706="","",INDEX(成本费用登记表!$C$4:$C$303,199))</f>
        <v/>
      </c>
      <c r="K2706" s="26" t="str">
        <f>IF($E2706="","",INDEX(成本费用登记表!$D$4:$D$303,199))</f>
        <v/>
      </c>
      <c r="L2706" s="32" t="str">
        <f>IF($E2706="","",INDEX(成本费用登记表!$N$4:$N$303,199))</f>
        <v/>
      </c>
      <c r="M2706" s="32"/>
      <c r="N2706" s="26" t="str">
        <f t="shared" si="134"/>
        <v/>
      </c>
      <c r="O2706" s="26" t="str">
        <f t="shared" si="135"/>
        <v/>
      </c>
      <c r="P2706" s="10"/>
    </row>
    <row r="2707" ht="18" customHeight="1" spans="1:16">
      <c r="A2707" s="32" t="str">
        <f t="shared" si="136"/>
        <v/>
      </c>
      <c r="B2707" s="100" t="str">
        <f>IF($E2707="","",INDEX(成本费用登记表!$B$4:$B$303,200))</f>
        <v/>
      </c>
      <c r="C2707" s="26" t="str">
        <f t="shared" si="133"/>
        <v/>
      </c>
      <c r="D2707" s="32" t="str">
        <f>IF($E2707="","",INDEX(成本费用登记表!$E$4:$E$303,200))</f>
        <v/>
      </c>
      <c r="E2707" s="26" t="str">
        <f>IF(INDEX(成本费用登记表!$Q$4:$Y$303,200,1)=0,"",INDEX(成本费用登记表!$Q$4:$Y$303,200,1))</f>
        <v/>
      </c>
      <c r="F2707" s="25" t="str">
        <f>IF($E2707="","",IFERROR(INDEX(科目表!$A$4:$A$81,MATCH($E2707,科目表!$B$4:$B$81,0)),""))</f>
        <v/>
      </c>
      <c r="G2707" s="26" t="str">
        <f>IF($E2707="","",IFERROR(INDEX(科目表!$E$4:$E$81,MATCH($E2707,科目表!$B$4:$B$81,0)),""))</f>
        <v/>
      </c>
      <c r="H2707" s="27" t="str">
        <f>IF($E2707="","",N(INDEX(成本费用登记表!$Q$4:$Y$303,200,2)))</f>
        <v/>
      </c>
      <c r="I2707" s="27" t="str">
        <f>IF($E2707="","",N(INDEX(成本费用登记表!$Q$4:$Y$303,200,3)))</f>
        <v/>
      </c>
      <c r="J2707" s="26" t="str">
        <f>IF($E2707="","",INDEX(成本费用登记表!$C$4:$C$303,200))</f>
        <v/>
      </c>
      <c r="K2707" s="26" t="str">
        <f>IF($E2707="","",INDEX(成本费用登记表!$D$4:$D$303,200))</f>
        <v/>
      </c>
      <c r="L2707" s="32" t="str">
        <f>IF($E2707="","",INDEX(成本费用登记表!$N$4:$N$303,200))</f>
        <v/>
      </c>
      <c r="M2707" s="32"/>
      <c r="N2707" s="26" t="str">
        <f t="shared" si="134"/>
        <v/>
      </c>
      <c r="O2707" s="26" t="str">
        <f t="shared" si="135"/>
        <v/>
      </c>
      <c r="P2707" s="10"/>
    </row>
    <row r="2708" ht="18" customHeight="1" spans="1:16">
      <c r="A2708" s="32" t="str">
        <f t="shared" si="136"/>
        <v/>
      </c>
      <c r="B2708" s="100" t="str">
        <f>IF($E2708="","",INDEX(成本费用登记表!$B$4:$B$303,200))</f>
        <v/>
      </c>
      <c r="C2708" s="26" t="str">
        <f t="shared" si="133"/>
        <v/>
      </c>
      <c r="D2708" s="32" t="str">
        <f>IF($E2708="","",INDEX(成本费用登记表!$E$4:$E$303,200))</f>
        <v/>
      </c>
      <c r="E2708" s="26" t="str">
        <f>IF(INDEX(成本费用登记表!$Q$4:$Y$303,200,4)=0,"",INDEX(成本费用登记表!$Q$4:$Y$303,200,4))</f>
        <v/>
      </c>
      <c r="F2708" s="25" t="str">
        <f>IF($E2708="","",IFERROR(INDEX(科目表!$A$4:$A$81,MATCH($E2708,科目表!$B$4:$B$81,0)),""))</f>
        <v/>
      </c>
      <c r="G2708" s="26" t="str">
        <f>IF($E2708="","",IFERROR(INDEX(科目表!$E$4:$E$81,MATCH($E2708,科目表!$B$4:$B$81,0)),""))</f>
        <v/>
      </c>
      <c r="H2708" s="27" t="str">
        <f>IF($E2708="","",N(INDEX(成本费用登记表!$Q$4:$Y$303,200,5)))</f>
        <v/>
      </c>
      <c r="I2708" s="27" t="str">
        <f>IF($E2708="","",N(INDEX(成本费用登记表!$Q$4:$Y$303,200,6)))</f>
        <v/>
      </c>
      <c r="J2708" s="26" t="str">
        <f>IF($E2708="","",INDEX(成本费用登记表!$C$4:$C$303,200))</f>
        <v/>
      </c>
      <c r="K2708" s="26" t="str">
        <f>IF($E2708="","",INDEX(成本费用登记表!$D$4:$D$303,200))</f>
        <v/>
      </c>
      <c r="L2708" s="32" t="str">
        <f>IF($E2708="","",INDEX(成本费用登记表!$N$4:$N$303,200))</f>
        <v/>
      </c>
      <c r="M2708" s="32"/>
      <c r="N2708" s="26" t="str">
        <f t="shared" si="134"/>
        <v/>
      </c>
      <c r="O2708" s="26" t="str">
        <f t="shared" si="135"/>
        <v/>
      </c>
      <c r="P2708" s="10"/>
    </row>
    <row r="2709" ht="18" customHeight="1" spans="1:16">
      <c r="A2709" s="32" t="str">
        <f t="shared" si="136"/>
        <v/>
      </c>
      <c r="B2709" s="100" t="str">
        <f>IF($E2709="","",INDEX(成本费用登记表!$B$4:$B$303,200))</f>
        <v/>
      </c>
      <c r="C2709" s="26" t="str">
        <f t="shared" si="133"/>
        <v/>
      </c>
      <c r="D2709" s="32" t="str">
        <f>IF($E2709="","",INDEX(成本费用登记表!$E$4:$E$303,200))</f>
        <v/>
      </c>
      <c r="E2709" s="26" t="str">
        <f>IF(INDEX(成本费用登记表!$Q$4:$Y$303,200,7)=0,"",INDEX(成本费用登记表!$Q$4:$Y$303,200,7))</f>
        <v/>
      </c>
      <c r="F2709" s="25" t="str">
        <f>IF($E2709="","",IFERROR(INDEX(科目表!$A$4:$A$81,MATCH($E2709,科目表!$B$4:$B$81,0)),""))</f>
        <v/>
      </c>
      <c r="G2709" s="26" t="str">
        <f>IF($E2709="","",IFERROR(INDEX(科目表!$E$4:$E$81,MATCH($E2709,科目表!$B$4:$B$81,0)),""))</f>
        <v/>
      </c>
      <c r="H2709" s="27" t="str">
        <f>IF($E2709="","",N(INDEX(成本费用登记表!$Q$4:$Y$303,200,8)))</f>
        <v/>
      </c>
      <c r="I2709" s="27" t="str">
        <f>IF($E2709="","",N(INDEX(成本费用登记表!$Q$4:$Y$303,200,9)))</f>
        <v/>
      </c>
      <c r="J2709" s="26" t="str">
        <f>IF($E2709="","",INDEX(成本费用登记表!$C$4:$C$303,200))</f>
        <v/>
      </c>
      <c r="K2709" s="26" t="str">
        <f>IF($E2709="","",INDEX(成本费用登记表!$D$4:$D$303,200))</f>
        <v/>
      </c>
      <c r="L2709" s="32" t="str">
        <f>IF($E2709="","",INDEX(成本费用登记表!$N$4:$N$303,200))</f>
        <v/>
      </c>
      <c r="M2709" s="32"/>
      <c r="N2709" s="26" t="str">
        <f t="shared" si="134"/>
        <v/>
      </c>
      <c r="O2709" s="26" t="str">
        <f t="shared" si="135"/>
        <v/>
      </c>
      <c r="P2709" s="10"/>
    </row>
    <row r="2710" ht="18" customHeight="1" spans="1:16">
      <c r="A2710" s="32" t="str">
        <f t="shared" si="136"/>
        <v/>
      </c>
      <c r="B2710" s="100" t="str">
        <f>IF($E2710="","",INDEX(成本费用登记表!$B$4:$B$303,201))</f>
        <v/>
      </c>
      <c r="C2710" s="26" t="str">
        <f t="shared" si="133"/>
        <v/>
      </c>
      <c r="D2710" s="32" t="str">
        <f>IF($E2710="","",INDEX(成本费用登记表!$E$4:$E$303,201))</f>
        <v/>
      </c>
      <c r="E2710" s="26" t="str">
        <f>IF(INDEX(成本费用登记表!$Q$4:$Y$303,201,1)=0,"",INDEX(成本费用登记表!$Q$4:$Y$303,201,1))</f>
        <v/>
      </c>
      <c r="F2710" s="25" t="str">
        <f>IF($E2710="","",IFERROR(INDEX(科目表!$A$4:$A$81,MATCH($E2710,科目表!$B$4:$B$81,0)),""))</f>
        <v/>
      </c>
      <c r="G2710" s="26" t="str">
        <f>IF($E2710="","",IFERROR(INDEX(科目表!$E$4:$E$81,MATCH($E2710,科目表!$B$4:$B$81,0)),""))</f>
        <v/>
      </c>
      <c r="H2710" s="27" t="str">
        <f>IF($E2710="","",N(INDEX(成本费用登记表!$Q$4:$Y$303,201,2)))</f>
        <v/>
      </c>
      <c r="I2710" s="27" t="str">
        <f>IF($E2710="","",N(INDEX(成本费用登记表!$Q$4:$Y$303,201,3)))</f>
        <v/>
      </c>
      <c r="J2710" s="26" t="str">
        <f>IF($E2710="","",INDEX(成本费用登记表!$C$4:$C$303,201))</f>
        <v/>
      </c>
      <c r="K2710" s="26" t="str">
        <f>IF($E2710="","",INDEX(成本费用登记表!$D$4:$D$303,201))</f>
        <v/>
      </c>
      <c r="L2710" s="32" t="str">
        <f>IF($E2710="","",INDEX(成本费用登记表!$N$4:$N$303,201))</f>
        <v/>
      </c>
      <c r="M2710" s="32"/>
      <c r="N2710" s="26" t="str">
        <f t="shared" si="134"/>
        <v/>
      </c>
      <c r="O2710" s="26" t="str">
        <f t="shared" si="135"/>
        <v/>
      </c>
      <c r="P2710" s="10"/>
    </row>
    <row r="2711" ht="18" customHeight="1" spans="1:16">
      <c r="A2711" s="32" t="str">
        <f t="shared" si="136"/>
        <v/>
      </c>
      <c r="B2711" s="100" t="str">
        <f>IF($E2711="","",INDEX(成本费用登记表!$B$4:$B$303,201))</f>
        <v/>
      </c>
      <c r="C2711" s="26" t="str">
        <f t="shared" si="133"/>
        <v/>
      </c>
      <c r="D2711" s="32" t="str">
        <f>IF($E2711="","",INDEX(成本费用登记表!$E$4:$E$303,201))</f>
        <v/>
      </c>
      <c r="E2711" s="26" t="str">
        <f>IF(INDEX(成本费用登记表!$Q$4:$Y$303,201,4)=0,"",INDEX(成本费用登记表!$Q$4:$Y$303,201,4))</f>
        <v/>
      </c>
      <c r="F2711" s="25" t="str">
        <f>IF($E2711="","",IFERROR(INDEX(科目表!$A$4:$A$81,MATCH($E2711,科目表!$B$4:$B$81,0)),""))</f>
        <v/>
      </c>
      <c r="G2711" s="26" t="str">
        <f>IF($E2711="","",IFERROR(INDEX(科目表!$E$4:$E$81,MATCH($E2711,科目表!$B$4:$B$81,0)),""))</f>
        <v/>
      </c>
      <c r="H2711" s="27" t="str">
        <f>IF($E2711="","",N(INDEX(成本费用登记表!$Q$4:$Y$303,201,5)))</f>
        <v/>
      </c>
      <c r="I2711" s="27" t="str">
        <f>IF($E2711="","",N(INDEX(成本费用登记表!$Q$4:$Y$303,201,6)))</f>
        <v/>
      </c>
      <c r="J2711" s="26" t="str">
        <f>IF($E2711="","",INDEX(成本费用登记表!$C$4:$C$303,201))</f>
        <v/>
      </c>
      <c r="K2711" s="26" t="str">
        <f>IF($E2711="","",INDEX(成本费用登记表!$D$4:$D$303,201))</f>
        <v/>
      </c>
      <c r="L2711" s="32" t="str">
        <f>IF($E2711="","",INDEX(成本费用登记表!$N$4:$N$303,201))</f>
        <v/>
      </c>
      <c r="M2711" s="32"/>
      <c r="N2711" s="26" t="str">
        <f t="shared" si="134"/>
        <v/>
      </c>
      <c r="O2711" s="26" t="str">
        <f t="shared" si="135"/>
        <v/>
      </c>
      <c r="P2711" s="10"/>
    </row>
    <row r="2712" ht="18" customHeight="1" spans="1:16">
      <c r="A2712" s="32" t="str">
        <f t="shared" si="136"/>
        <v/>
      </c>
      <c r="B2712" s="100" t="str">
        <f>IF($E2712="","",INDEX(成本费用登记表!$B$4:$B$303,201))</f>
        <v/>
      </c>
      <c r="C2712" s="26" t="str">
        <f t="shared" si="133"/>
        <v/>
      </c>
      <c r="D2712" s="32" t="str">
        <f>IF($E2712="","",INDEX(成本费用登记表!$E$4:$E$303,201))</f>
        <v/>
      </c>
      <c r="E2712" s="26" t="str">
        <f>IF(INDEX(成本费用登记表!$Q$4:$Y$303,201,7)=0,"",INDEX(成本费用登记表!$Q$4:$Y$303,201,7))</f>
        <v/>
      </c>
      <c r="F2712" s="25" t="str">
        <f>IF($E2712="","",IFERROR(INDEX(科目表!$A$4:$A$81,MATCH($E2712,科目表!$B$4:$B$81,0)),""))</f>
        <v/>
      </c>
      <c r="G2712" s="26" t="str">
        <f>IF($E2712="","",IFERROR(INDEX(科目表!$E$4:$E$81,MATCH($E2712,科目表!$B$4:$B$81,0)),""))</f>
        <v/>
      </c>
      <c r="H2712" s="27" t="str">
        <f>IF($E2712="","",N(INDEX(成本费用登记表!$Q$4:$Y$303,201,8)))</f>
        <v/>
      </c>
      <c r="I2712" s="27" t="str">
        <f>IF($E2712="","",N(INDEX(成本费用登记表!$Q$4:$Y$303,201,9)))</f>
        <v/>
      </c>
      <c r="J2712" s="26" t="str">
        <f>IF($E2712="","",INDEX(成本费用登记表!$C$4:$C$303,201))</f>
        <v/>
      </c>
      <c r="K2712" s="26" t="str">
        <f>IF($E2712="","",INDEX(成本费用登记表!$D$4:$D$303,201))</f>
        <v/>
      </c>
      <c r="L2712" s="32" t="str">
        <f>IF($E2712="","",INDEX(成本费用登记表!$N$4:$N$303,201))</f>
        <v/>
      </c>
      <c r="M2712" s="32"/>
      <c r="N2712" s="26" t="str">
        <f t="shared" si="134"/>
        <v/>
      </c>
      <c r="O2712" s="26" t="str">
        <f t="shared" si="135"/>
        <v/>
      </c>
      <c r="P2712" s="10"/>
    </row>
    <row r="2713" ht="18" customHeight="1" spans="1:16">
      <c r="A2713" s="32" t="str">
        <f t="shared" si="136"/>
        <v/>
      </c>
      <c r="B2713" s="100" t="str">
        <f>IF($E2713="","",INDEX(成本费用登记表!$B$4:$B$303,202))</f>
        <v/>
      </c>
      <c r="C2713" s="26" t="str">
        <f t="shared" si="133"/>
        <v/>
      </c>
      <c r="D2713" s="32" t="str">
        <f>IF($E2713="","",INDEX(成本费用登记表!$E$4:$E$303,202))</f>
        <v/>
      </c>
      <c r="E2713" s="26" t="str">
        <f>IF(INDEX(成本费用登记表!$Q$4:$Y$303,202,1)=0,"",INDEX(成本费用登记表!$Q$4:$Y$303,202,1))</f>
        <v/>
      </c>
      <c r="F2713" s="25" t="str">
        <f>IF($E2713="","",IFERROR(INDEX(科目表!$A$4:$A$81,MATCH($E2713,科目表!$B$4:$B$81,0)),""))</f>
        <v/>
      </c>
      <c r="G2713" s="26" t="str">
        <f>IF($E2713="","",IFERROR(INDEX(科目表!$E$4:$E$81,MATCH($E2713,科目表!$B$4:$B$81,0)),""))</f>
        <v/>
      </c>
      <c r="H2713" s="27" t="str">
        <f>IF($E2713="","",N(INDEX(成本费用登记表!$Q$4:$Y$303,202,2)))</f>
        <v/>
      </c>
      <c r="I2713" s="27" t="str">
        <f>IF($E2713="","",N(INDEX(成本费用登记表!$Q$4:$Y$303,202,3)))</f>
        <v/>
      </c>
      <c r="J2713" s="26" t="str">
        <f>IF($E2713="","",INDEX(成本费用登记表!$C$4:$C$303,202))</f>
        <v/>
      </c>
      <c r="K2713" s="26" t="str">
        <f>IF($E2713="","",INDEX(成本费用登记表!$D$4:$D$303,202))</f>
        <v/>
      </c>
      <c r="L2713" s="32" t="str">
        <f>IF($E2713="","",INDEX(成本费用登记表!$N$4:$N$303,202))</f>
        <v/>
      </c>
      <c r="M2713" s="32"/>
      <c r="N2713" s="26" t="str">
        <f t="shared" si="134"/>
        <v/>
      </c>
      <c r="O2713" s="26" t="str">
        <f t="shared" si="135"/>
        <v/>
      </c>
      <c r="P2713" s="10"/>
    </row>
    <row r="2714" ht="18" customHeight="1" spans="1:16">
      <c r="A2714" s="32" t="str">
        <f t="shared" si="136"/>
        <v/>
      </c>
      <c r="B2714" s="100" t="str">
        <f>IF($E2714="","",INDEX(成本费用登记表!$B$4:$B$303,202))</f>
        <v/>
      </c>
      <c r="C2714" s="26" t="str">
        <f t="shared" si="133"/>
        <v/>
      </c>
      <c r="D2714" s="32" t="str">
        <f>IF($E2714="","",INDEX(成本费用登记表!$E$4:$E$303,202))</f>
        <v/>
      </c>
      <c r="E2714" s="26" t="str">
        <f>IF(INDEX(成本费用登记表!$Q$4:$Y$303,202,4)=0,"",INDEX(成本费用登记表!$Q$4:$Y$303,202,4))</f>
        <v/>
      </c>
      <c r="F2714" s="25" t="str">
        <f>IF($E2714="","",IFERROR(INDEX(科目表!$A$4:$A$81,MATCH($E2714,科目表!$B$4:$B$81,0)),""))</f>
        <v/>
      </c>
      <c r="G2714" s="26" t="str">
        <f>IF($E2714="","",IFERROR(INDEX(科目表!$E$4:$E$81,MATCH($E2714,科目表!$B$4:$B$81,0)),""))</f>
        <v/>
      </c>
      <c r="H2714" s="27" t="str">
        <f>IF($E2714="","",N(INDEX(成本费用登记表!$Q$4:$Y$303,202,5)))</f>
        <v/>
      </c>
      <c r="I2714" s="27" t="str">
        <f>IF($E2714="","",N(INDEX(成本费用登记表!$Q$4:$Y$303,202,6)))</f>
        <v/>
      </c>
      <c r="J2714" s="26" t="str">
        <f>IF($E2714="","",INDEX(成本费用登记表!$C$4:$C$303,202))</f>
        <v/>
      </c>
      <c r="K2714" s="26" t="str">
        <f>IF($E2714="","",INDEX(成本费用登记表!$D$4:$D$303,202))</f>
        <v/>
      </c>
      <c r="L2714" s="32" t="str">
        <f>IF($E2714="","",INDEX(成本费用登记表!$N$4:$N$303,202))</f>
        <v/>
      </c>
      <c r="M2714" s="32"/>
      <c r="N2714" s="26" t="str">
        <f t="shared" si="134"/>
        <v/>
      </c>
      <c r="O2714" s="26" t="str">
        <f t="shared" si="135"/>
        <v/>
      </c>
      <c r="P2714" s="10"/>
    </row>
    <row r="2715" ht="18" customHeight="1" spans="1:16">
      <c r="A2715" s="32" t="str">
        <f t="shared" si="136"/>
        <v/>
      </c>
      <c r="B2715" s="100" t="str">
        <f>IF($E2715="","",INDEX(成本费用登记表!$B$4:$B$303,202))</f>
        <v/>
      </c>
      <c r="C2715" s="26" t="str">
        <f t="shared" si="133"/>
        <v/>
      </c>
      <c r="D2715" s="32" t="str">
        <f>IF($E2715="","",INDEX(成本费用登记表!$E$4:$E$303,202))</f>
        <v/>
      </c>
      <c r="E2715" s="26" t="str">
        <f>IF(INDEX(成本费用登记表!$Q$4:$Y$303,202,7)=0,"",INDEX(成本费用登记表!$Q$4:$Y$303,202,7))</f>
        <v/>
      </c>
      <c r="F2715" s="25" t="str">
        <f>IF($E2715="","",IFERROR(INDEX(科目表!$A$4:$A$81,MATCH($E2715,科目表!$B$4:$B$81,0)),""))</f>
        <v/>
      </c>
      <c r="G2715" s="26" t="str">
        <f>IF($E2715="","",IFERROR(INDEX(科目表!$E$4:$E$81,MATCH($E2715,科目表!$B$4:$B$81,0)),""))</f>
        <v/>
      </c>
      <c r="H2715" s="27" t="str">
        <f>IF($E2715="","",N(INDEX(成本费用登记表!$Q$4:$Y$303,202,8)))</f>
        <v/>
      </c>
      <c r="I2715" s="27" t="str">
        <f>IF($E2715="","",N(INDEX(成本费用登记表!$Q$4:$Y$303,202,9)))</f>
        <v/>
      </c>
      <c r="J2715" s="26" t="str">
        <f>IF($E2715="","",INDEX(成本费用登记表!$C$4:$C$303,202))</f>
        <v/>
      </c>
      <c r="K2715" s="26" t="str">
        <f>IF($E2715="","",INDEX(成本费用登记表!$D$4:$D$303,202))</f>
        <v/>
      </c>
      <c r="L2715" s="32" t="str">
        <f>IF($E2715="","",INDEX(成本费用登记表!$N$4:$N$303,202))</f>
        <v/>
      </c>
      <c r="M2715" s="32"/>
      <c r="N2715" s="26" t="str">
        <f t="shared" si="134"/>
        <v/>
      </c>
      <c r="O2715" s="26" t="str">
        <f t="shared" si="135"/>
        <v/>
      </c>
      <c r="P2715" s="10"/>
    </row>
    <row r="2716" ht="18" customHeight="1" spans="1:16">
      <c r="A2716" s="32" t="str">
        <f t="shared" si="136"/>
        <v/>
      </c>
      <c r="B2716" s="100" t="str">
        <f>IF($E2716="","",INDEX(成本费用登记表!$B$4:$B$303,203))</f>
        <v/>
      </c>
      <c r="C2716" s="26" t="str">
        <f t="shared" si="133"/>
        <v/>
      </c>
      <c r="D2716" s="32" t="str">
        <f>IF($E2716="","",INDEX(成本费用登记表!$E$4:$E$303,203))</f>
        <v/>
      </c>
      <c r="E2716" s="26" t="str">
        <f>IF(INDEX(成本费用登记表!$Q$4:$Y$303,203,1)=0,"",INDEX(成本费用登记表!$Q$4:$Y$303,203,1))</f>
        <v/>
      </c>
      <c r="F2716" s="25" t="str">
        <f>IF($E2716="","",IFERROR(INDEX(科目表!$A$4:$A$81,MATCH($E2716,科目表!$B$4:$B$81,0)),""))</f>
        <v/>
      </c>
      <c r="G2716" s="26" t="str">
        <f>IF($E2716="","",IFERROR(INDEX(科目表!$E$4:$E$81,MATCH($E2716,科目表!$B$4:$B$81,0)),""))</f>
        <v/>
      </c>
      <c r="H2716" s="27" t="str">
        <f>IF($E2716="","",N(INDEX(成本费用登记表!$Q$4:$Y$303,203,2)))</f>
        <v/>
      </c>
      <c r="I2716" s="27" t="str">
        <f>IF($E2716="","",N(INDEX(成本费用登记表!$Q$4:$Y$303,203,3)))</f>
        <v/>
      </c>
      <c r="J2716" s="26" t="str">
        <f>IF($E2716="","",INDEX(成本费用登记表!$C$4:$C$303,203))</f>
        <v/>
      </c>
      <c r="K2716" s="26" t="str">
        <f>IF($E2716="","",INDEX(成本费用登记表!$D$4:$D$303,203))</f>
        <v/>
      </c>
      <c r="L2716" s="32" t="str">
        <f>IF($E2716="","",INDEX(成本费用登记表!$N$4:$N$303,203))</f>
        <v/>
      </c>
      <c r="M2716" s="32"/>
      <c r="N2716" s="26" t="str">
        <f t="shared" si="134"/>
        <v/>
      </c>
      <c r="O2716" s="26" t="str">
        <f t="shared" si="135"/>
        <v/>
      </c>
      <c r="P2716" s="10"/>
    </row>
    <row r="2717" ht="18" customHeight="1" spans="1:16">
      <c r="A2717" s="32" t="str">
        <f t="shared" si="136"/>
        <v/>
      </c>
      <c r="B2717" s="100" t="str">
        <f>IF($E2717="","",INDEX(成本费用登记表!$B$4:$B$303,203))</f>
        <v/>
      </c>
      <c r="C2717" s="26" t="str">
        <f t="shared" si="133"/>
        <v/>
      </c>
      <c r="D2717" s="32" t="str">
        <f>IF($E2717="","",INDEX(成本费用登记表!$E$4:$E$303,203))</f>
        <v/>
      </c>
      <c r="E2717" s="26" t="str">
        <f>IF(INDEX(成本费用登记表!$Q$4:$Y$303,203,4)=0,"",INDEX(成本费用登记表!$Q$4:$Y$303,203,4))</f>
        <v/>
      </c>
      <c r="F2717" s="25" t="str">
        <f>IF($E2717="","",IFERROR(INDEX(科目表!$A$4:$A$81,MATCH($E2717,科目表!$B$4:$B$81,0)),""))</f>
        <v/>
      </c>
      <c r="G2717" s="26" t="str">
        <f>IF($E2717="","",IFERROR(INDEX(科目表!$E$4:$E$81,MATCH($E2717,科目表!$B$4:$B$81,0)),""))</f>
        <v/>
      </c>
      <c r="H2717" s="27" t="str">
        <f>IF($E2717="","",N(INDEX(成本费用登记表!$Q$4:$Y$303,203,5)))</f>
        <v/>
      </c>
      <c r="I2717" s="27" t="str">
        <f>IF($E2717="","",N(INDEX(成本费用登记表!$Q$4:$Y$303,203,6)))</f>
        <v/>
      </c>
      <c r="J2717" s="26" t="str">
        <f>IF($E2717="","",INDEX(成本费用登记表!$C$4:$C$303,203))</f>
        <v/>
      </c>
      <c r="K2717" s="26" t="str">
        <f>IF($E2717="","",INDEX(成本费用登记表!$D$4:$D$303,203))</f>
        <v/>
      </c>
      <c r="L2717" s="32" t="str">
        <f>IF($E2717="","",INDEX(成本费用登记表!$N$4:$N$303,203))</f>
        <v/>
      </c>
      <c r="M2717" s="32"/>
      <c r="N2717" s="26" t="str">
        <f t="shared" si="134"/>
        <v/>
      </c>
      <c r="O2717" s="26" t="str">
        <f t="shared" si="135"/>
        <v/>
      </c>
      <c r="P2717" s="10"/>
    </row>
    <row r="2718" ht="18" customHeight="1" spans="1:16">
      <c r="A2718" s="32" t="str">
        <f t="shared" si="136"/>
        <v/>
      </c>
      <c r="B2718" s="100" t="str">
        <f>IF($E2718="","",INDEX(成本费用登记表!$B$4:$B$303,203))</f>
        <v/>
      </c>
      <c r="C2718" s="26" t="str">
        <f t="shared" si="133"/>
        <v/>
      </c>
      <c r="D2718" s="32" t="str">
        <f>IF($E2718="","",INDEX(成本费用登记表!$E$4:$E$303,203))</f>
        <v/>
      </c>
      <c r="E2718" s="26" t="str">
        <f>IF(INDEX(成本费用登记表!$Q$4:$Y$303,203,7)=0,"",INDEX(成本费用登记表!$Q$4:$Y$303,203,7))</f>
        <v/>
      </c>
      <c r="F2718" s="25" t="str">
        <f>IF($E2718="","",IFERROR(INDEX(科目表!$A$4:$A$81,MATCH($E2718,科目表!$B$4:$B$81,0)),""))</f>
        <v/>
      </c>
      <c r="G2718" s="26" t="str">
        <f>IF($E2718="","",IFERROR(INDEX(科目表!$E$4:$E$81,MATCH($E2718,科目表!$B$4:$B$81,0)),""))</f>
        <v/>
      </c>
      <c r="H2718" s="27" t="str">
        <f>IF($E2718="","",N(INDEX(成本费用登记表!$Q$4:$Y$303,203,8)))</f>
        <v/>
      </c>
      <c r="I2718" s="27" t="str">
        <f>IF($E2718="","",N(INDEX(成本费用登记表!$Q$4:$Y$303,203,9)))</f>
        <v/>
      </c>
      <c r="J2718" s="26" t="str">
        <f>IF($E2718="","",INDEX(成本费用登记表!$C$4:$C$303,203))</f>
        <v/>
      </c>
      <c r="K2718" s="26" t="str">
        <f>IF($E2718="","",INDEX(成本费用登记表!$D$4:$D$303,203))</f>
        <v/>
      </c>
      <c r="L2718" s="32" t="str">
        <f>IF($E2718="","",INDEX(成本费用登记表!$N$4:$N$303,203))</f>
        <v/>
      </c>
      <c r="M2718" s="32"/>
      <c r="N2718" s="26" t="str">
        <f t="shared" si="134"/>
        <v/>
      </c>
      <c r="O2718" s="26" t="str">
        <f t="shared" si="135"/>
        <v/>
      </c>
      <c r="P2718" s="10"/>
    </row>
    <row r="2719" ht="18" customHeight="1" spans="1:16">
      <c r="A2719" s="32" t="str">
        <f t="shared" si="136"/>
        <v/>
      </c>
      <c r="B2719" s="100" t="str">
        <f>IF($E2719="","",INDEX(成本费用登记表!$B$4:$B$303,204))</f>
        <v/>
      </c>
      <c r="C2719" s="26" t="str">
        <f t="shared" si="133"/>
        <v/>
      </c>
      <c r="D2719" s="32" t="str">
        <f>IF($E2719="","",INDEX(成本费用登记表!$E$4:$E$303,204))</f>
        <v/>
      </c>
      <c r="E2719" s="26" t="str">
        <f>IF(INDEX(成本费用登记表!$Q$4:$Y$303,204,1)=0,"",INDEX(成本费用登记表!$Q$4:$Y$303,204,1))</f>
        <v/>
      </c>
      <c r="F2719" s="25" t="str">
        <f>IF($E2719="","",IFERROR(INDEX(科目表!$A$4:$A$81,MATCH($E2719,科目表!$B$4:$B$81,0)),""))</f>
        <v/>
      </c>
      <c r="G2719" s="26" t="str">
        <f>IF($E2719="","",IFERROR(INDEX(科目表!$E$4:$E$81,MATCH($E2719,科目表!$B$4:$B$81,0)),""))</f>
        <v/>
      </c>
      <c r="H2719" s="27" t="str">
        <f>IF($E2719="","",N(INDEX(成本费用登记表!$Q$4:$Y$303,204,2)))</f>
        <v/>
      </c>
      <c r="I2719" s="27" t="str">
        <f>IF($E2719="","",N(INDEX(成本费用登记表!$Q$4:$Y$303,204,3)))</f>
        <v/>
      </c>
      <c r="J2719" s="26" t="str">
        <f>IF($E2719="","",INDEX(成本费用登记表!$C$4:$C$303,204))</f>
        <v/>
      </c>
      <c r="K2719" s="26" t="str">
        <f>IF($E2719="","",INDEX(成本费用登记表!$D$4:$D$303,204))</f>
        <v/>
      </c>
      <c r="L2719" s="32" t="str">
        <f>IF($E2719="","",INDEX(成本费用登记表!$N$4:$N$303,204))</f>
        <v/>
      </c>
      <c r="M2719" s="32"/>
      <c r="N2719" s="26" t="str">
        <f t="shared" si="134"/>
        <v/>
      </c>
      <c r="O2719" s="26" t="str">
        <f t="shared" si="135"/>
        <v/>
      </c>
      <c r="P2719" s="10"/>
    </row>
    <row r="2720" ht="18" customHeight="1" spans="1:16">
      <c r="A2720" s="32" t="str">
        <f t="shared" si="136"/>
        <v/>
      </c>
      <c r="B2720" s="100" t="str">
        <f>IF($E2720="","",INDEX(成本费用登记表!$B$4:$B$303,204))</f>
        <v/>
      </c>
      <c r="C2720" s="26" t="str">
        <f t="shared" si="133"/>
        <v/>
      </c>
      <c r="D2720" s="32" t="str">
        <f>IF($E2720="","",INDEX(成本费用登记表!$E$4:$E$303,204))</f>
        <v/>
      </c>
      <c r="E2720" s="26" t="str">
        <f>IF(INDEX(成本费用登记表!$Q$4:$Y$303,204,4)=0,"",INDEX(成本费用登记表!$Q$4:$Y$303,204,4))</f>
        <v/>
      </c>
      <c r="F2720" s="25" t="str">
        <f>IF($E2720="","",IFERROR(INDEX(科目表!$A$4:$A$81,MATCH($E2720,科目表!$B$4:$B$81,0)),""))</f>
        <v/>
      </c>
      <c r="G2720" s="26" t="str">
        <f>IF($E2720="","",IFERROR(INDEX(科目表!$E$4:$E$81,MATCH($E2720,科目表!$B$4:$B$81,0)),""))</f>
        <v/>
      </c>
      <c r="H2720" s="27" t="str">
        <f>IF($E2720="","",N(INDEX(成本费用登记表!$Q$4:$Y$303,204,5)))</f>
        <v/>
      </c>
      <c r="I2720" s="27" t="str">
        <f>IF($E2720="","",N(INDEX(成本费用登记表!$Q$4:$Y$303,204,6)))</f>
        <v/>
      </c>
      <c r="J2720" s="26" t="str">
        <f>IF($E2720="","",INDEX(成本费用登记表!$C$4:$C$303,204))</f>
        <v/>
      </c>
      <c r="K2720" s="26" t="str">
        <f>IF($E2720="","",INDEX(成本费用登记表!$D$4:$D$303,204))</f>
        <v/>
      </c>
      <c r="L2720" s="32" t="str">
        <f>IF($E2720="","",INDEX(成本费用登记表!$N$4:$N$303,204))</f>
        <v/>
      </c>
      <c r="M2720" s="32"/>
      <c r="N2720" s="26" t="str">
        <f t="shared" si="134"/>
        <v/>
      </c>
      <c r="O2720" s="26" t="str">
        <f t="shared" si="135"/>
        <v/>
      </c>
      <c r="P2720" s="10"/>
    </row>
    <row r="2721" ht="18" customHeight="1" spans="1:16">
      <c r="A2721" s="32" t="str">
        <f t="shared" si="136"/>
        <v/>
      </c>
      <c r="B2721" s="100" t="str">
        <f>IF($E2721="","",INDEX(成本费用登记表!$B$4:$B$303,204))</f>
        <v/>
      </c>
      <c r="C2721" s="26" t="str">
        <f t="shared" si="133"/>
        <v/>
      </c>
      <c r="D2721" s="32" t="str">
        <f>IF($E2721="","",INDEX(成本费用登记表!$E$4:$E$303,204))</f>
        <v/>
      </c>
      <c r="E2721" s="26" t="str">
        <f>IF(INDEX(成本费用登记表!$Q$4:$Y$303,204,7)=0,"",INDEX(成本费用登记表!$Q$4:$Y$303,204,7))</f>
        <v/>
      </c>
      <c r="F2721" s="25" t="str">
        <f>IF($E2721="","",IFERROR(INDEX(科目表!$A$4:$A$81,MATCH($E2721,科目表!$B$4:$B$81,0)),""))</f>
        <v/>
      </c>
      <c r="G2721" s="26" t="str">
        <f>IF($E2721="","",IFERROR(INDEX(科目表!$E$4:$E$81,MATCH($E2721,科目表!$B$4:$B$81,0)),""))</f>
        <v/>
      </c>
      <c r="H2721" s="27" t="str">
        <f>IF($E2721="","",N(INDEX(成本费用登记表!$Q$4:$Y$303,204,8)))</f>
        <v/>
      </c>
      <c r="I2721" s="27" t="str">
        <f>IF($E2721="","",N(INDEX(成本费用登记表!$Q$4:$Y$303,204,9)))</f>
        <v/>
      </c>
      <c r="J2721" s="26" t="str">
        <f>IF($E2721="","",INDEX(成本费用登记表!$C$4:$C$303,204))</f>
        <v/>
      </c>
      <c r="K2721" s="26" t="str">
        <f>IF($E2721="","",INDEX(成本费用登记表!$D$4:$D$303,204))</f>
        <v/>
      </c>
      <c r="L2721" s="32" t="str">
        <f>IF($E2721="","",INDEX(成本费用登记表!$N$4:$N$303,204))</f>
        <v/>
      </c>
      <c r="M2721" s="32"/>
      <c r="N2721" s="26" t="str">
        <f t="shared" si="134"/>
        <v/>
      </c>
      <c r="O2721" s="26" t="str">
        <f t="shared" si="135"/>
        <v/>
      </c>
      <c r="P2721" s="10"/>
    </row>
    <row r="2722" ht="18" customHeight="1" spans="1:16">
      <c r="A2722" s="32" t="str">
        <f t="shared" si="136"/>
        <v/>
      </c>
      <c r="B2722" s="100" t="str">
        <f>IF($E2722="","",INDEX(成本费用登记表!$B$4:$B$303,205))</f>
        <v/>
      </c>
      <c r="C2722" s="26" t="str">
        <f t="shared" si="133"/>
        <v/>
      </c>
      <c r="D2722" s="32" t="str">
        <f>IF($E2722="","",INDEX(成本费用登记表!$E$4:$E$303,205))</f>
        <v/>
      </c>
      <c r="E2722" s="26" t="str">
        <f>IF(INDEX(成本费用登记表!$Q$4:$Y$303,205,1)=0,"",INDEX(成本费用登记表!$Q$4:$Y$303,205,1))</f>
        <v/>
      </c>
      <c r="F2722" s="25" t="str">
        <f>IF($E2722="","",IFERROR(INDEX(科目表!$A$4:$A$81,MATCH($E2722,科目表!$B$4:$B$81,0)),""))</f>
        <v/>
      </c>
      <c r="G2722" s="26" t="str">
        <f>IF($E2722="","",IFERROR(INDEX(科目表!$E$4:$E$81,MATCH($E2722,科目表!$B$4:$B$81,0)),""))</f>
        <v/>
      </c>
      <c r="H2722" s="27" t="str">
        <f>IF($E2722="","",N(INDEX(成本费用登记表!$Q$4:$Y$303,205,2)))</f>
        <v/>
      </c>
      <c r="I2722" s="27" t="str">
        <f>IF($E2722="","",N(INDEX(成本费用登记表!$Q$4:$Y$303,205,3)))</f>
        <v/>
      </c>
      <c r="J2722" s="26" t="str">
        <f>IF($E2722="","",INDEX(成本费用登记表!$C$4:$C$303,205))</f>
        <v/>
      </c>
      <c r="K2722" s="26" t="str">
        <f>IF($E2722="","",INDEX(成本费用登记表!$D$4:$D$303,205))</f>
        <v/>
      </c>
      <c r="L2722" s="32" t="str">
        <f>IF($E2722="","",INDEX(成本费用登记表!$N$4:$N$303,205))</f>
        <v/>
      </c>
      <c r="M2722" s="32"/>
      <c r="N2722" s="26" t="str">
        <f t="shared" si="134"/>
        <v/>
      </c>
      <c r="O2722" s="26" t="str">
        <f t="shared" si="135"/>
        <v/>
      </c>
      <c r="P2722" s="10"/>
    </row>
    <row r="2723" ht="18" customHeight="1" spans="1:16">
      <c r="A2723" s="32" t="str">
        <f t="shared" si="136"/>
        <v/>
      </c>
      <c r="B2723" s="100" t="str">
        <f>IF($E2723="","",INDEX(成本费用登记表!$B$4:$B$303,205))</f>
        <v/>
      </c>
      <c r="C2723" s="26" t="str">
        <f t="shared" si="133"/>
        <v/>
      </c>
      <c r="D2723" s="32" t="str">
        <f>IF($E2723="","",INDEX(成本费用登记表!$E$4:$E$303,205))</f>
        <v/>
      </c>
      <c r="E2723" s="26" t="str">
        <f>IF(INDEX(成本费用登记表!$Q$4:$Y$303,205,4)=0,"",INDEX(成本费用登记表!$Q$4:$Y$303,205,4))</f>
        <v/>
      </c>
      <c r="F2723" s="25" t="str">
        <f>IF($E2723="","",IFERROR(INDEX(科目表!$A$4:$A$81,MATCH($E2723,科目表!$B$4:$B$81,0)),""))</f>
        <v/>
      </c>
      <c r="G2723" s="26" t="str">
        <f>IF($E2723="","",IFERROR(INDEX(科目表!$E$4:$E$81,MATCH($E2723,科目表!$B$4:$B$81,0)),""))</f>
        <v/>
      </c>
      <c r="H2723" s="27" t="str">
        <f>IF($E2723="","",N(INDEX(成本费用登记表!$Q$4:$Y$303,205,5)))</f>
        <v/>
      </c>
      <c r="I2723" s="27" t="str">
        <f>IF($E2723="","",N(INDEX(成本费用登记表!$Q$4:$Y$303,205,6)))</f>
        <v/>
      </c>
      <c r="J2723" s="26" t="str">
        <f>IF($E2723="","",INDEX(成本费用登记表!$C$4:$C$303,205))</f>
        <v/>
      </c>
      <c r="K2723" s="26" t="str">
        <f>IF($E2723="","",INDEX(成本费用登记表!$D$4:$D$303,205))</f>
        <v/>
      </c>
      <c r="L2723" s="32" t="str">
        <f>IF($E2723="","",INDEX(成本费用登记表!$N$4:$N$303,205))</f>
        <v/>
      </c>
      <c r="M2723" s="32"/>
      <c r="N2723" s="26" t="str">
        <f t="shared" si="134"/>
        <v/>
      </c>
      <c r="O2723" s="26" t="str">
        <f t="shared" si="135"/>
        <v/>
      </c>
      <c r="P2723" s="10"/>
    </row>
    <row r="2724" ht="18" customHeight="1" spans="1:16">
      <c r="A2724" s="32" t="str">
        <f t="shared" si="136"/>
        <v/>
      </c>
      <c r="B2724" s="100" t="str">
        <f>IF($E2724="","",INDEX(成本费用登记表!$B$4:$B$303,205))</f>
        <v/>
      </c>
      <c r="C2724" s="26" t="str">
        <f t="shared" si="133"/>
        <v/>
      </c>
      <c r="D2724" s="32" t="str">
        <f>IF($E2724="","",INDEX(成本费用登记表!$E$4:$E$303,205))</f>
        <v/>
      </c>
      <c r="E2724" s="26" t="str">
        <f>IF(INDEX(成本费用登记表!$Q$4:$Y$303,205,7)=0,"",INDEX(成本费用登记表!$Q$4:$Y$303,205,7))</f>
        <v/>
      </c>
      <c r="F2724" s="25" t="str">
        <f>IF($E2724="","",IFERROR(INDEX(科目表!$A$4:$A$81,MATCH($E2724,科目表!$B$4:$B$81,0)),""))</f>
        <v/>
      </c>
      <c r="G2724" s="26" t="str">
        <f>IF($E2724="","",IFERROR(INDEX(科目表!$E$4:$E$81,MATCH($E2724,科目表!$B$4:$B$81,0)),""))</f>
        <v/>
      </c>
      <c r="H2724" s="27" t="str">
        <f>IF($E2724="","",N(INDEX(成本费用登记表!$Q$4:$Y$303,205,8)))</f>
        <v/>
      </c>
      <c r="I2724" s="27" t="str">
        <f>IF($E2724="","",N(INDEX(成本费用登记表!$Q$4:$Y$303,205,9)))</f>
        <v/>
      </c>
      <c r="J2724" s="26" t="str">
        <f>IF($E2724="","",INDEX(成本费用登记表!$C$4:$C$303,205))</f>
        <v/>
      </c>
      <c r="K2724" s="26" t="str">
        <f>IF($E2724="","",INDEX(成本费用登记表!$D$4:$D$303,205))</f>
        <v/>
      </c>
      <c r="L2724" s="32" t="str">
        <f>IF($E2724="","",INDEX(成本费用登记表!$N$4:$N$303,205))</f>
        <v/>
      </c>
      <c r="M2724" s="32"/>
      <c r="N2724" s="26" t="str">
        <f t="shared" si="134"/>
        <v/>
      </c>
      <c r="O2724" s="26" t="str">
        <f t="shared" si="135"/>
        <v/>
      </c>
      <c r="P2724" s="10"/>
    </row>
    <row r="2725" ht="18" customHeight="1" spans="1:16">
      <c r="A2725" s="32" t="str">
        <f t="shared" si="136"/>
        <v/>
      </c>
      <c r="B2725" s="100" t="str">
        <f>IF($E2725="","",INDEX(成本费用登记表!$B$4:$B$303,206))</f>
        <v/>
      </c>
      <c r="C2725" s="26" t="str">
        <f t="shared" si="133"/>
        <v/>
      </c>
      <c r="D2725" s="32" t="str">
        <f>IF($E2725="","",INDEX(成本费用登记表!$E$4:$E$303,206))</f>
        <v/>
      </c>
      <c r="E2725" s="26" t="str">
        <f>IF(INDEX(成本费用登记表!$Q$4:$Y$303,206,1)=0,"",INDEX(成本费用登记表!$Q$4:$Y$303,206,1))</f>
        <v/>
      </c>
      <c r="F2725" s="25" t="str">
        <f>IF($E2725="","",IFERROR(INDEX(科目表!$A$4:$A$81,MATCH($E2725,科目表!$B$4:$B$81,0)),""))</f>
        <v/>
      </c>
      <c r="G2725" s="26" t="str">
        <f>IF($E2725="","",IFERROR(INDEX(科目表!$E$4:$E$81,MATCH($E2725,科目表!$B$4:$B$81,0)),""))</f>
        <v/>
      </c>
      <c r="H2725" s="27" t="str">
        <f>IF($E2725="","",N(INDEX(成本费用登记表!$Q$4:$Y$303,206,2)))</f>
        <v/>
      </c>
      <c r="I2725" s="27" t="str">
        <f>IF($E2725="","",N(INDEX(成本费用登记表!$Q$4:$Y$303,206,3)))</f>
        <v/>
      </c>
      <c r="J2725" s="26" t="str">
        <f>IF($E2725="","",INDEX(成本费用登记表!$C$4:$C$303,206))</f>
        <v/>
      </c>
      <c r="K2725" s="26" t="str">
        <f>IF($E2725="","",INDEX(成本费用登记表!$D$4:$D$303,206))</f>
        <v/>
      </c>
      <c r="L2725" s="32" t="str">
        <f>IF($E2725="","",INDEX(成本费用登记表!$N$4:$N$303,206))</f>
        <v/>
      </c>
      <c r="M2725" s="32"/>
      <c r="N2725" s="26" t="str">
        <f t="shared" si="134"/>
        <v/>
      </c>
      <c r="O2725" s="26" t="str">
        <f t="shared" si="135"/>
        <v/>
      </c>
      <c r="P2725" s="10"/>
    </row>
    <row r="2726" ht="18" customHeight="1" spans="1:16">
      <c r="A2726" s="32" t="str">
        <f t="shared" si="136"/>
        <v/>
      </c>
      <c r="B2726" s="100" t="str">
        <f>IF($E2726="","",INDEX(成本费用登记表!$B$4:$B$303,206))</f>
        <v/>
      </c>
      <c r="C2726" s="26" t="str">
        <f t="shared" si="133"/>
        <v/>
      </c>
      <c r="D2726" s="32" t="str">
        <f>IF($E2726="","",INDEX(成本费用登记表!$E$4:$E$303,206))</f>
        <v/>
      </c>
      <c r="E2726" s="26" t="str">
        <f>IF(INDEX(成本费用登记表!$Q$4:$Y$303,206,4)=0,"",INDEX(成本费用登记表!$Q$4:$Y$303,206,4))</f>
        <v/>
      </c>
      <c r="F2726" s="25" t="str">
        <f>IF($E2726="","",IFERROR(INDEX(科目表!$A$4:$A$81,MATCH($E2726,科目表!$B$4:$B$81,0)),""))</f>
        <v/>
      </c>
      <c r="G2726" s="26" t="str">
        <f>IF($E2726="","",IFERROR(INDEX(科目表!$E$4:$E$81,MATCH($E2726,科目表!$B$4:$B$81,0)),""))</f>
        <v/>
      </c>
      <c r="H2726" s="27" t="str">
        <f>IF($E2726="","",N(INDEX(成本费用登记表!$Q$4:$Y$303,206,5)))</f>
        <v/>
      </c>
      <c r="I2726" s="27" t="str">
        <f>IF($E2726="","",N(INDEX(成本费用登记表!$Q$4:$Y$303,206,6)))</f>
        <v/>
      </c>
      <c r="J2726" s="26" t="str">
        <f>IF($E2726="","",INDEX(成本费用登记表!$C$4:$C$303,206))</f>
        <v/>
      </c>
      <c r="K2726" s="26" t="str">
        <f>IF($E2726="","",INDEX(成本费用登记表!$D$4:$D$303,206))</f>
        <v/>
      </c>
      <c r="L2726" s="32" t="str">
        <f>IF($E2726="","",INDEX(成本费用登记表!$N$4:$N$303,206))</f>
        <v/>
      </c>
      <c r="M2726" s="32"/>
      <c r="N2726" s="26" t="str">
        <f t="shared" si="134"/>
        <v/>
      </c>
      <c r="O2726" s="26" t="str">
        <f t="shared" si="135"/>
        <v/>
      </c>
      <c r="P2726" s="10"/>
    </row>
    <row r="2727" ht="18" customHeight="1" spans="1:16">
      <c r="A2727" s="32" t="str">
        <f t="shared" si="136"/>
        <v/>
      </c>
      <c r="B2727" s="100" t="str">
        <f>IF($E2727="","",INDEX(成本费用登记表!$B$4:$B$303,206))</f>
        <v/>
      </c>
      <c r="C2727" s="26" t="str">
        <f t="shared" si="133"/>
        <v/>
      </c>
      <c r="D2727" s="32" t="str">
        <f>IF($E2727="","",INDEX(成本费用登记表!$E$4:$E$303,206))</f>
        <v/>
      </c>
      <c r="E2727" s="26" t="str">
        <f>IF(INDEX(成本费用登记表!$Q$4:$Y$303,206,7)=0,"",INDEX(成本费用登记表!$Q$4:$Y$303,206,7))</f>
        <v/>
      </c>
      <c r="F2727" s="25" t="str">
        <f>IF($E2727="","",IFERROR(INDEX(科目表!$A$4:$A$81,MATCH($E2727,科目表!$B$4:$B$81,0)),""))</f>
        <v/>
      </c>
      <c r="G2727" s="26" t="str">
        <f>IF($E2727="","",IFERROR(INDEX(科目表!$E$4:$E$81,MATCH($E2727,科目表!$B$4:$B$81,0)),""))</f>
        <v/>
      </c>
      <c r="H2727" s="27" t="str">
        <f>IF($E2727="","",N(INDEX(成本费用登记表!$Q$4:$Y$303,206,8)))</f>
        <v/>
      </c>
      <c r="I2727" s="27" t="str">
        <f>IF($E2727="","",N(INDEX(成本费用登记表!$Q$4:$Y$303,206,9)))</f>
        <v/>
      </c>
      <c r="J2727" s="26" t="str">
        <f>IF($E2727="","",INDEX(成本费用登记表!$C$4:$C$303,206))</f>
        <v/>
      </c>
      <c r="K2727" s="26" t="str">
        <f>IF($E2727="","",INDEX(成本费用登记表!$D$4:$D$303,206))</f>
        <v/>
      </c>
      <c r="L2727" s="32" t="str">
        <f>IF($E2727="","",INDEX(成本费用登记表!$N$4:$N$303,206))</f>
        <v/>
      </c>
      <c r="M2727" s="32"/>
      <c r="N2727" s="26" t="str">
        <f t="shared" si="134"/>
        <v/>
      </c>
      <c r="O2727" s="26" t="str">
        <f t="shared" si="135"/>
        <v/>
      </c>
      <c r="P2727" s="10"/>
    </row>
    <row r="2728" ht="18" customHeight="1" spans="1:16">
      <c r="A2728" s="32" t="str">
        <f t="shared" si="136"/>
        <v/>
      </c>
      <c r="B2728" s="100" t="str">
        <f>IF($E2728="","",INDEX(成本费用登记表!$B$4:$B$303,207))</f>
        <v/>
      </c>
      <c r="C2728" s="26" t="str">
        <f t="shared" si="133"/>
        <v/>
      </c>
      <c r="D2728" s="32" t="str">
        <f>IF($E2728="","",INDEX(成本费用登记表!$E$4:$E$303,207))</f>
        <v/>
      </c>
      <c r="E2728" s="26" t="str">
        <f>IF(INDEX(成本费用登记表!$Q$4:$Y$303,207,1)=0,"",INDEX(成本费用登记表!$Q$4:$Y$303,207,1))</f>
        <v/>
      </c>
      <c r="F2728" s="25" t="str">
        <f>IF($E2728="","",IFERROR(INDEX(科目表!$A$4:$A$81,MATCH($E2728,科目表!$B$4:$B$81,0)),""))</f>
        <v/>
      </c>
      <c r="G2728" s="26" t="str">
        <f>IF($E2728="","",IFERROR(INDEX(科目表!$E$4:$E$81,MATCH($E2728,科目表!$B$4:$B$81,0)),""))</f>
        <v/>
      </c>
      <c r="H2728" s="27" t="str">
        <f>IF($E2728="","",N(INDEX(成本费用登记表!$Q$4:$Y$303,207,2)))</f>
        <v/>
      </c>
      <c r="I2728" s="27" t="str">
        <f>IF($E2728="","",N(INDEX(成本费用登记表!$Q$4:$Y$303,207,3)))</f>
        <v/>
      </c>
      <c r="J2728" s="26" t="str">
        <f>IF($E2728="","",INDEX(成本费用登记表!$C$4:$C$303,207))</f>
        <v/>
      </c>
      <c r="K2728" s="26" t="str">
        <f>IF($E2728="","",INDEX(成本费用登记表!$D$4:$D$303,207))</f>
        <v/>
      </c>
      <c r="L2728" s="32" t="str">
        <f>IF($E2728="","",INDEX(成本费用登记表!$N$4:$N$303,207))</f>
        <v/>
      </c>
      <c r="M2728" s="32"/>
      <c r="N2728" s="26" t="str">
        <f t="shared" si="134"/>
        <v/>
      </c>
      <c r="O2728" s="26" t="str">
        <f t="shared" si="135"/>
        <v/>
      </c>
      <c r="P2728" s="10"/>
    </row>
    <row r="2729" ht="18" customHeight="1" spans="1:16">
      <c r="A2729" s="32" t="str">
        <f t="shared" si="136"/>
        <v/>
      </c>
      <c r="B2729" s="100" t="str">
        <f>IF($E2729="","",INDEX(成本费用登记表!$B$4:$B$303,207))</f>
        <v/>
      </c>
      <c r="C2729" s="26" t="str">
        <f t="shared" si="133"/>
        <v/>
      </c>
      <c r="D2729" s="32" t="str">
        <f>IF($E2729="","",INDEX(成本费用登记表!$E$4:$E$303,207))</f>
        <v/>
      </c>
      <c r="E2729" s="26" t="str">
        <f>IF(INDEX(成本费用登记表!$Q$4:$Y$303,207,4)=0,"",INDEX(成本费用登记表!$Q$4:$Y$303,207,4))</f>
        <v/>
      </c>
      <c r="F2729" s="25" t="str">
        <f>IF($E2729="","",IFERROR(INDEX(科目表!$A$4:$A$81,MATCH($E2729,科目表!$B$4:$B$81,0)),""))</f>
        <v/>
      </c>
      <c r="G2729" s="26" t="str">
        <f>IF($E2729="","",IFERROR(INDEX(科目表!$E$4:$E$81,MATCH($E2729,科目表!$B$4:$B$81,0)),""))</f>
        <v/>
      </c>
      <c r="H2729" s="27" t="str">
        <f>IF($E2729="","",N(INDEX(成本费用登记表!$Q$4:$Y$303,207,5)))</f>
        <v/>
      </c>
      <c r="I2729" s="27" t="str">
        <f>IF($E2729="","",N(INDEX(成本费用登记表!$Q$4:$Y$303,207,6)))</f>
        <v/>
      </c>
      <c r="J2729" s="26" t="str">
        <f>IF($E2729="","",INDEX(成本费用登记表!$C$4:$C$303,207))</f>
        <v/>
      </c>
      <c r="K2729" s="26" t="str">
        <f>IF($E2729="","",INDEX(成本费用登记表!$D$4:$D$303,207))</f>
        <v/>
      </c>
      <c r="L2729" s="32" t="str">
        <f>IF($E2729="","",INDEX(成本费用登记表!$N$4:$N$303,207))</f>
        <v/>
      </c>
      <c r="M2729" s="32"/>
      <c r="N2729" s="26" t="str">
        <f t="shared" si="134"/>
        <v/>
      </c>
      <c r="O2729" s="26" t="str">
        <f t="shared" si="135"/>
        <v/>
      </c>
      <c r="P2729" s="10"/>
    </row>
    <row r="2730" ht="18" customHeight="1" spans="1:16">
      <c r="A2730" s="32" t="str">
        <f t="shared" si="136"/>
        <v/>
      </c>
      <c r="B2730" s="100" t="str">
        <f>IF($E2730="","",INDEX(成本费用登记表!$B$4:$B$303,207))</f>
        <v/>
      </c>
      <c r="C2730" s="26" t="str">
        <f t="shared" si="133"/>
        <v/>
      </c>
      <c r="D2730" s="32" t="str">
        <f>IF($E2730="","",INDEX(成本费用登记表!$E$4:$E$303,207))</f>
        <v/>
      </c>
      <c r="E2730" s="26" t="str">
        <f>IF(INDEX(成本费用登记表!$Q$4:$Y$303,207,7)=0,"",INDEX(成本费用登记表!$Q$4:$Y$303,207,7))</f>
        <v/>
      </c>
      <c r="F2730" s="25" t="str">
        <f>IF($E2730="","",IFERROR(INDEX(科目表!$A$4:$A$81,MATCH($E2730,科目表!$B$4:$B$81,0)),""))</f>
        <v/>
      </c>
      <c r="G2730" s="26" t="str">
        <f>IF($E2730="","",IFERROR(INDEX(科目表!$E$4:$E$81,MATCH($E2730,科目表!$B$4:$B$81,0)),""))</f>
        <v/>
      </c>
      <c r="H2730" s="27" t="str">
        <f>IF($E2730="","",N(INDEX(成本费用登记表!$Q$4:$Y$303,207,8)))</f>
        <v/>
      </c>
      <c r="I2730" s="27" t="str">
        <f>IF($E2730="","",N(INDEX(成本费用登记表!$Q$4:$Y$303,207,9)))</f>
        <v/>
      </c>
      <c r="J2730" s="26" t="str">
        <f>IF($E2730="","",INDEX(成本费用登记表!$C$4:$C$303,207))</f>
        <v/>
      </c>
      <c r="K2730" s="26" t="str">
        <f>IF($E2730="","",INDEX(成本费用登记表!$D$4:$D$303,207))</f>
        <v/>
      </c>
      <c r="L2730" s="32" t="str">
        <f>IF($E2730="","",INDEX(成本费用登记表!$N$4:$N$303,207))</f>
        <v/>
      </c>
      <c r="M2730" s="32"/>
      <c r="N2730" s="26" t="str">
        <f t="shared" si="134"/>
        <v/>
      </c>
      <c r="O2730" s="26" t="str">
        <f t="shared" si="135"/>
        <v/>
      </c>
      <c r="P2730" s="10"/>
    </row>
    <row r="2731" ht="18" customHeight="1" spans="1:16">
      <c r="A2731" s="32" t="str">
        <f t="shared" si="136"/>
        <v/>
      </c>
      <c r="B2731" s="100" t="str">
        <f>IF($E2731="","",INDEX(成本费用登记表!$B$4:$B$303,208))</f>
        <v/>
      </c>
      <c r="C2731" s="26" t="str">
        <f t="shared" si="133"/>
        <v/>
      </c>
      <c r="D2731" s="32" t="str">
        <f>IF($E2731="","",INDEX(成本费用登记表!$E$4:$E$303,208))</f>
        <v/>
      </c>
      <c r="E2731" s="26" t="str">
        <f>IF(INDEX(成本费用登记表!$Q$4:$Y$303,208,1)=0,"",INDEX(成本费用登记表!$Q$4:$Y$303,208,1))</f>
        <v/>
      </c>
      <c r="F2731" s="25" t="str">
        <f>IF($E2731="","",IFERROR(INDEX(科目表!$A$4:$A$81,MATCH($E2731,科目表!$B$4:$B$81,0)),""))</f>
        <v/>
      </c>
      <c r="G2731" s="26" t="str">
        <f>IF($E2731="","",IFERROR(INDEX(科目表!$E$4:$E$81,MATCH($E2731,科目表!$B$4:$B$81,0)),""))</f>
        <v/>
      </c>
      <c r="H2731" s="27" t="str">
        <f>IF($E2731="","",N(INDEX(成本费用登记表!$Q$4:$Y$303,208,2)))</f>
        <v/>
      </c>
      <c r="I2731" s="27" t="str">
        <f>IF($E2731="","",N(INDEX(成本费用登记表!$Q$4:$Y$303,208,3)))</f>
        <v/>
      </c>
      <c r="J2731" s="26" t="str">
        <f>IF($E2731="","",INDEX(成本费用登记表!$C$4:$C$303,208))</f>
        <v/>
      </c>
      <c r="K2731" s="26" t="str">
        <f>IF($E2731="","",INDEX(成本费用登记表!$D$4:$D$303,208))</f>
        <v/>
      </c>
      <c r="L2731" s="32" t="str">
        <f>IF($E2731="","",INDEX(成本费用登记表!$N$4:$N$303,208))</f>
        <v/>
      </c>
      <c r="M2731" s="32"/>
      <c r="N2731" s="26" t="str">
        <f t="shared" si="134"/>
        <v/>
      </c>
      <c r="O2731" s="26" t="str">
        <f t="shared" si="135"/>
        <v/>
      </c>
      <c r="P2731" s="10"/>
    </row>
    <row r="2732" ht="18" customHeight="1" spans="1:16">
      <c r="A2732" s="32" t="str">
        <f t="shared" si="136"/>
        <v/>
      </c>
      <c r="B2732" s="100" t="str">
        <f>IF($E2732="","",INDEX(成本费用登记表!$B$4:$B$303,208))</f>
        <v/>
      </c>
      <c r="C2732" s="26" t="str">
        <f t="shared" si="133"/>
        <v/>
      </c>
      <c r="D2732" s="32" t="str">
        <f>IF($E2732="","",INDEX(成本费用登记表!$E$4:$E$303,208))</f>
        <v/>
      </c>
      <c r="E2732" s="26" t="str">
        <f>IF(INDEX(成本费用登记表!$Q$4:$Y$303,208,4)=0,"",INDEX(成本费用登记表!$Q$4:$Y$303,208,4))</f>
        <v/>
      </c>
      <c r="F2732" s="25" t="str">
        <f>IF($E2732="","",IFERROR(INDEX(科目表!$A$4:$A$81,MATCH($E2732,科目表!$B$4:$B$81,0)),""))</f>
        <v/>
      </c>
      <c r="G2732" s="26" t="str">
        <f>IF($E2732="","",IFERROR(INDEX(科目表!$E$4:$E$81,MATCH($E2732,科目表!$B$4:$B$81,0)),""))</f>
        <v/>
      </c>
      <c r="H2732" s="27" t="str">
        <f>IF($E2732="","",N(INDEX(成本费用登记表!$Q$4:$Y$303,208,5)))</f>
        <v/>
      </c>
      <c r="I2732" s="27" t="str">
        <f>IF($E2732="","",N(INDEX(成本费用登记表!$Q$4:$Y$303,208,6)))</f>
        <v/>
      </c>
      <c r="J2732" s="26" t="str">
        <f>IF($E2732="","",INDEX(成本费用登记表!$C$4:$C$303,208))</f>
        <v/>
      </c>
      <c r="K2732" s="26" t="str">
        <f>IF($E2732="","",INDEX(成本费用登记表!$D$4:$D$303,208))</f>
        <v/>
      </c>
      <c r="L2732" s="32" t="str">
        <f>IF($E2732="","",INDEX(成本费用登记表!$N$4:$N$303,208))</f>
        <v/>
      </c>
      <c r="M2732" s="32"/>
      <c r="N2732" s="26" t="str">
        <f t="shared" si="134"/>
        <v/>
      </c>
      <c r="O2732" s="26" t="str">
        <f t="shared" si="135"/>
        <v/>
      </c>
      <c r="P2732" s="10"/>
    </row>
    <row r="2733" ht="18" customHeight="1" spans="1:16">
      <c r="A2733" s="32" t="str">
        <f t="shared" si="136"/>
        <v/>
      </c>
      <c r="B2733" s="100" t="str">
        <f>IF($E2733="","",INDEX(成本费用登记表!$B$4:$B$303,208))</f>
        <v/>
      </c>
      <c r="C2733" s="26" t="str">
        <f t="shared" si="133"/>
        <v/>
      </c>
      <c r="D2733" s="32" t="str">
        <f>IF($E2733="","",INDEX(成本费用登记表!$E$4:$E$303,208))</f>
        <v/>
      </c>
      <c r="E2733" s="26" t="str">
        <f>IF(INDEX(成本费用登记表!$Q$4:$Y$303,208,7)=0,"",INDEX(成本费用登记表!$Q$4:$Y$303,208,7))</f>
        <v/>
      </c>
      <c r="F2733" s="25" t="str">
        <f>IF($E2733="","",IFERROR(INDEX(科目表!$A$4:$A$81,MATCH($E2733,科目表!$B$4:$B$81,0)),""))</f>
        <v/>
      </c>
      <c r="G2733" s="26" t="str">
        <f>IF($E2733="","",IFERROR(INDEX(科目表!$E$4:$E$81,MATCH($E2733,科目表!$B$4:$B$81,0)),""))</f>
        <v/>
      </c>
      <c r="H2733" s="27" t="str">
        <f>IF($E2733="","",N(INDEX(成本费用登记表!$Q$4:$Y$303,208,8)))</f>
        <v/>
      </c>
      <c r="I2733" s="27" t="str">
        <f>IF($E2733="","",N(INDEX(成本费用登记表!$Q$4:$Y$303,208,9)))</f>
        <v/>
      </c>
      <c r="J2733" s="26" t="str">
        <f>IF($E2733="","",INDEX(成本费用登记表!$C$4:$C$303,208))</f>
        <v/>
      </c>
      <c r="K2733" s="26" t="str">
        <f>IF($E2733="","",INDEX(成本费用登记表!$D$4:$D$303,208))</f>
        <v/>
      </c>
      <c r="L2733" s="32" t="str">
        <f>IF($E2733="","",INDEX(成本费用登记表!$N$4:$N$303,208))</f>
        <v/>
      </c>
      <c r="M2733" s="32"/>
      <c r="N2733" s="26" t="str">
        <f t="shared" si="134"/>
        <v/>
      </c>
      <c r="O2733" s="26" t="str">
        <f t="shared" si="135"/>
        <v/>
      </c>
      <c r="P2733" s="10"/>
    </row>
    <row r="2734" ht="18" customHeight="1" spans="1:16">
      <c r="A2734" s="32" t="str">
        <f t="shared" si="136"/>
        <v/>
      </c>
      <c r="B2734" s="100" t="str">
        <f>IF($E2734="","",INDEX(成本费用登记表!$B$4:$B$303,209))</f>
        <v/>
      </c>
      <c r="C2734" s="26" t="str">
        <f t="shared" si="133"/>
        <v/>
      </c>
      <c r="D2734" s="32" t="str">
        <f>IF($E2734="","",INDEX(成本费用登记表!$E$4:$E$303,209))</f>
        <v/>
      </c>
      <c r="E2734" s="26" t="str">
        <f>IF(INDEX(成本费用登记表!$Q$4:$Y$303,209,1)=0,"",INDEX(成本费用登记表!$Q$4:$Y$303,209,1))</f>
        <v/>
      </c>
      <c r="F2734" s="25" t="str">
        <f>IF($E2734="","",IFERROR(INDEX(科目表!$A$4:$A$81,MATCH($E2734,科目表!$B$4:$B$81,0)),""))</f>
        <v/>
      </c>
      <c r="G2734" s="26" t="str">
        <f>IF($E2734="","",IFERROR(INDEX(科目表!$E$4:$E$81,MATCH($E2734,科目表!$B$4:$B$81,0)),""))</f>
        <v/>
      </c>
      <c r="H2734" s="27" t="str">
        <f>IF($E2734="","",N(INDEX(成本费用登记表!$Q$4:$Y$303,209,2)))</f>
        <v/>
      </c>
      <c r="I2734" s="27" t="str">
        <f>IF($E2734="","",N(INDEX(成本费用登记表!$Q$4:$Y$303,209,3)))</f>
        <v/>
      </c>
      <c r="J2734" s="26" t="str">
        <f>IF($E2734="","",INDEX(成本费用登记表!$C$4:$C$303,209))</f>
        <v/>
      </c>
      <c r="K2734" s="26" t="str">
        <f>IF($E2734="","",INDEX(成本费用登记表!$D$4:$D$303,209))</f>
        <v/>
      </c>
      <c r="L2734" s="32" t="str">
        <f>IF($E2734="","",INDEX(成本费用登记表!$N$4:$N$303,209))</f>
        <v/>
      </c>
      <c r="M2734" s="32"/>
      <c r="N2734" s="26" t="str">
        <f t="shared" si="134"/>
        <v/>
      </c>
      <c r="O2734" s="26" t="str">
        <f t="shared" si="135"/>
        <v/>
      </c>
      <c r="P2734" s="10"/>
    </row>
    <row r="2735" ht="18" customHeight="1" spans="1:16">
      <c r="A2735" s="32" t="str">
        <f t="shared" si="136"/>
        <v/>
      </c>
      <c r="B2735" s="100" t="str">
        <f>IF($E2735="","",INDEX(成本费用登记表!$B$4:$B$303,209))</f>
        <v/>
      </c>
      <c r="C2735" s="26" t="str">
        <f t="shared" si="133"/>
        <v/>
      </c>
      <c r="D2735" s="32" t="str">
        <f>IF($E2735="","",INDEX(成本费用登记表!$E$4:$E$303,209))</f>
        <v/>
      </c>
      <c r="E2735" s="26" t="str">
        <f>IF(INDEX(成本费用登记表!$Q$4:$Y$303,209,4)=0,"",INDEX(成本费用登记表!$Q$4:$Y$303,209,4))</f>
        <v/>
      </c>
      <c r="F2735" s="25" t="str">
        <f>IF($E2735="","",IFERROR(INDEX(科目表!$A$4:$A$81,MATCH($E2735,科目表!$B$4:$B$81,0)),""))</f>
        <v/>
      </c>
      <c r="G2735" s="26" t="str">
        <f>IF($E2735="","",IFERROR(INDEX(科目表!$E$4:$E$81,MATCH($E2735,科目表!$B$4:$B$81,0)),""))</f>
        <v/>
      </c>
      <c r="H2735" s="27" t="str">
        <f>IF($E2735="","",N(INDEX(成本费用登记表!$Q$4:$Y$303,209,5)))</f>
        <v/>
      </c>
      <c r="I2735" s="27" t="str">
        <f>IF($E2735="","",N(INDEX(成本费用登记表!$Q$4:$Y$303,209,6)))</f>
        <v/>
      </c>
      <c r="J2735" s="26" t="str">
        <f>IF($E2735="","",INDEX(成本费用登记表!$C$4:$C$303,209))</f>
        <v/>
      </c>
      <c r="K2735" s="26" t="str">
        <f>IF($E2735="","",INDEX(成本费用登记表!$D$4:$D$303,209))</f>
        <v/>
      </c>
      <c r="L2735" s="32" t="str">
        <f>IF($E2735="","",INDEX(成本费用登记表!$N$4:$N$303,209))</f>
        <v/>
      </c>
      <c r="M2735" s="32"/>
      <c r="N2735" s="26" t="str">
        <f t="shared" si="134"/>
        <v/>
      </c>
      <c r="O2735" s="26" t="str">
        <f t="shared" si="135"/>
        <v/>
      </c>
      <c r="P2735" s="10"/>
    </row>
    <row r="2736" ht="18" customHeight="1" spans="1:16">
      <c r="A2736" s="32" t="str">
        <f t="shared" si="136"/>
        <v/>
      </c>
      <c r="B2736" s="100" t="str">
        <f>IF($E2736="","",INDEX(成本费用登记表!$B$4:$B$303,209))</f>
        <v/>
      </c>
      <c r="C2736" s="26" t="str">
        <f t="shared" si="133"/>
        <v/>
      </c>
      <c r="D2736" s="32" t="str">
        <f>IF($E2736="","",INDEX(成本费用登记表!$E$4:$E$303,209))</f>
        <v/>
      </c>
      <c r="E2736" s="26" t="str">
        <f>IF(INDEX(成本费用登记表!$Q$4:$Y$303,209,7)=0,"",INDEX(成本费用登记表!$Q$4:$Y$303,209,7))</f>
        <v/>
      </c>
      <c r="F2736" s="25" t="str">
        <f>IF($E2736="","",IFERROR(INDEX(科目表!$A$4:$A$81,MATCH($E2736,科目表!$B$4:$B$81,0)),""))</f>
        <v/>
      </c>
      <c r="G2736" s="26" t="str">
        <f>IF($E2736="","",IFERROR(INDEX(科目表!$E$4:$E$81,MATCH($E2736,科目表!$B$4:$B$81,0)),""))</f>
        <v/>
      </c>
      <c r="H2736" s="27" t="str">
        <f>IF($E2736="","",N(INDEX(成本费用登记表!$Q$4:$Y$303,209,8)))</f>
        <v/>
      </c>
      <c r="I2736" s="27" t="str">
        <f>IF($E2736="","",N(INDEX(成本费用登记表!$Q$4:$Y$303,209,9)))</f>
        <v/>
      </c>
      <c r="J2736" s="26" t="str">
        <f>IF($E2736="","",INDEX(成本费用登记表!$C$4:$C$303,209))</f>
        <v/>
      </c>
      <c r="K2736" s="26" t="str">
        <f>IF($E2736="","",INDEX(成本费用登记表!$D$4:$D$303,209))</f>
        <v/>
      </c>
      <c r="L2736" s="32" t="str">
        <f>IF($E2736="","",INDEX(成本费用登记表!$N$4:$N$303,209))</f>
        <v/>
      </c>
      <c r="M2736" s="32"/>
      <c r="N2736" s="26" t="str">
        <f t="shared" si="134"/>
        <v/>
      </c>
      <c r="O2736" s="26" t="str">
        <f t="shared" si="135"/>
        <v/>
      </c>
      <c r="P2736" s="10"/>
    </row>
    <row r="2737" ht="18" customHeight="1" spans="1:16">
      <c r="A2737" s="32" t="str">
        <f t="shared" si="136"/>
        <v/>
      </c>
      <c r="B2737" s="100" t="str">
        <f>IF($E2737="","",INDEX(成本费用登记表!$B$4:$B$303,210))</f>
        <v/>
      </c>
      <c r="C2737" s="26" t="str">
        <f t="shared" si="133"/>
        <v/>
      </c>
      <c r="D2737" s="32" t="str">
        <f>IF($E2737="","",INDEX(成本费用登记表!$E$4:$E$303,210))</f>
        <v/>
      </c>
      <c r="E2737" s="26" t="str">
        <f>IF(INDEX(成本费用登记表!$Q$4:$Y$303,210,1)=0,"",INDEX(成本费用登记表!$Q$4:$Y$303,210,1))</f>
        <v/>
      </c>
      <c r="F2737" s="25" t="str">
        <f>IF($E2737="","",IFERROR(INDEX(科目表!$A$4:$A$81,MATCH($E2737,科目表!$B$4:$B$81,0)),""))</f>
        <v/>
      </c>
      <c r="G2737" s="26" t="str">
        <f>IF($E2737="","",IFERROR(INDEX(科目表!$E$4:$E$81,MATCH($E2737,科目表!$B$4:$B$81,0)),""))</f>
        <v/>
      </c>
      <c r="H2737" s="27" t="str">
        <f>IF($E2737="","",N(INDEX(成本费用登记表!$Q$4:$Y$303,210,2)))</f>
        <v/>
      </c>
      <c r="I2737" s="27" t="str">
        <f>IF($E2737="","",N(INDEX(成本费用登记表!$Q$4:$Y$303,210,3)))</f>
        <v/>
      </c>
      <c r="J2737" s="26" t="str">
        <f>IF($E2737="","",INDEX(成本费用登记表!$C$4:$C$303,210))</f>
        <v/>
      </c>
      <c r="K2737" s="26" t="str">
        <f>IF($E2737="","",INDEX(成本费用登记表!$D$4:$D$303,210))</f>
        <v/>
      </c>
      <c r="L2737" s="32" t="str">
        <f>IF($E2737="","",INDEX(成本费用登记表!$N$4:$N$303,210))</f>
        <v/>
      </c>
      <c r="M2737" s="32"/>
      <c r="N2737" s="26" t="str">
        <f t="shared" si="134"/>
        <v/>
      </c>
      <c r="O2737" s="26" t="str">
        <f t="shared" si="135"/>
        <v/>
      </c>
      <c r="P2737" s="10"/>
    </row>
    <row r="2738" ht="18" customHeight="1" spans="1:16">
      <c r="A2738" s="32" t="str">
        <f t="shared" si="136"/>
        <v/>
      </c>
      <c r="B2738" s="100" t="str">
        <f>IF($E2738="","",INDEX(成本费用登记表!$B$4:$B$303,210))</f>
        <v/>
      </c>
      <c r="C2738" s="26" t="str">
        <f t="shared" si="133"/>
        <v/>
      </c>
      <c r="D2738" s="32" t="str">
        <f>IF($E2738="","",INDEX(成本费用登记表!$E$4:$E$303,210))</f>
        <v/>
      </c>
      <c r="E2738" s="26" t="str">
        <f>IF(INDEX(成本费用登记表!$Q$4:$Y$303,210,4)=0,"",INDEX(成本费用登记表!$Q$4:$Y$303,210,4))</f>
        <v/>
      </c>
      <c r="F2738" s="25" t="str">
        <f>IF($E2738="","",IFERROR(INDEX(科目表!$A$4:$A$81,MATCH($E2738,科目表!$B$4:$B$81,0)),""))</f>
        <v/>
      </c>
      <c r="G2738" s="26" t="str">
        <f>IF($E2738="","",IFERROR(INDEX(科目表!$E$4:$E$81,MATCH($E2738,科目表!$B$4:$B$81,0)),""))</f>
        <v/>
      </c>
      <c r="H2738" s="27" t="str">
        <f>IF($E2738="","",N(INDEX(成本费用登记表!$Q$4:$Y$303,210,5)))</f>
        <v/>
      </c>
      <c r="I2738" s="27" t="str">
        <f>IF($E2738="","",N(INDEX(成本费用登记表!$Q$4:$Y$303,210,6)))</f>
        <v/>
      </c>
      <c r="J2738" s="26" t="str">
        <f>IF($E2738="","",INDEX(成本费用登记表!$C$4:$C$303,210))</f>
        <v/>
      </c>
      <c r="K2738" s="26" t="str">
        <f>IF($E2738="","",INDEX(成本费用登记表!$D$4:$D$303,210))</f>
        <v/>
      </c>
      <c r="L2738" s="32" t="str">
        <f>IF($E2738="","",INDEX(成本费用登记表!$N$4:$N$303,210))</f>
        <v/>
      </c>
      <c r="M2738" s="32"/>
      <c r="N2738" s="26" t="str">
        <f t="shared" si="134"/>
        <v/>
      </c>
      <c r="O2738" s="26" t="str">
        <f t="shared" si="135"/>
        <v/>
      </c>
      <c r="P2738" s="10"/>
    </row>
    <row r="2739" ht="18" customHeight="1" spans="1:16">
      <c r="A2739" s="32" t="str">
        <f t="shared" si="136"/>
        <v/>
      </c>
      <c r="B2739" s="100" t="str">
        <f>IF($E2739="","",INDEX(成本费用登记表!$B$4:$B$303,210))</f>
        <v/>
      </c>
      <c r="C2739" s="26" t="str">
        <f t="shared" si="133"/>
        <v/>
      </c>
      <c r="D2739" s="32" t="str">
        <f>IF($E2739="","",INDEX(成本费用登记表!$E$4:$E$303,210))</f>
        <v/>
      </c>
      <c r="E2739" s="26" t="str">
        <f>IF(INDEX(成本费用登记表!$Q$4:$Y$303,210,7)=0,"",INDEX(成本费用登记表!$Q$4:$Y$303,210,7))</f>
        <v/>
      </c>
      <c r="F2739" s="25" t="str">
        <f>IF($E2739="","",IFERROR(INDEX(科目表!$A$4:$A$81,MATCH($E2739,科目表!$B$4:$B$81,0)),""))</f>
        <v/>
      </c>
      <c r="G2739" s="26" t="str">
        <f>IF($E2739="","",IFERROR(INDEX(科目表!$E$4:$E$81,MATCH($E2739,科目表!$B$4:$B$81,0)),""))</f>
        <v/>
      </c>
      <c r="H2739" s="27" t="str">
        <f>IF($E2739="","",N(INDEX(成本费用登记表!$Q$4:$Y$303,210,8)))</f>
        <v/>
      </c>
      <c r="I2739" s="27" t="str">
        <f>IF($E2739="","",N(INDEX(成本费用登记表!$Q$4:$Y$303,210,9)))</f>
        <v/>
      </c>
      <c r="J2739" s="26" t="str">
        <f>IF($E2739="","",INDEX(成本费用登记表!$C$4:$C$303,210))</f>
        <v/>
      </c>
      <c r="K2739" s="26" t="str">
        <f>IF($E2739="","",INDEX(成本费用登记表!$D$4:$D$303,210))</f>
        <v/>
      </c>
      <c r="L2739" s="32" t="str">
        <f>IF($E2739="","",INDEX(成本费用登记表!$N$4:$N$303,210))</f>
        <v/>
      </c>
      <c r="M2739" s="32"/>
      <c r="N2739" s="26" t="str">
        <f t="shared" si="134"/>
        <v/>
      </c>
      <c r="O2739" s="26" t="str">
        <f t="shared" si="135"/>
        <v/>
      </c>
      <c r="P2739" s="10"/>
    </row>
    <row r="2740" ht="18" customHeight="1" spans="1:16">
      <c r="A2740" s="32" t="str">
        <f t="shared" si="136"/>
        <v/>
      </c>
      <c r="B2740" s="100" t="str">
        <f>IF($E2740="","",INDEX(成本费用登记表!$B$4:$B$303,211))</f>
        <v/>
      </c>
      <c r="C2740" s="26" t="str">
        <f t="shared" si="133"/>
        <v/>
      </c>
      <c r="D2740" s="32" t="str">
        <f>IF($E2740="","",INDEX(成本费用登记表!$E$4:$E$303,211))</f>
        <v/>
      </c>
      <c r="E2740" s="26" t="str">
        <f>IF(INDEX(成本费用登记表!$Q$4:$Y$303,211,1)=0,"",INDEX(成本费用登记表!$Q$4:$Y$303,211,1))</f>
        <v/>
      </c>
      <c r="F2740" s="25" t="str">
        <f>IF($E2740="","",IFERROR(INDEX(科目表!$A$4:$A$81,MATCH($E2740,科目表!$B$4:$B$81,0)),""))</f>
        <v/>
      </c>
      <c r="G2740" s="26" t="str">
        <f>IF($E2740="","",IFERROR(INDEX(科目表!$E$4:$E$81,MATCH($E2740,科目表!$B$4:$B$81,0)),""))</f>
        <v/>
      </c>
      <c r="H2740" s="27" t="str">
        <f>IF($E2740="","",N(INDEX(成本费用登记表!$Q$4:$Y$303,211,2)))</f>
        <v/>
      </c>
      <c r="I2740" s="27" t="str">
        <f>IF($E2740="","",N(INDEX(成本费用登记表!$Q$4:$Y$303,211,3)))</f>
        <v/>
      </c>
      <c r="J2740" s="26" t="str">
        <f>IF($E2740="","",INDEX(成本费用登记表!$C$4:$C$303,211))</f>
        <v/>
      </c>
      <c r="K2740" s="26" t="str">
        <f>IF($E2740="","",INDEX(成本费用登记表!$D$4:$D$303,211))</f>
        <v/>
      </c>
      <c r="L2740" s="32" t="str">
        <f>IF($E2740="","",INDEX(成本费用登记表!$N$4:$N$303,211))</f>
        <v/>
      </c>
      <c r="M2740" s="32"/>
      <c r="N2740" s="26" t="str">
        <f t="shared" si="134"/>
        <v/>
      </c>
      <c r="O2740" s="26" t="str">
        <f t="shared" si="135"/>
        <v/>
      </c>
      <c r="P2740" s="10"/>
    </row>
    <row r="2741" ht="18" customHeight="1" spans="1:16">
      <c r="A2741" s="32" t="str">
        <f t="shared" si="136"/>
        <v/>
      </c>
      <c r="B2741" s="100" t="str">
        <f>IF($E2741="","",INDEX(成本费用登记表!$B$4:$B$303,211))</f>
        <v/>
      </c>
      <c r="C2741" s="26" t="str">
        <f t="shared" si="133"/>
        <v/>
      </c>
      <c r="D2741" s="32" t="str">
        <f>IF($E2741="","",INDEX(成本费用登记表!$E$4:$E$303,211))</f>
        <v/>
      </c>
      <c r="E2741" s="26" t="str">
        <f>IF(INDEX(成本费用登记表!$Q$4:$Y$303,211,4)=0,"",INDEX(成本费用登记表!$Q$4:$Y$303,211,4))</f>
        <v/>
      </c>
      <c r="F2741" s="25" t="str">
        <f>IF($E2741="","",IFERROR(INDEX(科目表!$A$4:$A$81,MATCH($E2741,科目表!$B$4:$B$81,0)),""))</f>
        <v/>
      </c>
      <c r="G2741" s="26" t="str">
        <f>IF($E2741="","",IFERROR(INDEX(科目表!$E$4:$E$81,MATCH($E2741,科目表!$B$4:$B$81,0)),""))</f>
        <v/>
      </c>
      <c r="H2741" s="27" t="str">
        <f>IF($E2741="","",N(INDEX(成本费用登记表!$Q$4:$Y$303,211,5)))</f>
        <v/>
      </c>
      <c r="I2741" s="27" t="str">
        <f>IF($E2741="","",N(INDEX(成本费用登记表!$Q$4:$Y$303,211,6)))</f>
        <v/>
      </c>
      <c r="J2741" s="26" t="str">
        <f>IF($E2741="","",INDEX(成本费用登记表!$C$4:$C$303,211))</f>
        <v/>
      </c>
      <c r="K2741" s="26" t="str">
        <f>IF($E2741="","",INDEX(成本费用登记表!$D$4:$D$303,211))</f>
        <v/>
      </c>
      <c r="L2741" s="32" t="str">
        <f>IF($E2741="","",INDEX(成本费用登记表!$N$4:$N$303,211))</f>
        <v/>
      </c>
      <c r="M2741" s="32"/>
      <c r="N2741" s="26" t="str">
        <f t="shared" si="134"/>
        <v/>
      </c>
      <c r="O2741" s="26" t="str">
        <f t="shared" si="135"/>
        <v/>
      </c>
      <c r="P2741" s="10"/>
    </row>
    <row r="2742" ht="18" customHeight="1" spans="1:16">
      <c r="A2742" s="32" t="str">
        <f t="shared" si="136"/>
        <v/>
      </c>
      <c r="B2742" s="100" t="str">
        <f>IF($E2742="","",INDEX(成本费用登记表!$B$4:$B$303,211))</f>
        <v/>
      </c>
      <c r="C2742" s="26" t="str">
        <f t="shared" si="133"/>
        <v/>
      </c>
      <c r="D2742" s="32" t="str">
        <f>IF($E2742="","",INDEX(成本费用登记表!$E$4:$E$303,211))</f>
        <v/>
      </c>
      <c r="E2742" s="26" t="str">
        <f>IF(INDEX(成本费用登记表!$Q$4:$Y$303,211,7)=0,"",INDEX(成本费用登记表!$Q$4:$Y$303,211,7))</f>
        <v/>
      </c>
      <c r="F2742" s="25" t="str">
        <f>IF($E2742="","",IFERROR(INDEX(科目表!$A$4:$A$81,MATCH($E2742,科目表!$B$4:$B$81,0)),""))</f>
        <v/>
      </c>
      <c r="G2742" s="26" t="str">
        <f>IF($E2742="","",IFERROR(INDEX(科目表!$E$4:$E$81,MATCH($E2742,科目表!$B$4:$B$81,0)),""))</f>
        <v/>
      </c>
      <c r="H2742" s="27" t="str">
        <f>IF($E2742="","",N(INDEX(成本费用登记表!$Q$4:$Y$303,211,8)))</f>
        <v/>
      </c>
      <c r="I2742" s="27" t="str">
        <f>IF($E2742="","",N(INDEX(成本费用登记表!$Q$4:$Y$303,211,9)))</f>
        <v/>
      </c>
      <c r="J2742" s="26" t="str">
        <f>IF($E2742="","",INDEX(成本费用登记表!$C$4:$C$303,211))</f>
        <v/>
      </c>
      <c r="K2742" s="26" t="str">
        <f>IF($E2742="","",INDEX(成本费用登记表!$D$4:$D$303,211))</f>
        <v/>
      </c>
      <c r="L2742" s="32" t="str">
        <f>IF($E2742="","",INDEX(成本费用登记表!$N$4:$N$303,211))</f>
        <v/>
      </c>
      <c r="M2742" s="32"/>
      <c r="N2742" s="26" t="str">
        <f t="shared" si="134"/>
        <v/>
      </c>
      <c r="O2742" s="26" t="str">
        <f t="shared" si="135"/>
        <v/>
      </c>
      <c r="P2742" s="10"/>
    </row>
    <row r="2743" ht="18" customHeight="1" spans="1:16">
      <c r="A2743" s="32" t="str">
        <f t="shared" si="136"/>
        <v/>
      </c>
      <c r="B2743" s="100" t="str">
        <f>IF($E2743="","",INDEX(成本费用登记表!$B$4:$B$303,212))</f>
        <v/>
      </c>
      <c r="C2743" s="26" t="str">
        <f t="shared" si="133"/>
        <v/>
      </c>
      <c r="D2743" s="32" t="str">
        <f>IF($E2743="","",INDEX(成本费用登记表!$E$4:$E$303,212))</f>
        <v/>
      </c>
      <c r="E2743" s="26" t="str">
        <f>IF(INDEX(成本费用登记表!$Q$4:$Y$303,212,1)=0,"",INDEX(成本费用登记表!$Q$4:$Y$303,212,1))</f>
        <v/>
      </c>
      <c r="F2743" s="25" t="str">
        <f>IF($E2743="","",IFERROR(INDEX(科目表!$A$4:$A$81,MATCH($E2743,科目表!$B$4:$B$81,0)),""))</f>
        <v/>
      </c>
      <c r="G2743" s="26" t="str">
        <f>IF($E2743="","",IFERROR(INDEX(科目表!$E$4:$E$81,MATCH($E2743,科目表!$B$4:$B$81,0)),""))</f>
        <v/>
      </c>
      <c r="H2743" s="27" t="str">
        <f>IF($E2743="","",N(INDEX(成本费用登记表!$Q$4:$Y$303,212,2)))</f>
        <v/>
      </c>
      <c r="I2743" s="27" t="str">
        <f>IF($E2743="","",N(INDEX(成本费用登记表!$Q$4:$Y$303,212,3)))</f>
        <v/>
      </c>
      <c r="J2743" s="26" t="str">
        <f>IF($E2743="","",INDEX(成本费用登记表!$C$4:$C$303,212))</f>
        <v/>
      </c>
      <c r="K2743" s="26" t="str">
        <f>IF($E2743="","",INDEX(成本费用登记表!$D$4:$D$303,212))</f>
        <v/>
      </c>
      <c r="L2743" s="32" t="str">
        <f>IF($E2743="","",INDEX(成本费用登记表!$N$4:$N$303,212))</f>
        <v/>
      </c>
      <c r="M2743" s="32"/>
      <c r="N2743" s="26" t="str">
        <f t="shared" si="134"/>
        <v/>
      </c>
      <c r="O2743" s="26" t="str">
        <f t="shared" si="135"/>
        <v/>
      </c>
      <c r="P2743" s="10"/>
    </row>
    <row r="2744" ht="18" customHeight="1" spans="1:16">
      <c r="A2744" s="32" t="str">
        <f t="shared" si="136"/>
        <v/>
      </c>
      <c r="B2744" s="100" t="str">
        <f>IF($E2744="","",INDEX(成本费用登记表!$B$4:$B$303,212))</f>
        <v/>
      </c>
      <c r="C2744" s="26" t="str">
        <f t="shared" si="133"/>
        <v/>
      </c>
      <c r="D2744" s="32" t="str">
        <f>IF($E2744="","",INDEX(成本费用登记表!$E$4:$E$303,212))</f>
        <v/>
      </c>
      <c r="E2744" s="26" t="str">
        <f>IF(INDEX(成本费用登记表!$Q$4:$Y$303,212,4)=0,"",INDEX(成本费用登记表!$Q$4:$Y$303,212,4))</f>
        <v/>
      </c>
      <c r="F2744" s="25" t="str">
        <f>IF($E2744="","",IFERROR(INDEX(科目表!$A$4:$A$81,MATCH($E2744,科目表!$B$4:$B$81,0)),""))</f>
        <v/>
      </c>
      <c r="G2744" s="26" t="str">
        <f>IF($E2744="","",IFERROR(INDEX(科目表!$E$4:$E$81,MATCH($E2744,科目表!$B$4:$B$81,0)),""))</f>
        <v/>
      </c>
      <c r="H2744" s="27" t="str">
        <f>IF($E2744="","",N(INDEX(成本费用登记表!$Q$4:$Y$303,212,5)))</f>
        <v/>
      </c>
      <c r="I2744" s="27" t="str">
        <f>IF($E2744="","",N(INDEX(成本费用登记表!$Q$4:$Y$303,212,6)))</f>
        <v/>
      </c>
      <c r="J2744" s="26" t="str">
        <f>IF($E2744="","",INDEX(成本费用登记表!$C$4:$C$303,212))</f>
        <v/>
      </c>
      <c r="K2744" s="26" t="str">
        <f>IF($E2744="","",INDEX(成本费用登记表!$D$4:$D$303,212))</f>
        <v/>
      </c>
      <c r="L2744" s="32" t="str">
        <f>IF($E2744="","",INDEX(成本费用登记表!$N$4:$N$303,212))</f>
        <v/>
      </c>
      <c r="M2744" s="32"/>
      <c r="N2744" s="26" t="str">
        <f t="shared" si="134"/>
        <v/>
      </c>
      <c r="O2744" s="26" t="str">
        <f t="shared" si="135"/>
        <v/>
      </c>
      <c r="P2744" s="10"/>
    </row>
    <row r="2745" ht="18" customHeight="1" spans="1:16">
      <c r="A2745" s="32" t="str">
        <f t="shared" si="136"/>
        <v/>
      </c>
      <c r="B2745" s="100" t="str">
        <f>IF($E2745="","",INDEX(成本费用登记表!$B$4:$B$303,212))</f>
        <v/>
      </c>
      <c r="C2745" s="26" t="str">
        <f t="shared" si="133"/>
        <v/>
      </c>
      <c r="D2745" s="32" t="str">
        <f>IF($E2745="","",INDEX(成本费用登记表!$E$4:$E$303,212))</f>
        <v/>
      </c>
      <c r="E2745" s="26" t="str">
        <f>IF(INDEX(成本费用登记表!$Q$4:$Y$303,212,7)=0,"",INDEX(成本费用登记表!$Q$4:$Y$303,212,7))</f>
        <v/>
      </c>
      <c r="F2745" s="25" t="str">
        <f>IF($E2745="","",IFERROR(INDEX(科目表!$A$4:$A$81,MATCH($E2745,科目表!$B$4:$B$81,0)),""))</f>
        <v/>
      </c>
      <c r="G2745" s="26" t="str">
        <f>IF($E2745="","",IFERROR(INDEX(科目表!$E$4:$E$81,MATCH($E2745,科目表!$B$4:$B$81,0)),""))</f>
        <v/>
      </c>
      <c r="H2745" s="27" t="str">
        <f>IF($E2745="","",N(INDEX(成本费用登记表!$Q$4:$Y$303,212,8)))</f>
        <v/>
      </c>
      <c r="I2745" s="27" t="str">
        <f>IF($E2745="","",N(INDEX(成本费用登记表!$Q$4:$Y$303,212,9)))</f>
        <v/>
      </c>
      <c r="J2745" s="26" t="str">
        <f>IF($E2745="","",INDEX(成本费用登记表!$C$4:$C$303,212))</f>
        <v/>
      </c>
      <c r="K2745" s="26" t="str">
        <f>IF($E2745="","",INDEX(成本费用登记表!$D$4:$D$303,212))</f>
        <v/>
      </c>
      <c r="L2745" s="32" t="str">
        <f>IF($E2745="","",INDEX(成本费用登记表!$N$4:$N$303,212))</f>
        <v/>
      </c>
      <c r="M2745" s="32"/>
      <c r="N2745" s="26" t="str">
        <f t="shared" si="134"/>
        <v/>
      </c>
      <c r="O2745" s="26" t="str">
        <f t="shared" si="135"/>
        <v/>
      </c>
      <c r="P2745" s="10"/>
    </row>
    <row r="2746" ht="18" customHeight="1" spans="1:16">
      <c r="A2746" s="32" t="str">
        <f t="shared" si="136"/>
        <v/>
      </c>
      <c r="B2746" s="100" t="str">
        <f>IF($E2746="","",INDEX(成本费用登记表!$B$4:$B$303,213))</f>
        <v/>
      </c>
      <c r="C2746" s="26" t="str">
        <f t="shared" si="133"/>
        <v/>
      </c>
      <c r="D2746" s="32" t="str">
        <f>IF($E2746="","",INDEX(成本费用登记表!$E$4:$E$303,213))</f>
        <v/>
      </c>
      <c r="E2746" s="26" t="str">
        <f>IF(INDEX(成本费用登记表!$Q$4:$Y$303,213,1)=0,"",INDEX(成本费用登记表!$Q$4:$Y$303,213,1))</f>
        <v/>
      </c>
      <c r="F2746" s="25" t="str">
        <f>IF($E2746="","",IFERROR(INDEX(科目表!$A$4:$A$81,MATCH($E2746,科目表!$B$4:$B$81,0)),""))</f>
        <v/>
      </c>
      <c r="G2746" s="26" t="str">
        <f>IF($E2746="","",IFERROR(INDEX(科目表!$E$4:$E$81,MATCH($E2746,科目表!$B$4:$B$81,0)),""))</f>
        <v/>
      </c>
      <c r="H2746" s="27" t="str">
        <f>IF($E2746="","",N(INDEX(成本费用登记表!$Q$4:$Y$303,213,2)))</f>
        <v/>
      </c>
      <c r="I2746" s="27" t="str">
        <f>IF($E2746="","",N(INDEX(成本费用登记表!$Q$4:$Y$303,213,3)))</f>
        <v/>
      </c>
      <c r="J2746" s="26" t="str">
        <f>IF($E2746="","",INDEX(成本费用登记表!$C$4:$C$303,213))</f>
        <v/>
      </c>
      <c r="K2746" s="26" t="str">
        <f>IF($E2746="","",INDEX(成本费用登记表!$D$4:$D$303,213))</f>
        <v/>
      </c>
      <c r="L2746" s="32" t="str">
        <f>IF($E2746="","",INDEX(成本费用登记表!$N$4:$N$303,213))</f>
        <v/>
      </c>
      <c r="M2746" s="32"/>
      <c r="N2746" s="26" t="str">
        <f t="shared" si="134"/>
        <v/>
      </c>
      <c r="O2746" s="26" t="str">
        <f t="shared" si="135"/>
        <v/>
      </c>
      <c r="P2746" s="10"/>
    </row>
    <row r="2747" ht="18" customHeight="1" spans="1:16">
      <c r="A2747" s="32" t="str">
        <f t="shared" si="136"/>
        <v/>
      </c>
      <c r="B2747" s="100" t="str">
        <f>IF($E2747="","",INDEX(成本费用登记表!$B$4:$B$303,213))</f>
        <v/>
      </c>
      <c r="C2747" s="26" t="str">
        <f t="shared" si="133"/>
        <v/>
      </c>
      <c r="D2747" s="32" t="str">
        <f>IF($E2747="","",INDEX(成本费用登记表!$E$4:$E$303,213))</f>
        <v/>
      </c>
      <c r="E2747" s="26" t="str">
        <f>IF(INDEX(成本费用登记表!$Q$4:$Y$303,213,4)=0,"",INDEX(成本费用登记表!$Q$4:$Y$303,213,4))</f>
        <v/>
      </c>
      <c r="F2747" s="25" t="str">
        <f>IF($E2747="","",IFERROR(INDEX(科目表!$A$4:$A$81,MATCH($E2747,科目表!$B$4:$B$81,0)),""))</f>
        <v/>
      </c>
      <c r="G2747" s="26" t="str">
        <f>IF($E2747="","",IFERROR(INDEX(科目表!$E$4:$E$81,MATCH($E2747,科目表!$B$4:$B$81,0)),""))</f>
        <v/>
      </c>
      <c r="H2747" s="27" t="str">
        <f>IF($E2747="","",N(INDEX(成本费用登记表!$Q$4:$Y$303,213,5)))</f>
        <v/>
      </c>
      <c r="I2747" s="27" t="str">
        <f>IF($E2747="","",N(INDEX(成本费用登记表!$Q$4:$Y$303,213,6)))</f>
        <v/>
      </c>
      <c r="J2747" s="26" t="str">
        <f>IF($E2747="","",INDEX(成本费用登记表!$C$4:$C$303,213))</f>
        <v/>
      </c>
      <c r="K2747" s="26" t="str">
        <f>IF($E2747="","",INDEX(成本费用登记表!$D$4:$D$303,213))</f>
        <v/>
      </c>
      <c r="L2747" s="32" t="str">
        <f>IF($E2747="","",INDEX(成本费用登记表!$N$4:$N$303,213))</f>
        <v/>
      </c>
      <c r="M2747" s="32"/>
      <c r="N2747" s="26" t="str">
        <f t="shared" si="134"/>
        <v/>
      </c>
      <c r="O2747" s="26" t="str">
        <f t="shared" si="135"/>
        <v/>
      </c>
      <c r="P2747" s="10"/>
    </row>
    <row r="2748" ht="18" customHeight="1" spans="1:16">
      <c r="A2748" s="32" t="str">
        <f t="shared" si="136"/>
        <v/>
      </c>
      <c r="B2748" s="100" t="str">
        <f>IF($E2748="","",INDEX(成本费用登记表!$B$4:$B$303,213))</f>
        <v/>
      </c>
      <c r="C2748" s="26" t="str">
        <f t="shared" si="133"/>
        <v/>
      </c>
      <c r="D2748" s="32" t="str">
        <f>IF($E2748="","",INDEX(成本费用登记表!$E$4:$E$303,213))</f>
        <v/>
      </c>
      <c r="E2748" s="26" t="str">
        <f>IF(INDEX(成本费用登记表!$Q$4:$Y$303,213,7)=0,"",INDEX(成本费用登记表!$Q$4:$Y$303,213,7))</f>
        <v/>
      </c>
      <c r="F2748" s="25" t="str">
        <f>IF($E2748="","",IFERROR(INDEX(科目表!$A$4:$A$81,MATCH($E2748,科目表!$B$4:$B$81,0)),""))</f>
        <v/>
      </c>
      <c r="G2748" s="26" t="str">
        <f>IF($E2748="","",IFERROR(INDEX(科目表!$E$4:$E$81,MATCH($E2748,科目表!$B$4:$B$81,0)),""))</f>
        <v/>
      </c>
      <c r="H2748" s="27" t="str">
        <f>IF($E2748="","",N(INDEX(成本费用登记表!$Q$4:$Y$303,213,8)))</f>
        <v/>
      </c>
      <c r="I2748" s="27" t="str">
        <f>IF($E2748="","",N(INDEX(成本费用登记表!$Q$4:$Y$303,213,9)))</f>
        <v/>
      </c>
      <c r="J2748" s="26" t="str">
        <f>IF($E2748="","",INDEX(成本费用登记表!$C$4:$C$303,213))</f>
        <v/>
      </c>
      <c r="K2748" s="26" t="str">
        <f>IF($E2748="","",INDEX(成本费用登记表!$D$4:$D$303,213))</f>
        <v/>
      </c>
      <c r="L2748" s="32" t="str">
        <f>IF($E2748="","",INDEX(成本费用登记表!$N$4:$N$303,213))</f>
        <v/>
      </c>
      <c r="M2748" s="32"/>
      <c r="N2748" s="26" t="str">
        <f t="shared" si="134"/>
        <v/>
      </c>
      <c r="O2748" s="26" t="str">
        <f t="shared" si="135"/>
        <v/>
      </c>
      <c r="P2748" s="10"/>
    </row>
    <row r="2749" ht="18" customHeight="1" spans="1:16">
      <c r="A2749" s="32" t="str">
        <f t="shared" si="136"/>
        <v/>
      </c>
      <c r="B2749" s="100" t="str">
        <f>IF($E2749="","",INDEX(成本费用登记表!$B$4:$B$303,214))</f>
        <v/>
      </c>
      <c r="C2749" s="26" t="str">
        <f t="shared" si="133"/>
        <v/>
      </c>
      <c r="D2749" s="32" t="str">
        <f>IF($E2749="","",INDEX(成本费用登记表!$E$4:$E$303,214))</f>
        <v/>
      </c>
      <c r="E2749" s="26" t="str">
        <f>IF(INDEX(成本费用登记表!$Q$4:$Y$303,214,1)=0,"",INDEX(成本费用登记表!$Q$4:$Y$303,214,1))</f>
        <v/>
      </c>
      <c r="F2749" s="25" t="str">
        <f>IF($E2749="","",IFERROR(INDEX(科目表!$A$4:$A$81,MATCH($E2749,科目表!$B$4:$B$81,0)),""))</f>
        <v/>
      </c>
      <c r="G2749" s="26" t="str">
        <f>IF($E2749="","",IFERROR(INDEX(科目表!$E$4:$E$81,MATCH($E2749,科目表!$B$4:$B$81,0)),""))</f>
        <v/>
      </c>
      <c r="H2749" s="27" t="str">
        <f>IF($E2749="","",N(INDEX(成本费用登记表!$Q$4:$Y$303,214,2)))</f>
        <v/>
      </c>
      <c r="I2749" s="27" t="str">
        <f>IF($E2749="","",N(INDEX(成本费用登记表!$Q$4:$Y$303,214,3)))</f>
        <v/>
      </c>
      <c r="J2749" s="26" t="str">
        <f>IF($E2749="","",INDEX(成本费用登记表!$C$4:$C$303,214))</f>
        <v/>
      </c>
      <c r="K2749" s="26" t="str">
        <f>IF($E2749="","",INDEX(成本费用登记表!$D$4:$D$303,214))</f>
        <v/>
      </c>
      <c r="L2749" s="32" t="str">
        <f>IF($E2749="","",INDEX(成本费用登记表!$N$4:$N$303,214))</f>
        <v/>
      </c>
      <c r="M2749" s="32"/>
      <c r="N2749" s="26" t="str">
        <f t="shared" si="134"/>
        <v/>
      </c>
      <c r="O2749" s="26" t="str">
        <f t="shared" si="135"/>
        <v/>
      </c>
      <c r="P2749" s="10"/>
    </row>
    <row r="2750" ht="18" customHeight="1" spans="1:16">
      <c r="A2750" s="32" t="str">
        <f t="shared" si="136"/>
        <v/>
      </c>
      <c r="B2750" s="100" t="str">
        <f>IF($E2750="","",INDEX(成本费用登记表!$B$4:$B$303,214))</f>
        <v/>
      </c>
      <c r="C2750" s="26" t="str">
        <f t="shared" ref="C2750:C2813" si="137">IF($E2750="","","记-"&amp;TEXT($B2750,"YYYYMM")&amp;"-费用")</f>
        <v/>
      </c>
      <c r="D2750" s="32" t="str">
        <f>IF($E2750="","",INDEX(成本费用登记表!$E$4:$E$303,214))</f>
        <v/>
      </c>
      <c r="E2750" s="26" t="str">
        <f>IF(INDEX(成本费用登记表!$Q$4:$Y$303,214,4)=0,"",INDEX(成本费用登记表!$Q$4:$Y$303,214,4))</f>
        <v/>
      </c>
      <c r="F2750" s="25" t="str">
        <f>IF($E2750="","",IFERROR(INDEX(科目表!$A$4:$A$81,MATCH($E2750,科目表!$B$4:$B$81,0)),""))</f>
        <v/>
      </c>
      <c r="G2750" s="26" t="str">
        <f>IF($E2750="","",IFERROR(INDEX(科目表!$E$4:$E$81,MATCH($E2750,科目表!$B$4:$B$81,0)),""))</f>
        <v/>
      </c>
      <c r="H2750" s="27" t="str">
        <f>IF($E2750="","",N(INDEX(成本费用登记表!$Q$4:$Y$303,214,5)))</f>
        <v/>
      </c>
      <c r="I2750" s="27" t="str">
        <f>IF($E2750="","",N(INDEX(成本费用登记表!$Q$4:$Y$303,214,6)))</f>
        <v/>
      </c>
      <c r="J2750" s="26" t="str">
        <f>IF($E2750="","",INDEX(成本费用登记表!$C$4:$C$303,214))</f>
        <v/>
      </c>
      <c r="K2750" s="26" t="str">
        <f>IF($E2750="","",INDEX(成本费用登记表!$D$4:$D$303,214))</f>
        <v/>
      </c>
      <c r="L2750" s="32" t="str">
        <f>IF($E2750="","",INDEX(成本费用登记表!$N$4:$N$303,214))</f>
        <v/>
      </c>
      <c r="M2750" s="32"/>
      <c r="N2750" s="26" t="str">
        <f t="shared" ref="N2750:N2813" si="138">IF($E2750="","","系统")</f>
        <v/>
      </c>
      <c r="O2750" s="26" t="str">
        <f t="shared" ref="O2750:O2813" si="139">IF($E2750="","","自动C")</f>
        <v/>
      </c>
      <c r="P2750" s="10"/>
    </row>
    <row r="2751" ht="18" customHeight="1" spans="1:16">
      <c r="A2751" s="32" t="str">
        <f t="shared" si="136"/>
        <v/>
      </c>
      <c r="B2751" s="100" t="str">
        <f>IF($E2751="","",INDEX(成本费用登记表!$B$4:$B$303,214))</f>
        <v/>
      </c>
      <c r="C2751" s="26" t="str">
        <f t="shared" si="137"/>
        <v/>
      </c>
      <c r="D2751" s="32" t="str">
        <f>IF($E2751="","",INDEX(成本费用登记表!$E$4:$E$303,214))</f>
        <v/>
      </c>
      <c r="E2751" s="26" t="str">
        <f>IF(INDEX(成本费用登记表!$Q$4:$Y$303,214,7)=0,"",INDEX(成本费用登记表!$Q$4:$Y$303,214,7))</f>
        <v/>
      </c>
      <c r="F2751" s="25" t="str">
        <f>IF($E2751="","",IFERROR(INDEX(科目表!$A$4:$A$81,MATCH($E2751,科目表!$B$4:$B$81,0)),""))</f>
        <v/>
      </c>
      <c r="G2751" s="26" t="str">
        <f>IF($E2751="","",IFERROR(INDEX(科目表!$E$4:$E$81,MATCH($E2751,科目表!$B$4:$B$81,0)),""))</f>
        <v/>
      </c>
      <c r="H2751" s="27" t="str">
        <f>IF($E2751="","",N(INDEX(成本费用登记表!$Q$4:$Y$303,214,8)))</f>
        <v/>
      </c>
      <c r="I2751" s="27" t="str">
        <f>IF($E2751="","",N(INDEX(成本费用登记表!$Q$4:$Y$303,214,9)))</f>
        <v/>
      </c>
      <c r="J2751" s="26" t="str">
        <f>IF($E2751="","",INDEX(成本费用登记表!$C$4:$C$303,214))</f>
        <v/>
      </c>
      <c r="K2751" s="26" t="str">
        <f>IF($E2751="","",INDEX(成本费用登记表!$D$4:$D$303,214))</f>
        <v/>
      </c>
      <c r="L2751" s="32" t="str">
        <f>IF($E2751="","",INDEX(成本费用登记表!$N$4:$N$303,214))</f>
        <v/>
      </c>
      <c r="M2751" s="32"/>
      <c r="N2751" s="26" t="str">
        <f t="shared" si="138"/>
        <v/>
      </c>
      <c r="O2751" s="26" t="str">
        <f t="shared" si="139"/>
        <v/>
      </c>
      <c r="P2751" s="10"/>
    </row>
    <row r="2752" ht="18" customHeight="1" spans="1:16">
      <c r="A2752" s="32" t="str">
        <f t="shared" si="136"/>
        <v/>
      </c>
      <c r="B2752" s="100" t="str">
        <f>IF($E2752="","",INDEX(成本费用登记表!$B$4:$B$303,215))</f>
        <v/>
      </c>
      <c r="C2752" s="26" t="str">
        <f t="shared" si="137"/>
        <v/>
      </c>
      <c r="D2752" s="32" t="str">
        <f>IF($E2752="","",INDEX(成本费用登记表!$E$4:$E$303,215))</f>
        <v/>
      </c>
      <c r="E2752" s="26" t="str">
        <f>IF(INDEX(成本费用登记表!$Q$4:$Y$303,215,1)=0,"",INDEX(成本费用登记表!$Q$4:$Y$303,215,1))</f>
        <v/>
      </c>
      <c r="F2752" s="25" t="str">
        <f>IF($E2752="","",IFERROR(INDEX(科目表!$A$4:$A$81,MATCH($E2752,科目表!$B$4:$B$81,0)),""))</f>
        <v/>
      </c>
      <c r="G2752" s="26" t="str">
        <f>IF($E2752="","",IFERROR(INDEX(科目表!$E$4:$E$81,MATCH($E2752,科目表!$B$4:$B$81,0)),""))</f>
        <v/>
      </c>
      <c r="H2752" s="27" t="str">
        <f>IF($E2752="","",N(INDEX(成本费用登记表!$Q$4:$Y$303,215,2)))</f>
        <v/>
      </c>
      <c r="I2752" s="27" t="str">
        <f>IF($E2752="","",N(INDEX(成本费用登记表!$Q$4:$Y$303,215,3)))</f>
        <v/>
      </c>
      <c r="J2752" s="26" t="str">
        <f>IF($E2752="","",INDEX(成本费用登记表!$C$4:$C$303,215))</f>
        <v/>
      </c>
      <c r="K2752" s="26" t="str">
        <f>IF($E2752="","",INDEX(成本费用登记表!$D$4:$D$303,215))</f>
        <v/>
      </c>
      <c r="L2752" s="32" t="str">
        <f>IF($E2752="","",INDEX(成本费用登记表!$N$4:$N$303,215))</f>
        <v/>
      </c>
      <c r="M2752" s="32"/>
      <c r="N2752" s="26" t="str">
        <f t="shared" si="138"/>
        <v/>
      </c>
      <c r="O2752" s="26" t="str">
        <f t="shared" si="139"/>
        <v/>
      </c>
      <c r="P2752" s="10"/>
    </row>
    <row r="2753" ht="18" customHeight="1" spans="1:16">
      <c r="A2753" s="32" t="str">
        <f t="shared" si="136"/>
        <v/>
      </c>
      <c r="B2753" s="100" t="str">
        <f>IF($E2753="","",INDEX(成本费用登记表!$B$4:$B$303,215))</f>
        <v/>
      </c>
      <c r="C2753" s="26" t="str">
        <f t="shared" si="137"/>
        <v/>
      </c>
      <c r="D2753" s="32" t="str">
        <f>IF($E2753="","",INDEX(成本费用登记表!$E$4:$E$303,215))</f>
        <v/>
      </c>
      <c r="E2753" s="26" t="str">
        <f>IF(INDEX(成本费用登记表!$Q$4:$Y$303,215,4)=0,"",INDEX(成本费用登记表!$Q$4:$Y$303,215,4))</f>
        <v/>
      </c>
      <c r="F2753" s="25" t="str">
        <f>IF($E2753="","",IFERROR(INDEX(科目表!$A$4:$A$81,MATCH($E2753,科目表!$B$4:$B$81,0)),""))</f>
        <v/>
      </c>
      <c r="G2753" s="26" t="str">
        <f>IF($E2753="","",IFERROR(INDEX(科目表!$E$4:$E$81,MATCH($E2753,科目表!$B$4:$B$81,0)),""))</f>
        <v/>
      </c>
      <c r="H2753" s="27" t="str">
        <f>IF($E2753="","",N(INDEX(成本费用登记表!$Q$4:$Y$303,215,5)))</f>
        <v/>
      </c>
      <c r="I2753" s="27" t="str">
        <f>IF($E2753="","",N(INDEX(成本费用登记表!$Q$4:$Y$303,215,6)))</f>
        <v/>
      </c>
      <c r="J2753" s="26" t="str">
        <f>IF($E2753="","",INDEX(成本费用登记表!$C$4:$C$303,215))</f>
        <v/>
      </c>
      <c r="K2753" s="26" t="str">
        <f>IF($E2753="","",INDEX(成本费用登记表!$D$4:$D$303,215))</f>
        <v/>
      </c>
      <c r="L2753" s="32" t="str">
        <f>IF($E2753="","",INDEX(成本费用登记表!$N$4:$N$303,215))</f>
        <v/>
      </c>
      <c r="M2753" s="32"/>
      <c r="N2753" s="26" t="str">
        <f t="shared" si="138"/>
        <v/>
      </c>
      <c r="O2753" s="26" t="str">
        <f t="shared" si="139"/>
        <v/>
      </c>
      <c r="P2753" s="10"/>
    </row>
    <row r="2754" ht="18" customHeight="1" spans="1:16">
      <c r="A2754" s="32" t="str">
        <f t="shared" si="136"/>
        <v/>
      </c>
      <c r="B2754" s="100" t="str">
        <f>IF($E2754="","",INDEX(成本费用登记表!$B$4:$B$303,215))</f>
        <v/>
      </c>
      <c r="C2754" s="26" t="str">
        <f t="shared" si="137"/>
        <v/>
      </c>
      <c r="D2754" s="32" t="str">
        <f>IF($E2754="","",INDEX(成本费用登记表!$E$4:$E$303,215))</f>
        <v/>
      </c>
      <c r="E2754" s="26" t="str">
        <f>IF(INDEX(成本费用登记表!$Q$4:$Y$303,215,7)=0,"",INDEX(成本费用登记表!$Q$4:$Y$303,215,7))</f>
        <v/>
      </c>
      <c r="F2754" s="25" t="str">
        <f>IF($E2754="","",IFERROR(INDEX(科目表!$A$4:$A$81,MATCH($E2754,科目表!$B$4:$B$81,0)),""))</f>
        <v/>
      </c>
      <c r="G2754" s="26" t="str">
        <f>IF($E2754="","",IFERROR(INDEX(科目表!$E$4:$E$81,MATCH($E2754,科目表!$B$4:$B$81,0)),""))</f>
        <v/>
      </c>
      <c r="H2754" s="27" t="str">
        <f>IF($E2754="","",N(INDEX(成本费用登记表!$Q$4:$Y$303,215,8)))</f>
        <v/>
      </c>
      <c r="I2754" s="27" t="str">
        <f>IF($E2754="","",N(INDEX(成本费用登记表!$Q$4:$Y$303,215,9)))</f>
        <v/>
      </c>
      <c r="J2754" s="26" t="str">
        <f>IF($E2754="","",INDEX(成本费用登记表!$C$4:$C$303,215))</f>
        <v/>
      </c>
      <c r="K2754" s="26" t="str">
        <f>IF($E2754="","",INDEX(成本费用登记表!$D$4:$D$303,215))</f>
        <v/>
      </c>
      <c r="L2754" s="32" t="str">
        <f>IF($E2754="","",INDEX(成本费用登记表!$N$4:$N$303,215))</f>
        <v/>
      </c>
      <c r="M2754" s="32"/>
      <c r="N2754" s="26" t="str">
        <f t="shared" si="138"/>
        <v/>
      </c>
      <c r="O2754" s="26" t="str">
        <f t="shared" si="139"/>
        <v/>
      </c>
      <c r="P2754" s="10"/>
    </row>
    <row r="2755" ht="18" customHeight="1" spans="1:16">
      <c r="A2755" s="32" t="str">
        <f t="shared" si="136"/>
        <v/>
      </c>
      <c r="B2755" s="100" t="str">
        <f>IF($E2755="","",INDEX(成本费用登记表!$B$4:$B$303,216))</f>
        <v/>
      </c>
      <c r="C2755" s="26" t="str">
        <f t="shared" si="137"/>
        <v/>
      </c>
      <c r="D2755" s="32" t="str">
        <f>IF($E2755="","",INDEX(成本费用登记表!$E$4:$E$303,216))</f>
        <v/>
      </c>
      <c r="E2755" s="26" t="str">
        <f>IF(INDEX(成本费用登记表!$Q$4:$Y$303,216,1)=0,"",INDEX(成本费用登记表!$Q$4:$Y$303,216,1))</f>
        <v/>
      </c>
      <c r="F2755" s="25" t="str">
        <f>IF($E2755="","",IFERROR(INDEX(科目表!$A$4:$A$81,MATCH($E2755,科目表!$B$4:$B$81,0)),""))</f>
        <v/>
      </c>
      <c r="G2755" s="26" t="str">
        <f>IF($E2755="","",IFERROR(INDEX(科目表!$E$4:$E$81,MATCH($E2755,科目表!$B$4:$B$81,0)),""))</f>
        <v/>
      </c>
      <c r="H2755" s="27" t="str">
        <f>IF($E2755="","",N(INDEX(成本费用登记表!$Q$4:$Y$303,216,2)))</f>
        <v/>
      </c>
      <c r="I2755" s="27" t="str">
        <f>IF($E2755="","",N(INDEX(成本费用登记表!$Q$4:$Y$303,216,3)))</f>
        <v/>
      </c>
      <c r="J2755" s="26" t="str">
        <f>IF($E2755="","",INDEX(成本费用登记表!$C$4:$C$303,216))</f>
        <v/>
      </c>
      <c r="K2755" s="26" t="str">
        <f>IF($E2755="","",INDEX(成本费用登记表!$D$4:$D$303,216))</f>
        <v/>
      </c>
      <c r="L2755" s="32" t="str">
        <f>IF($E2755="","",INDEX(成本费用登记表!$N$4:$N$303,216))</f>
        <v/>
      </c>
      <c r="M2755" s="32"/>
      <c r="N2755" s="26" t="str">
        <f t="shared" si="138"/>
        <v/>
      </c>
      <c r="O2755" s="26" t="str">
        <f t="shared" si="139"/>
        <v/>
      </c>
      <c r="P2755" s="10"/>
    </row>
    <row r="2756" ht="18" customHeight="1" spans="1:16">
      <c r="A2756" s="32" t="str">
        <f t="shared" ref="A2756:A2819" si="140">IF($E2756="","",ROW()-3)</f>
        <v/>
      </c>
      <c r="B2756" s="100" t="str">
        <f>IF($E2756="","",INDEX(成本费用登记表!$B$4:$B$303,216))</f>
        <v/>
      </c>
      <c r="C2756" s="26" t="str">
        <f t="shared" si="137"/>
        <v/>
      </c>
      <c r="D2756" s="32" t="str">
        <f>IF($E2756="","",INDEX(成本费用登记表!$E$4:$E$303,216))</f>
        <v/>
      </c>
      <c r="E2756" s="26" t="str">
        <f>IF(INDEX(成本费用登记表!$Q$4:$Y$303,216,4)=0,"",INDEX(成本费用登记表!$Q$4:$Y$303,216,4))</f>
        <v/>
      </c>
      <c r="F2756" s="25" t="str">
        <f>IF($E2756="","",IFERROR(INDEX(科目表!$A$4:$A$81,MATCH($E2756,科目表!$B$4:$B$81,0)),""))</f>
        <v/>
      </c>
      <c r="G2756" s="26" t="str">
        <f>IF($E2756="","",IFERROR(INDEX(科目表!$E$4:$E$81,MATCH($E2756,科目表!$B$4:$B$81,0)),""))</f>
        <v/>
      </c>
      <c r="H2756" s="27" t="str">
        <f>IF($E2756="","",N(INDEX(成本费用登记表!$Q$4:$Y$303,216,5)))</f>
        <v/>
      </c>
      <c r="I2756" s="27" t="str">
        <f>IF($E2756="","",N(INDEX(成本费用登记表!$Q$4:$Y$303,216,6)))</f>
        <v/>
      </c>
      <c r="J2756" s="26" t="str">
        <f>IF($E2756="","",INDEX(成本费用登记表!$C$4:$C$303,216))</f>
        <v/>
      </c>
      <c r="K2756" s="26" t="str">
        <f>IF($E2756="","",INDEX(成本费用登记表!$D$4:$D$303,216))</f>
        <v/>
      </c>
      <c r="L2756" s="32" t="str">
        <f>IF($E2756="","",INDEX(成本费用登记表!$N$4:$N$303,216))</f>
        <v/>
      </c>
      <c r="M2756" s="32"/>
      <c r="N2756" s="26" t="str">
        <f t="shared" si="138"/>
        <v/>
      </c>
      <c r="O2756" s="26" t="str">
        <f t="shared" si="139"/>
        <v/>
      </c>
      <c r="P2756" s="10"/>
    </row>
    <row r="2757" ht="18" customHeight="1" spans="1:16">
      <c r="A2757" s="32" t="str">
        <f t="shared" si="140"/>
        <v/>
      </c>
      <c r="B2757" s="100" t="str">
        <f>IF($E2757="","",INDEX(成本费用登记表!$B$4:$B$303,216))</f>
        <v/>
      </c>
      <c r="C2757" s="26" t="str">
        <f t="shared" si="137"/>
        <v/>
      </c>
      <c r="D2757" s="32" t="str">
        <f>IF($E2757="","",INDEX(成本费用登记表!$E$4:$E$303,216))</f>
        <v/>
      </c>
      <c r="E2757" s="26" t="str">
        <f>IF(INDEX(成本费用登记表!$Q$4:$Y$303,216,7)=0,"",INDEX(成本费用登记表!$Q$4:$Y$303,216,7))</f>
        <v/>
      </c>
      <c r="F2757" s="25" t="str">
        <f>IF($E2757="","",IFERROR(INDEX(科目表!$A$4:$A$81,MATCH($E2757,科目表!$B$4:$B$81,0)),""))</f>
        <v/>
      </c>
      <c r="G2757" s="26" t="str">
        <f>IF($E2757="","",IFERROR(INDEX(科目表!$E$4:$E$81,MATCH($E2757,科目表!$B$4:$B$81,0)),""))</f>
        <v/>
      </c>
      <c r="H2757" s="27" t="str">
        <f>IF($E2757="","",N(INDEX(成本费用登记表!$Q$4:$Y$303,216,8)))</f>
        <v/>
      </c>
      <c r="I2757" s="27" t="str">
        <f>IF($E2757="","",N(INDEX(成本费用登记表!$Q$4:$Y$303,216,9)))</f>
        <v/>
      </c>
      <c r="J2757" s="26" t="str">
        <f>IF($E2757="","",INDEX(成本费用登记表!$C$4:$C$303,216))</f>
        <v/>
      </c>
      <c r="K2757" s="26" t="str">
        <f>IF($E2757="","",INDEX(成本费用登记表!$D$4:$D$303,216))</f>
        <v/>
      </c>
      <c r="L2757" s="32" t="str">
        <f>IF($E2757="","",INDEX(成本费用登记表!$N$4:$N$303,216))</f>
        <v/>
      </c>
      <c r="M2757" s="32"/>
      <c r="N2757" s="26" t="str">
        <f t="shared" si="138"/>
        <v/>
      </c>
      <c r="O2757" s="26" t="str">
        <f t="shared" si="139"/>
        <v/>
      </c>
      <c r="P2757" s="10"/>
    </row>
    <row r="2758" ht="18" customHeight="1" spans="1:16">
      <c r="A2758" s="32" t="str">
        <f t="shared" si="140"/>
        <v/>
      </c>
      <c r="B2758" s="100" t="str">
        <f>IF($E2758="","",INDEX(成本费用登记表!$B$4:$B$303,217))</f>
        <v/>
      </c>
      <c r="C2758" s="26" t="str">
        <f t="shared" si="137"/>
        <v/>
      </c>
      <c r="D2758" s="32" t="str">
        <f>IF($E2758="","",INDEX(成本费用登记表!$E$4:$E$303,217))</f>
        <v/>
      </c>
      <c r="E2758" s="26" t="str">
        <f>IF(INDEX(成本费用登记表!$Q$4:$Y$303,217,1)=0,"",INDEX(成本费用登记表!$Q$4:$Y$303,217,1))</f>
        <v/>
      </c>
      <c r="F2758" s="25" t="str">
        <f>IF($E2758="","",IFERROR(INDEX(科目表!$A$4:$A$81,MATCH($E2758,科目表!$B$4:$B$81,0)),""))</f>
        <v/>
      </c>
      <c r="G2758" s="26" t="str">
        <f>IF($E2758="","",IFERROR(INDEX(科目表!$E$4:$E$81,MATCH($E2758,科目表!$B$4:$B$81,0)),""))</f>
        <v/>
      </c>
      <c r="H2758" s="27" t="str">
        <f>IF($E2758="","",N(INDEX(成本费用登记表!$Q$4:$Y$303,217,2)))</f>
        <v/>
      </c>
      <c r="I2758" s="27" t="str">
        <f>IF($E2758="","",N(INDEX(成本费用登记表!$Q$4:$Y$303,217,3)))</f>
        <v/>
      </c>
      <c r="J2758" s="26" t="str">
        <f>IF($E2758="","",INDEX(成本费用登记表!$C$4:$C$303,217))</f>
        <v/>
      </c>
      <c r="K2758" s="26" t="str">
        <f>IF($E2758="","",INDEX(成本费用登记表!$D$4:$D$303,217))</f>
        <v/>
      </c>
      <c r="L2758" s="32" t="str">
        <f>IF($E2758="","",INDEX(成本费用登记表!$N$4:$N$303,217))</f>
        <v/>
      </c>
      <c r="M2758" s="32"/>
      <c r="N2758" s="26" t="str">
        <f t="shared" si="138"/>
        <v/>
      </c>
      <c r="O2758" s="26" t="str">
        <f t="shared" si="139"/>
        <v/>
      </c>
      <c r="P2758" s="10"/>
    </row>
    <row r="2759" ht="18" customHeight="1" spans="1:16">
      <c r="A2759" s="32" t="str">
        <f t="shared" si="140"/>
        <v/>
      </c>
      <c r="B2759" s="100" t="str">
        <f>IF($E2759="","",INDEX(成本费用登记表!$B$4:$B$303,217))</f>
        <v/>
      </c>
      <c r="C2759" s="26" t="str">
        <f t="shared" si="137"/>
        <v/>
      </c>
      <c r="D2759" s="32" t="str">
        <f>IF($E2759="","",INDEX(成本费用登记表!$E$4:$E$303,217))</f>
        <v/>
      </c>
      <c r="E2759" s="26" t="str">
        <f>IF(INDEX(成本费用登记表!$Q$4:$Y$303,217,4)=0,"",INDEX(成本费用登记表!$Q$4:$Y$303,217,4))</f>
        <v/>
      </c>
      <c r="F2759" s="25" t="str">
        <f>IF($E2759="","",IFERROR(INDEX(科目表!$A$4:$A$81,MATCH($E2759,科目表!$B$4:$B$81,0)),""))</f>
        <v/>
      </c>
      <c r="G2759" s="26" t="str">
        <f>IF($E2759="","",IFERROR(INDEX(科目表!$E$4:$E$81,MATCH($E2759,科目表!$B$4:$B$81,0)),""))</f>
        <v/>
      </c>
      <c r="H2759" s="27" t="str">
        <f>IF($E2759="","",N(INDEX(成本费用登记表!$Q$4:$Y$303,217,5)))</f>
        <v/>
      </c>
      <c r="I2759" s="27" t="str">
        <f>IF($E2759="","",N(INDEX(成本费用登记表!$Q$4:$Y$303,217,6)))</f>
        <v/>
      </c>
      <c r="J2759" s="26" t="str">
        <f>IF($E2759="","",INDEX(成本费用登记表!$C$4:$C$303,217))</f>
        <v/>
      </c>
      <c r="K2759" s="26" t="str">
        <f>IF($E2759="","",INDEX(成本费用登记表!$D$4:$D$303,217))</f>
        <v/>
      </c>
      <c r="L2759" s="32" t="str">
        <f>IF($E2759="","",INDEX(成本费用登记表!$N$4:$N$303,217))</f>
        <v/>
      </c>
      <c r="M2759" s="32"/>
      <c r="N2759" s="26" t="str">
        <f t="shared" si="138"/>
        <v/>
      </c>
      <c r="O2759" s="26" t="str">
        <f t="shared" si="139"/>
        <v/>
      </c>
      <c r="P2759" s="10"/>
    </row>
    <row r="2760" ht="18" customHeight="1" spans="1:16">
      <c r="A2760" s="32" t="str">
        <f t="shared" si="140"/>
        <v/>
      </c>
      <c r="B2760" s="100" t="str">
        <f>IF($E2760="","",INDEX(成本费用登记表!$B$4:$B$303,217))</f>
        <v/>
      </c>
      <c r="C2760" s="26" t="str">
        <f t="shared" si="137"/>
        <v/>
      </c>
      <c r="D2760" s="32" t="str">
        <f>IF($E2760="","",INDEX(成本费用登记表!$E$4:$E$303,217))</f>
        <v/>
      </c>
      <c r="E2760" s="26" t="str">
        <f>IF(INDEX(成本费用登记表!$Q$4:$Y$303,217,7)=0,"",INDEX(成本费用登记表!$Q$4:$Y$303,217,7))</f>
        <v/>
      </c>
      <c r="F2760" s="25" t="str">
        <f>IF($E2760="","",IFERROR(INDEX(科目表!$A$4:$A$81,MATCH($E2760,科目表!$B$4:$B$81,0)),""))</f>
        <v/>
      </c>
      <c r="G2760" s="26" t="str">
        <f>IF($E2760="","",IFERROR(INDEX(科目表!$E$4:$E$81,MATCH($E2760,科目表!$B$4:$B$81,0)),""))</f>
        <v/>
      </c>
      <c r="H2760" s="27" t="str">
        <f>IF($E2760="","",N(INDEX(成本费用登记表!$Q$4:$Y$303,217,8)))</f>
        <v/>
      </c>
      <c r="I2760" s="27" t="str">
        <f>IF($E2760="","",N(INDEX(成本费用登记表!$Q$4:$Y$303,217,9)))</f>
        <v/>
      </c>
      <c r="J2760" s="26" t="str">
        <f>IF($E2760="","",INDEX(成本费用登记表!$C$4:$C$303,217))</f>
        <v/>
      </c>
      <c r="K2760" s="26" t="str">
        <f>IF($E2760="","",INDEX(成本费用登记表!$D$4:$D$303,217))</f>
        <v/>
      </c>
      <c r="L2760" s="32" t="str">
        <f>IF($E2760="","",INDEX(成本费用登记表!$N$4:$N$303,217))</f>
        <v/>
      </c>
      <c r="M2760" s="32"/>
      <c r="N2760" s="26" t="str">
        <f t="shared" si="138"/>
        <v/>
      </c>
      <c r="O2760" s="26" t="str">
        <f t="shared" si="139"/>
        <v/>
      </c>
      <c r="P2760" s="10"/>
    </row>
    <row r="2761" ht="18" customHeight="1" spans="1:16">
      <c r="A2761" s="32" t="str">
        <f t="shared" si="140"/>
        <v/>
      </c>
      <c r="B2761" s="100" t="str">
        <f>IF($E2761="","",INDEX(成本费用登记表!$B$4:$B$303,218))</f>
        <v/>
      </c>
      <c r="C2761" s="26" t="str">
        <f t="shared" si="137"/>
        <v/>
      </c>
      <c r="D2761" s="32" t="str">
        <f>IF($E2761="","",INDEX(成本费用登记表!$E$4:$E$303,218))</f>
        <v/>
      </c>
      <c r="E2761" s="26" t="str">
        <f>IF(INDEX(成本费用登记表!$Q$4:$Y$303,218,1)=0,"",INDEX(成本费用登记表!$Q$4:$Y$303,218,1))</f>
        <v/>
      </c>
      <c r="F2761" s="25" t="str">
        <f>IF($E2761="","",IFERROR(INDEX(科目表!$A$4:$A$81,MATCH($E2761,科目表!$B$4:$B$81,0)),""))</f>
        <v/>
      </c>
      <c r="G2761" s="26" t="str">
        <f>IF($E2761="","",IFERROR(INDEX(科目表!$E$4:$E$81,MATCH($E2761,科目表!$B$4:$B$81,0)),""))</f>
        <v/>
      </c>
      <c r="H2761" s="27" t="str">
        <f>IF($E2761="","",N(INDEX(成本费用登记表!$Q$4:$Y$303,218,2)))</f>
        <v/>
      </c>
      <c r="I2761" s="27" t="str">
        <f>IF($E2761="","",N(INDEX(成本费用登记表!$Q$4:$Y$303,218,3)))</f>
        <v/>
      </c>
      <c r="J2761" s="26" t="str">
        <f>IF($E2761="","",INDEX(成本费用登记表!$C$4:$C$303,218))</f>
        <v/>
      </c>
      <c r="K2761" s="26" t="str">
        <f>IF($E2761="","",INDEX(成本费用登记表!$D$4:$D$303,218))</f>
        <v/>
      </c>
      <c r="L2761" s="32" t="str">
        <f>IF($E2761="","",INDEX(成本费用登记表!$N$4:$N$303,218))</f>
        <v/>
      </c>
      <c r="M2761" s="32"/>
      <c r="N2761" s="26" t="str">
        <f t="shared" si="138"/>
        <v/>
      </c>
      <c r="O2761" s="26" t="str">
        <f t="shared" si="139"/>
        <v/>
      </c>
      <c r="P2761" s="10"/>
    </row>
    <row r="2762" ht="18" customHeight="1" spans="1:16">
      <c r="A2762" s="32" t="str">
        <f t="shared" si="140"/>
        <v/>
      </c>
      <c r="B2762" s="100" t="str">
        <f>IF($E2762="","",INDEX(成本费用登记表!$B$4:$B$303,218))</f>
        <v/>
      </c>
      <c r="C2762" s="26" t="str">
        <f t="shared" si="137"/>
        <v/>
      </c>
      <c r="D2762" s="32" t="str">
        <f>IF($E2762="","",INDEX(成本费用登记表!$E$4:$E$303,218))</f>
        <v/>
      </c>
      <c r="E2762" s="26" t="str">
        <f>IF(INDEX(成本费用登记表!$Q$4:$Y$303,218,4)=0,"",INDEX(成本费用登记表!$Q$4:$Y$303,218,4))</f>
        <v/>
      </c>
      <c r="F2762" s="25" t="str">
        <f>IF($E2762="","",IFERROR(INDEX(科目表!$A$4:$A$81,MATCH($E2762,科目表!$B$4:$B$81,0)),""))</f>
        <v/>
      </c>
      <c r="G2762" s="26" t="str">
        <f>IF($E2762="","",IFERROR(INDEX(科目表!$E$4:$E$81,MATCH($E2762,科目表!$B$4:$B$81,0)),""))</f>
        <v/>
      </c>
      <c r="H2762" s="27" t="str">
        <f>IF($E2762="","",N(INDEX(成本费用登记表!$Q$4:$Y$303,218,5)))</f>
        <v/>
      </c>
      <c r="I2762" s="27" t="str">
        <f>IF($E2762="","",N(INDEX(成本费用登记表!$Q$4:$Y$303,218,6)))</f>
        <v/>
      </c>
      <c r="J2762" s="26" t="str">
        <f>IF($E2762="","",INDEX(成本费用登记表!$C$4:$C$303,218))</f>
        <v/>
      </c>
      <c r="K2762" s="26" t="str">
        <f>IF($E2762="","",INDEX(成本费用登记表!$D$4:$D$303,218))</f>
        <v/>
      </c>
      <c r="L2762" s="32" t="str">
        <f>IF($E2762="","",INDEX(成本费用登记表!$N$4:$N$303,218))</f>
        <v/>
      </c>
      <c r="M2762" s="32"/>
      <c r="N2762" s="26" t="str">
        <f t="shared" si="138"/>
        <v/>
      </c>
      <c r="O2762" s="26" t="str">
        <f t="shared" si="139"/>
        <v/>
      </c>
      <c r="P2762" s="10"/>
    </row>
    <row r="2763" ht="18" customHeight="1" spans="1:16">
      <c r="A2763" s="32" t="str">
        <f t="shared" si="140"/>
        <v/>
      </c>
      <c r="B2763" s="100" t="str">
        <f>IF($E2763="","",INDEX(成本费用登记表!$B$4:$B$303,218))</f>
        <v/>
      </c>
      <c r="C2763" s="26" t="str">
        <f t="shared" si="137"/>
        <v/>
      </c>
      <c r="D2763" s="32" t="str">
        <f>IF($E2763="","",INDEX(成本费用登记表!$E$4:$E$303,218))</f>
        <v/>
      </c>
      <c r="E2763" s="26" t="str">
        <f>IF(INDEX(成本费用登记表!$Q$4:$Y$303,218,7)=0,"",INDEX(成本费用登记表!$Q$4:$Y$303,218,7))</f>
        <v/>
      </c>
      <c r="F2763" s="25" t="str">
        <f>IF($E2763="","",IFERROR(INDEX(科目表!$A$4:$A$81,MATCH($E2763,科目表!$B$4:$B$81,0)),""))</f>
        <v/>
      </c>
      <c r="G2763" s="26" t="str">
        <f>IF($E2763="","",IFERROR(INDEX(科目表!$E$4:$E$81,MATCH($E2763,科目表!$B$4:$B$81,0)),""))</f>
        <v/>
      </c>
      <c r="H2763" s="27" t="str">
        <f>IF($E2763="","",N(INDEX(成本费用登记表!$Q$4:$Y$303,218,8)))</f>
        <v/>
      </c>
      <c r="I2763" s="27" t="str">
        <f>IF($E2763="","",N(INDEX(成本费用登记表!$Q$4:$Y$303,218,9)))</f>
        <v/>
      </c>
      <c r="J2763" s="26" t="str">
        <f>IF($E2763="","",INDEX(成本费用登记表!$C$4:$C$303,218))</f>
        <v/>
      </c>
      <c r="K2763" s="26" t="str">
        <f>IF($E2763="","",INDEX(成本费用登记表!$D$4:$D$303,218))</f>
        <v/>
      </c>
      <c r="L2763" s="32" t="str">
        <f>IF($E2763="","",INDEX(成本费用登记表!$N$4:$N$303,218))</f>
        <v/>
      </c>
      <c r="M2763" s="32"/>
      <c r="N2763" s="26" t="str">
        <f t="shared" si="138"/>
        <v/>
      </c>
      <c r="O2763" s="26" t="str">
        <f t="shared" si="139"/>
        <v/>
      </c>
      <c r="P2763" s="10"/>
    </row>
    <row r="2764" ht="18" customHeight="1" spans="1:16">
      <c r="A2764" s="32" t="str">
        <f t="shared" si="140"/>
        <v/>
      </c>
      <c r="B2764" s="100" t="str">
        <f>IF($E2764="","",INDEX(成本费用登记表!$B$4:$B$303,219))</f>
        <v/>
      </c>
      <c r="C2764" s="26" t="str">
        <f t="shared" si="137"/>
        <v/>
      </c>
      <c r="D2764" s="32" t="str">
        <f>IF($E2764="","",INDEX(成本费用登记表!$E$4:$E$303,219))</f>
        <v/>
      </c>
      <c r="E2764" s="26" t="str">
        <f>IF(INDEX(成本费用登记表!$Q$4:$Y$303,219,1)=0,"",INDEX(成本费用登记表!$Q$4:$Y$303,219,1))</f>
        <v/>
      </c>
      <c r="F2764" s="25" t="str">
        <f>IF($E2764="","",IFERROR(INDEX(科目表!$A$4:$A$81,MATCH($E2764,科目表!$B$4:$B$81,0)),""))</f>
        <v/>
      </c>
      <c r="G2764" s="26" t="str">
        <f>IF($E2764="","",IFERROR(INDEX(科目表!$E$4:$E$81,MATCH($E2764,科目表!$B$4:$B$81,0)),""))</f>
        <v/>
      </c>
      <c r="H2764" s="27" t="str">
        <f>IF($E2764="","",N(INDEX(成本费用登记表!$Q$4:$Y$303,219,2)))</f>
        <v/>
      </c>
      <c r="I2764" s="27" t="str">
        <f>IF($E2764="","",N(INDEX(成本费用登记表!$Q$4:$Y$303,219,3)))</f>
        <v/>
      </c>
      <c r="J2764" s="26" t="str">
        <f>IF($E2764="","",INDEX(成本费用登记表!$C$4:$C$303,219))</f>
        <v/>
      </c>
      <c r="K2764" s="26" t="str">
        <f>IF($E2764="","",INDEX(成本费用登记表!$D$4:$D$303,219))</f>
        <v/>
      </c>
      <c r="L2764" s="32" t="str">
        <f>IF($E2764="","",INDEX(成本费用登记表!$N$4:$N$303,219))</f>
        <v/>
      </c>
      <c r="M2764" s="32"/>
      <c r="N2764" s="26" t="str">
        <f t="shared" si="138"/>
        <v/>
      </c>
      <c r="O2764" s="26" t="str">
        <f t="shared" si="139"/>
        <v/>
      </c>
      <c r="P2764" s="10"/>
    </row>
    <row r="2765" ht="18" customHeight="1" spans="1:16">
      <c r="A2765" s="32" t="str">
        <f t="shared" si="140"/>
        <v/>
      </c>
      <c r="B2765" s="100" t="str">
        <f>IF($E2765="","",INDEX(成本费用登记表!$B$4:$B$303,219))</f>
        <v/>
      </c>
      <c r="C2765" s="26" t="str">
        <f t="shared" si="137"/>
        <v/>
      </c>
      <c r="D2765" s="32" t="str">
        <f>IF($E2765="","",INDEX(成本费用登记表!$E$4:$E$303,219))</f>
        <v/>
      </c>
      <c r="E2765" s="26" t="str">
        <f>IF(INDEX(成本费用登记表!$Q$4:$Y$303,219,4)=0,"",INDEX(成本费用登记表!$Q$4:$Y$303,219,4))</f>
        <v/>
      </c>
      <c r="F2765" s="25" t="str">
        <f>IF($E2765="","",IFERROR(INDEX(科目表!$A$4:$A$81,MATCH($E2765,科目表!$B$4:$B$81,0)),""))</f>
        <v/>
      </c>
      <c r="G2765" s="26" t="str">
        <f>IF($E2765="","",IFERROR(INDEX(科目表!$E$4:$E$81,MATCH($E2765,科目表!$B$4:$B$81,0)),""))</f>
        <v/>
      </c>
      <c r="H2765" s="27" t="str">
        <f>IF($E2765="","",N(INDEX(成本费用登记表!$Q$4:$Y$303,219,5)))</f>
        <v/>
      </c>
      <c r="I2765" s="27" t="str">
        <f>IF($E2765="","",N(INDEX(成本费用登记表!$Q$4:$Y$303,219,6)))</f>
        <v/>
      </c>
      <c r="J2765" s="26" t="str">
        <f>IF($E2765="","",INDEX(成本费用登记表!$C$4:$C$303,219))</f>
        <v/>
      </c>
      <c r="K2765" s="26" t="str">
        <f>IF($E2765="","",INDEX(成本费用登记表!$D$4:$D$303,219))</f>
        <v/>
      </c>
      <c r="L2765" s="32" t="str">
        <f>IF($E2765="","",INDEX(成本费用登记表!$N$4:$N$303,219))</f>
        <v/>
      </c>
      <c r="M2765" s="32"/>
      <c r="N2765" s="26" t="str">
        <f t="shared" si="138"/>
        <v/>
      </c>
      <c r="O2765" s="26" t="str">
        <f t="shared" si="139"/>
        <v/>
      </c>
      <c r="P2765" s="10"/>
    </row>
    <row r="2766" ht="18" customHeight="1" spans="1:16">
      <c r="A2766" s="32" t="str">
        <f t="shared" si="140"/>
        <v/>
      </c>
      <c r="B2766" s="100" t="str">
        <f>IF($E2766="","",INDEX(成本费用登记表!$B$4:$B$303,219))</f>
        <v/>
      </c>
      <c r="C2766" s="26" t="str">
        <f t="shared" si="137"/>
        <v/>
      </c>
      <c r="D2766" s="32" t="str">
        <f>IF($E2766="","",INDEX(成本费用登记表!$E$4:$E$303,219))</f>
        <v/>
      </c>
      <c r="E2766" s="26" t="str">
        <f>IF(INDEX(成本费用登记表!$Q$4:$Y$303,219,7)=0,"",INDEX(成本费用登记表!$Q$4:$Y$303,219,7))</f>
        <v/>
      </c>
      <c r="F2766" s="25" t="str">
        <f>IF($E2766="","",IFERROR(INDEX(科目表!$A$4:$A$81,MATCH($E2766,科目表!$B$4:$B$81,0)),""))</f>
        <v/>
      </c>
      <c r="G2766" s="26" t="str">
        <f>IF($E2766="","",IFERROR(INDEX(科目表!$E$4:$E$81,MATCH($E2766,科目表!$B$4:$B$81,0)),""))</f>
        <v/>
      </c>
      <c r="H2766" s="27" t="str">
        <f>IF($E2766="","",N(INDEX(成本费用登记表!$Q$4:$Y$303,219,8)))</f>
        <v/>
      </c>
      <c r="I2766" s="27" t="str">
        <f>IF($E2766="","",N(INDEX(成本费用登记表!$Q$4:$Y$303,219,9)))</f>
        <v/>
      </c>
      <c r="J2766" s="26" t="str">
        <f>IF($E2766="","",INDEX(成本费用登记表!$C$4:$C$303,219))</f>
        <v/>
      </c>
      <c r="K2766" s="26" t="str">
        <f>IF($E2766="","",INDEX(成本费用登记表!$D$4:$D$303,219))</f>
        <v/>
      </c>
      <c r="L2766" s="32" t="str">
        <f>IF($E2766="","",INDEX(成本费用登记表!$N$4:$N$303,219))</f>
        <v/>
      </c>
      <c r="M2766" s="32"/>
      <c r="N2766" s="26" t="str">
        <f t="shared" si="138"/>
        <v/>
      </c>
      <c r="O2766" s="26" t="str">
        <f t="shared" si="139"/>
        <v/>
      </c>
      <c r="P2766" s="10"/>
    </row>
    <row r="2767" ht="18" customHeight="1" spans="1:16">
      <c r="A2767" s="32" t="str">
        <f t="shared" si="140"/>
        <v/>
      </c>
      <c r="B2767" s="100" t="str">
        <f>IF($E2767="","",INDEX(成本费用登记表!$B$4:$B$303,220))</f>
        <v/>
      </c>
      <c r="C2767" s="26" t="str">
        <f t="shared" si="137"/>
        <v/>
      </c>
      <c r="D2767" s="32" t="str">
        <f>IF($E2767="","",INDEX(成本费用登记表!$E$4:$E$303,220))</f>
        <v/>
      </c>
      <c r="E2767" s="26" t="str">
        <f>IF(INDEX(成本费用登记表!$Q$4:$Y$303,220,1)=0,"",INDEX(成本费用登记表!$Q$4:$Y$303,220,1))</f>
        <v/>
      </c>
      <c r="F2767" s="25" t="str">
        <f>IF($E2767="","",IFERROR(INDEX(科目表!$A$4:$A$81,MATCH($E2767,科目表!$B$4:$B$81,0)),""))</f>
        <v/>
      </c>
      <c r="G2767" s="26" t="str">
        <f>IF($E2767="","",IFERROR(INDEX(科目表!$E$4:$E$81,MATCH($E2767,科目表!$B$4:$B$81,0)),""))</f>
        <v/>
      </c>
      <c r="H2767" s="27" t="str">
        <f>IF($E2767="","",N(INDEX(成本费用登记表!$Q$4:$Y$303,220,2)))</f>
        <v/>
      </c>
      <c r="I2767" s="27" t="str">
        <f>IF($E2767="","",N(INDEX(成本费用登记表!$Q$4:$Y$303,220,3)))</f>
        <v/>
      </c>
      <c r="J2767" s="26" t="str">
        <f>IF($E2767="","",INDEX(成本费用登记表!$C$4:$C$303,220))</f>
        <v/>
      </c>
      <c r="K2767" s="26" t="str">
        <f>IF($E2767="","",INDEX(成本费用登记表!$D$4:$D$303,220))</f>
        <v/>
      </c>
      <c r="L2767" s="32" t="str">
        <f>IF($E2767="","",INDEX(成本费用登记表!$N$4:$N$303,220))</f>
        <v/>
      </c>
      <c r="M2767" s="32"/>
      <c r="N2767" s="26" t="str">
        <f t="shared" si="138"/>
        <v/>
      </c>
      <c r="O2767" s="26" t="str">
        <f t="shared" si="139"/>
        <v/>
      </c>
      <c r="P2767" s="10"/>
    </row>
    <row r="2768" ht="18" customHeight="1" spans="1:16">
      <c r="A2768" s="32" t="str">
        <f t="shared" si="140"/>
        <v/>
      </c>
      <c r="B2768" s="100" t="str">
        <f>IF($E2768="","",INDEX(成本费用登记表!$B$4:$B$303,220))</f>
        <v/>
      </c>
      <c r="C2768" s="26" t="str">
        <f t="shared" si="137"/>
        <v/>
      </c>
      <c r="D2768" s="32" t="str">
        <f>IF($E2768="","",INDEX(成本费用登记表!$E$4:$E$303,220))</f>
        <v/>
      </c>
      <c r="E2768" s="26" t="str">
        <f>IF(INDEX(成本费用登记表!$Q$4:$Y$303,220,4)=0,"",INDEX(成本费用登记表!$Q$4:$Y$303,220,4))</f>
        <v/>
      </c>
      <c r="F2768" s="25" t="str">
        <f>IF($E2768="","",IFERROR(INDEX(科目表!$A$4:$A$81,MATCH($E2768,科目表!$B$4:$B$81,0)),""))</f>
        <v/>
      </c>
      <c r="G2768" s="26" t="str">
        <f>IF($E2768="","",IFERROR(INDEX(科目表!$E$4:$E$81,MATCH($E2768,科目表!$B$4:$B$81,0)),""))</f>
        <v/>
      </c>
      <c r="H2768" s="27" t="str">
        <f>IF($E2768="","",N(INDEX(成本费用登记表!$Q$4:$Y$303,220,5)))</f>
        <v/>
      </c>
      <c r="I2768" s="27" t="str">
        <f>IF($E2768="","",N(INDEX(成本费用登记表!$Q$4:$Y$303,220,6)))</f>
        <v/>
      </c>
      <c r="J2768" s="26" t="str">
        <f>IF($E2768="","",INDEX(成本费用登记表!$C$4:$C$303,220))</f>
        <v/>
      </c>
      <c r="K2768" s="26" t="str">
        <f>IF($E2768="","",INDEX(成本费用登记表!$D$4:$D$303,220))</f>
        <v/>
      </c>
      <c r="L2768" s="32" t="str">
        <f>IF($E2768="","",INDEX(成本费用登记表!$N$4:$N$303,220))</f>
        <v/>
      </c>
      <c r="M2768" s="32"/>
      <c r="N2768" s="26" t="str">
        <f t="shared" si="138"/>
        <v/>
      </c>
      <c r="O2768" s="26" t="str">
        <f t="shared" si="139"/>
        <v/>
      </c>
      <c r="P2768" s="10"/>
    </row>
    <row r="2769" ht="18" customHeight="1" spans="1:16">
      <c r="A2769" s="32" t="str">
        <f t="shared" si="140"/>
        <v/>
      </c>
      <c r="B2769" s="100" t="str">
        <f>IF($E2769="","",INDEX(成本费用登记表!$B$4:$B$303,220))</f>
        <v/>
      </c>
      <c r="C2769" s="26" t="str">
        <f t="shared" si="137"/>
        <v/>
      </c>
      <c r="D2769" s="32" t="str">
        <f>IF($E2769="","",INDEX(成本费用登记表!$E$4:$E$303,220))</f>
        <v/>
      </c>
      <c r="E2769" s="26" t="str">
        <f>IF(INDEX(成本费用登记表!$Q$4:$Y$303,220,7)=0,"",INDEX(成本费用登记表!$Q$4:$Y$303,220,7))</f>
        <v/>
      </c>
      <c r="F2769" s="25" t="str">
        <f>IF($E2769="","",IFERROR(INDEX(科目表!$A$4:$A$81,MATCH($E2769,科目表!$B$4:$B$81,0)),""))</f>
        <v/>
      </c>
      <c r="G2769" s="26" t="str">
        <f>IF($E2769="","",IFERROR(INDEX(科目表!$E$4:$E$81,MATCH($E2769,科目表!$B$4:$B$81,0)),""))</f>
        <v/>
      </c>
      <c r="H2769" s="27" t="str">
        <f>IF($E2769="","",N(INDEX(成本费用登记表!$Q$4:$Y$303,220,8)))</f>
        <v/>
      </c>
      <c r="I2769" s="27" t="str">
        <f>IF($E2769="","",N(INDEX(成本费用登记表!$Q$4:$Y$303,220,9)))</f>
        <v/>
      </c>
      <c r="J2769" s="26" t="str">
        <f>IF($E2769="","",INDEX(成本费用登记表!$C$4:$C$303,220))</f>
        <v/>
      </c>
      <c r="K2769" s="26" t="str">
        <f>IF($E2769="","",INDEX(成本费用登记表!$D$4:$D$303,220))</f>
        <v/>
      </c>
      <c r="L2769" s="32" t="str">
        <f>IF($E2769="","",INDEX(成本费用登记表!$N$4:$N$303,220))</f>
        <v/>
      </c>
      <c r="M2769" s="32"/>
      <c r="N2769" s="26" t="str">
        <f t="shared" si="138"/>
        <v/>
      </c>
      <c r="O2769" s="26" t="str">
        <f t="shared" si="139"/>
        <v/>
      </c>
      <c r="P2769" s="10"/>
    </row>
    <row r="2770" ht="18" customHeight="1" spans="1:16">
      <c r="A2770" s="32" t="str">
        <f t="shared" si="140"/>
        <v/>
      </c>
      <c r="B2770" s="100" t="str">
        <f>IF($E2770="","",INDEX(成本费用登记表!$B$4:$B$303,221))</f>
        <v/>
      </c>
      <c r="C2770" s="26" t="str">
        <f t="shared" si="137"/>
        <v/>
      </c>
      <c r="D2770" s="32" t="str">
        <f>IF($E2770="","",INDEX(成本费用登记表!$E$4:$E$303,221))</f>
        <v/>
      </c>
      <c r="E2770" s="26" t="str">
        <f>IF(INDEX(成本费用登记表!$Q$4:$Y$303,221,1)=0,"",INDEX(成本费用登记表!$Q$4:$Y$303,221,1))</f>
        <v/>
      </c>
      <c r="F2770" s="25" t="str">
        <f>IF($E2770="","",IFERROR(INDEX(科目表!$A$4:$A$81,MATCH($E2770,科目表!$B$4:$B$81,0)),""))</f>
        <v/>
      </c>
      <c r="G2770" s="26" t="str">
        <f>IF($E2770="","",IFERROR(INDEX(科目表!$E$4:$E$81,MATCH($E2770,科目表!$B$4:$B$81,0)),""))</f>
        <v/>
      </c>
      <c r="H2770" s="27" t="str">
        <f>IF($E2770="","",N(INDEX(成本费用登记表!$Q$4:$Y$303,221,2)))</f>
        <v/>
      </c>
      <c r="I2770" s="27" t="str">
        <f>IF($E2770="","",N(INDEX(成本费用登记表!$Q$4:$Y$303,221,3)))</f>
        <v/>
      </c>
      <c r="J2770" s="26" t="str">
        <f>IF($E2770="","",INDEX(成本费用登记表!$C$4:$C$303,221))</f>
        <v/>
      </c>
      <c r="K2770" s="26" t="str">
        <f>IF($E2770="","",INDEX(成本费用登记表!$D$4:$D$303,221))</f>
        <v/>
      </c>
      <c r="L2770" s="32" t="str">
        <f>IF($E2770="","",INDEX(成本费用登记表!$N$4:$N$303,221))</f>
        <v/>
      </c>
      <c r="M2770" s="32"/>
      <c r="N2770" s="26" t="str">
        <f t="shared" si="138"/>
        <v/>
      </c>
      <c r="O2770" s="26" t="str">
        <f t="shared" si="139"/>
        <v/>
      </c>
      <c r="P2770" s="10"/>
    </row>
    <row r="2771" ht="18" customHeight="1" spans="1:16">
      <c r="A2771" s="32" t="str">
        <f t="shared" si="140"/>
        <v/>
      </c>
      <c r="B2771" s="100" t="str">
        <f>IF($E2771="","",INDEX(成本费用登记表!$B$4:$B$303,221))</f>
        <v/>
      </c>
      <c r="C2771" s="26" t="str">
        <f t="shared" si="137"/>
        <v/>
      </c>
      <c r="D2771" s="32" t="str">
        <f>IF($E2771="","",INDEX(成本费用登记表!$E$4:$E$303,221))</f>
        <v/>
      </c>
      <c r="E2771" s="26" t="str">
        <f>IF(INDEX(成本费用登记表!$Q$4:$Y$303,221,4)=0,"",INDEX(成本费用登记表!$Q$4:$Y$303,221,4))</f>
        <v/>
      </c>
      <c r="F2771" s="25" t="str">
        <f>IF($E2771="","",IFERROR(INDEX(科目表!$A$4:$A$81,MATCH($E2771,科目表!$B$4:$B$81,0)),""))</f>
        <v/>
      </c>
      <c r="G2771" s="26" t="str">
        <f>IF($E2771="","",IFERROR(INDEX(科目表!$E$4:$E$81,MATCH($E2771,科目表!$B$4:$B$81,0)),""))</f>
        <v/>
      </c>
      <c r="H2771" s="27" t="str">
        <f>IF($E2771="","",N(INDEX(成本费用登记表!$Q$4:$Y$303,221,5)))</f>
        <v/>
      </c>
      <c r="I2771" s="27" t="str">
        <f>IF($E2771="","",N(INDEX(成本费用登记表!$Q$4:$Y$303,221,6)))</f>
        <v/>
      </c>
      <c r="J2771" s="26" t="str">
        <f>IF($E2771="","",INDEX(成本费用登记表!$C$4:$C$303,221))</f>
        <v/>
      </c>
      <c r="K2771" s="26" t="str">
        <f>IF($E2771="","",INDEX(成本费用登记表!$D$4:$D$303,221))</f>
        <v/>
      </c>
      <c r="L2771" s="32" t="str">
        <f>IF($E2771="","",INDEX(成本费用登记表!$N$4:$N$303,221))</f>
        <v/>
      </c>
      <c r="M2771" s="32"/>
      <c r="N2771" s="26" t="str">
        <f t="shared" si="138"/>
        <v/>
      </c>
      <c r="O2771" s="26" t="str">
        <f t="shared" si="139"/>
        <v/>
      </c>
      <c r="P2771" s="10"/>
    </row>
    <row r="2772" ht="18" customHeight="1" spans="1:16">
      <c r="A2772" s="32" t="str">
        <f t="shared" si="140"/>
        <v/>
      </c>
      <c r="B2772" s="100" t="str">
        <f>IF($E2772="","",INDEX(成本费用登记表!$B$4:$B$303,221))</f>
        <v/>
      </c>
      <c r="C2772" s="26" t="str">
        <f t="shared" si="137"/>
        <v/>
      </c>
      <c r="D2772" s="32" t="str">
        <f>IF($E2772="","",INDEX(成本费用登记表!$E$4:$E$303,221))</f>
        <v/>
      </c>
      <c r="E2772" s="26" t="str">
        <f>IF(INDEX(成本费用登记表!$Q$4:$Y$303,221,7)=0,"",INDEX(成本费用登记表!$Q$4:$Y$303,221,7))</f>
        <v/>
      </c>
      <c r="F2772" s="25" t="str">
        <f>IF($E2772="","",IFERROR(INDEX(科目表!$A$4:$A$81,MATCH($E2772,科目表!$B$4:$B$81,0)),""))</f>
        <v/>
      </c>
      <c r="G2772" s="26" t="str">
        <f>IF($E2772="","",IFERROR(INDEX(科目表!$E$4:$E$81,MATCH($E2772,科目表!$B$4:$B$81,0)),""))</f>
        <v/>
      </c>
      <c r="H2772" s="27" t="str">
        <f>IF($E2772="","",N(INDEX(成本费用登记表!$Q$4:$Y$303,221,8)))</f>
        <v/>
      </c>
      <c r="I2772" s="27" t="str">
        <f>IF($E2772="","",N(INDEX(成本费用登记表!$Q$4:$Y$303,221,9)))</f>
        <v/>
      </c>
      <c r="J2772" s="26" t="str">
        <f>IF($E2772="","",INDEX(成本费用登记表!$C$4:$C$303,221))</f>
        <v/>
      </c>
      <c r="K2772" s="26" t="str">
        <f>IF($E2772="","",INDEX(成本费用登记表!$D$4:$D$303,221))</f>
        <v/>
      </c>
      <c r="L2772" s="32" t="str">
        <f>IF($E2772="","",INDEX(成本费用登记表!$N$4:$N$303,221))</f>
        <v/>
      </c>
      <c r="M2772" s="32"/>
      <c r="N2772" s="26" t="str">
        <f t="shared" si="138"/>
        <v/>
      </c>
      <c r="O2772" s="26" t="str">
        <f t="shared" si="139"/>
        <v/>
      </c>
      <c r="P2772" s="10"/>
    </row>
    <row r="2773" ht="18" customHeight="1" spans="1:16">
      <c r="A2773" s="32" t="str">
        <f t="shared" si="140"/>
        <v/>
      </c>
      <c r="B2773" s="100" t="str">
        <f>IF($E2773="","",INDEX(成本费用登记表!$B$4:$B$303,222))</f>
        <v/>
      </c>
      <c r="C2773" s="26" t="str">
        <f t="shared" si="137"/>
        <v/>
      </c>
      <c r="D2773" s="32" t="str">
        <f>IF($E2773="","",INDEX(成本费用登记表!$E$4:$E$303,222))</f>
        <v/>
      </c>
      <c r="E2773" s="26" t="str">
        <f>IF(INDEX(成本费用登记表!$Q$4:$Y$303,222,1)=0,"",INDEX(成本费用登记表!$Q$4:$Y$303,222,1))</f>
        <v/>
      </c>
      <c r="F2773" s="25" t="str">
        <f>IF($E2773="","",IFERROR(INDEX(科目表!$A$4:$A$81,MATCH($E2773,科目表!$B$4:$B$81,0)),""))</f>
        <v/>
      </c>
      <c r="G2773" s="26" t="str">
        <f>IF($E2773="","",IFERROR(INDEX(科目表!$E$4:$E$81,MATCH($E2773,科目表!$B$4:$B$81,0)),""))</f>
        <v/>
      </c>
      <c r="H2773" s="27" t="str">
        <f>IF($E2773="","",N(INDEX(成本费用登记表!$Q$4:$Y$303,222,2)))</f>
        <v/>
      </c>
      <c r="I2773" s="27" t="str">
        <f>IF($E2773="","",N(INDEX(成本费用登记表!$Q$4:$Y$303,222,3)))</f>
        <v/>
      </c>
      <c r="J2773" s="26" t="str">
        <f>IF($E2773="","",INDEX(成本费用登记表!$C$4:$C$303,222))</f>
        <v/>
      </c>
      <c r="K2773" s="26" t="str">
        <f>IF($E2773="","",INDEX(成本费用登记表!$D$4:$D$303,222))</f>
        <v/>
      </c>
      <c r="L2773" s="32" t="str">
        <f>IF($E2773="","",INDEX(成本费用登记表!$N$4:$N$303,222))</f>
        <v/>
      </c>
      <c r="M2773" s="32"/>
      <c r="N2773" s="26" t="str">
        <f t="shared" si="138"/>
        <v/>
      </c>
      <c r="O2773" s="26" t="str">
        <f t="shared" si="139"/>
        <v/>
      </c>
      <c r="P2773" s="10"/>
    </row>
    <row r="2774" ht="18" customHeight="1" spans="1:16">
      <c r="A2774" s="32" t="str">
        <f t="shared" si="140"/>
        <v/>
      </c>
      <c r="B2774" s="100" t="str">
        <f>IF($E2774="","",INDEX(成本费用登记表!$B$4:$B$303,222))</f>
        <v/>
      </c>
      <c r="C2774" s="26" t="str">
        <f t="shared" si="137"/>
        <v/>
      </c>
      <c r="D2774" s="32" t="str">
        <f>IF($E2774="","",INDEX(成本费用登记表!$E$4:$E$303,222))</f>
        <v/>
      </c>
      <c r="E2774" s="26" t="str">
        <f>IF(INDEX(成本费用登记表!$Q$4:$Y$303,222,4)=0,"",INDEX(成本费用登记表!$Q$4:$Y$303,222,4))</f>
        <v/>
      </c>
      <c r="F2774" s="25" t="str">
        <f>IF($E2774="","",IFERROR(INDEX(科目表!$A$4:$A$81,MATCH($E2774,科目表!$B$4:$B$81,0)),""))</f>
        <v/>
      </c>
      <c r="G2774" s="26" t="str">
        <f>IF($E2774="","",IFERROR(INDEX(科目表!$E$4:$E$81,MATCH($E2774,科目表!$B$4:$B$81,0)),""))</f>
        <v/>
      </c>
      <c r="H2774" s="27" t="str">
        <f>IF($E2774="","",N(INDEX(成本费用登记表!$Q$4:$Y$303,222,5)))</f>
        <v/>
      </c>
      <c r="I2774" s="27" t="str">
        <f>IF($E2774="","",N(INDEX(成本费用登记表!$Q$4:$Y$303,222,6)))</f>
        <v/>
      </c>
      <c r="J2774" s="26" t="str">
        <f>IF($E2774="","",INDEX(成本费用登记表!$C$4:$C$303,222))</f>
        <v/>
      </c>
      <c r="K2774" s="26" t="str">
        <f>IF($E2774="","",INDEX(成本费用登记表!$D$4:$D$303,222))</f>
        <v/>
      </c>
      <c r="L2774" s="32" t="str">
        <f>IF($E2774="","",INDEX(成本费用登记表!$N$4:$N$303,222))</f>
        <v/>
      </c>
      <c r="M2774" s="32"/>
      <c r="N2774" s="26" t="str">
        <f t="shared" si="138"/>
        <v/>
      </c>
      <c r="O2774" s="26" t="str">
        <f t="shared" si="139"/>
        <v/>
      </c>
      <c r="P2774" s="10"/>
    </row>
    <row r="2775" ht="18" customHeight="1" spans="1:16">
      <c r="A2775" s="32" t="str">
        <f t="shared" si="140"/>
        <v/>
      </c>
      <c r="B2775" s="100" t="str">
        <f>IF($E2775="","",INDEX(成本费用登记表!$B$4:$B$303,222))</f>
        <v/>
      </c>
      <c r="C2775" s="26" t="str">
        <f t="shared" si="137"/>
        <v/>
      </c>
      <c r="D2775" s="32" t="str">
        <f>IF($E2775="","",INDEX(成本费用登记表!$E$4:$E$303,222))</f>
        <v/>
      </c>
      <c r="E2775" s="26" t="str">
        <f>IF(INDEX(成本费用登记表!$Q$4:$Y$303,222,7)=0,"",INDEX(成本费用登记表!$Q$4:$Y$303,222,7))</f>
        <v/>
      </c>
      <c r="F2775" s="25" t="str">
        <f>IF($E2775="","",IFERROR(INDEX(科目表!$A$4:$A$81,MATCH($E2775,科目表!$B$4:$B$81,0)),""))</f>
        <v/>
      </c>
      <c r="G2775" s="26" t="str">
        <f>IF($E2775="","",IFERROR(INDEX(科目表!$E$4:$E$81,MATCH($E2775,科目表!$B$4:$B$81,0)),""))</f>
        <v/>
      </c>
      <c r="H2775" s="27" t="str">
        <f>IF($E2775="","",N(INDEX(成本费用登记表!$Q$4:$Y$303,222,8)))</f>
        <v/>
      </c>
      <c r="I2775" s="27" t="str">
        <f>IF($E2775="","",N(INDEX(成本费用登记表!$Q$4:$Y$303,222,9)))</f>
        <v/>
      </c>
      <c r="J2775" s="26" t="str">
        <f>IF($E2775="","",INDEX(成本费用登记表!$C$4:$C$303,222))</f>
        <v/>
      </c>
      <c r="K2775" s="26" t="str">
        <f>IF($E2775="","",INDEX(成本费用登记表!$D$4:$D$303,222))</f>
        <v/>
      </c>
      <c r="L2775" s="32" t="str">
        <f>IF($E2775="","",INDEX(成本费用登记表!$N$4:$N$303,222))</f>
        <v/>
      </c>
      <c r="M2775" s="32"/>
      <c r="N2775" s="26" t="str">
        <f t="shared" si="138"/>
        <v/>
      </c>
      <c r="O2775" s="26" t="str">
        <f t="shared" si="139"/>
        <v/>
      </c>
      <c r="P2775" s="10"/>
    </row>
    <row r="2776" ht="18" customHeight="1" spans="1:16">
      <c r="A2776" s="32" t="str">
        <f t="shared" si="140"/>
        <v/>
      </c>
      <c r="B2776" s="100" t="str">
        <f>IF($E2776="","",INDEX(成本费用登记表!$B$4:$B$303,223))</f>
        <v/>
      </c>
      <c r="C2776" s="26" t="str">
        <f t="shared" si="137"/>
        <v/>
      </c>
      <c r="D2776" s="32" t="str">
        <f>IF($E2776="","",INDEX(成本费用登记表!$E$4:$E$303,223))</f>
        <v/>
      </c>
      <c r="E2776" s="26" t="str">
        <f>IF(INDEX(成本费用登记表!$Q$4:$Y$303,223,1)=0,"",INDEX(成本费用登记表!$Q$4:$Y$303,223,1))</f>
        <v/>
      </c>
      <c r="F2776" s="25" t="str">
        <f>IF($E2776="","",IFERROR(INDEX(科目表!$A$4:$A$81,MATCH($E2776,科目表!$B$4:$B$81,0)),""))</f>
        <v/>
      </c>
      <c r="G2776" s="26" t="str">
        <f>IF($E2776="","",IFERROR(INDEX(科目表!$E$4:$E$81,MATCH($E2776,科目表!$B$4:$B$81,0)),""))</f>
        <v/>
      </c>
      <c r="H2776" s="27" t="str">
        <f>IF($E2776="","",N(INDEX(成本费用登记表!$Q$4:$Y$303,223,2)))</f>
        <v/>
      </c>
      <c r="I2776" s="27" t="str">
        <f>IF($E2776="","",N(INDEX(成本费用登记表!$Q$4:$Y$303,223,3)))</f>
        <v/>
      </c>
      <c r="J2776" s="26" t="str">
        <f>IF($E2776="","",INDEX(成本费用登记表!$C$4:$C$303,223))</f>
        <v/>
      </c>
      <c r="K2776" s="26" t="str">
        <f>IF($E2776="","",INDEX(成本费用登记表!$D$4:$D$303,223))</f>
        <v/>
      </c>
      <c r="L2776" s="32" t="str">
        <f>IF($E2776="","",INDEX(成本费用登记表!$N$4:$N$303,223))</f>
        <v/>
      </c>
      <c r="M2776" s="32"/>
      <c r="N2776" s="26" t="str">
        <f t="shared" si="138"/>
        <v/>
      </c>
      <c r="O2776" s="26" t="str">
        <f t="shared" si="139"/>
        <v/>
      </c>
      <c r="P2776" s="10"/>
    </row>
    <row r="2777" ht="18" customHeight="1" spans="1:16">
      <c r="A2777" s="32" t="str">
        <f t="shared" si="140"/>
        <v/>
      </c>
      <c r="B2777" s="100" t="str">
        <f>IF($E2777="","",INDEX(成本费用登记表!$B$4:$B$303,223))</f>
        <v/>
      </c>
      <c r="C2777" s="26" t="str">
        <f t="shared" si="137"/>
        <v/>
      </c>
      <c r="D2777" s="32" t="str">
        <f>IF($E2777="","",INDEX(成本费用登记表!$E$4:$E$303,223))</f>
        <v/>
      </c>
      <c r="E2777" s="26" t="str">
        <f>IF(INDEX(成本费用登记表!$Q$4:$Y$303,223,4)=0,"",INDEX(成本费用登记表!$Q$4:$Y$303,223,4))</f>
        <v/>
      </c>
      <c r="F2777" s="25" t="str">
        <f>IF($E2777="","",IFERROR(INDEX(科目表!$A$4:$A$81,MATCH($E2777,科目表!$B$4:$B$81,0)),""))</f>
        <v/>
      </c>
      <c r="G2777" s="26" t="str">
        <f>IF($E2777="","",IFERROR(INDEX(科目表!$E$4:$E$81,MATCH($E2777,科目表!$B$4:$B$81,0)),""))</f>
        <v/>
      </c>
      <c r="H2777" s="27" t="str">
        <f>IF($E2777="","",N(INDEX(成本费用登记表!$Q$4:$Y$303,223,5)))</f>
        <v/>
      </c>
      <c r="I2777" s="27" t="str">
        <f>IF($E2777="","",N(INDEX(成本费用登记表!$Q$4:$Y$303,223,6)))</f>
        <v/>
      </c>
      <c r="J2777" s="26" t="str">
        <f>IF($E2777="","",INDEX(成本费用登记表!$C$4:$C$303,223))</f>
        <v/>
      </c>
      <c r="K2777" s="26" t="str">
        <f>IF($E2777="","",INDEX(成本费用登记表!$D$4:$D$303,223))</f>
        <v/>
      </c>
      <c r="L2777" s="32" t="str">
        <f>IF($E2777="","",INDEX(成本费用登记表!$N$4:$N$303,223))</f>
        <v/>
      </c>
      <c r="M2777" s="32"/>
      <c r="N2777" s="26" t="str">
        <f t="shared" si="138"/>
        <v/>
      </c>
      <c r="O2777" s="26" t="str">
        <f t="shared" si="139"/>
        <v/>
      </c>
      <c r="P2777" s="10"/>
    </row>
    <row r="2778" ht="18" customHeight="1" spans="1:16">
      <c r="A2778" s="32" t="str">
        <f t="shared" si="140"/>
        <v/>
      </c>
      <c r="B2778" s="100" t="str">
        <f>IF($E2778="","",INDEX(成本费用登记表!$B$4:$B$303,223))</f>
        <v/>
      </c>
      <c r="C2778" s="26" t="str">
        <f t="shared" si="137"/>
        <v/>
      </c>
      <c r="D2778" s="32" t="str">
        <f>IF($E2778="","",INDEX(成本费用登记表!$E$4:$E$303,223))</f>
        <v/>
      </c>
      <c r="E2778" s="26" t="str">
        <f>IF(INDEX(成本费用登记表!$Q$4:$Y$303,223,7)=0,"",INDEX(成本费用登记表!$Q$4:$Y$303,223,7))</f>
        <v/>
      </c>
      <c r="F2778" s="25" t="str">
        <f>IF($E2778="","",IFERROR(INDEX(科目表!$A$4:$A$81,MATCH($E2778,科目表!$B$4:$B$81,0)),""))</f>
        <v/>
      </c>
      <c r="G2778" s="26" t="str">
        <f>IF($E2778="","",IFERROR(INDEX(科目表!$E$4:$E$81,MATCH($E2778,科目表!$B$4:$B$81,0)),""))</f>
        <v/>
      </c>
      <c r="H2778" s="27" t="str">
        <f>IF($E2778="","",N(INDEX(成本费用登记表!$Q$4:$Y$303,223,8)))</f>
        <v/>
      </c>
      <c r="I2778" s="27" t="str">
        <f>IF($E2778="","",N(INDEX(成本费用登记表!$Q$4:$Y$303,223,9)))</f>
        <v/>
      </c>
      <c r="J2778" s="26" t="str">
        <f>IF($E2778="","",INDEX(成本费用登记表!$C$4:$C$303,223))</f>
        <v/>
      </c>
      <c r="K2778" s="26" t="str">
        <f>IF($E2778="","",INDEX(成本费用登记表!$D$4:$D$303,223))</f>
        <v/>
      </c>
      <c r="L2778" s="32" t="str">
        <f>IF($E2778="","",INDEX(成本费用登记表!$N$4:$N$303,223))</f>
        <v/>
      </c>
      <c r="M2778" s="32"/>
      <c r="N2778" s="26" t="str">
        <f t="shared" si="138"/>
        <v/>
      </c>
      <c r="O2778" s="26" t="str">
        <f t="shared" si="139"/>
        <v/>
      </c>
      <c r="P2778" s="10"/>
    </row>
    <row r="2779" ht="18" customHeight="1" spans="1:16">
      <c r="A2779" s="32" t="str">
        <f t="shared" si="140"/>
        <v/>
      </c>
      <c r="B2779" s="100" t="str">
        <f>IF($E2779="","",INDEX(成本费用登记表!$B$4:$B$303,224))</f>
        <v/>
      </c>
      <c r="C2779" s="26" t="str">
        <f t="shared" si="137"/>
        <v/>
      </c>
      <c r="D2779" s="32" t="str">
        <f>IF($E2779="","",INDEX(成本费用登记表!$E$4:$E$303,224))</f>
        <v/>
      </c>
      <c r="E2779" s="26" t="str">
        <f>IF(INDEX(成本费用登记表!$Q$4:$Y$303,224,1)=0,"",INDEX(成本费用登记表!$Q$4:$Y$303,224,1))</f>
        <v/>
      </c>
      <c r="F2779" s="25" t="str">
        <f>IF($E2779="","",IFERROR(INDEX(科目表!$A$4:$A$81,MATCH($E2779,科目表!$B$4:$B$81,0)),""))</f>
        <v/>
      </c>
      <c r="G2779" s="26" t="str">
        <f>IF($E2779="","",IFERROR(INDEX(科目表!$E$4:$E$81,MATCH($E2779,科目表!$B$4:$B$81,0)),""))</f>
        <v/>
      </c>
      <c r="H2779" s="27" t="str">
        <f>IF($E2779="","",N(INDEX(成本费用登记表!$Q$4:$Y$303,224,2)))</f>
        <v/>
      </c>
      <c r="I2779" s="27" t="str">
        <f>IF($E2779="","",N(INDEX(成本费用登记表!$Q$4:$Y$303,224,3)))</f>
        <v/>
      </c>
      <c r="J2779" s="26" t="str">
        <f>IF($E2779="","",INDEX(成本费用登记表!$C$4:$C$303,224))</f>
        <v/>
      </c>
      <c r="K2779" s="26" t="str">
        <f>IF($E2779="","",INDEX(成本费用登记表!$D$4:$D$303,224))</f>
        <v/>
      </c>
      <c r="L2779" s="32" t="str">
        <f>IF($E2779="","",INDEX(成本费用登记表!$N$4:$N$303,224))</f>
        <v/>
      </c>
      <c r="M2779" s="32"/>
      <c r="N2779" s="26" t="str">
        <f t="shared" si="138"/>
        <v/>
      </c>
      <c r="O2779" s="26" t="str">
        <f t="shared" si="139"/>
        <v/>
      </c>
      <c r="P2779" s="10"/>
    </row>
    <row r="2780" ht="18" customHeight="1" spans="1:16">
      <c r="A2780" s="32" t="str">
        <f t="shared" si="140"/>
        <v/>
      </c>
      <c r="B2780" s="100" t="str">
        <f>IF($E2780="","",INDEX(成本费用登记表!$B$4:$B$303,224))</f>
        <v/>
      </c>
      <c r="C2780" s="26" t="str">
        <f t="shared" si="137"/>
        <v/>
      </c>
      <c r="D2780" s="32" t="str">
        <f>IF($E2780="","",INDEX(成本费用登记表!$E$4:$E$303,224))</f>
        <v/>
      </c>
      <c r="E2780" s="26" t="str">
        <f>IF(INDEX(成本费用登记表!$Q$4:$Y$303,224,4)=0,"",INDEX(成本费用登记表!$Q$4:$Y$303,224,4))</f>
        <v/>
      </c>
      <c r="F2780" s="25" t="str">
        <f>IF($E2780="","",IFERROR(INDEX(科目表!$A$4:$A$81,MATCH($E2780,科目表!$B$4:$B$81,0)),""))</f>
        <v/>
      </c>
      <c r="G2780" s="26" t="str">
        <f>IF($E2780="","",IFERROR(INDEX(科目表!$E$4:$E$81,MATCH($E2780,科目表!$B$4:$B$81,0)),""))</f>
        <v/>
      </c>
      <c r="H2780" s="27" t="str">
        <f>IF($E2780="","",N(INDEX(成本费用登记表!$Q$4:$Y$303,224,5)))</f>
        <v/>
      </c>
      <c r="I2780" s="27" t="str">
        <f>IF($E2780="","",N(INDEX(成本费用登记表!$Q$4:$Y$303,224,6)))</f>
        <v/>
      </c>
      <c r="J2780" s="26" t="str">
        <f>IF($E2780="","",INDEX(成本费用登记表!$C$4:$C$303,224))</f>
        <v/>
      </c>
      <c r="K2780" s="26" t="str">
        <f>IF($E2780="","",INDEX(成本费用登记表!$D$4:$D$303,224))</f>
        <v/>
      </c>
      <c r="L2780" s="32" t="str">
        <f>IF($E2780="","",INDEX(成本费用登记表!$N$4:$N$303,224))</f>
        <v/>
      </c>
      <c r="M2780" s="32"/>
      <c r="N2780" s="26" t="str">
        <f t="shared" si="138"/>
        <v/>
      </c>
      <c r="O2780" s="26" t="str">
        <f t="shared" si="139"/>
        <v/>
      </c>
      <c r="P2780" s="10"/>
    </row>
    <row r="2781" ht="18" customHeight="1" spans="1:16">
      <c r="A2781" s="32" t="str">
        <f t="shared" si="140"/>
        <v/>
      </c>
      <c r="B2781" s="100" t="str">
        <f>IF($E2781="","",INDEX(成本费用登记表!$B$4:$B$303,224))</f>
        <v/>
      </c>
      <c r="C2781" s="26" t="str">
        <f t="shared" si="137"/>
        <v/>
      </c>
      <c r="D2781" s="32" t="str">
        <f>IF($E2781="","",INDEX(成本费用登记表!$E$4:$E$303,224))</f>
        <v/>
      </c>
      <c r="E2781" s="26" t="str">
        <f>IF(INDEX(成本费用登记表!$Q$4:$Y$303,224,7)=0,"",INDEX(成本费用登记表!$Q$4:$Y$303,224,7))</f>
        <v/>
      </c>
      <c r="F2781" s="25" t="str">
        <f>IF($E2781="","",IFERROR(INDEX(科目表!$A$4:$A$81,MATCH($E2781,科目表!$B$4:$B$81,0)),""))</f>
        <v/>
      </c>
      <c r="G2781" s="26" t="str">
        <f>IF($E2781="","",IFERROR(INDEX(科目表!$E$4:$E$81,MATCH($E2781,科目表!$B$4:$B$81,0)),""))</f>
        <v/>
      </c>
      <c r="H2781" s="27" t="str">
        <f>IF($E2781="","",N(INDEX(成本费用登记表!$Q$4:$Y$303,224,8)))</f>
        <v/>
      </c>
      <c r="I2781" s="27" t="str">
        <f>IF($E2781="","",N(INDEX(成本费用登记表!$Q$4:$Y$303,224,9)))</f>
        <v/>
      </c>
      <c r="J2781" s="26" t="str">
        <f>IF($E2781="","",INDEX(成本费用登记表!$C$4:$C$303,224))</f>
        <v/>
      </c>
      <c r="K2781" s="26" t="str">
        <f>IF($E2781="","",INDEX(成本费用登记表!$D$4:$D$303,224))</f>
        <v/>
      </c>
      <c r="L2781" s="32" t="str">
        <f>IF($E2781="","",INDEX(成本费用登记表!$N$4:$N$303,224))</f>
        <v/>
      </c>
      <c r="M2781" s="32"/>
      <c r="N2781" s="26" t="str">
        <f t="shared" si="138"/>
        <v/>
      </c>
      <c r="O2781" s="26" t="str">
        <f t="shared" si="139"/>
        <v/>
      </c>
      <c r="P2781" s="10"/>
    </row>
    <row r="2782" ht="18" customHeight="1" spans="1:16">
      <c r="A2782" s="32" t="str">
        <f t="shared" si="140"/>
        <v/>
      </c>
      <c r="B2782" s="100" t="str">
        <f>IF($E2782="","",INDEX(成本费用登记表!$B$4:$B$303,225))</f>
        <v/>
      </c>
      <c r="C2782" s="26" t="str">
        <f t="shared" si="137"/>
        <v/>
      </c>
      <c r="D2782" s="32" t="str">
        <f>IF($E2782="","",INDEX(成本费用登记表!$E$4:$E$303,225))</f>
        <v/>
      </c>
      <c r="E2782" s="26" t="str">
        <f>IF(INDEX(成本费用登记表!$Q$4:$Y$303,225,1)=0,"",INDEX(成本费用登记表!$Q$4:$Y$303,225,1))</f>
        <v/>
      </c>
      <c r="F2782" s="25" t="str">
        <f>IF($E2782="","",IFERROR(INDEX(科目表!$A$4:$A$81,MATCH($E2782,科目表!$B$4:$B$81,0)),""))</f>
        <v/>
      </c>
      <c r="G2782" s="26" t="str">
        <f>IF($E2782="","",IFERROR(INDEX(科目表!$E$4:$E$81,MATCH($E2782,科目表!$B$4:$B$81,0)),""))</f>
        <v/>
      </c>
      <c r="H2782" s="27" t="str">
        <f>IF($E2782="","",N(INDEX(成本费用登记表!$Q$4:$Y$303,225,2)))</f>
        <v/>
      </c>
      <c r="I2782" s="27" t="str">
        <f>IF($E2782="","",N(INDEX(成本费用登记表!$Q$4:$Y$303,225,3)))</f>
        <v/>
      </c>
      <c r="J2782" s="26" t="str">
        <f>IF($E2782="","",INDEX(成本费用登记表!$C$4:$C$303,225))</f>
        <v/>
      </c>
      <c r="K2782" s="26" t="str">
        <f>IF($E2782="","",INDEX(成本费用登记表!$D$4:$D$303,225))</f>
        <v/>
      </c>
      <c r="L2782" s="32" t="str">
        <f>IF($E2782="","",INDEX(成本费用登记表!$N$4:$N$303,225))</f>
        <v/>
      </c>
      <c r="M2782" s="32"/>
      <c r="N2782" s="26" t="str">
        <f t="shared" si="138"/>
        <v/>
      </c>
      <c r="O2782" s="26" t="str">
        <f t="shared" si="139"/>
        <v/>
      </c>
      <c r="P2782" s="10"/>
    </row>
    <row r="2783" ht="18" customHeight="1" spans="1:16">
      <c r="A2783" s="32" t="str">
        <f t="shared" si="140"/>
        <v/>
      </c>
      <c r="B2783" s="100" t="str">
        <f>IF($E2783="","",INDEX(成本费用登记表!$B$4:$B$303,225))</f>
        <v/>
      </c>
      <c r="C2783" s="26" t="str">
        <f t="shared" si="137"/>
        <v/>
      </c>
      <c r="D2783" s="32" t="str">
        <f>IF($E2783="","",INDEX(成本费用登记表!$E$4:$E$303,225))</f>
        <v/>
      </c>
      <c r="E2783" s="26" t="str">
        <f>IF(INDEX(成本费用登记表!$Q$4:$Y$303,225,4)=0,"",INDEX(成本费用登记表!$Q$4:$Y$303,225,4))</f>
        <v/>
      </c>
      <c r="F2783" s="25" t="str">
        <f>IF($E2783="","",IFERROR(INDEX(科目表!$A$4:$A$81,MATCH($E2783,科目表!$B$4:$B$81,0)),""))</f>
        <v/>
      </c>
      <c r="G2783" s="26" t="str">
        <f>IF($E2783="","",IFERROR(INDEX(科目表!$E$4:$E$81,MATCH($E2783,科目表!$B$4:$B$81,0)),""))</f>
        <v/>
      </c>
      <c r="H2783" s="27" t="str">
        <f>IF($E2783="","",N(INDEX(成本费用登记表!$Q$4:$Y$303,225,5)))</f>
        <v/>
      </c>
      <c r="I2783" s="27" t="str">
        <f>IF($E2783="","",N(INDEX(成本费用登记表!$Q$4:$Y$303,225,6)))</f>
        <v/>
      </c>
      <c r="J2783" s="26" t="str">
        <f>IF($E2783="","",INDEX(成本费用登记表!$C$4:$C$303,225))</f>
        <v/>
      </c>
      <c r="K2783" s="26" t="str">
        <f>IF($E2783="","",INDEX(成本费用登记表!$D$4:$D$303,225))</f>
        <v/>
      </c>
      <c r="L2783" s="32" t="str">
        <f>IF($E2783="","",INDEX(成本费用登记表!$N$4:$N$303,225))</f>
        <v/>
      </c>
      <c r="M2783" s="32"/>
      <c r="N2783" s="26" t="str">
        <f t="shared" si="138"/>
        <v/>
      </c>
      <c r="O2783" s="26" t="str">
        <f t="shared" si="139"/>
        <v/>
      </c>
      <c r="P2783" s="10"/>
    </row>
    <row r="2784" ht="18" customHeight="1" spans="1:16">
      <c r="A2784" s="32" t="str">
        <f t="shared" si="140"/>
        <v/>
      </c>
      <c r="B2784" s="100" t="str">
        <f>IF($E2784="","",INDEX(成本费用登记表!$B$4:$B$303,225))</f>
        <v/>
      </c>
      <c r="C2784" s="26" t="str">
        <f t="shared" si="137"/>
        <v/>
      </c>
      <c r="D2784" s="32" t="str">
        <f>IF($E2784="","",INDEX(成本费用登记表!$E$4:$E$303,225))</f>
        <v/>
      </c>
      <c r="E2784" s="26" t="str">
        <f>IF(INDEX(成本费用登记表!$Q$4:$Y$303,225,7)=0,"",INDEX(成本费用登记表!$Q$4:$Y$303,225,7))</f>
        <v/>
      </c>
      <c r="F2784" s="25" t="str">
        <f>IF($E2784="","",IFERROR(INDEX(科目表!$A$4:$A$81,MATCH($E2784,科目表!$B$4:$B$81,0)),""))</f>
        <v/>
      </c>
      <c r="G2784" s="26" t="str">
        <f>IF($E2784="","",IFERROR(INDEX(科目表!$E$4:$E$81,MATCH($E2784,科目表!$B$4:$B$81,0)),""))</f>
        <v/>
      </c>
      <c r="H2784" s="27" t="str">
        <f>IF($E2784="","",N(INDEX(成本费用登记表!$Q$4:$Y$303,225,8)))</f>
        <v/>
      </c>
      <c r="I2784" s="27" t="str">
        <f>IF($E2784="","",N(INDEX(成本费用登记表!$Q$4:$Y$303,225,9)))</f>
        <v/>
      </c>
      <c r="J2784" s="26" t="str">
        <f>IF($E2784="","",INDEX(成本费用登记表!$C$4:$C$303,225))</f>
        <v/>
      </c>
      <c r="K2784" s="26" t="str">
        <f>IF($E2784="","",INDEX(成本费用登记表!$D$4:$D$303,225))</f>
        <v/>
      </c>
      <c r="L2784" s="32" t="str">
        <f>IF($E2784="","",INDEX(成本费用登记表!$N$4:$N$303,225))</f>
        <v/>
      </c>
      <c r="M2784" s="32"/>
      <c r="N2784" s="26" t="str">
        <f t="shared" si="138"/>
        <v/>
      </c>
      <c r="O2784" s="26" t="str">
        <f t="shared" si="139"/>
        <v/>
      </c>
      <c r="P2784" s="10"/>
    </row>
    <row r="2785" ht="18" customHeight="1" spans="1:16">
      <c r="A2785" s="32" t="str">
        <f t="shared" si="140"/>
        <v/>
      </c>
      <c r="B2785" s="100" t="str">
        <f>IF($E2785="","",INDEX(成本费用登记表!$B$4:$B$303,226))</f>
        <v/>
      </c>
      <c r="C2785" s="26" t="str">
        <f t="shared" si="137"/>
        <v/>
      </c>
      <c r="D2785" s="32" t="str">
        <f>IF($E2785="","",INDEX(成本费用登记表!$E$4:$E$303,226))</f>
        <v/>
      </c>
      <c r="E2785" s="26" t="str">
        <f>IF(INDEX(成本费用登记表!$Q$4:$Y$303,226,1)=0,"",INDEX(成本费用登记表!$Q$4:$Y$303,226,1))</f>
        <v/>
      </c>
      <c r="F2785" s="25" t="str">
        <f>IF($E2785="","",IFERROR(INDEX(科目表!$A$4:$A$81,MATCH($E2785,科目表!$B$4:$B$81,0)),""))</f>
        <v/>
      </c>
      <c r="G2785" s="26" t="str">
        <f>IF($E2785="","",IFERROR(INDEX(科目表!$E$4:$E$81,MATCH($E2785,科目表!$B$4:$B$81,0)),""))</f>
        <v/>
      </c>
      <c r="H2785" s="27" t="str">
        <f>IF($E2785="","",N(INDEX(成本费用登记表!$Q$4:$Y$303,226,2)))</f>
        <v/>
      </c>
      <c r="I2785" s="27" t="str">
        <f>IF($E2785="","",N(INDEX(成本费用登记表!$Q$4:$Y$303,226,3)))</f>
        <v/>
      </c>
      <c r="J2785" s="26" t="str">
        <f>IF($E2785="","",INDEX(成本费用登记表!$C$4:$C$303,226))</f>
        <v/>
      </c>
      <c r="K2785" s="26" t="str">
        <f>IF($E2785="","",INDEX(成本费用登记表!$D$4:$D$303,226))</f>
        <v/>
      </c>
      <c r="L2785" s="32" t="str">
        <f>IF($E2785="","",INDEX(成本费用登记表!$N$4:$N$303,226))</f>
        <v/>
      </c>
      <c r="M2785" s="32"/>
      <c r="N2785" s="26" t="str">
        <f t="shared" si="138"/>
        <v/>
      </c>
      <c r="O2785" s="26" t="str">
        <f t="shared" si="139"/>
        <v/>
      </c>
      <c r="P2785" s="10"/>
    </row>
    <row r="2786" ht="18" customHeight="1" spans="1:16">
      <c r="A2786" s="32" t="str">
        <f t="shared" si="140"/>
        <v/>
      </c>
      <c r="B2786" s="100" t="str">
        <f>IF($E2786="","",INDEX(成本费用登记表!$B$4:$B$303,226))</f>
        <v/>
      </c>
      <c r="C2786" s="26" t="str">
        <f t="shared" si="137"/>
        <v/>
      </c>
      <c r="D2786" s="32" t="str">
        <f>IF($E2786="","",INDEX(成本费用登记表!$E$4:$E$303,226))</f>
        <v/>
      </c>
      <c r="E2786" s="26" t="str">
        <f>IF(INDEX(成本费用登记表!$Q$4:$Y$303,226,4)=0,"",INDEX(成本费用登记表!$Q$4:$Y$303,226,4))</f>
        <v/>
      </c>
      <c r="F2786" s="25" t="str">
        <f>IF($E2786="","",IFERROR(INDEX(科目表!$A$4:$A$81,MATCH($E2786,科目表!$B$4:$B$81,0)),""))</f>
        <v/>
      </c>
      <c r="G2786" s="26" t="str">
        <f>IF($E2786="","",IFERROR(INDEX(科目表!$E$4:$E$81,MATCH($E2786,科目表!$B$4:$B$81,0)),""))</f>
        <v/>
      </c>
      <c r="H2786" s="27" t="str">
        <f>IF($E2786="","",N(INDEX(成本费用登记表!$Q$4:$Y$303,226,5)))</f>
        <v/>
      </c>
      <c r="I2786" s="27" t="str">
        <f>IF($E2786="","",N(INDEX(成本费用登记表!$Q$4:$Y$303,226,6)))</f>
        <v/>
      </c>
      <c r="J2786" s="26" t="str">
        <f>IF($E2786="","",INDEX(成本费用登记表!$C$4:$C$303,226))</f>
        <v/>
      </c>
      <c r="K2786" s="26" t="str">
        <f>IF($E2786="","",INDEX(成本费用登记表!$D$4:$D$303,226))</f>
        <v/>
      </c>
      <c r="L2786" s="32" t="str">
        <f>IF($E2786="","",INDEX(成本费用登记表!$N$4:$N$303,226))</f>
        <v/>
      </c>
      <c r="M2786" s="32"/>
      <c r="N2786" s="26" t="str">
        <f t="shared" si="138"/>
        <v/>
      </c>
      <c r="O2786" s="26" t="str">
        <f t="shared" si="139"/>
        <v/>
      </c>
      <c r="P2786" s="10"/>
    </row>
    <row r="2787" ht="18" customHeight="1" spans="1:16">
      <c r="A2787" s="32" t="str">
        <f t="shared" si="140"/>
        <v/>
      </c>
      <c r="B2787" s="100" t="str">
        <f>IF($E2787="","",INDEX(成本费用登记表!$B$4:$B$303,226))</f>
        <v/>
      </c>
      <c r="C2787" s="26" t="str">
        <f t="shared" si="137"/>
        <v/>
      </c>
      <c r="D2787" s="32" t="str">
        <f>IF($E2787="","",INDEX(成本费用登记表!$E$4:$E$303,226))</f>
        <v/>
      </c>
      <c r="E2787" s="26" t="str">
        <f>IF(INDEX(成本费用登记表!$Q$4:$Y$303,226,7)=0,"",INDEX(成本费用登记表!$Q$4:$Y$303,226,7))</f>
        <v/>
      </c>
      <c r="F2787" s="25" t="str">
        <f>IF($E2787="","",IFERROR(INDEX(科目表!$A$4:$A$81,MATCH($E2787,科目表!$B$4:$B$81,0)),""))</f>
        <v/>
      </c>
      <c r="G2787" s="26" t="str">
        <f>IF($E2787="","",IFERROR(INDEX(科目表!$E$4:$E$81,MATCH($E2787,科目表!$B$4:$B$81,0)),""))</f>
        <v/>
      </c>
      <c r="H2787" s="27" t="str">
        <f>IF($E2787="","",N(INDEX(成本费用登记表!$Q$4:$Y$303,226,8)))</f>
        <v/>
      </c>
      <c r="I2787" s="27" t="str">
        <f>IF($E2787="","",N(INDEX(成本费用登记表!$Q$4:$Y$303,226,9)))</f>
        <v/>
      </c>
      <c r="J2787" s="26" t="str">
        <f>IF($E2787="","",INDEX(成本费用登记表!$C$4:$C$303,226))</f>
        <v/>
      </c>
      <c r="K2787" s="26" t="str">
        <f>IF($E2787="","",INDEX(成本费用登记表!$D$4:$D$303,226))</f>
        <v/>
      </c>
      <c r="L2787" s="32" t="str">
        <f>IF($E2787="","",INDEX(成本费用登记表!$N$4:$N$303,226))</f>
        <v/>
      </c>
      <c r="M2787" s="32"/>
      <c r="N2787" s="26" t="str">
        <f t="shared" si="138"/>
        <v/>
      </c>
      <c r="O2787" s="26" t="str">
        <f t="shared" si="139"/>
        <v/>
      </c>
      <c r="P2787" s="10"/>
    </row>
    <row r="2788" ht="18" customHeight="1" spans="1:16">
      <c r="A2788" s="32" t="str">
        <f t="shared" si="140"/>
        <v/>
      </c>
      <c r="B2788" s="100" t="str">
        <f>IF($E2788="","",INDEX(成本费用登记表!$B$4:$B$303,227))</f>
        <v/>
      </c>
      <c r="C2788" s="26" t="str">
        <f t="shared" si="137"/>
        <v/>
      </c>
      <c r="D2788" s="32" t="str">
        <f>IF($E2788="","",INDEX(成本费用登记表!$E$4:$E$303,227))</f>
        <v/>
      </c>
      <c r="E2788" s="26" t="str">
        <f>IF(INDEX(成本费用登记表!$Q$4:$Y$303,227,1)=0,"",INDEX(成本费用登记表!$Q$4:$Y$303,227,1))</f>
        <v/>
      </c>
      <c r="F2788" s="25" t="str">
        <f>IF($E2788="","",IFERROR(INDEX(科目表!$A$4:$A$81,MATCH($E2788,科目表!$B$4:$B$81,0)),""))</f>
        <v/>
      </c>
      <c r="G2788" s="26" t="str">
        <f>IF($E2788="","",IFERROR(INDEX(科目表!$E$4:$E$81,MATCH($E2788,科目表!$B$4:$B$81,0)),""))</f>
        <v/>
      </c>
      <c r="H2788" s="27" t="str">
        <f>IF($E2788="","",N(INDEX(成本费用登记表!$Q$4:$Y$303,227,2)))</f>
        <v/>
      </c>
      <c r="I2788" s="27" t="str">
        <f>IF($E2788="","",N(INDEX(成本费用登记表!$Q$4:$Y$303,227,3)))</f>
        <v/>
      </c>
      <c r="J2788" s="26" t="str">
        <f>IF($E2788="","",INDEX(成本费用登记表!$C$4:$C$303,227))</f>
        <v/>
      </c>
      <c r="K2788" s="26" t="str">
        <f>IF($E2788="","",INDEX(成本费用登记表!$D$4:$D$303,227))</f>
        <v/>
      </c>
      <c r="L2788" s="32" t="str">
        <f>IF($E2788="","",INDEX(成本费用登记表!$N$4:$N$303,227))</f>
        <v/>
      </c>
      <c r="M2788" s="32"/>
      <c r="N2788" s="26" t="str">
        <f t="shared" si="138"/>
        <v/>
      </c>
      <c r="O2788" s="26" t="str">
        <f t="shared" si="139"/>
        <v/>
      </c>
      <c r="P2788" s="10"/>
    </row>
    <row r="2789" ht="18" customHeight="1" spans="1:16">
      <c r="A2789" s="32" t="str">
        <f t="shared" si="140"/>
        <v/>
      </c>
      <c r="B2789" s="100" t="str">
        <f>IF($E2789="","",INDEX(成本费用登记表!$B$4:$B$303,227))</f>
        <v/>
      </c>
      <c r="C2789" s="26" t="str">
        <f t="shared" si="137"/>
        <v/>
      </c>
      <c r="D2789" s="32" t="str">
        <f>IF($E2789="","",INDEX(成本费用登记表!$E$4:$E$303,227))</f>
        <v/>
      </c>
      <c r="E2789" s="26" t="str">
        <f>IF(INDEX(成本费用登记表!$Q$4:$Y$303,227,4)=0,"",INDEX(成本费用登记表!$Q$4:$Y$303,227,4))</f>
        <v/>
      </c>
      <c r="F2789" s="25" t="str">
        <f>IF($E2789="","",IFERROR(INDEX(科目表!$A$4:$A$81,MATCH($E2789,科目表!$B$4:$B$81,0)),""))</f>
        <v/>
      </c>
      <c r="G2789" s="26" t="str">
        <f>IF($E2789="","",IFERROR(INDEX(科目表!$E$4:$E$81,MATCH($E2789,科目表!$B$4:$B$81,0)),""))</f>
        <v/>
      </c>
      <c r="H2789" s="27" t="str">
        <f>IF($E2789="","",N(INDEX(成本费用登记表!$Q$4:$Y$303,227,5)))</f>
        <v/>
      </c>
      <c r="I2789" s="27" t="str">
        <f>IF($E2789="","",N(INDEX(成本费用登记表!$Q$4:$Y$303,227,6)))</f>
        <v/>
      </c>
      <c r="J2789" s="26" t="str">
        <f>IF($E2789="","",INDEX(成本费用登记表!$C$4:$C$303,227))</f>
        <v/>
      </c>
      <c r="K2789" s="26" t="str">
        <f>IF($E2789="","",INDEX(成本费用登记表!$D$4:$D$303,227))</f>
        <v/>
      </c>
      <c r="L2789" s="32" t="str">
        <f>IF($E2789="","",INDEX(成本费用登记表!$N$4:$N$303,227))</f>
        <v/>
      </c>
      <c r="M2789" s="32"/>
      <c r="N2789" s="26" t="str">
        <f t="shared" si="138"/>
        <v/>
      </c>
      <c r="O2789" s="26" t="str">
        <f t="shared" si="139"/>
        <v/>
      </c>
      <c r="P2789" s="10"/>
    </row>
    <row r="2790" ht="18" customHeight="1" spans="1:16">
      <c r="A2790" s="32" t="str">
        <f t="shared" si="140"/>
        <v/>
      </c>
      <c r="B2790" s="100" t="str">
        <f>IF($E2790="","",INDEX(成本费用登记表!$B$4:$B$303,227))</f>
        <v/>
      </c>
      <c r="C2790" s="26" t="str">
        <f t="shared" si="137"/>
        <v/>
      </c>
      <c r="D2790" s="32" t="str">
        <f>IF($E2790="","",INDEX(成本费用登记表!$E$4:$E$303,227))</f>
        <v/>
      </c>
      <c r="E2790" s="26" t="str">
        <f>IF(INDEX(成本费用登记表!$Q$4:$Y$303,227,7)=0,"",INDEX(成本费用登记表!$Q$4:$Y$303,227,7))</f>
        <v/>
      </c>
      <c r="F2790" s="25" t="str">
        <f>IF($E2790="","",IFERROR(INDEX(科目表!$A$4:$A$81,MATCH($E2790,科目表!$B$4:$B$81,0)),""))</f>
        <v/>
      </c>
      <c r="G2790" s="26" t="str">
        <f>IF($E2790="","",IFERROR(INDEX(科目表!$E$4:$E$81,MATCH($E2790,科目表!$B$4:$B$81,0)),""))</f>
        <v/>
      </c>
      <c r="H2790" s="27" t="str">
        <f>IF($E2790="","",N(INDEX(成本费用登记表!$Q$4:$Y$303,227,8)))</f>
        <v/>
      </c>
      <c r="I2790" s="27" t="str">
        <f>IF($E2790="","",N(INDEX(成本费用登记表!$Q$4:$Y$303,227,9)))</f>
        <v/>
      </c>
      <c r="J2790" s="26" t="str">
        <f>IF($E2790="","",INDEX(成本费用登记表!$C$4:$C$303,227))</f>
        <v/>
      </c>
      <c r="K2790" s="26" t="str">
        <f>IF($E2790="","",INDEX(成本费用登记表!$D$4:$D$303,227))</f>
        <v/>
      </c>
      <c r="L2790" s="32" t="str">
        <f>IF($E2790="","",INDEX(成本费用登记表!$N$4:$N$303,227))</f>
        <v/>
      </c>
      <c r="M2790" s="32"/>
      <c r="N2790" s="26" t="str">
        <f t="shared" si="138"/>
        <v/>
      </c>
      <c r="O2790" s="26" t="str">
        <f t="shared" si="139"/>
        <v/>
      </c>
      <c r="P2790" s="10"/>
    </row>
    <row r="2791" ht="18" customHeight="1" spans="1:16">
      <c r="A2791" s="32" t="str">
        <f t="shared" si="140"/>
        <v/>
      </c>
      <c r="B2791" s="100" t="str">
        <f>IF($E2791="","",INDEX(成本费用登记表!$B$4:$B$303,228))</f>
        <v/>
      </c>
      <c r="C2791" s="26" t="str">
        <f t="shared" si="137"/>
        <v/>
      </c>
      <c r="D2791" s="32" t="str">
        <f>IF($E2791="","",INDEX(成本费用登记表!$E$4:$E$303,228))</f>
        <v/>
      </c>
      <c r="E2791" s="26" t="str">
        <f>IF(INDEX(成本费用登记表!$Q$4:$Y$303,228,1)=0,"",INDEX(成本费用登记表!$Q$4:$Y$303,228,1))</f>
        <v/>
      </c>
      <c r="F2791" s="25" t="str">
        <f>IF($E2791="","",IFERROR(INDEX(科目表!$A$4:$A$81,MATCH($E2791,科目表!$B$4:$B$81,0)),""))</f>
        <v/>
      </c>
      <c r="G2791" s="26" t="str">
        <f>IF($E2791="","",IFERROR(INDEX(科目表!$E$4:$E$81,MATCH($E2791,科目表!$B$4:$B$81,0)),""))</f>
        <v/>
      </c>
      <c r="H2791" s="27" t="str">
        <f>IF($E2791="","",N(INDEX(成本费用登记表!$Q$4:$Y$303,228,2)))</f>
        <v/>
      </c>
      <c r="I2791" s="27" t="str">
        <f>IF($E2791="","",N(INDEX(成本费用登记表!$Q$4:$Y$303,228,3)))</f>
        <v/>
      </c>
      <c r="J2791" s="26" t="str">
        <f>IF($E2791="","",INDEX(成本费用登记表!$C$4:$C$303,228))</f>
        <v/>
      </c>
      <c r="K2791" s="26" t="str">
        <f>IF($E2791="","",INDEX(成本费用登记表!$D$4:$D$303,228))</f>
        <v/>
      </c>
      <c r="L2791" s="32" t="str">
        <f>IF($E2791="","",INDEX(成本费用登记表!$N$4:$N$303,228))</f>
        <v/>
      </c>
      <c r="M2791" s="32"/>
      <c r="N2791" s="26" t="str">
        <f t="shared" si="138"/>
        <v/>
      </c>
      <c r="O2791" s="26" t="str">
        <f t="shared" si="139"/>
        <v/>
      </c>
      <c r="P2791" s="10"/>
    </row>
    <row r="2792" ht="18" customHeight="1" spans="1:16">
      <c r="A2792" s="32" t="str">
        <f t="shared" si="140"/>
        <v/>
      </c>
      <c r="B2792" s="100" t="str">
        <f>IF($E2792="","",INDEX(成本费用登记表!$B$4:$B$303,228))</f>
        <v/>
      </c>
      <c r="C2792" s="26" t="str">
        <f t="shared" si="137"/>
        <v/>
      </c>
      <c r="D2792" s="32" t="str">
        <f>IF($E2792="","",INDEX(成本费用登记表!$E$4:$E$303,228))</f>
        <v/>
      </c>
      <c r="E2792" s="26" t="str">
        <f>IF(INDEX(成本费用登记表!$Q$4:$Y$303,228,4)=0,"",INDEX(成本费用登记表!$Q$4:$Y$303,228,4))</f>
        <v/>
      </c>
      <c r="F2792" s="25" t="str">
        <f>IF($E2792="","",IFERROR(INDEX(科目表!$A$4:$A$81,MATCH($E2792,科目表!$B$4:$B$81,0)),""))</f>
        <v/>
      </c>
      <c r="G2792" s="26" t="str">
        <f>IF($E2792="","",IFERROR(INDEX(科目表!$E$4:$E$81,MATCH($E2792,科目表!$B$4:$B$81,0)),""))</f>
        <v/>
      </c>
      <c r="H2792" s="27" t="str">
        <f>IF($E2792="","",N(INDEX(成本费用登记表!$Q$4:$Y$303,228,5)))</f>
        <v/>
      </c>
      <c r="I2792" s="27" t="str">
        <f>IF($E2792="","",N(INDEX(成本费用登记表!$Q$4:$Y$303,228,6)))</f>
        <v/>
      </c>
      <c r="J2792" s="26" t="str">
        <f>IF($E2792="","",INDEX(成本费用登记表!$C$4:$C$303,228))</f>
        <v/>
      </c>
      <c r="K2792" s="26" t="str">
        <f>IF($E2792="","",INDEX(成本费用登记表!$D$4:$D$303,228))</f>
        <v/>
      </c>
      <c r="L2792" s="32" t="str">
        <f>IF($E2792="","",INDEX(成本费用登记表!$N$4:$N$303,228))</f>
        <v/>
      </c>
      <c r="M2792" s="32"/>
      <c r="N2792" s="26" t="str">
        <f t="shared" si="138"/>
        <v/>
      </c>
      <c r="O2792" s="26" t="str">
        <f t="shared" si="139"/>
        <v/>
      </c>
      <c r="P2792" s="10"/>
    </row>
    <row r="2793" ht="18" customHeight="1" spans="1:16">
      <c r="A2793" s="32" t="str">
        <f t="shared" si="140"/>
        <v/>
      </c>
      <c r="B2793" s="100" t="str">
        <f>IF($E2793="","",INDEX(成本费用登记表!$B$4:$B$303,228))</f>
        <v/>
      </c>
      <c r="C2793" s="26" t="str">
        <f t="shared" si="137"/>
        <v/>
      </c>
      <c r="D2793" s="32" t="str">
        <f>IF($E2793="","",INDEX(成本费用登记表!$E$4:$E$303,228))</f>
        <v/>
      </c>
      <c r="E2793" s="26" t="str">
        <f>IF(INDEX(成本费用登记表!$Q$4:$Y$303,228,7)=0,"",INDEX(成本费用登记表!$Q$4:$Y$303,228,7))</f>
        <v/>
      </c>
      <c r="F2793" s="25" t="str">
        <f>IF($E2793="","",IFERROR(INDEX(科目表!$A$4:$A$81,MATCH($E2793,科目表!$B$4:$B$81,0)),""))</f>
        <v/>
      </c>
      <c r="G2793" s="26" t="str">
        <f>IF($E2793="","",IFERROR(INDEX(科目表!$E$4:$E$81,MATCH($E2793,科目表!$B$4:$B$81,0)),""))</f>
        <v/>
      </c>
      <c r="H2793" s="27" t="str">
        <f>IF($E2793="","",N(INDEX(成本费用登记表!$Q$4:$Y$303,228,8)))</f>
        <v/>
      </c>
      <c r="I2793" s="27" t="str">
        <f>IF($E2793="","",N(INDEX(成本费用登记表!$Q$4:$Y$303,228,9)))</f>
        <v/>
      </c>
      <c r="J2793" s="26" t="str">
        <f>IF($E2793="","",INDEX(成本费用登记表!$C$4:$C$303,228))</f>
        <v/>
      </c>
      <c r="K2793" s="26" t="str">
        <f>IF($E2793="","",INDEX(成本费用登记表!$D$4:$D$303,228))</f>
        <v/>
      </c>
      <c r="L2793" s="32" t="str">
        <f>IF($E2793="","",INDEX(成本费用登记表!$N$4:$N$303,228))</f>
        <v/>
      </c>
      <c r="M2793" s="32"/>
      <c r="N2793" s="26" t="str">
        <f t="shared" si="138"/>
        <v/>
      </c>
      <c r="O2793" s="26" t="str">
        <f t="shared" si="139"/>
        <v/>
      </c>
      <c r="P2793" s="10"/>
    </row>
    <row r="2794" ht="18" customHeight="1" spans="1:16">
      <c r="A2794" s="32" t="str">
        <f t="shared" si="140"/>
        <v/>
      </c>
      <c r="B2794" s="100" t="str">
        <f>IF($E2794="","",INDEX(成本费用登记表!$B$4:$B$303,229))</f>
        <v/>
      </c>
      <c r="C2794" s="26" t="str">
        <f t="shared" si="137"/>
        <v/>
      </c>
      <c r="D2794" s="32" t="str">
        <f>IF($E2794="","",INDEX(成本费用登记表!$E$4:$E$303,229))</f>
        <v/>
      </c>
      <c r="E2794" s="26" t="str">
        <f>IF(INDEX(成本费用登记表!$Q$4:$Y$303,229,1)=0,"",INDEX(成本费用登记表!$Q$4:$Y$303,229,1))</f>
        <v/>
      </c>
      <c r="F2794" s="25" t="str">
        <f>IF($E2794="","",IFERROR(INDEX(科目表!$A$4:$A$81,MATCH($E2794,科目表!$B$4:$B$81,0)),""))</f>
        <v/>
      </c>
      <c r="G2794" s="26" t="str">
        <f>IF($E2794="","",IFERROR(INDEX(科目表!$E$4:$E$81,MATCH($E2794,科目表!$B$4:$B$81,0)),""))</f>
        <v/>
      </c>
      <c r="H2794" s="27" t="str">
        <f>IF($E2794="","",N(INDEX(成本费用登记表!$Q$4:$Y$303,229,2)))</f>
        <v/>
      </c>
      <c r="I2794" s="27" t="str">
        <f>IF($E2794="","",N(INDEX(成本费用登记表!$Q$4:$Y$303,229,3)))</f>
        <v/>
      </c>
      <c r="J2794" s="26" t="str">
        <f>IF($E2794="","",INDEX(成本费用登记表!$C$4:$C$303,229))</f>
        <v/>
      </c>
      <c r="K2794" s="26" t="str">
        <f>IF($E2794="","",INDEX(成本费用登记表!$D$4:$D$303,229))</f>
        <v/>
      </c>
      <c r="L2794" s="32" t="str">
        <f>IF($E2794="","",INDEX(成本费用登记表!$N$4:$N$303,229))</f>
        <v/>
      </c>
      <c r="M2794" s="32"/>
      <c r="N2794" s="26" t="str">
        <f t="shared" si="138"/>
        <v/>
      </c>
      <c r="O2794" s="26" t="str">
        <f t="shared" si="139"/>
        <v/>
      </c>
      <c r="P2794" s="10"/>
    </row>
    <row r="2795" ht="18" customHeight="1" spans="1:16">
      <c r="A2795" s="32" t="str">
        <f t="shared" si="140"/>
        <v/>
      </c>
      <c r="B2795" s="100" t="str">
        <f>IF($E2795="","",INDEX(成本费用登记表!$B$4:$B$303,229))</f>
        <v/>
      </c>
      <c r="C2795" s="26" t="str">
        <f t="shared" si="137"/>
        <v/>
      </c>
      <c r="D2795" s="32" t="str">
        <f>IF($E2795="","",INDEX(成本费用登记表!$E$4:$E$303,229))</f>
        <v/>
      </c>
      <c r="E2795" s="26" t="str">
        <f>IF(INDEX(成本费用登记表!$Q$4:$Y$303,229,4)=0,"",INDEX(成本费用登记表!$Q$4:$Y$303,229,4))</f>
        <v/>
      </c>
      <c r="F2795" s="25" t="str">
        <f>IF($E2795="","",IFERROR(INDEX(科目表!$A$4:$A$81,MATCH($E2795,科目表!$B$4:$B$81,0)),""))</f>
        <v/>
      </c>
      <c r="G2795" s="26" t="str">
        <f>IF($E2795="","",IFERROR(INDEX(科目表!$E$4:$E$81,MATCH($E2795,科目表!$B$4:$B$81,0)),""))</f>
        <v/>
      </c>
      <c r="H2795" s="27" t="str">
        <f>IF($E2795="","",N(INDEX(成本费用登记表!$Q$4:$Y$303,229,5)))</f>
        <v/>
      </c>
      <c r="I2795" s="27" t="str">
        <f>IF($E2795="","",N(INDEX(成本费用登记表!$Q$4:$Y$303,229,6)))</f>
        <v/>
      </c>
      <c r="J2795" s="26" t="str">
        <f>IF($E2795="","",INDEX(成本费用登记表!$C$4:$C$303,229))</f>
        <v/>
      </c>
      <c r="K2795" s="26" t="str">
        <f>IF($E2795="","",INDEX(成本费用登记表!$D$4:$D$303,229))</f>
        <v/>
      </c>
      <c r="L2795" s="32" t="str">
        <f>IF($E2795="","",INDEX(成本费用登记表!$N$4:$N$303,229))</f>
        <v/>
      </c>
      <c r="M2795" s="32"/>
      <c r="N2795" s="26" t="str">
        <f t="shared" si="138"/>
        <v/>
      </c>
      <c r="O2795" s="26" t="str">
        <f t="shared" si="139"/>
        <v/>
      </c>
      <c r="P2795" s="10"/>
    </row>
    <row r="2796" ht="18" customHeight="1" spans="1:16">
      <c r="A2796" s="32" t="str">
        <f t="shared" si="140"/>
        <v/>
      </c>
      <c r="B2796" s="100" t="str">
        <f>IF($E2796="","",INDEX(成本费用登记表!$B$4:$B$303,229))</f>
        <v/>
      </c>
      <c r="C2796" s="26" t="str">
        <f t="shared" si="137"/>
        <v/>
      </c>
      <c r="D2796" s="32" t="str">
        <f>IF($E2796="","",INDEX(成本费用登记表!$E$4:$E$303,229))</f>
        <v/>
      </c>
      <c r="E2796" s="26" t="str">
        <f>IF(INDEX(成本费用登记表!$Q$4:$Y$303,229,7)=0,"",INDEX(成本费用登记表!$Q$4:$Y$303,229,7))</f>
        <v/>
      </c>
      <c r="F2796" s="25" t="str">
        <f>IF($E2796="","",IFERROR(INDEX(科目表!$A$4:$A$81,MATCH($E2796,科目表!$B$4:$B$81,0)),""))</f>
        <v/>
      </c>
      <c r="G2796" s="26" t="str">
        <f>IF($E2796="","",IFERROR(INDEX(科目表!$E$4:$E$81,MATCH($E2796,科目表!$B$4:$B$81,0)),""))</f>
        <v/>
      </c>
      <c r="H2796" s="27" t="str">
        <f>IF($E2796="","",N(INDEX(成本费用登记表!$Q$4:$Y$303,229,8)))</f>
        <v/>
      </c>
      <c r="I2796" s="27" t="str">
        <f>IF($E2796="","",N(INDEX(成本费用登记表!$Q$4:$Y$303,229,9)))</f>
        <v/>
      </c>
      <c r="J2796" s="26" t="str">
        <f>IF($E2796="","",INDEX(成本费用登记表!$C$4:$C$303,229))</f>
        <v/>
      </c>
      <c r="K2796" s="26" t="str">
        <f>IF($E2796="","",INDEX(成本费用登记表!$D$4:$D$303,229))</f>
        <v/>
      </c>
      <c r="L2796" s="32" t="str">
        <f>IF($E2796="","",INDEX(成本费用登记表!$N$4:$N$303,229))</f>
        <v/>
      </c>
      <c r="M2796" s="32"/>
      <c r="N2796" s="26" t="str">
        <f t="shared" si="138"/>
        <v/>
      </c>
      <c r="O2796" s="26" t="str">
        <f t="shared" si="139"/>
        <v/>
      </c>
      <c r="P2796" s="10"/>
    </row>
    <row r="2797" ht="18" customHeight="1" spans="1:16">
      <c r="A2797" s="32" t="str">
        <f t="shared" si="140"/>
        <v/>
      </c>
      <c r="B2797" s="100" t="str">
        <f>IF($E2797="","",INDEX(成本费用登记表!$B$4:$B$303,230))</f>
        <v/>
      </c>
      <c r="C2797" s="26" t="str">
        <f t="shared" si="137"/>
        <v/>
      </c>
      <c r="D2797" s="32" t="str">
        <f>IF($E2797="","",INDEX(成本费用登记表!$E$4:$E$303,230))</f>
        <v/>
      </c>
      <c r="E2797" s="26" t="str">
        <f>IF(INDEX(成本费用登记表!$Q$4:$Y$303,230,1)=0,"",INDEX(成本费用登记表!$Q$4:$Y$303,230,1))</f>
        <v/>
      </c>
      <c r="F2797" s="25" t="str">
        <f>IF($E2797="","",IFERROR(INDEX(科目表!$A$4:$A$81,MATCH($E2797,科目表!$B$4:$B$81,0)),""))</f>
        <v/>
      </c>
      <c r="G2797" s="26" t="str">
        <f>IF($E2797="","",IFERROR(INDEX(科目表!$E$4:$E$81,MATCH($E2797,科目表!$B$4:$B$81,0)),""))</f>
        <v/>
      </c>
      <c r="H2797" s="27" t="str">
        <f>IF($E2797="","",N(INDEX(成本费用登记表!$Q$4:$Y$303,230,2)))</f>
        <v/>
      </c>
      <c r="I2797" s="27" t="str">
        <f>IF($E2797="","",N(INDEX(成本费用登记表!$Q$4:$Y$303,230,3)))</f>
        <v/>
      </c>
      <c r="J2797" s="26" t="str">
        <f>IF($E2797="","",INDEX(成本费用登记表!$C$4:$C$303,230))</f>
        <v/>
      </c>
      <c r="K2797" s="26" t="str">
        <f>IF($E2797="","",INDEX(成本费用登记表!$D$4:$D$303,230))</f>
        <v/>
      </c>
      <c r="L2797" s="32" t="str">
        <f>IF($E2797="","",INDEX(成本费用登记表!$N$4:$N$303,230))</f>
        <v/>
      </c>
      <c r="M2797" s="32"/>
      <c r="N2797" s="26" t="str">
        <f t="shared" si="138"/>
        <v/>
      </c>
      <c r="O2797" s="26" t="str">
        <f t="shared" si="139"/>
        <v/>
      </c>
      <c r="P2797" s="10"/>
    </row>
    <row r="2798" ht="18" customHeight="1" spans="1:16">
      <c r="A2798" s="32" t="str">
        <f t="shared" si="140"/>
        <v/>
      </c>
      <c r="B2798" s="100" t="str">
        <f>IF($E2798="","",INDEX(成本费用登记表!$B$4:$B$303,230))</f>
        <v/>
      </c>
      <c r="C2798" s="26" t="str">
        <f t="shared" si="137"/>
        <v/>
      </c>
      <c r="D2798" s="32" t="str">
        <f>IF($E2798="","",INDEX(成本费用登记表!$E$4:$E$303,230))</f>
        <v/>
      </c>
      <c r="E2798" s="26" t="str">
        <f>IF(INDEX(成本费用登记表!$Q$4:$Y$303,230,4)=0,"",INDEX(成本费用登记表!$Q$4:$Y$303,230,4))</f>
        <v/>
      </c>
      <c r="F2798" s="25" t="str">
        <f>IF($E2798="","",IFERROR(INDEX(科目表!$A$4:$A$81,MATCH($E2798,科目表!$B$4:$B$81,0)),""))</f>
        <v/>
      </c>
      <c r="G2798" s="26" t="str">
        <f>IF($E2798="","",IFERROR(INDEX(科目表!$E$4:$E$81,MATCH($E2798,科目表!$B$4:$B$81,0)),""))</f>
        <v/>
      </c>
      <c r="H2798" s="27" t="str">
        <f>IF($E2798="","",N(INDEX(成本费用登记表!$Q$4:$Y$303,230,5)))</f>
        <v/>
      </c>
      <c r="I2798" s="27" t="str">
        <f>IF($E2798="","",N(INDEX(成本费用登记表!$Q$4:$Y$303,230,6)))</f>
        <v/>
      </c>
      <c r="J2798" s="26" t="str">
        <f>IF($E2798="","",INDEX(成本费用登记表!$C$4:$C$303,230))</f>
        <v/>
      </c>
      <c r="K2798" s="26" t="str">
        <f>IF($E2798="","",INDEX(成本费用登记表!$D$4:$D$303,230))</f>
        <v/>
      </c>
      <c r="L2798" s="32" t="str">
        <f>IF($E2798="","",INDEX(成本费用登记表!$N$4:$N$303,230))</f>
        <v/>
      </c>
      <c r="M2798" s="32"/>
      <c r="N2798" s="26" t="str">
        <f t="shared" si="138"/>
        <v/>
      </c>
      <c r="O2798" s="26" t="str">
        <f t="shared" si="139"/>
        <v/>
      </c>
      <c r="P2798" s="10"/>
    </row>
    <row r="2799" ht="18" customHeight="1" spans="1:16">
      <c r="A2799" s="32" t="str">
        <f t="shared" si="140"/>
        <v/>
      </c>
      <c r="B2799" s="100" t="str">
        <f>IF($E2799="","",INDEX(成本费用登记表!$B$4:$B$303,230))</f>
        <v/>
      </c>
      <c r="C2799" s="26" t="str">
        <f t="shared" si="137"/>
        <v/>
      </c>
      <c r="D2799" s="32" t="str">
        <f>IF($E2799="","",INDEX(成本费用登记表!$E$4:$E$303,230))</f>
        <v/>
      </c>
      <c r="E2799" s="26" t="str">
        <f>IF(INDEX(成本费用登记表!$Q$4:$Y$303,230,7)=0,"",INDEX(成本费用登记表!$Q$4:$Y$303,230,7))</f>
        <v/>
      </c>
      <c r="F2799" s="25" t="str">
        <f>IF($E2799="","",IFERROR(INDEX(科目表!$A$4:$A$81,MATCH($E2799,科目表!$B$4:$B$81,0)),""))</f>
        <v/>
      </c>
      <c r="G2799" s="26" t="str">
        <f>IF($E2799="","",IFERROR(INDEX(科目表!$E$4:$E$81,MATCH($E2799,科目表!$B$4:$B$81,0)),""))</f>
        <v/>
      </c>
      <c r="H2799" s="27" t="str">
        <f>IF($E2799="","",N(INDEX(成本费用登记表!$Q$4:$Y$303,230,8)))</f>
        <v/>
      </c>
      <c r="I2799" s="27" t="str">
        <f>IF($E2799="","",N(INDEX(成本费用登记表!$Q$4:$Y$303,230,9)))</f>
        <v/>
      </c>
      <c r="J2799" s="26" t="str">
        <f>IF($E2799="","",INDEX(成本费用登记表!$C$4:$C$303,230))</f>
        <v/>
      </c>
      <c r="K2799" s="26" t="str">
        <f>IF($E2799="","",INDEX(成本费用登记表!$D$4:$D$303,230))</f>
        <v/>
      </c>
      <c r="L2799" s="32" t="str">
        <f>IF($E2799="","",INDEX(成本费用登记表!$N$4:$N$303,230))</f>
        <v/>
      </c>
      <c r="M2799" s="32"/>
      <c r="N2799" s="26" t="str">
        <f t="shared" si="138"/>
        <v/>
      </c>
      <c r="O2799" s="26" t="str">
        <f t="shared" si="139"/>
        <v/>
      </c>
      <c r="P2799" s="10"/>
    </row>
    <row r="2800" ht="18" customHeight="1" spans="1:16">
      <c r="A2800" s="32" t="str">
        <f t="shared" si="140"/>
        <v/>
      </c>
      <c r="B2800" s="100" t="str">
        <f>IF($E2800="","",INDEX(成本费用登记表!$B$4:$B$303,231))</f>
        <v/>
      </c>
      <c r="C2800" s="26" t="str">
        <f t="shared" si="137"/>
        <v/>
      </c>
      <c r="D2800" s="32" t="str">
        <f>IF($E2800="","",INDEX(成本费用登记表!$E$4:$E$303,231))</f>
        <v/>
      </c>
      <c r="E2800" s="26" t="str">
        <f>IF(INDEX(成本费用登记表!$Q$4:$Y$303,231,1)=0,"",INDEX(成本费用登记表!$Q$4:$Y$303,231,1))</f>
        <v/>
      </c>
      <c r="F2800" s="25" t="str">
        <f>IF($E2800="","",IFERROR(INDEX(科目表!$A$4:$A$81,MATCH($E2800,科目表!$B$4:$B$81,0)),""))</f>
        <v/>
      </c>
      <c r="G2800" s="26" t="str">
        <f>IF($E2800="","",IFERROR(INDEX(科目表!$E$4:$E$81,MATCH($E2800,科目表!$B$4:$B$81,0)),""))</f>
        <v/>
      </c>
      <c r="H2800" s="27" t="str">
        <f>IF($E2800="","",N(INDEX(成本费用登记表!$Q$4:$Y$303,231,2)))</f>
        <v/>
      </c>
      <c r="I2800" s="27" t="str">
        <f>IF($E2800="","",N(INDEX(成本费用登记表!$Q$4:$Y$303,231,3)))</f>
        <v/>
      </c>
      <c r="J2800" s="26" t="str">
        <f>IF($E2800="","",INDEX(成本费用登记表!$C$4:$C$303,231))</f>
        <v/>
      </c>
      <c r="K2800" s="26" t="str">
        <f>IF($E2800="","",INDEX(成本费用登记表!$D$4:$D$303,231))</f>
        <v/>
      </c>
      <c r="L2800" s="32" t="str">
        <f>IF($E2800="","",INDEX(成本费用登记表!$N$4:$N$303,231))</f>
        <v/>
      </c>
      <c r="M2800" s="32"/>
      <c r="N2800" s="26" t="str">
        <f t="shared" si="138"/>
        <v/>
      </c>
      <c r="O2800" s="26" t="str">
        <f t="shared" si="139"/>
        <v/>
      </c>
      <c r="P2800" s="10"/>
    </row>
    <row r="2801" ht="18" customHeight="1" spans="1:16">
      <c r="A2801" s="32" t="str">
        <f t="shared" si="140"/>
        <v/>
      </c>
      <c r="B2801" s="100" t="str">
        <f>IF($E2801="","",INDEX(成本费用登记表!$B$4:$B$303,231))</f>
        <v/>
      </c>
      <c r="C2801" s="26" t="str">
        <f t="shared" si="137"/>
        <v/>
      </c>
      <c r="D2801" s="32" t="str">
        <f>IF($E2801="","",INDEX(成本费用登记表!$E$4:$E$303,231))</f>
        <v/>
      </c>
      <c r="E2801" s="26" t="str">
        <f>IF(INDEX(成本费用登记表!$Q$4:$Y$303,231,4)=0,"",INDEX(成本费用登记表!$Q$4:$Y$303,231,4))</f>
        <v/>
      </c>
      <c r="F2801" s="25" t="str">
        <f>IF($E2801="","",IFERROR(INDEX(科目表!$A$4:$A$81,MATCH($E2801,科目表!$B$4:$B$81,0)),""))</f>
        <v/>
      </c>
      <c r="G2801" s="26" t="str">
        <f>IF($E2801="","",IFERROR(INDEX(科目表!$E$4:$E$81,MATCH($E2801,科目表!$B$4:$B$81,0)),""))</f>
        <v/>
      </c>
      <c r="H2801" s="27" t="str">
        <f>IF($E2801="","",N(INDEX(成本费用登记表!$Q$4:$Y$303,231,5)))</f>
        <v/>
      </c>
      <c r="I2801" s="27" t="str">
        <f>IF($E2801="","",N(INDEX(成本费用登记表!$Q$4:$Y$303,231,6)))</f>
        <v/>
      </c>
      <c r="J2801" s="26" t="str">
        <f>IF($E2801="","",INDEX(成本费用登记表!$C$4:$C$303,231))</f>
        <v/>
      </c>
      <c r="K2801" s="26" t="str">
        <f>IF($E2801="","",INDEX(成本费用登记表!$D$4:$D$303,231))</f>
        <v/>
      </c>
      <c r="L2801" s="32" t="str">
        <f>IF($E2801="","",INDEX(成本费用登记表!$N$4:$N$303,231))</f>
        <v/>
      </c>
      <c r="M2801" s="32"/>
      <c r="N2801" s="26" t="str">
        <f t="shared" si="138"/>
        <v/>
      </c>
      <c r="O2801" s="26" t="str">
        <f t="shared" si="139"/>
        <v/>
      </c>
      <c r="P2801" s="10"/>
    </row>
    <row r="2802" ht="18" customHeight="1" spans="1:16">
      <c r="A2802" s="32" t="str">
        <f t="shared" si="140"/>
        <v/>
      </c>
      <c r="B2802" s="100" t="str">
        <f>IF($E2802="","",INDEX(成本费用登记表!$B$4:$B$303,231))</f>
        <v/>
      </c>
      <c r="C2802" s="26" t="str">
        <f t="shared" si="137"/>
        <v/>
      </c>
      <c r="D2802" s="32" t="str">
        <f>IF($E2802="","",INDEX(成本费用登记表!$E$4:$E$303,231))</f>
        <v/>
      </c>
      <c r="E2802" s="26" t="str">
        <f>IF(INDEX(成本费用登记表!$Q$4:$Y$303,231,7)=0,"",INDEX(成本费用登记表!$Q$4:$Y$303,231,7))</f>
        <v/>
      </c>
      <c r="F2802" s="25" t="str">
        <f>IF($E2802="","",IFERROR(INDEX(科目表!$A$4:$A$81,MATCH($E2802,科目表!$B$4:$B$81,0)),""))</f>
        <v/>
      </c>
      <c r="G2802" s="26" t="str">
        <f>IF($E2802="","",IFERROR(INDEX(科目表!$E$4:$E$81,MATCH($E2802,科目表!$B$4:$B$81,0)),""))</f>
        <v/>
      </c>
      <c r="H2802" s="27" t="str">
        <f>IF($E2802="","",N(INDEX(成本费用登记表!$Q$4:$Y$303,231,8)))</f>
        <v/>
      </c>
      <c r="I2802" s="27" t="str">
        <f>IF($E2802="","",N(INDEX(成本费用登记表!$Q$4:$Y$303,231,9)))</f>
        <v/>
      </c>
      <c r="J2802" s="26" t="str">
        <f>IF($E2802="","",INDEX(成本费用登记表!$C$4:$C$303,231))</f>
        <v/>
      </c>
      <c r="K2802" s="26" t="str">
        <f>IF($E2802="","",INDEX(成本费用登记表!$D$4:$D$303,231))</f>
        <v/>
      </c>
      <c r="L2802" s="32" t="str">
        <f>IF($E2802="","",INDEX(成本费用登记表!$N$4:$N$303,231))</f>
        <v/>
      </c>
      <c r="M2802" s="32"/>
      <c r="N2802" s="26" t="str">
        <f t="shared" si="138"/>
        <v/>
      </c>
      <c r="O2802" s="26" t="str">
        <f t="shared" si="139"/>
        <v/>
      </c>
      <c r="P2802" s="10"/>
    </row>
    <row r="2803" ht="18" customHeight="1" spans="1:16">
      <c r="A2803" s="32" t="str">
        <f t="shared" si="140"/>
        <v/>
      </c>
      <c r="B2803" s="100" t="str">
        <f>IF($E2803="","",INDEX(成本费用登记表!$B$4:$B$303,232))</f>
        <v/>
      </c>
      <c r="C2803" s="26" t="str">
        <f t="shared" si="137"/>
        <v/>
      </c>
      <c r="D2803" s="32" t="str">
        <f>IF($E2803="","",INDEX(成本费用登记表!$E$4:$E$303,232))</f>
        <v/>
      </c>
      <c r="E2803" s="26" t="str">
        <f>IF(INDEX(成本费用登记表!$Q$4:$Y$303,232,1)=0,"",INDEX(成本费用登记表!$Q$4:$Y$303,232,1))</f>
        <v/>
      </c>
      <c r="F2803" s="25" t="str">
        <f>IF($E2803="","",IFERROR(INDEX(科目表!$A$4:$A$81,MATCH($E2803,科目表!$B$4:$B$81,0)),""))</f>
        <v/>
      </c>
      <c r="G2803" s="26" t="str">
        <f>IF($E2803="","",IFERROR(INDEX(科目表!$E$4:$E$81,MATCH($E2803,科目表!$B$4:$B$81,0)),""))</f>
        <v/>
      </c>
      <c r="H2803" s="27" t="str">
        <f>IF($E2803="","",N(INDEX(成本费用登记表!$Q$4:$Y$303,232,2)))</f>
        <v/>
      </c>
      <c r="I2803" s="27" t="str">
        <f>IF($E2803="","",N(INDEX(成本费用登记表!$Q$4:$Y$303,232,3)))</f>
        <v/>
      </c>
      <c r="J2803" s="26" t="str">
        <f>IF($E2803="","",INDEX(成本费用登记表!$C$4:$C$303,232))</f>
        <v/>
      </c>
      <c r="K2803" s="26" t="str">
        <f>IF($E2803="","",INDEX(成本费用登记表!$D$4:$D$303,232))</f>
        <v/>
      </c>
      <c r="L2803" s="32" t="str">
        <f>IF($E2803="","",INDEX(成本费用登记表!$N$4:$N$303,232))</f>
        <v/>
      </c>
      <c r="M2803" s="32"/>
      <c r="N2803" s="26" t="str">
        <f t="shared" si="138"/>
        <v/>
      </c>
      <c r="O2803" s="26" t="str">
        <f t="shared" si="139"/>
        <v/>
      </c>
      <c r="P2803" s="10"/>
    </row>
    <row r="2804" ht="18" customHeight="1" spans="1:16">
      <c r="A2804" s="32" t="str">
        <f t="shared" si="140"/>
        <v/>
      </c>
      <c r="B2804" s="100" t="str">
        <f>IF($E2804="","",INDEX(成本费用登记表!$B$4:$B$303,232))</f>
        <v/>
      </c>
      <c r="C2804" s="26" t="str">
        <f t="shared" si="137"/>
        <v/>
      </c>
      <c r="D2804" s="32" t="str">
        <f>IF($E2804="","",INDEX(成本费用登记表!$E$4:$E$303,232))</f>
        <v/>
      </c>
      <c r="E2804" s="26" t="str">
        <f>IF(INDEX(成本费用登记表!$Q$4:$Y$303,232,4)=0,"",INDEX(成本费用登记表!$Q$4:$Y$303,232,4))</f>
        <v/>
      </c>
      <c r="F2804" s="25" t="str">
        <f>IF($E2804="","",IFERROR(INDEX(科目表!$A$4:$A$81,MATCH($E2804,科目表!$B$4:$B$81,0)),""))</f>
        <v/>
      </c>
      <c r="G2804" s="26" t="str">
        <f>IF($E2804="","",IFERROR(INDEX(科目表!$E$4:$E$81,MATCH($E2804,科目表!$B$4:$B$81,0)),""))</f>
        <v/>
      </c>
      <c r="H2804" s="27" t="str">
        <f>IF($E2804="","",N(INDEX(成本费用登记表!$Q$4:$Y$303,232,5)))</f>
        <v/>
      </c>
      <c r="I2804" s="27" t="str">
        <f>IF($E2804="","",N(INDEX(成本费用登记表!$Q$4:$Y$303,232,6)))</f>
        <v/>
      </c>
      <c r="J2804" s="26" t="str">
        <f>IF($E2804="","",INDEX(成本费用登记表!$C$4:$C$303,232))</f>
        <v/>
      </c>
      <c r="K2804" s="26" t="str">
        <f>IF($E2804="","",INDEX(成本费用登记表!$D$4:$D$303,232))</f>
        <v/>
      </c>
      <c r="L2804" s="32" t="str">
        <f>IF($E2804="","",INDEX(成本费用登记表!$N$4:$N$303,232))</f>
        <v/>
      </c>
      <c r="M2804" s="32"/>
      <c r="N2804" s="26" t="str">
        <f t="shared" si="138"/>
        <v/>
      </c>
      <c r="O2804" s="26" t="str">
        <f t="shared" si="139"/>
        <v/>
      </c>
      <c r="P2804" s="10"/>
    </row>
    <row r="2805" ht="18" customHeight="1" spans="1:16">
      <c r="A2805" s="32" t="str">
        <f t="shared" si="140"/>
        <v/>
      </c>
      <c r="B2805" s="100" t="str">
        <f>IF($E2805="","",INDEX(成本费用登记表!$B$4:$B$303,232))</f>
        <v/>
      </c>
      <c r="C2805" s="26" t="str">
        <f t="shared" si="137"/>
        <v/>
      </c>
      <c r="D2805" s="32" t="str">
        <f>IF($E2805="","",INDEX(成本费用登记表!$E$4:$E$303,232))</f>
        <v/>
      </c>
      <c r="E2805" s="26" t="str">
        <f>IF(INDEX(成本费用登记表!$Q$4:$Y$303,232,7)=0,"",INDEX(成本费用登记表!$Q$4:$Y$303,232,7))</f>
        <v/>
      </c>
      <c r="F2805" s="25" t="str">
        <f>IF($E2805="","",IFERROR(INDEX(科目表!$A$4:$A$81,MATCH($E2805,科目表!$B$4:$B$81,0)),""))</f>
        <v/>
      </c>
      <c r="G2805" s="26" t="str">
        <f>IF($E2805="","",IFERROR(INDEX(科目表!$E$4:$E$81,MATCH($E2805,科目表!$B$4:$B$81,0)),""))</f>
        <v/>
      </c>
      <c r="H2805" s="27" t="str">
        <f>IF($E2805="","",N(INDEX(成本费用登记表!$Q$4:$Y$303,232,8)))</f>
        <v/>
      </c>
      <c r="I2805" s="27" t="str">
        <f>IF($E2805="","",N(INDEX(成本费用登记表!$Q$4:$Y$303,232,9)))</f>
        <v/>
      </c>
      <c r="J2805" s="26" t="str">
        <f>IF($E2805="","",INDEX(成本费用登记表!$C$4:$C$303,232))</f>
        <v/>
      </c>
      <c r="K2805" s="26" t="str">
        <f>IF($E2805="","",INDEX(成本费用登记表!$D$4:$D$303,232))</f>
        <v/>
      </c>
      <c r="L2805" s="32" t="str">
        <f>IF($E2805="","",INDEX(成本费用登记表!$N$4:$N$303,232))</f>
        <v/>
      </c>
      <c r="M2805" s="32"/>
      <c r="N2805" s="26" t="str">
        <f t="shared" si="138"/>
        <v/>
      </c>
      <c r="O2805" s="26" t="str">
        <f t="shared" si="139"/>
        <v/>
      </c>
      <c r="P2805" s="10"/>
    </row>
    <row r="2806" ht="18" customHeight="1" spans="1:16">
      <c r="A2806" s="32" t="str">
        <f t="shared" si="140"/>
        <v/>
      </c>
      <c r="B2806" s="100" t="str">
        <f>IF($E2806="","",INDEX(成本费用登记表!$B$4:$B$303,233))</f>
        <v/>
      </c>
      <c r="C2806" s="26" t="str">
        <f t="shared" si="137"/>
        <v/>
      </c>
      <c r="D2806" s="32" t="str">
        <f>IF($E2806="","",INDEX(成本费用登记表!$E$4:$E$303,233))</f>
        <v/>
      </c>
      <c r="E2806" s="26" t="str">
        <f>IF(INDEX(成本费用登记表!$Q$4:$Y$303,233,1)=0,"",INDEX(成本费用登记表!$Q$4:$Y$303,233,1))</f>
        <v/>
      </c>
      <c r="F2806" s="25" t="str">
        <f>IF($E2806="","",IFERROR(INDEX(科目表!$A$4:$A$81,MATCH($E2806,科目表!$B$4:$B$81,0)),""))</f>
        <v/>
      </c>
      <c r="G2806" s="26" t="str">
        <f>IF($E2806="","",IFERROR(INDEX(科目表!$E$4:$E$81,MATCH($E2806,科目表!$B$4:$B$81,0)),""))</f>
        <v/>
      </c>
      <c r="H2806" s="27" t="str">
        <f>IF($E2806="","",N(INDEX(成本费用登记表!$Q$4:$Y$303,233,2)))</f>
        <v/>
      </c>
      <c r="I2806" s="27" t="str">
        <f>IF($E2806="","",N(INDEX(成本费用登记表!$Q$4:$Y$303,233,3)))</f>
        <v/>
      </c>
      <c r="J2806" s="26" t="str">
        <f>IF($E2806="","",INDEX(成本费用登记表!$C$4:$C$303,233))</f>
        <v/>
      </c>
      <c r="K2806" s="26" t="str">
        <f>IF($E2806="","",INDEX(成本费用登记表!$D$4:$D$303,233))</f>
        <v/>
      </c>
      <c r="L2806" s="32" t="str">
        <f>IF($E2806="","",INDEX(成本费用登记表!$N$4:$N$303,233))</f>
        <v/>
      </c>
      <c r="M2806" s="32"/>
      <c r="N2806" s="26" t="str">
        <f t="shared" si="138"/>
        <v/>
      </c>
      <c r="O2806" s="26" t="str">
        <f t="shared" si="139"/>
        <v/>
      </c>
      <c r="P2806" s="10"/>
    </row>
    <row r="2807" ht="18" customHeight="1" spans="1:16">
      <c r="A2807" s="32" t="str">
        <f t="shared" si="140"/>
        <v/>
      </c>
      <c r="B2807" s="100" t="str">
        <f>IF($E2807="","",INDEX(成本费用登记表!$B$4:$B$303,233))</f>
        <v/>
      </c>
      <c r="C2807" s="26" t="str">
        <f t="shared" si="137"/>
        <v/>
      </c>
      <c r="D2807" s="32" t="str">
        <f>IF($E2807="","",INDEX(成本费用登记表!$E$4:$E$303,233))</f>
        <v/>
      </c>
      <c r="E2807" s="26" t="str">
        <f>IF(INDEX(成本费用登记表!$Q$4:$Y$303,233,4)=0,"",INDEX(成本费用登记表!$Q$4:$Y$303,233,4))</f>
        <v/>
      </c>
      <c r="F2807" s="25" t="str">
        <f>IF($E2807="","",IFERROR(INDEX(科目表!$A$4:$A$81,MATCH($E2807,科目表!$B$4:$B$81,0)),""))</f>
        <v/>
      </c>
      <c r="G2807" s="26" t="str">
        <f>IF($E2807="","",IFERROR(INDEX(科目表!$E$4:$E$81,MATCH($E2807,科目表!$B$4:$B$81,0)),""))</f>
        <v/>
      </c>
      <c r="H2807" s="27" t="str">
        <f>IF($E2807="","",N(INDEX(成本费用登记表!$Q$4:$Y$303,233,5)))</f>
        <v/>
      </c>
      <c r="I2807" s="27" t="str">
        <f>IF($E2807="","",N(INDEX(成本费用登记表!$Q$4:$Y$303,233,6)))</f>
        <v/>
      </c>
      <c r="J2807" s="26" t="str">
        <f>IF($E2807="","",INDEX(成本费用登记表!$C$4:$C$303,233))</f>
        <v/>
      </c>
      <c r="K2807" s="26" t="str">
        <f>IF($E2807="","",INDEX(成本费用登记表!$D$4:$D$303,233))</f>
        <v/>
      </c>
      <c r="L2807" s="32" t="str">
        <f>IF($E2807="","",INDEX(成本费用登记表!$N$4:$N$303,233))</f>
        <v/>
      </c>
      <c r="M2807" s="32"/>
      <c r="N2807" s="26" t="str">
        <f t="shared" si="138"/>
        <v/>
      </c>
      <c r="O2807" s="26" t="str">
        <f t="shared" si="139"/>
        <v/>
      </c>
      <c r="P2807" s="10"/>
    </row>
    <row r="2808" ht="18" customHeight="1" spans="1:16">
      <c r="A2808" s="32" t="str">
        <f t="shared" si="140"/>
        <v/>
      </c>
      <c r="B2808" s="100" t="str">
        <f>IF($E2808="","",INDEX(成本费用登记表!$B$4:$B$303,233))</f>
        <v/>
      </c>
      <c r="C2808" s="26" t="str">
        <f t="shared" si="137"/>
        <v/>
      </c>
      <c r="D2808" s="32" t="str">
        <f>IF($E2808="","",INDEX(成本费用登记表!$E$4:$E$303,233))</f>
        <v/>
      </c>
      <c r="E2808" s="26" t="str">
        <f>IF(INDEX(成本费用登记表!$Q$4:$Y$303,233,7)=0,"",INDEX(成本费用登记表!$Q$4:$Y$303,233,7))</f>
        <v/>
      </c>
      <c r="F2808" s="25" t="str">
        <f>IF($E2808="","",IFERROR(INDEX(科目表!$A$4:$A$81,MATCH($E2808,科目表!$B$4:$B$81,0)),""))</f>
        <v/>
      </c>
      <c r="G2808" s="26" t="str">
        <f>IF($E2808="","",IFERROR(INDEX(科目表!$E$4:$E$81,MATCH($E2808,科目表!$B$4:$B$81,0)),""))</f>
        <v/>
      </c>
      <c r="H2808" s="27" t="str">
        <f>IF($E2808="","",N(INDEX(成本费用登记表!$Q$4:$Y$303,233,8)))</f>
        <v/>
      </c>
      <c r="I2808" s="27" t="str">
        <f>IF($E2808="","",N(INDEX(成本费用登记表!$Q$4:$Y$303,233,9)))</f>
        <v/>
      </c>
      <c r="J2808" s="26" t="str">
        <f>IF($E2808="","",INDEX(成本费用登记表!$C$4:$C$303,233))</f>
        <v/>
      </c>
      <c r="K2808" s="26" t="str">
        <f>IF($E2808="","",INDEX(成本费用登记表!$D$4:$D$303,233))</f>
        <v/>
      </c>
      <c r="L2808" s="32" t="str">
        <f>IF($E2808="","",INDEX(成本费用登记表!$N$4:$N$303,233))</f>
        <v/>
      </c>
      <c r="M2808" s="32"/>
      <c r="N2808" s="26" t="str">
        <f t="shared" si="138"/>
        <v/>
      </c>
      <c r="O2808" s="26" t="str">
        <f t="shared" si="139"/>
        <v/>
      </c>
      <c r="P2808" s="10"/>
    </row>
    <row r="2809" ht="18" customHeight="1" spans="1:16">
      <c r="A2809" s="32" t="str">
        <f t="shared" si="140"/>
        <v/>
      </c>
      <c r="B2809" s="100" t="str">
        <f>IF($E2809="","",INDEX(成本费用登记表!$B$4:$B$303,234))</f>
        <v/>
      </c>
      <c r="C2809" s="26" t="str">
        <f t="shared" si="137"/>
        <v/>
      </c>
      <c r="D2809" s="32" t="str">
        <f>IF($E2809="","",INDEX(成本费用登记表!$E$4:$E$303,234))</f>
        <v/>
      </c>
      <c r="E2809" s="26" t="str">
        <f>IF(INDEX(成本费用登记表!$Q$4:$Y$303,234,1)=0,"",INDEX(成本费用登记表!$Q$4:$Y$303,234,1))</f>
        <v/>
      </c>
      <c r="F2809" s="25" t="str">
        <f>IF($E2809="","",IFERROR(INDEX(科目表!$A$4:$A$81,MATCH($E2809,科目表!$B$4:$B$81,0)),""))</f>
        <v/>
      </c>
      <c r="G2809" s="26" t="str">
        <f>IF($E2809="","",IFERROR(INDEX(科目表!$E$4:$E$81,MATCH($E2809,科目表!$B$4:$B$81,0)),""))</f>
        <v/>
      </c>
      <c r="H2809" s="27" t="str">
        <f>IF($E2809="","",N(INDEX(成本费用登记表!$Q$4:$Y$303,234,2)))</f>
        <v/>
      </c>
      <c r="I2809" s="27" t="str">
        <f>IF($E2809="","",N(INDEX(成本费用登记表!$Q$4:$Y$303,234,3)))</f>
        <v/>
      </c>
      <c r="J2809" s="26" t="str">
        <f>IF($E2809="","",INDEX(成本费用登记表!$C$4:$C$303,234))</f>
        <v/>
      </c>
      <c r="K2809" s="26" t="str">
        <f>IF($E2809="","",INDEX(成本费用登记表!$D$4:$D$303,234))</f>
        <v/>
      </c>
      <c r="L2809" s="32" t="str">
        <f>IF($E2809="","",INDEX(成本费用登记表!$N$4:$N$303,234))</f>
        <v/>
      </c>
      <c r="M2809" s="32"/>
      <c r="N2809" s="26" t="str">
        <f t="shared" si="138"/>
        <v/>
      </c>
      <c r="O2809" s="26" t="str">
        <f t="shared" si="139"/>
        <v/>
      </c>
      <c r="P2809" s="10"/>
    </row>
    <row r="2810" ht="18" customHeight="1" spans="1:16">
      <c r="A2810" s="32" t="str">
        <f t="shared" si="140"/>
        <v/>
      </c>
      <c r="B2810" s="100" t="str">
        <f>IF($E2810="","",INDEX(成本费用登记表!$B$4:$B$303,234))</f>
        <v/>
      </c>
      <c r="C2810" s="26" t="str">
        <f t="shared" si="137"/>
        <v/>
      </c>
      <c r="D2810" s="32" t="str">
        <f>IF($E2810="","",INDEX(成本费用登记表!$E$4:$E$303,234))</f>
        <v/>
      </c>
      <c r="E2810" s="26" t="str">
        <f>IF(INDEX(成本费用登记表!$Q$4:$Y$303,234,4)=0,"",INDEX(成本费用登记表!$Q$4:$Y$303,234,4))</f>
        <v/>
      </c>
      <c r="F2810" s="25" t="str">
        <f>IF($E2810="","",IFERROR(INDEX(科目表!$A$4:$A$81,MATCH($E2810,科目表!$B$4:$B$81,0)),""))</f>
        <v/>
      </c>
      <c r="G2810" s="26" t="str">
        <f>IF($E2810="","",IFERROR(INDEX(科目表!$E$4:$E$81,MATCH($E2810,科目表!$B$4:$B$81,0)),""))</f>
        <v/>
      </c>
      <c r="H2810" s="27" t="str">
        <f>IF($E2810="","",N(INDEX(成本费用登记表!$Q$4:$Y$303,234,5)))</f>
        <v/>
      </c>
      <c r="I2810" s="27" t="str">
        <f>IF($E2810="","",N(INDEX(成本费用登记表!$Q$4:$Y$303,234,6)))</f>
        <v/>
      </c>
      <c r="J2810" s="26" t="str">
        <f>IF($E2810="","",INDEX(成本费用登记表!$C$4:$C$303,234))</f>
        <v/>
      </c>
      <c r="K2810" s="26" t="str">
        <f>IF($E2810="","",INDEX(成本费用登记表!$D$4:$D$303,234))</f>
        <v/>
      </c>
      <c r="L2810" s="32" t="str">
        <f>IF($E2810="","",INDEX(成本费用登记表!$N$4:$N$303,234))</f>
        <v/>
      </c>
      <c r="M2810" s="32"/>
      <c r="N2810" s="26" t="str">
        <f t="shared" si="138"/>
        <v/>
      </c>
      <c r="O2810" s="26" t="str">
        <f t="shared" si="139"/>
        <v/>
      </c>
      <c r="P2810" s="10"/>
    </row>
    <row r="2811" ht="18" customHeight="1" spans="1:16">
      <c r="A2811" s="32" t="str">
        <f t="shared" si="140"/>
        <v/>
      </c>
      <c r="B2811" s="100" t="str">
        <f>IF($E2811="","",INDEX(成本费用登记表!$B$4:$B$303,234))</f>
        <v/>
      </c>
      <c r="C2811" s="26" t="str">
        <f t="shared" si="137"/>
        <v/>
      </c>
      <c r="D2811" s="32" t="str">
        <f>IF($E2811="","",INDEX(成本费用登记表!$E$4:$E$303,234))</f>
        <v/>
      </c>
      <c r="E2811" s="26" t="str">
        <f>IF(INDEX(成本费用登记表!$Q$4:$Y$303,234,7)=0,"",INDEX(成本费用登记表!$Q$4:$Y$303,234,7))</f>
        <v/>
      </c>
      <c r="F2811" s="25" t="str">
        <f>IF($E2811="","",IFERROR(INDEX(科目表!$A$4:$A$81,MATCH($E2811,科目表!$B$4:$B$81,0)),""))</f>
        <v/>
      </c>
      <c r="G2811" s="26" t="str">
        <f>IF($E2811="","",IFERROR(INDEX(科目表!$E$4:$E$81,MATCH($E2811,科目表!$B$4:$B$81,0)),""))</f>
        <v/>
      </c>
      <c r="H2811" s="27" t="str">
        <f>IF($E2811="","",N(INDEX(成本费用登记表!$Q$4:$Y$303,234,8)))</f>
        <v/>
      </c>
      <c r="I2811" s="27" t="str">
        <f>IF($E2811="","",N(INDEX(成本费用登记表!$Q$4:$Y$303,234,9)))</f>
        <v/>
      </c>
      <c r="J2811" s="26" t="str">
        <f>IF($E2811="","",INDEX(成本费用登记表!$C$4:$C$303,234))</f>
        <v/>
      </c>
      <c r="K2811" s="26" t="str">
        <f>IF($E2811="","",INDEX(成本费用登记表!$D$4:$D$303,234))</f>
        <v/>
      </c>
      <c r="L2811" s="32" t="str">
        <f>IF($E2811="","",INDEX(成本费用登记表!$N$4:$N$303,234))</f>
        <v/>
      </c>
      <c r="M2811" s="32"/>
      <c r="N2811" s="26" t="str">
        <f t="shared" si="138"/>
        <v/>
      </c>
      <c r="O2811" s="26" t="str">
        <f t="shared" si="139"/>
        <v/>
      </c>
      <c r="P2811" s="10"/>
    </row>
    <row r="2812" ht="18" customHeight="1" spans="1:16">
      <c r="A2812" s="32" t="str">
        <f t="shared" si="140"/>
        <v/>
      </c>
      <c r="B2812" s="100" t="str">
        <f>IF($E2812="","",INDEX(成本费用登记表!$B$4:$B$303,235))</f>
        <v/>
      </c>
      <c r="C2812" s="26" t="str">
        <f t="shared" si="137"/>
        <v/>
      </c>
      <c r="D2812" s="32" t="str">
        <f>IF($E2812="","",INDEX(成本费用登记表!$E$4:$E$303,235))</f>
        <v/>
      </c>
      <c r="E2812" s="26" t="str">
        <f>IF(INDEX(成本费用登记表!$Q$4:$Y$303,235,1)=0,"",INDEX(成本费用登记表!$Q$4:$Y$303,235,1))</f>
        <v/>
      </c>
      <c r="F2812" s="25" t="str">
        <f>IF($E2812="","",IFERROR(INDEX(科目表!$A$4:$A$81,MATCH($E2812,科目表!$B$4:$B$81,0)),""))</f>
        <v/>
      </c>
      <c r="G2812" s="26" t="str">
        <f>IF($E2812="","",IFERROR(INDEX(科目表!$E$4:$E$81,MATCH($E2812,科目表!$B$4:$B$81,0)),""))</f>
        <v/>
      </c>
      <c r="H2812" s="27" t="str">
        <f>IF($E2812="","",N(INDEX(成本费用登记表!$Q$4:$Y$303,235,2)))</f>
        <v/>
      </c>
      <c r="I2812" s="27" t="str">
        <f>IF($E2812="","",N(INDEX(成本费用登记表!$Q$4:$Y$303,235,3)))</f>
        <v/>
      </c>
      <c r="J2812" s="26" t="str">
        <f>IF($E2812="","",INDEX(成本费用登记表!$C$4:$C$303,235))</f>
        <v/>
      </c>
      <c r="K2812" s="26" t="str">
        <f>IF($E2812="","",INDEX(成本费用登记表!$D$4:$D$303,235))</f>
        <v/>
      </c>
      <c r="L2812" s="32" t="str">
        <f>IF($E2812="","",INDEX(成本费用登记表!$N$4:$N$303,235))</f>
        <v/>
      </c>
      <c r="M2812" s="32"/>
      <c r="N2812" s="26" t="str">
        <f t="shared" si="138"/>
        <v/>
      </c>
      <c r="O2812" s="26" t="str">
        <f t="shared" si="139"/>
        <v/>
      </c>
      <c r="P2812" s="10"/>
    </row>
    <row r="2813" ht="18" customHeight="1" spans="1:16">
      <c r="A2813" s="32" t="str">
        <f t="shared" si="140"/>
        <v/>
      </c>
      <c r="B2813" s="100" t="str">
        <f>IF($E2813="","",INDEX(成本费用登记表!$B$4:$B$303,235))</f>
        <v/>
      </c>
      <c r="C2813" s="26" t="str">
        <f t="shared" si="137"/>
        <v/>
      </c>
      <c r="D2813" s="32" t="str">
        <f>IF($E2813="","",INDEX(成本费用登记表!$E$4:$E$303,235))</f>
        <v/>
      </c>
      <c r="E2813" s="26" t="str">
        <f>IF(INDEX(成本费用登记表!$Q$4:$Y$303,235,4)=0,"",INDEX(成本费用登记表!$Q$4:$Y$303,235,4))</f>
        <v/>
      </c>
      <c r="F2813" s="25" t="str">
        <f>IF($E2813="","",IFERROR(INDEX(科目表!$A$4:$A$81,MATCH($E2813,科目表!$B$4:$B$81,0)),""))</f>
        <v/>
      </c>
      <c r="G2813" s="26" t="str">
        <f>IF($E2813="","",IFERROR(INDEX(科目表!$E$4:$E$81,MATCH($E2813,科目表!$B$4:$B$81,0)),""))</f>
        <v/>
      </c>
      <c r="H2813" s="27" t="str">
        <f>IF($E2813="","",N(INDEX(成本费用登记表!$Q$4:$Y$303,235,5)))</f>
        <v/>
      </c>
      <c r="I2813" s="27" t="str">
        <f>IF($E2813="","",N(INDEX(成本费用登记表!$Q$4:$Y$303,235,6)))</f>
        <v/>
      </c>
      <c r="J2813" s="26" t="str">
        <f>IF($E2813="","",INDEX(成本费用登记表!$C$4:$C$303,235))</f>
        <v/>
      </c>
      <c r="K2813" s="26" t="str">
        <f>IF($E2813="","",INDEX(成本费用登记表!$D$4:$D$303,235))</f>
        <v/>
      </c>
      <c r="L2813" s="32" t="str">
        <f>IF($E2813="","",INDEX(成本费用登记表!$N$4:$N$303,235))</f>
        <v/>
      </c>
      <c r="M2813" s="32"/>
      <c r="N2813" s="26" t="str">
        <f t="shared" si="138"/>
        <v/>
      </c>
      <c r="O2813" s="26" t="str">
        <f t="shared" si="139"/>
        <v/>
      </c>
      <c r="P2813" s="10"/>
    </row>
    <row r="2814" ht="18" customHeight="1" spans="1:16">
      <c r="A2814" s="32" t="str">
        <f t="shared" si="140"/>
        <v/>
      </c>
      <c r="B2814" s="100" t="str">
        <f>IF($E2814="","",INDEX(成本费用登记表!$B$4:$B$303,235))</f>
        <v/>
      </c>
      <c r="C2814" s="26" t="str">
        <f t="shared" ref="C2814:C2877" si="141">IF($E2814="","","记-"&amp;TEXT($B2814,"YYYYMM")&amp;"-费用")</f>
        <v/>
      </c>
      <c r="D2814" s="32" t="str">
        <f>IF($E2814="","",INDEX(成本费用登记表!$E$4:$E$303,235))</f>
        <v/>
      </c>
      <c r="E2814" s="26" t="str">
        <f>IF(INDEX(成本费用登记表!$Q$4:$Y$303,235,7)=0,"",INDEX(成本费用登记表!$Q$4:$Y$303,235,7))</f>
        <v/>
      </c>
      <c r="F2814" s="25" t="str">
        <f>IF($E2814="","",IFERROR(INDEX(科目表!$A$4:$A$81,MATCH($E2814,科目表!$B$4:$B$81,0)),""))</f>
        <v/>
      </c>
      <c r="G2814" s="26" t="str">
        <f>IF($E2814="","",IFERROR(INDEX(科目表!$E$4:$E$81,MATCH($E2814,科目表!$B$4:$B$81,0)),""))</f>
        <v/>
      </c>
      <c r="H2814" s="27" t="str">
        <f>IF($E2814="","",N(INDEX(成本费用登记表!$Q$4:$Y$303,235,8)))</f>
        <v/>
      </c>
      <c r="I2814" s="27" t="str">
        <f>IF($E2814="","",N(INDEX(成本费用登记表!$Q$4:$Y$303,235,9)))</f>
        <v/>
      </c>
      <c r="J2814" s="26" t="str">
        <f>IF($E2814="","",INDEX(成本费用登记表!$C$4:$C$303,235))</f>
        <v/>
      </c>
      <c r="K2814" s="26" t="str">
        <f>IF($E2814="","",INDEX(成本费用登记表!$D$4:$D$303,235))</f>
        <v/>
      </c>
      <c r="L2814" s="32" t="str">
        <f>IF($E2814="","",INDEX(成本费用登记表!$N$4:$N$303,235))</f>
        <v/>
      </c>
      <c r="M2814" s="32"/>
      <c r="N2814" s="26" t="str">
        <f t="shared" ref="N2814:N2877" si="142">IF($E2814="","","系统")</f>
        <v/>
      </c>
      <c r="O2814" s="26" t="str">
        <f t="shared" ref="O2814:O2877" si="143">IF($E2814="","","自动C")</f>
        <v/>
      </c>
      <c r="P2814" s="10"/>
    </row>
    <row r="2815" ht="18" customHeight="1" spans="1:16">
      <c r="A2815" s="32" t="str">
        <f t="shared" si="140"/>
        <v/>
      </c>
      <c r="B2815" s="100" t="str">
        <f>IF($E2815="","",INDEX(成本费用登记表!$B$4:$B$303,236))</f>
        <v/>
      </c>
      <c r="C2815" s="26" t="str">
        <f t="shared" si="141"/>
        <v/>
      </c>
      <c r="D2815" s="32" t="str">
        <f>IF($E2815="","",INDEX(成本费用登记表!$E$4:$E$303,236))</f>
        <v/>
      </c>
      <c r="E2815" s="26" t="str">
        <f>IF(INDEX(成本费用登记表!$Q$4:$Y$303,236,1)=0,"",INDEX(成本费用登记表!$Q$4:$Y$303,236,1))</f>
        <v/>
      </c>
      <c r="F2815" s="25" t="str">
        <f>IF($E2815="","",IFERROR(INDEX(科目表!$A$4:$A$81,MATCH($E2815,科目表!$B$4:$B$81,0)),""))</f>
        <v/>
      </c>
      <c r="G2815" s="26" t="str">
        <f>IF($E2815="","",IFERROR(INDEX(科目表!$E$4:$E$81,MATCH($E2815,科目表!$B$4:$B$81,0)),""))</f>
        <v/>
      </c>
      <c r="H2815" s="27" t="str">
        <f>IF($E2815="","",N(INDEX(成本费用登记表!$Q$4:$Y$303,236,2)))</f>
        <v/>
      </c>
      <c r="I2815" s="27" t="str">
        <f>IF($E2815="","",N(INDEX(成本费用登记表!$Q$4:$Y$303,236,3)))</f>
        <v/>
      </c>
      <c r="J2815" s="26" t="str">
        <f>IF($E2815="","",INDEX(成本费用登记表!$C$4:$C$303,236))</f>
        <v/>
      </c>
      <c r="K2815" s="26" t="str">
        <f>IF($E2815="","",INDEX(成本费用登记表!$D$4:$D$303,236))</f>
        <v/>
      </c>
      <c r="L2815" s="32" t="str">
        <f>IF($E2815="","",INDEX(成本费用登记表!$N$4:$N$303,236))</f>
        <v/>
      </c>
      <c r="M2815" s="32"/>
      <c r="N2815" s="26" t="str">
        <f t="shared" si="142"/>
        <v/>
      </c>
      <c r="O2815" s="26" t="str">
        <f t="shared" si="143"/>
        <v/>
      </c>
      <c r="P2815" s="10"/>
    </row>
    <row r="2816" ht="18" customHeight="1" spans="1:16">
      <c r="A2816" s="32" t="str">
        <f t="shared" si="140"/>
        <v/>
      </c>
      <c r="B2816" s="100" t="str">
        <f>IF($E2816="","",INDEX(成本费用登记表!$B$4:$B$303,236))</f>
        <v/>
      </c>
      <c r="C2816" s="26" t="str">
        <f t="shared" si="141"/>
        <v/>
      </c>
      <c r="D2816" s="32" t="str">
        <f>IF($E2816="","",INDEX(成本费用登记表!$E$4:$E$303,236))</f>
        <v/>
      </c>
      <c r="E2816" s="26" t="str">
        <f>IF(INDEX(成本费用登记表!$Q$4:$Y$303,236,4)=0,"",INDEX(成本费用登记表!$Q$4:$Y$303,236,4))</f>
        <v/>
      </c>
      <c r="F2816" s="25" t="str">
        <f>IF($E2816="","",IFERROR(INDEX(科目表!$A$4:$A$81,MATCH($E2816,科目表!$B$4:$B$81,0)),""))</f>
        <v/>
      </c>
      <c r="G2816" s="26" t="str">
        <f>IF($E2816="","",IFERROR(INDEX(科目表!$E$4:$E$81,MATCH($E2816,科目表!$B$4:$B$81,0)),""))</f>
        <v/>
      </c>
      <c r="H2816" s="27" t="str">
        <f>IF($E2816="","",N(INDEX(成本费用登记表!$Q$4:$Y$303,236,5)))</f>
        <v/>
      </c>
      <c r="I2816" s="27" t="str">
        <f>IF($E2816="","",N(INDEX(成本费用登记表!$Q$4:$Y$303,236,6)))</f>
        <v/>
      </c>
      <c r="J2816" s="26" t="str">
        <f>IF($E2816="","",INDEX(成本费用登记表!$C$4:$C$303,236))</f>
        <v/>
      </c>
      <c r="K2816" s="26" t="str">
        <f>IF($E2816="","",INDEX(成本费用登记表!$D$4:$D$303,236))</f>
        <v/>
      </c>
      <c r="L2816" s="32" t="str">
        <f>IF($E2816="","",INDEX(成本费用登记表!$N$4:$N$303,236))</f>
        <v/>
      </c>
      <c r="M2816" s="32"/>
      <c r="N2816" s="26" t="str">
        <f t="shared" si="142"/>
        <v/>
      </c>
      <c r="O2816" s="26" t="str">
        <f t="shared" si="143"/>
        <v/>
      </c>
      <c r="P2816" s="10"/>
    </row>
    <row r="2817" ht="18" customHeight="1" spans="1:16">
      <c r="A2817" s="32" t="str">
        <f t="shared" si="140"/>
        <v/>
      </c>
      <c r="B2817" s="100" t="str">
        <f>IF($E2817="","",INDEX(成本费用登记表!$B$4:$B$303,236))</f>
        <v/>
      </c>
      <c r="C2817" s="26" t="str">
        <f t="shared" si="141"/>
        <v/>
      </c>
      <c r="D2817" s="32" t="str">
        <f>IF($E2817="","",INDEX(成本费用登记表!$E$4:$E$303,236))</f>
        <v/>
      </c>
      <c r="E2817" s="26" t="str">
        <f>IF(INDEX(成本费用登记表!$Q$4:$Y$303,236,7)=0,"",INDEX(成本费用登记表!$Q$4:$Y$303,236,7))</f>
        <v/>
      </c>
      <c r="F2817" s="25" t="str">
        <f>IF($E2817="","",IFERROR(INDEX(科目表!$A$4:$A$81,MATCH($E2817,科目表!$B$4:$B$81,0)),""))</f>
        <v/>
      </c>
      <c r="G2817" s="26" t="str">
        <f>IF($E2817="","",IFERROR(INDEX(科目表!$E$4:$E$81,MATCH($E2817,科目表!$B$4:$B$81,0)),""))</f>
        <v/>
      </c>
      <c r="H2817" s="27" t="str">
        <f>IF($E2817="","",N(INDEX(成本费用登记表!$Q$4:$Y$303,236,8)))</f>
        <v/>
      </c>
      <c r="I2817" s="27" t="str">
        <f>IF($E2817="","",N(INDEX(成本费用登记表!$Q$4:$Y$303,236,9)))</f>
        <v/>
      </c>
      <c r="J2817" s="26" t="str">
        <f>IF($E2817="","",INDEX(成本费用登记表!$C$4:$C$303,236))</f>
        <v/>
      </c>
      <c r="K2817" s="26" t="str">
        <f>IF($E2817="","",INDEX(成本费用登记表!$D$4:$D$303,236))</f>
        <v/>
      </c>
      <c r="L2817" s="32" t="str">
        <f>IF($E2817="","",INDEX(成本费用登记表!$N$4:$N$303,236))</f>
        <v/>
      </c>
      <c r="M2817" s="32"/>
      <c r="N2817" s="26" t="str">
        <f t="shared" si="142"/>
        <v/>
      </c>
      <c r="O2817" s="26" t="str">
        <f t="shared" si="143"/>
        <v/>
      </c>
      <c r="P2817" s="10"/>
    </row>
    <row r="2818" ht="18" customHeight="1" spans="1:16">
      <c r="A2818" s="32" t="str">
        <f t="shared" si="140"/>
        <v/>
      </c>
      <c r="B2818" s="100" t="str">
        <f>IF($E2818="","",INDEX(成本费用登记表!$B$4:$B$303,237))</f>
        <v/>
      </c>
      <c r="C2818" s="26" t="str">
        <f t="shared" si="141"/>
        <v/>
      </c>
      <c r="D2818" s="32" t="str">
        <f>IF($E2818="","",INDEX(成本费用登记表!$E$4:$E$303,237))</f>
        <v/>
      </c>
      <c r="E2818" s="26" t="str">
        <f>IF(INDEX(成本费用登记表!$Q$4:$Y$303,237,1)=0,"",INDEX(成本费用登记表!$Q$4:$Y$303,237,1))</f>
        <v/>
      </c>
      <c r="F2818" s="25" t="str">
        <f>IF($E2818="","",IFERROR(INDEX(科目表!$A$4:$A$81,MATCH($E2818,科目表!$B$4:$B$81,0)),""))</f>
        <v/>
      </c>
      <c r="G2818" s="26" t="str">
        <f>IF($E2818="","",IFERROR(INDEX(科目表!$E$4:$E$81,MATCH($E2818,科目表!$B$4:$B$81,0)),""))</f>
        <v/>
      </c>
      <c r="H2818" s="27" t="str">
        <f>IF($E2818="","",N(INDEX(成本费用登记表!$Q$4:$Y$303,237,2)))</f>
        <v/>
      </c>
      <c r="I2818" s="27" t="str">
        <f>IF($E2818="","",N(INDEX(成本费用登记表!$Q$4:$Y$303,237,3)))</f>
        <v/>
      </c>
      <c r="J2818" s="26" t="str">
        <f>IF($E2818="","",INDEX(成本费用登记表!$C$4:$C$303,237))</f>
        <v/>
      </c>
      <c r="K2818" s="26" t="str">
        <f>IF($E2818="","",INDEX(成本费用登记表!$D$4:$D$303,237))</f>
        <v/>
      </c>
      <c r="L2818" s="32" t="str">
        <f>IF($E2818="","",INDEX(成本费用登记表!$N$4:$N$303,237))</f>
        <v/>
      </c>
      <c r="M2818" s="32"/>
      <c r="N2818" s="26" t="str">
        <f t="shared" si="142"/>
        <v/>
      </c>
      <c r="O2818" s="26" t="str">
        <f t="shared" si="143"/>
        <v/>
      </c>
      <c r="P2818" s="10"/>
    </row>
    <row r="2819" ht="18" customHeight="1" spans="1:16">
      <c r="A2819" s="32" t="str">
        <f t="shared" si="140"/>
        <v/>
      </c>
      <c r="B2819" s="100" t="str">
        <f>IF($E2819="","",INDEX(成本费用登记表!$B$4:$B$303,237))</f>
        <v/>
      </c>
      <c r="C2819" s="26" t="str">
        <f t="shared" si="141"/>
        <v/>
      </c>
      <c r="D2819" s="32" t="str">
        <f>IF($E2819="","",INDEX(成本费用登记表!$E$4:$E$303,237))</f>
        <v/>
      </c>
      <c r="E2819" s="26" t="str">
        <f>IF(INDEX(成本费用登记表!$Q$4:$Y$303,237,4)=0,"",INDEX(成本费用登记表!$Q$4:$Y$303,237,4))</f>
        <v/>
      </c>
      <c r="F2819" s="25" t="str">
        <f>IF($E2819="","",IFERROR(INDEX(科目表!$A$4:$A$81,MATCH($E2819,科目表!$B$4:$B$81,0)),""))</f>
        <v/>
      </c>
      <c r="G2819" s="26" t="str">
        <f>IF($E2819="","",IFERROR(INDEX(科目表!$E$4:$E$81,MATCH($E2819,科目表!$B$4:$B$81,0)),""))</f>
        <v/>
      </c>
      <c r="H2819" s="27" t="str">
        <f>IF($E2819="","",N(INDEX(成本费用登记表!$Q$4:$Y$303,237,5)))</f>
        <v/>
      </c>
      <c r="I2819" s="27" t="str">
        <f>IF($E2819="","",N(INDEX(成本费用登记表!$Q$4:$Y$303,237,6)))</f>
        <v/>
      </c>
      <c r="J2819" s="26" t="str">
        <f>IF($E2819="","",INDEX(成本费用登记表!$C$4:$C$303,237))</f>
        <v/>
      </c>
      <c r="K2819" s="26" t="str">
        <f>IF($E2819="","",INDEX(成本费用登记表!$D$4:$D$303,237))</f>
        <v/>
      </c>
      <c r="L2819" s="32" t="str">
        <f>IF($E2819="","",INDEX(成本费用登记表!$N$4:$N$303,237))</f>
        <v/>
      </c>
      <c r="M2819" s="32"/>
      <c r="N2819" s="26" t="str">
        <f t="shared" si="142"/>
        <v/>
      </c>
      <c r="O2819" s="26" t="str">
        <f t="shared" si="143"/>
        <v/>
      </c>
      <c r="P2819" s="10"/>
    </row>
    <row r="2820" ht="18" customHeight="1" spans="1:16">
      <c r="A2820" s="32" t="str">
        <f t="shared" ref="A2820:A2883" si="144">IF($E2820="","",ROW()-3)</f>
        <v/>
      </c>
      <c r="B2820" s="100" t="str">
        <f>IF($E2820="","",INDEX(成本费用登记表!$B$4:$B$303,237))</f>
        <v/>
      </c>
      <c r="C2820" s="26" t="str">
        <f t="shared" si="141"/>
        <v/>
      </c>
      <c r="D2820" s="32" t="str">
        <f>IF($E2820="","",INDEX(成本费用登记表!$E$4:$E$303,237))</f>
        <v/>
      </c>
      <c r="E2820" s="26" t="str">
        <f>IF(INDEX(成本费用登记表!$Q$4:$Y$303,237,7)=0,"",INDEX(成本费用登记表!$Q$4:$Y$303,237,7))</f>
        <v/>
      </c>
      <c r="F2820" s="25" t="str">
        <f>IF($E2820="","",IFERROR(INDEX(科目表!$A$4:$A$81,MATCH($E2820,科目表!$B$4:$B$81,0)),""))</f>
        <v/>
      </c>
      <c r="G2820" s="26" t="str">
        <f>IF($E2820="","",IFERROR(INDEX(科目表!$E$4:$E$81,MATCH($E2820,科目表!$B$4:$B$81,0)),""))</f>
        <v/>
      </c>
      <c r="H2820" s="27" t="str">
        <f>IF($E2820="","",N(INDEX(成本费用登记表!$Q$4:$Y$303,237,8)))</f>
        <v/>
      </c>
      <c r="I2820" s="27" t="str">
        <f>IF($E2820="","",N(INDEX(成本费用登记表!$Q$4:$Y$303,237,9)))</f>
        <v/>
      </c>
      <c r="J2820" s="26" t="str">
        <f>IF($E2820="","",INDEX(成本费用登记表!$C$4:$C$303,237))</f>
        <v/>
      </c>
      <c r="K2820" s="26" t="str">
        <f>IF($E2820="","",INDEX(成本费用登记表!$D$4:$D$303,237))</f>
        <v/>
      </c>
      <c r="L2820" s="32" t="str">
        <f>IF($E2820="","",INDEX(成本费用登记表!$N$4:$N$303,237))</f>
        <v/>
      </c>
      <c r="M2820" s="32"/>
      <c r="N2820" s="26" t="str">
        <f t="shared" si="142"/>
        <v/>
      </c>
      <c r="O2820" s="26" t="str">
        <f t="shared" si="143"/>
        <v/>
      </c>
      <c r="P2820" s="10"/>
    </row>
    <row r="2821" ht="18" customHeight="1" spans="1:16">
      <c r="A2821" s="32" t="str">
        <f t="shared" si="144"/>
        <v/>
      </c>
      <c r="B2821" s="100" t="str">
        <f>IF($E2821="","",INDEX(成本费用登记表!$B$4:$B$303,238))</f>
        <v/>
      </c>
      <c r="C2821" s="26" t="str">
        <f t="shared" si="141"/>
        <v/>
      </c>
      <c r="D2821" s="32" t="str">
        <f>IF($E2821="","",INDEX(成本费用登记表!$E$4:$E$303,238))</f>
        <v/>
      </c>
      <c r="E2821" s="26" t="str">
        <f>IF(INDEX(成本费用登记表!$Q$4:$Y$303,238,1)=0,"",INDEX(成本费用登记表!$Q$4:$Y$303,238,1))</f>
        <v/>
      </c>
      <c r="F2821" s="25" t="str">
        <f>IF($E2821="","",IFERROR(INDEX(科目表!$A$4:$A$81,MATCH($E2821,科目表!$B$4:$B$81,0)),""))</f>
        <v/>
      </c>
      <c r="G2821" s="26" t="str">
        <f>IF($E2821="","",IFERROR(INDEX(科目表!$E$4:$E$81,MATCH($E2821,科目表!$B$4:$B$81,0)),""))</f>
        <v/>
      </c>
      <c r="H2821" s="27" t="str">
        <f>IF($E2821="","",N(INDEX(成本费用登记表!$Q$4:$Y$303,238,2)))</f>
        <v/>
      </c>
      <c r="I2821" s="27" t="str">
        <f>IF($E2821="","",N(INDEX(成本费用登记表!$Q$4:$Y$303,238,3)))</f>
        <v/>
      </c>
      <c r="J2821" s="26" t="str">
        <f>IF($E2821="","",INDEX(成本费用登记表!$C$4:$C$303,238))</f>
        <v/>
      </c>
      <c r="K2821" s="26" t="str">
        <f>IF($E2821="","",INDEX(成本费用登记表!$D$4:$D$303,238))</f>
        <v/>
      </c>
      <c r="L2821" s="32" t="str">
        <f>IF($E2821="","",INDEX(成本费用登记表!$N$4:$N$303,238))</f>
        <v/>
      </c>
      <c r="M2821" s="32"/>
      <c r="N2821" s="26" t="str">
        <f t="shared" si="142"/>
        <v/>
      </c>
      <c r="O2821" s="26" t="str">
        <f t="shared" si="143"/>
        <v/>
      </c>
      <c r="P2821" s="10"/>
    </row>
    <row r="2822" ht="18" customHeight="1" spans="1:16">
      <c r="A2822" s="32" t="str">
        <f t="shared" si="144"/>
        <v/>
      </c>
      <c r="B2822" s="100" t="str">
        <f>IF($E2822="","",INDEX(成本费用登记表!$B$4:$B$303,238))</f>
        <v/>
      </c>
      <c r="C2822" s="26" t="str">
        <f t="shared" si="141"/>
        <v/>
      </c>
      <c r="D2822" s="32" t="str">
        <f>IF($E2822="","",INDEX(成本费用登记表!$E$4:$E$303,238))</f>
        <v/>
      </c>
      <c r="E2822" s="26" t="str">
        <f>IF(INDEX(成本费用登记表!$Q$4:$Y$303,238,4)=0,"",INDEX(成本费用登记表!$Q$4:$Y$303,238,4))</f>
        <v/>
      </c>
      <c r="F2822" s="25" t="str">
        <f>IF($E2822="","",IFERROR(INDEX(科目表!$A$4:$A$81,MATCH($E2822,科目表!$B$4:$B$81,0)),""))</f>
        <v/>
      </c>
      <c r="G2822" s="26" t="str">
        <f>IF($E2822="","",IFERROR(INDEX(科目表!$E$4:$E$81,MATCH($E2822,科目表!$B$4:$B$81,0)),""))</f>
        <v/>
      </c>
      <c r="H2822" s="27" t="str">
        <f>IF($E2822="","",N(INDEX(成本费用登记表!$Q$4:$Y$303,238,5)))</f>
        <v/>
      </c>
      <c r="I2822" s="27" t="str">
        <f>IF($E2822="","",N(INDEX(成本费用登记表!$Q$4:$Y$303,238,6)))</f>
        <v/>
      </c>
      <c r="J2822" s="26" t="str">
        <f>IF($E2822="","",INDEX(成本费用登记表!$C$4:$C$303,238))</f>
        <v/>
      </c>
      <c r="K2822" s="26" t="str">
        <f>IF($E2822="","",INDEX(成本费用登记表!$D$4:$D$303,238))</f>
        <v/>
      </c>
      <c r="L2822" s="32" t="str">
        <f>IF($E2822="","",INDEX(成本费用登记表!$N$4:$N$303,238))</f>
        <v/>
      </c>
      <c r="M2822" s="32"/>
      <c r="N2822" s="26" t="str">
        <f t="shared" si="142"/>
        <v/>
      </c>
      <c r="O2822" s="26" t="str">
        <f t="shared" si="143"/>
        <v/>
      </c>
      <c r="P2822" s="10"/>
    </row>
    <row r="2823" ht="18" customHeight="1" spans="1:16">
      <c r="A2823" s="32" t="str">
        <f t="shared" si="144"/>
        <v/>
      </c>
      <c r="B2823" s="100" t="str">
        <f>IF($E2823="","",INDEX(成本费用登记表!$B$4:$B$303,238))</f>
        <v/>
      </c>
      <c r="C2823" s="26" t="str">
        <f t="shared" si="141"/>
        <v/>
      </c>
      <c r="D2823" s="32" t="str">
        <f>IF($E2823="","",INDEX(成本费用登记表!$E$4:$E$303,238))</f>
        <v/>
      </c>
      <c r="E2823" s="26" t="str">
        <f>IF(INDEX(成本费用登记表!$Q$4:$Y$303,238,7)=0,"",INDEX(成本费用登记表!$Q$4:$Y$303,238,7))</f>
        <v/>
      </c>
      <c r="F2823" s="25" t="str">
        <f>IF($E2823="","",IFERROR(INDEX(科目表!$A$4:$A$81,MATCH($E2823,科目表!$B$4:$B$81,0)),""))</f>
        <v/>
      </c>
      <c r="G2823" s="26" t="str">
        <f>IF($E2823="","",IFERROR(INDEX(科目表!$E$4:$E$81,MATCH($E2823,科目表!$B$4:$B$81,0)),""))</f>
        <v/>
      </c>
      <c r="H2823" s="27" t="str">
        <f>IF($E2823="","",N(INDEX(成本费用登记表!$Q$4:$Y$303,238,8)))</f>
        <v/>
      </c>
      <c r="I2823" s="27" t="str">
        <f>IF($E2823="","",N(INDEX(成本费用登记表!$Q$4:$Y$303,238,9)))</f>
        <v/>
      </c>
      <c r="J2823" s="26" t="str">
        <f>IF($E2823="","",INDEX(成本费用登记表!$C$4:$C$303,238))</f>
        <v/>
      </c>
      <c r="K2823" s="26" t="str">
        <f>IF($E2823="","",INDEX(成本费用登记表!$D$4:$D$303,238))</f>
        <v/>
      </c>
      <c r="L2823" s="32" t="str">
        <f>IF($E2823="","",INDEX(成本费用登记表!$N$4:$N$303,238))</f>
        <v/>
      </c>
      <c r="M2823" s="32"/>
      <c r="N2823" s="26" t="str">
        <f t="shared" si="142"/>
        <v/>
      </c>
      <c r="O2823" s="26" t="str">
        <f t="shared" si="143"/>
        <v/>
      </c>
      <c r="P2823" s="10"/>
    </row>
    <row r="2824" ht="18" customHeight="1" spans="1:16">
      <c r="A2824" s="32" t="str">
        <f t="shared" si="144"/>
        <v/>
      </c>
      <c r="B2824" s="100" t="str">
        <f>IF($E2824="","",INDEX(成本费用登记表!$B$4:$B$303,239))</f>
        <v/>
      </c>
      <c r="C2824" s="26" t="str">
        <f t="shared" si="141"/>
        <v/>
      </c>
      <c r="D2824" s="32" t="str">
        <f>IF($E2824="","",INDEX(成本费用登记表!$E$4:$E$303,239))</f>
        <v/>
      </c>
      <c r="E2824" s="26" t="str">
        <f>IF(INDEX(成本费用登记表!$Q$4:$Y$303,239,1)=0,"",INDEX(成本费用登记表!$Q$4:$Y$303,239,1))</f>
        <v/>
      </c>
      <c r="F2824" s="25" t="str">
        <f>IF($E2824="","",IFERROR(INDEX(科目表!$A$4:$A$81,MATCH($E2824,科目表!$B$4:$B$81,0)),""))</f>
        <v/>
      </c>
      <c r="G2824" s="26" t="str">
        <f>IF($E2824="","",IFERROR(INDEX(科目表!$E$4:$E$81,MATCH($E2824,科目表!$B$4:$B$81,0)),""))</f>
        <v/>
      </c>
      <c r="H2824" s="27" t="str">
        <f>IF($E2824="","",N(INDEX(成本费用登记表!$Q$4:$Y$303,239,2)))</f>
        <v/>
      </c>
      <c r="I2824" s="27" t="str">
        <f>IF($E2824="","",N(INDEX(成本费用登记表!$Q$4:$Y$303,239,3)))</f>
        <v/>
      </c>
      <c r="J2824" s="26" t="str">
        <f>IF($E2824="","",INDEX(成本费用登记表!$C$4:$C$303,239))</f>
        <v/>
      </c>
      <c r="K2824" s="26" t="str">
        <f>IF($E2824="","",INDEX(成本费用登记表!$D$4:$D$303,239))</f>
        <v/>
      </c>
      <c r="L2824" s="32" t="str">
        <f>IF($E2824="","",INDEX(成本费用登记表!$N$4:$N$303,239))</f>
        <v/>
      </c>
      <c r="M2824" s="32"/>
      <c r="N2824" s="26" t="str">
        <f t="shared" si="142"/>
        <v/>
      </c>
      <c r="O2824" s="26" t="str">
        <f t="shared" si="143"/>
        <v/>
      </c>
      <c r="P2824" s="10"/>
    </row>
    <row r="2825" ht="18" customHeight="1" spans="1:16">
      <c r="A2825" s="32" t="str">
        <f t="shared" si="144"/>
        <v/>
      </c>
      <c r="B2825" s="100" t="str">
        <f>IF($E2825="","",INDEX(成本费用登记表!$B$4:$B$303,239))</f>
        <v/>
      </c>
      <c r="C2825" s="26" t="str">
        <f t="shared" si="141"/>
        <v/>
      </c>
      <c r="D2825" s="32" t="str">
        <f>IF($E2825="","",INDEX(成本费用登记表!$E$4:$E$303,239))</f>
        <v/>
      </c>
      <c r="E2825" s="26" t="str">
        <f>IF(INDEX(成本费用登记表!$Q$4:$Y$303,239,4)=0,"",INDEX(成本费用登记表!$Q$4:$Y$303,239,4))</f>
        <v/>
      </c>
      <c r="F2825" s="25" t="str">
        <f>IF($E2825="","",IFERROR(INDEX(科目表!$A$4:$A$81,MATCH($E2825,科目表!$B$4:$B$81,0)),""))</f>
        <v/>
      </c>
      <c r="G2825" s="26" t="str">
        <f>IF($E2825="","",IFERROR(INDEX(科目表!$E$4:$E$81,MATCH($E2825,科目表!$B$4:$B$81,0)),""))</f>
        <v/>
      </c>
      <c r="H2825" s="27" t="str">
        <f>IF($E2825="","",N(INDEX(成本费用登记表!$Q$4:$Y$303,239,5)))</f>
        <v/>
      </c>
      <c r="I2825" s="27" t="str">
        <f>IF($E2825="","",N(INDEX(成本费用登记表!$Q$4:$Y$303,239,6)))</f>
        <v/>
      </c>
      <c r="J2825" s="26" t="str">
        <f>IF($E2825="","",INDEX(成本费用登记表!$C$4:$C$303,239))</f>
        <v/>
      </c>
      <c r="K2825" s="26" t="str">
        <f>IF($E2825="","",INDEX(成本费用登记表!$D$4:$D$303,239))</f>
        <v/>
      </c>
      <c r="L2825" s="32" t="str">
        <f>IF($E2825="","",INDEX(成本费用登记表!$N$4:$N$303,239))</f>
        <v/>
      </c>
      <c r="M2825" s="32"/>
      <c r="N2825" s="26" t="str">
        <f t="shared" si="142"/>
        <v/>
      </c>
      <c r="O2825" s="26" t="str">
        <f t="shared" si="143"/>
        <v/>
      </c>
      <c r="P2825" s="10"/>
    </row>
    <row r="2826" ht="18" customHeight="1" spans="1:16">
      <c r="A2826" s="32" t="str">
        <f t="shared" si="144"/>
        <v/>
      </c>
      <c r="B2826" s="100" t="str">
        <f>IF($E2826="","",INDEX(成本费用登记表!$B$4:$B$303,239))</f>
        <v/>
      </c>
      <c r="C2826" s="26" t="str">
        <f t="shared" si="141"/>
        <v/>
      </c>
      <c r="D2826" s="32" t="str">
        <f>IF($E2826="","",INDEX(成本费用登记表!$E$4:$E$303,239))</f>
        <v/>
      </c>
      <c r="E2826" s="26" t="str">
        <f>IF(INDEX(成本费用登记表!$Q$4:$Y$303,239,7)=0,"",INDEX(成本费用登记表!$Q$4:$Y$303,239,7))</f>
        <v/>
      </c>
      <c r="F2826" s="25" t="str">
        <f>IF($E2826="","",IFERROR(INDEX(科目表!$A$4:$A$81,MATCH($E2826,科目表!$B$4:$B$81,0)),""))</f>
        <v/>
      </c>
      <c r="G2826" s="26" t="str">
        <f>IF($E2826="","",IFERROR(INDEX(科目表!$E$4:$E$81,MATCH($E2826,科目表!$B$4:$B$81,0)),""))</f>
        <v/>
      </c>
      <c r="H2826" s="27" t="str">
        <f>IF($E2826="","",N(INDEX(成本费用登记表!$Q$4:$Y$303,239,8)))</f>
        <v/>
      </c>
      <c r="I2826" s="27" t="str">
        <f>IF($E2826="","",N(INDEX(成本费用登记表!$Q$4:$Y$303,239,9)))</f>
        <v/>
      </c>
      <c r="J2826" s="26" t="str">
        <f>IF($E2826="","",INDEX(成本费用登记表!$C$4:$C$303,239))</f>
        <v/>
      </c>
      <c r="K2826" s="26" t="str">
        <f>IF($E2826="","",INDEX(成本费用登记表!$D$4:$D$303,239))</f>
        <v/>
      </c>
      <c r="L2826" s="32" t="str">
        <f>IF($E2826="","",INDEX(成本费用登记表!$N$4:$N$303,239))</f>
        <v/>
      </c>
      <c r="M2826" s="32"/>
      <c r="N2826" s="26" t="str">
        <f t="shared" si="142"/>
        <v/>
      </c>
      <c r="O2826" s="26" t="str">
        <f t="shared" si="143"/>
        <v/>
      </c>
      <c r="P2826" s="10"/>
    </row>
    <row r="2827" ht="18" customHeight="1" spans="1:16">
      <c r="A2827" s="32" t="str">
        <f t="shared" si="144"/>
        <v/>
      </c>
      <c r="B2827" s="100" t="str">
        <f>IF($E2827="","",INDEX(成本费用登记表!$B$4:$B$303,240))</f>
        <v/>
      </c>
      <c r="C2827" s="26" t="str">
        <f t="shared" si="141"/>
        <v/>
      </c>
      <c r="D2827" s="32" t="str">
        <f>IF($E2827="","",INDEX(成本费用登记表!$E$4:$E$303,240))</f>
        <v/>
      </c>
      <c r="E2827" s="26" t="str">
        <f>IF(INDEX(成本费用登记表!$Q$4:$Y$303,240,1)=0,"",INDEX(成本费用登记表!$Q$4:$Y$303,240,1))</f>
        <v/>
      </c>
      <c r="F2827" s="25" t="str">
        <f>IF($E2827="","",IFERROR(INDEX(科目表!$A$4:$A$81,MATCH($E2827,科目表!$B$4:$B$81,0)),""))</f>
        <v/>
      </c>
      <c r="G2827" s="26" t="str">
        <f>IF($E2827="","",IFERROR(INDEX(科目表!$E$4:$E$81,MATCH($E2827,科目表!$B$4:$B$81,0)),""))</f>
        <v/>
      </c>
      <c r="H2827" s="27" t="str">
        <f>IF($E2827="","",N(INDEX(成本费用登记表!$Q$4:$Y$303,240,2)))</f>
        <v/>
      </c>
      <c r="I2827" s="27" t="str">
        <f>IF($E2827="","",N(INDEX(成本费用登记表!$Q$4:$Y$303,240,3)))</f>
        <v/>
      </c>
      <c r="J2827" s="26" t="str">
        <f>IF($E2827="","",INDEX(成本费用登记表!$C$4:$C$303,240))</f>
        <v/>
      </c>
      <c r="K2827" s="26" t="str">
        <f>IF($E2827="","",INDEX(成本费用登记表!$D$4:$D$303,240))</f>
        <v/>
      </c>
      <c r="L2827" s="32" t="str">
        <f>IF($E2827="","",INDEX(成本费用登记表!$N$4:$N$303,240))</f>
        <v/>
      </c>
      <c r="M2827" s="32"/>
      <c r="N2827" s="26" t="str">
        <f t="shared" si="142"/>
        <v/>
      </c>
      <c r="O2827" s="26" t="str">
        <f t="shared" si="143"/>
        <v/>
      </c>
      <c r="P2827" s="10"/>
    </row>
    <row r="2828" ht="18" customHeight="1" spans="1:16">
      <c r="A2828" s="32" t="str">
        <f t="shared" si="144"/>
        <v/>
      </c>
      <c r="B2828" s="100" t="str">
        <f>IF($E2828="","",INDEX(成本费用登记表!$B$4:$B$303,240))</f>
        <v/>
      </c>
      <c r="C2828" s="26" t="str">
        <f t="shared" si="141"/>
        <v/>
      </c>
      <c r="D2828" s="32" t="str">
        <f>IF($E2828="","",INDEX(成本费用登记表!$E$4:$E$303,240))</f>
        <v/>
      </c>
      <c r="E2828" s="26" t="str">
        <f>IF(INDEX(成本费用登记表!$Q$4:$Y$303,240,4)=0,"",INDEX(成本费用登记表!$Q$4:$Y$303,240,4))</f>
        <v/>
      </c>
      <c r="F2828" s="25" t="str">
        <f>IF($E2828="","",IFERROR(INDEX(科目表!$A$4:$A$81,MATCH($E2828,科目表!$B$4:$B$81,0)),""))</f>
        <v/>
      </c>
      <c r="G2828" s="26" t="str">
        <f>IF($E2828="","",IFERROR(INDEX(科目表!$E$4:$E$81,MATCH($E2828,科目表!$B$4:$B$81,0)),""))</f>
        <v/>
      </c>
      <c r="H2828" s="27" t="str">
        <f>IF($E2828="","",N(INDEX(成本费用登记表!$Q$4:$Y$303,240,5)))</f>
        <v/>
      </c>
      <c r="I2828" s="27" t="str">
        <f>IF($E2828="","",N(INDEX(成本费用登记表!$Q$4:$Y$303,240,6)))</f>
        <v/>
      </c>
      <c r="J2828" s="26" t="str">
        <f>IF($E2828="","",INDEX(成本费用登记表!$C$4:$C$303,240))</f>
        <v/>
      </c>
      <c r="K2828" s="26" t="str">
        <f>IF($E2828="","",INDEX(成本费用登记表!$D$4:$D$303,240))</f>
        <v/>
      </c>
      <c r="L2828" s="32" t="str">
        <f>IF($E2828="","",INDEX(成本费用登记表!$N$4:$N$303,240))</f>
        <v/>
      </c>
      <c r="M2828" s="32"/>
      <c r="N2828" s="26" t="str">
        <f t="shared" si="142"/>
        <v/>
      </c>
      <c r="O2828" s="26" t="str">
        <f t="shared" si="143"/>
        <v/>
      </c>
      <c r="P2828" s="10"/>
    </row>
    <row r="2829" ht="18" customHeight="1" spans="1:16">
      <c r="A2829" s="32" t="str">
        <f t="shared" si="144"/>
        <v/>
      </c>
      <c r="B2829" s="100" t="str">
        <f>IF($E2829="","",INDEX(成本费用登记表!$B$4:$B$303,240))</f>
        <v/>
      </c>
      <c r="C2829" s="26" t="str">
        <f t="shared" si="141"/>
        <v/>
      </c>
      <c r="D2829" s="32" t="str">
        <f>IF($E2829="","",INDEX(成本费用登记表!$E$4:$E$303,240))</f>
        <v/>
      </c>
      <c r="E2829" s="26" t="str">
        <f>IF(INDEX(成本费用登记表!$Q$4:$Y$303,240,7)=0,"",INDEX(成本费用登记表!$Q$4:$Y$303,240,7))</f>
        <v/>
      </c>
      <c r="F2829" s="25" t="str">
        <f>IF($E2829="","",IFERROR(INDEX(科目表!$A$4:$A$81,MATCH($E2829,科目表!$B$4:$B$81,0)),""))</f>
        <v/>
      </c>
      <c r="G2829" s="26" t="str">
        <f>IF($E2829="","",IFERROR(INDEX(科目表!$E$4:$E$81,MATCH($E2829,科目表!$B$4:$B$81,0)),""))</f>
        <v/>
      </c>
      <c r="H2829" s="27" t="str">
        <f>IF($E2829="","",N(INDEX(成本费用登记表!$Q$4:$Y$303,240,8)))</f>
        <v/>
      </c>
      <c r="I2829" s="27" t="str">
        <f>IF($E2829="","",N(INDEX(成本费用登记表!$Q$4:$Y$303,240,9)))</f>
        <v/>
      </c>
      <c r="J2829" s="26" t="str">
        <f>IF($E2829="","",INDEX(成本费用登记表!$C$4:$C$303,240))</f>
        <v/>
      </c>
      <c r="K2829" s="26" t="str">
        <f>IF($E2829="","",INDEX(成本费用登记表!$D$4:$D$303,240))</f>
        <v/>
      </c>
      <c r="L2829" s="32" t="str">
        <f>IF($E2829="","",INDEX(成本费用登记表!$N$4:$N$303,240))</f>
        <v/>
      </c>
      <c r="M2829" s="32"/>
      <c r="N2829" s="26" t="str">
        <f t="shared" si="142"/>
        <v/>
      </c>
      <c r="O2829" s="26" t="str">
        <f t="shared" si="143"/>
        <v/>
      </c>
      <c r="P2829" s="10"/>
    </row>
    <row r="2830" ht="18" customHeight="1" spans="1:16">
      <c r="A2830" s="32" t="str">
        <f t="shared" si="144"/>
        <v/>
      </c>
      <c r="B2830" s="100" t="str">
        <f>IF($E2830="","",INDEX(成本费用登记表!$B$4:$B$303,241))</f>
        <v/>
      </c>
      <c r="C2830" s="26" t="str">
        <f t="shared" si="141"/>
        <v/>
      </c>
      <c r="D2830" s="32" t="str">
        <f>IF($E2830="","",INDEX(成本费用登记表!$E$4:$E$303,241))</f>
        <v/>
      </c>
      <c r="E2830" s="26" t="str">
        <f>IF(INDEX(成本费用登记表!$Q$4:$Y$303,241,1)=0,"",INDEX(成本费用登记表!$Q$4:$Y$303,241,1))</f>
        <v/>
      </c>
      <c r="F2830" s="25" t="str">
        <f>IF($E2830="","",IFERROR(INDEX(科目表!$A$4:$A$81,MATCH($E2830,科目表!$B$4:$B$81,0)),""))</f>
        <v/>
      </c>
      <c r="G2830" s="26" t="str">
        <f>IF($E2830="","",IFERROR(INDEX(科目表!$E$4:$E$81,MATCH($E2830,科目表!$B$4:$B$81,0)),""))</f>
        <v/>
      </c>
      <c r="H2830" s="27" t="str">
        <f>IF($E2830="","",N(INDEX(成本费用登记表!$Q$4:$Y$303,241,2)))</f>
        <v/>
      </c>
      <c r="I2830" s="27" t="str">
        <f>IF($E2830="","",N(INDEX(成本费用登记表!$Q$4:$Y$303,241,3)))</f>
        <v/>
      </c>
      <c r="J2830" s="26" t="str">
        <f>IF($E2830="","",INDEX(成本费用登记表!$C$4:$C$303,241))</f>
        <v/>
      </c>
      <c r="K2830" s="26" t="str">
        <f>IF($E2830="","",INDEX(成本费用登记表!$D$4:$D$303,241))</f>
        <v/>
      </c>
      <c r="L2830" s="32" t="str">
        <f>IF($E2830="","",INDEX(成本费用登记表!$N$4:$N$303,241))</f>
        <v/>
      </c>
      <c r="M2830" s="32"/>
      <c r="N2830" s="26" t="str">
        <f t="shared" si="142"/>
        <v/>
      </c>
      <c r="O2830" s="26" t="str">
        <f t="shared" si="143"/>
        <v/>
      </c>
      <c r="P2830" s="10"/>
    </row>
    <row r="2831" ht="18" customHeight="1" spans="1:16">
      <c r="A2831" s="32" t="str">
        <f t="shared" si="144"/>
        <v/>
      </c>
      <c r="B2831" s="100" t="str">
        <f>IF($E2831="","",INDEX(成本费用登记表!$B$4:$B$303,241))</f>
        <v/>
      </c>
      <c r="C2831" s="26" t="str">
        <f t="shared" si="141"/>
        <v/>
      </c>
      <c r="D2831" s="32" t="str">
        <f>IF($E2831="","",INDEX(成本费用登记表!$E$4:$E$303,241))</f>
        <v/>
      </c>
      <c r="E2831" s="26" t="str">
        <f>IF(INDEX(成本费用登记表!$Q$4:$Y$303,241,4)=0,"",INDEX(成本费用登记表!$Q$4:$Y$303,241,4))</f>
        <v/>
      </c>
      <c r="F2831" s="25" t="str">
        <f>IF($E2831="","",IFERROR(INDEX(科目表!$A$4:$A$81,MATCH($E2831,科目表!$B$4:$B$81,0)),""))</f>
        <v/>
      </c>
      <c r="G2831" s="26" t="str">
        <f>IF($E2831="","",IFERROR(INDEX(科目表!$E$4:$E$81,MATCH($E2831,科目表!$B$4:$B$81,0)),""))</f>
        <v/>
      </c>
      <c r="H2831" s="27" t="str">
        <f>IF($E2831="","",N(INDEX(成本费用登记表!$Q$4:$Y$303,241,5)))</f>
        <v/>
      </c>
      <c r="I2831" s="27" t="str">
        <f>IF($E2831="","",N(INDEX(成本费用登记表!$Q$4:$Y$303,241,6)))</f>
        <v/>
      </c>
      <c r="J2831" s="26" t="str">
        <f>IF($E2831="","",INDEX(成本费用登记表!$C$4:$C$303,241))</f>
        <v/>
      </c>
      <c r="K2831" s="26" t="str">
        <f>IF($E2831="","",INDEX(成本费用登记表!$D$4:$D$303,241))</f>
        <v/>
      </c>
      <c r="L2831" s="32" t="str">
        <f>IF($E2831="","",INDEX(成本费用登记表!$N$4:$N$303,241))</f>
        <v/>
      </c>
      <c r="M2831" s="32"/>
      <c r="N2831" s="26" t="str">
        <f t="shared" si="142"/>
        <v/>
      </c>
      <c r="O2831" s="26" t="str">
        <f t="shared" si="143"/>
        <v/>
      </c>
      <c r="P2831" s="10"/>
    </row>
    <row r="2832" ht="18" customHeight="1" spans="1:16">
      <c r="A2832" s="32" t="str">
        <f t="shared" si="144"/>
        <v/>
      </c>
      <c r="B2832" s="100" t="str">
        <f>IF($E2832="","",INDEX(成本费用登记表!$B$4:$B$303,241))</f>
        <v/>
      </c>
      <c r="C2832" s="26" t="str">
        <f t="shared" si="141"/>
        <v/>
      </c>
      <c r="D2832" s="32" t="str">
        <f>IF($E2832="","",INDEX(成本费用登记表!$E$4:$E$303,241))</f>
        <v/>
      </c>
      <c r="E2832" s="26" t="str">
        <f>IF(INDEX(成本费用登记表!$Q$4:$Y$303,241,7)=0,"",INDEX(成本费用登记表!$Q$4:$Y$303,241,7))</f>
        <v/>
      </c>
      <c r="F2832" s="25" t="str">
        <f>IF($E2832="","",IFERROR(INDEX(科目表!$A$4:$A$81,MATCH($E2832,科目表!$B$4:$B$81,0)),""))</f>
        <v/>
      </c>
      <c r="G2832" s="26" t="str">
        <f>IF($E2832="","",IFERROR(INDEX(科目表!$E$4:$E$81,MATCH($E2832,科目表!$B$4:$B$81,0)),""))</f>
        <v/>
      </c>
      <c r="H2832" s="27" t="str">
        <f>IF($E2832="","",N(INDEX(成本费用登记表!$Q$4:$Y$303,241,8)))</f>
        <v/>
      </c>
      <c r="I2832" s="27" t="str">
        <f>IF($E2832="","",N(INDEX(成本费用登记表!$Q$4:$Y$303,241,9)))</f>
        <v/>
      </c>
      <c r="J2832" s="26" t="str">
        <f>IF($E2832="","",INDEX(成本费用登记表!$C$4:$C$303,241))</f>
        <v/>
      </c>
      <c r="K2832" s="26" t="str">
        <f>IF($E2832="","",INDEX(成本费用登记表!$D$4:$D$303,241))</f>
        <v/>
      </c>
      <c r="L2832" s="32" t="str">
        <f>IF($E2832="","",INDEX(成本费用登记表!$N$4:$N$303,241))</f>
        <v/>
      </c>
      <c r="M2832" s="32"/>
      <c r="N2832" s="26" t="str">
        <f t="shared" si="142"/>
        <v/>
      </c>
      <c r="O2832" s="26" t="str">
        <f t="shared" si="143"/>
        <v/>
      </c>
      <c r="P2832" s="10"/>
    </row>
    <row r="2833" ht="18" customHeight="1" spans="1:16">
      <c r="A2833" s="32" t="str">
        <f t="shared" si="144"/>
        <v/>
      </c>
      <c r="B2833" s="100" t="str">
        <f>IF($E2833="","",INDEX(成本费用登记表!$B$4:$B$303,242))</f>
        <v/>
      </c>
      <c r="C2833" s="26" t="str">
        <f t="shared" si="141"/>
        <v/>
      </c>
      <c r="D2833" s="32" t="str">
        <f>IF($E2833="","",INDEX(成本费用登记表!$E$4:$E$303,242))</f>
        <v/>
      </c>
      <c r="E2833" s="26" t="str">
        <f>IF(INDEX(成本费用登记表!$Q$4:$Y$303,242,1)=0,"",INDEX(成本费用登记表!$Q$4:$Y$303,242,1))</f>
        <v/>
      </c>
      <c r="F2833" s="25" t="str">
        <f>IF($E2833="","",IFERROR(INDEX(科目表!$A$4:$A$81,MATCH($E2833,科目表!$B$4:$B$81,0)),""))</f>
        <v/>
      </c>
      <c r="G2833" s="26" t="str">
        <f>IF($E2833="","",IFERROR(INDEX(科目表!$E$4:$E$81,MATCH($E2833,科目表!$B$4:$B$81,0)),""))</f>
        <v/>
      </c>
      <c r="H2833" s="27" t="str">
        <f>IF($E2833="","",N(INDEX(成本费用登记表!$Q$4:$Y$303,242,2)))</f>
        <v/>
      </c>
      <c r="I2833" s="27" t="str">
        <f>IF($E2833="","",N(INDEX(成本费用登记表!$Q$4:$Y$303,242,3)))</f>
        <v/>
      </c>
      <c r="J2833" s="26" t="str">
        <f>IF($E2833="","",INDEX(成本费用登记表!$C$4:$C$303,242))</f>
        <v/>
      </c>
      <c r="K2833" s="26" t="str">
        <f>IF($E2833="","",INDEX(成本费用登记表!$D$4:$D$303,242))</f>
        <v/>
      </c>
      <c r="L2833" s="32" t="str">
        <f>IF($E2833="","",INDEX(成本费用登记表!$N$4:$N$303,242))</f>
        <v/>
      </c>
      <c r="M2833" s="32"/>
      <c r="N2833" s="26" t="str">
        <f t="shared" si="142"/>
        <v/>
      </c>
      <c r="O2833" s="26" t="str">
        <f t="shared" si="143"/>
        <v/>
      </c>
      <c r="P2833" s="10"/>
    </row>
    <row r="2834" ht="18" customHeight="1" spans="1:16">
      <c r="A2834" s="32" t="str">
        <f t="shared" si="144"/>
        <v/>
      </c>
      <c r="B2834" s="100" t="str">
        <f>IF($E2834="","",INDEX(成本费用登记表!$B$4:$B$303,242))</f>
        <v/>
      </c>
      <c r="C2834" s="26" t="str">
        <f t="shared" si="141"/>
        <v/>
      </c>
      <c r="D2834" s="32" t="str">
        <f>IF($E2834="","",INDEX(成本费用登记表!$E$4:$E$303,242))</f>
        <v/>
      </c>
      <c r="E2834" s="26" t="str">
        <f>IF(INDEX(成本费用登记表!$Q$4:$Y$303,242,4)=0,"",INDEX(成本费用登记表!$Q$4:$Y$303,242,4))</f>
        <v/>
      </c>
      <c r="F2834" s="25" t="str">
        <f>IF($E2834="","",IFERROR(INDEX(科目表!$A$4:$A$81,MATCH($E2834,科目表!$B$4:$B$81,0)),""))</f>
        <v/>
      </c>
      <c r="G2834" s="26" t="str">
        <f>IF($E2834="","",IFERROR(INDEX(科目表!$E$4:$E$81,MATCH($E2834,科目表!$B$4:$B$81,0)),""))</f>
        <v/>
      </c>
      <c r="H2834" s="27" t="str">
        <f>IF($E2834="","",N(INDEX(成本费用登记表!$Q$4:$Y$303,242,5)))</f>
        <v/>
      </c>
      <c r="I2834" s="27" t="str">
        <f>IF($E2834="","",N(INDEX(成本费用登记表!$Q$4:$Y$303,242,6)))</f>
        <v/>
      </c>
      <c r="J2834" s="26" t="str">
        <f>IF($E2834="","",INDEX(成本费用登记表!$C$4:$C$303,242))</f>
        <v/>
      </c>
      <c r="K2834" s="26" t="str">
        <f>IF($E2834="","",INDEX(成本费用登记表!$D$4:$D$303,242))</f>
        <v/>
      </c>
      <c r="L2834" s="32" t="str">
        <f>IF($E2834="","",INDEX(成本费用登记表!$N$4:$N$303,242))</f>
        <v/>
      </c>
      <c r="M2834" s="32"/>
      <c r="N2834" s="26" t="str">
        <f t="shared" si="142"/>
        <v/>
      </c>
      <c r="O2834" s="26" t="str">
        <f t="shared" si="143"/>
        <v/>
      </c>
      <c r="P2834" s="10"/>
    </row>
    <row r="2835" ht="18" customHeight="1" spans="1:16">
      <c r="A2835" s="32" t="str">
        <f t="shared" si="144"/>
        <v/>
      </c>
      <c r="B2835" s="100" t="str">
        <f>IF($E2835="","",INDEX(成本费用登记表!$B$4:$B$303,242))</f>
        <v/>
      </c>
      <c r="C2835" s="26" t="str">
        <f t="shared" si="141"/>
        <v/>
      </c>
      <c r="D2835" s="32" t="str">
        <f>IF($E2835="","",INDEX(成本费用登记表!$E$4:$E$303,242))</f>
        <v/>
      </c>
      <c r="E2835" s="26" t="str">
        <f>IF(INDEX(成本费用登记表!$Q$4:$Y$303,242,7)=0,"",INDEX(成本费用登记表!$Q$4:$Y$303,242,7))</f>
        <v/>
      </c>
      <c r="F2835" s="25" t="str">
        <f>IF($E2835="","",IFERROR(INDEX(科目表!$A$4:$A$81,MATCH($E2835,科目表!$B$4:$B$81,0)),""))</f>
        <v/>
      </c>
      <c r="G2835" s="26" t="str">
        <f>IF($E2835="","",IFERROR(INDEX(科目表!$E$4:$E$81,MATCH($E2835,科目表!$B$4:$B$81,0)),""))</f>
        <v/>
      </c>
      <c r="H2835" s="27" t="str">
        <f>IF($E2835="","",N(INDEX(成本费用登记表!$Q$4:$Y$303,242,8)))</f>
        <v/>
      </c>
      <c r="I2835" s="27" t="str">
        <f>IF($E2835="","",N(INDEX(成本费用登记表!$Q$4:$Y$303,242,9)))</f>
        <v/>
      </c>
      <c r="J2835" s="26" t="str">
        <f>IF($E2835="","",INDEX(成本费用登记表!$C$4:$C$303,242))</f>
        <v/>
      </c>
      <c r="K2835" s="26" t="str">
        <f>IF($E2835="","",INDEX(成本费用登记表!$D$4:$D$303,242))</f>
        <v/>
      </c>
      <c r="L2835" s="32" t="str">
        <f>IF($E2835="","",INDEX(成本费用登记表!$N$4:$N$303,242))</f>
        <v/>
      </c>
      <c r="M2835" s="32"/>
      <c r="N2835" s="26" t="str">
        <f t="shared" si="142"/>
        <v/>
      </c>
      <c r="O2835" s="26" t="str">
        <f t="shared" si="143"/>
        <v/>
      </c>
      <c r="P2835" s="10"/>
    </row>
    <row r="2836" ht="18" customHeight="1" spans="1:16">
      <c r="A2836" s="32" t="str">
        <f t="shared" si="144"/>
        <v/>
      </c>
      <c r="B2836" s="100" t="str">
        <f>IF($E2836="","",INDEX(成本费用登记表!$B$4:$B$303,243))</f>
        <v/>
      </c>
      <c r="C2836" s="26" t="str">
        <f t="shared" si="141"/>
        <v/>
      </c>
      <c r="D2836" s="32" t="str">
        <f>IF($E2836="","",INDEX(成本费用登记表!$E$4:$E$303,243))</f>
        <v/>
      </c>
      <c r="E2836" s="26" t="str">
        <f>IF(INDEX(成本费用登记表!$Q$4:$Y$303,243,1)=0,"",INDEX(成本费用登记表!$Q$4:$Y$303,243,1))</f>
        <v/>
      </c>
      <c r="F2836" s="25" t="str">
        <f>IF($E2836="","",IFERROR(INDEX(科目表!$A$4:$A$81,MATCH($E2836,科目表!$B$4:$B$81,0)),""))</f>
        <v/>
      </c>
      <c r="G2836" s="26" t="str">
        <f>IF($E2836="","",IFERROR(INDEX(科目表!$E$4:$E$81,MATCH($E2836,科目表!$B$4:$B$81,0)),""))</f>
        <v/>
      </c>
      <c r="H2836" s="27" t="str">
        <f>IF($E2836="","",N(INDEX(成本费用登记表!$Q$4:$Y$303,243,2)))</f>
        <v/>
      </c>
      <c r="I2836" s="27" t="str">
        <f>IF($E2836="","",N(INDEX(成本费用登记表!$Q$4:$Y$303,243,3)))</f>
        <v/>
      </c>
      <c r="J2836" s="26" t="str">
        <f>IF($E2836="","",INDEX(成本费用登记表!$C$4:$C$303,243))</f>
        <v/>
      </c>
      <c r="K2836" s="26" t="str">
        <f>IF($E2836="","",INDEX(成本费用登记表!$D$4:$D$303,243))</f>
        <v/>
      </c>
      <c r="L2836" s="32" t="str">
        <f>IF($E2836="","",INDEX(成本费用登记表!$N$4:$N$303,243))</f>
        <v/>
      </c>
      <c r="M2836" s="32"/>
      <c r="N2836" s="26" t="str">
        <f t="shared" si="142"/>
        <v/>
      </c>
      <c r="O2836" s="26" t="str">
        <f t="shared" si="143"/>
        <v/>
      </c>
      <c r="P2836" s="10"/>
    </row>
    <row r="2837" ht="18" customHeight="1" spans="1:16">
      <c r="A2837" s="32" t="str">
        <f t="shared" si="144"/>
        <v/>
      </c>
      <c r="B2837" s="100" t="str">
        <f>IF($E2837="","",INDEX(成本费用登记表!$B$4:$B$303,243))</f>
        <v/>
      </c>
      <c r="C2837" s="26" t="str">
        <f t="shared" si="141"/>
        <v/>
      </c>
      <c r="D2837" s="32" t="str">
        <f>IF($E2837="","",INDEX(成本费用登记表!$E$4:$E$303,243))</f>
        <v/>
      </c>
      <c r="E2837" s="26" t="str">
        <f>IF(INDEX(成本费用登记表!$Q$4:$Y$303,243,4)=0,"",INDEX(成本费用登记表!$Q$4:$Y$303,243,4))</f>
        <v/>
      </c>
      <c r="F2837" s="25" t="str">
        <f>IF($E2837="","",IFERROR(INDEX(科目表!$A$4:$A$81,MATCH($E2837,科目表!$B$4:$B$81,0)),""))</f>
        <v/>
      </c>
      <c r="G2837" s="26" t="str">
        <f>IF($E2837="","",IFERROR(INDEX(科目表!$E$4:$E$81,MATCH($E2837,科目表!$B$4:$B$81,0)),""))</f>
        <v/>
      </c>
      <c r="H2837" s="27" t="str">
        <f>IF($E2837="","",N(INDEX(成本费用登记表!$Q$4:$Y$303,243,5)))</f>
        <v/>
      </c>
      <c r="I2837" s="27" t="str">
        <f>IF($E2837="","",N(INDEX(成本费用登记表!$Q$4:$Y$303,243,6)))</f>
        <v/>
      </c>
      <c r="J2837" s="26" t="str">
        <f>IF($E2837="","",INDEX(成本费用登记表!$C$4:$C$303,243))</f>
        <v/>
      </c>
      <c r="K2837" s="26" t="str">
        <f>IF($E2837="","",INDEX(成本费用登记表!$D$4:$D$303,243))</f>
        <v/>
      </c>
      <c r="L2837" s="32" t="str">
        <f>IF($E2837="","",INDEX(成本费用登记表!$N$4:$N$303,243))</f>
        <v/>
      </c>
      <c r="M2837" s="32"/>
      <c r="N2837" s="26" t="str">
        <f t="shared" si="142"/>
        <v/>
      </c>
      <c r="O2837" s="26" t="str">
        <f t="shared" si="143"/>
        <v/>
      </c>
      <c r="P2837" s="10"/>
    </row>
    <row r="2838" ht="18" customHeight="1" spans="1:16">
      <c r="A2838" s="32" t="str">
        <f t="shared" si="144"/>
        <v/>
      </c>
      <c r="B2838" s="100" t="str">
        <f>IF($E2838="","",INDEX(成本费用登记表!$B$4:$B$303,243))</f>
        <v/>
      </c>
      <c r="C2838" s="26" t="str">
        <f t="shared" si="141"/>
        <v/>
      </c>
      <c r="D2838" s="32" t="str">
        <f>IF($E2838="","",INDEX(成本费用登记表!$E$4:$E$303,243))</f>
        <v/>
      </c>
      <c r="E2838" s="26" t="str">
        <f>IF(INDEX(成本费用登记表!$Q$4:$Y$303,243,7)=0,"",INDEX(成本费用登记表!$Q$4:$Y$303,243,7))</f>
        <v/>
      </c>
      <c r="F2838" s="25" t="str">
        <f>IF($E2838="","",IFERROR(INDEX(科目表!$A$4:$A$81,MATCH($E2838,科目表!$B$4:$B$81,0)),""))</f>
        <v/>
      </c>
      <c r="G2838" s="26" t="str">
        <f>IF($E2838="","",IFERROR(INDEX(科目表!$E$4:$E$81,MATCH($E2838,科目表!$B$4:$B$81,0)),""))</f>
        <v/>
      </c>
      <c r="H2838" s="27" t="str">
        <f>IF($E2838="","",N(INDEX(成本费用登记表!$Q$4:$Y$303,243,8)))</f>
        <v/>
      </c>
      <c r="I2838" s="27" t="str">
        <f>IF($E2838="","",N(INDEX(成本费用登记表!$Q$4:$Y$303,243,9)))</f>
        <v/>
      </c>
      <c r="J2838" s="26" t="str">
        <f>IF($E2838="","",INDEX(成本费用登记表!$C$4:$C$303,243))</f>
        <v/>
      </c>
      <c r="K2838" s="26" t="str">
        <f>IF($E2838="","",INDEX(成本费用登记表!$D$4:$D$303,243))</f>
        <v/>
      </c>
      <c r="L2838" s="32" t="str">
        <f>IF($E2838="","",INDEX(成本费用登记表!$N$4:$N$303,243))</f>
        <v/>
      </c>
      <c r="M2838" s="32"/>
      <c r="N2838" s="26" t="str">
        <f t="shared" si="142"/>
        <v/>
      </c>
      <c r="O2838" s="26" t="str">
        <f t="shared" si="143"/>
        <v/>
      </c>
      <c r="P2838" s="10"/>
    </row>
    <row r="2839" ht="18" customHeight="1" spans="1:16">
      <c r="A2839" s="32" t="str">
        <f t="shared" si="144"/>
        <v/>
      </c>
      <c r="B2839" s="100" t="str">
        <f>IF($E2839="","",INDEX(成本费用登记表!$B$4:$B$303,244))</f>
        <v/>
      </c>
      <c r="C2839" s="26" t="str">
        <f t="shared" si="141"/>
        <v/>
      </c>
      <c r="D2839" s="32" t="str">
        <f>IF($E2839="","",INDEX(成本费用登记表!$E$4:$E$303,244))</f>
        <v/>
      </c>
      <c r="E2839" s="26" t="str">
        <f>IF(INDEX(成本费用登记表!$Q$4:$Y$303,244,1)=0,"",INDEX(成本费用登记表!$Q$4:$Y$303,244,1))</f>
        <v/>
      </c>
      <c r="F2839" s="25" t="str">
        <f>IF($E2839="","",IFERROR(INDEX(科目表!$A$4:$A$81,MATCH($E2839,科目表!$B$4:$B$81,0)),""))</f>
        <v/>
      </c>
      <c r="G2839" s="26" t="str">
        <f>IF($E2839="","",IFERROR(INDEX(科目表!$E$4:$E$81,MATCH($E2839,科目表!$B$4:$B$81,0)),""))</f>
        <v/>
      </c>
      <c r="H2839" s="27" t="str">
        <f>IF($E2839="","",N(INDEX(成本费用登记表!$Q$4:$Y$303,244,2)))</f>
        <v/>
      </c>
      <c r="I2839" s="27" t="str">
        <f>IF($E2839="","",N(INDEX(成本费用登记表!$Q$4:$Y$303,244,3)))</f>
        <v/>
      </c>
      <c r="J2839" s="26" t="str">
        <f>IF($E2839="","",INDEX(成本费用登记表!$C$4:$C$303,244))</f>
        <v/>
      </c>
      <c r="K2839" s="26" t="str">
        <f>IF($E2839="","",INDEX(成本费用登记表!$D$4:$D$303,244))</f>
        <v/>
      </c>
      <c r="L2839" s="32" t="str">
        <f>IF($E2839="","",INDEX(成本费用登记表!$N$4:$N$303,244))</f>
        <v/>
      </c>
      <c r="M2839" s="32"/>
      <c r="N2839" s="26" t="str">
        <f t="shared" si="142"/>
        <v/>
      </c>
      <c r="O2839" s="26" t="str">
        <f t="shared" si="143"/>
        <v/>
      </c>
      <c r="P2839" s="10"/>
    </row>
    <row r="2840" ht="18" customHeight="1" spans="1:16">
      <c r="A2840" s="32" t="str">
        <f t="shared" si="144"/>
        <v/>
      </c>
      <c r="B2840" s="100" t="str">
        <f>IF($E2840="","",INDEX(成本费用登记表!$B$4:$B$303,244))</f>
        <v/>
      </c>
      <c r="C2840" s="26" t="str">
        <f t="shared" si="141"/>
        <v/>
      </c>
      <c r="D2840" s="32" t="str">
        <f>IF($E2840="","",INDEX(成本费用登记表!$E$4:$E$303,244))</f>
        <v/>
      </c>
      <c r="E2840" s="26" t="str">
        <f>IF(INDEX(成本费用登记表!$Q$4:$Y$303,244,4)=0,"",INDEX(成本费用登记表!$Q$4:$Y$303,244,4))</f>
        <v/>
      </c>
      <c r="F2840" s="25" t="str">
        <f>IF($E2840="","",IFERROR(INDEX(科目表!$A$4:$A$81,MATCH($E2840,科目表!$B$4:$B$81,0)),""))</f>
        <v/>
      </c>
      <c r="G2840" s="26" t="str">
        <f>IF($E2840="","",IFERROR(INDEX(科目表!$E$4:$E$81,MATCH($E2840,科目表!$B$4:$B$81,0)),""))</f>
        <v/>
      </c>
      <c r="H2840" s="27" t="str">
        <f>IF($E2840="","",N(INDEX(成本费用登记表!$Q$4:$Y$303,244,5)))</f>
        <v/>
      </c>
      <c r="I2840" s="27" t="str">
        <f>IF($E2840="","",N(INDEX(成本费用登记表!$Q$4:$Y$303,244,6)))</f>
        <v/>
      </c>
      <c r="J2840" s="26" t="str">
        <f>IF($E2840="","",INDEX(成本费用登记表!$C$4:$C$303,244))</f>
        <v/>
      </c>
      <c r="K2840" s="26" t="str">
        <f>IF($E2840="","",INDEX(成本费用登记表!$D$4:$D$303,244))</f>
        <v/>
      </c>
      <c r="L2840" s="32" t="str">
        <f>IF($E2840="","",INDEX(成本费用登记表!$N$4:$N$303,244))</f>
        <v/>
      </c>
      <c r="M2840" s="32"/>
      <c r="N2840" s="26" t="str">
        <f t="shared" si="142"/>
        <v/>
      </c>
      <c r="O2840" s="26" t="str">
        <f t="shared" si="143"/>
        <v/>
      </c>
      <c r="P2840" s="10"/>
    </row>
    <row r="2841" ht="18" customHeight="1" spans="1:16">
      <c r="A2841" s="32" t="str">
        <f t="shared" si="144"/>
        <v/>
      </c>
      <c r="B2841" s="100" t="str">
        <f>IF($E2841="","",INDEX(成本费用登记表!$B$4:$B$303,244))</f>
        <v/>
      </c>
      <c r="C2841" s="26" t="str">
        <f t="shared" si="141"/>
        <v/>
      </c>
      <c r="D2841" s="32" t="str">
        <f>IF($E2841="","",INDEX(成本费用登记表!$E$4:$E$303,244))</f>
        <v/>
      </c>
      <c r="E2841" s="26" t="str">
        <f>IF(INDEX(成本费用登记表!$Q$4:$Y$303,244,7)=0,"",INDEX(成本费用登记表!$Q$4:$Y$303,244,7))</f>
        <v/>
      </c>
      <c r="F2841" s="25" t="str">
        <f>IF($E2841="","",IFERROR(INDEX(科目表!$A$4:$A$81,MATCH($E2841,科目表!$B$4:$B$81,0)),""))</f>
        <v/>
      </c>
      <c r="G2841" s="26" t="str">
        <f>IF($E2841="","",IFERROR(INDEX(科目表!$E$4:$E$81,MATCH($E2841,科目表!$B$4:$B$81,0)),""))</f>
        <v/>
      </c>
      <c r="H2841" s="27" t="str">
        <f>IF($E2841="","",N(INDEX(成本费用登记表!$Q$4:$Y$303,244,8)))</f>
        <v/>
      </c>
      <c r="I2841" s="27" t="str">
        <f>IF($E2841="","",N(INDEX(成本费用登记表!$Q$4:$Y$303,244,9)))</f>
        <v/>
      </c>
      <c r="J2841" s="26" t="str">
        <f>IF($E2841="","",INDEX(成本费用登记表!$C$4:$C$303,244))</f>
        <v/>
      </c>
      <c r="K2841" s="26" t="str">
        <f>IF($E2841="","",INDEX(成本费用登记表!$D$4:$D$303,244))</f>
        <v/>
      </c>
      <c r="L2841" s="32" t="str">
        <f>IF($E2841="","",INDEX(成本费用登记表!$N$4:$N$303,244))</f>
        <v/>
      </c>
      <c r="M2841" s="32"/>
      <c r="N2841" s="26" t="str">
        <f t="shared" si="142"/>
        <v/>
      </c>
      <c r="O2841" s="26" t="str">
        <f t="shared" si="143"/>
        <v/>
      </c>
      <c r="P2841" s="10"/>
    </row>
    <row r="2842" ht="18" customHeight="1" spans="1:16">
      <c r="A2842" s="32" t="str">
        <f t="shared" si="144"/>
        <v/>
      </c>
      <c r="B2842" s="100" t="str">
        <f>IF($E2842="","",INDEX(成本费用登记表!$B$4:$B$303,245))</f>
        <v/>
      </c>
      <c r="C2842" s="26" t="str">
        <f t="shared" si="141"/>
        <v/>
      </c>
      <c r="D2842" s="32" t="str">
        <f>IF($E2842="","",INDEX(成本费用登记表!$E$4:$E$303,245))</f>
        <v/>
      </c>
      <c r="E2842" s="26" t="str">
        <f>IF(INDEX(成本费用登记表!$Q$4:$Y$303,245,1)=0,"",INDEX(成本费用登记表!$Q$4:$Y$303,245,1))</f>
        <v/>
      </c>
      <c r="F2842" s="25" t="str">
        <f>IF($E2842="","",IFERROR(INDEX(科目表!$A$4:$A$81,MATCH($E2842,科目表!$B$4:$B$81,0)),""))</f>
        <v/>
      </c>
      <c r="G2842" s="26" t="str">
        <f>IF($E2842="","",IFERROR(INDEX(科目表!$E$4:$E$81,MATCH($E2842,科目表!$B$4:$B$81,0)),""))</f>
        <v/>
      </c>
      <c r="H2842" s="27" t="str">
        <f>IF($E2842="","",N(INDEX(成本费用登记表!$Q$4:$Y$303,245,2)))</f>
        <v/>
      </c>
      <c r="I2842" s="27" t="str">
        <f>IF($E2842="","",N(INDEX(成本费用登记表!$Q$4:$Y$303,245,3)))</f>
        <v/>
      </c>
      <c r="J2842" s="26" t="str">
        <f>IF($E2842="","",INDEX(成本费用登记表!$C$4:$C$303,245))</f>
        <v/>
      </c>
      <c r="K2842" s="26" t="str">
        <f>IF($E2842="","",INDEX(成本费用登记表!$D$4:$D$303,245))</f>
        <v/>
      </c>
      <c r="L2842" s="32" t="str">
        <f>IF($E2842="","",INDEX(成本费用登记表!$N$4:$N$303,245))</f>
        <v/>
      </c>
      <c r="M2842" s="32"/>
      <c r="N2842" s="26" t="str">
        <f t="shared" si="142"/>
        <v/>
      </c>
      <c r="O2842" s="26" t="str">
        <f t="shared" si="143"/>
        <v/>
      </c>
      <c r="P2842" s="10"/>
    </row>
    <row r="2843" ht="18" customHeight="1" spans="1:16">
      <c r="A2843" s="32" t="str">
        <f t="shared" si="144"/>
        <v/>
      </c>
      <c r="B2843" s="100" t="str">
        <f>IF($E2843="","",INDEX(成本费用登记表!$B$4:$B$303,245))</f>
        <v/>
      </c>
      <c r="C2843" s="26" t="str">
        <f t="shared" si="141"/>
        <v/>
      </c>
      <c r="D2843" s="32" t="str">
        <f>IF($E2843="","",INDEX(成本费用登记表!$E$4:$E$303,245))</f>
        <v/>
      </c>
      <c r="E2843" s="26" t="str">
        <f>IF(INDEX(成本费用登记表!$Q$4:$Y$303,245,4)=0,"",INDEX(成本费用登记表!$Q$4:$Y$303,245,4))</f>
        <v/>
      </c>
      <c r="F2843" s="25" t="str">
        <f>IF($E2843="","",IFERROR(INDEX(科目表!$A$4:$A$81,MATCH($E2843,科目表!$B$4:$B$81,0)),""))</f>
        <v/>
      </c>
      <c r="G2843" s="26" t="str">
        <f>IF($E2843="","",IFERROR(INDEX(科目表!$E$4:$E$81,MATCH($E2843,科目表!$B$4:$B$81,0)),""))</f>
        <v/>
      </c>
      <c r="H2843" s="27" t="str">
        <f>IF($E2843="","",N(INDEX(成本费用登记表!$Q$4:$Y$303,245,5)))</f>
        <v/>
      </c>
      <c r="I2843" s="27" t="str">
        <f>IF($E2843="","",N(INDEX(成本费用登记表!$Q$4:$Y$303,245,6)))</f>
        <v/>
      </c>
      <c r="J2843" s="26" t="str">
        <f>IF($E2843="","",INDEX(成本费用登记表!$C$4:$C$303,245))</f>
        <v/>
      </c>
      <c r="K2843" s="26" t="str">
        <f>IF($E2843="","",INDEX(成本费用登记表!$D$4:$D$303,245))</f>
        <v/>
      </c>
      <c r="L2843" s="32" t="str">
        <f>IF($E2843="","",INDEX(成本费用登记表!$N$4:$N$303,245))</f>
        <v/>
      </c>
      <c r="M2843" s="32"/>
      <c r="N2843" s="26" t="str">
        <f t="shared" si="142"/>
        <v/>
      </c>
      <c r="O2843" s="26" t="str">
        <f t="shared" si="143"/>
        <v/>
      </c>
      <c r="P2843" s="10"/>
    </row>
    <row r="2844" ht="18" customHeight="1" spans="1:16">
      <c r="A2844" s="32" t="str">
        <f t="shared" si="144"/>
        <v/>
      </c>
      <c r="B2844" s="100" t="str">
        <f>IF($E2844="","",INDEX(成本费用登记表!$B$4:$B$303,245))</f>
        <v/>
      </c>
      <c r="C2844" s="26" t="str">
        <f t="shared" si="141"/>
        <v/>
      </c>
      <c r="D2844" s="32" t="str">
        <f>IF($E2844="","",INDEX(成本费用登记表!$E$4:$E$303,245))</f>
        <v/>
      </c>
      <c r="E2844" s="26" t="str">
        <f>IF(INDEX(成本费用登记表!$Q$4:$Y$303,245,7)=0,"",INDEX(成本费用登记表!$Q$4:$Y$303,245,7))</f>
        <v/>
      </c>
      <c r="F2844" s="25" t="str">
        <f>IF($E2844="","",IFERROR(INDEX(科目表!$A$4:$A$81,MATCH($E2844,科目表!$B$4:$B$81,0)),""))</f>
        <v/>
      </c>
      <c r="G2844" s="26" t="str">
        <f>IF($E2844="","",IFERROR(INDEX(科目表!$E$4:$E$81,MATCH($E2844,科目表!$B$4:$B$81,0)),""))</f>
        <v/>
      </c>
      <c r="H2844" s="27" t="str">
        <f>IF($E2844="","",N(INDEX(成本费用登记表!$Q$4:$Y$303,245,8)))</f>
        <v/>
      </c>
      <c r="I2844" s="27" t="str">
        <f>IF($E2844="","",N(INDEX(成本费用登记表!$Q$4:$Y$303,245,9)))</f>
        <v/>
      </c>
      <c r="J2844" s="26" t="str">
        <f>IF($E2844="","",INDEX(成本费用登记表!$C$4:$C$303,245))</f>
        <v/>
      </c>
      <c r="K2844" s="26" t="str">
        <f>IF($E2844="","",INDEX(成本费用登记表!$D$4:$D$303,245))</f>
        <v/>
      </c>
      <c r="L2844" s="32" t="str">
        <f>IF($E2844="","",INDEX(成本费用登记表!$N$4:$N$303,245))</f>
        <v/>
      </c>
      <c r="M2844" s="32"/>
      <c r="N2844" s="26" t="str">
        <f t="shared" si="142"/>
        <v/>
      </c>
      <c r="O2844" s="26" t="str">
        <f t="shared" si="143"/>
        <v/>
      </c>
      <c r="P2844" s="10"/>
    </row>
    <row r="2845" ht="18" customHeight="1" spans="1:16">
      <c r="A2845" s="32" t="str">
        <f t="shared" si="144"/>
        <v/>
      </c>
      <c r="B2845" s="100" t="str">
        <f>IF($E2845="","",INDEX(成本费用登记表!$B$4:$B$303,246))</f>
        <v/>
      </c>
      <c r="C2845" s="26" t="str">
        <f t="shared" si="141"/>
        <v/>
      </c>
      <c r="D2845" s="32" t="str">
        <f>IF($E2845="","",INDEX(成本费用登记表!$E$4:$E$303,246))</f>
        <v/>
      </c>
      <c r="E2845" s="26" t="str">
        <f>IF(INDEX(成本费用登记表!$Q$4:$Y$303,246,1)=0,"",INDEX(成本费用登记表!$Q$4:$Y$303,246,1))</f>
        <v/>
      </c>
      <c r="F2845" s="25" t="str">
        <f>IF($E2845="","",IFERROR(INDEX(科目表!$A$4:$A$81,MATCH($E2845,科目表!$B$4:$B$81,0)),""))</f>
        <v/>
      </c>
      <c r="G2845" s="26" t="str">
        <f>IF($E2845="","",IFERROR(INDEX(科目表!$E$4:$E$81,MATCH($E2845,科目表!$B$4:$B$81,0)),""))</f>
        <v/>
      </c>
      <c r="H2845" s="27" t="str">
        <f>IF($E2845="","",N(INDEX(成本费用登记表!$Q$4:$Y$303,246,2)))</f>
        <v/>
      </c>
      <c r="I2845" s="27" t="str">
        <f>IF($E2845="","",N(INDEX(成本费用登记表!$Q$4:$Y$303,246,3)))</f>
        <v/>
      </c>
      <c r="J2845" s="26" t="str">
        <f>IF($E2845="","",INDEX(成本费用登记表!$C$4:$C$303,246))</f>
        <v/>
      </c>
      <c r="K2845" s="26" t="str">
        <f>IF($E2845="","",INDEX(成本费用登记表!$D$4:$D$303,246))</f>
        <v/>
      </c>
      <c r="L2845" s="32" t="str">
        <f>IF($E2845="","",INDEX(成本费用登记表!$N$4:$N$303,246))</f>
        <v/>
      </c>
      <c r="M2845" s="32"/>
      <c r="N2845" s="26" t="str">
        <f t="shared" si="142"/>
        <v/>
      </c>
      <c r="O2845" s="26" t="str">
        <f t="shared" si="143"/>
        <v/>
      </c>
      <c r="P2845" s="10"/>
    </row>
    <row r="2846" ht="18" customHeight="1" spans="1:16">
      <c r="A2846" s="32" t="str">
        <f t="shared" si="144"/>
        <v/>
      </c>
      <c r="B2846" s="100" t="str">
        <f>IF($E2846="","",INDEX(成本费用登记表!$B$4:$B$303,246))</f>
        <v/>
      </c>
      <c r="C2846" s="26" t="str">
        <f t="shared" si="141"/>
        <v/>
      </c>
      <c r="D2846" s="32" t="str">
        <f>IF($E2846="","",INDEX(成本费用登记表!$E$4:$E$303,246))</f>
        <v/>
      </c>
      <c r="E2846" s="26" t="str">
        <f>IF(INDEX(成本费用登记表!$Q$4:$Y$303,246,4)=0,"",INDEX(成本费用登记表!$Q$4:$Y$303,246,4))</f>
        <v/>
      </c>
      <c r="F2846" s="25" t="str">
        <f>IF($E2846="","",IFERROR(INDEX(科目表!$A$4:$A$81,MATCH($E2846,科目表!$B$4:$B$81,0)),""))</f>
        <v/>
      </c>
      <c r="G2846" s="26" t="str">
        <f>IF($E2846="","",IFERROR(INDEX(科目表!$E$4:$E$81,MATCH($E2846,科目表!$B$4:$B$81,0)),""))</f>
        <v/>
      </c>
      <c r="H2846" s="27" t="str">
        <f>IF($E2846="","",N(INDEX(成本费用登记表!$Q$4:$Y$303,246,5)))</f>
        <v/>
      </c>
      <c r="I2846" s="27" t="str">
        <f>IF($E2846="","",N(INDEX(成本费用登记表!$Q$4:$Y$303,246,6)))</f>
        <v/>
      </c>
      <c r="J2846" s="26" t="str">
        <f>IF($E2846="","",INDEX(成本费用登记表!$C$4:$C$303,246))</f>
        <v/>
      </c>
      <c r="K2846" s="26" t="str">
        <f>IF($E2846="","",INDEX(成本费用登记表!$D$4:$D$303,246))</f>
        <v/>
      </c>
      <c r="L2846" s="32" t="str">
        <f>IF($E2846="","",INDEX(成本费用登记表!$N$4:$N$303,246))</f>
        <v/>
      </c>
      <c r="M2846" s="32"/>
      <c r="N2846" s="26" t="str">
        <f t="shared" si="142"/>
        <v/>
      </c>
      <c r="O2846" s="26" t="str">
        <f t="shared" si="143"/>
        <v/>
      </c>
      <c r="P2846" s="10"/>
    </row>
    <row r="2847" ht="18" customHeight="1" spans="1:16">
      <c r="A2847" s="32" t="str">
        <f t="shared" si="144"/>
        <v/>
      </c>
      <c r="B2847" s="100" t="str">
        <f>IF($E2847="","",INDEX(成本费用登记表!$B$4:$B$303,246))</f>
        <v/>
      </c>
      <c r="C2847" s="26" t="str">
        <f t="shared" si="141"/>
        <v/>
      </c>
      <c r="D2847" s="32" t="str">
        <f>IF($E2847="","",INDEX(成本费用登记表!$E$4:$E$303,246))</f>
        <v/>
      </c>
      <c r="E2847" s="26" t="str">
        <f>IF(INDEX(成本费用登记表!$Q$4:$Y$303,246,7)=0,"",INDEX(成本费用登记表!$Q$4:$Y$303,246,7))</f>
        <v/>
      </c>
      <c r="F2847" s="25" t="str">
        <f>IF($E2847="","",IFERROR(INDEX(科目表!$A$4:$A$81,MATCH($E2847,科目表!$B$4:$B$81,0)),""))</f>
        <v/>
      </c>
      <c r="G2847" s="26" t="str">
        <f>IF($E2847="","",IFERROR(INDEX(科目表!$E$4:$E$81,MATCH($E2847,科目表!$B$4:$B$81,0)),""))</f>
        <v/>
      </c>
      <c r="H2847" s="27" t="str">
        <f>IF($E2847="","",N(INDEX(成本费用登记表!$Q$4:$Y$303,246,8)))</f>
        <v/>
      </c>
      <c r="I2847" s="27" t="str">
        <f>IF($E2847="","",N(INDEX(成本费用登记表!$Q$4:$Y$303,246,9)))</f>
        <v/>
      </c>
      <c r="J2847" s="26" t="str">
        <f>IF($E2847="","",INDEX(成本费用登记表!$C$4:$C$303,246))</f>
        <v/>
      </c>
      <c r="K2847" s="26" t="str">
        <f>IF($E2847="","",INDEX(成本费用登记表!$D$4:$D$303,246))</f>
        <v/>
      </c>
      <c r="L2847" s="32" t="str">
        <f>IF($E2847="","",INDEX(成本费用登记表!$N$4:$N$303,246))</f>
        <v/>
      </c>
      <c r="M2847" s="32"/>
      <c r="N2847" s="26" t="str">
        <f t="shared" si="142"/>
        <v/>
      </c>
      <c r="O2847" s="26" t="str">
        <f t="shared" si="143"/>
        <v/>
      </c>
      <c r="P2847" s="10"/>
    </row>
    <row r="2848" ht="18" customHeight="1" spans="1:16">
      <c r="A2848" s="32" t="str">
        <f t="shared" si="144"/>
        <v/>
      </c>
      <c r="B2848" s="100" t="str">
        <f>IF($E2848="","",INDEX(成本费用登记表!$B$4:$B$303,247))</f>
        <v/>
      </c>
      <c r="C2848" s="26" t="str">
        <f t="shared" si="141"/>
        <v/>
      </c>
      <c r="D2848" s="32" t="str">
        <f>IF($E2848="","",INDEX(成本费用登记表!$E$4:$E$303,247))</f>
        <v/>
      </c>
      <c r="E2848" s="26" t="str">
        <f>IF(INDEX(成本费用登记表!$Q$4:$Y$303,247,1)=0,"",INDEX(成本费用登记表!$Q$4:$Y$303,247,1))</f>
        <v/>
      </c>
      <c r="F2848" s="25" t="str">
        <f>IF($E2848="","",IFERROR(INDEX(科目表!$A$4:$A$81,MATCH($E2848,科目表!$B$4:$B$81,0)),""))</f>
        <v/>
      </c>
      <c r="G2848" s="26" t="str">
        <f>IF($E2848="","",IFERROR(INDEX(科目表!$E$4:$E$81,MATCH($E2848,科目表!$B$4:$B$81,0)),""))</f>
        <v/>
      </c>
      <c r="H2848" s="27" t="str">
        <f>IF($E2848="","",N(INDEX(成本费用登记表!$Q$4:$Y$303,247,2)))</f>
        <v/>
      </c>
      <c r="I2848" s="27" t="str">
        <f>IF($E2848="","",N(INDEX(成本费用登记表!$Q$4:$Y$303,247,3)))</f>
        <v/>
      </c>
      <c r="J2848" s="26" t="str">
        <f>IF($E2848="","",INDEX(成本费用登记表!$C$4:$C$303,247))</f>
        <v/>
      </c>
      <c r="K2848" s="26" t="str">
        <f>IF($E2848="","",INDEX(成本费用登记表!$D$4:$D$303,247))</f>
        <v/>
      </c>
      <c r="L2848" s="32" t="str">
        <f>IF($E2848="","",INDEX(成本费用登记表!$N$4:$N$303,247))</f>
        <v/>
      </c>
      <c r="M2848" s="32"/>
      <c r="N2848" s="26" t="str">
        <f t="shared" si="142"/>
        <v/>
      </c>
      <c r="O2848" s="26" t="str">
        <f t="shared" si="143"/>
        <v/>
      </c>
      <c r="P2848" s="10"/>
    </row>
    <row r="2849" ht="18" customHeight="1" spans="1:16">
      <c r="A2849" s="32" t="str">
        <f t="shared" si="144"/>
        <v/>
      </c>
      <c r="B2849" s="100" t="str">
        <f>IF($E2849="","",INDEX(成本费用登记表!$B$4:$B$303,247))</f>
        <v/>
      </c>
      <c r="C2849" s="26" t="str">
        <f t="shared" si="141"/>
        <v/>
      </c>
      <c r="D2849" s="32" t="str">
        <f>IF($E2849="","",INDEX(成本费用登记表!$E$4:$E$303,247))</f>
        <v/>
      </c>
      <c r="E2849" s="26" t="str">
        <f>IF(INDEX(成本费用登记表!$Q$4:$Y$303,247,4)=0,"",INDEX(成本费用登记表!$Q$4:$Y$303,247,4))</f>
        <v/>
      </c>
      <c r="F2849" s="25" t="str">
        <f>IF($E2849="","",IFERROR(INDEX(科目表!$A$4:$A$81,MATCH($E2849,科目表!$B$4:$B$81,0)),""))</f>
        <v/>
      </c>
      <c r="G2849" s="26" t="str">
        <f>IF($E2849="","",IFERROR(INDEX(科目表!$E$4:$E$81,MATCH($E2849,科目表!$B$4:$B$81,0)),""))</f>
        <v/>
      </c>
      <c r="H2849" s="27" t="str">
        <f>IF($E2849="","",N(INDEX(成本费用登记表!$Q$4:$Y$303,247,5)))</f>
        <v/>
      </c>
      <c r="I2849" s="27" t="str">
        <f>IF($E2849="","",N(INDEX(成本费用登记表!$Q$4:$Y$303,247,6)))</f>
        <v/>
      </c>
      <c r="J2849" s="26" t="str">
        <f>IF($E2849="","",INDEX(成本费用登记表!$C$4:$C$303,247))</f>
        <v/>
      </c>
      <c r="K2849" s="26" t="str">
        <f>IF($E2849="","",INDEX(成本费用登记表!$D$4:$D$303,247))</f>
        <v/>
      </c>
      <c r="L2849" s="32" t="str">
        <f>IF($E2849="","",INDEX(成本费用登记表!$N$4:$N$303,247))</f>
        <v/>
      </c>
      <c r="M2849" s="32"/>
      <c r="N2849" s="26" t="str">
        <f t="shared" si="142"/>
        <v/>
      </c>
      <c r="O2849" s="26" t="str">
        <f t="shared" si="143"/>
        <v/>
      </c>
      <c r="P2849" s="10"/>
    </row>
    <row r="2850" ht="18" customHeight="1" spans="1:16">
      <c r="A2850" s="32" t="str">
        <f t="shared" si="144"/>
        <v/>
      </c>
      <c r="B2850" s="100" t="str">
        <f>IF($E2850="","",INDEX(成本费用登记表!$B$4:$B$303,247))</f>
        <v/>
      </c>
      <c r="C2850" s="26" t="str">
        <f t="shared" si="141"/>
        <v/>
      </c>
      <c r="D2850" s="32" t="str">
        <f>IF($E2850="","",INDEX(成本费用登记表!$E$4:$E$303,247))</f>
        <v/>
      </c>
      <c r="E2850" s="26" t="str">
        <f>IF(INDEX(成本费用登记表!$Q$4:$Y$303,247,7)=0,"",INDEX(成本费用登记表!$Q$4:$Y$303,247,7))</f>
        <v/>
      </c>
      <c r="F2850" s="25" t="str">
        <f>IF($E2850="","",IFERROR(INDEX(科目表!$A$4:$A$81,MATCH($E2850,科目表!$B$4:$B$81,0)),""))</f>
        <v/>
      </c>
      <c r="G2850" s="26" t="str">
        <f>IF($E2850="","",IFERROR(INDEX(科目表!$E$4:$E$81,MATCH($E2850,科目表!$B$4:$B$81,0)),""))</f>
        <v/>
      </c>
      <c r="H2850" s="27" t="str">
        <f>IF($E2850="","",N(INDEX(成本费用登记表!$Q$4:$Y$303,247,8)))</f>
        <v/>
      </c>
      <c r="I2850" s="27" t="str">
        <f>IF($E2850="","",N(INDEX(成本费用登记表!$Q$4:$Y$303,247,9)))</f>
        <v/>
      </c>
      <c r="J2850" s="26" t="str">
        <f>IF($E2850="","",INDEX(成本费用登记表!$C$4:$C$303,247))</f>
        <v/>
      </c>
      <c r="K2850" s="26" t="str">
        <f>IF($E2850="","",INDEX(成本费用登记表!$D$4:$D$303,247))</f>
        <v/>
      </c>
      <c r="L2850" s="32" t="str">
        <f>IF($E2850="","",INDEX(成本费用登记表!$N$4:$N$303,247))</f>
        <v/>
      </c>
      <c r="M2850" s="32"/>
      <c r="N2850" s="26" t="str">
        <f t="shared" si="142"/>
        <v/>
      </c>
      <c r="O2850" s="26" t="str">
        <f t="shared" si="143"/>
        <v/>
      </c>
      <c r="P2850" s="10"/>
    </row>
    <row r="2851" ht="18" customHeight="1" spans="1:16">
      <c r="A2851" s="32" t="str">
        <f t="shared" si="144"/>
        <v/>
      </c>
      <c r="B2851" s="100" t="str">
        <f>IF($E2851="","",INDEX(成本费用登记表!$B$4:$B$303,248))</f>
        <v/>
      </c>
      <c r="C2851" s="26" t="str">
        <f t="shared" si="141"/>
        <v/>
      </c>
      <c r="D2851" s="32" t="str">
        <f>IF($E2851="","",INDEX(成本费用登记表!$E$4:$E$303,248))</f>
        <v/>
      </c>
      <c r="E2851" s="26" t="str">
        <f>IF(INDEX(成本费用登记表!$Q$4:$Y$303,248,1)=0,"",INDEX(成本费用登记表!$Q$4:$Y$303,248,1))</f>
        <v/>
      </c>
      <c r="F2851" s="25" t="str">
        <f>IF($E2851="","",IFERROR(INDEX(科目表!$A$4:$A$81,MATCH($E2851,科目表!$B$4:$B$81,0)),""))</f>
        <v/>
      </c>
      <c r="G2851" s="26" t="str">
        <f>IF($E2851="","",IFERROR(INDEX(科目表!$E$4:$E$81,MATCH($E2851,科目表!$B$4:$B$81,0)),""))</f>
        <v/>
      </c>
      <c r="H2851" s="27" t="str">
        <f>IF($E2851="","",N(INDEX(成本费用登记表!$Q$4:$Y$303,248,2)))</f>
        <v/>
      </c>
      <c r="I2851" s="27" t="str">
        <f>IF($E2851="","",N(INDEX(成本费用登记表!$Q$4:$Y$303,248,3)))</f>
        <v/>
      </c>
      <c r="J2851" s="26" t="str">
        <f>IF($E2851="","",INDEX(成本费用登记表!$C$4:$C$303,248))</f>
        <v/>
      </c>
      <c r="K2851" s="26" t="str">
        <f>IF($E2851="","",INDEX(成本费用登记表!$D$4:$D$303,248))</f>
        <v/>
      </c>
      <c r="L2851" s="32" t="str">
        <f>IF($E2851="","",INDEX(成本费用登记表!$N$4:$N$303,248))</f>
        <v/>
      </c>
      <c r="M2851" s="32"/>
      <c r="N2851" s="26" t="str">
        <f t="shared" si="142"/>
        <v/>
      </c>
      <c r="O2851" s="26" t="str">
        <f t="shared" si="143"/>
        <v/>
      </c>
      <c r="P2851" s="10"/>
    </row>
    <row r="2852" ht="18" customHeight="1" spans="1:16">
      <c r="A2852" s="32" t="str">
        <f t="shared" si="144"/>
        <v/>
      </c>
      <c r="B2852" s="100" t="str">
        <f>IF($E2852="","",INDEX(成本费用登记表!$B$4:$B$303,248))</f>
        <v/>
      </c>
      <c r="C2852" s="26" t="str">
        <f t="shared" si="141"/>
        <v/>
      </c>
      <c r="D2852" s="32" t="str">
        <f>IF($E2852="","",INDEX(成本费用登记表!$E$4:$E$303,248))</f>
        <v/>
      </c>
      <c r="E2852" s="26" t="str">
        <f>IF(INDEX(成本费用登记表!$Q$4:$Y$303,248,4)=0,"",INDEX(成本费用登记表!$Q$4:$Y$303,248,4))</f>
        <v/>
      </c>
      <c r="F2852" s="25" t="str">
        <f>IF($E2852="","",IFERROR(INDEX(科目表!$A$4:$A$81,MATCH($E2852,科目表!$B$4:$B$81,0)),""))</f>
        <v/>
      </c>
      <c r="G2852" s="26" t="str">
        <f>IF($E2852="","",IFERROR(INDEX(科目表!$E$4:$E$81,MATCH($E2852,科目表!$B$4:$B$81,0)),""))</f>
        <v/>
      </c>
      <c r="H2852" s="27" t="str">
        <f>IF($E2852="","",N(INDEX(成本费用登记表!$Q$4:$Y$303,248,5)))</f>
        <v/>
      </c>
      <c r="I2852" s="27" t="str">
        <f>IF($E2852="","",N(INDEX(成本费用登记表!$Q$4:$Y$303,248,6)))</f>
        <v/>
      </c>
      <c r="J2852" s="26" t="str">
        <f>IF($E2852="","",INDEX(成本费用登记表!$C$4:$C$303,248))</f>
        <v/>
      </c>
      <c r="K2852" s="26" t="str">
        <f>IF($E2852="","",INDEX(成本费用登记表!$D$4:$D$303,248))</f>
        <v/>
      </c>
      <c r="L2852" s="32" t="str">
        <f>IF($E2852="","",INDEX(成本费用登记表!$N$4:$N$303,248))</f>
        <v/>
      </c>
      <c r="M2852" s="32"/>
      <c r="N2852" s="26" t="str">
        <f t="shared" si="142"/>
        <v/>
      </c>
      <c r="O2852" s="26" t="str">
        <f t="shared" si="143"/>
        <v/>
      </c>
      <c r="P2852" s="10"/>
    </row>
    <row r="2853" ht="18" customHeight="1" spans="1:16">
      <c r="A2853" s="32" t="str">
        <f t="shared" si="144"/>
        <v/>
      </c>
      <c r="B2853" s="100" t="str">
        <f>IF($E2853="","",INDEX(成本费用登记表!$B$4:$B$303,248))</f>
        <v/>
      </c>
      <c r="C2853" s="26" t="str">
        <f t="shared" si="141"/>
        <v/>
      </c>
      <c r="D2853" s="32" t="str">
        <f>IF($E2853="","",INDEX(成本费用登记表!$E$4:$E$303,248))</f>
        <v/>
      </c>
      <c r="E2853" s="26" t="str">
        <f>IF(INDEX(成本费用登记表!$Q$4:$Y$303,248,7)=0,"",INDEX(成本费用登记表!$Q$4:$Y$303,248,7))</f>
        <v/>
      </c>
      <c r="F2853" s="25" t="str">
        <f>IF($E2853="","",IFERROR(INDEX(科目表!$A$4:$A$81,MATCH($E2853,科目表!$B$4:$B$81,0)),""))</f>
        <v/>
      </c>
      <c r="G2853" s="26" t="str">
        <f>IF($E2853="","",IFERROR(INDEX(科目表!$E$4:$E$81,MATCH($E2853,科目表!$B$4:$B$81,0)),""))</f>
        <v/>
      </c>
      <c r="H2853" s="27" t="str">
        <f>IF($E2853="","",N(INDEX(成本费用登记表!$Q$4:$Y$303,248,8)))</f>
        <v/>
      </c>
      <c r="I2853" s="27" t="str">
        <f>IF($E2853="","",N(INDEX(成本费用登记表!$Q$4:$Y$303,248,9)))</f>
        <v/>
      </c>
      <c r="J2853" s="26" t="str">
        <f>IF($E2853="","",INDEX(成本费用登记表!$C$4:$C$303,248))</f>
        <v/>
      </c>
      <c r="K2853" s="26" t="str">
        <f>IF($E2853="","",INDEX(成本费用登记表!$D$4:$D$303,248))</f>
        <v/>
      </c>
      <c r="L2853" s="32" t="str">
        <f>IF($E2853="","",INDEX(成本费用登记表!$N$4:$N$303,248))</f>
        <v/>
      </c>
      <c r="M2853" s="32"/>
      <c r="N2853" s="26" t="str">
        <f t="shared" si="142"/>
        <v/>
      </c>
      <c r="O2853" s="26" t="str">
        <f t="shared" si="143"/>
        <v/>
      </c>
      <c r="P2853" s="10"/>
    </row>
    <row r="2854" ht="18" customHeight="1" spans="1:16">
      <c r="A2854" s="32" t="str">
        <f t="shared" si="144"/>
        <v/>
      </c>
      <c r="B2854" s="100" t="str">
        <f>IF($E2854="","",INDEX(成本费用登记表!$B$4:$B$303,249))</f>
        <v/>
      </c>
      <c r="C2854" s="26" t="str">
        <f t="shared" si="141"/>
        <v/>
      </c>
      <c r="D2854" s="32" t="str">
        <f>IF($E2854="","",INDEX(成本费用登记表!$E$4:$E$303,249))</f>
        <v/>
      </c>
      <c r="E2854" s="26" t="str">
        <f>IF(INDEX(成本费用登记表!$Q$4:$Y$303,249,1)=0,"",INDEX(成本费用登记表!$Q$4:$Y$303,249,1))</f>
        <v/>
      </c>
      <c r="F2854" s="25" t="str">
        <f>IF($E2854="","",IFERROR(INDEX(科目表!$A$4:$A$81,MATCH($E2854,科目表!$B$4:$B$81,0)),""))</f>
        <v/>
      </c>
      <c r="G2854" s="26" t="str">
        <f>IF($E2854="","",IFERROR(INDEX(科目表!$E$4:$E$81,MATCH($E2854,科目表!$B$4:$B$81,0)),""))</f>
        <v/>
      </c>
      <c r="H2854" s="27" t="str">
        <f>IF($E2854="","",N(INDEX(成本费用登记表!$Q$4:$Y$303,249,2)))</f>
        <v/>
      </c>
      <c r="I2854" s="27" t="str">
        <f>IF($E2854="","",N(INDEX(成本费用登记表!$Q$4:$Y$303,249,3)))</f>
        <v/>
      </c>
      <c r="J2854" s="26" t="str">
        <f>IF($E2854="","",INDEX(成本费用登记表!$C$4:$C$303,249))</f>
        <v/>
      </c>
      <c r="K2854" s="26" t="str">
        <f>IF($E2854="","",INDEX(成本费用登记表!$D$4:$D$303,249))</f>
        <v/>
      </c>
      <c r="L2854" s="32" t="str">
        <f>IF($E2854="","",INDEX(成本费用登记表!$N$4:$N$303,249))</f>
        <v/>
      </c>
      <c r="M2854" s="32"/>
      <c r="N2854" s="26" t="str">
        <f t="shared" si="142"/>
        <v/>
      </c>
      <c r="O2854" s="26" t="str">
        <f t="shared" si="143"/>
        <v/>
      </c>
      <c r="P2854" s="10"/>
    </row>
    <row r="2855" ht="18" customHeight="1" spans="1:16">
      <c r="A2855" s="32" t="str">
        <f t="shared" si="144"/>
        <v/>
      </c>
      <c r="B2855" s="100" t="str">
        <f>IF($E2855="","",INDEX(成本费用登记表!$B$4:$B$303,249))</f>
        <v/>
      </c>
      <c r="C2855" s="26" t="str">
        <f t="shared" si="141"/>
        <v/>
      </c>
      <c r="D2855" s="32" t="str">
        <f>IF($E2855="","",INDEX(成本费用登记表!$E$4:$E$303,249))</f>
        <v/>
      </c>
      <c r="E2855" s="26" t="str">
        <f>IF(INDEX(成本费用登记表!$Q$4:$Y$303,249,4)=0,"",INDEX(成本费用登记表!$Q$4:$Y$303,249,4))</f>
        <v/>
      </c>
      <c r="F2855" s="25" t="str">
        <f>IF($E2855="","",IFERROR(INDEX(科目表!$A$4:$A$81,MATCH($E2855,科目表!$B$4:$B$81,0)),""))</f>
        <v/>
      </c>
      <c r="G2855" s="26" t="str">
        <f>IF($E2855="","",IFERROR(INDEX(科目表!$E$4:$E$81,MATCH($E2855,科目表!$B$4:$B$81,0)),""))</f>
        <v/>
      </c>
      <c r="H2855" s="27" t="str">
        <f>IF($E2855="","",N(INDEX(成本费用登记表!$Q$4:$Y$303,249,5)))</f>
        <v/>
      </c>
      <c r="I2855" s="27" t="str">
        <f>IF($E2855="","",N(INDEX(成本费用登记表!$Q$4:$Y$303,249,6)))</f>
        <v/>
      </c>
      <c r="J2855" s="26" t="str">
        <f>IF($E2855="","",INDEX(成本费用登记表!$C$4:$C$303,249))</f>
        <v/>
      </c>
      <c r="K2855" s="26" t="str">
        <f>IF($E2855="","",INDEX(成本费用登记表!$D$4:$D$303,249))</f>
        <v/>
      </c>
      <c r="L2855" s="32" t="str">
        <f>IF($E2855="","",INDEX(成本费用登记表!$N$4:$N$303,249))</f>
        <v/>
      </c>
      <c r="M2855" s="32"/>
      <c r="N2855" s="26" t="str">
        <f t="shared" si="142"/>
        <v/>
      </c>
      <c r="O2855" s="26" t="str">
        <f t="shared" si="143"/>
        <v/>
      </c>
      <c r="P2855" s="10"/>
    </row>
    <row r="2856" ht="18" customHeight="1" spans="1:16">
      <c r="A2856" s="32" t="str">
        <f t="shared" si="144"/>
        <v/>
      </c>
      <c r="B2856" s="100" t="str">
        <f>IF($E2856="","",INDEX(成本费用登记表!$B$4:$B$303,249))</f>
        <v/>
      </c>
      <c r="C2856" s="26" t="str">
        <f t="shared" si="141"/>
        <v/>
      </c>
      <c r="D2856" s="32" t="str">
        <f>IF($E2856="","",INDEX(成本费用登记表!$E$4:$E$303,249))</f>
        <v/>
      </c>
      <c r="E2856" s="26" t="str">
        <f>IF(INDEX(成本费用登记表!$Q$4:$Y$303,249,7)=0,"",INDEX(成本费用登记表!$Q$4:$Y$303,249,7))</f>
        <v/>
      </c>
      <c r="F2856" s="25" t="str">
        <f>IF($E2856="","",IFERROR(INDEX(科目表!$A$4:$A$81,MATCH($E2856,科目表!$B$4:$B$81,0)),""))</f>
        <v/>
      </c>
      <c r="G2856" s="26" t="str">
        <f>IF($E2856="","",IFERROR(INDEX(科目表!$E$4:$E$81,MATCH($E2856,科目表!$B$4:$B$81,0)),""))</f>
        <v/>
      </c>
      <c r="H2856" s="27" t="str">
        <f>IF($E2856="","",N(INDEX(成本费用登记表!$Q$4:$Y$303,249,8)))</f>
        <v/>
      </c>
      <c r="I2856" s="27" t="str">
        <f>IF($E2856="","",N(INDEX(成本费用登记表!$Q$4:$Y$303,249,9)))</f>
        <v/>
      </c>
      <c r="J2856" s="26" t="str">
        <f>IF($E2856="","",INDEX(成本费用登记表!$C$4:$C$303,249))</f>
        <v/>
      </c>
      <c r="K2856" s="26" t="str">
        <f>IF($E2856="","",INDEX(成本费用登记表!$D$4:$D$303,249))</f>
        <v/>
      </c>
      <c r="L2856" s="32" t="str">
        <f>IF($E2856="","",INDEX(成本费用登记表!$N$4:$N$303,249))</f>
        <v/>
      </c>
      <c r="M2856" s="32"/>
      <c r="N2856" s="26" t="str">
        <f t="shared" si="142"/>
        <v/>
      </c>
      <c r="O2856" s="26" t="str">
        <f t="shared" si="143"/>
        <v/>
      </c>
      <c r="P2856" s="10"/>
    </row>
    <row r="2857" ht="18" customHeight="1" spans="1:16">
      <c r="A2857" s="32" t="str">
        <f t="shared" si="144"/>
        <v/>
      </c>
      <c r="B2857" s="100" t="str">
        <f>IF($E2857="","",INDEX(成本费用登记表!$B$4:$B$303,250))</f>
        <v/>
      </c>
      <c r="C2857" s="26" t="str">
        <f t="shared" si="141"/>
        <v/>
      </c>
      <c r="D2857" s="32" t="str">
        <f>IF($E2857="","",INDEX(成本费用登记表!$E$4:$E$303,250))</f>
        <v/>
      </c>
      <c r="E2857" s="26" t="str">
        <f>IF(INDEX(成本费用登记表!$Q$4:$Y$303,250,1)=0,"",INDEX(成本费用登记表!$Q$4:$Y$303,250,1))</f>
        <v/>
      </c>
      <c r="F2857" s="25" t="str">
        <f>IF($E2857="","",IFERROR(INDEX(科目表!$A$4:$A$81,MATCH($E2857,科目表!$B$4:$B$81,0)),""))</f>
        <v/>
      </c>
      <c r="G2857" s="26" t="str">
        <f>IF($E2857="","",IFERROR(INDEX(科目表!$E$4:$E$81,MATCH($E2857,科目表!$B$4:$B$81,0)),""))</f>
        <v/>
      </c>
      <c r="H2857" s="27" t="str">
        <f>IF($E2857="","",N(INDEX(成本费用登记表!$Q$4:$Y$303,250,2)))</f>
        <v/>
      </c>
      <c r="I2857" s="27" t="str">
        <f>IF($E2857="","",N(INDEX(成本费用登记表!$Q$4:$Y$303,250,3)))</f>
        <v/>
      </c>
      <c r="J2857" s="26" t="str">
        <f>IF($E2857="","",INDEX(成本费用登记表!$C$4:$C$303,250))</f>
        <v/>
      </c>
      <c r="K2857" s="26" t="str">
        <f>IF($E2857="","",INDEX(成本费用登记表!$D$4:$D$303,250))</f>
        <v/>
      </c>
      <c r="L2857" s="32" t="str">
        <f>IF($E2857="","",INDEX(成本费用登记表!$N$4:$N$303,250))</f>
        <v/>
      </c>
      <c r="M2857" s="32"/>
      <c r="N2857" s="26" t="str">
        <f t="shared" si="142"/>
        <v/>
      </c>
      <c r="O2857" s="26" t="str">
        <f t="shared" si="143"/>
        <v/>
      </c>
      <c r="P2857" s="10"/>
    </row>
    <row r="2858" ht="18" customHeight="1" spans="1:16">
      <c r="A2858" s="32" t="str">
        <f t="shared" si="144"/>
        <v/>
      </c>
      <c r="B2858" s="100" t="str">
        <f>IF($E2858="","",INDEX(成本费用登记表!$B$4:$B$303,250))</f>
        <v/>
      </c>
      <c r="C2858" s="26" t="str">
        <f t="shared" si="141"/>
        <v/>
      </c>
      <c r="D2858" s="32" t="str">
        <f>IF($E2858="","",INDEX(成本费用登记表!$E$4:$E$303,250))</f>
        <v/>
      </c>
      <c r="E2858" s="26" t="str">
        <f>IF(INDEX(成本费用登记表!$Q$4:$Y$303,250,4)=0,"",INDEX(成本费用登记表!$Q$4:$Y$303,250,4))</f>
        <v/>
      </c>
      <c r="F2858" s="25" t="str">
        <f>IF($E2858="","",IFERROR(INDEX(科目表!$A$4:$A$81,MATCH($E2858,科目表!$B$4:$B$81,0)),""))</f>
        <v/>
      </c>
      <c r="G2858" s="26" t="str">
        <f>IF($E2858="","",IFERROR(INDEX(科目表!$E$4:$E$81,MATCH($E2858,科目表!$B$4:$B$81,0)),""))</f>
        <v/>
      </c>
      <c r="H2858" s="27" t="str">
        <f>IF($E2858="","",N(INDEX(成本费用登记表!$Q$4:$Y$303,250,5)))</f>
        <v/>
      </c>
      <c r="I2858" s="27" t="str">
        <f>IF($E2858="","",N(INDEX(成本费用登记表!$Q$4:$Y$303,250,6)))</f>
        <v/>
      </c>
      <c r="J2858" s="26" t="str">
        <f>IF($E2858="","",INDEX(成本费用登记表!$C$4:$C$303,250))</f>
        <v/>
      </c>
      <c r="K2858" s="26" t="str">
        <f>IF($E2858="","",INDEX(成本费用登记表!$D$4:$D$303,250))</f>
        <v/>
      </c>
      <c r="L2858" s="32" t="str">
        <f>IF($E2858="","",INDEX(成本费用登记表!$N$4:$N$303,250))</f>
        <v/>
      </c>
      <c r="M2858" s="32"/>
      <c r="N2858" s="26" t="str">
        <f t="shared" si="142"/>
        <v/>
      </c>
      <c r="O2858" s="26" t="str">
        <f t="shared" si="143"/>
        <v/>
      </c>
      <c r="P2858" s="10"/>
    </row>
    <row r="2859" ht="18" customHeight="1" spans="1:16">
      <c r="A2859" s="32" t="str">
        <f t="shared" si="144"/>
        <v/>
      </c>
      <c r="B2859" s="100" t="str">
        <f>IF($E2859="","",INDEX(成本费用登记表!$B$4:$B$303,250))</f>
        <v/>
      </c>
      <c r="C2859" s="26" t="str">
        <f t="shared" si="141"/>
        <v/>
      </c>
      <c r="D2859" s="32" t="str">
        <f>IF($E2859="","",INDEX(成本费用登记表!$E$4:$E$303,250))</f>
        <v/>
      </c>
      <c r="E2859" s="26" t="str">
        <f>IF(INDEX(成本费用登记表!$Q$4:$Y$303,250,7)=0,"",INDEX(成本费用登记表!$Q$4:$Y$303,250,7))</f>
        <v/>
      </c>
      <c r="F2859" s="25" t="str">
        <f>IF($E2859="","",IFERROR(INDEX(科目表!$A$4:$A$81,MATCH($E2859,科目表!$B$4:$B$81,0)),""))</f>
        <v/>
      </c>
      <c r="G2859" s="26" t="str">
        <f>IF($E2859="","",IFERROR(INDEX(科目表!$E$4:$E$81,MATCH($E2859,科目表!$B$4:$B$81,0)),""))</f>
        <v/>
      </c>
      <c r="H2859" s="27" t="str">
        <f>IF($E2859="","",N(INDEX(成本费用登记表!$Q$4:$Y$303,250,8)))</f>
        <v/>
      </c>
      <c r="I2859" s="27" t="str">
        <f>IF($E2859="","",N(INDEX(成本费用登记表!$Q$4:$Y$303,250,9)))</f>
        <v/>
      </c>
      <c r="J2859" s="26" t="str">
        <f>IF($E2859="","",INDEX(成本费用登记表!$C$4:$C$303,250))</f>
        <v/>
      </c>
      <c r="K2859" s="26" t="str">
        <f>IF($E2859="","",INDEX(成本费用登记表!$D$4:$D$303,250))</f>
        <v/>
      </c>
      <c r="L2859" s="32" t="str">
        <f>IF($E2859="","",INDEX(成本费用登记表!$N$4:$N$303,250))</f>
        <v/>
      </c>
      <c r="M2859" s="32"/>
      <c r="N2859" s="26" t="str">
        <f t="shared" si="142"/>
        <v/>
      </c>
      <c r="O2859" s="26" t="str">
        <f t="shared" si="143"/>
        <v/>
      </c>
      <c r="P2859" s="10"/>
    </row>
    <row r="2860" ht="18" customHeight="1" spans="1:16">
      <c r="A2860" s="32" t="str">
        <f t="shared" si="144"/>
        <v/>
      </c>
      <c r="B2860" s="100" t="str">
        <f>IF($E2860="","",INDEX(成本费用登记表!$B$4:$B$303,251))</f>
        <v/>
      </c>
      <c r="C2860" s="26" t="str">
        <f t="shared" si="141"/>
        <v/>
      </c>
      <c r="D2860" s="32" t="str">
        <f>IF($E2860="","",INDEX(成本费用登记表!$E$4:$E$303,251))</f>
        <v/>
      </c>
      <c r="E2860" s="26" t="str">
        <f>IF(INDEX(成本费用登记表!$Q$4:$Y$303,251,1)=0,"",INDEX(成本费用登记表!$Q$4:$Y$303,251,1))</f>
        <v/>
      </c>
      <c r="F2860" s="25" t="str">
        <f>IF($E2860="","",IFERROR(INDEX(科目表!$A$4:$A$81,MATCH($E2860,科目表!$B$4:$B$81,0)),""))</f>
        <v/>
      </c>
      <c r="G2860" s="26" t="str">
        <f>IF($E2860="","",IFERROR(INDEX(科目表!$E$4:$E$81,MATCH($E2860,科目表!$B$4:$B$81,0)),""))</f>
        <v/>
      </c>
      <c r="H2860" s="27" t="str">
        <f>IF($E2860="","",N(INDEX(成本费用登记表!$Q$4:$Y$303,251,2)))</f>
        <v/>
      </c>
      <c r="I2860" s="27" t="str">
        <f>IF($E2860="","",N(INDEX(成本费用登记表!$Q$4:$Y$303,251,3)))</f>
        <v/>
      </c>
      <c r="J2860" s="26" t="str">
        <f>IF($E2860="","",INDEX(成本费用登记表!$C$4:$C$303,251))</f>
        <v/>
      </c>
      <c r="K2860" s="26" t="str">
        <f>IF($E2860="","",INDEX(成本费用登记表!$D$4:$D$303,251))</f>
        <v/>
      </c>
      <c r="L2860" s="32" t="str">
        <f>IF($E2860="","",INDEX(成本费用登记表!$N$4:$N$303,251))</f>
        <v/>
      </c>
      <c r="M2860" s="32"/>
      <c r="N2860" s="26" t="str">
        <f t="shared" si="142"/>
        <v/>
      </c>
      <c r="O2860" s="26" t="str">
        <f t="shared" si="143"/>
        <v/>
      </c>
      <c r="P2860" s="10"/>
    </row>
    <row r="2861" ht="18" customHeight="1" spans="1:16">
      <c r="A2861" s="32" t="str">
        <f t="shared" si="144"/>
        <v/>
      </c>
      <c r="B2861" s="100" t="str">
        <f>IF($E2861="","",INDEX(成本费用登记表!$B$4:$B$303,251))</f>
        <v/>
      </c>
      <c r="C2861" s="26" t="str">
        <f t="shared" si="141"/>
        <v/>
      </c>
      <c r="D2861" s="32" t="str">
        <f>IF($E2861="","",INDEX(成本费用登记表!$E$4:$E$303,251))</f>
        <v/>
      </c>
      <c r="E2861" s="26" t="str">
        <f>IF(INDEX(成本费用登记表!$Q$4:$Y$303,251,4)=0,"",INDEX(成本费用登记表!$Q$4:$Y$303,251,4))</f>
        <v/>
      </c>
      <c r="F2861" s="25" t="str">
        <f>IF($E2861="","",IFERROR(INDEX(科目表!$A$4:$A$81,MATCH($E2861,科目表!$B$4:$B$81,0)),""))</f>
        <v/>
      </c>
      <c r="G2861" s="26" t="str">
        <f>IF($E2861="","",IFERROR(INDEX(科目表!$E$4:$E$81,MATCH($E2861,科目表!$B$4:$B$81,0)),""))</f>
        <v/>
      </c>
      <c r="H2861" s="27" t="str">
        <f>IF($E2861="","",N(INDEX(成本费用登记表!$Q$4:$Y$303,251,5)))</f>
        <v/>
      </c>
      <c r="I2861" s="27" t="str">
        <f>IF($E2861="","",N(INDEX(成本费用登记表!$Q$4:$Y$303,251,6)))</f>
        <v/>
      </c>
      <c r="J2861" s="26" t="str">
        <f>IF($E2861="","",INDEX(成本费用登记表!$C$4:$C$303,251))</f>
        <v/>
      </c>
      <c r="K2861" s="26" t="str">
        <f>IF($E2861="","",INDEX(成本费用登记表!$D$4:$D$303,251))</f>
        <v/>
      </c>
      <c r="L2861" s="32" t="str">
        <f>IF($E2861="","",INDEX(成本费用登记表!$N$4:$N$303,251))</f>
        <v/>
      </c>
      <c r="M2861" s="32"/>
      <c r="N2861" s="26" t="str">
        <f t="shared" si="142"/>
        <v/>
      </c>
      <c r="O2861" s="26" t="str">
        <f t="shared" si="143"/>
        <v/>
      </c>
      <c r="P2861" s="10"/>
    </row>
    <row r="2862" ht="18" customHeight="1" spans="1:16">
      <c r="A2862" s="32" t="str">
        <f t="shared" si="144"/>
        <v/>
      </c>
      <c r="B2862" s="100" t="str">
        <f>IF($E2862="","",INDEX(成本费用登记表!$B$4:$B$303,251))</f>
        <v/>
      </c>
      <c r="C2862" s="26" t="str">
        <f t="shared" si="141"/>
        <v/>
      </c>
      <c r="D2862" s="32" t="str">
        <f>IF($E2862="","",INDEX(成本费用登记表!$E$4:$E$303,251))</f>
        <v/>
      </c>
      <c r="E2862" s="26" t="str">
        <f>IF(INDEX(成本费用登记表!$Q$4:$Y$303,251,7)=0,"",INDEX(成本费用登记表!$Q$4:$Y$303,251,7))</f>
        <v/>
      </c>
      <c r="F2862" s="25" t="str">
        <f>IF($E2862="","",IFERROR(INDEX(科目表!$A$4:$A$81,MATCH($E2862,科目表!$B$4:$B$81,0)),""))</f>
        <v/>
      </c>
      <c r="G2862" s="26" t="str">
        <f>IF($E2862="","",IFERROR(INDEX(科目表!$E$4:$E$81,MATCH($E2862,科目表!$B$4:$B$81,0)),""))</f>
        <v/>
      </c>
      <c r="H2862" s="27" t="str">
        <f>IF($E2862="","",N(INDEX(成本费用登记表!$Q$4:$Y$303,251,8)))</f>
        <v/>
      </c>
      <c r="I2862" s="27" t="str">
        <f>IF($E2862="","",N(INDEX(成本费用登记表!$Q$4:$Y$303,251,9)))</f>
        <v/>
      </c>
      <c r="J2862" s="26" t="str">
        <f>IF($E2862="","",INDEX(成本费用登记表!$C$4:$C$303,251))</f>
        <v/>
      </c>
      <c r="K2862" s="26" t="str">
        <f>IF($E2862="","",INDEX(成本费用登记表!$D$4:$D$303,251))</f>
        <v/>
      </c>
      <c r="L2862" s="32" t="str">
        <f>IF($E2862="","",INDEX(成本费用登记表!$N$4:$N$303,251))</f>
        <v/>
      </c>
      <c r="M2862" s="32"/>
      <c r="N2862" s="26" t="str">
        <f t="shared" si="142"/>
        <v/>
      </c>
      <c r="O2862" s="26" t="str">
        <f t="shared" si="143"/>
        <v/>
      </c>
      <c r="P2862" s="10"/>
    </row>
    <row r="2863" ht="18" customHeight="1" spans="1:16">
      <c r="A2863" s="32" t="str">
        <f t="shared" si="144"/>
        <v/>
      </c>
      <c r="B2863" s="100" t="str">
        <f>IF($E2863="","",INDEX(成本费用登记表!$B$4:$B$303,252))</f>
        <v/>
      </c>
      <c r="C2863" s="26" t="str">
        <f t="shared" si="141"/>
        <v/>
      </c>
      <c r="D2863" s="32" t="str">
        <f>IF($E2863="","",INDEX(成本费用登记表!$E$4:$E$303,252))</f>
        <v/>
      </c>
      <c r="E2863" s="26" t="str">
        <f>IF(INDEX(成本费用登记表!$Q$4:$Y$303,252,1)=0,"",INDEX(成本费用登记表!$Q$4:$Y$303,252,1))</f>
        <v/>
      </c>
      <c r="F2863" s="25" t="str">
        <f>IF($E2863="","",IFERROR(INDEX(科目表!$A$4:$A$81,MATCH($E2863,科目表!$B$4:$B$81,0)),""))</f>
        <v/>
      </c>
      <c r="G2863" s="26" t="str">
        <f>IF($E2863="","",IFERROR(INDEX(科目表!$E$4:$E$81,MATCH($E2863,科目表!$B$4:$B$81,0)),""))</f>
        <v/>
      </c>
      <c r="H2863" s="27" t="str">
        <f>IF($E2863="","",N(INDEX(成本费用登记表!$Q$4:$Y$303,252,2)))</f>
        <v/>
      </c>
      <c r="I2863" s="27" t="str">
        <f>IF($E2863="","",N(INDEX(成本费用登记表!$Q$4:$Y$303,252,3)))</f>
        <v/>
      </c>
      <c r="J2863" s="26" t="str">
        <f>IF($E2863="","",INDEX(成本费用登记表!$C$4:$C$303,252))</f>
        <v/>
      </c>
      <c r="K2863" s="26" t="str">
        <f>IF($E2863="","",INDEX(成本费用登记表!$D$4:$D$303,252))</f>
        <v/>
      </c>
      <c r="L2863" s="32" t="str">
        <f>IF($E2863="","",INDEX(成本费用登记表!$N$4:$N$303,252))</f>
        <v/>
      </c>
      <c r="M2863" s="32"/>
      <c r="N2863" s="26" t="str">
        <f t="shared" si="142"/>
        <v/>
      </c>
      <c r="O2863" s="26" t="str">
        <f t="shared" si="143"/>
        <v/>
      </c>
      <c r="P2863" s="10"/>
    </row>
    <row r="2864" ht="18" customHeight="1" spans="1:16">
      <c r="A2864" s="32" t="str">
        <f t="shared" si="144"/>
        <v/>
      </c>
      <c r="B2864" s="100" t="str">
        <f>IF($E2864="","",INDEX(成本费用登记表!$B$4:$B$303,252))</f>
        <v/>
      </c>
      <c r="C2864" s="26" t="str">
        <f t="shared" si="141"/>
        <v/>
      </c>
      <c r="D2864" s="32" t="str">
        <f>IF($E2864="","",INDEX(成本费用登记表!$E$4:$E$303,252))</f>
        <v/>
      </c>
      <c r="E2864" s="26" t="str">
        <f>IF(INDEX(成本费用登记表!$Q$4:$Y$303,252,4)=0,"",INDEX(成本费用登记表!$Q$4:$Y$303,252,4))</f>
        <v/>
      </c>
      <c r="F2864" s="25" t="str">
        <f>IF($E2864="","",IFERROR(INDEX(科目表!$A$4:$A$81,MATCH($E2864,科目表!$B$4:$B$81,0)),""))</f>
        <v/>
      </c>
      <c r="G2864" s="26" t="str">
        <f>IF($E2864="","",IFERROR(INDEX(科目表!$E$4:$E$81,MATCH($E2864,科目表!$B$4:$B$81,0)),""))</f>
        <v/>
      </c>
      <c r="H2864" s="27" t="str">
        <f>IF($E2864="","",N(INDEX(成本费用登记表!$Q$4:$Y$303,252,5)))</f>
        <v/>
      </c>
      <c r="I2864" s="27" t="str">
        <f>IF($E2864="","",N(INDEX(成本费用登记表!$Q$4:$Y$303,252,6)))</f>
        <v/>
      </c>
      <c r="J2864" s="26" t="str">
        <f>IF($E2864="","",INDEX(成本费用登记表!$C$4:$C$303,252))</f>
        <v/>
      </c>
      <c r="K2864" s="26" t="str">
        <f>IF($E2864="","",INDEX(成本费用登记表!$D$4:$D$303,252))</f>
        <v/>
      </c>
      <c r="L2864" s="32" t="str">
        <f>IF($E2864="","",INDEX(成本费用登记表!$N$4:$N$303,252))</f>
        <v/>
      </c>
      <c r="M2864" s="32"/>
      <c r="N2864" s="26" t="str">
        <f t="shared" si="142"/>
        <v/>
      </c>
      <c r="O2864" s="26" t="str">
        <f t="shared" si="143"/>
        <v/>
      </c>
      <c r="P2864" s="10"/>
    </row>
    <row r="2865" ht="18" customHeight="1" spans="1:16">
      <c r="A2865" s="32" t="str">
        <f t="shared" si="144"/>
        <v/>
      </c>
      <c r="B2865" s="100" t="str">
        <f>IF($E2865="","",INDEX(成本费用登记表!$B$4:$B$303,252))</f>
        <v/>
      </c>
      <c r="C2865" s="26" t="str">
        <f t="shared" si="141"/>
        <v/>
      </c>
      <c r="D2865" s="32" t="str">
        <f>IF($E2865="","",INDEX(成本费用登记表!$E$4:$E$303,252))</f>
        <v/>
      </c>
      <c r="E2865" s="26" t="str">
        <f>IF(INDEX(成本费用登记表!$Q$4:$Y$303,252,7)=0,"",INDEX(成本费用登记表!$Q$4:$Y$303,252,7))</f>
        <v/>
      </c>
      <c r="F2865" s="25" t="str">
        <f>IF($E2865="","",IFERROR(INDEX(科目表!$A$4:$A$81,MATCH($E2865,科目表!$B$4:$B$81,0)),""))</f>
        <v/>
      </c>
      <c r="G2865" s="26" t="str">
        <f>IF($E2865="","",IFERROR(INDEX(科目表!$E$4:$E$81,MATCH($E2865,科目表!$B$4:$B$81,0)),""))</f>
        <v/>
      </c>
      <c r="H2865" s="27" t="str">
        <f>IF($E2865="","",N(INDEX(成本费用登记表!$Q$4:$Y$303,252,8)))</f>
        <v/>
      </c>
      <c r="I2865" s="27" t="str">
        <f>IF($E2865="","",N(INDEX(成本费用登记表!$Q$4:$Y$303,252,9)))</f>
        <v/>
      </c>
      <c r="J2865" s="26" t="str">
        <f>IF($E2865="","",INDEX(成本费用登记表!$C$4:$C$303,252))</f>
        <v/>
      </c>
      <c r="K2865" s="26" t="str">
        <f>IF($E2865="","",INDEX(成本费用登记表!$D$4:$D$303,252))</f>
        <v/>
      </c>
      <c r="L2865" s="32" t="str">
        <f>IF($E2865="","",INDEX(成本费用登记表!$N$4:$N$303,252))</f>
        <v/>
      </c>
      <c r="M2865" s="32"/>
      <c r="N2865" s="26" t="str">
        <f t="shared" si="142"/>
        <v/>
      </c>
      <c r="O2865" s="26" t="str">
        <f t="shared" si="143"/>
        <v/>
      </c>
      <c r="P2865" s="10"/>
    </row>
    <row r="2866" ht="18" customHeight="1" spans="1:16">
      <c r="A2866" s="32" t="str">
        <f t="shared" si="144"/>
        <v/>
      </c>
      <c r="B2866" s="100" t="str">
        <f>IF($E2866="","",INDEX(成本费用登记表!$B$4:$B$303,253))</f>
        <v/>
      </c>
      <c r="C2866" s="26" t="str">
        <f t="shared" si="141"/>
        <v/>
      </c>
      <c r="D2866" s="32" t="str">
        <f>IF($E2866="","",INDEX(成本费用登记表!$E$4:$E$303,253))</f>
        <v/>
      </c>
      <c r="E2866" s="26" t="str">
        <f>IF(INDEX(成本费用登记表!$Q$4:$Y$303,253,1)=0,"",INDEX(成本费用登记表!$Q$4:$Y$303,253,1))</f>
        <v/>
      </c>
      <c r="F2866" s="25" t="str">
        <f>IF($E2866="","",IFERROR(INDEX(科目表!$A$4:$A$81,MATCH($E2866,科目表!$B$4:$B$81,0)),""))</f>
        <v/>
      </c>
      <c r="G2866" s="26" t="str">
        <f>IF($E2866="","",IFERROR(INDEX(科目表!$E$4:$E$81,MATCH($E2866,科目表!$B$4:$B$81,0)),""))</f>
        <v/>
      </c>
      <c r="H2866" s="27" t="str">
        <f>IF($E2866="","",N(INDEX(成本费用登记表!$Q$4:$Y$303,253,2)))</f>
        <v/>
      </c>
      <c r="I2866" s="27" t="str">
        <f>IF($E2866="","",N(INDEX(成本费用登记表!$Q$4:$Y$303,253,3)))</f>
        <v/>
      </c>
      <c r="J2866" s="26" t="str">
        <f>IF($E2866="","",INDEX(成本费用登记表!$C$4:$C$303,253))</f>
        <v/>
      </c>
      <c r="K2866" s="26" t="str">
        <f>IF($E2866="","",INDEX(成本费用登记表!$D$4:$D$303,253))</f>
        <v/>
      </c>
      <c r="L2866" s="32" t="str">
        <f>IF($E2866="","",INDEX(成本费用登记表!$N$4:$N$303,253))</f>
        <v/>
      </c>
      <c r="M2866" s="32"/>
      <c r="N2866" s="26" t="str">
        <f t="shared" si="142"/>
        <v/>
      </c>
      <c r="O2866" s="26" t="str">
        <f t="shared" si="143"/>
        <v/>
      </c>
      <c r="P2866" s="10"/>
    </row>
    <row r="2867" ht="18" customHeight="1" spans="1:16">
      <c r="A2867" s="32" t="str">
        <f t="shared" si="144"/>
        <v/>
      </c>
      <c r="B2867" s="100" t="str">
        <f>IF($E2867="","",INDEX(成本费用登记表!$B$4:$B$303,253))</f>
        <v/>
      </c>
      <c r="C2867" s="26" t="str">
        <f t="shared" si="141"/>
        <v/>
      </c>
      <c r="D2867" s="32" t="str">
        <f>IF($E2867="","",INDEX(成本费用登记表!$E$4:$E$303,253))</f>
        <v/>
      </c>
      <c r="E2867" s="26" t="str">
        <f>IF(INDEX(成本费用登记表!$Q$4:$Y$303,253,4)=0,"",INDEX(成本费用登记表!$Q$4:$Y$303,253,4))</f>
        <v/>
      </c>
      <c r="F2867" s="25" t="str">
        <f>IF($E2867="","",IFERROR(INDEX(科目表!$A$4:$A$81,MATCH($E2867,科目表!$B$4:$B$81,0)),""))</f>
        <v/>
      </c>
      <c r="G2867" s="26" t="str">
        <f>IF($E2867="","",IFERROR(INDEX(科目表!$E$4:$E$81,MATCH($E2867,科目表!$B$4:$B$81,0)),""))</f>
        <v/>
      </c>
      <c r="H2867" s="27" t="str">
        <f>IF($E2867="","",N(INDEX(成本费用登记表!$Q$4:$Y$303,253,5)))</f>
        <v/>
      </c>
      <c r="I2867" s="27" t="str">
        <f>IF($E2867="","",N(INDEX(成本费用登记表!$Q$4:$Y$303,253,6)))</f>
        <v/>
      </c>
      <c r="J2867" s="26" t="str">
        <f>IF($E2867="","",INDEX(成本费用登记表!$C$4:$C$303,253))</f>
        <v/>
      </c>
      <c r="K2867" s="26" t="str">
        <f>IF($E2867="","",INDEX(成本费用登记表!$D$4:$D$303,253))</f>
        <v/>
      </c>
      <c r="L2867" s="32" t="str">
        <f>IF($E2867="","",INDEX(成本费用登记表!$N$4:$N$303,253))</f>
        <v/>
      </c>
      <c r="M2867" s="32"/>
      <c r="N2867" s="26" t="str">
        <f t="shared" si="142"/>
        <v/>
      </c>
      <c r="O2867" s="26" t="str">
        <f t="shared" si="143"/>
        <v/>
      </c>
      <c r="P2867" s="10"/>
    </row>
    <row r="2868" ht="18" customHeight="1" spans="1:16">
      <c r="A2868" s="32" t="str">
        <f t="shared" si="144"/>
        <v/>
      </c>
      <c r="B2868" s="100" t="str">
        <f>IF($E2868="","",INDEX(成本费用登记表!$B$4:$B$303,253))</f>
        <v/>
      </c>
      <c r="C2868" s="26" t="str">
        <f t="shared" si="141"/>
        <v/>
      </c>
      <c r="D2868" s="32" t="str">
        <f>IF($E2868="","",INDEX(成本费用登记表!$E$4:$E$303,253))</f>
        <v/>
      </c>
      <c r="E2868" s="26" t="str">
        <f>IF(INDEX(成本费用登记表!$Q$4:$Y$303,253,7)=0,"",INDEX(成本费用登记表!$Q$4:$Y$303,253,7))</f>
        <v/>
      </c>
      <c r="F2868" s="25" t="str">
        <f>IF($E2868="","",IFERROR(INDEX(科目表!$A$4:$A$81,MATCH($E2868,科目表!$B$4:$B$81,0)),""))</f>
        <v/>
      </c>
      <c r="G2868" s="26" t="str">
        <f>IF($E2868="","",IFERROR(INDEX(科目表!$E$4:$E$81,MATCH($E2868,科目表!$B$4:$B$81,0)),""))</f>
        <v/>
      </c>
      <c r="H2868" s="27" t="str">
        <f>IF($E2868="","",N(INDEX(成本费用登记表!$Q$4:$Y$303,253,8)))</f>
        <v/>
      </c>
      <c r="I2868" s="27" t="str">
        <f>IF($E2868="","",N(INDEX(成本费用登记表!$Q$4:$Y$303,253,9)))</f>
        <v/>
      </c>
      <c r="J2868" s="26" t="str">
        <f>IF($E2868="","",INDEX(成本费用登记表!$C$4:$C$303,253))</f>
        <v/>
      </c>
      <c r="K2868" s="26" t="str">
        <f>IF($E2868="","",INDEX(成本费用登记表!$D$4:$D$303,253))</f>
        <v/>
      </c>
      <c r="L2868" s="32" t="str">
        <f>IF($E2868="","",INDEX(成本费用登记表!$N$4:$N$303,253))</f>
        <v/>
      </c>
      <c r="M2868" s="32"/>
      <c r="N2868" s="26" t="str">
        <f t="shared" si="142"/>
        <v/>
      </c>
      <c r="O2868" s="26" t="str">
        <f t="shared" si="143"/>
        <v/>
      </c>
      <c r="P2868" s="10"/>
    </row>
    <row r="2869" ht="18" customHeight="1" spans="1:16">
      <c r="A2869" s="32" t="str">
        <f t="shared" si="144"/>
        <v/>
      </c>
      <c r="B2869" s="100" t="str">
        <f>IF($E2869="","",INDEX(成本费用登记表!$B$4:$B$303,254))</f>
        <v/>
      </c>
      <c r="C2869" s="26" t="str">
        <f t="shared" si="141"/>
        <v/>
      </c>
      <c r="D2869" s="32" t="str">
        <f>IF($E2869="","",INDEX(成本费用登记表!$E$4:$E$303,254))</f>
        <v/>
      </c>
      <c r="E2869" s="26" t="str">
        <f>IF(INDEX(成本费用登记表!$Q$4:$Y$303,254,1)=0,"",INDEX(成本费用登记表!$Q$4:$Y$303,254,1))</f>
        <v/>
      </c>
      <c r="F2869" s="25" t="str">
        <f>IF($E2869="","",IFERROR(INDEX(科目表!$A$4:$A$81,MATCH($E2869,科目表!$B$4:$B$81,0)),""))</f>
        <v/>
      </c>
      <c r="G2869" s="26" t="str">
        <f>IF($E2869="","",IFERROR(INDEX(科目表!$E$4:$E$81,MATCH($E2869,科目表!$B$4:$B$81,0)),""))</f>
        <v/>
      </c>
      <c r="H2869" s="27" t="str">
        <f>IF($E2869="","",N(INDEX(成本费用登记表!$Q$4:$Y$303,254,2)))</f>
        <v/>
      </c>
      <c r="I2869" s="27" t="str">
        <f>IF($E2869="","",N(INDEX(成本费用登记表!$Q$4:$Y$303,254,3)))</f>
        <v/>
      </c>
      <c r="J2869" s="26" t="str">
        <f>IF($E2869="","",INDEX(成本费用登记表!$C$4:$C$303,254))</f>
        <v/>
      </c>
      <c r="K2869" s="26" t="str">
        <f>IF($E2869="","",INDEX(成本费用登记表!$D$4:$D$303,254))</f>
        <v/>
      </c>
      <c r="L2869" s="32" t="str">
        <f>IF($E2869="","",INDEX(成本费用登记表!$N$4:$N$303,254))</f>
        <v/>
      </c>
      <c r="M2869" s="32"/>
      <c r="N2869" s="26" t="str">
        <f t="shared" si="142"/>
        <v/>
      </c>
      <c r="O2869" s="26" t="str">
        <f t="shared" si="143"/>
        <v/>
      </c>
      <c r="P2869" s="10"/>
    </row>
    <row r="2870" ht="18" customHeight="1" spans="1:16">
      <c r="A2870" s="32" t="str">
        <f t="shared" si="144"/>
        <v/>
      </c>
      <c r="B2870" s="100" t="str">
        <f>IF($E2870="","",INDEX(成本费用登记表!$B$4:$B$303,254))</f>
        <v/>
      </c>
      <c r="C2870" s="26" t="str">
        <f t="shared" si="141"/>
        <v/>
      </c>
      <c r="D2870" s="32" t="str">
        <f>IF($E2870="","",INDEX(成本费用登记表!$E$4:$E$303,254))</f>
        <v/>
      </c>
      <c r="E2870" s="26" t="str">
        <f>IF(INDEX(成本费用登记表!$Q$4:$Y$303,254,4)=0,"",INDEX(成本费用登记表!$Q$4:$Y$303,254,4))</f>
        <v/>
      </c>
      <c r="F2870" s="25" t="str">
        <f>IF($E2870="","",IFERROR(INDEX(科目表!$A$4:$A$81,MATCH($E2870,科目表!$B$4:$B$81,0)),""))</f>
        <v/>
      </c>
      <c r="G2870" s="26" t="str">
        <f>IF($E2870="","",IFERROR(INDEX(科目表!$E$4:$E$81,MATCH($E2870,科目表!$B$4:$B$81,0)),""))</f>
        <v/>
      </c>
      <c r="H2870" s="27" t="str">
        <f>IF($E2870="","",N(INDEX(成本费用登记表!$Q$4:$Y$303,254,5)))</f>
        <v/>
      </c>
      <c r="I2870" s="27" t="str">
        <f>IF($E2870="","",N(INDEX(成本费用登记表!$Q$4:$Y$303,254,6)))</f>
        <v/>
      </c>
      <c r="J2870" s="26" t="str">
        <f>IF($E2870="","",INDEX(成本费用登记表!$C$4:$C$303,254))</f>
        <v/>
      </c>
      <c r="K2870" s="26" t="str">
        <f>IF($E2870="","",INDEX(成本费用登记表!$D$4:$D$303,254))</f>
        <v/>
      </c>
      <c r="L2870" s="32" t="str">
        <f>IF($E2870="","",INDEX(成本费用登记表!$N$4:$N$303,254))</f>
        <v/>
      </c>
      <c r="M2870" s="32"/>
      <c r="N2870" s="26" t="str">
        <f t="shared" si="142"/>
        <v/>
      </c>
      <c r="O2870" s="26" t="str">
        <f t="shared" si="143"/>
        <v/>
      </c>
      <c r="P2870" s="10"/>
    </row>
    <row r="2871" ht="18" customHeight="1" spans="1:16">
      <c r="A2871" s="32" t="str">
        <f t="shared" si="144"/>
        <v/>
      </c>
      <c r="B2871" s="100" t="str">
        <f>IF($E2871="","",INDEX(成本费用登记表!$B$4:$B$303,254))</f>
        <v/>
      </c>
      <c r="C2871" s="26" t="str">
        <f t="shared" si="141"/>
        <v/>
      </c>
      <c r="D2871" s="32" t="str">
        <f>IF($E2871="","",INDEX(成本费用登记表!$E$4:$E$303,254))</f>
        <v/>
      </c>
      <c r="E2871" s="26" t="str">
        <f>IF(INDEX(成本费用登记表!$Q$4:$Y$303,254,7)=0,"",INDEX(成本费用登记表!$Q$4:$Y$303,254,7))</f>
        <v/>
      </c>
      <c r="F2871" s="25" t="str">
        <f>IF($E2871="","",IFERROR(INDEX(科目表!$A$4:$A$81,MATCH($E2871,科目表!$B$4:$B$81,0)),""))</f>
        <v/>
      </c>
      <c r="G2871" s="26" t="str">
        <f>IF($E2871="","",IFERROR(INDEX(科目表!$E$4:$E$81,MATCH($E2871,科目表!$B$4:$B$81,0)),""))</f>
        <v/>
      </c>
      <c r="H2871" s="27" t="str">
        <f>IF($E2871="","",N(INDEX(成本费用登记表!$Q$4:$Y$303,254,8)))</f>
        <v/>
      </c>
      <c r="I2871" s="27" t="str">
        <f>IF($E2871="","",N(INDEX(成本费用登记表!$Q$4:$Y$303,254,9)))</f>
        <v/>
      </c>
      <c r="J2871" s="26" t="str">
        <f>IF($E2871="","",INDEX(成本费用登记表!$C$4:$C$303,254))</f>
        <v/>
      </c>
      <c r="K2871" s="26" t="str">
        <f>IF($E2871="","",INDEX(成本费用登记表!$D$4:$D$303,254))</f>
        <v/>
      </c>
      <c r="L2871" s="32" t="str">
        <f>IF($E2871="","",INDEX(成本费用登记表!$N$4:$N$303,254))</f>
        <v/>
      </c>
      <c r="M2871" s="32"/>
      <c r="N2871" s="26" t="str">
        <f t="shared" si="142"/>
        <v/>
      </c>
      <c r="O2871" s="26" t="str">
        <f t="shared" si="143"/>
        <v/>
      </c>
      <c r="P2871" s="10"/>
    </row>
    <row r="2872" ht="18" customHeight="1" spans="1:16">
      <c r="A2872" s="32" t="str">
        <f t="shared" si="144"/>
        <v/>
      </c>
      <c r="B2872" s="100" t="str">
        <f>IF($E2872="","",INDEX(成本费用登记表!$B$4:$B$303,255))</f>
        <v/>
      </c>
      <c r="C2872" s="26" t="str">
        <f t="shared" si="141"/>
        <v/>
      </c>
      <c r="D2872" s="32" t="str">
        <f>IF($E2872="","",INDEX(成本费用登记表!$E$4:$E$303,255))</f>
        <v/>
      </c>
      <c r="E2872" s="26" t="str">
        <f>IF(INDEX(成本费用登记表!$Q$4:$Y$303,255,1)=0,"",INDEX(成本费用登记表!$Q$4:$Y$303,255,1))</f>
        <v/>
      </c>
      <c r="F2872" s="25" t="str">
        <f>IF($E2872="","",IFERROR(INDEX(科目表!$A$4:$A$81,MATCH($E2872,科目表!$B$4:$B$81,0)),""))</f>
        <v/>
      </c>
      <c r="G2872" s="26" t="str">
        <f>IF($E2872="","",IFERROR(INDEX(科目表!$E$4:$E$81,MATCH($E2872,科目表!$B$4:$B$81,0)),""))</f>
        <v/>
      </c>
      <c r="H2872" s="27" t="str">
        <f>IF($E2872="","",N(INDEX(成本费用登记表!$Q$4:$Y$303,255,2)))</f>
        <v/>
      </c>
      <c r="I2872" s="27" t="str">
        <f>IF($E2872="","",N(INDEX(成本费用登记表!$Q$4:$Y$303,255,3)))</f>
        <v/>
      </c>
      <c r="J2872" s="26" t="str">
        <f>IF($E2872="","",INDEX(成本费用登记表!$C$4:$C$303,255))</f>
        <v/>
      </c>
      <c r="K2872" s="26" t="str">
        <f>IF($E2872="","",INDEX(成本费用登记表!$D$4:$D$303,255))</f>
        <v/>
      </c>
      <c r="L2872" s="32" t="str">
        <f>IF($E2872="","",INDEX(成本费用登记表!$N$4:$N$303,255))</f>
        <v/>
      </c>
      <c r="M2872" s="32"/>
      <c r="N2872" s="26" t="str">
        <f t="shared" si="142"/>
        <v/>
      </c>
      <c r="O2872" s="26" t="str">
        <f t="shared" si="143"/>
        <v/>
      </c>
      <c r="P2872" s="10"/>
    </row>
    <row r="2873" ht="18" customHeight="1" spans="1:16">
      <c r="A2873" s="32" t="str">
        <f t="shared" si="144"/>
        <v/>
      </c>
      <c r="B2873" s="100" t="str">
        <f>IF($E2873="","",INDEX(成本费用登记表!$B$4:$B$303,255))</f>
        <v/>
      </c>
      <c r="C2873" s="26" t="str">
        <f t="shared" si="141"/>
        <v/>
      </c>
      <c r="D2873" s="32" t="str">
        <f>IF($E2873="","",INDEX(成本费用登记表!$E$4:$E$303,255))</f>
        <v/>
      </c>
      <c r="E2873" s="26" t="str">
        <f>IF(INDEX(成本费用登记表!$Q$4:$Y$303,255,4)=0,"",INDEX(成本费用登记表!$Q$4:$Y$303,255,4))</f>
        <v/>
      </c>
      <c r="F2873" s="25" t="str">
        <f>IF($E2873="","",IFERROR(INDEX(科目表!$A$4:$A$81,MATCH($E2873,科目表!$B$4:$B$81,0)),""))</f>
        <v/>
      </c>
      <c r="G2873" s="26" t="str">
        <f>IF($E2873="","",IFERROR(INDEX(科目表!$E$4:$E$81,MATCH($E2873,科目表!$B$4:$B$81,0)),""))</f>
        <v/>
      </c>
      <c r="H2873" s="27" t="str">
        <f>IF($E2873="","",N(INDEX(成本费用登记表!$Q$4:$Y$303,255,5)))</f>
        <v/>
      </c>
      <c r="I2873" s="27" t="str">
        <f>IF($E2873="","",N(INDEX(成本费用登记表!$Q$4:$Y$303,255,6)))</f>
        <v/>
      </c>
      <c r="J2873" s="26" t="str">
        <f>IF($E2873="","",INDEX(成本费用登记表!$C$4:$C$303,255))</f>
        <v/>
      </c>
      <c r="K2873" s="26" t="str">
        <f>IF($E2873="","",INDEX(成本费用登记表!$D$4:$D$303,255))</f>
        <v/>
      </c>
      <c r="L2873" s="32" t="str">
        <f>IF($E2873="","",INDEX(成本费用登记表!$N$4:$N$303,255))</f>
        <v/>
      </c>
      <c r="M2873" s="32"/>
      <c r="N2873" s="26" t="str">
        <f t="shared" si="142"/>
        <v/>
      </c>
      <c r="O2873" s="26" t="str">
        <f t="shared" si="143"/>
        <v/>
      </c>
      <c r="P2873" s="10"/>
    </row>
    <row r="2874" ht="18" customHeight="1" spans="1:16">
      <c r="A2874" s="32" t="str">
        <f t="shared" si="144"/>
        <v/>
      </c>
      <c r="B2874" s="100" t="str">
        <f>IF($E2874="","",INDEX(成本费用登记表!$B$4:$B$303,255))</f>
        <v/>
      </c>
      <c r="C2874" s="26" t="str">
        <f t="shared" si="141"/>
        <v/>
      </c>
      <c r="D2874" s="32" t="str">
        <f>IF($E2874="","",INDEX(成本费用登记表!$E$4:$E$303,255))</f>
        <v/>
      </c>
      <c r="E2874" s="26" t="str">
        <f>IF(INDEX(成本费用登记表!$Q$4:$Y$303,255,7)=0,"",INDEX(成本费用登记表!$Q$4:$Y$303,255,7))</f>
        <v/>
      </c>
      <c r="F2874" s="25" t="str">
        <f>IF($E2874="","",IFERROR(INDEX(科目表!$A$4:$A$81,MATCH($E2874,科目表!$B$4:$B$81,0)),""))</f>
        <v/>
      </c>
      <c r="G2874" s="26" t="str">
        <f>IF($E2874="","",IFERROR(INDEX(科目表!$E$4:$E$81,MATCH($E2874,科目表!$B$4:$B$81,0)),""))</f>
        <v/>
      </c>
      <c r="H2874" s="27" t="str">
        <f>IF($E2874="","",N(INDEX(成本费用登记表!$Q$4:$Y$303,255,8)))</f>
        <v/>
      </c>
      <c r="I2874" s="27" t="str">
        <f>IF($E2874="","",N(INDEX(成本费用登记表!$Q$4:$Y$303,255,9)))</f>
        <v/>
      </c>
      <c r="J2874" s="26" t="str">
        <f>IF($E2874="","",INDEX(成本费用登记表!$C$4:$C$303,255))</f>
        <v/>
      </c>
      <c r="K2874" s="26" t="str">
        <f>IF($E2874="","",INDEX(成本费用登记表!$D$4:$D$303,255))</f>
        <v/>
      </c>
      <c r="L2874" s="32" t="str">
        <f>IF($E2874="","",INDEX(成本费用登记表!$N$4:$N$303,255))</f>
        <v/>
      </c>
      <c r="M2874" s="32"/>
      <c r="N2874" s="26" t="str">
        <f t="shared" si="142"/>
        <v/>
      </c>
      <c r="O2874" s="26" t="str">
        <f t="shared" si="143"/>
        <v/>
      </c>
      <c r="P2874" s="10"/>
    </row>
    <row r="2875" ht="18" customHeight="1" spans="1:16">
      <c r="A2875" s="32" t="str">
        <f t="shared" si="144"/>
        <v/>
      </c>
      <c r="B2875" s="100" t="str">
        <f>IF($E2875="","",INDEX(成本费用登记表!$B$4:$B$303,256))</f>
        <v/>
      </c>
      <c r="C2875" s="26" t="str">
        <f t="shared" si="141"/>
        <v/>
      </c>
      <c r="D2875" s="32" t="str">
        <f>IF($E2875="","",INDEX(成本费用登记表!$E$4:$E$303,256))</f>
        <v/>
      </c>
      <c r="E2875" s="26" t="str">
        <f>IF(INDEX(成本费用登记表!$Q$4:$Y$303,256,1)=0,"",INDEX(成本费用登记表!$Q$4:$Y$303,256,1))</f>
        <v/>
      </c>
      <c r="F2875" s="25" t="str">
        <f>IF($E2875="","",IFERROR(INDEX(科目表!$A$4:$A$81,MATCH($E2875,科目表!$B$4:$B$81,0)),""))</f>
        <v/>
      </c>
      <c r="G2875" s="26" t="str">
        <f>IF($E2875="","",IFERROR(INDEX(科目表!$E$4:$E$81,MATCH($E2875,科目表!$B$4:$B$81,0)),""))</f>
        <v/>
      </c>
      <c r="H2875" s="27" t="str">
        <f>IF($E2875="","",N(INDEX(成本费用登记表!$Q$4:$Y$303,256,2)))</f>
        <v/>
      </c>
      <c r="I2875" s="27" t="str">
        <f>IF($E2875="","",N(INDEX(成本费用登记表!$Q$4:$Y$303,256,3)))</f>
        <v/>
      </c>
      <c r="J2875" s="26" t="str">
        <f>IF($E2875="","",INDEX(成本费用登记表!$C$4:$C$303,256))</f>
        <v/>
      </c>
      <c r="K2875" s="26" t="str">
        <f>IF($E2875="","",INDEX(成本费用登记表!$D$4:$D$303,256))</f>
        <v/>
      </c>
      <c r="L2875" s="32" t="str">
        <f>IF($E2875="","",INDEX(成本费用登记表!$N$4:$N$303,256))</f>
        <v/>
      </c>
      <c r="M2875" s="32"/>
      <c r="N2875" s="26" t="str">
        <f t="shared" si="142"/>
        <v/>
      </c>
      <c r="O2875" s="26" t="str">
        <f t="shared" si="143"/>
        <v/>
      </c>
      <c r="P2875" s="10"/>
    </row>
    <row r="2876" ht="18" customHeight="1" spans="1:16">
      <c r="A2876" s="32" t="str">
        <f t="shared" si="144"/>
        <v/>
      </c>
      <c r="B2876" s="100" t="str">
        <f>IF($E2876="","",INDEX(成本费用登记表!$B$4:$B$303,256))</f>
        <v/>
      </c>
      <c r="C2876" s="26" t="str">
        <f t="shared" si="141"/>
        <v/>
      </c>
      <c r="D2876" s="32" t="str">
        <f>IF($E2876="","",INDEX(成本费用登记表!$E$4:$E$303,256))</f>
        <v/>
      </c>
      <c r="E2876" s="26" t="str">
        <f>IF(INDEX(成本费用登记表!$Q$4:$Y$303,256,4)=0,"",INDEX(成本费用登记表!$Q$4:$Y$303,256,4))</f>
        <v/>
      </c>
      <c r="F2876" s="25" t="str">
        <f>IF($E2876="","",IFERROR(INDEX(科目表!$A$4:$A$81,MATCH($E2876,科目表!$B$4:$B$81,0)),""))</f>
        <v/>
      </c>
      <c r="G2876" s="26" t="str">
        <f>IF($E2876="","",IFERROR(INDEX(科目表!$E$4:$E$81,MATCH($E2876,科目表!$B$4:$B$81,0)),""))</f>
        <v/>
      </c>
      <c r="H2876" s="27" t="str">
        <f>IF($E2876="","",N(INDEX(成本费用登记表!$Q$4:$Y$303,256,5)))</f>
        <v/>
      </c>
      <c r="I2876" s="27" t="str">
        <f>IF($E2876="","",N(INDEX(成本费用登记表!$Q$4:$Y$303,256,6)))</f>
        <v/>
      </c>
      <c r="J2876" s="26" t="str">
        <f>IF($E2876="","",INDEX(成本费用登记表!$C$4:$C$303,256))</f>
        <v/>
      </c>
      <c r="K2876" s="26" t="str">
        <f>IF($E2876="","",INDEX(成本费用登记表!$D$4:$D$303,256))</f>
        <v/>
      </c>
      <c r="L2876" s="32" t="str">
        <f>IF($E2876="","",INDEX(成本费用登记表!$N$4:$N$303,256))</f>
        <v/>
      </c>
      <c r="M2876" s="32"/>
      <c r="N2876" s="26" t="str">
        <f t="shared" si="142"/>
        <v/>
      </c>
      <c r="O2876" s="26" t="str">
        <f t="shared" si="143"/>
        <v/>
      </c>
      <c r="P2876" s="10"/>
    </row>
    <row r="2877" ht="18" customHeight="1" spans="1:16">
      <c r="A2877" s="32" t="str">
        <f t="shared" si="144"/>
        <v/>
      </c>
      <c r="B2877" s="100" t="str">
        <f>IF($E2877="","",INDEX(成本费用登记表!$B$4:$B$303,256))</f>
        <v/>
      </c>
      <c r="C2877" s="26" t="str">
        <f t="shared" si="141"/>
        <v/>
      </c>
      <c r="D2877" s="32" t="str">
        <f>IF($E2877="","",INDEX(成本费用登记表!$E$4:$E$303,256))</f>
        <v/>
      </c>
      <c r="E2877" s="26" t="str">
        <f>IF(INDEX(成本费用登记表!$Q$4:$Y$303,256,7)=0,"",INDEX(成本费用登记表!$Q$4:$Y$303,256,7))</f>
        <v/>
      </c>
      <c r="F2877" s="25" t="str">
        <f>IF($E2877="","",IFERROR(INDEX(科目表!$A$4:$A$81,MATCH($E2877,科目表!$B$4:$B$81,0)),""))</f>
        <v/>
      </c>
      <c r="G2877" s="26" t="str">
        <f>IF($E2877="","",IFERROR(INDEX(科目表!$E$4:$E$81,MATCH($E2877,科目表!$B$4:$B$81,0)),""))</f>
        <v/>
      </c>
      <c r="H2877" s="27" t="str">
        <f>IF($E2877="","",N(INDEX(成本费用登记表!$Q$4:$Y$303,256,8)))</f>
        <v/>
      </c>
      <c r="I2877" s="27" t="str">
        <f>IF($E2877="","",N(INDEX(成本费用登记表!$Q$4:$Y$303,256,9)))</f>
        <v/>
      </c>
      <c r="J2877" s="26" t="str">
        <f>IF($E2877="","",INDEX(成本费用登记表!$C$4:$C$303,256))</f>
        <v/>
      </c>
      <c r="K2877" s="26" t="str">
        <f>IF($E2877="","",INDEX(成本费用登记表!$D$4:$D$303,256))</f>
        <v/>
      </c>
      <c r="L2877" s="32" t="str">
        <f>IF($E2877="","",INDEX(成本费用登记表!$N$4:$N$303,256))</f>
        <v/>
      </c>
      <c r="M2877" s="32"/>
      <c r="N2877" s="26" t="str">
        <f t="shared" si="142"/>
        <v/>
      </c>
      <c r="O2877" s="26" t="str">
        <f t="shared" si="143"/>
        <v/>
      </c>
      <c r="P2877" s="10"/>
    </row>
    <row r="2878" ht="18" customHeight="1" spans="1:16">
      <c r="A2878" s="32" t="str">
        <f t="shared" si="144"/>
        <v/>
      </c>
      <c r="B2878" s="100" t="str">
        <f>IF($E2878="","",INDEX(成本费用登记表!$B$4:$B$303,257))</f>
        <v/>
      </c>
      <c r="C2878" s="26" t="str">
        <f t="shared" ref="C2878:C2941" si="145">IF($E2878="","","记-"&amp;TEXT($B2878,"YYYYMM")&amp;"-费用")</f>
        <v/>
      </c>
      <c r="D2878" s="32" t="str">
        <f>IF($E2878="","",INDEX(成本费用登记表!$E$4:$E$303,257))</f>
        <v/>
      </c>
      <c r="E2878" s="26" t="str">
        <f>IF(INDEX(成本费用登记表!$Q$4:$Y$303,257,1)=0,"",INDEX(成本费用登记表!$Q$4:$Y$303,257,1))</f>
        <v/>
      </c>
      <c r="F2878" s="25" t="str">
        <f>IF($E2878="","",IFERROR(INDEX(科目表!$A$4:$A$81,MATCH($E2878,科目表!$B$4:$B$81,0)),""))</f>
        <v/>
      </c>
      <c r="G2878" s="26" t="str">
        <f>IF($E2878="","",IFERROR(INDEX(科目表!$E$4:$E$81,MATCH($E2878,科目表!$B$4:$B$81,0)),""))</f>
        <v/>
      </c>
      <c r="H2878" s="27" t="str">
        <f>IF($E2878="","",N(INDEX(成本费用登记表!$Q$4:$Y$303,257,2)))</f>
        <v/>
      </c>
      <c r="I2878" s="27" t="str">
        <f>IF($E2878="","",N(INDEX(成本费用登记表!$Q$4:$Y$303,257,3)))</f>
        <v/>
      </c>
      <c r="J2878" s="26" t="str">
        <f>IF($E2878="","",INDEX(成本费用登记表!$C$4:$C$303,257))</f>
        <v/>
      </c>
      <c r="K2878" s="26" t="str">
        <f>IF($E2878="","",INDEX(成本费用登记表!$D$4:$D$303,257))</f>
        <v/>
      </c>
      <c r="L2878" s="32" t="str">
        <f>IF($E2878="","",INDEX(成本费用登记表!$N$4:$N$303,257))</f>
        <v/>
      </c>
      <c r="M2878" s="32"/>
      <c r="N2878" s="26" t="str">
        <f t="shared" ref="N2878:N2941" si="146">IF($E2878="","","系统")</f>
        <v/>
      </c>
      <c r="O2878" s="26" t="str">
        <f t="shared" ref="O2878:O2941" si="147">IF($E2878="","","自动C")</f>
        <v/>
      </c>
      <c r="P2878" s="10"/>
    </row>
    <row r="2879" ht="18" customHeight="1" spans="1:16">
      <c r="A2879" s="32" t="str">
        <f t="shared" si="144"/>
        <v/>
      </c>
      <c r="B2879" s="100" t="str">
        <f>IF($E2879="","",INDEX(成本费用登记表!$B$4:$B$303,257))</f>
        <v/>
      </c>
      <c r="C2879" s="26" t="str">
        <f t="shared" si="145"/>
        <v/>
      </c>
      <c r="D2879" s="32" t="str">
        <f>IF($E2879="","",INDEX(成本费用登记表!$E$4:$E$303,257))</f>
        <v/>
      </c>
      <c r="E2879" s="26" t="str">
        <f>IF(INDEX(成本费用登记表!$Q$4:$Y$303,257,4)=0,"",INDEX(成本费用登记表!$Q$4:$Y$303,257,4))</f>
        <v/>
      </c>
      <c r="F2879" s="25" t="str">
        <f>IF($E2879="","",IFERROR(INDEX(科目表!$A$4:$A$81,MATCH($E2879,科目表!$B$4:$B$81,0)),""))</f>
        <v/>
      </c>
      <c r="G2879" s="26" t="str">
        <f>IF($E2879="","",IFERROR(INDEX(科目表!$E$4:$E$81,MATCH($E2879,科目表!$B$4:$B$81,0)),""))</f>
        <v/>
      </c>
      <c r="H2879" s="27" t="str">
        <f>IF($E2879="","",N(INDEX(成本费用登记表!$Q$4:$Y$303,257,5)))</f>
        <v/>
      </c>
      <c r="I2879" s="27" t="str">
        <f>IF($E2879="","",N(INDEX(成本费用登记表!$Q$4:$Y$303,257,6)))</f>
        <v/>
      </c>
      <c r="J2879" s="26" t="str">
        <f>IF($E2879="","",INDEX(成本费用登记表!$C$4:$C$303,257))</f>
        <v/>
      </c>
      <c r="K2879" s="26" t="str">
        <f>IF($E2879="","",INDEX(成本费用登记表!$D$4:$D$303,257))</f>
        <v/>
      </c>
      <c r="L2879" s="32" t="str">
        <f>IF($E2879="","",INDEX(成本费用登记表!$N$4:$N$303,257))</f>
        <v/>
      </c>
      <c r="M2879" s="32"/>
      <c r="N2879" s="26" t="str">
        <f t="shared" si="146"/>
        <v/>
      </c>
      <c r="O2879" s="26" t="str">
        <f t="shared" si="147"/>
        <v/>
      </c>
      <c r="P2879" s="10"/>
    </row>
    <row r="2880" ht="18" customHeight="1" spans="1:16">
      <c r="A2880" s="32" t="str">
        <f t="shared" si="144"/>
        <v/>
      </c>
      <c r="B2880" s="100" t="str">
        <f>IF($E2880="","",INDEX(成本费用登记表!$B$4:$B$303,257))</f>
        <v/>
      </c>
      <c r="C2880" s="26" t="str">
        <f t="shared" si="145"/>
        <v/>
      </c>
      <c r="D2880" s="32" t="str">
        <f>IF($E2880="","",INDEX(成本费用登记表!$E$4:$E$303,257))</f>
        <v/>
      </c>
      <c r="E2880" s="26" t="str">
        <f>IF(INDEX(成本费用登记表!$Q$4:$Y$303,257,7)=0,"",INDEX(成本费用登记表!$Q$4:$Y$303,257,7))</f>
        <v/>
      </c>
      <c r="F2880" s="25" t="str">
        <f>IF($E2880="","",IFERROR(INDEX(科目表!$A$4:$A$81,MATCH($E2880,科目表!$B$4:$B$81,0)),""))</f>
        <v/>
      </c>
      <c r="G2880" s="26" t="str">
        <f>IF($E2880="","",IFERROR(INDEX(科目表!$E$4:$E$81,MATCH($E2880,科目表!$B$4:$B$81,0)),""))</f>
        <v/>
      </c>
      <c r="H2880" s="27" t="str">
        <f>IF($E2880="","",N(INDEX(成本费用登记表!$Q$4:$Y$303,257,8)))</f>
        <v/>
      </c>
      <c r="I2880" s="27" t="str">
        <f>IF($E2880="","",N(INDEX(成本费用登记表!$Q$4:$Y$303,257,9)))</f>
        <v/>
      </c>
      <c r="J2880" s="26" t="str">
        <f>IF($E2880="","",INDEX(成本费用登记表!$C$4:$C$303,257))</f>
        <v/>
      </c>
      <c r="K2880" s="26" t="str">
        <f>IF($E2880="","",INDEX(成本费用登记表!$D$4:$D$303,257))</f>
        <v/>
      </c>
      <c r="L2880" s="32" t="str">
        <f>IF($E2880="","",INDEX(成本费用登记表!$N$4:$N$303,257))</f>
        <v/>
      </c>
      <c r="M2880" s="32"/>
      <c r="N2880" s="26" t="str">
        <f t="shared" si="146"/>
        <v/>
      </c>
      <c r="O2880" s="26" t="str">
        <f t="shared" si="147"/>
        <v/>
      </c>
      <c r="P2880" s="10"/>
    </row>
    <row r="2881" ht="18" customHeight="1" spans="1:16">
      <c r="A2881" s="32" t="str">
        <f t="shared" si="144"/>
        <v/>
      </c>
      <c r="B2881" s="100" t="str">
        <f>IF($E2881="","",INDEX(成本费用登记表!$B$4:$B$303,258))</f>
        <v/>
      </c>
      <c r="C2881" s="26" t="str">
        <f t="shared" si="145"/>
        <v/>
      </c>
      <c r="D2881" s="32" t="str">
        <f>IF($E2881="","",INDEX(成本费用登记表!$E$4:$E$303,258))</f>
        <v/>
      </c>
      <c r="E2881" s="26" t="str">
        <f>IF(INDEX(成本费用登记表!$Q$4:$Y$303,258,1)=0,"",INDEX(成本费用登记表!$Q$4:$Y$303,258,1))</f>
        <v/>
      </c>
      <c r="F2881" s="25" t="str">
        <f>IF($E2881="","",IFERROR(INDEX(科目表!$A$4:$A$81,MATCH($E2881,科目表!$B$4:$B$81,0)),""))</f>
        <v/>
      </c>
      <c r="G2881" s="26" t="str">
        <f>IF($E2881="","",IFERROR(INDEX(科目表!$E$4:$E$81,MATCH($E2881,科目表!$B$4:$B$81,0)),""))</f>
        <v/>
      </c>
      <c r="H2881" s="27" t="str">
        <f>IF($E2881="","",N(INDEX(成本费用登记表!$Q$4:$Y$303,258,2)))</f>
        <v/>
      </c>
      <c r="I2881" s="27" t="str">
        <f>IF($E2881="","",N(INDEX(成本费用登记表!$Q$4:$Y$303,258,3)))</f>
        <v/>
      </c>
      <c r="J2881" s="26" t="str">
        <f>IF($E2881="","",INDEX(成本费用登记表!$C$4:$C$303,258))</f>
        <v/>
      </c>
      <c r="K2881" s="26" t="str">
        <f>IF($E2881="","",INDEX(成本费用登记表!$D$4:$D$303,258))</f>
        <v/>
      </c>
      <c r="L2881" s="32" t="str">
        <f>IF($E2881="","",INDEX(成本费用登记表!$N$4:$N$303,258))</f>
        <v/>
      </c>
      <c r="M2881" s="32"/>
      <c r="N2881" s="26" t="str">
        <f t="shared" si="146"/>
        <v/>
      </c>
      <c r="O2881" s="26" t="str">
        <f t="shared" si="147"/>
        <v/>
      </c>
      <c r="P2881" s="10"/>
    </row>
    <row r="2882" ht="18" customHeight="1" spans="1:16">
      <c r="A2882" s="32" t="str">
        <f t="shared" si="144"/>
        <v/>
      </c>
      <c r="B2882" s="100" t="str">
        <f>IF($E2882="","",INDEX(成本费用登记表!$B$4:$B$303,258))</f>
        <v/>
      </c>
      <c r="C2882" s="26" t="str">
        <f t="shared" si="145"/>
        <v/>
      </c>
      <c r="D2882" s="32" t="str">
        <f>IF($E2882="","",INDEX(成本费用登记表!$E$4:$E$303,258))</f>
        <v/>
      </c>
      <c r="E2882" s="26" t="str">
        <f>IF(INDEX(成本费用登记表!$Q$4:$Y$303,258,4)=0,"",INDEX(成本费用登记表!$Q$4:$Y$303,258,4))</f>
        <v/>
      </c>
      <c r="F2882" s="25" t="str">
        <f>IF($E2882="","",IFERROR(INDEX(科目表!$A$4:$A$81,MATCH($E2882,科目表!$B$4:$B$81,0)),""))</f>
        <v/>
      </c>
      <c r="G2882" s="26" t="str">
        <f>IF($E2882="","",IFERROR(INDEX(科目表!$E$4:$E$81,MATCH($E2882,科目表!$B$4:$B$81,0)),""))</f>
        <v/>
      </c>
      <c r="H2882" s="27" t="str">
        <f>IF($E2882="","",N(INDEX(成本费用登记表!$Q$4:$Y$303,258,5)))</f>
        <v/>
      </c>
      <c r="I2882" s="27" t="str">
        <f>IF($E2882="","",N(INDEX(成本费用登记表!$Q$4:$Y$303,258,6)))</f>
        <v/>
      </c>
      <c r="J2882" s="26" t="str">
        <f>IF($E2882="","",INDEX(成本费用登记表!$C$4:$C$303,258))</f>
        <v/>
      </c>
      <c r="K2882" s="26" t="str">
        <f>IF($E2882="","",INDEX(成本费用登记表!$D$4:$D$303,258))</f>
        <v/>
      </c>
      <c r="L2882" s="32" t="str">
        <f>IF($E2882="","",INDEX(成本费用登记表!$N$4:$N$303,258))</f>
        <v/>
      </c>
      <c r="M2882" s="32"/>
      <c r="N2882" s="26" t="str">
        <f t="shared" si="146"/>
        <v/>
      </c>
      <c r="O2882" s="26" t="str">
        <f t="shared" si="147"/>
        <v/>
      </c>
      <c r="P2882" s="10"/>
    </row>
    <row r="2883" ht="18" customHeight="1" spans="1:16">
      <c r="A2883" s="32" t="str">
        <f t="shared" si="144"/>
        <v/>
      </c>
      <c r="B2883" s="100" t="str">
        <f>IF($E2883="","",INDEX(成本费用登记表!$B$4:$B$303,258))</f>
        <v/>
      </c>
      <c r="C2883" s="26" t="str">
        <f t="shared" si="145"/>
        <v/>
      </c>
      <c r="D2883" s="32" t="str">
        <f>IF($E2883="","",INDEX(成本费用登记表!$E$4:$E$303,258))</f>
        <v/>
      </c>
      <c r="E2883" s="26" t="str">
        <f>IF(INDEX(成本费用登记表!$Q$4:$Y$303,258,7)=0,"",INDEX(成本费用登记表!$Q$4:$Y$303,258,7))</f>
        <v/>
      </c>
      <c r="F2883" s="25" t="str">
        <f>IF($E2883="","",IFERROR(INDEX(科目表!$A$4:$A$81,MATCH($E2883,科目表!$B$4:$B$81,0)),""))</f>
        <v/>
      </c>
      <c r="G2883" s="26" t="str">
        <f>IF($E2883="","",IFERROR(INDEX(科目表!$E$4:$E$81,MATCH($E2883,科目表!$B$4:$B$81,0)),""))</f>
        <v/>
      </c>
      <c r="H2883" s="27" t="str">
        <f>IF($E2883="","",N(INDEX(成本费用登记表!$Q$4:$Y$303,258,8)))</f>
        <v/>
      </c>
      <c r="I2883" s="27" t="str">
        <f>IF($E2883="","",N(INDEX(成本费用登记表!$Q$4:$Y$303,258,9)))</f>
        <v/>
      </c>
      <c r="J2883" s="26" t="str">
        <f>IF($E2883="","",INDEX(成本费用登记表!$C$4:$C$303,258))</f>
        <v/>
      </c>
      <c r="K2883" s="26" t="str">
        <f>IF($E2883="","",INDEX(成本费用登记表!$D$4:$D$303,258))</f>
        <v/>
      </c>
      <c r="L2883" s="32" t="str">
        <f>IF($E2883="","",INDEX(成本费用登记表!$N$4:$N$303,258))</f>
        <v/>
      </c>
      <c r="M2883" s="32"/>
      <c r="N2883" s="26" t="str">
        <f t="shared" si="146"/>
        <v/>
      </c>
      <c r="O2883" s="26" t="str">
        <f t="shared" si="147"/>
        <v/>
      </c>
      <c r="P2883" s="10"/>
    </row>
    <row r="2884" ht="18" customHeight="1" spans="1:16">
      <c r="A2884" s="32" t="str">
        <f t="shared" ref="A2884:A2947" si="148">IF($E2884="","",ROW()-3)</f>
        <v/>
      </c>
      <c r="B2884" s="100" t="str">
        <f>IF($E2884="","",INDEX(成本费用登记表!$B$4:$B$303,259))</f>
        <v/>
      </c>
      <c r="C2884" s="26" t="str">
        <f t="shared" si="145"/>
        <v/>
      </c>
      <c r="D2884" s="32" t="str">
        <f>IF($E2884="","",INDEX(成本费用登记表!$E$4:$E$303,259))</f>
        <v/>
      </c>
      <c r="E2884" s="26" t="str">
        <f>IF(INDEX(成本费用登记表!$Q$4:$Y$303,259,1)=0,"",INDEX(成本费用登记表!$Q$4:$Y$303,259,1))</f>
        <v/>
      </c>
      <c r="F2884" s="25" t="str">
        <f>IF($E2884="","",IFERROR(INDEX(科目表!$A$4:$A$81,MATCH($E2884,科目表!$B$4:$B$81,0)),""))</f>
        <v/>
      </c>
      <c r="G2884" s="26" t="str">
        <f>IF($E2884="","",IFERROR(INDEX(科目表!$E$4:$E$81,MATCH($E2884,科目表!$B$4:$B$81,0)),""))</f>
        <v/>
      </c>
      <c r="H2884" s="27" t="str">
        <f>IF($E2884="","",N(INDEX(成本费用登记表!$Q$4:$Y$303,259,2)))</f>
        <v/>
      </c>
      <c r="I2884" s="27" t="str">
        <f>IF($E2884="","",N(INDEX(成本费用登记表!$Q$4:$Y$303,259,3)))</f>
        <v/>
      </c>
      <c r="J2884" s="26" t="str">
        <f>IF($E2884="","",INDEX(成本费用登记表!$C$4:$C$303,259))</f>
        <v/>
      </c>
      <c r="K2884" s="26" t="str">
        <f>IF($E2884="","",INDEX(成本费用登记表!$D$4:$D$303,259))</f>
        <v/>
      </c>
      <c r="L2884" s="32" t="str">
        <f>IF($E2884="","",INDEX(成本费用登记表!$N$4:$N$303,259))</f>
        <v/>
      </c>
      <c r="M2884" s="32"/>
      <c r="N2884" s="26" t="str">
        <f t="shared" si="146"/>
        <v/>
      </c>
      <c r="O2884" s="26" t="str">
        <f t="shared" si="147"/>
        <v/>
      </c>
      <c r="P2884" s="10"/>
    </row>
    <row r="2885" ht="18" customHeight="1" spans="1:16">
      <c r="A2885" s="32" t="str">
        <f t="shared" si="148"/>
        <v/>
      </c>
      <c r="B2885" s="100" t="str">
        <f>IF($E2885="","",INDEX(成本费用登记表!$B$4:$B$303,259))</f>
        <v/>
      </c>
      <c r="C2885" s="26" t="str">
        <f t="shared" si="145"/>
        <v/>
      </c>
      <c r="D2885" s="32" t="str">
        <f>IF($E2885="","",INDEX(成本费用登记表!$E$4:$E$303,259))</f>
        <v/>
      </c>
      <c r="E2885" s="26" t="str">
        <f>IF(INDEX(成本费用登记表!$Q$4:$Y$303,259,4)=0,"",INDEX(成本费用登记表!$Q$4:$Y$303,259,4))</f>
        <v/>
      </c>
      <c r="F2885" s="25" t="str">
        <f>IF($E2885="","",IFERROR(INDEX(科目表!$A$4:$A$81,MATCH($E2885,科目表!$B$4:$B$81,0)),""))</f>
        <v/>
      </c>
      <c r="G2885" s="26" t="str">
        <f>IF($E2885="","",IFERROR(INDEX(科目表!$E$4:$E$81,MATCH($E2885,科目表!$B$4:$B$81,0)),""))</f>
        <v/>
      </c>
      <c r="H2885" s="27" t="str">
        <f>IF($E2885="","",N(INDEX(成本费用登记表!$Q$4:$Y$303,259,5)))</f>
        <v/>
      </c>
      <c r="I2885" s="27" t="str">
        <f>IF($E2885="","",N(INDEX(成本费用登记表!$Q$4:$Y$303,259,6)))</f>
        <v/>
      </c>
      <c r="J2885" s="26" t="str">
        <f>IF($E2885="","",INDEX(成本费用登记表!$C$4:$C$303,259))</f>
        <v/>
      </c>
      <c r="K2885" s="26" t="str">
        <f>IF($E2885="","",INDEX(成本费用登记表!$D$4:$D$303,259))</f>
        <v/>
      </c>
      <c r="L2885" s="32" t="str">
        <f>IF($E2885="","",INDEX(成本费用登记表!$N$4:$N$303,259))</f>
        <v/>
      </c>
      <c r="M2885" s="32"/>
      <c r="N2885" s="26" t="str">
        <f t="shared" si="146"/>
        <v/>
      </c>
      <c r="O2885" s="26" t="str">
        <f t="shared" si="147"/>
        <v/>
      </c>
      <c r="P2885" s="10"/>
    </row>
    <row r="2886" ht="18" customHeight="1" spans="1:16">
      <c r="A2886" s="32" t="str">
        <f t="shared" si="148"/>
        <v/>
      </c>
      <c r="B2886" s="100" t="str">
        <f>IF($E2886="","",INDEX(成本费用登记表!$B$4:$B$303,259))</f>
        <v/>
      </c>
      <c r="C2886" s="26" t="str">
        <f t="shared" si="145"/>
        <v/>
      </c>
      <c r="D2886" s="32" t="str">
        <f>IF($E2886="","",INDEX(成本费用登记表!$E$4:$E$303,259))</f>
        <v/>
      </c>
      <c r="E2886" s="26" t="str">
        <f>IF(INDEX(成本费用登记表!$Q$4:$Y$303,259,7)=0,"",INDEX(成本费用登记表!$Q$4:$Y$303,259,7))</f>
        <v/>
      </c>
      <c r="F2886" s="25" t="str">
        <f>IF($E2886="","",IFERROR(INDEX(科目表!$A$4:$A$81,MATCH($E2886,科目表!$B$4:$B$81,0)),""))</f>
        <v/>
      </c>
      <c r="G2886" s="26" t="str">
        <f>IF($E2886="","",IFERROR(INDEX(科目表!$E$4:$E$81,MATCH($E2886,科目表!$B$4:$B$81,0)),""))</f>
        <v/>
      </c>
      <c r="H2886" s="27" t="str">
        <f>IF($E2886="","",N(INDEX(成本费用登记表!$Q$4:$Y$303,259,8)))</f>
        <v/>
      </c>
      <c r="I2886" s="27" t="str">
        <f>IF($E2886="","",N(INDEX(成本费用登记表!$Q$4:$Y$303,259,9)))</f>
        <v/>
      </c>
      <c r="J2886" s="26" t="str">
        <f>IF($E2886="","",INDEX(成本费用登记表!$C$4:$C$303,259))</f>
        <v/>
      </c>
      <c r="K2886" s="26" t="str">
        <f>IF($E2886="","",INDEX(成本费用登记表!$D$4:$D$303,259))</f>
        <v/>
      </c>
      <c r="L2886" s="32" t="str">
        <f>IF($E2886="","",INDEX(成本费用登记表!$N$4:$N$303,259))</f>
        <v/>
      </c>
      <c r="M2886" s="32"/>
      <c r="N2886" s="26" t="str">
        <f t="shared" si="146"/>
        <v/>
      </c>
      <c r="O2886" s="26" t="str">
        <f t="shared" si="147"/>
        <v/>
      </c>
      <c r="P2886" s="10"/>
    </row>
    <row r="2887" ht="18" customHeight="1" spans="1:16">
      <c r="A2887" s="32" t="str">
        <f t="shared" si="148"/>
        <v/>
      </c>
      <c r="B2887" s="100" t="str">
        <f>IF($E2887="","",INDEX(成本费用登记表!$B$4:$B$303,260))</f>
        <v/>
      </c>
      <c r="C2887" s="26" t="str">
        <f t="shared" si="145"/>
        <v/>
      </c>
      <c r="D2887" s="32" t="str">
        <f>IF($E2887="","",INDEX(成本费用登记表!$E$4:$E$303,260))</f>
        <v/>
      </c>
      <c r="E2887" s="26" t="str">
        <f>IF(INDEX(成本费用登记表!$Q$4:$Y$303,260,1)=0,"",INDEX(成本费用登记表!$Q$4:$Y$303,260,1))</f>
        <v/>
      </c>
      <c r="F2887" s="25" t="str">
        <f>IF($E2887="","",IFERROR(INDEX(科目表!$A$4:$A$81,MATCH($E2887,科目表!$B$4:$B$81,0)),""))</f>
        <v/>
      </c>
      <c r="G2887" s="26" t="str">
        <f>IF($E2887="","",IFERROR(INDEX(科目表!$E$4:$E$81,MATCH($E2887,科目表!$B$4:$B$81,0)),""))</f>
        <v/>
      </c>
      <c r="H2887" s="27" t="str">
        <f>IF($E2887="","",N(INDEX(成本费用登记表!$Q$4:$Y$303,260,2)))</f>
        <v/>
      </c>
      <c r="I2887" s="27" t="str">
        <f>IF($E2887="","",N(INDEX(成本费用登记表!$Q$4:$Y$303,260,3)))</f>
        <v/>
      </c>
      <c r="J2887" s="26" t="str">
        <f>IF($E2887="","",INDEX(成本费用登记表!$C$4:$C$303,260))</f>
        <v/>
      </c>
      <c r="K2887" s="26" t="str">
        <f>IF($E2887="","",INDEX(成本费用登记表!$D$4:$D$303,260))</f>
        <v/>
      </c>
      <c r="L2887" s="32" t="str">
        <f>IF($E2887="","",INDEX(成本费用登记表!$N$4:$N$303,260))</f>
        <v/>
      </c>
      <c r="M2887" s="32"/>
      <c r="N2887" s="26" t="str">
        <f t="shared" si="146"/>
        <v/>
      </c>
      <c r="O2887" s="26" t="str">
        <f t="shared" si="147"/>
        <v/>
      </c>
      <c r="P2887" s="10"/>
    </row>
    <row r="2888" ht="18" customHeight="1" spans="1:16">
      <c r="A2888" s="32" t="str">
        <f t="shared" si="148"/>
        <v/>
      </c>
      <c r="B2888" s="100" t="str">
        <f>IF($E2888="","",INDEX(成本费用登记表!$B$4:$B$303,260))</f>
        <v/>
      </c>
      <c r="C2888" s="26" t="str">
        <f t="shared" si="145"/>
        <v/>
      </c>
      <c r="D2888" s="32" t="str">
        <f>IF($E2888="","",INDEX(成本费用登记表!$E$4:$E$303,260))</f>
        <v/>
      </c>
      <c r="E2888" s="26" t="str">
        <f>IF(INDEX(成本费用登记表!$Q$4:$Y$303,260,4)=0,"",INDEX(成本费用登记表!$Q$4:$Y$303,260,4))</f>
        <v/>
      </c>
      <c r="F2888" s="25" t="str">
        <f>IF($E2888="","",IFERROR(INDEX(科目表!$A$4:$A$81,MATCH($E2888,科目表!$B$4:$B$81,0)),""))</f>
        <v/>
      </c>
      <c r="G2888" s="26" t="str">
        <f>IF($E2888="","",IFERROR(INDEX(科目表!$E$4:$E$81,MATCH($E2888,科目表!$B$4:$B$81,0)),""))</f>
        <v/>
      </c>
      <c r="H2888" s="27" t="str">
        <f>IF($E2888="","",N(INDEX(成本费用登记表!$Q$4:$Y$303,260,5)))</f>
        <v/>
      </c>
      <c r="I2888" s="27" t="str">
        <f>IF($E2888="","",N(INDEX(成本费用登记表!$Q$4:$Y$303,260,6)))</f>
        <v/>
      </c>
      <c r="J2888" s="26" t="str">
        <f>IF($E2888="","",INDEX(成本费用登记表!$C$4:$C$303,260))</f>
        <v/>
      </c>
      <c r="K2888" s="26" t="str">
        <f>IF($E2888="","",INDEX(成本费用登记表!$D$4:$D$303,260))</f>
        <v/>
      </c>
      <c r="L2888" s="32" t="str">
        <f>IF($E2888="","",INDEX(成本费用登记表!$N$4:$N$303,260))</f>
        <v/>
      </c>
      <c r="M2888" s="32"/>
      <c r="N2888" s="26" t="str">
        <f t="shared" si="146"/>
        <v/>
      </c>
      <c r="O2888" s="26" t="str">
        <f t="shared" si="147"/>
        <v/>
      </c>
      <c r="P2888" s="10"/>
    </row>
    <row r="2889" ht="18" customHeight="1" spans="1:16">
      <c r="A2889" s="32" t="str">
        <f t="shared" si="148"/>
        <v/>
      </c>
      <c r="B2889" s="100" t="str">
        <f>IF($E2889="","",INDEX(成本费用登记表!$B$4:$B$303,260))</f>
        <v/>
      </c>
      <c r="C2889" s="26" t="str">
        <f t="shared" si="145"/>
        <v/>
      </c>
      <c r="D2889" s="32" t="str">
        <f>IF($E2889="","",INDEX(成本费用登记表!$E$4:$E$303,260))</f>
        <v/>
      </c>
      <c r="E2889" s="26" t="str">
        <f>IF(INDEX(成本费用登记表!$Q$4:$Y$303,260,7)=0,"",INDEX(成本费用登记表!$Q$4:$Y$303,260,7))</f>
        <v/>
      </c>
      <c r="F2889" s="25" t="str">
        <f>IF($E2889="","",IFERROR(INDEX(科目表!$A$4:$A$81,MATCH($E2889,科目表!$B$4:$B$81,0)),""))</f>
        <v/>
      </c>
      <c r="G2889" s="26" t="str">
        <f>IF($E2889="","",IFERROR(INDEX(科目表!$E$4:$E$81,MATCH($E2889,科目表!$B$4:$B$81,0)),""))</f>
        <v/>
      </c>
      <c r="H2889" s="27" t="str">
        <f>IF($E2889="","",N(INDEX(成本费用登记表!$Q$4:$Y$303,260,8)))</f>
        <v/>
      </c>
      <c r="I2889" s="27" t="str">
        <f>IF($E2889="","",N(INDEX(成本费用登记表!$Q$4:$Y$303,260,9)))</f>
        <v/>
      </c>
      <c r="J2889" s="26" t="str">
        <f>IF($E2889="","",INDEX(成本费用登记表!$C$4:$C$303,260))</f>
        <v/>
      </c>
      <c r="K2889" s="26" t="str">
        <f>IF($E2889="","",INDEX(成本费用登记表!$D$4:$D$303,260))</f>
        <v/>
      </c>
      <c r="L2889" s="32" t="str">
        <f>IF($E2889="","",INDEX(成本费用登记表!$N$4:$N$303,260))</f>
        <v/>
      </c>
      <c r="M2889" s="32"/>
      <c r="N2889" s="26" t="str">
        <f t="shared" si="146"/>
        <v/>
      </c>
      <c r="O2889" s="26" t="str">
        <f t="shared" si="147"/>
        <v/>
      </c>
      <c r="P2889" s="10"/>
    </row>
    <row r="2890" ht="18" customHeight="1" spans="1:16">
      <c r="A2890" s="32" t="str">
        <f t="shared" si="148"/>
        <v/>
      </c>
      <c r="B2890" s="100" t="str">
        <f>IF($E2890="","",INDEX(成本费用登记表!$B$4:$B$303,261))</f>
        <v/>
      </c>
      <c r="C2890" s="26" t="str">
        <f t="shared" si="145"/>
        <v/>
      </c>
      <c r="D2890" s="32" t="str">
        <f>IF($E2890="","",INDEX(成本费用登记表!$E$4:$E$303,261))</f>
        <v/>
      </c>
      <c r="E2890" s="26" t="str">
        <f>IF(INDEX(成本费用登记表!$Q$4:$Y$303,261,1)=0,"",INDEX(成本费用登记表!$Q$4:$Y$303,261,1))</f>
        <v/>
      </c>
      <c r="F2890" s="25" t="str">
        <f>IF($E2890="","",IFERROR(INDEX(科目表!$A$4:$A$81,MATCH($E2890,科目表!$B$4:$B$81,0)),""))</f>
        <v/>
      </c>
      <c r="G2890" s="26" t="str">
        <f>IF($E2890="","",IFERROR(INDEX(科目表!$E$4:$E$81,MATCH($E2890,科目表!$B$4:$B$81,0)),""))</f>
        <v/>
      </c>
      <c r="H2890" s="27" t="str">
        <f>IF($E2890="","",N(INDEX(成本费用登记表!$Q$4:$Y$303,261,2)))</f>
        <v/>
      </c>
      <c r="I2890" s="27" t="str">
        <f>IF($E2890="","",N(INDEX(成本费用登记表!$Q$4:$Y$303,261,3)))</f>
        <v/>
      </c>
      <c r="J2890" s="26" t="str">
        <f>IF($E2890="","",INDEX(成本费用登记表!$C$4:$C$303,261))</f>
        <v/>
      </c>
      <c r="K2890" s="26" t="str">
        <f>IF($E2890="","",INDEX(成本费用登记表!$D$4:$D$303,261))</f>
        <v/>
      </c>
      <c r="L2890" s="32" t="str">
        <f>IF($E2890="","",INDEX(成本费用登记表!$N$4:$N$303,261))</f>
        <v/>
      </c>
      <c r="M2890" s="32"/>
      <c r="N2890" s="26" t="str">
        <f t="shared" si="146"/>
        <v/>
      </c>
      <c r="O2890" s="26" t="str">
        <f t="shared" si="147"/>
        <v/>
      </c>
      <c r="P2890" s="10"/>
    </row>
    <row r="2891" ht="18" customHeight="1" spans="1:16">
      <c r="A2891" s="32" t="str">
        <f t="shared" si="148"/>
        <v/>
      </c>
      <c r="B2891" s="100" t="str">
        <f>IF($E2891="","",INDEX(成本费用登记表!$B$4:$B$303,261))</f>
        <v/>
      </c>
      <c r="C2891" s="26" t="str">
        <f t="shared" si="145"/>
        <v/>
      </c>
      <c r="D2891" s="32" t="str">
        <f>IF($E2891="","",INDEX(成本费用登记表!$E$4:$E$303,261))</f>
        <v/>
      </c>
      <c r="E2891" s="26" t="str">
        <f>IF(INDEX(成本费用登记表!$Q$4:$Y$303,261,4)=0,"",INDEX(成本费用登记表!$Q$4:$Y$303,261,4))</f>
        <v/>
      </c>
      <c r="F2891" s="25" t="str">
        <f>IF($E2891="","",IFERROR(INDEX(科目表!$A$4:$A$81,MATCH($E2891,科目表!$B$4:$B$81,0)),""))</f>
        <v/>
      </c>
      <c r="G2891" s="26" t="str">
        <f>IF($E2891="","",IFERROR(INDEX(科目表!$E$4:$E$81,MATCH($E2891,科目表!$B$4:$B$81,0)),""))</f>
        <v/>
      </c>
      <c r="H2891" s="27" t="str">
        <f>IF($E2891="","",N(INDEX(成本费用登记表!$Q$4:$Y$303,261,5)))</f>
        <v/>
      </c>
      <c r="I2891" s="27" t="str">
        <f>IF($E2891="","",N(INDEX(成本费用登记表!$Q$4:$Y$303,261,6)))</f>
        <v/>
      </c>
      <c r="J2891" s="26" t="str">
        <f>IF($E2891="","",INDEX(成本费用登记表!$C$4:$C$303,261))</f>
        <v/>
      </c>
      <c r="K2891" s="26" t="str">
        <f>IF($E2891="","",INDEX(成本费用登记表!$D$4:$D$303,261))</f>
        <v/>
      </c>
      <c r="L2891" s="32" t="str">
        <f>IF($E2891="","",INDEX(成本费用登记表!$N$4:$N$303,261))</f>
        <v/>
      </c>
      <c r="M2891" s="32"/>
      <c r="N2891" s="26" t="str">
        <f t="shared" si="146"/>
        <v/>
      </c>
      <c r="O2891" s="26" t="str">
        <f t="shared" si="147"/>
        <v/>
      </c>
      <c r="P2891" s="10"/>
    </row>
    <row r="2892" ht="18" customHeight="1" spans="1:16">
      <c r="A2892" s="32" t="str">
        <f t="shared" si="148"/>
        <v/>
      </c>
      <c r="B2892" s="100" t="str">
        <f>IF($E2892="","",INDEX(成本费用登记表!$B$4:$B$303,261))</f>
        <v/>
      </c>
      <c r="C2892" s="26" t="str">
        <f t="shared" si="145"/>
        <v/>
      </c>
      <c r="D2892" s="32" t="str">
        <f>IF($E2892="","",INDEX(成本费用登记表!$E$4:$E$303,261))</f>
        <v/>
      </c>
      <c r="E2892" s="26" t="str">
        <f>IF(INDEX(成本费用登记表!$Q$4:$Y$303,261,7)=0,"",INDEX(成本费用登记表!$Q$4:$Y$303,261,7))</f>
        <v/>
      </c>
      <c r="F2892" s="25" t="str">
        <f>IF($E2892="","",IFERROR(INDEX(科目表!$A$4:$A$81,MATCH($E2892,科目表!$B$4:$B$81,0)),""))</f>
        <v/>
      </c>
      <c r="G2892" s="26" t="str">
        <f>IF($E2892="","",IFERROR(INDEX(科目表!$E$4:$E$81,MATCH($E2892,科目表!$B$4:$B$81,0)),""))</f>
        <v/>
      </c>
      <c r="H2892" s="27" t="str">
        <f>IF($E2892="","",N(INDEX(成本费用登记表!$Q$4:$Y$303,261,8)))</f>
        <v/>
      </c>
      <c r="I2892" s="27" t="str">
        <f>IF($E2892="","",N(INDEX(成本费用登记表!$Q$4:$Y$303,261,9)))</f>
        <v/>
      </c>
      <c r="J2892" s="26" t="str">
        <f>IF($E2892="","",INDEX(成本费用登记表!$C$4:$C$303,261))</f>
        <v/>
      </c>
      <c r="K2892" s="26" t="str">
        <f>IF($E2892="","",INDEX(成本费用登记表!$D$4:$D$303,261))</f>
        <v/>
      </c>
      <c r="L2892" s="32" t="str">
        <f>IF($E2892="","",INDEX(成本费用登记表!$N$4:$N$303,261))</f>
        <v/>
      </c>
      <c r="M2892" s="32"/>
      <c r="N2892" s="26" t="str">
        <f t="shared" si="146"/>
        <v/>
      </c>
      <c r="O2892" s="26" t="str">
        <f t="shared" si="147"/>
        <v/>
      </c>
      <c r="P2892" s="10"/>
    </row>
    <row r="2893" ht="18" customHeight="1" spans="1:16">
      <c r="A2893" s="32" t="str">
        <f t="shared" si="148"/>
        <v/>
      </c>
      <c r="B2893" s="100" t="str">
        <f>IF($E2893="","",INDEX(成本费用登记表!$B$4:$B$303,262))</f>
        <v/>
      </c>
      <c r="C2893" s="26" t="str">
        <f t="shared" si="145"/>
        <v/>
      </c>
      <c r="D2893" s="32" t="str">
        <f>IF($E2893="","",INDEX(成本费用登记表!$E$4:$E$303,262))</f>
        <v/>
      </c>
      <c r="E2893" s="26" t="str">
        <f>IF(INDEX(成本费用登记表!$Q$4:$Y$303,262,1)=0,"",INDEX(成本费用登记表!$Q$4:$Y$303,262,1))</f>
        <v/>
      </c>
      <c r="F2893" s="25" t="str">
        <f>IF($E2893="","",IFERROR(INDEX(科目表!$A$4:$A$81,MATCH($E2893,科目表!$B$4:$B$81,0)),""))</f>
        <v/>
      </c>
      <c r="G2893" s="26" t="str">
        <f>IF($E2893="","",IFERROR(INDEX(科目表!$E$4:$E$81,MATCH($E2893,科目表!$B$4:$B$81,0)),""))</f>
        <v/>
      </c>
      <c r="H2893" s="27" t="str">
        <f>IF($E2893="","",N(INDEX(成本费用登记表!$Q$4:$Y$303,262,2)))</f>
        <v/>
      </c>
      <c r="I2893" s="27" t="str">
        <f>IF($E2893="","",N(INDEX(成本费用登记表!$Q$4:$Y$303,262,3)))</f>
        <v/>
      </c>
      <c r="J2893" s="26" t="str">
        <f>IF($E2893="","",INDEX(成本费用登记表!$C$4:$C$303,262))</f>
        <v/>
      </c>
      <c r="K2893" s="26" t="str">
        <f>IF($E2893="","",INDEX(成本费用登记表!$D$4:$D$303,262))</f>
        <v/>
      </c>
      <c r="L2893" s="32" t="str">
        <f>IF($E2893="","",INDEX(成本费用登记表!$N$4:$N$303,262))</f>
        <v/>
      </c>
      <c r="M2893" s="32"/>
      <c r="N2893" s="26" t="str">
        <f t="shared" si="146"/>
        <v/>
      </c>
      <c r="O2893" s="26" t="str">
        <f t="shared" si="147"/>
        <v/>
      </c>
      <c r="P2893" s="10"/>
    </row>
    <row r="2894" ht="18" customHeight="1" spans="1:16">
      <c r="A2894" s="32" t="str">
        <f t="shared" si="148"/>
        <v/>
      </c>
      <c r="B2894" s="100" t="str">
        <f>IF($E2894="","",INDEX(成本费用登记表!$B$4:$B$303,262))</f>
        <v/>
      </c>
      <c r="C2894" s="26" t="str">
        <f t="shared" si="145"/>
        <v/>
      </c>
      <c r="D2894" s="32" t="str">
        <f>IF($E2894="","",INDEX(成本费用登记表!$E$4:$E$303,262))</f>
        <v/>
      </c>
      <c r="E2894" s="26" t="str">
        <f>IF(INDEX(成本费用登记表!$Q$4:$Y$303,262,4)=0,"",INDEX(成本费用登记表!$Q$4:$Y$303,262,4))</f>
        <v/>
      </c>
      <c r="F2894" s="25" t="str">
        <f>IF($E2894="","",IFERROR(INDEX(科目表!$A$4:$A$81,MATCH($E2894,科目表!$B$4:$B$81,0)),""))</f>
        <v/>
      </c>
      <c r="G2894" s="26" t="str">
        <f>IF($E2894="","",IFERROR(INDEX(科目表!$E$4:$E$81,MATCH($E2894,科目表!$B$4:$B$81,0)),""))</f>
        <v/>
      </c>
      <c r="H2894" s="27" t="str">
        <f>IF($E2894="","",N(INDEX(成本费用登记表!$Q$4:$Y$303,262,5)))</f>
        <v/>
      </c>
      <c r="I2894" s="27" t="str">
        <f>IF($E2894="","",N(INDEX(成本费用登记表!$Q$4:$Y$303,262,6)))</f>
        <v/>
      </c>
      <c r="J2894" s="26" t="str">
        <f>IF($E2894="","",INDEX(成本费用登记表!$C$4:$C$303,262))</f>
        <v/>
      </c>
      <c r="K2894" s="26" t="str">
        <f>IF($E2894="","",INDEX(成本费用登记表!$D$4:$D$303,262))</f>
        <v/>
      </c>
      <c r="L2894" s="32" t="str">
        <f>IF($E2894="","",INDEX(成本费用登记表!$N$4:$N$303,262))</f>
        <v/>
      </c>
      <c r="M2894" s="32"/>
      <c r="N2894" s="26" t="str">
        <f t="shared" si="146"/>
        <v/>
      </c>
      <c r="O2894" s="26" t="str">
        <f t="shared" si="147"/>
        <v/>
      </c>
      <c r="P2894" s="10"/>
    </row>
    <row r="2895" ht="18" customHeight="1" spans="1:16">
      <c r="A2895" s="32" t="str">
        <f t="shared" si="148"/>
        <v/>
      </c>
      <c r="B2895" s="100" t="str">
        <f>IF($E2895="","",INDEX(成本费用登记表!$B$4:$B$303,262))</f>
        <v/>
      </c>
      <c r="C2895" s="26" t="str">
        <f t="shared" si="145"/>
        <v/>
      </c>
      <c r="D2895" s="32" t="str">
        <f>IF($E2895="","",INDEX(成本费用登记表!$E$4:$E$303,262))</f>
        <v/>
      </c>
      <c r="E2895" s="26" t="str">
        <f>IF(INDEX(成本费用登记表!$Q$4:$Y$303,262,7)=0,"",INDEX(成本费用登记表!$Q$4:$Y$303,262,7))</f>
        <v/>
      </c>
      <c r="F2895" s="25" t="str">
        <f>IF($E2895="","",IFERROR(INDEX(科目表!$A$4:$A$81,MATCH($E2895,科目表!$B$4:$B$81,0)),""))</f>
        <v/>
      </c>
      <c r="G2895" s="26" t="str">
        <f>IF($E2895="","",IFERROR(INDEX(科目表!$E$4:$E$81,MATCH($E2895,科目表!$B$4:$B$81,0)),""))</f>
        <v/>
      </c>
      <c r="H2895" s="27" t="str">
        <f>IF($E2895="","",N(INDEX(成本费用登记表!$Q$4:$Y$303,262,8)))</f>
        <v/>
      </c>
      <c r="I2895" s="27" t="str">
        <f>IF($E2895="","",N(INDEX(成本费用登记表!$Q$4:$Y$303,262,9)))</f>
        <v/>
      </c>
      <c r="J2895" s="26" t="str">
        <f>IF($E2895="","",INDEX(成本费用登记表!$C$4:$C$303,262))</f>
        <v/>
      </c>
      <c r="K2895" s="26" t="str">
        <f>IF($E2895="","",INDEX(成本费用登记表!$D$4:$D$303,262))</f>
        <v/>
      </c>
      <c r="L2895" s="32" t="str">
        <f>IF($E2895="","",INDEX(成本费用登记表!$N$4:$N$303,262))</f>
        <v/>
      </c>
      <c r="M2895" s="32"/>
      <c r="N2895" s="26" t="str">
        <f t="shared" si="146"/>
        <v/>
      </c>
      <c r="O2895" s="26" t="str">
        <f t="shared" si="147"/>
        <v/>
      </c>
      <c r="P2895" s="10"/>
    </row>
    <row r="2896" ht="18" customHeight="1" spans="1:16">
      <c r="A2896" s="32" t="str">
        <f t="shared" si="148"/>
        <v/>
      </c>
      <c r="B2896" s="100" t="str">
        <f>IF($E2896="","",INDEX(成本费用登记表!$B$4:$B$303,263))</f>
        <v/>
      </c>
      <c r="C2896" s="26" t="str">
        <f t="shared" si="145"/>
        <v/>
      </c>
      <c r="D2896" s="32" t="str">
        <f>IF($E2896="","",INDEX(成本费用登记表!$E$4:$E$303,263))</f>
        <v/>
      </c>
      <c r="E2896" s="26" t="str">
        <f>IF(INDEX(成本费用登记表!$Q$4:$Y$303,263,1)=0,"",INDEX(成本费用登记表!$Q$4:$Y$303,263,1))</f>
        <v/>
      </c>
      <c r="F2896" s="25" t="str">
        <f>IF($E2896="","",IFERROR(INDEX(科目表!$A$4:$A$81,MATCH($E2896,科目表!$B$4:$B$81,0)),""))</f>
        <v/>
      </c>
      <c r="G2896" s="26" t="str">
        <f>IF($E2896="","",IFERROR(INDEX(科目表!$E$4:$E$81,MATCH($E2896,科目表!$B$4:$B$81,0)),""))</f>
        <v/>
      </c>
      <c r="H2896" s="27" t="str">
        <f>IF($E2896="","",N(INDEX(成本费用登记表!$Q$4:$Y$303,263,2)))</f>
        <v/>
      </c>
      <c r="I2896" s="27" t="str">
        <f>IF($E2896="","",N(INDEX(成本费用登记表!$Q$4:$Y$303,263,3)))</f>
        <v/>
      </c>
      <c r="J2896" s="26" t="str">
        <f>IF($E2896="","",INDEX(成本费用登记表!$C$4:$C$303,263))</f>
        <v/>
      </c>
      <c r="K2896" s="26" t="str">
        <f>IF($E2896="","",INDEX(成本费用登记表!$D$4:$D$303,263))</f>
        <v/>
      </c>
      <c r="L2896" s="32" t="str">
        <f>IF($E2896="","",INDEX(成本费用登记表!$N$4:$N$303,263))</f>
        <v/>
      </c>
      <c r="M2896" s="32"/>
      <c r="N2896" s="26" t="str">
        <f t="shared" si="146"/>
        <v/>
      </c>
      <c r="O2896" s="26" t="str">
        <f t="shared" si="147"/>
        <v/>
      </c>
      <c r="P2896" s="10"/>
    </row>
    <row r="2897" ht="18" customHeight="1" spans="1:16">
      <c r="A2897" s="32" t="str">
        <f t="shared" si="148"/>
        <v/>
      </c>
      <c r="B2897" s="100" t="str">
        <f>IF($E2897="","",INDEX(成本费用登记表!$B$4:$B$303,263))</f>
        <v/>
      </c>
      <c r="C2897" s="26" t="str">
        <f t="shared" si="145"/>
        <v/>
      </c>
      <c r="D2897" s="32" t="str">
        <f>IF($E2897="","",INDEX(成本费用登记表!$E$4:$E$303,263))</f>
        <v/>
      </c>
      <c r="E2897" s="26" t="str">
        <f>IF(INDEX(成本费用登记表!$Q$4:$Y$303,263,4)=0,"",INDEX(成本费用登记表!$Q$4:$Y$303,263,4))</f>
        <v/>
      </c>
      <c r="F2897" s="25" t="str">
        <f>IF($E2897="","",IFERROR(INDEX(科目表!$A$4:$A$81,MATCH($E2897,科目表!$B$4:$B$81,0)),""))</f>
        <v/>
      </c>
      <c r="G2897" s="26" t="str">
        <f>IF($E2897="","",IFERROR(INDEX(科目表!$E$4:$E$81,MATCH($E2897,科目表!$B$4:$B$81,0)),""))</f>
        <v/>
      </c>
      <c r="H2897" s="27" t="str">
        <f>IF($E2897="","",N(INDEX(成本费用登记表!$Q$4:$Y$303,263,5)))</f>
        <v/>
      </c>
      <c r="I2897" s="27" t="str">
        <f>IF($E2897="","",N(INDEX(成本费用登记表!$Q$4:$Y$303,263,6)))</f>
        <v/>
      </c>
      <c r="J2897" s="26" t="str">
        <f>IF($E2897="","",INDEX(成本费用登记表!$C$4:$C$303,263))</f>
        <v/>
      </c>
      <c r="K2897" s="26" t="str">
        <f>IF($E2897="","",INDEX(成本费用登记表!$D$4:$D$303,263))</f>
        <v/>
      </c>
      <c r="L2897" s="32" t="str">
        <f>IF($E2897="","",INDEX(成本费用登记表!$N$4:$N$303,263))</f>
        <v/>
      </c>
      <c r="M2897" s="32"/>
      <c r="N2897" s="26" t="str">
        <f t="shared" si="146"/>
        <v/>
      </c>
      <c r="O2897" s="26" t="str">
        <f t="shared" si="147"/>
        <v/>
      </c>
      <c r="P2897" s="10"/>
    </row>
    <row r="2898" ht="18" customHeight="1" spans="1:16">
      <c r="A2898" s="32" t="str">
        <f t="shared" si="148"/>
        <v/>
      </c>
      <c r="B2898" s="100" t="str">
        <f>IF($E2898="","",INDEX(成本费用登记表!$B$4:$B$303,263))</f>
        <v/>
      </c>
      <c r="C2898" s="26" t="str">
        <f t="shared" si="145"/>
        <v/>
      </c>
      <c r="D2898" s="32" t="str">
        <f>IF($E2898="","",INDEX(成本费用登记表!$E$4:$E$303,263))</f>
        <v/>
      </c>
      <c r="E2898" s="26" t="str">
        <f>IF(INDEX(成本费用登记表!$Q$4:$Y$303,263,7)=0,"",INDEX(成本费用登记表!$Q$4:$Y$303,263,7))</f>
        <v/>
      </c>
      <c r="F2898" s="25" t="str">
        <f>IF($E2898="","",IFERROR(INDEX(科目表!$A$4:$A$81,MATCH($E2898,科目表!$B$4:$B$81,0)),""))</f>
        <v/>
      </c>
      <c r="G2898" s="26" t="str">
        <f>IF($E2898="","",IFERROR(INDEX(科目表!$E$4:$E$81,MATCH($E2898,科目表!$B$4:$B$81,0)),""))</f>
        <v/>
      </c>
      <c r="H2898" s="27" t="str">
        <f>IF($E2898="","",N(INDEX(成本费用登记表!$Q$4:$Y$303,263,8)))</f>
        <v/>
      </c>
      <c r="I2898" s="27" t="str">
        <f>IF($E2898="","",N(INDEX(成本费用登记表!$Q$4:$Y$303,263,9)))</f>
        <v/>
      </c>
      <c r="J2898" s="26" t="str">
        <f>IF($E2898="","",INDEX(成本费用登记表!$C$4:$C$303,263))</f>
        <v/>
      </c>
      <c r="K2898" s="26" t="str">
        <f>IF($E2898="","",INDEX(成本费用登记表!$D$4:$D$303,263))</f>
        <v/>
      </c>
      <c r="L2898" s="32" t="str">
        <f>IF($E2898="","",INDEX(成本费用登记表!$N$4:$N$303,263))</f>
        <v/>
      </c>
      <c r="M2898" s="32"/>
      <c r="N2898" s="26" t="str">
        <f t="shared" si="146"/>
        <v/>
      </c>
      <c r="O2898" s="26" t="str">
        <f t="shared" si="147"/>
        <v/>
      </c>
      <c r="P2898" s="10"/>
    </row>
    <row r="2899" ht="18" customHeight="1" spans="1:16">
      <c r="A2899" s="32" t="str">
        <f t="shared" si="148"/>
        <v/>
      </c>
      <c r="B2899" s="100" t="str">
        <f>IF($E2899="","",INDEX(成本费用登记表!$B$4:$B$303,264))</f>
        <v/>
      </c>
      <c r="C2899" s="26" t="str">
        <f t="shared" si="145"/>
        <v/>
      </c>
      <c r="D2899" s="32" t="str">
        <f>IF($E2899="","",INDEX(成本费用登记表!$E$4:$E$303,264))</f>
        <v/>
      </c>
      <c r="E2899" s="26" t="str">
        <f>IF(INDEX(成本费用登记表!$Q$4:$Y$303,264,1)=0,"",INDEX(成本费用登记表!$Q$4:$Y$303,264,1))</f>
        <v/>
      </c>
      <c r="F2899" s="25" t="str">
        <f>IF($E2899="","",IFERROR(INDEX(科目表!$A$4:$A$81,MATCH($E2899,科目表!$B$4:$B$81,0)),""))</f>
        <v/>
      </c>
      <c r="G2899" s="26" t="str">
        <f>IF($E2899="","",IFERROR(INDEX(科目表!$E$4:$E$81,MATCH($E2899,科目表!$B$4:$B$81,0)),""))</f>
        <v/>
      </c>
      <c r="H2899" s="27" t="str">
        <f>IF($E2899="","",N(INDEX(成本费用登记表!$Q$4:$Y$303,264,2)))</f>
        <v/>
      </c>
      <c r="I2899" s="27" t="str">
        <f>IF($E2899="","",N(INDEX(成本费用登记表!$Q$4:$Y$303,264,3)))</f>
        <v/>
      </c>
      <c r="J2899" s="26" t="str">
        <f>IF($E2899="","",INDEX(成本费用登记表!$C$4:$C$303,264))</f>
        <v/>
      </c>
      <c r="K2899" s="26" t="str">
        <f>IF($E2899="","",INDEX(成本费用登记表!$D$4:$D$303,264))</f>
        <v/>
      </c>
      <c r="L2899" s="32" t="str">
        <f>IF($E2899="","",INDEX(成本费用登记表!$N$4:$N$303,264))</f>
        <v/>
      </c>
      <c r="M2899" s="32"/>
      <c r="N2899" s="26" t="str">
        <f t="shared" si="146"/>
        <v/>
      </c>
      <c r="O2899" s="26" t="str">
        <f t="shared" si="147"/>
        <v/>
      </c>
      <c r="P2899" s="10"/>
    </row>
    <row r="2900" ht="18" customHeight="1" spans="1:16">
      <c r="A2900" s="32" t="str">
        <f t="shared" si="148"/>
        <v/>
      </c>
      <c r="B2900" s="100" t="str">
        <f>IF($E2900="","",INDEX(成本费用登记表!$B$4:$B$303,264))</f>
        <v/>
      </c>
      <c r="C2900" s="26" t="str">
        <f t="shared" si="145"/>
        <v/>
      </c>
      <c r="D2900" s="32" t="str">
        <f>IF($E2900="","",INDEX(成本费用登记表!$E$4:$E$303,264))</f>
        <v/>
      </c>
      <c r="E2900" s="26" t="str">
        <f>IF(INDEX(成本费用登记表!$Q$4:$Y$303,264,4)=0,"",INDEX(成本费用登记表!$Q$4:$Y$303,264,4))</f>
        <v/>
      </c>
      <c r="F2900" s="25" t="str">
        <f>IF($E2900="","",IFERROR(INDEX(科目表!$A$4:$A$81,MATCH($E2900,科目表!$B$4:$B$81,0)),""))</f>
        <v/>
      </c>
      <c r="G2900" s="26" t="str">
        <f>IF($E2900="","",IFERROR(INDEX(科目表!$E$4:$E$81,MATCH($E2900,科目表!$B$4:$B$81,0)),""))</f>
        <v/>
      </c>
      <c r="H2900" s="27" t="str">
        <f>IF($E2900="","",N(INDEX(成本费用登记表!$Q$4:$Y$303,264,5)))</f>
        <v/>
      </c>
      <c r="I2900" s="27" t="str">
        <f>IF($E2900="","",N(INDEX(成本费用登记表!$Q$4:$Y$303,264,6)))</f>
        <v/>
      </c>
      <c r="J2900" s="26" t="str">
        <f>IF($E2900="","",INDEX(成本费用登记表!$C$4:$C$303,264))</f>
        <v/>
      </c>
      <c r="K2900" s="26" t="str">
        <f>IF($E2900="","",INDEX(成本费用登记表!$D$4:$D$303,264))</f>
        <v/>
      </c>
      <c r="L2900" s="32" t="str">
        <f>IF($E2900="","",INDEX(成本费用登记表!$N$4:$N$303,264))</f>
        <v/>
      </c>
      <c r="M2900" s="32"/>
      <c r="N2900" s="26" t="str">
        <f t="shared" si="146"/>
        <v/>
      </c>
      <c r="O2900" s="26" t="str">
        <f t="shared" si="147"/>
        <v/>
      </c>
      <c r="P2900" s="10"/>
    </row>
    <row r="2901" ht="18" customHeight="1" spans="1:16">
      <c r="A2901" s="32" t="str">
        <f t="shared" si="148"/>
        <v/>
      </c>
      <c r="B2901" s="100" t="str">
        <f>IF($E2901="","",INDEX(成本费用登记表!$B$4:$B$303,264))</f>
        <v/>
      </c>
      <c r="C2901" s="26" t="str">
        <f t="shared" si="145"/>
        <v/>
      </c>
      <c r="D2901" s="32" t="str">
        <f>IF($E2901="","",INDEX(成本费用登记表!$E$4:$E$303,264))</f>
        <v/>
      </c>
      <c r="E2901" s="26" t="str">
        <f>IF(INDEX(成本费用登记表!$Q$4:$Y$303,264,7)=0,"",INDEX(成本费用登记表!$Q$4:$Y$303,264,7))</f>
        <v/>
      </c>
      <c r="F2901" s="25" t="str">
        <f>IF($E2901="","",IFERROR(INDEX(科目表!$A$4:$A$81,MATCH($E2901,科目表!$B$4:$B$81,0)),""))</f>
        <v/>
      </c>
      <c r="G2901" s="26" t="str">
        <f>IF($E2901="","",IFERROR(INDEX(科目表!$E$4:$E$81,MATCH($E2901,科目表!$B$4:$B$81,0)),""))</f>
        <v/>
      </c>
      <c r="H2901" s="27" t="str">
        <f>IF($E2901="","",N(INDEX(成本费用登记表!$Q$4:$Y$303,264,8)))</f>
        <v/>
      </c>
      <c r="I2901" s="27" t="str">
        <f>IF($E2901="","",N(INDEX(成本费用登记表!$Q$4:$Y$303,264,9)))</f>
        <v/>
      </c>
      <c r="J2901" s="26" t="str">
        <f>IF($E2901="","",INDEX(成本费用登记表!$C$4:$C$303,264))</f>
        <v/>
      </c>
      <c r="K2901" s="26" t="str">
        <f>IF($E2901="","",INDEX(成本费用登记表!$D$4:$D$303,264))</f>
        <v/>
      </c>
      <c r="L2901" s="32" t="str">
        <f>IF($E2901="","",INDEX(成本费用登记表!$N$4:$N$303,264))</f>
        <v/>
      </c>
      <c r="M2901" s="32"/>
      <c r="N2901" s="26" t="str">
        <f t="shared" si="146"/>
        <v/>
      </c>
      <c r="O2901" s="26" t="str">
        <f t="shared" si="147"/>
        <v/>
      </c>
      <c r="P2901" s="10"/>
    </row>
    <row r="2902" ht="18" customHeight="1" spans="1:16">
      <c r="A2902" s="32" t="str">
        <f t="shared" si="148"/>
        <v/>
      </c>
      <c r="B2902" s="100" t="str">
        <f>IF($E2902="","",INDEX(成本费用登记表!$B$4:$B$303,265))</f>
        <v/>
      </c>
      <c r="C2902" s="26" t="str">
        <f t="shared" si="145"/>
        <v/>
      </c>
      <c r="D2902" s="32" t="str">
        <f>IF($E2902="","",INDEX(成本费用登记表!$E$4:$E$303,265))</f>
        <v/>
      </c>
      <c r="E2902" s="26" t="str">
        <f>IF(INDEX(成本费用登记表!$Q$4:$Y$303,265,1)=0,"",INDEX(成本费用登记表!$Q$4:$Y$303,265,1))</f>
        <v/>
      </c>
      <c r="F2902" s="25" t="str">
        <f>IF($E2902="","",IFERROR(INDEX(科目表!$A$4:$A$81,MATCH($E2902,科目表!$B$4:$B$81,0)),""))</f>
        <v/>
      </c>
      <c r="G2902" s="26" t="str">
        <f>IF($E2902="","",IFERROR(INDEX(科目表!$E$4:$E$81,MATCH($E2902,科目表!$B$4:$B$81,0)),""))</f>
        <v/>
      </c>
      <c r="H2902" s="27" t="str">
        <f>IF($E2902="","",N(INDEX(成本费用登记表!$Q$4:$Y$303,265,2)))</f>
        <v/>
      </c>
      <c r="I2902" s="27" t="str">
        <f>IF($E2902="","",N(INDEX(成本费用登记表!$Q$4:$Y$303,265,3)))</f>
        <v/>
      </c>
      <c r="J2902" s="26" t="str">
        <f>IF($E2902="","",INDEX(成本费用登记表!$C$4:$C$303,265))</f>
        <v/>
      </c>
      <c r="K2902" s="26" t="str">
        <f>IF($E2902="","",INDEX(成本费用登记表!$D$4:$D$303,265))</f>
        <v/>
      </c>
      <c r="L2902" s="32" t="str">
        <f>IF($E2902="","",INDEX(成本费用登记表!$N$4:$N$303,265))</f>
        <v/>
      </c>
      <c r="M2902" s="32"/>
      <c r="N2902" s="26" t="str">
        <f t="shared" si="146"/>
        <v/>
      </c>
      <c r="O2902" s="26" t="str">
        <f t="shared" si="147"/>
        <v/>
      </c>
      <c r="P2902" s="10"/>
    </row>
    <row r="2903" ht="18" customHeight="1" spans="1:16">
      <c r="A2903" s="32" t="str">
        <f t="shared" si="148"/>
        <v/>
      </c>
      <c r="B2903" s="100" t="str">
        <f>IF($E2903="","",INDEX(成本费用登记表!$B$4:$B$303,265))</f>
        <v/>
      </c>
      <c r="C2903" s="26" t="str">
        <f t="shared" si="145"/>
        <v/>
      </c>
      <c r="D2903" s="32" t="str">
        <f>IF($E2903="","",INDEX(成本费用登记表!$E$4:$E$303,265))</f>
        <v/>
      </c>
      <c r="E2903" s="26" t="str">
        <f>IF(INDEX(成本费用登记表!$Q$4:$Y$303,265,4)=0,"",INDEX(成本费用登记表!$Q$4:$Y$303,265,4))</f>
        <v/>
      </c>
      <c r="F2903" s="25" t="str">
        <f>IF($E2903="","",IFERROR(INDEX(科目表!$A$4:$A$81,MATCH($E2903,科目表!$B$4:$B$81,0)),""))</f>
        <v/>
      </c>
      <c r="G2903" s="26" t="str">
        <f>IF($E2903="","",IFERROR(INDEX(科目表!$E$4:$E$81,MATCH($E2903,科目表!$B$4:$B$81,0)),""))</f>
        <v/>
      </c>
      <c r="H2903" s="27" t="str">
        <f>IF($E2903="","",N(INDEX(成本费用登记表!$Q$4:$Y$303,265,5)))</f>
        <v/>
      </c>
      <c r="I2903" s="27" t="str">
        <f>IF($E2903="","",N(INDEX(成本费用登记表!$Q$4:$Y$303,265,6)))</f>
        <v/>
      </c>
      <c r="J2903" s="26" t="str">
        <f>IF($E2903="","",INDEX(成本费用登记表!$C$4:$C$303,265))</f>
        <v/>
      </c>
      <c r="K2903" s="26" t="str">
        <f>IF($E2903="","",INDEX(成本费用登记表!$D$4:$D$303,265))</f>
        <v/>
      </c>
      <c r="L2903" s="32" t="str">
        <f>IF($E2903="","",INDEX(成本费用登记表!$N$4:$N$303,265))</f>
        <v/>
      </c>
      <c r="M2903" s="32"/>
      <c r="N2903" s="26" t="str">
        <f t="shared" si="146"/>
        <v/>
      </c>
      <c r="O2903" s="26" t="str">
        <f t="shared" si="147"/>
        <v/>
      </c>
      <c r="P2903" s="10"/>
    </row>
    <row r="2904" ht="18" customHeight="1" spans="1:16">
      <c r="A2904" s="32" t="str">
        <f t="shared" si="148"/>
        <v/>
      </c>
      <c r="B2904" s="100" t="str">
        <f>IF($E2904="","",INDEX(成本费用登记表!$B$4:$B$303,265))</f>
        <v/>
      </c>
      <c r="C2904" s="26" t="str">
        <f t="shared" si="145"/>
        <v/>
      </c>
      <c r="D2904" s="32" t="str">
        <f>IF($E2904="","",INDEX(成本费用登记表!$E$4:$E$303,265))</f>
        <v/>
      </c>
      <c r="E2904" s="26" t="str">
        <f>IF(INDEX(成本费用登记表!$Q$4:$Y$303,265,7)=0,"",INDEX(成本费用登记表!$Q$4:$Y$303,265,7))</f>
        <v/>
      </c>
      <c r="F2904" s="25" t="str">
        <f>IF($E2904="","",IFERROR(INDEX(科目表!$A$4:$A$81,MATCH($E2904,科目表!$B$4:$B$81,0)),""))</f>
        <v/>
      </c>
      <c r="G2904" s="26" t="str">
        <f>IF($E2904="","",IFERROR(INDEX(科目表!$E$4:$E$81,MATCH($E2904,科目表!$B$4:$B$81,0)),""))</f>
        <v/>
      </c>
      <c r="H2904" s="27" t="str">
        <f>IF($E2904="","",N(INDEX(成本费用登记表!$Q$4:$Y$303,265,8)))</f>
        <v/>
      </c>
      <c r="I2904" s="27" t="str">
        <f>IF($E2904="","",N(INDEX(成本费用登记表!$Q$4:$Y$303,265,9)))</f>
        <v/>
      </c>
      <c r="J2904" s="26" t="str">
        <f>IF($E2904="","",INDEX(成本费用登记表!$C$4:$C$303,265))</f>
        <v/>
      </c>
      <c r="K2904" s="26" t="str">
        <f>IF($E2904="","",INDEX(成本费用登记表!$D$4:$D$303,265))</f>
        <v/>
      </c>
      <c r="L2904" s="32" t="str">
        <f>IF($E2904="","",INDEX(成本费用登记表!$N$4:$N$303,265))</f>
        <v/>
      </c>
      <c r="M2904" s="32"/>
      <c r="N2904" s="26" t="str">
        <f t="shared" si="146"/>
        <v/>
      </c>
      <c r="O2904" s="26" t="str">
        <f t="shared" si="147"/>
        <v/>
      </c>
      <c r="P2904" s="10"/>
    </row>
    <row r="2905" ht="18" customHeight="1" spans="1:16">
      <c r="A2905" s="32" t="str">
        <f t="shared" si="148"/>
        <v/>
      </c>
      <c r="B2905" s="100" t="str">
        <f>IF($E2905="","",INDEX(成本费用登记表!$B$4:$B$303,266))</f>
        <v/>
      </c>
      <c r="C2905" s="26" t="str">
        <f t="shared" si="145"/>
        <v/>
      </c>
      <c r="D2905" s="32" t="str">
        <f>IF($E2905="","",INDEX(成本费用登记表!$E$4:$E$303,266))</f>
        <v/>
      </c>
      <c r="E2905" s="26" t="str">
        <f>IF(INDEX(成本费用登记表!$Q$4:$Y$303,266,1)=0,"",INDEX(成本费用登记表!$Q$4:$Y$303,266,1))</f>
        <v/>
      </c>
      <c r="F2905" s="25" t="str">
        <f>IF($E2905="","",IFERROR(INDEX(科目表!$A$4:$A$81,MATCH($E2905,科目表!$B$4:$B$81,0)),""))</f>
        <v/>
      </c>
      <c r="G2905" s="26" t="str">
        <f>IF($E2905="","",IFERROR(INDEX(科目表!$E$4:$E$81,MATCH($E2905,科目表!$B$4:$B$81,0)),""))</f>
        <v/>
      </c>
      <c r="H2905" s="27" t="str">
        <f>IF($E2905="","",N(INDEX(成本费用登记表!$Q$4:$Y$303,266,2)))</f>
        <v/>
      </c>
      <c r="I2905" s="27" t="str">
        <f>IF($E2905="","",N(INDEX(成本费用登记表!$Q$4:$Y$303,266,3)))</f>
        <v/>
      </c>
      <c r="J2905" s="26" t="str">
        <f>IF($E2905="","",INDEX(成本费用登记表!$C$4:$C$303,266))</f>
        <v/>
      </c>
      <c r="K2905" s="26" t="str">
        <f>IF($E2905="","",INDEX(成本费用登记表!$D$4:$D$303,266))</f>
        <v/>
      </c>
      <c r="L2905" s="32" t="str">
        <f>IF($E2905="","",INDEX(成本费用登记表!$N$4:$N$303,266))</f>
        <v/>
      </c>
      <c r="M2905" s="32"/>
      <c r="N2905" s="26" t="str">
        <f t="shared" si="146"/>
        <v/>
      </c>
      <c r="O2905" s="26" t="str">
        <f t="shared" si="147"/>
        <v/>
      </c>
      <c r="P2905" s="10"/>
    </row>
    <row r="2906" ht="18" customHeight="1" spans="1:16">
      <c r="A2906" s="32" t="str">
        <f t="shared" si="148"/>
        <v/>
      </c>
      <c r="B2906" s="100" t="str">
        <f>IF($E2906="","",INDEX(成本费用登记表!$B$4:$B$303,266))</f>
        <v/>
      </c>
      <c r="C2906" s="26" t="str">
        <f t="shared" si="145"/>
        <v/>
      </c>
      <c r="D2906" s="32" t="str">
        <f>IF($E2906="","",INDEX(成本费用登记表!$E$4:$E$303,266))</f>
        <v/>
      </c>
      <c r="E2906" s="26" t="str">
        <f>IF(INDEX(成本费用登记表!$Q$4:$Y$303,266,4)=0,"",INDEX(成本费用登记表!$Q$4:$Y$303,266,4))</f>
        <v/>
      </c>
      <c r="F2906" s="25" t="str">
        <f>IF($E2906="","",IFERROR(INDEX(科目表!$A$4:$A$81,MATCH($E2906,科目表!$B$4:$B$81,0)),""))</f>
        <v/>
      </c>
      <c r="G2906" s="26" t="str">
        <f>IF($E2906="","",IFERROR(INDEX(科目表!$E$4:$E$81,MATCH($E2906,科目表!$B$4:$B$81,0)),""))</f>
        <v/>
      </c>
      <c r="H2906" s="27" t="str">
        <f>IF($E2906="","",N(INDEX(成本费用登记表!$Q$4:$Y$303,266,5)))</f>
        <v/>
      </c>
      <c r="I2906" s="27" t="str">
        <f>IF($E2906="","",N(INDEX(成本费用登记表!$Q$4:$Y$303,266,6)))</f>
        <v/>
      </c>
      <c r="J2906" s="26" t="str">
        <f>IF($E2906="","",INDEX(成本费用登记表!$C$4:$C$303,266))</f>
        <v/>
      </c>
      <c r="K2906" s="26" t="str">
        <f>IF($E2906="","",INDEX(成本费用登记表!$D$4:$D$303,266))</f>
        <v/>
      </c>
      <c r="L2906" s="32" t="str">
        <f>IF($E2906="","",INDEX(成本费用登记表!$N$4:$N$303,266))</f>
        <v/>
      </c>
      <c r="M2906" s="32"/>
      <c r="N2906" s="26" t="str">
        <f t="shared" si="146"/>
        <v/>
      </c>
      <c r="O2906" s="26" t="str">
        <f t="shared" si="147"/>
        <v/>
      </c>
      <c r="P2906" s="10"/>
    </row>
    <row r="2907" ht="18" customHeight="1" spans="1:16">
      <c r="A2907" s="32" t="str">
        <f t="shared" si="148"/>
        <v/>
      </c>
      <c r="B2907" s="100" t="str">
        <f>IF($E2907="","",INDEX(成本费用登记表!$B$4:$B$303,266))</f>
        <v/>
      </c>
      <c r="C2907" s="26" t="str">
        <f t="shared" si="145"/>
        <v/>
      </c>
      <c r="D2907" s="32" t="str">
        <f>IF($E2907="","",INDEX(成本费用登记表!$E$4:$E$303,266))</f>
        <v/>
      </c>
      <c r="E2907" s="26" t="str">
        <f>IF(INDEX(成本费用登记表!$Q$4:$Y$303,266,7)=0,"",INDEX(成本费用登记表!$Q$4:$Y$303,266,7))</f>
        <v/>
      </c>
      <c r="F2907" s="25" t="str">
        <f>IF($E2907="","",IFERROR(INDEX(科目表!$A$4:$A$81,MATCH($E2907,科目表!$B$4:$B$81,0)),""))</f>
        <v/>
      </c>
      <c r="G2907" s="26" t="str">
        <f>IF($E2907="","",IFERROR(INDEX(科目表!$E$4:$E$81,MATCH($E2907,科目表!$B$4:$B$81,0)),""))</f>
        <v/>
      </c>
      <c r="H2907" s="27" t="str">
        <f>IF($E2907="","",N(INDEX(成本费用登记表!$Q$4:$Y$303,266,8)))</f>
        <v/>
      </c>
      <c r="I2907" s="27" t="str">
        <f>IF($E2907="","",N(INDEX(成本费用登记表!$Q$4:$Y$303,266,9)))</f>
        <v/>
      </c>
      <c r="J2907" s="26" t="str">
        <f>IF($E2907="","",INDEX(成本费用登记表!$C$4:$C$303,266))</f>
        <v/>
      </c>
      <c r="K2907" s="26" t="str">
        <f>IF($E2907="","",INDEX(成本费用登记表!$D$4:$D$303,266))</f>
        <v/>
      </c>
      <c r="L2907" s="32" t="str">
        <f>IF($E2907="","",INDEX(成本费用登记表!$N$4:$N$303,266))</f>
        <v/>
      </c>
      <c r="M2907" s="32"/>
      <c r="N2907" s="26" t="str">
        <f t="shared" si="146"/>
        <v/>
      </c>
      <c r="O2907" s="26" t="str">
        <f t="shared" si="147"/>
        <v/>
      </c>
      <c r="P2907" s="10"/>
    </row>
    <row r="2908" ht="18" customHeight="1" spans="1:16">
      <c r="A2908" s="32" t="str">
        <f t="shared" si="148"/>
        <v/>
      </c>
      <c r="B2908" s="100" t="str">
        <f>IF($E2908="","",INDEX(成本费用登记表!$B$4:$B$303,267))</f>
        <v/>
      </c>
      <c r="C2908" s="26" t="str">
        <f t="shared" si="145"/>
        <v/>
      </c>
      <c r="D2908" s="32" t="str">
        <f>IF($E2908="","",INDEX(成本费用登记表!$E$4:$E$303,267))</f>
        <v/>
      </c>
      <c r="E2908" s="26" t="str">
        <f>IF(INDEX(成本费用登记表!$Q$4:$Y$303,267,1)=0,"",INDEX(成本费用登记表!$Q$4:$Y$303,267,1))</f>
        <v/>
      </c>
      <c r="F2908" s="25" t="str">
        <f>IF($E2908="","",IFERROR(INDEX(科目表!$A$4:$A$81,MATCH($E2908,科目表!$B$4:$B$81,0)),""))</f>
        <v/>
      </c>
      <c r="G2908" s="26" t="str">
        <f>IF($E2908="","",IFERROR(INDEX(科目表!$E$4:$E$81,MATCH($E2908,科目表!$B$4:$B$81,0)),""))</f>
        <v/>
      </c>
      <c r="H2908" s="27" t="str">
        <f>IF($E2908="","",N(INDEX(成本费用登记表!$Q$4:$Y$303,267,2)))</f>
        <v/>
      </c>
      <c r="I2908" s="27" t="str">
        <f>IF($E2908="","",N(INDEX(成本费用登记表!$Q$4:$Y$303,267,3)))</f>
        <v/>
      </c>
      <c r="J2908" s="26" t="str">
        <f>IF($E2908="","",INDEX(成本费用登记表!$C$4:$C$303,267))</f>
        <v/>
      </c>
      <c r="K2908" s="26" t="str">
        <f>IF($E2908="","",INDEX(成本费用登记表!$D$4:$D$303,267))</f>
        <v/>
      </c>
      <c r="L2908" s="32" t="str">
        <f>IF($E2908="","",INDEX(成本费用登记表!$N$4:$N$303,267))</f>
        <v/>
      </c>
      <c r="M2908" s="32"/>
      <c r="N2908" s="26" t="str">
        <f t="shared" si="146"/>
        <v/>
      </c>
      <c r="O2908" s="26" t="str">
        <f t="shared" si="147"/>
        <v/>
      </c>
      <c r="P2908" s="10"/>
    </row>
    <row r="2909" ht="18" customHeight="1" spans="1:16">
      <c r="A2909" s="32" t="str">
        <f t="shared" si="148"/>
        <v/>
      </c>
      <c r="B2909" s="100" t="str">
        <f>IF($E2909="","",INDEX(成本费用登记表!$B$4:$B$303,267))</f>
        <v/>
      </c>
      <c r="C2909" s="26" t="str">
        <f t="shared" si="145"/>
        <v/>
      </c>
      <c r="D2909" s="32" t="str">
        <f>IF($E2909="","",INDEX(成本费用登记表!$E$4:$E$303,267))</f>
        <v/>
      </c>
      <c r="E2909" s="26" t="str">
        <f>IF(INDEX(成本费用登记表!$Q$4:$Y$303,267,4)=0,"",INDEX(成本费用登记表!$Q$4:$Y$303,267,4))</f>
        <v/>
      </c>
      <c r="F2909" s="25" t="str">
        <f>IF($E2909="","",IFERROR(INDEX(科目表!$A$4:$A$81,MATCH($E2909,科目表!$B$4:$B$81,0)),""))</f>
        <v/>
      </c>
      <c r="G2909" s="26" t="str">
        <f>IF($E2909="","",IFERROR(INDEX(科目表!$E$4:$E$81,MATCH($E2909,科目表!$B$4:$B$81,0)),""))</f>
        <v/>
      </c>
      <c r="H2909" s="27" t="str">
        <f>IF($E2909="","",N(INDEX(成本费用登记表!$Q$4:$Y$303,267,5)))</f>
        <v/>
      </c>
      <c r="I2909" s="27" t="str">
        <f>IF($E2909="","",N(INDEX(成本费用登记表!$Q$4:$Y$303,267,6)))</f>
        <v/>
      </c>
      <c r="J2909" s="26" t="str">
        <f>IF($E2909="","",INDEX(成本费用登记表!$C$4:$C$303,267))</f>
        <v/>
      </c>
      <c r="K2909" s="26" t="str">
        <f>IF($E2909="","",INDEX(成本费用登记表!$D$4:$D$303,267))</f>
        <v/>
      </c>
      <c r="L2909" s="32" t="str">
        <f>IF($E2909="","",INDEX(成本费用登记表!$N$4:$N$303,267))</f>
        <v/>
      </c>
      <c r="M2909" s="32"/>
      <c r="N2909" s="26" t="str">
        <f t="shared" si="146"/>
        <v/>
      </c>
      <c r="O2909" s="26" t="str">
        <f t="shared" si="147"/>
        <v/>
      </c>
      <c r="P2909" s="10"/>
    </row>
    <row r="2910" ht="18" customHeight="1" spans="1:16">
      <c r="A2910" s="32" t="str">
        <f t="shared" si="148"/>
        <v/>
      </c>
      <c r="B2910" s="100" t="str">
        <f>IF($E2910="","",INDEX(成本费用登记表!$B$4:$B$303,267))</f>
        <v/>
      </c>
      <c r="C2910" s="26" t="str">
        <f t="shared" si="145"/>
        <v/>
      </c>
      <c r="D2910" s="32" t="str">
        <f>IF($E2910="","",INDEX(成本费用登记表!$E$4:$E$303,267))</f>
        <v/>
      </c>
      <c r="E2910" s="26" t="str">
        <f>IF(INDEX(成本费用登记表!$Q$4:$Y$303,267,7)=0,"",INDEX(成本费用登记表!$Q$4:$Y$303,267,7))</f>
        <v/>
      </c>
      <c r="F2910" s="25" t="str">
        <f>IF($E2910="","",IFERROR(INDEX(科目表!$A$4:$A$81,MATCH($E2910,科目表!$B$4:$B$81,0)),""))</f>
        <v/>
      </c>
      <c r="G2910" s="26" t="str">
        <f>IF($E2910="","",IFERROR(INDEX(科目表!$E$4:$E$81,MATCH($E2910,科目表!$B$4:$B$81,0)),""))</f>
        <v/>
      </c>
      <c r="H2910" s="27" t="str">
        <f>IF($E2910="","",N(INDEX(成本费用登记表!$Q$4:$Y$303,267,8)))</f>
        <v/>
      </c>
      <c r="I2910" s="27" t="str">
        <f>IF($E2910="","",N(INDEX(成本费用登记表!$Q$4:$Y$303,267,9)))</f>
        <v/>
      </c>
      <c r="J2910" s="26" t="str">
        <f>IF($E2910="","",INDEX(成本费用登记表!$C$4:$C$303,267))</f>
        <v/>
      </c>
      <c r="K2910" s="26" t="str">
        <f>IF($E2910="","",INDEX(成本费用登记表!$D$4:$D$303,267))</f>
        <v/>
      </c>
      <c r="L2910" s="32" t="str">
        <f>IF($E2910="","",INDEX(成本费用登记表!$N$4:$N$303,267))</f>
        <v/>
      </c>
      <c r="M2910" s="32"/>
      <c r="N2910" s="26" t="str">
        <f t="shared" si="146"/>
        <v/>
      </c>
      <c r="O2910" s="26" t="str">
        <f t="shared" si="147"/>
        <v/>
      </c>
      <c r="P2910" s="10"/>
    </row>
    <row r="2911" ht="18" customHeight="1" spans="1:16">
      <c r="A2911" s="32" t="str">
        <f t="shared" si="148"/>
        <v/>
      </c>
      <c r="B2911" s="100" t="str">
        <f>IF($E2911="","",INDEX(成本费用登记表!$B$4:$B$303,268))</f>
        <v/>
      </c>
      <c r="C2911" s="26" t="str">
        <f t="shared" si="145"/>
        <v/>
      </c>
      <c r="D2911" s="32" t="str">
        <f>IF($E2911="","",INDEX(成本费用登记表!$E$4:$E$303,268))</f>
        <v/>
      </c>
      <c r="E2911" s="26" t="str">
        <f>IF(INDEX(成本费用登记表!$Q$4:$Y$303,268,1)=0,"",INDEX(成本费用登记表!$Q$4:$Y$303,268,1))</f>
        <v/>
      </c>
      <c r="F2911" s="25" t="str">
        <f>IF($E2911="","",IFERROR(INDEX(科目表!$A$4:$A$81,MATCH($E2911,科目表!$B$4:$B$81,0)),""))</f>
        <v/>
      </c>
      <c r="G2911" s="26" t="str">
        <f>IF($E2911="","",IFERROR(INDEX(科目表!$E$4:$E$81,MATCH($E2911,科目表!$B$4:$B$81,0)),""))</f>
        <v/>
      </c>
      <c r="H2911" s="27" t="str">
        <f>IF($E2911="","",N(INDEX(成本费用登记表!$Q$4:$Y$303,268,2)))</f>
        <v/>
      </c>
      <c r="I2911" s="27" t="str">
        <f>IF($E2911="","",N(INDEX(成本费用登记表!$Q$4:$Y$303,268,3)))</f>
        <v/>
      </c>
      <c r="J2911" s="26" t="str">
        <f>IF($E2911="","",INDEX(成本费用登记表!$C$4:$C$303,268))</f>
        <v/>
      </c>
      <c r="K2911" s="26" t="str">
        <f>IF($E2911="","",INDEX(成本费用登记表!$D$4:$D$303,268))</f>
        <v/>
      </c>
      <c r="L2911" s="32" t="str">
        <f>IF($E2911="","",INDEX(成本费用登记表!$N$4:$N$303,268))</f>
        <v/>
      </c>
      <c r="M2911" s="32"/>
      <c r="N2911" s="26" t="str">
        <f t="shared" si="146"/>
        <v/>
      </c>
      <c r="O2911" s="26" t="str">
        <f t="shared" si="147"/>
        <v/>
      </c>
      <c r="P2911" s="10"/>
    </row>
    <row r="2912" ht="18" customHeight="1" spans="1:16">
      <c r="A2912" s="32" t="str">
        <f t="shared" si="148"/>
        <v/>
      </c>
      <c r="B2912" s="100" t="str">
        <f>IF($E2912="","",INDEX(成本费用登记表!$B$4:$B$303,268))</f>
        <v/>
      </c>
      <c r="C2912" s="26" t="str">
        <f t="shared" si="145"/>
        <v/>
      </c>
      <c r="D2912" s="32" t="str">
        <f>IF($E2912="","",INDEX(成本费用登记表!$E$4:$E$303,268))</f>
        <v/>
      </c>
      <c r="E2912" s="26" t="str">
        <f>IF(INDEX(成本费用登记表!$Q$4:$Y$303,268,4)=0,"",INDEX(成本费用登记表!$Q$4:$Y$303,268,4))</f>
        <v/>
      </c>
      <c r="F2912" s="25" t="str">
        <f>IF($E2912="","",IFERROR(INDEX(科目表!$A$4:$A$81,MATCH($E2912,科目表!$B$4:$B$81,0)),""))</f>
        <v/>
      </c>
      <c r="G2912" s="26" t="str">
        <f>IF($E2912="","",IFERROR(INDEX(科目表!$E$4:$E$81,MATCH($E2912,科目表!$B$4:$B$81,0)),""))</f>
        <v/>
      </c>
      <c r="H2912" s="27" t="str">
        <f>IF($E2912="","",N(INDEX(成本费用登记表!$Q$4:$Y$303,268,5)))</f>
        <v/>
      </c>
      <c r="I2912" s="27" t="str">
        <f>IF($E2912="","",N(INDEX(成本费用登记表!$Q$4:$Y$303,268,6)))</f>
        <v/>
      </c>
      <c r="J2912" s="26" t="str">
        <f>IF($E2912="","",INDEX(成本费用登记表!$C$4:$C$303,268))</f>
        <v/>
      </c>
      <c r="K2912" s="26" t="str">
        <f>IF($E2912="","",INDEX(成本费用登记表!$D$4:$D$303,268))</f>
        <v/>
      </c>
      <c r="L2912" s="32" t="str">
        <f>IF($E2912="","",INDEX(成本费用登记表!$N$4:$N$303,268))</f>
        <v/>
      </c>
      <c r="M2912" s="32"/>
      <c r="N2912" s="26" t="str">
        <f t="shared" si="146"/>
        <v/>
      </c>
      <c r="O2912" s="26" t="str">
        <f t="shared" si="147"/>
        <v/>
      </c>
      <c r="P2912" s="10"/>
    </row>
    <row r="2913" ht="18" customHeight="1" spans="1:16">
      <c r="A2913" s="32" t="str">
        <f t="shared" si="148"/>
        <v/>
      </c>
      <c r="B2913" s="100" t="str">
        <f>IF($E2913="","",INDEX(成本费用登记表!$B$4:$B$303,268))</f>
        <v/>
      </c>
      <c r="C2913" s="26" t="str">
        <f t="shared" si="145"/>
        <v/>
      </c>
      <c r="D2913" s="32" t="str">
        <f>IF($E2913="","",INDEX(成本费用登记表!$E$4:$E$303,268))</f>
        <v/>
      </c>
      <c r="E2913" s="26" t="str">
        <f>IF(INDEX(成本费用登记表!$Q$4:$Y$303,268,7)=0,"",INDEX(成本费用登记表!$Q$4:$Y$303,268,7))</f>
        <v/>
      </c>
      <c r="F2913" s="25" t="str">
        <f>IF($E2913="","",IFERROR(INDEX(科目表!$A$4:$A$81,MATCH($E2913,科目表!$B$4:$B$81,0)),""))</f>
        <v/>
      </c>
      <c r="G2913" s="26" t="str">
        <f>IF($E2913="","",IFERROR(INDEX(科目表!$E$4:$E$81,MATCH($E2913,科目表!$B$4:$B$81,0)),""))</f>
        <v/>
      </c>
      <c r="H2913" s="27" t="str">
        <f>IF($E2913="","",N(INDEX(成本费用登记表!$Q$4:$Y$303,268,8)))</f>
        <v/>
      </c>
      <c r="I2913" s="27" t="str">
        <f>IF($E2913="","",N(INDEX(成本费用登记表!$Q$4:$Y$303,268,9)))</f>
        <v/>
      </c>
      <c r="J2913" s="26" t="str">
        <f>IF($E2913="","",INDEX(成本费用登记表!$C$4:$C$303,268))</f>
        <v/>
      </c>
      <c r="K2913" s="26" t="str">
        <f>IF($E2913="","",INDEX(成本费用登记表!$D$4:$D$303,268))</f>
        <v/>
      </c>
      <c r="L2913" s="32" t="str">
        <f>IF($E2913="","",INDEX(成本费用登记表!$N$4:$N$303,268))</f>
        <v/>
      </c>
      <c r="M2913" s="32"/>
      <c r="N2913" s="26" t="str">
        <f t="shared" si="146"/>
        <v/>
      </c>
      <c r="O2913" s="26" t="str">
        <f t="shared" si="147"/>
        <v/>
      </c>
      <c r="P2913" s="10"/>
    </row>
    <row r="2914" ht="18" customHeight="1" spans="1:16">
      <c r="A2914" s="32" t="str">
        <f t="shared" si="148"/>
        <v/>
      </c>
      <c r="B2914" s="100" t="str">
        <f>IF($E2914="","",INDEX(成本费用登记表!$B$4:$B$303,269))</f>
        <v/>
      </c>
      <c r="C2914" s="26" t="str">
        <f t="shared" si="145"/>
        <v/>
      </c>
      <c r="D2914" s="32" t="str">
        <f>IF($E2914="","",INDEX(成本费用登记表!$E$4:$E$303,269))</f>
        <v/>
      </c>
      <c r="E2914" s="26" t="str">
        <f>IF(INDEX(成本费用登记表!$Q$4:$Y$303,269,1)=0,"",INDEX(成本费用登记表!$Q$4:$Y$303,269,1))</f>
        <v/>
      </c>
      <c r="F2914" s="25" t="str">
        <f>IF($E2914="","",IFERROR(INDEX(科目表!$A$4:$A$81,MATCH($E2914,科目表!$B$4:$B$81,0)),""))</f>
        <v/>
      </c>
      <c r="G2914" s="26" t="str">
        <f>IF($E2914="","",IFERROR(INDEX(科目表!$E$4:$E$81,MATCH($E2914,科目表!$B$4:$B$81,0)),""))</f>
        <v/>
      </c>
      <c r="H2914" s="27" t="str">
        <f>IF($E2914="","",N(INDEX(成本费用登记表!$Q$4:$Y$303,269,2)))</f>
        <v/>
      </c>
      <c r="I2914" s="27" t="str">
        <f>IF($E2914="","",N(INDEX(成本费用登记表!$Q$4:$Y$303,269,3)))</f>
        <v/>
      </c>
      <c r="J2914" s="26" t="str">
        <f>IF($E2914="","",INDEX(成本费用登记表!$C$4:$C$303,269))</f>
        <v/>
      </c>
      <c r="K2914" s="26" t="str">
        <f>IF($E2914="","",INDEX(成本费用登记表!$D$4:$D$303,269))</f>
        <v/>
      </c>
      <c r="L2914" s="32" t="str">
        <f>IF($E2914="","",INDEX(成本费用登记表!$N$4:$N$303,269))</f>
        <v/>
      </c>
      <c r="M2914" s="32"/>
      <c r="N2914" s="26" t="str">
        <f t="shared" si="146"/>
        <v/>
      </c>
      <c r="O2914" s="26" t="str">
        <f t="shared" si="147"/>
        <v/>
      </c>
      <c r="P2914" s="10"/>
    </row>
    <row r="2915" ht="18" customHeight="1" spans="1:16">
      <c r="A2915" s="32" t="str">
        <f t="shared" si="148"/>
        <v/>
      </c>
      <c r="B2915" s="100" t="str">
        <f>IF($E2915="","",INDEX(成本费用登记表!$B$4:$B$303,269))</f>
        <v/>
      </c>
      <c r="C2915" s="26" t="str">
        <f t="shared" si="145"/>
        <v/>
      </c>
      <c r="D2915" s="32" t="str">
        <f>IF($E2915="","",INDEX(成本费用登记表!$E$4:$E$303,269))</f>
        <v/>
      </c>
      <c r="E2915" s="26" t="str">
        <f>IF(INDEX(成本费用登记表!$Q$4:$Y$303,269,4)=0,"",INDEX(成本费用登记表!$Q$4:$Y$303,269,4))</f>
        <v/>
      </c>
      <c r="F2915" s="25" t="str">
        <f>IF($E2915="","",IFERROR(INDEX(科目表!$A$4:$A$81,MATCH($E2915,科目表!$B$4:$B$81,0)),""))</f>
        <v/>
      </c>
      <c r="G2915" s="26" t="str">
        <f>IF($E2915="","",IFERROR(INDEX(科目表!$E$4:$E$81,MATCH($E2915,科目表!$B$4:$B$81,0)),""))</f>
        <v/>
      </c>
      <c r="H2915" s="27" t="str">
        <f>IF($E2915="","",N(INDEX(成本费用登记表!$Q$4:$Y$303,269,5)))</f>
        <v/>
      </c>
      <c r="I2915" s="27" t="str">
        <f>IF($E2915="","",N(INDEX(成本费用登记表!$Q$4:$Y$303,269,6)))</f>
        <v/>
      </c>
      <c r="J2915" s="26" t="str">
        <f>IF($E2915="","",INDEX(成本费用登记表!$C$4:$C$303,269))</f>
        <v/>
      </c>
      <c r="K2915" s="26" t="str">
        <f>IF($E2915="","",INDEX(成本费用登记表!$D$4:$D$303,269))</f>
        <v/>
      </c>
      <c r="L2915" s="32" t="str">
        <f>IF($E2915="","",INDEX(成本费用登记表!$N$4:$N$303,269))</f>
        <v/>
      </c>
      <c r="M2915" s="32"/>
      <c r="N2915" s="26" t="str">
        <f t="shared" si="146"/>
        <v/>
      </c>
      <c r="O2915" s="26" t="str">
        <f t="shared" si="147"/>
        <v/>
      </c>
      <c r="P2915" s="10"/>
    </row>
    <row r="2916" ht="18" customHeight="1" spans="1:16">
      <c r="A2916" s="32" t="str">
        <f t="shared" si="148"/>
        <v/>
      </c>
      <c r="B2916" s="100" t="str">
        <f>IF($E2916="","",INDEX(成本费用登记表!$B$4:$B$303,269))</f>
        <v/>
      </c>
      <c r="C2916" s="26" t="str">
        <f t="shared" si="145"/>
        <v/>
      </c>
      <c r="D2916" s="32" t="str">
        <f>IF($E2916="","",INDEX(成本费用登记表!$E$4:$E$303,269))</f>
        <v/>
      </c>
      <c r="E2916" s="26" t="str">
        <f>IF(INDEX(成本费用登记表!$Q$4:$Y$303,269,7)=0,"",INDEX(成本费用登记表!$Q$4:$Y$303,269,7))</f>
        <v/>
      </c>
      <c r="F2916" s="25" t="str">
        <f>IF($E2916="","",IFERROR(INDEX(科目表!$A$4:$A$81,MATCH($E2916,科目表!$B$4:$B$81,0)),""))</f>
        <v/>
      </c>
      <c r="G2916" s="26" t="str">
        <f>IF($E2916="","",IFERROR(INDEX(科目表!$E$4:$E$81,MATCH($E2916,科目表!$B$4:$B$81,0)),""))</f>
        <v/>
      </c>
      <c r="H2916" s="27" t="str">
        <f>IF($E2916="","",N(INDEX(成本费用登记表!$Q$4:$Y$303,269,8)))</f>
        <v/>
      </c>
      <c r="I2916" s="27" t="str">
        <f>IF($E2916="","",N(INDEX(成本费用登记表!$Q$4:$Y$303,269,9)))</f>
        <v/>
      </c>
      <c r="J2916" s="26" t="str">
        <f>IF($E2916="","",INDEX(成本费用登记表!$C$4:$C$303,269))</f>
        <v/>
      </c>
      <c r="K2916" s="26" t="str">
        <f>IF($E2916="","",INDEX(成本费用登记表!$D$4:$D$303,269))</f>
        <v/>
      </c>
      <c r="L2916" s="32" t="str">
        <f>IF($E2916="","",INDEX(成本费用登记表!$N$4:$N$303,269))</f>
        <v/>
      </c>
      <c r="M2916" s="32"/>
      <c r="N2916" s="26" t="str">
        <f t="shared" si="146"/>
        <v/>
      </c>
      <c r="O2916" s="26" t="str">
        <f t="shared" si="147"/>
        <v/>
      </c>
      <c r="P2916" s="10"/>
    </row>
    <row r="2917" ht="18" customHeight="1" spans="1:16">
      <c r="A2917" s="32" t="str">
        <f t="shared" si="148"/>
        <v/>
      </c>
      <c r="B2917" s="100" t="str">
        <f>IF($E2917="","",INDEX(成本费用登记表!$B$4:$B$303,270))</f>
        <v/>
      </c>
      <c r="C2917" s="26" t="str">
        <f t="shared" si="145"/>
        <v/>
      </c>
      <c r="D2917" s="32" t="str">
        <f>IF($E2917="","",INDEX(成本费用登记表!$E$4:$E$303,270))</f>
        <v/>
      </c>
      <c r="E2917" s="26" t="str">
        <f>IF(INDEX(成本费用登记表!$Q$4:$Y$303,270,1)=0,"",INDEX(成本费用登记表!$Q$4:$Y$303,270,1))</f>
        <v/>
      </c>
      <c r="F2917" s="25" t="str">
        <f>IF($E2917="","",IFERROR(INDEX(科目表!$A$4:$A$81,MATCH($E2917,科目表!$B$4:$B$81,0)),""))</f>
        <v/>
      </c>
      <c r="G2917" s="26" t="str">
        <f>IF($E2917="","",IFERROR(INDEX(科目表!$E$4:$E$81,MATCH($E2917,科目表!$B$4:$B$81,0)),""))</f>
        <v/>
      </c>
      <c r="H2917" s="27" t="str">
        <f>IF($E2917="","",N(INDEX(成本费用登记表!$Q$4:$Y$303,270,2)))</f>
        <v/>
      </c>
      <c r="I2917" s="27" t="str">
        <f>IF($E2917="","",N(INDEX(成本费用登记表!$Q$4:$Y$303,270,3)))</f>
        <v/>
      </c>
      <c r="J2917" s="26" t="str">
        <f>IF($E2917="","",INDEX(成本费用登记表!$C$4:$C$303,270))</f>
        <v/>
      </c>
      <c r="K2917" s="26" t="str">
        <f>IF($E2917="","",INDEX(成本费用登记表!$D$4:$D$303,270))</f>
        <v/>
      </c>
      <c r="L2917" s="32" t="str">
        <f>IF($E2917="","",INDEX(成本费用登记表!$N$4:$N$303,270))</f>
        <v/>
      </c>
      <c r="M2917" s="32"/>
      <c r="N2917" s="26" t="str">
        <f t="shared" si="146"/>
        <v/>
      </c>
      <c r="O2917" s="26" t="str">
        <f t="shared" si="147"/>
        <v/>
      </c>
      <c r="P2917" s="10"/>
    </row>
    <row r="2918" ht="18" customHeight="1" spans="1:16">
      <c r="A2918" s="32" t="str">
        <f t="shared" si="148"/>
        <v/>
      </c>
      <c r="B2918" s="100" t="str">
        <f>IF($E2918="","",INDEX(成本费用登记表!$B$4:$B$303,270))</f>
        <v/>
      </c>
      <c r="C2918" s="26" t="str">
        <f t="shared" si="145"/>
        <v/>
      </c>
      <c r="D2918" s="32" t="str">
        <f>IF($E2918="","",INDEX(成本费用登记表!$E$4:$E$303,270))</f>
        <v/>
      </c>
      <c r="E2918" s="26" t="str">
        <f>IF(INDEX(成本费用登记表!$Q$4:$Y$303,270,4)=0,"",INDEX(成本费用登记表!$Q$4:$Y$303,270,4))</f>
        <v/>
      </c>
      <c r="F2918" s="25" t="str">
        <f>IF($E2918="","",IFERROR(INDEX(科目表!$A$4:$A$81,MATCH($E2918,科目表!$B$4:$B$81,0)),""))</f>
        <v/>
      </c>
      <c r="G2918" s="26" t="str">
        <f>IF($E2918="","",IFERROR(INDEX(科目表!$E$4:$E$81,MATCH($E2918,科目表!$B$4:$B$81,0)),""))</f>
        <v/>
      </c>
      <c r="H2918" s="27" t="str">
        <f>IF($E2918="","",N(INDEX(成本费用登记表!$Q$4:$Y$303,270,5)))</f>
        <v/>
      </c>
      <c r="I2918" s="27" t="str">
        <f>IF($E2918="","",N(INDEX(成本费用登记表!$Q$4:$Y$303,270,6)))</f>
        <v/>
      </c>
      <c r="J2918" s="26" t="str">
        <f>IF($E2918="","",INDEX(成本费用登记表!$C$4:$C$303,270))</f>
        <v/>
      </c>
      <c r="K2918" s="26" t="str">
        <f>IF($E2918="","",INDEX(成本费用登记表!$D$4:$D$303,270))</f>
        <v/>
      </c>
      <c r="L2918" s="32" t="str">
        <f>IF($E2918="","",INDEX(成本费用登记表!$N$4:$N$303,270))</f>
        <v/>
      </c>
      <c r="M2918" s="32"/>
      <c r="N2918" s="26" t="str">
        <f t="shared" si="146"/>
        <v/>
      </c>
      <c r="O2918" s="26" t="str">
        <f t="shared" si="147"/>
        <v/>
      </c>
      <c r="P2918" s="10"/>
    </row>
    <row r="2919" ht="18" customHeight="1" spans="1:16">
      <c r="A2919" s="32" t="str">
        <f t="shared" si="148"/>
        <v/>
      </c>
      <c r="B2919" s="100" t="str">
        <f>IF($E2919="","",INDEX(成本费用登记表!$B$4:$B$303,270))</f>
        <v/>
      </c>
      <c r="C2919" s="26" t="str">
        <f t="shared" si="145"/>
        <v/>
      </c>
      <c r="D2919" s="32" t="str">
        <f>IF($E2919="","",INDEX(成本费用登记表!$E$4:$E$303,270))</f>
        <v/>
      </c>
      <c r="E2919" s="26" t="str">
        <f>IF(INDEX(成本费用登记表!$Q$4:$Y$303,270,7)=0,"",INDEX(成本费用登记表!$Q$4:$Y$303,270,7))</f>
        <v/>
      </c>
      <c r="F2919" s="25" t="str">
        <f>IF($E2919="","",IFERROR(INDEX(科目表!$A$4:$A$81,MATCH($E2919,科目表!$B$4:$B$81,0)),""))</f>
        <v/>
      </c>
      <c r="G2919" s="26" t="str">
        <f>IF($E2919="","",IFERROR(INDEX(科目表!$E$4:$E$81,MATCH($E2919,科目表!$B$4:$B$81,0)),""))</f>
        <v/>
      </c>
      <c r="H2919" s="27" t="str">
        <f>IF($E2919="","",N(INDEX(成本费用登记表!$Q$4:$Y$303,270,8)))</f>
        <v/>
      </c>
      <c r="I2919" s="27" t="str">
        <f>IF($E2919="","",N(INDEX(成本费用登记表!$Q$4:$Y$303,270,9)))</f>
        <v/>
      </c>
      <c r="J2919" s="26" t="str">
        <f>IF($E2919="","",INDEX(成本费用登记表!$C$4:$C$303,270))</f>
        <v/>
      </c>
      <c r="K2919" s="26" t="str">
        <f>IF($E2919="","",INDEX(成本费用登记表!$D$4:$D$303,270))</f>
        <v/>
      </c>
      <c r="L2919" s="32" t="str">
        <f>IF($E2919="","",INDEX(成本费用登记表!$N$4:$N$303,270))</f>
        <v/>
      </c>
      <c r="M2919" s="32"/>
      <c r="N2919" s="26" t="str">
        <f t="shared" si="146"/>
        <v/>
      </c>
      <c r="O2919" s="26" t="str">
        <f t="shared" si="147"/>
        <v/>
      </c>
      <c r="P2919" s="10"/>
    </row>
    <row r="2920" ht="18" customHeight="1" spans="1:16">
      <c r="A2920" s="32" t="str">
        <f t="shared" si="148"/>
        <v/>
      </c>
      <c r="B2920" s="100" t="str">
        <f>IF($E2920="","",INDEX(成本费用登记表!$B$4:$B$303,271))</f>
        <v/>
      </c>
      <c r="C2920" s="26" t="str">
        <f t="shared" si="145"/>
        <v/>
      </c>
      <c r="D2920" s="32" t="str">
        <f>IF($E2920="","",INDEX(成本费用登记表!$E$4:$E$303,271))</f>
        <v/>
      </c>
      <c r="E2920" s="26" t="str">
        <f>IF(INDEX(成本费用登记表!$Q$4:$Y$303,271,1)=0,"",INDEX(成本费用登记表!$Q$4:$Y$303,271,1))</f>
        <v/>
      </c>
      <c r="F2920" s="25" t="str">
        <f>IF($E2920="","",IFERROR(INDEX(科目表!$A$4:$A$81,MATCH($E2920,科目表!$B$4:$B$81,0)),""))</f>
        <v/>
      </c>
      <c r="G2920" s="26" t="str">
        <f>IF($E2920="","",IFERROR(INDEX(科目表!$E$4:$E$81,MATCH($E2920,科目表!$B$4:$B$81,0)),""))</f>
        <v/>
      </c>
      <c r="H2920" s="27" t="str">
        <f>IF($E2920="","",N(INDEX(成本费用登记表!$Q$4:$Y$303,271,2)))</f>
        <v/>
      </c>
      <c r="I2920" s="27" t="str">
        <f>IF($E2920="","",N(INDEX(成本费用登记表!$Q$4:$Y$303,271,3)))</f>
        <v/>
      </c>
      <c r="J2920" s="26" t="str">
        <f>IF($E2920="","",INDEX(成本费用登记表!$C$4:$C$303,271))</f>
        <v/>
      </c>
      <c r="K2920" s="26" t="str">
        <f>IF($E2920="","",INDEX(成本费用登记表!$D$4:$D$303,271))</f>
        <v/>
      </c>
      <c r="L2920" s="32" t="str">
        <f>IF($E2920="","",INDEX(成本费用登记表!$N$4:$N$303,271))</f>
        <v/>
      </c>
      <c r="M2920" s="32"/>
      <c r="N2920" s="26" t="str">
        <f t="shared" si="146"/>
        <v/>
      </c>
      <c r="O2920" s="26" t="str">
        <f t="shared" si="147"/>
        <v/>
      </c>
      <c r="P2920" s="10"/>
    </row>
    <row r="2921" ht="18" customHeight="1" spans="1:16">
      <c r="A2921" s="32" t="str">
        <f t="shared" si="148"/>
        <v/>
      </c>
      <c r="B2921" s="100" t="str">
        <f>IF($E2921="","",INDEX(成本费用登记表!$B$4:$B$303,271))</f>
        <v/>
      </c>
      <c r="C2921" s="26" t="str">
        <f t="shared" si="145"/>
        <v/>
      </c>
      <c r="D2921" s="32" t="str">
        <f>IF($E2921="","",INDEX(成本费用登记表!$E$4:$E$303,271))</f>
        <v/>
      </c>
      <c r="E2921" s="26" t="str">
        <f>IF(INDEX(成本费用登记表!$Q$4:$Y$303,271,4)=0,"",INDEX(成本费用登记表!$Q$4:$Y$303,271,4))</f>
        <v/>
      </c>
      <c r="F2921" s="25" t="str">
        <f>IF($E2921="","",IFERROR(INDEX(科目表!$A$4:$A$81,MATCH($E2921,科目表!$B$4:$B$81,0)),""))</f>
        <v/>
      </c>
      <c r="G2921" s="26" t="str">
        <f>IF($E2921="","",IFERROR(INDEX(科目表!$E$4:$E$81,MATCH($E2921,科目表!$B$4:$B$81,0)),""))</f>
        <v/>
      </c>
      <c r="H2921" s="27" t="str">
        <f>IF($E2921="","",N(INDEX(成本费用登记表!$Q$4:$Y$303,271,5)))</f>
        <v/>
      </c>
      <c r="I2921" s="27" t="str">
        <f>IF($E2921="","",N(INDEX(成本费用登记表!$Q$4:$Y$303,271,6)))</f>
        <v/>
      </c>
      <c r="J2921" s="26" t="str">
        <f>IF($E2921="","",INDEX(成本费用登记表!$C$4:$C$303,271))</f>
        <v/>
      </c>
      <c r="K2921" s="26" t="str">
        <f>IF($E2921="","",INDEX(成本费用登记表!$D$4:$D$303,271))</f>
        <v/>
      </c>
      <c r="L2921" s="32" t="str">
        <f>IF($E2921="","",INDEX(成本费用登记表!$N$4:$N$303,271))</f>
        <v/>
      </c>
      <c r="M2921" s="32"/>
      <c r="N2921" s="26" t="str">
        <f t="shared" si="146"/>
        <v/>
      </c>
      <c r="O2921" s="26" t="str">
        <f t="shared" si="147"/>
        <v/>
      </c>
      <c r="P2921" s="10"/>
    </row>
    <row r="2922" ht="18" customHeight="1" spans="1:16">
      <c r="A2922" s="32" t="str">
        <f t="shared" si="148"/>
        <v/>
      </c>
      <c r="B2922" s="100" t="str">
        <f>IF($E2922="","",INDEX(成本费用登记表!$B$4:$B$303,271))</f>
        <v/>
      </c>
      <c r="C2922" s="26" t="str">
        <f t="shared" si="145"/>
        <v/>
      </c>
      <c r="D2922" s="32" t="str">
        <f>IF($E2922="","",INDEX(成本费用登记表!$E$4:$E$303,271))</f>
        <v/>
      </c>
      <c r="E2922" s="26" t="str">
        <f>IF(INDEX(成本费用登记表!$Q$4:$Y$303,271,7)=0,"",INDEX(成本费用登记表!$Q$4:$Y$303,271,7))</f>
        <v/>
      </c>
      <c r="F2922" s="25" t="str">
        <f>IF($E2922="","",IFERROR(INDEX(科目表!$A$4:$A$81,MATCH($E2922,科目表!$B$4:$B$81,0)),""))</f>
        <v/>
      </c>
      <c r="G2922" s="26" t="str">
        <f>IF($E2922="","",IFERROR(INDEX(科目表!$E$4:$E$81,MATCH($E2922,科目表!$B$4:$B$81,0)),""))</f>
        <v/>
      </c>
      <c r="H2922" s="27" t="str">
        <f>IF($E2922="","",N(INDEX(成本费用登记表!$Q$4:$Y$303,271,8)))</f>
        <v/>
      </c>
      <c r="I2922" s="27" t="str">
        <f>IF($E2922="","",N(INDEX(成本费用登记表!$Q$4:$Y$303,271,9)))</f>
        <v/>
      </c>
      <c r="J2922" s="26" t="str">
        <f>IF($E2922="","",INDEX(成本费用登记表!$C$4:$C$303,271))</f>
        <v/>
      </c>
      <c r="K2922" s="26" t="str">
        <f>IF($E2922="","",INDEX(成本费用登记表!$D$4:$D$303,271))</f>
        <v/>
      </c>
      <c r="L2922" s="32" t="str">
        <f>IF($E2922="","",INDEX(成本费用登记表!$N$4:$N$303,271))</f>
        <v/>
      </c>
      <c r="M2922" s="32"/>
      <c r="N2922" s="26" t="str">
        <f t="shared" si="146"/>
        <v/>
      </c>
      <c r="O2922" s="26" t="str">
        <f t="shared" si="147"/>
        <v/>
      </c>
      <c r="P2922" s="10"/>
    </row>
    <row r="2923" ht="18" customHeight="1" spans="1:16">
      <c r="A2923" s="32" t="str">
        <f t="shared" si="148"/>
        <v/>
      </c>
      <c r="B2923" s="100" t="str">
        <f>IF($E2923="","",INDEX(成本费用登记表!$B$4:$B$303,272))</f>
        <v/>
      </c>
      <c r="C2923" s="26" t="str">
        <f t="shared" si="145"/>
        <v/>
      </c>
      <c r="D2923" s="32" t="str">
        <f>IF($E2923="","",INDEX(成本费用登记表!$E$4:$E$303,272))</f>
        <v/>
      </c>
      <c r="E2923" s="26" t="str">
        <f>IF(INDEX(成本费用登记表!$Q$4:$Y$303,272,1)=0,"",INDEX(成本费用登记表!$Q$4:$Y$303,272,1))</f>
        <v/>
      </c>
      <c r="F2923" s="25" t="str">
        <f>IF($E2923="","",IFERROR(INDEX(科目表!$A$4:$A$81,MATCH($E2923,科目表!$B$4:$B$81,0)),""))</f>
        <v/>
      </c>
      <c r="G2923" s="26" t="str">
        <f>IF($E2923="","",IFERROR(INDEX(科目表!$E$4:$E$81,MATCH($E2923,科目表!$B$4:$B$81,0)),""))</f>
        <v/>
      </c>
      <c r="H2923" s="27" t="str">
        <f>IF($E2923="","",N(INDEX(成本费用登记表!$Q$4:$Y$303,272,2)))</f>
        <v/>
      </c>
      <c r="I2923" s="27" t="str">
        <f>IF($E2923="","",N(INDEX(成本费用登记表!$Q$4:$Y$303,272,3)))</f>
        <v/>
      </c>
      <c r="J2923" s="26" t="str">
        <f>IF($E2923="","",INDEX(成本费用登记表!$C$4:$C$303,272))</f>
        <v/>
      </c>
      <c r="K2923" s="26" t="str">
        <f>IF($E2923="","",INDEX(成本费用登记表!$D$4:$D$303,272))</f>
        <v/>
      </c>
      <c r="L2923" s="32" t="str">
        <f>IF($E2923="","",INDEX(成本费用登记表!$N$4:$N$303,272))</f>
        <v/>
      </c>
      <c r="M2923" s="32"/>
      <c r="N2923" s="26" t="str">
        <f t="shared" si="146"/>
        <v/>
      </c>
      <c r="O2923" s="26" t="str">
        <f t="shared" si="147"/>
        <v/>
      </c>
      <c r="P2923" s="10"/>
    </row>
    <row r="2924" ht="18" customHeight="1" spans="1:16">
      <c r="A2924" s="32" t="str">
        <f t="shared" si="148"/>
        <v/>
      </c>
      <c r="B2924" s="100" t="str">
        <f>IF($E2924="","",INDEX(成本费用登记表!$B$4:$B$303,272))</f>
        <v/>
      </c>
      <c r="C2924" s="26" t="str">
        <f t="shared" si="145"/>
        <v/>
      </c>
      <c r="D2924" s="32" t="str">
        <f>IF($E2924="","",INDEX(成本费用登记表!$E$4:$E$303,272))</f>
        <v/>
      </c>
      <c r="E2924" s="26" t="str">
        <f>IF(INDEX(成本费用登记表!$Q$4:$Y$303,272,4)=0,"",INDEX(成本费用登记表!$Q$4:$Y$303,272,4))</f>
        <v/>
      </c>
      <c r="F2924" s="25" t="str">
        <f>IF($E2924="","",IFERROR(INDEX(科目表!$A$4:$A$81,MATCH($E2924,科目表!$B$4:$B$81,0)),""))</f>
        <v/>
      </c>
      <c r="G2924" s="26" t="str">
        <f>IF($E2924="","",IFERROR(INDEX(科目表!$E$4:$E$81,MATCH($E2924,科目表!$B$4:$B$81,0)),""))</f>
        <v/>
      </c>
      <c r="H2924" s="27" t="str">
        <f>IF($E2924="","",N(INDEX(成本费用登记表!$Q$4:$Y$303,272,5)))</f>
        <v/>
      </c>
      <c r="I2924" s="27" t="str">
        <f>IF($E2924="","",N(INDEX(成本费用登记表!$Q$4:$Y$303,272,6)))</f>
        <v/>
      </c>
      <c r="J2924" s="26" t="str">
        <f>IF($E2924="","",INDEX(成本费用登记表!$C$4:$C$303,272))</f>
        <v/>
      </c>
      <c r="K2924" s="26" t="str">
        <f>IF($E2924="","",INDEX(成本费用登记表!$D$4:$D$303,272))</f>
        <v/>
      </c>
      <c r="L2924" s="32" t="str">
        <f>IF($E2924="","",INDEX(成本费用登记表!$N$4:$N$303,272))</f>
        <v/>
      </c>
      <c r="M2924" s="32"/>
      <c r="N2924" s="26" t="str">
        <f t="shared" si="146"/>
        <v/>
      </c>
      <c r="O2924" s="26" t="str">
        <f t="shared" si="147"/>
        <v/>
      </c>
      <c r="P2924" s="10"/>
    </row>
    <row r="2925" ht="18" customHeight="1" spans="1:16">
      <c r="A2925" s="32" t="str">
        <f t="shared" si="148"/>
        <v/>
      </c>
      <c r="B2925" s="100" t="str">
        <f>IF($E2925="","",INDEX(成本费用登记表!$B$4:$B$303,272))</f>
        <v/>
      </c>
      <c r="C2925" s="26" t="str">
        <f t="shared" si="145"/>
        <v/>
      </c>
      <c r="D2925" s="32" t="str">
        <f>IF($E2925="","",INDEX(成本费用登记表!$E$4:$E$303,272))</f>
        <v/>
      </c>
      <c r="E2925" s="26" t="str">
        <f>IF(INDEX(成本费用登记表!$Q$4:$Y$303,272,7)=0,"",INDEX(成本费用登记表!$Q$4:$Y$303,272,7))</f>
        <v/>
      </c>
      <c r="F2925" s="25" t="str">
        <f>IF($E2925="","",IFERROR(INDEX(科目表!$A$4:$A$81,MATCH($E2925,科目表!$B$4:$B$81,0)),""))</f>
        <v/>
      </c>
      <c r="G2925" s="26" t="str">
        <f>IF($E2925="","",IFERROR(INDEX(科目表!$E$4:$E$81,MATCH($E2925,科目表!$B$4:$B$81,0)),""))</f>
        <v/>
      </c>
      <c r="H2925" s="27" t="str">
        <f>IF($E2925="","",N(INDEX(成本费用登记表!$Q$4:$Y$303,272,8)))</f>
        <v/>
      </c>
      <c r="I2925" s="27" t="str">
        <f>IF($E2925="","",N(INDEX(成本费用登记表!$Q$4:$Y$303,272,9)))</f>
        <v/>
      </c>
      <c r="J2925" s="26" t="str">
        <f>IF($E2925="","",INDEX(成本费用登记表!$C$4:$C$303,272))</f>
        <v/>
      </c>
      <c r="K2925" s="26" t="str">
        <f>IF($E2925="","",INDEX(成本费用登记表!$D$4:$D$303,272))</f>
        <v/>
      </c>
      <c r="L2925" s="32" t="str">
        <f>IF($E2925="","",INDEX(成本费用登记表!$N$4:$N$303,272))</f>
        <v/>
      </c>
      <c r="M2925" s="32"/>
      <c r="N2925" s="26" t="str">
        <f t="shared" si="146"/>
        <v/>
      </c>
      <c r="O2925" s="26" t="str">
        <f t="shared" si="147"/>
        <v/>
      </c>
      <c r="P2925" s="10"/>
    </row>
    <row r="2926" ht="18" customHeight="1" spans="1:16">
      <c r="A2926" s="32" t="str">
        <f t="shared" si="148"/>
        <v/>
      </c>
      <c r="B2926" s="100" t="str">
        <f>IF($E2926="","",INDEX(成本费用登记表!$B$4:$B$303,273))</f>
        <v/>
      </c>
      <c r="C2926" s="26" t="str">
        <f t="shared" si="145"/>
        <v/>
      </c>
      <c r="D2926" s="32" t="str">
        <f>IF($E2926="","",INDEX(成本费用登记表!$E$4:$E$303,273))</f>
        <v/>
      </c>
      <c r="E2926" s="26" t="str">
        <f>IF(INDEX(成本费用登记表!$Q$4:$Y$303,273,1)=0,"",INDEX(成本费用登记表!$Q$4:$Y$303,273,1))</f>
        <v/>
      </c>
      <c r="F2926" s="25" t="str">
        <f>IF($E2926="","",IFERROR(INDEX(科目表!$A$4:$A$81,MATCH($E2926,科目表!$B$4:$B$81,0)),""))</f>
        <v/>
      </c>
      <c r="G2926" s="26" t="str">
        <f>IF($E2926="","",IFERROR(INDEX(科目表!$E$4:$E$81,MATCH($E2926,科目表!$B$4:$B$81,0)),""))</f>
        <v/>
      </c>
      <c r="H2926" s="27" t="str">
        <f>IF($E2926="","",N(INDEX(成本费用登记表!$Q$4:$Y$303,273,2)))</f>
        <v/>
      </c>
      <c r="I2926" s="27" t="str">
        <f>IF($E2926="","",N(INDEX(成本费用登记表!$Q$4:$Y$303,273,3)))</f>
        <v/>
      </c>
      <c r="J2926" s="26" t="str">
        <f>IF($E2926="","",INDEX(成本费用登记表!$C$4:$C$303,273))</f>
        <v/>
      </c>
      <c r="K2926" s="26" t="str">
        <f>IF($E2926="","",INDEX(成本费用登记表!$D$4:$D$303,273))</f>
        <v/>
      </c>
      <c r="L2926" s="32" t="str">
        <f>IF($E2926="","",INDEX(成本费用登记表!$N$4:$N$303,273))</f>
        <v/>
      </c>
      <c r="M2926" s="32"/>
      <c r="N2926" s="26" t="str">
        <f t="shared" si="146"/>
        <v/>
      </c>
      <c r="O2926" s="26" t="str">
        <f t="shared" si="147"/>
        <v/>
      </c>
      <c r="P2926" s="10"/>
    </row>
    <row r="2927" ht="18" customHeight="1" spans="1:16">
      <c r="A2927" s="32" t="str">
        <f t="shared" si="148"/>
        <v/>
      </c>
      <c r="B2927" s="100" t="str">
        <f>IF($E2927="","",INDEX(成本费用登记表!$B$4:$B$303,273))</f>
        <v/>
      </c>
      <c r="C2927" s="26" t="str">
        <f t="shared" si="145"/>
        <v/>
      </c>
      <c r="D2927" s="32" t="str">
        <f>IF($E2927="","",INDEX(成本费用登记表!$E$4:$E$303,273))</f>
        <v/>
      </c>
      <c r="E2927" s="26" t="str">
        <f>IF(INDEX(成本费用登记表!$Q$4:$Y$303,273,4)=0,"",INDEX(成本费用登记表!$Q$4:$Y$303,273,4))</f>
        <v/>
      </c>
      <c r="F2927" s="25" t="str">
        <f>IF($E2927="","",IFERROR(INDEX(科目表!$A$4:$A$81,MATCH($E2927,科目表!$B$4:$B$81,0)),""))</f>
        <v/>
      </c>
      <c r="G2927" s="26" t="str">
        <f>IF($E2927="","",IFERROR(INDEX(科目表!$E$4:$E$81,MATCH($E2927,科目表!$B$4:$B$81,0)),""))</f>
        <v/>
      </c>
      <c r="H2927" s="27" t="str">
        <f>IF($E2927="","",N(INDEX(成本费用登记表!$Q$4:$Y$303,273,5)))</f>
        <v/>
      </c>
      <c r="I2927" s="27" t="str">
        <f>IF($E2927="","",N(INDEX(成本费用登记表!$Q$4:$Y$303,273,6)))</f>
        <v/>
      </c>
      <c r="J2927" s="26" t="str">
        <f>IF($E2927="","",INDEX(成本费用登记表!$C$4:$C$303,273))</f>
        <v/>
      </c>
      <c r="K2927" s="26" t="str">
        <f>IF($E2927="","",INDEX(成本费用登记表!$D$4:$D$303,273))</f>
        <v/>
      </c>
      <c r="L2927" s="32" t="str">
        <f>IF($E2927="","",INDEX(成本费用登记表!$N$4:$N$303,273))</f>
        <v/>
      </c>
      <c r="M2927" s="32"/>
      <c r="N2927" s="26" t="str">
        <f t="shared" si="146"/>
        <v/>
      </c>
      <c r="O2927" s="26" t="str">
        <f t="shared" si="147"/>
        <v/>
      </c>
      <c r="P2927" s="10"/>
    </row>
    <row r="2928" ht="18" customHeight="1" spans="1:16">
      <c r="A2928" s="32" t="str">
        <f t="shared" si="148"/>
        <v/>
      </c>
      <c r="B2928" s="100" t="str">
        <f>IF($E2928="","",INDEX(成本费用登记表!$B$4:$B$303,273))</f>
        <v/>
      </c>
      <c r="C2928" s="26" t="str">
        <f t="shared" si="145"/>
        <v/>
      </c>
      <c r="D2928" s="32" t="str">
        <f>IF($E2928="","",INDEX(成本费用登记表!$E$4:$E$303,273))</f>
        <v/>
      </c>
      <c r="E2928" s="26" t="str">
        <f>IF(INDEX(成本费用登记表!$Q$4:$Y$303,273,7)=0,"",INDEX(成本费用登记表!$Q$4:$Y$303,273,7))</f>
        <v/>
      </c>
      <c r="F2928" s="25" t="str">
        <f>IF($E2928="","",IFERROR(INDEX(科目表!$A$4:$A$81,MATCH($E2928,科目表!$B$4:$B$81,0)),""))</f>
        <v/>
      </c>
      <c r="G2928" s="26" t="str">
        <f>IF($E2928="","",IFERROR(INDEX(科目表!$E$4:$E$81,MATCH($E2928,科目表!$B$4:$B$81,0)),""))</f>
        <v/>
      </c>
      <c r="H2928" s="27" t="str">
        <f>IF($E2928="","",N(INDEX(成本费用登记表!$Q$4:$Y$303,273,8)))</f>
        <v/>
      </c>
      <c r="I2928" s="27" t="str">
        <f>IF($E2928="","",N(INDEX(成本费用登记表!$Q$4:$Y$303,273,9)))</f>
        <v/>
      </c>
      <c r="J2928" s="26" t="str">
        <f>IF($E2928="","",INDEX(成本费用登记表!$C$4:$C$303,273))</f>
        <v/>
      </c>
      <c r="K2928" s="26" t="str">
        <f>IF($E2928="","",INDEX(成本费用登记表!$D$4:$D$303,273))</f>
        <v/>
      </c>
      <c r="L2928" s="32" t="str">
        <f>IF($E2928="","",INDEX(成本费用登记表!$N$4:$N$303,273))</f>
        <v/>
      </c>
      <c r="M2928" s="32"/>
      <c r="N2928" s="26" t="str">
        <f t="shared" si="146"/>
        <v/>
      </c>
      <c r="O2928" s="26" t="str">
        <f t="shared" si="147"/>
        <v/>
      </c>
      <c r="P2928" s="10"/>
    </row>
    <row r="2929" ht="18" customHeight="1" spans="1:16">
      <c r="A2929" s="32" t="str">
        <f t="shared" si="148"/>
        <v/>
      </c>
      <c r="B2929" s="100" t="str">
        <f>IF($E2929="","",INDEX(成本费用登记表!$B$4:$B$303,274))</f>
        <v/>
      </c>
      <c r="C2929" s="26" t="str">
        <f t="shared" si="145"/>
        <v/>
      </c>
      <c r="D2929" s="32" t="str">
        <f>IF($E2929="","",INDEX(成本费用登记表!$E$4:$E$303,274))</f>
        <v/>
      </c>
      <c r="E2929" s="26" t="str">
        <f>IF(INDEX(成本费用登记表!$Q$4:$Y$303,274,1)=0,"",INDEX(成本费用登记表!$Q$4:$Y$303,274,1))</f>
        <v/>
      </c>
      <c r="F2929" s="25" t="str">
        <f>IF($E2929="","",IFERROR(INDEX(科目表!$A$4:$A$81,MATCH($E2929,科目表!$B$4:$B$81,0)),""))</f>
        <v/>
      </c>
      <c r="G2929" s="26" t="str">
        <f>IF($E2929="","",IFERROR(INDEX(科目表!$E$4:$E$81,MATCH($E2929,科目表!$B$4:$B$81,0)),""))</f>
        <v/>
      </c>
      <c r="H2929" s="27" t="str">
        <f>IF($E2929="","",N(INDEX(成本费用登记表!$Q$4:$Y$303,274,2)))</f>
        <v/>
      </c>
      <c r="I2929" s="27" t="str">
        <f>IF($E2929="","",N(INDEX(成本费用登记表!$Q$4:$Y$303,274,3)))</f>
        <v/>
      </c>
      <c r="J2929" s="26" t="str">
        <f>IF($E2929="","",INDEX(成本费用登记表!$C$4:$C$303,274))</f>
        <v/>
      </c>
      <c r="K2929" s="26" t="str">
        <f>IF($E2929="","",INDEX(成本费用登记表!$D$4:$D$303,274))</f>
        <v/>
      </c>
      <c r="L2929" s="32" t="str">
        <f>IF($E2929="","",INDEX(成本费用登记表!$N$4:$N$303,274))</f>
        <v/>
      </c>
      <c r="M2929" s="32"/>
      <c r="N2929" s="26" t="str">
        <f t="shared" si="146"/>
        <v/>
      </c>
      <c r="O2929" s="26" t="str">
        <f t="shared" si="147"/>
        <v/>
      </c>
      <c r="P2929" s="10"/>
    </row>
    <row r="2930" ht="18" customHeight="1" spans="1:16">
      <c r="A2930" s="32" t="str">
        <f t="shared" si="148"/>
        <v/>
      </c>
      <c r="B2930" s="100" t="str">
        <f>IF($E2930="","",INDEX(成本费用登记表!$B$4:$B$303,274))</f>
        <v/>
      </c>
      <c r="C2930" s="26" t="str">
        <f t="shared" si="145"/>
        <v/>
      </c>
      <c r="D2930" s="32" t="str">
        <f>IF($E2930="","",INDEX(成本费用登记表!$E$4:$E$303,274))</f>
        <v/>
      </c>
      <c r="E2930" s="26" t="str">
        <f>IF(INDEX(成本费用登记表!$Q$4:$Y$303,274,4)=0,"",INDEX(成本费用登记表!$Q$4:$Y$303,274,4))</f>
        <v/>
      </c>
      <c r="F2930" s="25" t="str">
        <f>IF($E2930="","",IFERROR(INDEX(科目表!$A$4:$A$81,MATCH($E2930,科目表!$B$4:$B$81,0)),""))</f>
        <v/>
      </c>
      <c r="G2930" s="26" t="str">
        <f>IF($E2930="","",IFERROR(INDEX(科目表!$E$4:$E$81,MATCH($E2930,科目表!$B$4:$B$81,0)),""))</f>
        <v/>
      </c>
      <c r="H2930" s="27" t="str">
        <f>IF($E2930="","",N(INDEX(成本费用登记表!$Q$4:$Y$303,274,5)))</f>
        <v/>
      </c>
      <c r="I2930" s="27" t="str">
        <f>IF($E2930="","",N(INDEX(成本费用登记表!$Q$4:$Y$303,274,6)))</f>
        <v/>
      </c>
      <c r="J2930" s="26" t="str">
        <f>IF($E2930="","",INDEX(成本费用登记表!$C$4:$C$303,274))</f>
        <v/>
      </c>
      <c r="K2930" s="26" t="str">
        <f>IF($E2930="","",INDEX(成本费用登记表!$D$4:$D$303,274))</f>
        <v/>
      </c>
      <c r="L2930" s="32" t="str">
        <f>IF($E2930="","",INDEX(成本费用登记表!$N$4:$N$303,274))</f>
        <v/>
      </c>
      <c r="M2930" s="32"/>
      <c r="N2930" s="26" t="str">
        <f t="shared" si="146"/>
        <v/>
      </c>
      <c r="O2930" s="26" t="str">
        <f t="shared" si="147"/>
        <v/>
      </c>
      <c r="P2930" s="10"/>
    </row>
    <row r="2931" ht="18" customHeight="1" spans="1:16">
      <c r="A2931" s="32" t="str">
        <f t="shared" si="148"/>
        <v/>
      </c>
      <c r="B2931" s="100" t="str">
        <f>IF($E2931="","",INDEX(成本费用登记表!$B$4:$B$303,274))</f>
        <v/>
      </c>
      <c r="C2931" s="26" t="str">
        <f t="shared" si="145"/>
        <v/>
      </c>
      <c r="D2931" s="32" t="str">
        <f>IF($E2931="","",INDEX(成本费用登记表!$E$4:$E$303,274))</f>
        <v/>
      </c>
      <c r="E2931" s="26" t="str">
        <f>IF(INDEX(成本费用登记表!$Q$4:$Y$303,274,7)=0,"",INDEX(成本费用登记表!$Q$4:$Y$303,274,7))</f>
        <v/>
      </c>
      <c r="F2931" s="25" t="str">
        <f>IF($E2931="","",IFERROR(INDEX(科目表!$A$4:$A$81,MATCH($E2931,科目表!$B$4:$B$81,0)),""))</f>
        <v/>
      </c>
      <c r="G2931" s="26" t="str">
        <f>IF($E2931="","",IFERROR(INDEX(科目表!$E$4:$E$81,MATCH($E2931,科目表!$B$4:$B$81,0)),""))</f>
        <v/>
      </c>
      <c r="H2931" s="27" t="str">
        <f>IF($E2931="","",N(INDEX(成本费用登记表!$Q$4:$Y$303,274,8)))</f>
        <v/>
      </c>
      <c r="I2931" s="27" t="str">
        <f>IF($E2931="","",N(INDEX(成本费用登记表!$Q$4:$Y$303,274,9)))</f>
        <v/>
      </c>
      <c r="J2931" s="26" t="str">
        <f>IF($E2931="","",INDEX(成本费用登记表!$C$4:$C$303,274))</f>
        <v/>
      </c>
      <c r="K2931" s="26" t="str">
        <f>IF($E2931="","",INDEX(成本费用登记表!$D$4:$D$303,274))</f>
        <v/>
      </c>
      <c r="L2931" s="32" t="str">
        <f>IF($E2931="","",INDEX(成本费用登记表!$N$4:$N$303,274))</f>
        <v/>
      </c>
      <c r="M2931" s="32"/>
      <c r="N2931" s="26" t="str">
        <f t="shared" si="146"/>
        <v/>
      </c>
      <c r="O2931" s="26" t="str">
        <f t="shared" si="147"/>
        <v/>
      </c>
      <c r="P2931" s="10"/>
    </row>
    <row r="2932" ht="18" customHeight="1" spans="1:16">
      <c r="A2932" s="32" t="str">
        <f t="shared" si="148"/>
        <v/>
      </c>
      <c r="B2932" s="100" t="str">
        <f>IF($E2932="","",INDEX(成本费用登记表!$B$4:$B$303,275))</f>
        <v/>
      </c>
      <c r="C2932" s="26" t="str">
        <f t="shared" si="145"/>
        <v/>
      </c>
      <c r="D2932" s="32" t="str">
        <f>IF($E2932="","",INDEX(成本费用登记表!$E$4:$E$303,275))</f>
        <v/>
      </c>
      <c r="E2932" s="26" t="str">
        <f>IF(INDEX(成本费用登记表!$Q$4:$Y$303,275,1)=0,"",INDEX(成本费用登记表!$Q$4:$Y$303,275,1))</f>
        <v/>
      </c>
      <c r="F2932" s="25" t="str">
        <f>IF($E2932="","",IFERROR(INDEX(科目表!$A$4:$A$81,MATCH($E2932,科目表!$B$4:$B$81,0)),""))</f>
        <v/>
      </c>
      <c r="G2932" s="26" t="str">
        <f>IF($E2932="","",IFERROR(INDEX(科目表!$E$4:$E$81,MATCH($E2932,科目表!$B$4:$B$81,0)),""))</f>
        <v/>
      </c>
      <c r="H2932" s="27" t="str">
        <f>IF($E2932="","",N(INDEX(成本费用登记表!$Q$4:$Y$303,275,2)))</f>
        <v/>
      </c>
      <c r="I2932" s="27" t="str">
        <f>IF($E2932="","",N(INDEX(成本费用登记表!$Q$4:$Y$303,275,3)))</f>
        <v/>
      </c>
      <c r="J2932" s="26" t="str">
        <f>IF($E2932="","",INDEX(成本费用登记表!$C$4:$C$303,275))</f>
        <v/>
      </c>
      <c r="K2932" s="26" t="str">
        <f>IF($E2932="","",INDEX(成本费用登记表!$D$4:$D$303,275))</f>
        <v/>
      </c>
      <c r="L2932" s="32" t="str">
        <f>IF($E2932="","",INDEX(成本费用登记表!$N$4:$N$303,275))</f>
        <v/>
      </c>
      <c r="M2932" s="32"/>
      <c r="N2932" s="26" t="str">
        <f t="shared" si="146"/>
        <v/>
      </c>
      <c r="O2932" s="26" t="str">
        <f t="shared" si="147"/>
        <v/>
      </c>
      <c r="P2932" s="10"/>
    </row>
    <row r="2933" ht="18" customHeight="1" spans="1:16">
      <c r="A2933" s="32" t="str">
        <f t="shared" si="148"/>
        <v/>
      </c>
      <c r="B2933" s="100" t="str">
        <f>IF($E2933="","",INDEX(成本费用登记表!$B$4:$B$303,275))</f>
        <v/>
      </c>
      <c r="C2933" s="26" t="str">
        <f t="shared" si="145"/>
        <v/>
      </c>
      <c r="D2933" s="32" t="str">
        <f>IF($E2933="","",INDEX(成本费用登记表!$E$4:$E$303,275))</f>
        <v/>
      </c>
      <c r="E2933" s="26" t="str">
        <f>IF(INDEX(成本费用登记表!$Q$4:$Y$303,275,4)=0,"",INDEX(成本费用登记表!$Q$4:$Y$303,275,4))</f>
        <v/>
      </c>
      <c r="F2933" s="25" t="str">
        <f>IF($E2933="","",IFERROR(INDEX(科目表!$A$4:$A$81,MATCH($E2933,科目表!$B$4:$B$81,0)),""))</f>
        <v/>
      </c>
      <c r="G2933" s="26" t="str">
        <f>IF($E2933="","",IFERROR(INDEX(科目表!$E$4:$E$81,MATCH($E2933,科目表!$B$4:$B$81,0)),""))</f>
        <v/>
      </c>
      <c r="H2933" s="27" t="str">
        <f>IF($E2933="","",N(INDEX(成本费用登记表!$Q$4:$Y$303,275,5)))</f>
        <v/>
      </c>
      <c r="I2933" s="27" t="str">
        <f>IF($E2933="","",N(INDEX(成本费用登记表!$Q$4:$Y$303,275,6)))</f>
        <v/>
      </c>
      <c r="J2933" s="26" t="str">
        <f>IF($E2933="","",INDEX(成本费用登记表!$C$4:$C$303,275))</f>
        <v/>
      </c>
      <c r="K2933" s="26" t="str">
        <f>IF($E2933="","",INDEX(成本费用登记表!$D$4:$D$303,275))</f>
        <v/>
      </c>
      <c r="L2933" s="32" t="str">
        <f>IF($E2933="","",INDEX(成本费用登记表!$N$4:$N$303,275))</f>
        <v/>
      </c>
      <c r="M2933" s="32"/>
      <c r="N2933" s="26" t="str">
        <f t="shared" si="146"/>
        <v/>
      </c>
      <c r="O2933" s="26" t="str">
        <f t="shared" si="147"/>
        <v/>
      </c>
      <c r="P2933" s="10"/>
    </row>
    <row r="2934" ht="18" customHeight="1" spans="1:16">
      <c r="A2934" s="32" t="str">
        <f t="shared" si="148"/>
        <v/>
      </c>
      <c r="B2934" s="100" t="str">
        <f>IF($E2934="","",INDEX(成本费用登记表!$B$4:$B$303,275))</f>
        <v/>
      </c>
      <c r="C2934" s="26" t="str">
        <f t="shared" si="145"/>
        <v/>
      </c>
      <c r="D2934" s="32" t="str">
        <f>IF($E2934="","",INDEX(成本费用登记表!$E$4:$E$303,275))</f>
        <v/>
      </c>
      <c r="E2934" s="26" t="str">
        <f>IF(INDEX(成本费用登记表!$Q$4:$Y$303,275,7)=0,"",INDEX(成本费用登记表!$Q$4:$Y$303,275,7))</f>
        <v/>
      </c>
      <c r="F2934" s="25" t="str">
        <f>IF($E2934="","",IFERROR(INDEX(科目表!$A$4:$A$81,MATCH($E2934,科目表!$B$4:$B$81,0)),""))</f>
        <v/>
      </c>
      <c r="G2934" s="26" t="str">
        <f>IF($E2934="","",IFERROR(INDEX(科目表!$E$4:$E$81,MATCH($E2934,科目表!$B$4:$B$81,0)),""))</f>
        <v/>
      </c>
      <c r="H2934" s="27" t="str">
        <f>IF($E2934="","",N(INDEX(成本费用登记表!$Q$4:$Y$303,275,8)))</f>
        <v/>
      </c>
      <c r="I2934" s="27" t="str">
        <f>IF($E2934="","",N(INDEX(成本费用登记表!$Q$4:$Y$303,275,9)))</f>
        <v/>
      </c>
      <c r="J2934" s="26" t="str">
        <f>IF($E2934="","",INDEX(成本费用登记表!$C$4:$C$303,275))</f>
        <v/>
      </c>
      <c r="K2934" s="26" t="str">
        <f>IF($E2934="","",INDEX(成本费用登记表!$D$4:$D$303,275))</f>
        <v/>
      </c>
      <c r="L2934" s="32" t="str">
        <f>IF($E2934="","",INDEX(成本费用登记表!$N$4:$N$303,275))</f>
        <v/>
      </c>
      <c r="M2934" s="32"/>
      <c r="N2934" s="26" t="str">
        <f t="shared" si="146"/>
        <v/>
      </c>
      <c r="O2934" s="26" t="str">
        <f t="shared" si="147"/>
        <v/>
      </c>
      <c r="P2934" s="10"/>
    </row>
    <row r="2935" ht="18" customHeight="1" spans="1:16">
      <c r="A2935" s="32" t="str">
        <f t="shared" si="148"/>
        <v/>
      </c>
      <c r="B2935" s="100" t="str">
        <f>IF($E2935="","",INDEX(成本费用登记表!$B$4:$B$303,276))</f>
        <v/>
      </c>
      <c r="C2935" s="26" t="str">
        <f t="shared" si="145"/>
        <v/>
      </c>
      <c r="D2935" s="32" t="str">
        <f>IF($E2935="","",INDEX(成本费用登记表!$E$4:$E$303,276))</f>
        <v/>
      </c>
      <c r="E2935" s="26" t="str">
        <f>IF(INDEX(成本费用登记表!$Q$4:$Y$303,276,1)=0,"",INDEX(成本费用登记表!$Q$4:$Y$303,276,1))</f>
        <v/>
      </c>
      <c r="F2935" s="25" t="str">
        <f>IF($E2935="","",IFERROR(INDEX(科目表!$A$4:$A$81,MATCH($E2935,科目表!$B$4:$B$81,0)),""))</f>
        <v/>
      </c>
      <c r="G2935" s="26" t="str">
        <f>IF($E2935="","",IFERROR(INDEX(科目表!$E$4:$E$81,MATCH($E2935,科目表!$B$4:$B$81,0)),""))</f>
        <v/>
      </c>
      <c r="H2935" s="27" t="str">
        <f>IF($E2935="","",N(INDEX(成本费用登记表!$Q$4:$Y$303,276,2)))</f>
        <v/>
      </c>
      <c r="I2935" s="27" t="str">
        <f>IF($E2935="","",N(INDEX(成本费用登记表!$Q$4:$Y$303,276,3)))</f>
        <v/>
      </c>
      <c r="J2935" s="26" t="str">
        <f>IF($E2935="","",INDEX(成本费用登记表!$C$4:$C$303,276))</f>
        <v/>
      </c>
      <c r="K2935" s="26" t="str">
        <f>IF($E2935="","",INDEX(成本费用登记表!$D$4:$D$303,276))</f>
        <v/>
      </c>
      <c r="L2935" s="32" t="str">
        <f>IF($E2935="","",INDEX(成本费用登记表!$N$4:$N$303,276))</f>
        <v/>
      </c>
      <c r="M2935" s="32"/>
      <c r="N2935" s="26" t="str">
        <f t="shared" si="146"/>
        <v/>
      </c>
      <c r="O2935" s="26" t="str">
        <f t="shared" si="147"/>
        <v/>
      </c>
      <c r="P2935" s="10"/>
    </row>
    <row r="2936" ht="18" customHeight="1" spans="1:16">
      <c r="A2936" s="32" t="str">
        <f t="shared" si="148"/>
        <v/>
      </c>
      <c r="B2936" s="100" t="str">
        <f>IF($E2936="","",INDEX(成本费用登记表!$B$4:$B$303,276))</f>
        <v/>
      </c>
      <c r="C2936" s="26" t="str">
        <f t="shared" si="145"/>
        <v/>
      </c>
      <c r="D2936" s="32" t="str">
        <f>IF($E2936="","",INDEX(成本费用登记表!$E$4:$E$303,276))</f>
        <v/>
      </c>
      <c r="E2936" s="26" t="str">
        <f>IF(INDEX(成本费用登记表!$Q$4:$Y$303,276,4)=0,"",INDEX(成本费用登记表!$Q$4:$Y$303,276,4))</f>
        <v/>
      </c>
      <c r="F2936" s="25" t="str">
        <f>IF($E2936="","",IFERROR(INDEX(科目表!$A$4:$A$81,MATCH($E2936,科目表!$B$4:$B$81,0)),""))</f>
        <v/>
      </c>
      <c r="G2936" s="26" t="str">
        <f>IF($E2936="","",IFERROR(INDEX(科目表!$E$4:$E$81,MATCH($E2936,科目表!$B$4:$B$81,0)),""))</f>
        <v/>
      </c>
      <c r="H2936" s="27" t="str">
        <f>IF($E2936="","",N(INDEX(成本费用登记表!$Q$4:$Y$303,276,5)))</f>
        <v/>
      </c>
      <c r="I2936" s="27" t="str">
        <f>IF($E2936="","",N(INDEX(成本费用登记表!$Q$4:$Y$303,276,6)))</f>
        <v/>
      </c>
      <c r="J2936" s="26" t="str">
        <f>IF($E2936="","",INDEX(成本费用登记表!$C$4:$C$303,276))</f>
        <v/>
      </c>
      <c r="K2936" s="26" t="str">
        <f>IF($E2936="","",INDEX(成本费用登记表!$D$4:$D$303,276))</f>
        <v/>
      </c>
      <c r="L2936" s="32" t="str">
        <f>IF($E2936="","",INDEX(成本费用登记表!$N$4:$N$303,276))</f>
        <v/>
      </c>
      <c r="M2936" s="32"/>
      <c r="N2936" s="26" t="str">
        <f t="shared" si="146"/>
        <v/>
      </c>
      <c r="O2936" s="26" t="str">
        <f t="shared" si="147"/>
        <v/>
      </c>
      <c r="P2936" s="10"/>
    </row>
    <row r="2937" ht="18" customHeight="1" spans="1:16">
      <c r="A2937" s="32" t="str">
        <f t="shared" si="148"/>
        <v/>
      </c>
      <c r="B2937" s="100" t="str">
        <f>IF($E2937="","",INDEX(成本费用登记表!$B$4:$B$303,276))</f>
        <v/>
      </c>
      <c r="C2937" s="26" t="str">
        <f t="shared" si="145"/>
        <v/>
      </c>
      <c r="D2937" s="32" t="str">
        <f>IF($E2937="","",INDEX(成本费用登记表!$E$4:$E$303,276))</f>
        <v/>
      </c>
      <c r="E2937" s="26" t="str">
        <f>IF(INDEX(成本费用登记表!$Q$4:$Y$303,276,7)=0,"",INDEX(成本费用登记表!$Q$4:$Y$303,276,7))</f>
        <v/>
      </c>
      <c r="F2937" s="25" t="str">
        <f>IF($E2937="","",IFERROR(INDEX(科目表!$A$4:$A$81,MATCH($E2937,科目表!$B$4:$B$81,0)),""))</f>
        <v/>
      </c>
      <c r="G2937" s="26" t="str">
        <f>IF($E2937="","",IFERROR(INDEX(科目表!$E$4:$E$81,MATCH($E2937,科目表!$B$4:$B$81,0)),""))</f>
        <v/>
      </c>
      <c r="H2937" s="27" t="str">
        <f>IF($E2937="","",N(INDEX(成本费用登记表!$Q$4:$Y$303,276,8)))</f>
        <v/>
      </c>
      <c r="I2937" s="27" t="str">
        <f>IF($E2937="","",N(INDEX(成本费用登记表!$Q$4:$Y$303,276,9)))</f>
        <v/>
      </c>
      <c r="J2937" s="26" t="str">
        <f>IF($E2937="","",INDEX(成本费用登记表!$C$4:$C$303,276))</f>
        <v/>
      </c>
      <c r="K2937" s="26" t="str">
        <f>IF($E2937="","",INDEX(成本费用登记表!$D$4:$D$303,276))</f>
        <v/>
      </c>
      <c r="L2937" s="32" t="str">
        <f>IF($E2937="","",INDEX(成本费用登记表!$N$4:$N$303,276))</f>
        <v/>
      </c>
      <c r="M2937" s="32"/>
      <c r="N2937" s="26" t="str">
        <f t="shared" si="146"/>
        <v/>
      </c>
      <c r="O2937" s="26" t="str">
        <f t="shared" si="147"/>
        <v/>
      </c>
      <c r="P2937" s="10"/>
    </row>
    <row r="2938" ht="18" customHeight="1" spans="1:16">
      <c r="A2938" s="32" t="str">
        <f t="shared" si="148"/>
        <v/>
      </c>
      <c r="B2938" s="100" t="str">
        <f>IF($E2938="","",INDEX(成本费用登记表!$B$4:$B$303,277))</f>
        <v/>
      </c>
      <c r="C2938" s="26" t="str">
        <f t="shared" si="145"/>
        <v/>
      </c>
      <c r="D2938" s="32" t="str">
        <f>IF($E2938="","",INDEX(成本费用登记表!$E$4:$E$303,277))</f>
        <v/>
      </c>
      <c r="E2938" s="26" t="str">
        <f>IF(INDEX(成本费用登记表!$Q$4:$Y$303,277,1)=0,"",INDEX(成本费用登记表!$Q$4:$Y$303,277,1))</f>
        <v/>
      </c>
      <c r="F2938" s="25" t="str">
        <f>IF($E2938="","",IFERROR(INDEX(科目表!$A$4:$A$81,MATCH($E2938,科目表!$B$4:$B$81,0)),""))</f>
        <v/>
      </c>
      <c r="G2938" s="26" t="str">
        <f>IF($E2938="","",IFERROR(INDEX(科目表!$E$4:$E$81,MATCH($E2938,科目表!$B$4:$B$81,0)),""))</f>
        <v/>
      </c>
      <c r="H2938" s="27" t="str">
        <f>IF($E2938="","",N(INDEX(成本费用登记表!$Q$4:$Y$303,277,2)))</f>
        <v/>
      </c>
      <c r="I2938" s="27" t="str">
        <f>IF($E2938="","",N(INDEX(成本费用登记表!$Q$4:$Y$303,277,3)))</f>
        <v/>
      </c>
      <c r="J2938" s="26" t="str">
        <f>IF($E2938="","",INDEX(成本费用登记表!$C$4:$C$303,277))</f>
        <v/>
      </c>
      <c r="K2938" s="26" t="str">
        <f>IF($E2938="","",INDEX(成本费用登记表!$D$4:$D$303,277))</f>
        <v/>
      </c>
      <c r="L2938" s="32" t="str">
        <f>IF($E2938="","",INDEX(成本费用登记表!$N$4:$N$303,277))</f>
        <v/>
      </c>
      <c r="M2938" s="32"/>
      <c r="N2938" s="26" t="str">
        <f t="shared" si="146"/>
        <v/>
      </c>
      <c r="O2938" s="26" t="str">
        <f t="shared" si="147"/>
        <v/>
      </c>
      <c r="P2938" s="10"/>
    </row>
    <row r="2939" ht="18" customHeight="1" spans="1:16">
      <c r="A2939" s="32" t="str">
        <f t="shared" si="148"/>
        <v/>
      </c>
      <c r="B2939" s="100" t="str">
        <f>IF($E2939="","",INDEX(成本费用登记表!$B$4:$B$303,277))</f>
        <v/>
      </c>
      <c r="C2939" s="26" t="str">
        <f t="shared" si="145"/>
        <v/>
      </c>
      <c r="D2939" s="32" t="str">
        <f>IF($E2939="","",INDEX(成本费用登记表!$E$4:$E$303,277))</f>
        <v/>
      </c>
      <c r="E2939" s="26" t="str">
        <f>IF(INDEX(成本费用登记表!$Q$4:$Y$303,277,4)=0,"",INDEX(成本费用登记表!$Q$4:$Y$303,277,4))</f>
        <v/>
      </c>
      <c r="F2939" s="25" t="str">
        <f>IF($E2939="","",IFERROR(INDEX(科目表!$A$4:$A$81,MATCH($E2939,科目表!$B$4:$B$81,0)),""))</f>
        <v/>
      </c>
      <c r="G2939" s="26" t="str">
        <f>IF($E2939="","",IFERROR(INDEX(科目表!$E$4:$E$81,MATCH($E2939,科目表!$B$4:$B$81,0)),""))</f>
        <v/>
      </c>
      <c r="H2939" s="27" t="str">
        <f>IF($E2939="","",N(INDEX(成本费用登记表!$Q$4:$Y$303,277,5)))</f>
        <v/>
      </c>
      <c r="I2939" s="27" t="str">
        <f>IF($E2939="","",N(INDEX(成本费用登记表!$Q$4:$Y$303,277,6)))</f>
        <v/>
      </c>
      <c r="J2939" s="26" t="str">
        <f>IF($E2939="","",INDEX(成本费用登记表!$C$4:$C$303,277))</f>
        <v/>
      </c>
      <c r="K2939" s="26" t="str">
        <f>IF($E2939="","",INDEX(成本费用登记表!$D$4:$D$303,277))</f>
        <v/>
      </c>
      <c r="L2939" s="32" t="str">
        <f>IF($E2939="","",INDEX(成本费用登记表!$N$4:$N$303,277))</f>
        <v/>
      </c>
      <c r="M2939" s="32"/>
      <c r="N2939" s="26" t="str">
        <f t="shared" si="146"/>
        <v/>
      </c>
      <c r="O2939" s="26" t="str">
        <f t="shared" si="147"/>
        <v/>
      </c>
      <c r="P2939" s="10"/>
    </row>
    <row r="2940" ht="18" customHeight="1" spans="1:16">
      <c r="A2940" s="32" t="str">
        <f t="shared" si="148"/>
        <v/>
      </c>
      <c r="B2940" s="100" t="str">
        <f>IF($E2940="","",INDEX(成本费用登记表!$B$4:$B$303,277))</f>
        <v/>
      </c>
      <c r="C2940" s="26" t="str">
        <f t="shared" si="145"/>
        <v/>
      </c>
      <c r="D2940" s="32" t="str">
        <f>IF($E2940="","",INDEX(成本费用登记表!$E$4:$E$303,277))</f>
        <v/>
      </c>
      <c r="E2940" s="26" t="str">
        <f>IF(INDEX(成本费用登记表!$Q$4:$Y$303,277,7)=0,"",INDEX(成本费用登记表!$Q$4:$Y$303,277,7))</f>
        <v/>
      </c>
      <c r="F2940" s="25" t="str">
        <f>IF($E2940="","",IFERROR(INDEX(科目表!$A$4:$A$81,MATCH($E2940,科目表!$B$4:$B$81,0)),""))</f>
        <v/>
      </c>
      <c r="G2940" s="26" t="str">
        <f>IF($E2940="","",IFERROR(INDEX(科目表!$E$4:$E$81,MATCH($E2940,科目表!$B$4:$B$81,0)),""))</f>
        <v/>
      </c>
      <c r="H2940" s="27" t="str">
        <f>IF($E2940="","",N(INDEX(成本费用登记表!$Q$4:$Y$303,277,8)))</f>
        <v/>
      </c>
      <c r="I2940" s="27" t="str">
        <f>IF($E2940="","",N(INDEX(成本费用登记表!$Q$4:$Y$303,277,9)))</f>
        <v/>
      </c>
      <c r="J2940" s="26" t="str">
        <f>IF($E2940="","",INDEX(成本费用登记表!$C$4:$C$303,277))</f>
        <v/>
      </c>
      <c r="K2940" s="26" t="str">
        <f>IF($E2940="","",INDEX(成本费用登记表!$D$4:$D$303,277))</f>
        <v/>
      </c>
      <c r="L2940" s="32" t="str">
        <f>IF($E2940="","",INDEX(成本费用登记表!$N$4:$N$303,277))</f>
        <v/>
      </c>
      <c r="M2940" s="32"/>
      <c r="N2940" s="26" t="str">
        <f t="shared" si="146"/>
        <v/>
      </c>
      <c r="O2940" s="26" t="str">
        <f t="shared" si="147"/>
        <v/>
      </c>
      <c r="P2940" s="10"/>
    </row>
    <row r="2941" ht="18" customHeight="1" spans="1:16">
      <c r="A2941" s="32" t="str">
        <f t="shared" si="148"/>
        <v/>
      </c>
      <c r="B2941" s="100" t="str">
        <f>IF($E2941="","",INDEX(成本费用登记表!$B$4:$B$303,278))</f>
        <v/>
      </c>
      <c r="C2941" s="26" t="str">
        <f t="shared" si="145"/>
        <v/>
      </c>
      <c r="D2941" s="32" t="str">
        <f>IF($E2941="","",INDEX(成本费用登记表!$E$4:$E$303,278))</f>
        <v/>
      </c>
      <c r="E2941" s="26" t="str">
        <f>IF(INDEX(成本费用登记表!$Q$4:$Y$303,278,1)=0,"",INDEX(成本费用登记表!$Q$4:$Y$303,278,1))</f>
        <v/>
      </c>
      <c r="F2941" s="25" t="str">
        <f>IF($E2941="","",IFERROR(INDEX(科目表!$A$4:$A$81,MATCH($E2941,科目表!$B$4:$B$81,0)),""))</f>
        <v/>
      </c>
      <c r="G2941" s="26" t="str">
        <f>IF($E2941="","",IFERROR(INDEX(科目表!$E$4:$E$81,MATCH($E2941,科目表!$B$4:$B$81,0)),""))</f>
        <v/>
      </c>
      <c r="H2941" s="27" t="str">
        <f>IF($E2941="","",N(INDEX(成本费用登记表!$Q$4:$Y$303,278,2)))</f>
        <v/>
      </c>
      <c r="I2941" s="27" t="str">
        <f>IF($E2941="","",N(INDEX(成本费用登记表!$Q$4:$Y$303,278,3)))</f>
        <v/>
      </c>
      <c r="J2941" s="26" t="str">
        <f>IF($E2941="","",INDEX(成本费用登记表!$C$4:$C$303,278))</f>
        <v/>
      </c>
      <c r="K2941" s="26" t="str">
        <f>IF($E2941="","",INDEX(成本费用登记表!$D$4:$D$303,278))</f>
        <v/>
      </c>
      <c r="L2941" s="32" t="str">
        <f>IF($E2941="","",INDEX(成本费用登记表!$N$4:$N$303,278))</f>
        <v/>
      </c>
      <c r="M2941" s="32"/>
      <c r="N2941" s="26" t="str">
        <f t="shared" si="146"/>
        <v/>
      </c>
      <c r="O2941" s="26" t="str">
        <f t="shared" si="147"/>
        <v/>
      </c>
      <c r="P2941" s="10"/>
    </row>
    <row r="2942" ht="18" customHeight="1" spans="1:16">
      <c r="A2942" s="32" t="str">
        <f t="shared" si="148"/>
        <v/>
      </c>
      <c r="B2942" s="100" t="str">
        <f>IF($E2942="","",INDEX(成本费用登记表!$B$4:$B$303,278))</f>
        <v/>
      </c>
      <c r="C2942" s="26" t="str">
        <f t="shared" ref="C2942:C3005" si="149">IF($E2942="","","记-"&amp;TEXT($B2942,"YYYYMM")&amp;"-费用")</f>
        <v/>
      </c>
      <c r="D2942" s="32" t="str">
        <f>IF($E2942="","",INDEX(成本费用登记表!$E$4:$E$303,278))</f>
        <v/>
      </c>
      <c r="E2942" s="26" t="str">
        <f>IF(INDEX(成本费用登记表!$Q$4:$Y$303,278,4)=0,"",INDEX(成本费用登记表!$Q$4:$Y$303,278,4))</f>
        <v/>
      </c>
      <c r="F2942" s="25" t="str">
        <f>IF($E2942="","",IFERROR(INDEX(科目表!$A$4:$A$81,MATCH($E2942,科目表!$B$4:$B$81,0)),""))</f>
        <v/>
      </c>
      <c r="G2942" s="26" t="str">
        <f>IF($E2942="","",IFERROR(INDEX(科目表!$E$4:$E$81,MATCH($E2942,科目表!$B$4:$B$81,0)),""))</f>
        <v/>
      </c>
      <c r="H2942" s="27" t="str">
        <f>IF($E2942="","",N(INDEX(成本费用登记表!$Q$4:$Y$303,278,5)))</f>
        <v/>
      </c>
      <c r="I2942" s="27" t="str">
        <f>IF($E2942="","",N(INDEX(成本费用登记表!$Q$4:$Y$303,278,6)))</f>
        <v/>
      </c>
      <c r="J2942" s="26" t="str">
        <f>IF($E2942="","",INDEX(成本费用登记表!$C$4:$C$303,278))</f>
        <v/>
      </c>
      <c r="K2942" s="26" t="str">
        <f>IF($E2942="","",INDEX(成本费用登记表!$D$4:$D$303,278))</f>
        <v/>
      </c>
      <c r="L2942" s="32" t="str">
        <f>IF($E2942="","",INDEX(成本费用登记表!$N$4:$N$303,278))</f>
        <v/>
      </c>
      <c r="M2942" s="32"/>
      <c r="N2942" s="26" t="str">
        <f t="shared" ref="N2942:N3005" si="150">IF($E2942="","","系统")</f>
        <v/>
      </c>
      <c r="O2942" s="26" t="str">
        <f t="shared" ref="O2942:O3005" si="151">IF($E2942="","","自动C")</f>
        <v/>
      </c>
      <c r="P2942" s="10"/>
    </row>
    <row r="2943" ht="18" customHeight="1" spans="1:16">
      <c r="A2943" s="32" t="str">
        <f t="shared" si="148"/>
        <v/>
      </c>
      <c r="B2943" s="100" t="str">
        <f>IF($E2943="","",INDEX(成本费用登记表!$B$4:$B$303,278))</f>
        <v/>
      </c>
      <c r="C2943" s="26" t="str">
        <f t="shared" si="149"/>
        <v/>
      </c>
      <c r="D2943" s="32" t="str">
        <f>IF($E2943="","",INDEX(成本费用登记表!$E$4:$E$303,278))</f>
        <v/>
      </c>
      <c r="E2943" s="26" t="str">
        <f>IF(INDEX(成本费用登记表!$Q$4:$Y$303,278,7)=0,"",INDEX(成本费用登记表!$Q$4:$Y$303,278,7))</f>
        <v/>
      </c>
      <c r="F2943" s="25" t="str">
        <f>IF($E2943="","",IFERROR(INDEX(科目表!$A$4:$A$81,MATCH($E2943,科目表!$B$4:$B$81,0)),""))</f>
        <v/>
      </c>
      <c r="G2943" s="26" t="str">
        <f>IF($E2943="","",IFERROR(INDEX(科目表!$E$4:$E$81,MATCH($E2943,科目表!$B$4:$B$81,0)),""))</f>
        <v/>
      </c>
      <c r="H2943" s="27" t="str">
        <f>IF($E2943="","",N(INDEX(成本费用登记表!$Q$4:$Y$303,278,8)))</f>
        <v/>
      </c>
      <c r="I2943" s="27" t="str">
        <f>IF($E2943="","",N(INDEX(成本费用登记表!$Q$4:$Y$303,278,9)))</f>
        <v/>
      </c>
      <c r="J2943" s="26" t="str">
        <f>IF($E2943="","",INDEX(成本费用登记表!$C$4:$C$303,278))</f>
        <v/>
      </c>
      <c r="K2943" s="26" t="str">
        <f>IF($E2943="","",INDEX(成本费用登记表!$D$4:$D$303,278))</f>
        <v/>
      </c>
      <c r="L2943" s="32" t="str">
        <f>IF($E2943="","",INDEX(成本费用登记表!$N$4:$N$303,278))</f>
        <v/>
      </c>
      <c r="M2943" s="32"/>
      <c r="N2943" s="26" t="str">
        <f t="shared" si="150"/>
        <v/>
      </c>
      <c r="O2943" s="26" t="str">
        <f t="shared" si="151"/>
        <v/>
      </c>
      <c r="P2943" s="10"/>
    </row>
    <row r="2944" ht="18" customHeight="1" spans="1:16">
      <c r="A2944" s="32" t="str">
        <f t="shared" si="148"/>
        <v/>
      </c>
      <c r="B2944" s="100" t="str">
        <f>IF($E2944="","",INDEX(成本费用登记表!$B$4:$B$303,279))</f>
        <v/>
      </c>
      <c r="C2944" s="26" t="str">
        <f t="shared" si="149"/>
        <v/>
      </c>
      <c r="D2944" s="32" t="str">
        <f>IF($E2944="","",INDEX(成本费用登记表!$E$4:$E$303,279))</f>
        <v/>
      </c>
      <c r="E2944" s="26" t="str">
        <f>IF(INDEX(成本费用登记表!$Q$4:$Y$303,279,1)=0,"",INDEX(成本费用登记表!$Q$4:$Y$303,279,1))</f>
        <v/>
      </c>
      <c r="F2944" s="25" t="str">
        <f>IF($E2944="","",IFERROR(INDEX(科目表!$A$4:$A$81,MATCH($E2944,科目表!$B$4:$B$81,0)),""))</f>
        <v/>
      </c>
      <c r="G2944" s="26" t="str">
        <f>IF($E2944="","",IFERROR(INDEX(科目表!$E$4:$E$81,MATCH($E2944,科目表!$B$4:$B$81,0)),""))</f>
        <v/>
      </c>
      <c r="H2944" s="27" t="str">
        <f>IF($E2944="","",N(INDEX(成本费用登记表!$Q$4:$Y$303,279,2)))</f>
        <v/>
      </c>
      <c r="I2944" s="27" t="str">
        <f>IF($E2944="","",N(INDEX(成本费用登记表!$Q$4:$Y$303,279,3)))</f>
        <v/>
      </c>
      <c r="J2944" s="26" t="str">
        <f>IF($E2944="","",INDEX(成本费用登记表!$C$4:$C$303,279))</f>
        <v/>
      </c>
      <c r="K2944" s="26" t="str">
        <f>IF($E2944="","",INDEX(成本费用登记表!$D$4:$D$303,279))</f>
        <v/>
      </c>
      <c r="L2944" s="32" t="str">
        <f>IF($E2944="","",INDEX(成本费用登记表!$N$4:$N$303,279))</f>
        <v/>
      </c>
      <c r="M2944" s="32"/>
      <c r="N2944" s="26" t="str">
        <f t="shared" si="150"/>
        <v/>
      </c>
      <c r="O2944" s="26" t="str">
        <f t="shared" si="151"/>
        <v/>
      </c>
      <c r="P2944" s="10"/>
    </row>
    <row r="2945" ht="18" customHeight="1" spans="1:16">
      <c r="A2945" s="32" t="str">
        <f t="shared" si="148"/>
        <v/>
      </c>
      <c r="B2945" s="100" t="str">
        <f>IF($E2945="","",INDEX(成本费用登记表!$B$4:$B$303,279))</f>
        <v/>
      </c>
      <c r="C2945" s="26" t="str">
        <f t="shared" si="149"/>
        <v/>
      </c>
      <c r="D2945" s="32" t="str">
        <f>IF($E2945="","",INDEX(成本费用登记表!$E$4:$E$303,279))</f>
        <v/>
      </c>
      <c r="E2945" s="26" t="str">
        <f>IF(INDEX(成本费用登记表!$Q$4:$Y$303,279,4)=0,"",INDEX(成本费用登记表!$Q$4:$Y$303,279,4))</f>
        <v/>
      </c>
      <c r="F2945" s="25" t="str">
        <f>IF($E2945="","",IFERROR(INDEX(科目表!$A$4:$A$81,MATCH($E2945,科目表!$B$4:$B$81,0)),""))</f>
        <v/>
      </c>
      <c r="G2945" s="26" t="str">
        <f>IF($E2945="","",IFERROR(INDEX(科目表!$E$4:$E$81,MATCH($E2945,科目表!$B$4:$B$81,0)),""))</f>
        <v/>
      </c>
      <c r="H2945" s="27" t="str">
        <f>IF($E2945="","",N(INDEX(成本费用登记表!$Q$4:$Y$303,279,5)))</f>
        <v/>
      </c>
      <c r="I2945" s="27" t="str">
        <f>IF($E2945="","",N(INDEX(成本费用登记表!$Q$4:$Y$303,279,6)))</f>
        <v/>
      </c>
      <c r="J2945" s="26" t="str">
        <f>IF($E2945="","",INDEX(成本费用登记表!$C$4:$C$303,279))</f>
        <v/>
      </c>
      <c r="K2945" s="26" t="str">
        <f>IF($E2945="","",INDEX(成本费用登记表!$D$4:$D$303,279))</f>
        <v/>
      </c>
      <c r="L2945" s="32" t="str">
        <f>IF($E2945="","",INDEX(成本费用登记表!$N$4:$N$303,279))</f>
        <v/>
      </c>
      <c r="M2945" s="32"/>
      <c r="N2945" s="26" t="str">
        <f t="shared" si="150"/>
        <v/>
      </c>
      <c r="O2945" s="26" t="str">
        <f t="shared" si="151"/>
        <v/>
      </c>
      <c r="P2945" s="10"/>
    </row>
    <row r="2946" ht="18" customHeight="1" spans="1:16">
      <c r="A2946" s="32" t="str">
        <f t="shared" si="148"/>
        <v/>
      </c>
      <c r="B2946" s="100" t="str">
        <f>IF($E2946="","",INDEX(成本费用登记表!$B$4:$B$303,279))</f>
        <v/>
      </c>
      <c r="C2946" s="26" t="str">
        <f t="shared" si="149"/>
        <v/>
      </c>
      <c r="D2946" s="32" t="str">
        <f>IF($E2946="","",INDEX(成本费用登记表!$E$4:$E$303,279))</f>
        <v/>
      </c>
      <c r="E2946" s="26" t="str">
        <f>IF(INDEX(成本费用登记表!$Q$4:$Y$303,279,7)=0,"",INDEX(成本费用登记表!$Q$4:$Y$303,279,7))</f>
        <v/>
      </c>
      <c r="F2946" s="25" t="str">
        <f>IF($E2946="","",IFERROR(INDEX(科目表!$A$4:$A$81,MATCH($E2946,科目表!$B$4:$B$81,0)),""))</f>
        <v/>
      </c>
      <c r="G2946" s="26" t="str">
        <f>IF($E2946="","",IFERROR(INDEX(科目表!$E$4:$E$81,MATCH($E2946,科目表!$B$4:$B$81,0)),""))</f>
        <v/>
      </c>
      <c r="H2946" s="27" t="str">
        <f>IF($E2946="","",N(INDEX(成本费用登记表!$Q$4:$Y$303,279,8)))</f>
        <v/>
      </c>
      <c r="I2946" s="27" t="str">
        <f>IF($E2946="","",N(INDEX(成本费用登记表!$Q$4:$Y$303,279,9)))</f>
        <v/>
      </c>
      <c r="J2946" s="26" t="str">
        <f>IF($E2946="","",INDEX(成本费用登记表!$C$4:$C$303,279))</f>
        <v/>
      </c>
      <c r="K2946" s="26" t="str">
        <f>IF($E2946="","",INDEX(成本费用登记表!$D$4:$D$303,279))</f>
        <v/>
      </c>
      <c r="L2946" s="32" t="str">
        <f>IF($E2946="","",INDEX(成本费用登记表!$N$4:$N$303,279))</f>
        <v/>
      </c>
      <c r="M2946" s="32"/>
      <c r="N2946" s="26" t="str">
        <f t="shared" si="150"/>
        <v/>
      </c>
      <c r="O2946" s="26" t="str">
        <f t="shared" si="151"/>
        <v/>
      </c>
      <c r="P2946" s="10"/>
    </row>
    <row r="2947" ht="18" customHeight="1" spans="1:16">
      <c r="A2947" s="32" t="str">
        <f t="shared" si="148"/>
        <v/>
      </c>
      <c r="B2947" s="100" t="str">
        <f>IF($E2947="","",INDEX(成本费用登记表!$B$4:$B$303,280))</f>
        <v/>
      </c>
      <c r="C2947" s="26" t="str">
        <f t="shared" si="149"/>
        <v/>
      </c>
      <c r="D2947" s="32" t="str">
        <f>IF($E2947="","",INDEX(成本费用登记表!$E$4:$E$303,280))</f>
        <v/>
      </c>
      <c r="E2947" s="26" t="str">
        <f>IF(INDEX(成本费用登记表!$Q$4:$Y$303,280,1)=0,"",INDEX(成本费用登记表!$Q$4:$Y$303,280,1))</f>
        <v/>
      </c>
      <c r="F2947" s="25" t="str">
        <f>IF($E2947="","",IFERROR(INDEX(科目表!$A$4:$A$81,MATCH($E2947,科目表!$B$4:$B$81,0)),""))</f>
        <v/>
      </c>
      <c r="G2947" s="26" t="str">
        <f>IF($E2947="","",IFERROR(INDEX(科目表!$E$4:$E$81,MATCH($E2947,科目表!$B$4:$B$81,0)),""))</f>
        <v/>
      </c>
      <c r="H2947" s="27" t="str">
        <f>IF($E2947="","",N(INDEX(成本费用登记表!$Q$4:$Y$303,280,2)))</f>
        <v/>
      </c>
      <c r="I2947" s="27" t="str">
        <f>IF($E2947="","",N(INDEX(成本费用登记表!$Q$4:$Y$303,280,3)))</f>
        <v/>
      </c>
      <c r="J2947" s="26" t="str">
        <f>IF($E2947="","",INDEX(成本费用登记表!$C$4:$C$303,280))</f>
        <v/>
      </c>
      <c r="K2947" s="26" t="str">
        <f>IF($E2947="","",INDEX(成本费用登记表!$D$4:$D$303,280))</f>
        <v/>
      </c>
      <c r="L2947" s="32" t="str">
        <f>IF($E2947="","",INDEX(成本费用登记表!$N$4:$N$303,280))</f>
        <v/>
      </c>
      <c r="M2947" s="32"/>
      <c r="N2947" s="26" t="str">
        <f t="shared" si="150"/>
        <v/>
      </c>
      <c r="O2947" s="26" t="str">
        <f t="shared" si="151"/>
        <v/>
      </c>
      <c r="P2947" s="10"/>
    </row>
    <row r="2948" ht="18" customHeight="1" spans="1:16">
      <c r="A2948" s="32" t="str">
        <f t="shared" ref="A2948:A3011" si="152">IF($E2948="","",ROW()-3)</f>
        <v/>
      </c>
      <c r="B2948" s="100" t="str">
        <f>IF($E2948="","",INDEX(成本费用登记表!$B$4:$B$303,280))</f>
        <v/>
      </c>
      <c r="C2948" s="26" t="str">
        <f t="shared" si="149"/>
        <v/>
      </c>
      <c r="D2948" s="32" t="str">
        <f>IF($E2948="","",INDEX(成本费用登记表!$E$4:$E$303,280))</f>
        <v/>
      </c>
      <c r="E2948" s="26" t="str">
        <f>IF(INDEX(成本费用登记表!$Q$4:$Y$303,280,4)=0,"",INDEX(成本费用登记表!$Q$4:$Y$303,280,4))</f>
        <v/>
      </c>
      <c r="F2948" s="25" t="str">
        <f>IF($E2948="","",IFERROR(INDEX(科目表!$A$4:$A$81,MATCH($E2948,科目表!$B$4:$B$81,0)),""))</f>
        <v/>
      </c>
      <c r="G2948" s="26" t="str">
        <f>IF($E2948="","",IFERROR(INDEX(科目表!$E$4:$E$81,MATCH($E2948,科目表!$B$4:$B$81,0)),""))</f>
        <v/>
      </c>
      <c r="H2948" s="27" t="str">
        <f>IF($E2948="","",N(INDEX(成本费用登记表!$Q$4:$Y$303,280,5)))</f>
        <v/>
      </c>
      <c r="I2948" s="27" t="str">
        <f>IF($E2948="","",N(INDEX(成本费用登记表!$Q$4:$Y$303,280,6)))</f>
        <v/>
      </c>
      <c r="J2948" s="26" t="str">
        <f>IF($E2948="","",INDEX(成本费用登记表!$C$4:$C$303,280))</f>
        <v/>
      </c>
      <c r="K2948" s="26" t="str">
        <f>IF($E2948="","",INDEX(成本费用登记表!$D$4:$D$303,280))</f>
        <v/>
      </c>
      <c r="L2948" s="32" t="str">
        <f>IF($E2948="","",INDEX(成本费用登记表!$N$4:$N$303,280))</f>
        <v/>
      </c>
      <c r="M2948" s="32"/>
      <c r="N2948" s="26" t="str">
        <f t="shared" si="150"/>
        <v/>
      </c>
      <c r="O2948" s="26" t="str">
        <f t="shared" si="151"/>
        <v/>
      </c>
      <c r="P2948" s="10"/>
    </row>
    <row r="2949" ht="18" customHeight="1" spans="1:16">
      <c r="A2949" s="32" t="str">
        <f t="shared" si="152"/>
        <v/>
      </c>
      <c r="B2949" s="100" t="str">
        <f>IF($E2949="","",INDEX(成本费用登记表!$B$4:$B$303,280))</f>
        <v/>
      </c>
      <c r="C2949" s="26" t="str">
        <f t="shared" si="149"/>
        <v/>
      </c>
      <c r="D2949" s="32" t="str">
        <f>IF($E2949="","",INDEX(成本费用登记表!$E$4:$E$303,280))</f>
        <v/>
      </c>
      <c r="E2949" s="26" t="str">
        <f>IF(INDEX(成本费用登记表!$Q$4:$Y$303,280,7)=0,"",INDEX(成本费用登记表!$Q$4:$Y$303,280,7))</f>
        <v/>
      </c>
      <c r="F2949" s="25" t="str">
        <f>IF($E2949="","",IFERROR(INDEX(科目表!$A$4:$A$81,MATCH($E2949,科目表!$B$4:$B$81,0)),""))</f>
        <v/>
      </c>
      <c r="G2949" s="26" t="str">
        <f>IF($E2949="","",IFERROR(INDEX(科目表!$E$4:$E$81,MATCH($E2949,科目表!$B$4:$B$81,0)),""))</f>
        <v/>
      </c>
      <c r="H2949" s="27" t="str">
        <f>IF($E2949="","",N(INDEX(成本费用登记表!$Q$4:$Y$303,280,8)))</f>
        <v/>
      </c>
      <c r="I2949" s="27" t="str">
        <f>IF($E2949="","",N(INDEX(成本费用登记表!$Q$4:$Y$303,280,9)))</f>
        <v/>
      </c>
      <c r="J2949" s="26" t="str">
        <f>IF($E2949="","",INDEX(成本费用登记表!$C$4:$C$303,280))</f>
        <v/>
      </c>
      <c r="K2949" s="26" t="str">
        <f>IF($E2949="","",INDEX(成本费用登记表!$D$4:$D$303,280))</f>
        <v/>
      </c>
      <c r="L2949" s="32" t="str">
        <f>IF($E2949="","",INDEX(成本费用登记表!$N$4:$N$303,280))</f>
        <v/>
      </c>
      <c r="M2949" s="32"/>
      <c r="N2949" s="26" t="str">
        <f t="shared" si="150"/>
        <v/>
      </c>
      <c r="O2949" s="26" t="str">
        <f t="shared" si="151"/>
        <v/>
      </c>
      <c r="P2949" s="10"/>
    </row>
    <row r="2950" ht="18" customHeight="1" spans="1:16">
      <c r="A2950" s="32" t="str">
        <f t="shared" si="152"/>
        <v/>
      </c>
      <c r="B2950" s="100" t="str">
        <f>IF($E2950="","",INDEX(成本费用登记表!$B$4:$B$303,281))</f>
        <v/>
      </c>
      <c r="C2950" s="26" t="str">
        <f t="shared" si="149"/>
        <v/>
      </c>
      <c r="D2950" s="32" t="str">
        <f>IF($E2950="","",INDEX(成本费用登记表!$E$4:$E$303,281))</f>
        <v/>
      </c>
      <c r="E2950" s="26" t="str">
        <f>IF(INDEX(成本费用登记表!$Q$4:$Y$303,281,1)=0,"",INDEX(成本费用登记表!$Q$4:$Y$303,281,1))</f>
        <v/>
      </c>
      <c r="F2950" s="25" t="str">
        <f>IF($E2950="","",IFERROR(INDEX(科目表!$A$4:$A$81,MATCH($E2950,科目表!$B$4:$B$81,0)),""))</f>
        <v/>
      </c>
      <c r="G2950" s="26" t="str">
        <f>IF($E2950="","",IFERROR(INDEX(科目表!$E$4:$E$81,MATCH($E2950,科目表!$B$4:$B$81,0)),""))</f>
        <v/>
      </c>
      <c r="H2950" s="27" t="str">
        <f>IF($E2950="","",N(INDEX(成本费用登记表!$Q$4:$Y$303,281,2)))</f>
        <v/>
      </c>
      <c r="I2950" s="27" t="str">
        <f>IF($E2950="","",N(INDEX(成本费用登记表!$Q$4:$Y$303,281,3)))</f>
        <v/>
      </c>
      <c r="J2950" s="26" t="str">
        <f>IF($E2950="","",INDEX(成本费用登记表!$C$4:$C$303,281))</f>
        <v/>
      </c>
      <c r="K2950" s="26" t="str">
        <f>IF($E2950="","",INDEX(成本费用登记表!$D$4:$D$303,281))</f>
        <v/>
      </c>
      <c r="L2950" s="32" t="str">
        <f>IF($E2950="","",INDEX(成本费用登记表!$N$4:$N$303,281))</f>
        <v/>
      </c>
      <c r="M2950" s="32"/>
      <c r="N2950" s="26" t="str">
        <f t="shared" si="150"/>
        <v/>
      </c>
      <c r="O2950" s="26" t="str">
        <f t="shared" si="151"/>
        <v/>
      </c>
      <c r="P2950" s="10"/>
    </row>
    <row r="2951" ht="18" customHeight="1" spans="1:16">
      <c r="A2951" s="32" t="str">
        <f t="shared" si="152"/>
        <v/>
      </c>
      <c r="B2951" s="100" t="str">
        <f>IF($E2951="","",INDEX(成本费用登记表!$B$4:$B$303,281))</f>
        <v/>
      </c>
      <c r="C2951" s="26" t="str">
        <f t="shared" si="149"/>
        <v/>
      </c>
      <c r="D2951" s="32" t="str">
        <f>IF($E2951="","",INDEX(成本费用登记表!$E$4:$E$303,281))</f>
        <v/>
      </c>
      <c r="E2951" s="26" t="str">
        <f>IF(INDEX(成本费用登记表!$Q$4:$Y$303,281,4)=0,"",INDEX(成本费用登记表!$Q$4:$Y$303,281,4))</f>
        <v/>
      </c>
      <c r="F2951" s="25" t="str">
        <f>IF($E2951="","",IFERROR(INDEX(科目表!$A$4:$A$81,MATCH($E2951,科目表!$B$4:$B$81,0)),""))</f>
        <v/>
      </c>
      <c r="G2951" s="26" t="str">
        <f>IF($E2951="","",IFERROR(INDEX(科目表!$E$4:$E$81,MATCH($E2951,科目表!$B$4:$B$81,0)),""))</f>
        <v/>
      </c>
      <c r="H2951" s="27" t="str">
        <f>IF($E2951="","",N(INDEX(成本费用登记表!$Q$4:$Y$303,281,5)))</f>
        <v/>
      </c>
      <c r="I2951" s="27" t="str">
        <f>IF($E2951="","",N(INDEX(成本费用登记表!$Q$4:$Y$303,281,6)))</f>
        <v/>
      </c>
      <c r="J2951" s="26" t="str">
        <f>IF($E2951="","",INDEX(成本费用登记表!$C$4:$C$303,281))</f>
        <v/>
      </c>
      <c r="K2951" s="26" t="str">
        <f>IF($E2951="","",INDEX(成本费用登记表!$D$4:$D$303,281))</f>
        <v/>
      </c>
      <c r="L2951" s="32" t="str">
        <f>IF($E2951="","",INDEX(成本费用登记表!$N$4:$N$303,281))</f>
        <v/>
      </c>
      <c r="M2951" s="32"/>
      <c r="N2951" s="26" t="str">
        <f t="shared" si="150"/>
        <v/>
      </c>
      <c r="O2951" s="26" t="str">
        <f t="shared" si="151"/>
        <v/>
      </c>
      <c r="P2951" s="10"/>
    </row>
    <row r="2952" ht="18" customHeight="1" spans="1:16">
      <c r="A2952" s="32" t="str">
        <f t="shared" si="152"/>
        <v/>
      </c>
      <c r="B2952" s="100" t="str">
        <f>IF($E2952="","",INDEX(成本费用登记表!$B$4:$B$303,281))</f>
        <v/>
      </c>
      <c r="C2952" s="26" t="str">
        <f t="shared" si="149"/>
        <v/>
      </c>
      <c r="D2952" s="32" t="str">
        <f>IF($E2952="","",INDEX(成本费用登记表!$E$4:$E$303,281))</f>
        <v/>
      </c>
      <c r="E2952" s="26" t="str">
        <f>IF(INDEX(成本费用登记表!$Q$4:$Y$303,281,7)=0,"",INDEX(成本费用登记表!$Q$4:$Y$303,281,7))</f>
        <v/>
      </c>
      <c r="F2952" s="25" t="str">
        <f>IF($E2952="","",IFERROR(INDEX(科目表!$A$4:$A$81,MATCH($E2952,科目表!$B$4:$B$81,0)),""))</f>
        <v/>
      </c>
      <c r="G2952" s="26" t="str">
        <f>IF($E2952="","",IFERROR(INDEX(科目表!$E$4:$E$81,MATCH($E2952,科目表!$B$4:$B$81,0)),""))</f>
        <v/>
      </c>
      <c r="H2952" s="27" t="str">
        <f>IF($E2952="","",N(INDEX(成本费用登记表!$Q$4:$Y$303,281,8)))</f>
        <v/>
      </c>
      <c r="I2952" s="27" t="str">
        <f>IF($E2952="","",N(INDEX(成本费用登记表!$Q$4:$Y$303,281,9)))</f>
        <v/>
      </c>
      <c r="J2952" s="26" t="str">
        <f>IF($E2952="","",INDEX(成本费用登记表!$C$4:$C$303,281))</f>
        <v/>
      </c>
      <c r="K2952" s="26" t="str">
        <f>IF($E2952="","",INDEX(成本费用登记表!$D$4:$D$303,281))</f>
        <v/>
      </c>
      <c r="L2952" s="32" t="str">
        <f>IF($E2952="","",INDEX(成本费用登记表!$N$4:$N$303,281))</f>
        <v/>
      </c>
      <c r="M2952" s="32"/>
      <c r="N2952" s="26" t="str">
        <f t="shared" si="150"/>
        <v/>
      </c>
      <c r="O2952" s="26" t="str">
        <f t="shared" si="151"/>
        <v/>
      </c>
      <c r="P2952" s="10"/>
    </row>
    <row r="2953" ht="18" customHeight="1" spans="1:16">
      <c r="A2953" s="32" t="str">
        <f t="shared" si="152"/>
        <v/>
      </c>
      <c r="B2953" s="100" t="str">
        <f>IF($E2953="","",INDEX(成本费用登记表!$B$4:$B$303,282))</f>
        <v/>
      </c>
      <c r="C2953" s="26" t="str">
        <f t="shared" si="149"/>
        <v/>
      </c>
      <c r="D2953" s="32" t="str">
        <f>IF($E2953="","",INDEX(成本费用登记表!$E$4:$E$303,282))</f>
        <v/>
      </c>
      <c r="E2953" s="26" t="str">
        <f>IF(INDEX(成本费用登记表!$Q$4:$Y$303,282,1)=0,"",INDEX(成本费用登记表!$Q$4:$Y$303,282,1))</f>
        <v/>
      </c>
      <c r="F2953" s="25" t="str">
        <f>IF($E2953="","",IFERROR(INDEX(科目表!$A$4:$A$81,MATCH($E2953,科目表!$B$4:$B$81,0)),""))</f>
        <v/>
      </c>
      <c r="G2953" s="26" t="str">
        <f>IF($E2953="","",IFERROR(INDEX(科目表!$E$4:$E$81,MATCH($E2953,科目表!$B$4:$B$81,0)),""))</f>
        <v/>
      </c>
      <c r="H2953" s="27" t="str">
        <f>IF($E2953="","",N(INDEX(成本费用登记表!$Q$4:$Y$303,282,2)))</f>
        <v/>
      </c>
      <c r="I2953" s="27" t="str">
        <f>IF($E2953="","",N(INDEX(成本费用登记表!$Q$4:$Y$303,282,3)))</f>
        <v/>
      </c>
      <c r="J2953" s="26" t="str">
        <f>IF($E2953="","",INDEX(成本费用登记表!$C$4:$C$303,282))</f>
        <v/>
      </c>
      <c r="K2953" s="26" t="str">
        <f>IF($E2953="","",INDEX(成本费用登记表!$D$4:$D$303,282))</f>
        <v/>
      </c>
      <c r="L2953" s="32" t="str">
        <f>IF($E2953="","",INDEX(成本费用登记表!$N$4:$N$303,282))</f>
        <v/>
      </c>
      <c r="M2953" s="32"/>
      <c r="N2953" s="26" t="str">
        <f t="shared" si="150"/>
        <v/>
      </c>
      <c r="O2953" s="26" t="str">
        <f t="shared" si="151"/>
        <v/>
      </c>
      <c r="P2953" s="10"/>
    </row>
    <row r="2954" ht="18" customHeight="1" spans="1:16">
      <c r="A2954" s="32" t="str">
        <f t="shared" si="152"/>
        <v/>
      </c>
      <c r="B2954" s="100" t="str">
        <f>IF($E2954="","",INDEX(成本费用登记表!$B$4:$B$303,282))</f>
        <v/>
      </c>
      <c r="C2954" s="26" t="str">
        <f t="shared" si="149"/>
        <v/>
      </c>
      <c r="D2954" s="32" t="str">
        <f>IF($E2954="","",INDEX(成本费用登记表!$E$4:$E$303,282))</f>
        <v/>
      </c>
      <c r="E2954" s="26" t="str">
        <f>IF(INDEX(成本费用登记表!$Q$4:$Y$303,282,4)=0,"",INDEX(成本费用登记表!$Q$4:$Y$303,282,4))</f>
        <v/>
      </c>
      <c r="F2954" s="25" t="str">
        <f>IF($E2954="","",IFERROR(INDEX(科目表!$A$4:$A$81,MATCH($E2954,科目表!$B$4:$B$81,0)),""))</f>
        <v/>
      </c>
      <c r="G2954" s="26" t="str">
        <f>IF($E2954="","",IFERROR(INDEX(科目表!$E$4:$E$81,MATCH($E2954,科目表!$B$4:$B$81,0)),""))</f>
        <v/>
      </c>
      <c r="H2954" s="27" t="str">
        <f>IF($E2954="","",N(INDEX(成本费用登记表!$Q$4:$Y$303,282,5)))</f>
        <v/>
      </c>
      <c r="I2954" s="27" t="str">
        <f>IF($E2954="","",N(INDEX(成本费用登记表!$Q$4:$Y$303,282,6)))</f>
        <v/>
      </c>
      <c r="J2954" s="26" t="str">
        <f>IF($E2954="","",INDEX(成本费用登记表!$C$4:$C$303,282))</f>
        <v/>
      </c>
      <c r="K2954" s="26" t="str">
        <f>IF($E2954="","",INDEX(成本费用登记表!$D$4:$D$303,282))</f>
        <v/>
      </c>
      <c r="L2954" s="32" t="str">
        <f>IF($E2954="","",INDEX(成本费用登记表!$N$4:$N$303,282))</f>
        <v/>
      </c>
      <c r="M2954" s="32"/>
      <c r="N2954" s="26" t="str">
        <f t="shared" si="150"/>
        <v/>
      </c>
      <c r="O2954" s="26" t="str">
        <f t="shared" si="151"/>
        <v/>
      </c>
      <c r="P2954" s="10"/>
    </row>
    <row r="2955" ht="18" customHeight="1" spans="1:16">
      <c r="A2955" s="32" t="str">
        <f t="shared" si="152"/>
        <v/>
      </c>
      <c r="B2955" s="100" t="str">
        <f>IF($E2955="","",INDEX(成本费用登记表!$B$4:$B$303,282))</f>
        <v/>
      </c>
      <c r="C2955" s="26" t="str">
        <f t="shared" si="149"/>
        <v/>
      </c>
      <c r="D2955" s="32" t="str">
        <f>IF($E2955="","",INDEX(成本费用登记表!$E$4:$E$303,282))</f>
        <v/>
      </c>
      <c r="E2955" s="26" t="str">
        <f>IF(INDEX(成本费用登记表!$Q$4:$Y$303,282,7)=0,"",INDEX(成本费用登记表!$Q$4:$Y$303,282,7))</f>
        <v/>
      </c>
      <c r="F2955" s="25" t="str">
        <f>IF($E2955="","",IFERROR(INDEX(科目表!$A$4:$A$81,MATCH($E2955,科目表!$B$4:$B$81,0)),""))</f>
        <v/>
      </c>
      <c r="G2955" s="26" t="str">
        <f>IF($E2955="","",IFERROR(INDEX(科目表!$E$4:$E$81,MATCH($E2955,科目表!$B$4:$B$81,0)),""))</f>
        <v/>
      </c>
      <c r="H2955" s="27" t="str">
        <f>IF($E2955="","",N(INDEX(成本费用登记表!$Q$4:$Y$303,282,8)))</f>
        <v/>
      </c>
      <c r="I2955" s="27" t="str">
        <f>IF($E2955="","",N(INDEX(成本费用登记表!$Q$4:$Y$303,282,9)))</f>
        <v/>
      </c>
      <c r="J2955" s="26" t="str">
        <f>IF($E2955="","",INDEX(成本费用登记表!$C$4:$C$303,282))</f>
        <v/>
      </c>
      <c r="K2955" s="26" t="str">
        <f>IF($E2955="","",INDEX(成本费用登记表!$D$4:$D$303,282))</f>
        <v/>
      </c>
      <c r="L2955" s="32" t="str">
        <f>IF($E2955="","",INDEX(成本费用登记表!$N$4:$N$303,282))</f>
        <v/>
      </c>
      <c r="M2955" s="32"/>
      <c r="N2955" s="26" t="str">
        <f t="shared" si="150"/>
        <v/>
      </c>
      <c r="O2955" s="26" t="str">
        <f t="shared" si="151"/>
        <v/>
      </c>
      <c r="P2955" s="10"/>
    </row>
    <row r="2956" ht="18" customHeight="1" spans="1:16">
      <c r="A2956" s="32" t="str">
        <f t="shared" si="152"/>
        <v/>
      </c>
      <c r="B2956" s="100" t="str">
        <f>IF($E2956="","",INDEX(成本费用登记表!$B$4:$B$303,283))</f>
        <v/>
      </c>
      <c r="C2956" s="26" t="str">
        <f t="shared" si="149"/>
        <v/>
      </c>
      <c r="D2956" s="32" t="str">
        <f>IF($E2956="","",INDEX(成本费用登记表!$E$4:$E$303,283))</f>
        <v/>
      </c>
      <c r="E2956" s="26" t="str">
        <f>IF(INDEX(成本费用登记表!$Q$4:$Y$303,283,1)=0,"",INDEX(成本费用登记表!$Q$4:$Y$303,283,1))</f>
        <v/>
      </c>
      <c r="F2956" s="25" t="str">
        <f>IF($E2956="","",IFERROR(INDEX(科目表!$A$4:$A$81,MATCH($E2956,科目表!$B$4:$B$81,0)),""))</f>
        <v/>
      </c>
      <c r="G2956" s="26" t="str">
        <f>IF($E2956="","",IFERROR(INDEX(科目表!$E$4:$E$81,MATCH($E2956,科目表!$B$4:$B$81,0)),""))</f>
        <v/>
      </c>
      <c r="H2956" s="27" t="str">
        <f>IF($E2956="","",N(INDEX(成本费用登记表!$Q$4:$Y$303,283,2)))</f>
        <v/>
      </c>
      <c r="I2956" s="27" t="str">
        <f>IF($E2956="","",N(INDEX(成本费用登记表!$Q$4:$Y$303,283,3)))</f>
        <v/>
      </c>
      <c r="J2956" s="26" t="str">
        <f>IF($E2956="","",INDEX(成本费用登记表!$C$4:$C$303,283))</f>
        <v/>
      </c>
      <c r="K2956" s="26" t="str">
        <f>IF($E2956="","",INDEX(成本费用登记表!$D$4:$D$303,283))</f>
        <v/>
      </c>
      <c r="L2956" s="32" t="str">
        <f>IF($E2956="","",INDEX(成本费用登记表!$N$4:$N$303,283))</f>
        <v/>
      </c>
      <c r="M2956" s="32"/>
      <c r="N2956" s="26" t="str">
        <f t="shared" si="150"/>
        <v/>
      </c>
      <c r="O2956" s="26" t="str">
        <f t="shared" si="151"/>
        <v/>
      </c>
      <c r="P2956" s="10"/>
    </row>
    <row r="2957" ht="18" customHeight="1" spans="1:16">
      <c r="A2957" s="32" t="str">
        <f t="shared" si="152"/>
        <v/>
      </c>
      <c r="B2957" s="100" t="str">
        <f>IF($E2957="","",INDEX(成本费用登记表!$B$4:$B$303,283))</f>
        <v/>
      </c>
      <c r="C2957" s="26" t="str">
        <f t="shared" si="149"/>
        <v/>
      </c>
      <c r="D2957" s="32" t="str">
        <f>IF($E2957="","",INDEX(成本费用登记表!$E$4:$E$303,283))</f>
        <v/>
      </c>
      <c r="E2957" s="26" t="str">
        <f>IF(INDEX(成本费用登记表!$Q$4:$Y$303,283,4)=0,"",INDEX(成本费用登记表!$Q$4:$Y$303,283,4))</f>
        <v/>
      </c>
      <c r="F2957" s="25" t="str">
        <f>IF($E2957="","",IFERROR(INDEX(科目表!$A$4:$A$81,MATCH($E2957,科目表!$B$4:$B$81,0)),""))</f>
        <v/>
      </c>
      <c r="G2957" s="26" t="str">
        <f>IF($E2957="","",IFERROR(INDEX(科目表!$E$4:$E$81,MATCH($E2957,科目表!$B$4:$B$81,0)),""))</f>
        <v/>
      </c>
      <c r="H2957" s="27" t="str">
        <f>IF($E2957="","",N(INDEX(成本费用登记表!$Q$4:$Y$303,283,5)))</f>
        <v/>
      </c>
      <c r="I2957" s="27" t="str">
        <f>IF($E2957="","",N(INDEX(成本费用登记表!$Q$4:$Y$303,283,6)))</f>
        <v/>
      </c>
      <c r="J2957" s="26" t="str">
        <f>IF($E2957="","",INDEX(成本费用登记表!$C$4:$C$303,283))</f>
        <v/>
      </c>
      <c r="K2957" s="26" t="str">
        <f>IF($E2957="","",INDEX(成本费用登记表!$D$4:$D$303,283))</f>
        <v/>
      </c>
      <c r="L2957" s="32" t="str">
        <f>IF($E2957="","",INDEX(成本费用登记表!$N$4:$N$303,283))</f>
        <v/>
      </c>
      <c r="M2957" s="32"/>
      <c r="N2957" s="26" t="str">
        <f t="shared" si="150"/>
        <v/>
      </c>
      <c r="O2957" s="26" t="str">
        <f t="shared" si="151"/>
        <v/>
      </c>
      <c r="P2957" s="10"/>
    </row>
    <row r="2958" ht="18" customHeight="1" spans="1:16">
      <c r="A2958" s="32" t="str">
        <f t="shared" si="152"/>
        <v/>
      </c>
      <c r="B2958" s="100" t="str">
        <f>IF($E2958="","",INDEX(成本费用登记表!$B$4:$B$303,283))</f>
        <v/>
      </c>
      <c r="C2958" s="26" t="str">
        <f t="shared" si="149"/>
        <v/>
      </c>
      <c r="D2958" s="32" t="str">
        <f>IF($E2958="","",INDEX(成本费用登记表!$E$4:$E$303,283))</f>
        <v/>
      </c>
      <c r="E2958" s="26" t="str">
        <f>IF(INDEX(成本费用登记表!$Q$4:$Y$303,283,7)=0,"",INDEX(成本费用登记表!$Q$4:$Y$303,283,7))</f>
        <v/>
      </c>
      <c r="F2958" s="25" t="str">
        <f>IF($E2958="","",IFERROR(INDEX(科目表!$A$4:$A$81,MATCH($E2958,科目表!$B$4:$B$81,0)),""))</f>
        <v/>
      </c>
      <c r="G2958" s="26" t="str">
        <f>IF($E2958="","",IFERROR(INDEX(科目表!$E$4:$E$81,MATCH($E2958,科目表!$B$4:$B$81,0)),""))</f>
        <v/>
      </c>
      <c r="H2958" s="27" t="str">
        <f>IF($E2958="","",N(INDEX(成本费用登记表!$Q$4:$Y$303,283,8)))</f>
        <v/>
      </c>
      <c r="I2958" s="27" t="str">
        <f>IF($E2958="","",N(INDEX(成本费用登记表!$Q$4:$Y$303,283,9)))</f>
        <v/>
      </c>
      <c r="J2958" s="26" t="str">
        <f>IF($E2958="","",INDEX(成本费用登记表!$C$4:$C$303,283))</f>
        <v/>
      </c>
      <c r="K2958" s="26" t="str">
        <f>IF($E2958="","",INDEX(成本费用登记表!$D$4:$D$303,283))</f>
        <v/>
      </c>
      <c r="L2958" s="32" t="str">
        <f>IF($E2958="","",INDEX(成本费用登记表!$N$4:$N$303,283))</f>
        <v/>
      </c>
      <c r="M2958" s="32"/>
      <c r="N2958" s="26" t="str">
        <f t="shared" si="150"/>
        <v/>
      </c>
      <c r="O2958" s="26" t="str">
        <f t="shared" si="151"/>
        <v/>
      </c>
      <c r="P2958" s="10"/>
    </row>
    <row r="2959" ht="18" customHeight="1" spans="1:16">
      <c r="A2959" s="32" t="str">
        <f t="shared" si="152"/>
        <v/>
      </c>
      <c r="B2959" s="100" t="str">
        <f>IF($E2959="","",INDEX(成本费用登记表!$B$4:$B$303,284))</f>
        <v/>
      </c>
      <c r="C2959" s="26" t="str">
        <f t="shared" si="149"/>
        <v/>
      </c>
      <c r="D2959" s="32" t="str">
        <f>IF($E2959="","",INDEX(成本费用登记表!$E$4:$E$303,284))</f>
        <v/>
      </c>
      <c r="E2959" s="26" t="str">
        <f>IF(INDEX(成本费用登记表!$Q$4:$Y$303,284,1)=0,"",INDEX(成本费用登记表!$Q$4:$Y$303,284,1))</f>
        <v/>
      </c>
      <c r="F2959" s="25" t="str">
        <f>IF($E2959="","",IFERROR(INDEX(科目表!$A$4:$A$81,MATCH($E2959,科目表!$B$4:$B$81,0)),""))</f>
        <v/>
      </c>
      <c r="G2959" s="26" t="str">
        <f>IF($E2959="","",IFERROR(INDEX(科目表!$E$4:$E$81,MATCH($E2959,科目表!$B$4:$B$81,0)),""))</f>
        <v/>
      </c>
      <c r="H2959" s="27" t="str">
        <f>IF($E2959="","",N(INDEX(成本费用登记表!$Q$4:$Y$303,284,2)))</f>
        <v/>
      </c>
      <c r="I2959" s="27" t="str">
        <f>IF($E2959="","",N(INDEX(成本费用登记表!$Q$4:$Y$303,284,3)))</f>
        <v/>
      </c>
      <c r="J2959" s="26" t="str">
        <f>IF($E2959="","",INDEX(成本费用登记表!$C$4:$C$303,284))</f>
        <v/>
      </c>
      <c r="K2959" s="26" t="str">
        <f>IF($E2959="","",INDEX(成本费用登记表!$D$4:$D$303,284))</f>
        <v/>
      </c>
      <c r="L2959" s="32" t="str">
        <f>IF($E2959="","",INDEX(成本费用登记表!$N$4:$N$303,284))</f>
        <v/>
      </c>
      <c r="M2959" s="32"/>
      <c r="N2959" s="26" t="str">
        <f t="shared" si="150"/>
        <v/>
      </c>
      <c r="O2959" s="26" t="str">
        <f t="shared" si="151"/>
        <v/>
      </c>
      <c r="P2959" s="10"/>
    </row>
    <row r="2960" ht="18" customHeight="1" spans="1:16">
      <c r="A2960" s="32" t="str">
        <f t="shared" si="152"/>
        <v/>
      </c>
      <c r="B2960" s="100" t="str">
        <f>IF($E2960="","",INDEX(成本费用登记表!$B$4:$B$303,284))</f>
        <v/>
      </c>
      <c r="C2960" s="26" t="str">
        <f t="shared" si="149"/>
        <v/>
      </c>
      <c r="D2960" s="32" t="str">
        <f>IF($E2960="","",INDEX(成本费用登记表!$E$4:$E$303,284))</f>
        <v/>
      </c>
      <c r="E2960" s="26" t="str">
        <f>IF(INDEX(成本费用登记表!$Q$4:$Y$303,284,4)=0,"",INDEX(成本费用登记表!$Q$4:$Y$303,284,4))</f>
        <v/>
      </c>
      <c r="F2960" s="25" t="str">
        <f>IF($E2960="","",IFERROR(INDEX(科目表!$A$4:$A$81,MATCH($E2960,科目表!$B$4:$B$81,0)),""))</f>
        <v/>
      </c>
      <c r="G2960" s="26" t="str">
        <f>IF($E2960="","",IFERROR(INDEX(科目表!$E$4:$E$81,MATCH($E2960,科目表!$B$4:$B$81,0)),""))</f>
        <v/>
      </c>
      <c r="H2960" s="27" t="str">
        <f>IF($E2960="","",N(INDEX(成本费用登记表!$Q$4:$Y$303,284,5)))</f>
        <v/>
      </c>
      <c r="I2960" s="27" t="str">
        <f>IF($E2960="","",N(INDEX(成本费用登记表!$Q$4:$Y$303,284,6)))</f>
        <v/>
      </c>
      <c r="J2960" s="26" t="str">
        <f>IF($E2960="","",INDEX(成本费用登记表!$C$4:$C$303,284))</f>
        <v/>
      </c>
      <c r="K2960" s="26" t="str">
        <f>IF($E2960="","",INDEX(成本费用登记表!$D$4:$D$303,284))</f>
        <v/>
      </c>
      <c r="L2960" s="32" t="str">
        <f>IF($E2960="","",INDEX(成本费用登记表!$N$4:$N$303,284))</f>
        <v/>
      </c>
      <c r="M2960" s="32"/>
      <c r="N2960" s="26" t="str">
        <f t="shared" si="150"/>
        <v/>
      </c>
      <c r="O2960" s="26" t="str">
        <f t="shared" si="151"/>
        <v/>
      </c>
      <c r="P2960" s="10"/>
    </row>
    <row r="2961" ht="18" customHeight="1" spans="1:16">
      <c r="A2961" s="32" t="str">
        <f t="shared" si="152"/>
        <v/>
      </c>
      <c r="B2961" s="100" t="str">
        <f>IF($E2961="","",INDEX(成本费用登记表!$B$4:$B$303,284))</f>
        <v/>
      </c>
      <c r="C2961" s="26" t="str">
        <f t="shared" si="149"/>
        <v/>
      </c>
      <c r="D2961" s="32" t="str">
        <f>IF($E2961="","",INDEX(成本费用登记表!$E$4:$E$303,284))</f>
        <v/>
      </c>
      <c r="E2961" s="26" t="str">
        <f>IF(INDEX(成本费用登记表!$Q$4:$Y$303,284,7)=0,"",INDEX(成本费用登记表!$Q$4:$Y$303,284,7))</f>
        <v/>
      </c>
      <c r="F2961" s="25" t="str">
        <f>IF($E2961="","",IFERROR(INDEX(科目表!$A$4:$A$81,MATCH($E2961,科目表!$B$4:$B$81,0)),""))</f>
        <v/>
      </c>
      <c r="G2961" s="26" t="str">
        <f>IF($E2961="","",IFERROR(INDEX(科目表!$E$4:$E$81,MATCH($E2961,科目表!$B$4:$B$81,0)),""))</f>
        <v/>
      </c>
      <c r="H2961" s="27" t="str">
        <f>IF($E2961="","",N(INDEX(成本费用登记表!$Q$4:$Y$303,284,8)))</f>
        <v/>
      </c>
      <c r="I2961" s="27" t="str">
        <f>IF($E2961="","",N(INDEX(成本费用登记表!$Q$4:$Y$303,284,9)))</f>
        <v/>
      </c>
      <c r="J2961" s="26" t="str">
        <f>IF($E2961="","",INDEX(成本费用登记表!$C$4:$C$303,284))</f>
        <v/>
      </c>
      <c r="K2961" s="26" t="str">
        <f>IF($E2961="","",INDEX(成本费用登记表!$D$4:$D$303,284))</f>
        <v/>
      </c>
      <c r="L2961" s="32" t="str">
        <f>IF($E2961="","",INDEX(成本费用登记表!$N$4:$N$303,284))</f>
        <v/>
      </c>
      <c r="M2961" s="32"/>
      <c r="N2961" s="26" t="str">
        <f t="shared" si="150"/>
        <v/>
      </c>
      <c r="O2961" s="26" t="str">
        <f t="shared" si="151"/>
        <v/>
      </c>
      <c r="P2961" s="10"/>
    </row>
    <row r="2962" ht="18" customHeight="1" spans="1:16">
      <c r="A2962" s="32" t="str">
        <f t="shared" si="152"/>
        <v/>
      </c>
      <c r="B2962" s="100" t="str">
        <f>IF($E2962="","",INDEX(成本费用登记表!$B$4:$B$303,285))</f>
        <v/>
      </c>
      <c r="C2962" s="26" t="str">
        <f t="shared" si="149"/>
        <v/>
      </c>
      <c r="D2962" s="32" t="str">
        <f>IF($E2962="","",INDEX(成本费用登记表!$E$4:$E$303,285))</f>
        <v/>
      </c>
      <c r="E2962" s="26" t="str">
        <f>IF(INDEX(成本费用登记表!$Q$4:$Y$303,285,1)=0,"",INDEX(成本费用登记表!$Q$4:$Y$303,285,1))</f>
        <v/>
      </c>
      <c r="F2962" s="25" t="str">
        <f>IF($E2962="","",IFERROR(INDEX(科目表!$A$4:$A$81,MATCH($E2962,科目表!$B$4:$B$81,0)),""))</f>
        <v/>
      </c>
      <c r="G2962" s="26" t="str">
        <f>IF($E2962="","",IFERROR(INDEX(科目表!$E$4:$E$81,MATCH($E2962,科目表!$B$4:$B$81,0)),""))</f>
        <v/>
      </c>
      <c r="H2962" s="27" t="str">
        <f>IF($E2962="","",N(INDEX(成本费用登记表!$Q$4:$Y$303,285,2)))</f>
        <v/>
      </c>
      <c r="I2962" s="27" t="str">
        <f>IF($E2962="","",N(INDEX(成本费用登记表!$Q$4:$Y$303,285,3)))</f>
        <v/>
      </c>
      <c r="J2962" s="26" t="str">
        <f>IF($E2962="","",INDEX(成本费用登记表!$C$4:$C$303,285))</f>
        <v/>
      </c>
      <c r="K2962" s="26" t="str">
        <f>IF($E2962="","",INDEX(成本费用登记表!$D$4:$D$303,285))</f>
        <v/>
      </c>
      <c r="L2962" s="32" t="str">
        <f>IF($E2962="","",INDEX(成本费用登记表!$N$4:$N$303,285))</f>
        <v/>
      </c>
      <c r="M2962" s="32"/>
      <c r="N2962" s="26" t="str">
        <f t="shared" si="150"/>
        <v/>
      </c>
      <c r="O2962" s="26" t="str">
        <f t="shared" si="151"/>
        <v/>
      </c>
      <c r="P2962" s="10"/>
    </row>
    <row r="2963" ht="18" customHeight="1" spans="1:16">
      <c r="A2963" s="32" t="str">
        <f t="shared" si="152"/>
        <v/>
      </c>
      <c r="B2963" s="100" t="str">
        <f>IF($E2963="","",INDEX(成本费用登记表!$B$4:$B$303,285))</f>
        <v/>
      </c>
      <c r="C2963" s="26" t="str">
        <f t="shared" si="149"/>
        <v/>
      </c>
      <c r="D2963" s="32" t="str">
        <f>IF($E2963="","",INDEX(成本费用登记表!$E$4:$E$303,285))</f>
        <v/>
      </c>
      <c r="E2963" s="26" t="str">
        <f>IF(INDEX(成本费用登记表!$Q$4:$Y$303,285,4)=0,"",INDEX(成本费用登记表!$Q$4:$Y$303,285,4))</f>
        <v/>
      </c>
      <c r="F2963" s="25" t="str">
        <f>IF($E2963="","",IFERROR(INDEX(科目表!$A$4:$A$81,MATCH($E2963,科目表!$B$4:$B$81,0)),""))</f>
        <v/>
      </c>
      <c r="G2963" s="26" t="str">
        <f>IF($E2963="","",IFERROR(INDEX(科目表!$E$4:$E$81,MATCH($E2963,科目表!$B$4:$B$81,0)),""))</f>
        <v/>
      </c>
      <c r="H2963" s="27" t="str">
        <f>IF($E2963="","",N(INDEX(成本费用登记表!$Q$4:$Y$303,285,5)))</f>
        <v/>
      </c>
      <c r="I2963" s="27" t="str">
        <f>IF($E2963="","",N(INDEX(成本费用登记表!$Q$4:$Y$303,285,6)))</f>
        <v/>
      </c>
      <c r="J2963" s="26" t="str">
        <f>IF($E2963="","",INDEX(成本费用登记表!$C$4:$C$303,285))</f>
        <v/>
      </c>
      <c r="K2963" s="26" t="str">
        <f>IF($E2963="","",INDEX(成本费用登记表!$D$4:$D$303,285))</f>
        <v/>
      </c>
      <c r="L2963" s="32" t="str">
        <f>IF($E2963="","",INDEX(成本费用登记表!$N$4:$N$303,285))</f>
        <v/>
      </c>
      <c r="M2963" s="32"/>
      <c r="N2963" s="26" t="str">
        <f t="shared" si="150"/>
        <v/>
      </c>
      <c r="O2963" s="26" t="str">
        <f t="shared" si="151"/>
        <v/>
      </c>
      <c r="P2963" s="10"/>
    </row>
    <row r="2964" ht="18" customHeight="1" spans="1:16">
      <c r="A2964" s="32" t="str">
        <f t="shared" si="152"/>
        <v/>
      </c>
      <c r="B2964" s="100" t="str">
        <f>IF($E2964="","",INDEX(成本费用登记表!$B$4:$B$303,285))</f>
        <v/>
      </c>
      <c r="C2964" s="26" t="str">
        <f t="shared" si="149"/>
        <v/>
      </c>
      <c r="D2964" s="32" t="str">
        <f>IF($E2964="","",INDEX(成本费用登记表!$E$4:$E$303,285))</f>
        <v/>
      </c>
      <c r="E2964" s="26" t="str">
        <f>IF(INDEX(成本费用登记表!$Q$4:$Y$303,285,7)=0,"",INDEX(成本费用登记表!$Q$4:$Y$303,285,7))</f>
        <v/>
      </c>
      <c r="F2964" s="25" t="str">
        <f>IF($E2964="","",IFERROR(INDEX(科目表!$A$4:$A$81,MATCH($E2964,科目表!$B$4:$B$81,0)),""))</f>
        <v/>
      </c>
      <c r="G2964" s="26" t="str">
        <f>IF($E2964="","",IFERROR(INDEX(科目表!$E$4:$E$81,MATCH($E2964,科目表!$B$4:$B$81,0)),""))</f>
        <v/>
      </c>
      <c r="H2964" s="27" t="str">
        <f>IF($E2964="","",N(INDEX(成本费用登记表!$Q$4:$Y$303,285,8)))</f>
        <v/>
      </c>
      <c r="I2964" s="27" t="str">
        <f>IF($E2964="","",N(INDEX(成本费用登记表!$Q$4:$Y$303,285,9)))</f>
        <v/>
      </c>
      <c r="J2964" s="26" t="str">
        <f>IF($E2964="","",INDEX(成本费用登记表!$C$4:$C$303,285))</f>
        <v/>
      </c>
      <c r="K2964" s="26" t="str">
        <f>IF($E2964="","",INDEX(成本费用登记表!$D$4:$D$303,285))</f>
        <v/>
      </c>
      <c r="L2964" s="32" t="str">
        <f>IF($E2964="","",INDEX(成本费用登记表!$N$4:$N$303,285))</f>
        <v/>
      </c>
      <c r="M2964" s="32"/>
      <c r="N2964" s="26" t="str">
        <f t="shared" si="150"/>
        <v/>
      </c>
      <c r="O2964" s="26" t="str">
        <f t="shared" si="151"/>
        <v/>
      </c>
      <c r="P2964" s="10"/>
    </row>
    <row r="2965" ht="18" customHeight="1" spans="1:16">
      <c r="A2965" s="32" t="str">
        <f t="shared" si="152"/>
        <v/>
      </c>
      <c r="B2965" s="100" t="str">
        <f>IF($E2965="","",INDEX(成本费用登记表!$B$4:$B$303,286))</f>
        <v/>
      </c>
      <c r="C2965" s="26" t="str">
        <f t="shared" si="149"/>
        <v/>
      </c>
      <c r="D2965" s="32" t="str">
        <f>IF($E2965="","",INDEX(成本费用登记表!$E$4:$E$303,286))</f>
        <v/>
      </c>
      <c r="E2965" s="26" t="str">
        <f>IF(INDEX(成本费用登记表!$Q$4:$Y$303,286,1)=0,"",INDEX(成本费用登记表!$Q$4:$Y$303,286,1))</f>
        <v/>
      </c>
      <c r="F2965" s="25" t="str">
        <f>IF($E2965="","",IFERROR(INDEX(科目表!$A$4:$A$81,MATCH($E2965,科目表!$B$4:$B$81,0)),""))</f>
        <v/>
      </c>
      <c r="G2965" s="26" t="str">
        <f>IF($E2965="","",IFERROR(INDEX(科目表!$E$4:$E$81,MATCH($E2965,科目表!$B$4:$B$81,0)),""))</f>
        <v/>
      </c>
      <c r="H2965" s="27" t="str">
        <f>IF($E2965="","",N(INDEX(成本费用登记表!$Q$4:$Y$303,286,2)))</f>
        <v/>
      </c>
      <c r="I2965" s="27" t="str">
        <f>IF($E2965="","",N(INDEX(成本费用登记表!$Q$4:$Y$303,286,3)))</f>
        <v/>
      </c>
      <c r="J2965" s="26" t="str">
        <f>IF($E2965="","",INDEX(成本费用登记表!$C$4:$C$303,286))</f>
        <v/>
      </c>
      <c r="K2965" s="26" t="str">
        <f>IF($E2965="","",INDEX(成本费用登记表!$D$4:$D$303,286))</f>
        <v/>
      </c>
      <c r="L2965" s="32" t="str">
        <f>IF($E2965="","",INDEX(成本费用登记表!$N$4:$N$303,286))</f>
        <v/>
      </c>
      <c r="M2965" s="32"/>
      <c r="N2965" s="26" t="str">
        <f t="shared" si="150"/>
        <v/>
      </c>
      <c r="O2965" s="26" t="str">
        <f t="shared" si="151"/>
        <v/>
      </c>
      <c r="P2965" s="10"/>
    </row>
    <row r="2966" ht="18" customHeight="1" spans="1:16">
      <c r="A2966" s="32" t="str">
        <f t="shared" si="152"/>
        <v/>
      </c>
      <c r="B2966" s="100" t="str">
        <f>IF($E2966="","",INDEX(成本费用登记表!$B$4:$B$303,286))</f>
        <v/>
      </c>
      <c r="C2966" s="26" t="str">
        <f t="shared" si="149"/>
        <v/>
      </c>
      <c r="D2966" s="32" t="str">
        <f>IF($E2966="","",INDEX(成本费用登记表!$E$4:$E$303,286))</f>
        <v/>
      </c>
      <c r="E2966" s="26" t="str">
        <f>IF(INDEX(成本费用登记表!$Q$4:$Y$303,286,4)=0,"",INDEX(成本费用登记表!$Q$4:$Y$303,286,4))</f>
        <v/>
      </c>
      <c r="F2966" s="25" t="str">
        <f>IF($E2966="","",IFERROR(INDEX(科目表!$A$4:$A$81,MATCH($E2966,科目表!$B$4:$B$81,0)),""))</f>
        <v/>
      </c>
      <c r="G2966" s="26" t="str">
        <f>IF($E2966="","",IFERROR(INDEX(科目表!$E$4:$E$81,MATCH($E2966,科目表!$B$4:$B$81,0)),""))</f>
        <v/>
      </c>
      <c r="H2966" s="27" t="str">
        <f>IF($E2966="","",N(INDEX(成本费用登记表!$Q$4:$Y$303,286,5)))</f>
        <v/>
      </c>
      <c r="I2966" s="27" t="str">
        <f>IF($E2966="","",N(INDEX(成本费用登记表!$Q$4:$Y$303,286,6)))</f>
        <v/>
      </c>
      <c r="J2966" s="26" t="str">
        <f>IF($E2966="","",INDEX(成本费用登记表!$C$4:$C$303,286))</f>
        <v/>
      </c>
      <c r="K2966" s="26" t="str">
        <f>IF($E2966="","",INDEX(成本费用登记表!$D$4:$D$303,286))</f>
        <v/>
      </c>
      <c r="L2966" s="32" t="str">
        <f>IF($E2966="","",INDEX(成本费用登记表!$N$4:$N$303,286))</f>
        <v/>
      </c>
      <c r="M2966" s="32"/>
      <c r="N2966" s="26" t="str">
        <f t="shared" si="150"/>
        <v/>
      </c>
      <c r="O2966" s="26" t="str">
        <f t="shared" si="151"/>
        <v/>
      </c>
      <c r="P2966" s="10"/>
    </row>
    <row r="2967" ht="18" customHeight="1" spans="1:16">
      <c r="A2967" s="32" t="str">
        <f t="shared" si="152"/>
        <v/>
      </c>
      <c r="B2967" s="100" t="str">
        <f>IF($E2967="","",INDEX(成本费用登记表!$B$4:$B$303,286))</f>
        <v/>
      </c>
      <c r="C2967" s="26" t="str">
        <f t="shared" si="149"/>
        <v/>
      </c>
      <c r="D2967" s="32" t="str">
        <f>IF($E2967="","",INDEX(成本费用登记表!$E$4:$E$303,286))</f>
        <v/>
      </c>
      <c r="E2967" s="26" t="str">
        <f>IF(INDEX(成本费用登记表!$Q$4:$Y$303,286,7)=0,"",INDEX(成本费用登记表!$Q$4:$Y$303,286,7))</f>
        <v/>
      </c>
      <c r="F2967" s="25" t="str">
        <f>IF($E2967="","",IFERROR(INDEX(科目表!$A$4:$A$81,MATCH($E2967,科目表!$B$4:$B$81,0)),""))</f>
        <v/>
      </c>
      <c r="G2967" s="26" t="str">
        <f>IF($E2967="","",IFERROR(INDEX(科目表!$E$4:$E$81,MATCH($E2967,科目表!$B$4:$B$81,0)),""))</f>
        <v/>
      </c>
      <c r="H2967" s="27" t="str">
        <f>IF($E2967="","",N(INDEX(成本费用登记表!$Q$4:$Y$303,286,8)))</f>
        <v/>
      </c>
      <c r="I2967" s="27" t="str">
        <f>IF($E2967="","",N(INDEX(成本费用登记表!$Q$4:$Y$303,286,9)))</f>
        <v/>
      </c>
      <c r="J2967" s="26" t="str">
        <f>IF($E2967="","",INDEX(成本费用登记表!$C$4:$C$303,286))</f>
        <v/>
      </c>
      <c r="K2967" s="26" t="str">
        <f>IF($E2967="","",INDEX(成本费用登记表!$D$4:$D$303,286))</f>
        <v/>
      </c>
      <c r="L2967" s="32" t="str">
        <f>IF($E2967="","",INDEX(成本费用登记表!$N$4:$N$303,286))</f>
        <v/>
      </c>
      <c r="M2967" s="32"/>
      <c r="N2967" s="26" t="str">
        <f t="shared" si="150"/>
        <v/>
      </c>
      <c r="O2967" s="26" t="str">
        <f t="shared" si="151"/>
        <v/>
      </c>
      <c r="P2967" s="10"/>
    </row>
    <row r="2968" ht="18" customHeight="1" spans="1:16">
      <c r="A2968" s="32" t="str">
        <f t="shared" si="152"/>
        <v/>
      </c>
      <c r="B2968" s="100" t="str">
        <f>IF($E2968="","",INDEX(成本费用登记表!$B$4:$B$303,287))</f>
        <v/>
      </c>
      <c r="C2968" s="26" t="str">
        <f t="shared" si="149"/>
        <v/>
      </c>
      <c r="D2968" s="32" t="str">
        <f>IF($E2968="","",INDEX(成本费用登记表!$E$4:$E$303,287))</f>
        <v/>
      </c>
      <c r="E2968" s="26" t="str">
        <f>IF(INDEX(成本费用登记表!$Q$4:$Y$303,287,1)=0,"",INDEX(成本费用登记表!$Q$4:$Y$303,287,1))</f>
        <v/>
      </c>
      <c r="F2968" s="25" t="str">
        <f>IF($E2968="","",IFERROR(INDEX(科目表!$A$4:$A$81,MATCH($E2968,科目表!$B$4:$B$81,0)),""))</f>
        <v/>
      </c>
      <c r="G2968" s="26" t="str">
        <f>IF($E2968="","",IFERROR(INDEX(科目表!$E$4:$E$81,MATCH($E2968,科目表!$B$4:$B$81,0)),""))</f>
        <v/>
      </c>
      <c r="H2968" s="27" t="str">
        <f>IF($E2968="","",N(INDEX(成本费用登记表!$Q$4:$Y$303,287,2)))</f>
        <v/>
      </c>
      <c r="I2968" s="27" t="str">
        <f>IF($E2968="","",N(INDEX(成本费用登记表!$Q$4:$Y$303,287,3)))</f>
        <v/>
      </c>
      <c r="J2968" s="26" t="str">
        <f>IF($E2968="","",INDEX(成本费用登记表!$C$4:$C$303,287))</f>
        <v/>
      </c>
      <c r="K2968" s="26" t="str">
        <f>IF($E2968="","",INDEX(成本费用登记表!$D$4:$D$303,287))</f>
        <v/>
      </c>
      <c r="L2968" s="32" t="str">
        <f>IF($E2968="","",INDEX(成本费用登记表!$N$4:$N$303,287))</f>
        <v/>
      </c>
      <c r="M2968" s="32"/>
      <c r="N2968" s="26" t="str">
        <f t="shared" si="150"/>
        <v/>
      </c>
      <c r="O2968" s="26" t="str">
        <f t="shared" si="151"/>
        <v/>
      </c>
      <c r="P2968" s="10"/>
    </row>
    <row r="2969" ht="18" customHeight="1" spans="1:16">
      <c r="A2969" s="32" t="str">
        <f t="shared" si="152"/>
        <v/>
      </c>
      <c r="B2969" s="100" t="str">
        <f>IF($E2969="","",INDEX(成本费用登记表!$B$4:$B$303,287))</f>
        <v/>
      </c>
      <c r="C2969" s="26" t="str">
        <f t="shared" si="149"/>
        <v/>
      </c>
      <c r="D2969" s="32" t="str">
        <f>IF($E2969="","",INDEX(成本费用登记表!$E$4:$E$303,287))</f>
        <v/>
      </c>
      <c r="E2969" s="26" t="str">
        <f>IF(INDEX(成本费用登记表!$Q$4:$Y$303,287,4)=0,"",INDEX(成本费用登记表!$Q$4:$Y$303,287,4))</f>
        <v/>
      </c>
      <c r="F2969" s="25" t="str">
        <f>IF($E2969="","",IFERROR(INDEX(科目表!$A$4:$A$81,MATCH($E2969,科目表!$B$4:$B$81,0)),""))</f>
        <v/>
      </c>
      <c r="G2969" s="26" t="str">
        <f>IF($E2969="","",IFERROR(INDEX(科目表!$E$4:$E$81,MATCH($E2969,科目表!$B$4:$B$81,0)),""))</f>
        <v/>
      </c>
      <c r="H2969" s="27" t="str">
        <f>IF($E2969="","",N(INDEX(成本费用登记表!$Q$4:$Y$303,287,5)))</f>
        <v/>
      </c>
      <c r="I2969" s="27" t="str">
        <f>IF($E2969="","",N(INDEX(成本费用登记表!$Q$4:$Y$303,287,6)))</f>
        <v/>
      </c>
      <c r="J2969" s="26" t="str">
        <f>IF($E2969="","",INDEX(成本费用登记表!$C$4:$C$303,287))</f>
        <v/>
      </c>
      <c r="K2969" s="26" t="str">
        <f>IF($E2969="","",INDEX(成本费用登记表!$D$4:$D$303,287))</f>
        <v/>
      </c>
      <c r="L2969" s="32" t="str">
        <f>IF($E2969="","",INDEX(成本费用登记表!$N$4:$N$303,287))</f>
        <v/>
      </c>
      <c r="M2969" s="32"/>
      <c r="N2969" s="26" t="str">
        <f t="shared" si="150"/>
        <v/>
      </c>
      <c r="O2969" s="26" t="str">
        <f t="shared" si="151"/>
        <v/>
      </c>
      <c r="P2969" s="10"/>
    </row>
    <row r="2970" ht="18" customHeight="1" spans="1:16">
      <c r="A2970" s="32" t="str">
        <f t="shared" si="152"/>
        <v/>
      </c>
      <c r="B2970" s="100" t="str">
        <f>IF($E2970="","",INDEX(成本费用登记表!$B$4:$B$303,287))</f>
        <v/>
      </c>
      <c r="C2970" s="26" t="str">
        <f t="shared" si="149"/>
        <v/>
      </c>
      <c r="D2970" s="32" t="str">
        <f>IF($E2970="","",INDEX(成本费用登记表!$E$4:$E$303,287))</f>
        <v/>
      </c>
      <c r="E2970" s="26" t="str">
        <f>IF(INDEX(成本费用登记表!$Q$4:$Y$303,287,7)=0,"",INDEX(成本费用登记表!$Q$4:$Y$303,287,7))</f>
        <v/>
      </c>
      <c r="F2970" s="25" t="str">
        <f>IF($E2970="","",IFERROR(INDEX(科目表!$A$4:$A$81,MATCH($E2970,科目表!$B$4:$B$81,0)),""))</f>
        <v/>
      </c>
      <c r="G2970" s="26" t="str">
        <f>IF($E2970="","",IFERROR(INDEX(科目表!$E$4:$E$81,MATCH($E2970,科目表!$B$4:$B$81,0)),""))</f>
        <v/>
      </c>
      <c r="H2970" s="27" t="str">
        <f>IF($E2970="","",N(INDEX(成本费用登记表!$Q$4:$Y$303,287,8)))</f>
        <v/>
      </c>
      <c r="I2970" s="27" t="str">
        <f>IF($E2970="","",N(INDEX(成本费用登记表!$Q$4:$Y$303,287,9)))</f>
        <v/>
      </c>
      <c r="J2970" s="26" t="str">
        <f>IF($E2970="","",INDEX(成本费用登记表!$C$4:$C$303,287))</f>
        <v/>
      </c>
      <c r="K2970" s="26" t="str">
        <f>IF($E2970="","",INDEX(成本费用登记表!$D$4:$D$303,287))</f>
        <v/>
      </c>
      <c r="L2970" s="32" t="str">
        <f>IF($E2970="","",INDEX(成本费用登记表!$N$4:$N$303,287))</f>
        <v/>
      </c>
      <c r="M2970" s="32"/>
      <c r="N2970" s="26" t="str">
        <f t="shared" si="150"/>
        <v/>
      </c>
      <c r="O2970" s="26" t="str">
        <f t="shared" si="151"/>
        <v/>
      </c>
      <c r="P2970" s="10"/>
    </row>
    <row r="2971" ht="18" customHeight="1" spans="1:16">
      <c r="A2971" s="32" t="str">
        <f t="shared" si="152"/>
        <v/>
      </c>
      <c r="B2971" s="100" t="str">
        <f>IF($E2971="","",INDEX(成本费用登记表!$B$4:$B$303,288))</f>
        <v/>
      </c>
      <c r="C2971" s="26" t="str">
        <f t="shared" si="149"/>
        <v/>
      </c>
      <c r="D2971" s="32" t="str">
        <f>IF($E2971="","",INDEX(成本费用登记表!$E$4:$E$303,288))</f>
        <v/>
      </c>
      <c r="E2971" s="26" t="str">
        <f>IF(INDEX(成本费用登记表!$Q$4:$Y$303,288,1)=0,"",INDEX(成本费用登记表!$Q$4:$Y$303,288,1))</f>
        <v/>
      </c>
      <c r="F2971" s="25" t="str">
        <f>IF($E2971="","",IFERROR(INDEX(科目表!$A$4:$A$81,MATCH($E2971,科目表!$B$4:$B$81,0)),""))</f>
        <v/>
      </c>
      <c r="G2971" s="26" t="str">
        <f>IF($E2971="","",IFERROR(INDEX(科目表!$E$4:$E$81,MATCH($E2971,科目表!$B$4:$B$81,0)),""))</f>
        <v/>
      </c>
      <c r="H2971" s="27" t="str">
        <f>IF($E2971="","",N(INDEX(成本费用登记表!$Q$4:$Y$303,288,2)))</f>
        <v/>
      </c>
      <c r="I2971" s="27" t="str">
        <f>IF($E2971="","",N(INDEX(成本费用登记表!$Q$4:$Y$303,288,3)))</f>
        <v/>
      </c>
      <c r="J2971" s="26" t="str">
        <f>IF($E2971="","",INDEX(成本费用登记表!$C$4:$C$303,288))</f>
        <v/>
      </c>
      <c r="K2971" s="26" t="str">
        <f>IF($E2971="","",INDEX(成本费用登记表!$D$4:$D$303,288))</f>
        <v/>
      </c>
      <c r="L2971" s="32" t="str">
        <f>IF($E2971="","",INDEX(成本费用登记表!$N$4:$N$303,288))</f>
        <v/>
      </c>
      <c r="M2971" s="32"/>
      <c r="N2971" s="26" t="str">
        <f t="shared" si="150"/>
        <v/>
      </c>
      <c r="O2971" s="26" t="str">
        <f t="shared" si="151"/>
        <v/>
      </c>
      <c r="P2971" s="10"/>
    </row>
    <row r="2972" ht="18" customHeight="1" spans="1:16">
      <c r="A2972" s="32" t="str">
        <f t="shared" si="152"/>
        <v/>
      </c>
      <c r="B2972" s="100" t="str">
        <f>IF($E2972="","",INDEX(成本费用登记表!$B$4:$B$303,288))</f>
        <v/>
      </c>
      <c r="C2972" s="26" t="str">
        <f t="shared" si="149"/>
        <v/>
      </c>
      <c r="D2972" s="32" t="str">
        <f>IF($E2972="","",INDEX(成本费用登记表!$E$4:$E$303,288))</f>
        <v/>
      </c>
      <c r="E2972" s="26" t="str">
        <f>IF(INDEX(成本费用登记表!$Q$4:$Y$303,288,4)=0,"",INDEX(成本费用登记表!$Q$4:$Y$303,288,4))</f>
        <v/>
      </c>
      <c r="F2972" s="25" t="str">
        <f>IF($E2972="","",IFERROR(INDEX(科目表!$A$4:$A$81,MATCH($E2972,科目表!$B$4:$B$81,0)),""))</f>
        <v/>
      </c>
      <c r="G2972" s="26" t="str">
        <f>IF($E2972="","",IFERROR(INDEX(科目表!$E$4:$E$81,MATCH($E2972,科目表!$B$4:$B$81,0)),""))</f>
        <v/>
      </c>
      <c r="H2972" s="27" t="str">
        <f>IF($E2972="","",N(INDEX(成本费用登记表!$Q$4:$Y$303,288,5)))</f>
        <v/>
      </c>
      <c r="I2972" s="27" t="str">
        <f>IF($E2972="","",N(INDEX(成本费用登记表!$Q$4:$Y$303,288,6)))</f>
        <v/>
      </c>
      <c r="J2972" s="26" t="str">
        <f>IF($E2972="","",INDEX(成本费用登记表!$C$4:$C$303,288))</f>
        <v/>
      </c>
      <c r="K2972" s="26" t="str">
        <f>IF($E2972="","",INDEX(成本费用登记表!$D$4:$D$303,288))</f>
        <v/>
      </c>
      <c r="L2972" s="32" t="str">
        <f>IF($E2972="","",INDEX(成本费用登记表!$N$4:$N$303,288))</f>
        <v/>
      </c>
      <c r="M2972" s="32"/>
      <c r="N2972" s="26" t="str">
        <f t="shared" si="150"/>
        <v/>
      </c>
      <c r="O2972" s="26" t="str">
        <f t="shared" si="151"/>
        <v/>
      </c>
      <c r="P2972" s="10"/>
    </row>
    <row r="2973" ht="18" customHeight="1" spans="1:16">
      <c r="A2973" s="32" t="str">
        <f t="shared" si="152"/>
        <v/>
      </c>
      <c r="B2973" s="100" t="str">
        <f>IF($E2973="","",INDEX(成本费用登记表!$B$4:$B$303,288))</f>
        <v/>
      </c>
      <c r="C2973" s="26" t="str">
        <f t="shared" si="149"/>
        <v/>
      </c>
      <c r="D2973" s="32" t="str">
        <f>IF($E2973="","",INDEX(成本费用登记表!$E$4:$E$303,288))</f>
        <v/>
      </c>
      <c r="E2973" s="26" t="str">
        <f>IF(INDEX(成本费用登记表!$Q$4:$Y$303,288,7)=0,"",INDEX(成本费用登记表!$Q$4:$Y$303,288,7))</f>
        <v/>
      </c>
      <c r="F2973" s="25" t="str">
        <f>IF($E2973="","",IFERROR(INDEX(科目表!$A$4:$A$81,MATCH($E2973,科目表!$B$4:$B$81,0)),""))</f>
        <v/>
      </c>
      <c r="G2973" s="26" t="str">
        <f>IF($E2973="","",IFERROR(INDEX(科目表!$E$4:$E$81,MATCH($E2973,科目表!$B$4:$B$81,0)),""))</f>
        <v/>
      </c>
      <c r="H2973" s="27" t="str">
        <f>IF($E2973="","",N(INDEX(成本费用登记表!$Q$4:$Y$303,288,8)))</f>
        <v/>
      </c>
      <c r="I2973" s="27" t="str">
        <f>IF($E2973="","",N(INDEX(成本费用登记表!$Q$4:$Y$303,288,9)))</f>
        <v/>
      </c>
      <c r="J2973" s="26" t="str">
        <f>IF($E2973="","",INDEX(成本费用登记表!$C$4:$C$303,288))</f>
        <v/>
      </c>
      <c r="K2973" s="26" t="str">
        <f>IF($E2973="","",INDEX(成本费用登记表!$D$4:$D$303,288))</f>
        <v/>
      </c>
      <c r="L2973" s="32" t="str">
        <f>IF($E2973="","",INDEX(成本费用登记表!$N$4:$N$303,288))</f>
        <v/>
      </c>
      <c r="M2973" s="32"/>
      <c r="N2973" s="26" t="str">
        <f t="shared" si="150"/>
        <v/>
      </c>
      <c r="O2973" s="26" t="str">
        <f t="shared" si="151"/>
        <v/>
      </c>
      <c r="P2973" s="10"/>
    </row>
    <row r="2974" ht="18" customHeight="1" spans="1:16">
      <c r="A2974" s="32" t="str">
        <f t="shared" si="152"/>
        <v/>
      </c>
      <c r="B2974" s="100" t="str">
        <f>IF($E2974="","",INDEX(成本费用登记表!$B$4:$B$303,289))</f>
        <v/>
      </c>
      <c r="C2974" s="26" t="str">
        <f t="shared" si="149"/>
        <v/>
      </c>
      <c r="D2974" s="32" t="str">
        <f>IF($E2974="","",INDEX(成本费用登记表!$E$4:$E$303,289))</f>
        <v/>
      </c>
      <c r="E2974" s="26" t="str">
        <f>IF(INDEX(成本费用登记表!$Q$4:$Y$303,289,1)=0,"",INDEX(成本费用登记表!$Q$4:$Y$303,289,1))</f>
        <v/>
      </c>
      <c r="F2974" s="25" t="str">
        <f>IF($E2974="","",IFERROR(INDEX(科目表!$A$4:$A$81,MATCH($E2974,科目表!$B$4:$B$81,0)),""))</f>
        <v/>
      </c>
      <c r="G2974" s="26" t="str">
        <f>IF($E2974="","",IFERROR(INDEX(科目表!$E$4:$E$81,MATCH($E2974,科目表!$B$4:$B$81,0)),""))</f>
        <v/>
      </c>
      <c r="H2974" s="27" t="str">
        <f>IF($E2974="","",N(INDEX(成本费用登记表!$Q$4:$Y$303,289,2)))</f>
        <v/>
      </c>
      <c r="I2974" s="27" t="str">
        <f>IF($E2974="","",N(INDEX(成本费用登记表!$Q$4:$Y$303,289,3)))</f>
        <v/>
      </c>
      <c r="J2974" s="26" t="str">
        <f>IF($E2974="","",INDEX(成本费用登记表!$C$4:$C$303,289))</f>
        <v/>
      </c>
      <c r="K2974" s="26" t="str">
        <f>IF($E2974="","",INDEX(成本费用登记表!$D$4:$D$303,289))</f>
        <v/>
      </c>
      <c r="L2974" s="32" t="str">
        <f>IF($E2974="","",INDEX(成本费用登记表!$N$4:$N$303,289))</f>
        <v/>
      </c>
      <c r="M2974" s="32"/>
      <c r="N2974" s="26" t="str">
        <f t="shared" si="150"/>
        <v/>
      </c>
      <c r="O2974" s="26" t="str">
        <f t="shared" si="151"/>
        <v/>
      </c>
      <c r="P2974" s="10"/>
    </row>
    <row r="2975" ht="18" customHeight="1" spans="1:16">
      <c r="A2975" s="32" t="str">
        <f t="shared" si="152"/>
        <v/>
      </c>
      <c r="B2975" s="100" t="str">
        <f>IF($E2975="","",INDEX(成本费用登记表!$B$4:$B$303,289))</f>
        <v/>
      </c>
      <c r="C2975" s="26" t="str">
        <f t="shared" si="149"/>
        <v/>
      </c>
      <c r="D2975" s="32" t="str">
        <f>IF($E2975="","",INDEX(成本费用登记表!$E$4:$E$303,289))</f>
        <v/>
      </c>
      <c r="E2975" s="26" t="str">
        <f>IF(INDEX(成本费用登记表!$Q$4:$Y$303,289,4)=0,"",INDEX(成本费用登记表!$Q$4:$Y$303,289,4))</f>
        <v/>
      </c>
      <c r="F2975" s="25" t="str">
        <f>IF($E2975="","",IFERROR(INDEX(科目表!$A$4:$A$81,MATCH($E2975,科目表!$B$4:$B$81,0)),""))</f>
        <v/>
      </c>
      <c r="G2975" s="26" t="str">
        <f>IF($E2975="","",IFERROR(INDEX(科目表!$E$4:$E$81,MATCH($E2975,科目表!$B$4:$B$81,0)),""))</f>
        <v/>
      </c>
      <c r="H2975" s="27" t="str">
        <f>IF($E2975="","",N(INDEX(成本费用登记表!$Q$4:$Y$303,289,5)))</f>
        <v/>
      </c>
      <c r="I2975" s="27" t="str">
        <f>IF($E2975="","",N(INDEX(成本费用登记表!$Q$4:$Y$303,289,6)))</f>
        <v/>
      </c>
      <c r="J2975" s="26" t="str">
        <f>IF($E2975="","",INDEX(成本费用登记表!$C$4:$C$303,289))</f>
        <v/>
      </c>
      <c r="K2975" s="26" t="str">
        <f>IF($E2975="","",INDEX(成本费用登记表!$D$4:$D$303,289))</f>
        <v/>
      </c>
      <c r="L2975" s="32" t="str">
        <f>IF($E2975="","",INDEX(成本费用登记表!$N$4:$N$303,289))</f>
        <v/>
      </c>
      <c r="M2975" s="32"/>
      <c r="N2975" s="26" t="str">
        <f t="shared" si="150"/>
        <v/>
      </c>
      <c r="O2975" s="26" t="str">
        <f t="shared" si="151"/>
        <v/>
      </c>
      <c r="P2975" s="10"/>
    </row>
    <row r="2976" ht="18" customHeight="1" spans="1:16">
      <c r="A2976" s="32" t="str">
        <f t="shared" si="152"/>
        <v/>
      </c>
      <c r="B2976" s="100" t="str">
        <f>IF($E2976="","",INDEX(成本费用登记表!$B$4:$B$303,289))</f>
        <v/>
      </c>
      <c r="C2976" s="26" t="str">
        <f t="shared" si="149"/>
        <v/>
      </c>
      <c r="D2976" s="32" t="str">
        <f>IF($E2976="","",INDEX(成本费用登记表!$E$4:$E$303,289))</f>
        <v/>
      </c>
      <c r="E2976" s="26" t="str">
        <f>IF(INDEX(成本费用登记表!$Q$4:$Y$303,289,7)=0,"",INDEX(成本费用登记表!$Q$4:$Y$303,289,7))</f>
        <v/>
      </c>
      <c r="F2976" s="25" t="str">
        <f>IF($E2976="","",IFERROR(INDEX(科目表!$A$4:$A$81,MATCH($E2976,科目表!$B$4:$B$81,0)),""))</f>
        <v/>
      </c>
      <c r="G2976" s="26" t="str">
        <f>IF($E2976="","",IFERROR(INDEX(科目表!$E$4:$E$81,MATCH($E2976,科目表!$B$4:$B$81,0)),""))</f>
        <v/>
      </c>
      <c r="H2976" s="27" t="str">
        <f>IF($E2976="","",N(INDEX(成本费用登记表!$Q$4:$Y$303,289,8)))</f>
        <v/>
      </c>
      <c r="I2976" s="27" t="str">
        <f>IF($E2976="","",N(INDEX(成本费用登记表!$Q$4:$Y$303,289,9)))</f>
        <v/>
      </c>
      <c r="J2976" s="26" t="str">
        <f>IF($E2976="","",INDEX(成本费用登记表!$C$4:$C$303,289))</f>
        <v/>
      </c>
      <c r="K2976" s="26" t="str">
        <f>IF($E2976="","",INDEX(成本费用登记表!$D$4:$D$303,289))</f>
        <v/>
      </c>
      <c r="L2976" s="32" t="str">
        <f>IF($E2976="","",INDEX(成本费用登记表!$N$4:$N$303,289))</f>
        <v/>
      </c>
      <c r="M2976" s="32"/>
      <c r="N2976" s="26" t="str">
        <f t="shared" si="150"/>
        <v/>
      </c>
      <c r="O2976" s="26" t="str">
        <f t="shared" si="151"/>
        <v/>
      </c>
      <c r="P2976" s="10"/>
    </row>
    <row r="2977" ht="18" customHeight="1" spans="1:16">
      <c r="A2977" s="32" t="str">
        <f t="shared" si="152"/>
        <v/>
      </c>
      <c r="B2977" s="100" t="str">
        <f>IF($E2977="","",INDEX(成本费用登记表!$B$4:$B$303,290))</f>
        <v/>
      </c>
      <c r="C2977" s="26" t="str">
        <f t="shared" si="149"/>
        <v/>
      </c>
      <c r="D2977" s="32" t="str">
        <f>IF($E2977="","",INDEX(成本费用登记表!$E$4:$E$303,290))</f>
        <v/>
      </c>
      <c r="E2977" s="26" t="str">
        <f>IF(INDEX(成本费用登记表!$Q$4:$Y$303,290,1)=0,"",INDEX(成本费用登记表!$Q$4:$Y$303,290,1))</f>
        <v/>
      </c>
      <c r="F2977" s="25" t="str">
        <f>IF($E2977="","",IFERROR(INDEX(科目表!$A$4:$A$81,MATCH($E2977,科目表!$B$4:$B$81,0)),""))</f>
        <v/>
      </c>
      <c r="G2977" s="26" t="str">
        <f>IF($E2977="","",IFERROR(INDEX(科目表!$E$4:$E$81,MATCH($E2977,科目表!$B$4:$B$81,0)),""))</f>
        <v/>
      </c>
      <c r="H2977" s="27" t="str">
        <f>IF($E2977="","",N(INDEX(成本费用登记表!$Q$4:$Y$303,290,2)))</f>
        <v/>
      </c>
      <c r="I2977" s="27" t="str">
        <f>IF($E2977="","",N(INDEX(成本费用登记表!$Q$4:$Y$303,290,3)))</f>
        <v/>
      </c>
      <c r="J2977" s="26" t="str">
        <f>IF($E2977="","",INDEX(成本费用登记表!$C$4:$C$303,290))</f>
        <v/>
      </c>
      <c r="K2977" s="26" t="str">
        <f>IF($E2977="","",INDEX(成本费用登记表!$D$4:$D$303,290))</f>
        <v/>
      </c>
      <c r="L2977" s="32" t="str">
        <f>IF($E2977="","",INDEX(成本费用登记表!$N$4:$N$303,290))</f>
        <v/>
      </c>
      <c r="M2977" s="32"/>
      <c r="N2977" s="26" t="str">
        <f t="shared" si="150"/>
        <v/>
      </c>
      <c r="O2977" s="26" t="str">
        <f t="shared" si="151"/>
        <v/>
      </c>
      <c r="P2977" s="10"/>
    </row>
    <row r="2978" ht="18" customHeight="1" spans="1:16">
      <c r="A2978" s="32" t="str">
        <f t="shared" si="152"/>
        <v/>
      </c>
      <c r="B2978" s="100" t="str">
        <f>IF($E2978="","",INDEX(成本费用登记表!$B$4:$B$303,290))</f>
        <v/>
      </c>
      <c r="C2978" s="26" t="str">
        <f t="shared" si="149"/>
        <v/>
      </c>
      <c r="D2978" s="32" t="str">
        <f>IF($E2978="","",INDEX(成本费用登记表!$E$4:$E$303,290))</f>
        <v/>
      </c>
      <c r="E2978" s="26" t="str">
        <f>IF(INDEX(成本费用登记表!$Q$4:$Y$303,290,4)=0,"",INDEX(成本费用登记表!$Q$4:$Y$303,290,4))</f>
        <v/>
      </c>
      <c r="F2978" s="25" t="str">
        <f>IF($E2978="","",IFERROR(INDEX(科目表!$A$4:$A$81,MATCH($E2978,科目表!$B$4:$B$81,0)),""))</f>
        <v/>
      </c>
      <c r="G2978" s="26" t="str">
        <f>IF($E2978="","",IFERROR(INDEX(科目表!$E$4:$E$81,MATCH($E2978,科目表!$B$4:$B$81,0)),""))</f>
        <v/>
      </c>
      <c r="H2978" s="27" t="str">
        <f>IF($E2978="","",N(INDEX(成本费用登记表!$Q$4:$Y$303,290,5)))</f>
        <v/>
      </c>
      <c r="I2978" s="27" t="str">
        <f>IF($E2978="","",N(INDEX(成本费用登记表!$Q$4:$Y$303,290,6)))</f>
        <v/>
      </c>
      <c r="J2978" s="26" t="str">
        <f>IF($E2978="","",INDEX(成本费用登记表!$C$4:$C$303,290))</f>
        <v/>
      </c>
      <c r="K2978" s="26" t="str">
        <f>IF($E2978="","",INDEX(成本费用登记表!$D$4:$D$303,290))</f>
        <v/>
      </c>
      <c r="L2978" s="32" t="str">
        <f>IF($E2978="","",INDEX(成本费用登记表!$N$4:$N$303,290))</f>
        <v/>
      </c>
      <c r="M2978" s="32"/>
      <c r="N2978" s="26" t="str">
        <f t="shared" si="150"/>
        <v/>
      </c>
      <c r="O2978" s="26" t="str">
        <f t="shared" si="151"/>
        <v/>
      </c>
      <c r="P2978" s="10"/>
    </row>
    <row r="2979" ht="18" customHeight="1" spans="1:16">
      <c r="A2979" s="32" t="str">
        <f t="shared" si="152"/>
        <v/>
      </c>
      <c r="B2979" s="100" t="str">
        <f>IF($E2979="","",INDEX(成本费用登记表!$B$4:$B$303,290))</f>
        <v/>
      </c>
      <c r="C2979" s="26" t="str">
        <f t="shared" si="149"/>
        <v/>
      </c>
      <c r="D2979" s="32" t="str">
        <f>IF($E2979="","",INDEX(成本费用登记表!$E$4:$E$303,290))</f>
        <v/>
      </c>
      <c r="E2979" s="26" t="str">
        <f>IF(INDEX(成本费用登记表!$Q$4:$Y$303,290,7)=0,"",INDEX(成本费用登记表!$Q$4:$Y$303,290,7))</f>
        <v/>
      </c>
      <c r="F2979" s="25" t="str">
        <f>IF($E2979="","",IFERROR(INDEX(科目表!$A$4:$A$81,MATCH($E2979,科目表!$B$4:$B$81,0)),""))</f>
        <v/>
      </c>
      <c r="G2979" s="26" t="str">
        <f>IF($E2979="","",IFERROR(INDEX(科目表!$E$4:$E$81,MATCH($E2979,科目表!$B$4:$B$81,0)),""))</f>
        <v/>
      </c>
      <c r="H2979" s="27" t="str">
        <f>IF($E2979="","",N(INDEX(成本费用登记表!$Q$4:$Y$303,290,8)))</f>
        <v/>
      </c>
      <c r="I2979" s="27" t="str">
        <f>IF($E2979="","",N(INDEX(成本费用登记表!$Q$4:$Y$303,290,9)))</f>
        <v/>
      </c>
      <c r="J2979" s="26" t="str">
        <f>IF($E2979="","",INDEX(成本费用登记表!$C$4:$C$303,290))</f>
        <v/>
      </c>
      <c r="K2979" s="26" t="str">
        <f>IF($E2979="","",INDEX(成本费用登记表!$D$4:$D$303,290))</f>
        <v/>
      </c>
      <c r="L2979" s="32" t="str">
        <f>IF($E2979="","",INDEX(成本费用登记表!$N$4:$N$303,290))</f>
        <v/>
      </c>
      <c r="M2979" s="32"/>
      <c r="N2979" s="26" t="str">
        <f t="shared" si="150"/>
        <v/>
      </c>
      <c r="O2979" s="26" t="str">
        <f t="shared" si="151"/>
        <v/>
      </c>
      <c r="P2979" s="10"/>
    </row>
    <row r="2980" ht="18" customHeight="1" spans="1:16">
      <c r="A2980" s="32" t="str">
        <f t="shared" si="152"/>
        <v/>
      </c>
      <c r="B2980" s="100" t="str">
        <f>IF($E2980="","",INDEX(成本费用登记表!$B$4:$B$303,291))</f>
        <v/>
      </c>
      <c r="C2980" s="26" t="str">
        <f t="shared" si="149"/>
        <v/>
      </c>
      <c r="D2980" s="32" t="str">
        <f>IF($E2980="","",INDEX(成本费用登记表!$E$4:$E$303,291))</f>
        <v/>
      </c>
      <c r="E2980" s="26" t="str">
        <f>IF(INDEX(成本费用登记表!$Q$4:$Y$303,291,1)=0,"",INDEX(成本费用登记表!$Q$4:$Y$303,291,1))</f>
        <v/>
      </c>
      <c r="F2980" s="25" t="str">
        <f>IF($E2980="","",IFERROR(INDEX(科目表!$A$4:$A$81,MATCH($E2980,科目表!$B$4:$B$81,0)),""))</f>
        <v/>
      </c>
      <c r="G2980" s="26" t="str">
        <f>IF($E2980="","",IFERROR(INDEX(科目表!$E$4:$E$81,MATCH($E2980,科目表!$B$4:$B$81,0)),""))</f>
        <v/>
      </c>
      <c r="H2980" s="27" t="str">
        <f>IF($E2980="","",N(INDEX(成本费用登记表!$Q$4:$Y$303,291,2)))</f>
        <v/>
      </c>
      <c r="I2980" s="27" t="str">
        <f>IF($E2980="","",N(INDEX(成本费用登记表!$Q$4:$Y$303,291,3)))</f>
        <v/>
      </c>
      <c r="J2980" s="26" t="str">
        <f>IF($E2980="","",INDEX(成本费用登记表!$C$4:$C$303,291))</f>
        <v/>
      </c>
      <c r="K2980" s="26" t="str">
        <f>IF($E2980="","",INDEX(成本费用登记表!$D$4:$D$303,291))</f>
        <v/>
      </c>
      <c r="L2980" s="32" t="str">
        <f>IF($E2980="","",INDEX(成本费用登记表!$N$4:$N$303,291))</f>
        <v/>
      </c>
      <c r="M2980" s="32"/>
      <c r="N2980" s="26" t="str">
        <f t="shared" si="150"/>
        <v/>
      </c>
      <c r="O2980" s="26" t="str">
        <f t="shared" si="151"/>
        <v/>
      </c>
      <c r="P2980" s="10"/>
    </row>
    <row r="2981" ht="18" customHeight="1" spans="1:16">
      <c r="A2981" s="32" t="str">
        <f t="shared" si="152"/>
        <v/>
      </c>
      <c r="B2981" s="100" t="str">
        <f>IF($E2981="","",INDEX(成本费用登记表!$B$4:$B$303,291))</f>
        <v/>
      </c>
      <c r="C2981" s="26" t="str">
        <f t="shared" si="149"/>
        <v/>
      </c>
      <c r="D2981" s="32" t="str">
        <f>IF($E2981="","",INDEX(成本费用登记表!$E$4:$E$303,291))</f>
        <v/>
      </c>
      <c r="E2981" s="26" t="str">
        <f>IF(INDEX(成本费用登记表!$Q$4:$Y$303,291,4)=0,"",INDEX(成本费用登记表!$Q$4:$Y$303,291,4))</f>
        <v/>
      </c>
      <c r="F2981" s="25" t="str">
        <f>IF($E2981="","",IFERROR(INDEX(科目表!$A$4:$A$81,MATCH($E2981,科目表!$B$4:$B$81,0)),""))</f>
        <v/>
      </c>
      <c r="G2981" s="26" t="str">
        <f>IF($E2981="","",IFERROR(INDEX(科目表!$E$4:$E$81,MATCH($E2981,科目表!$B$4:$B$81,0)),""))</f>
        <v/>
      </c>
      <c r="H2981" s="27" t="str">
        <f>IF($E2981="","",N(INDEX(成本费用登记表!$Q$4:$Y$303,291,5)))</f>
        <v/>
      </c>
      <c r="I2981" s="27" t="str">
        <f>IF($E2981="","",N(INDEX(成本费用登记表!$Q$4:$Y$303,291,6)))</f>
        <v/>
      </c>
      <c r="J2981" s="26" t="str">
        <f>IF($E2981="","",INDEX(成本费用登记表!$C$4:$C$303,291))</f>
        <v/>
      </c>
      <c r="K2981" s="26" t="str">
        <f>IF($E2981="","",INDEX(成本费用登记表!$D$4:$D$303,291))</f>
        <v/>
      </c>
      <c r="L2981" s="32" t="str">
        <f>IF($E2981="","",INDEX(成本费用登记表!$N$4:$N$303,291))</f>
        <v/>
      </c>
      <c r="M2981" s="32"/>
      <c r="N2981" s="26" t="str">
        <f t="shared" si="150"/>
        <v/>
      </c>
      <c r="O2981" s="26" t="str">
        <f t="shared" si="151"/>
        <v/>
      </c>
      <c r="P2981" s="10"/>
    </row>
    <row r="2982" ht="18" customHeight="1" spans="1:16">
      <c r="A2982" s="32" t="str">
        <f t="shared" si="152"/>
        <v/>
      </c>
      <c r="B2982" s="100" t="str">
        <f>IF($E2982="","",INDEX(成本费用登记表!$B$4:$B$303,291))</f>
        <v/>
      </c>
      <c r="C2982" s="26" t="str">
        <f t="shared" si="149"/>
        <v/>
      </c>
      <c r="D2982" s="32" t="str">
        <f>IF($E2982="","",INDEX(成本费用登记表!$E$4:$E$303,291))</f>
        <v/>
      </c>
      <c r="E2982" s="26" t="str">
        <f>IF(INDEX(成本费用登记表!$Q$4:$Y$303,291,7)=0,"",INDEX(成本费用登记表!$Q$4:$Y$303,291,7))</f>
        <v/>
      </c>
      <c r="F2982" s="25" t="str">
        <f>IF($E2982="","",IFERROR(INDEX(科目表!$A$4:$A$81,MATCH($E2982,科目表!$B$4:$B$81,0)),""))</f>
        <v/>
      </c>
      <c r="G2982" s="26" t="str">
        <f>IF($E2982="","",IFERROR(INDEX(科目表!$E$4:$E$81,MATCH($E2982,科目表!$B$4:$B$81,0)),""))</f>
        <v/>
      </c>
      <c r="H2982" s="27" t="str">
        <f>IF($E2982="","",N(INDEX(成本费用登记表!$Q$4:$Y$303,291,8)))</f>
        <v/>
      </c>
      <c r="I2982" s="27" t="str">
        <f>IF($E2982="","",N(INDEX(成本费用登记表!$Q$4:$Y$303,291,9)))</f>
        <v/>
      </c>
      <c r="J2982" s="26" t="str">
        <f>IF($E2982="","",INDEX(成本费用登记表!$C$4:$C$303,291))</f>
        <v/>
      </c>
      <c r="K2982" s="26" t="str">
        <f>IF($E2982="","",INDEX(成本费用登记表!$D$4:$D$303,291))</f>
        <v/>
      </c>
      <c r="L2982" s="32" t="str">
        <f>IF($E2982="","",INDEX(成本费用登记表!$N$4:$N$303,291))</f>
        <v/>
      </c>
      <c r="M2982" s="32"/>
      <c r="N2982" s="26" t="str">
        <f t="shared" si="150"/>
        <v/>
      </c>
      <c r="O2982" s="26" t="str">
        <f t="shared" si="151"/>
        <v/>
      </c>
      <c r="P2982" s="10"/>
    </row>
    <row r="2983" ht="18" customHeight="1" spans="1:16">
      <c r="A2983" s="32" t="str">
        <f t="shared" si="152"/>
        <v/>
      </c>
      <c r="B2983" s="100" t="str">
        <f>IF($E2983="","",INDEX(成本费用登记表!$B$4:$B$303,292))</f>
        <v/>
      </c>
      <c r="C2983" s="26" t="str">
        <f t="shared" si="149"/>
        <v/>
      </c>
      <c r="D2983" s="32" t="str">
        <f>IF($E2983="","",INDEX(成本费用登记表!$E$4:$E$303,292))</f>
        <v/>
      </c>
      <c r="E2983" s="26" t="str">
        <f>IF(INDEX(成本费用登记表!$Q$4:$Y$303,292,1)=0,"",INDEX(成本费用登记表!$Q$4:$Y$303,292,1))</f>
        <v/>
      </c>
      <c r="F2983" s="25" t="str">
        <f>IF($E2983="","",IFERROR(INDEX(科目表!$A$4:$A$81,MATCH($E2983,科目表!$B$4:$B$81,0)),""))</f>
        <v/>
      </c>
      <c r="G2983" s="26" t="str">
        <f>IF($E2983="","",IFERROR(INDEX(科目表!$E$4:$E$81,MATCH($E2983,科目表!$B$4:$B$81,0)),""))</f>
        <v/>
      </c>
      <c r="H2983" s="27" t="str">
        <f>IF($E2983="","",N(INDEX(成本费用登记表!$Q$4:$Y$303,292,2)))</f>
        <v/>
      </c>
      <c r="I2983" s="27" t="str">
        <f>IF($E2983="","",N(INDEX(成本费用登记表!$Q$4:$Y$303,292,3)))</f>
        <v/>
      </c>
      <c r="J2983" s="26" t="str">
        <f>IF($E2983="","",INDEX(成本费用登记表!$C$4:$C$303,292))</f>
        <v/>
      </c>
      <c r="K2983" s="26" t="str">
        <f>IF($E2983="","",INDEX(成本费用登记表!$D$4:$D$303,292))</f>
        <v/>
      </c>
      <c r="L2983" s="32" t="str">
        <f>IF($E2983="","",INDEX(成本费用登记表!$N$4:$N$303,292))</f>
        <v/>
      </c>
      <c r="M2983" s="32"/>
      <c r="N2983" s="26" t="str">
        <f t="shared" si="150"/>
        <v/>
      </c>
      <c r="O2983" s="26" t="str">
        <f t="shared" si="151"/>
        <v/>
      </c>
      <c r="P2983" s="10"/>
    </row>
    <row r="2984" ht="18" customHeight="1" spans="1:16">
      <c r="A2984" s="32" t="str">
        <f t="shared" si="152"/>
        <v/>
      </c>
      <c r="B2984" s="100" t="str">
        <f>IF($E2984="","",INDEX(成本费用登记表!$B$4:$B$303,292))</f>
        <v/>
      </c>
      <c r="C2984" s="26" t="str">
        <f t="shared" si="149"/>
        <v/>
      </c>
      <c r="D2984" s="32" t="str">
        <f>IF($E2984="","",INDEX(成本费用登记表!$E$4:$E$303,292))</f>
        <v/>
      </c>
      <c r="E2984" s="26" t="str">
        <f>IF(INDEX(成本费用登记表!$Q$4:$Y$303,292,4)=0,"",INDEX(成本费用登记表!$Q$4:$Y$303,292,4))</f>
        <v/>
      </c>
      <c r="F2984" s="25" t="str">
        <f>IF($E2984="","",IFERROR(INDEX(科目表!$A$4:$A$81,MATCH($E2984,科目表!$B$4:$B$81,0)),""))</f>
        <v/>
      </c>
      <c r="G2984" s="26" t="str">
        <f>IF($E2984="","",IFERROR(INDEX(科目表!$E$4:$E$81,MATCH($E2984,科目表!$B$4:$B$81,0)),""))</f>
        <v/>
      </c>
      <c r="H2984" s="27" t="str">
        <f>IF($E2984="","",N(INDEX(成本费用登记表!$Q$4:$Y$303,292,5)))</f>
        <v/>
      </c>
      <c r="I2984" s="27" t="str">
        <f>IF($E2984="","",N(INDEX(成本费用登记表!$Q$4:$Y$303,292,6)))</f>
        <v/>
      </c>
      <c r="J2984" s="26" t="str">
        <f>IF($E2984="","",INDEX(成本费用登记表!$C$4:$C$303,292))</f>
        <v/>
      </c>
      <c r="K2984" s="26" t="str">
        <f>IF($E2984="","",INDEX(成本费用登记表!$D$4:$D$303,292))</f>
        <v/>
      </c>
      <c r="L2984" s="32" t="str">
        <f>IF($E2984="","",INDEX(成本费用登记表!$N$4:$N$303,292))</f>
        <v/>
      </c>
      <c r="M2984" s="32"/>
      <c r="N2984" s="26" t="str">
        <f t="shared" si="150"/>
        <v/>
      </c>
      <c r="O2984" s="26" t="str">
        <f t="shared" si="151"/>
        <v/>
      </c>
      <c r="P2984" s="10"/>
    </row>
    <row r="2985" ht="18" customHeight="1" spans="1:16">
      <c r="A2985" s="32" t="str">
        <f t="shared" si="152"/>
        <v/>
      </c>
      <c r="B2985" s="100" t="str">
        <f>IF($E2985="","",INDEX(成本费用登记表!$B$4:$B$303,292))</f>
        <v/>
      </c>
      <c r="C2985" s="26" t="str">
        <f t="shared" si="149"/>
        <v/>
      </c>
      <c r="D2985" s="32" t="str">
        <f>IF($E2985="","",INDEX(成本费用登记表!$E$4:$E$303,292))</f>
        <v/>
      </c>
      <c r="E2985" s="26" t="str">
        <f>IF(INDEX(成本费用登记表!$Q$4:$Y$303,292,7)=0,"",INDEX(成本费用登记表!$Q$4:$Y$303,292,7))</f>
        <v/>
      </c>
      <c r="F2985" s="25" t="str">
        <f>IF($E2985="","",IFERROR(INDEX(科目表!$A$4:$A$81,MATCH($E2985,科目表!$B$4:$B$81,0)),""))</f>
        <v/>
      </c>
      <c r="G2985" s="26" t="str">
        <f>IF($E2985="","",IFERROR(INDEX(科目表!$E$4:$E$81,MATCH($E2985,科目表!$B$4:$B$81,0)),""))</f>
        <v/>
      </c>
      <c r="H2985" s="27" t="str">
        <f>IF($E2985="","",N(INDEX(成本费用登记表!$Q$4:$Y$303,292,8)))</f>
        <v/>
      </c>
      <c r="I2985" s="27" t="str">
        <f>IF($E2985="","",N(INDEX(成本费用登记表!$Q$4:$Y$303,292,9)))</f>
        <v/>
      </c>
      <c r="J2985" s="26" t="str">
        <f>IF($E2985="","",INDEX(成本费用登记表!$C$4:$C$303,292))</f>
        <v/>
      </c>
      <c r="K2985" s="26" t="str">
        <f>IF($E2985="","",INDEX(成本费用登记表!$D$4:$D$303,292))</f>
        <v/>
      </c>
      <c r="L2985" s="32" t="str">
        <f>IF($E2985="","",INDEX(成本费用登记表!$N$4:$N$303,292))</f>
        <v/>
      </c>
      <c r="M2985" s="32"/>
      <c r="N2985" s="26" t="str">
        <f t="shared" si="150"/>
        <v/>
      </c>
      <c r="O2985" s="26" t="str">
        <f t="shared" si="151"/>
        <v/>
      </c>
      <c r="P2985" s="10"/>
    </row>
    <row r="2986" ht="18" customHeight="1" spans="1:16">
      <c r="A2986" s="32" t="str">
        <f t="shared" si="152"/>
        <v/>
      </c>
      <c r="B2986" s="100" t="str">
        <f>IF($E2986="","",INDEX(成本费用登记表!$B$4:$B$303,293))</f>
        <v/>
      </c>
      <c r="C2986" s="26" t="str">
        <f t="shared" si="149"/>
        <v/>
      </c>
      <c r="D2986" s="32" t="str">
        <f>IF($E2986="","",INDEX(成本费用登记表!$E$4:$E$303,293))</f>
        <v/>
      </c>
      <c r="E2986" s="26" t="str">
        <f>IF(INDEX(成本费用登记表!$Q$4:$Y$303,293,1)=0,"",INDEX(成本费用登记表!$Q$4:$Y$303,293,1))</f>
        <v/>
      </c>
      <c r="F2986" s="25" t="str">
        <f>IF($E2986="","",IFERROR(INDEX(科目表!$A$4:$A$81,MATCH($E2986,科目表!$B$4:$B$81,0)),""))</f>
        <v/>
      </c>
      <c r="G2986" s="26" t="str">
        <f>IF($E2986="","",IFERROR(INDEX(科目表!$E$4:$E$81,MATCH($E2986,科目表!$B$4:$B$81,0)),""))</f>
        <v/>
      </c>
      <c r="H2986" s="27" t="str">
        <f>IF($E2986="","",N(INDEX(成本费用登记表!$Q$4:$Y$303,293,2)))</f>
        <v/>
      </c>
      <c r="I2986" s="27" t="str">
        <f>IF($E2986="","",N(INDEX(成本费用登记表!$Q$4:$Y$303,293,3)))</f>
        <v/>
      </c>
      <c r="J2986" s="26" t="str">
        <f>IF($E2986="","",INDEX(成本费用登记表!$C$4:$C$303,293))</f>
        <v/>
      </c>
      <c r="K2986" s="26" t="str">
        <f>IF($E2986="","",INDEX(成本费用登记表!$D$4:$D$303,293))</f>
        <v/>
      </c>
      <c r="L2986" s="32" t="str">
        <f>IF($E2986="","",INDEX(成本费用登记表!$N$4:$N$303,293))</f>
        <v/>
      </c>
      <c r="M2986" s="32"/>
      <c r="N2986" s="26" t="str">
        <f t="shared" si="150"/>
        <v/>
      </c>
      <c r="O2986" s="26" t="str">
        <f t="shared" si="151"/>
        <v/>
      </c>
      <c r="P2986" s="10"/>
    </row>
    <row r="2987" ht="18" customHeight="1" spans="1:16">
      <c r="A2987" s="32" t="str">
        <f t="shared" si="152"/>
        <v/>
      </c>
      <c r="B2987" s="100" t="str">
        <f>IF($E2987="","",INDEX(成本费用登记表!$B$4:$B$303,293))</f>
        <v/>
      </c>
      <c r="C2987" s="26" t="str">
        <f t="shared" si="149"/>
        <v/>
      </c>
      <c r="D2987" s="32" t="str">
        <f>IF($E2987="","",INDEX(成本费用登记表!$E$4:$E$303,293))</f>
        <v/>
      </c>
      <c r="E2987" s="26" t="str">
        <f>IF(INDEX(成本费用登记表!$Q$4:$Y$303,293,4)=0,"",INDEX(成本费用登记表!$Q$4:$Y$303,293,4))</f>
        <v/>
      </c>
      <c r="F2987" s="25" t="str">
        <f>IF($E2987="","",IFERROR(INDEX(科目表!$A$4:$A$81,MATCH($E2987,科目表!$B$4:$B$81,0)),""))</f>
        <v/>
      </c>
      <c r="G2987" s="26" t="str">
        <f>IF($E2987="","",IFERROR(INDEX(科目表!$E$4:$E$81,MATCH($E2987,科目表!$B$4:$B$81,0)),""))</f>
        <v/>
      </c>
      <c r="H2987" s="27" t="str">
        <f>IF($E2987="","",N(INDEX(成本费用登记表!$Q$4:$Y$303,293,5)))</f>
        <v/>
      </c>
      <c r="I2987" s="27" t="str">
        <f>IF($E2987="","",N(INDEX(成本费用登记表!$Q$4:$Y$303,293,6)))</f>
        <v/>
      </c>
      <c r="J2987" s="26" t="str">
        <f>IF($E2987="","",INDEX(成本费用登记表!$C$4:$C$303,293))</f>
        <v/>
      </c>
      <c r="K2987" s="26" t="str">
        <f>IF($E2987="","",INDEX(成本费用登记表!$D$4:$D$303,293))</f>
        <v/>
      </c>
      <c r="L2987" s="32" t="str">
        <f>IF($E2987="","",INDEX(成本费用登记表!$N$4:$N$303,293))</f>
        <v/>
      </c>
      <c r="M2987" s="32"/>
      <c r="N2987" s="26" t="str">
        <f t="shared" si="150"/>
        <v/>
      </c>
      <c r="O2987" s="26" t="str">
        <f t="shared" si="151"/>
        <v/>
      </c>
      <c r="P2987" s="10"/>
    </row>
    <row r="2988" ht="18" customHeight="1" spans="1:16">
      <c r="A2988" s="32" t="str">
        <f t="shared" si="152"/>
        <v/>
      </c>
      <c r="B2988" s="100" t="str">
        <f>IF($E2988="","",INDEX(成本费用登记表!$B$4:$B$303,293))</f>
        <v/>
      </c>
      <c r="C2988" s="26" t="str">
        <f t="shared" si="149"/>
        <v/>
      </c>
      <c r="D2988" s="32" t="str">
        <f>IF($E2988="","",INDEX(成本费用登记表!$E$4:$E$303,293))</f>
        <v/>
      </c>
      <c r="E2988" s="26" t="str">
        <f>IF(INDEX(成本费用登记表!$Q$4:$Y$303,293,7)=0,"",INDEX(成本费用登记表!$Q$4:$Y$303,293,7))</f>
        <v/>
      </c>
      <c r="F2988" s="25" t="str">
        <f>IF($E2988="","",IFERROR(INDEX(科目表!$A$4:$A$81,MATCH($E2988,科目表!$B$4:$B$81,0)),""))</f>
        <v/>
      </c>
      <c r="G2988" s="26" t="str">
        <f>IF($E2988="","",IFERROR(INDEX(科目表!$E$4:$E$81,MATCH($E2988,科目表!$B$4:$B$81,0)),""))</f>
        <v/>
      </c>
      <c r="H2988" s="27" t="str">
        <f>IF($E2988="","",N(INDEX(成本费用登记表!$Q$4:$Y$303,293,8)))</f>
        <v/>
      </c>
      <c r="I2988" s="27" t="str">
        <f>IF($E2988="","",N(INDEX(成本费用登记表!$Q$4:$Y$303,293,9)))</f>
        <v/>
      </c>
      <c r="J2988" s="26" t="str">
        <f>IF($E2988="","",INDEX(成本费用登记表!$C$4:$C$303,293))</f>
        <v/>
      </c>
      <c r="K2988" s="26" t="str">
        <f>IF($E2988="","",INDEX(成本费用登记表!$D$4:$D$303,293))</f>
        <v/>
      </c>
      <c r="L2988" s="32" t="str">
        <f>IF($E2988="","",INDEX(成本费用登记表!$N$4:$N$303,293))</f>
        <v/>
      </c>
      <c r="M2988" s="32"/>
      <c r="N2988" s="26" t="str">
        <f t="shared" si="150"/>
        <v/>
      </c>
      <c r="O2988" s="26" t="str">
        <f t="shared" si="151"/>
        <v/>
      </c>
      <c r="P2988" s="10"/>
    </row>
    <row r="2989" ht="18" customHeight="1" spans="1:16">
      <c r="A2989" s="32" t="str">
        <f t="shared" si="152"/>
        <v/>
      </c>
      <c r="B2989" s="100" t="str">
        <f>IF($E2989="","",INDEX(成本费用登记表!$B$4:$B$303,294))</f>
        <v/>
      </c>
      <c r="C2989" s="26" t="str">
        <f t="shared" si="149"/>
        <v/>
      </c>
      <c r="D2989" s="32" t="str">
        <f>IF($E2989="","",INDEX(成本费用登记表!$E$4:$E$303,294))</f>
        <v/>
      </c>
      <c r="E2989" s="26" t="str">
        <f>IF(INDEX(成本费用登记表!$Q$4:$Y$303,294,1)=0,"",INDEX(成本费用登记表!$Q$4:$Y$303,294,1))</f>
        <v/>
      </c>
      <c r="F2989" s="25" t="str">
        <f>IF($E2989="","",IFERROR(INDEX(科目表!$A$4:$A$81,MATCH($E2989,科目表!$B$4:$B$81,0)),""))</f>
        <v/>
      </c>
      <c r="G2989" s="26" t="str">
        <f>IF($E2989="","",IFERROR(INDEX(科目表!$E$4:$E$81,MATCH($E2989,科目表!$B$4:$B$81,0)),""))</f>
        <v/>
      </c>
      <c r="H2989" s="27" t="str">
        <f>IF($E2989="","",N(INDEX(成本费用登记表!$Q$4:$Y$303,294,2)))</f>
        <v/>
      </c>
      <c r="I2989" s="27" t="str">
        <f>IF($E2989="","",N(INDEX(成本费用登记表!$Q$4:$Y$303,294,3)))</f>
        <v/>
      </c>
      <c r="J2989" s="26" t="str">
        <f>IF($E2989="","",INDEX(成本费用登记表!$C$4:$C$303,294))</f>
        <v/>
      </c>
      <c r="K2989" s="26" t="str">
        <f>IF($E2989="","",INDEX(成本费用登记表!$D$4:$D$303,294))</f>
        <v/>
      </c>
      <c r="L2989" s="32" t="str">
        <f>IF($E2989="","",INDEX(成本费用登记表!$N$4:$N$303,294))</f>
        <v/>
      </c>
      <c r="M2989" s="32"/>
      <c r="N2989" s="26" t="str">
        <f t="shared" si="150"/>
        <v/>
      </c>
      <c r="O2989" s="26" t="str">
        <f t="shared" si="151"/>
        <v/>
      </c>
      <c r="P2989" s="10"/>
    </row>
    <row r="2990" ht="18" customHeight="1" spans="1:16">
      <c r="A2990" s="32" t="str">
        <f t="shared" si="152"/>
        <v/>
      </c>
      <c r="B2990" s="100" t="str">
        <f>IF($E2990="","",INDEX(成本费用登记表!$B$4:$B$303,294))</f>
        <v/>
      </c>
      <c r="C2990" s="26" t="str">
        <f t="shared" si="149"/>
        <v/>
      </c>
      <c r="D2990" s="32" t="str">
        <f>IF($E2990="","",INDEX(成本费用登记表!$E$4:$E$303,294))</f>
        <v/>
      </c>
      <c r="E2990" s="26" t="str">
        <f>IF(INDEX(成本费用登记表!$Q$4:$Y$303,294,4)=0,"",INDEX(成本费用登记表!$Q$4:$Y$303,294,4))</f>
        <v/>
      </c>
      <c r="F2990" s="25" t="str">
        <f>IF($E2990="","",IFERROR(INDEX(科目表!$A$4:$A$81,MATCH($E2990,科目表!$B$4:$B$81,0)),""))</f>
        <v/>
      </c>
      <c r="G2990" s="26" t="str">
        <f>IF($E2990="","",IFERROR(INDEX(科目表!$E$4:$E$81,MATCH($E2990,科目表!$B$4:$B$81,0)),""))</f>
        <v/>
      </c>
      <c r="H2990" s="27" t="str">
        <f>IF($E2990="","",N(INDEX(成本费用登记表!$Q$4:$Y$303,294,5)))</f>
        <v/>
      </c>
      <c r="I2990" s="27" t="str">
        <f>IF($E2990="","",N(INDEX(成本费用登记表!$Q$4:$Y$303,294,6)))</f>
        <v/>
      </c>
      <c r="J2990" s="26" t="str">
        <f>IF($E2990="","",INDEX(成本费用登记表!$C$4:$C$303,294))</f>
        <v/>
      </c>
      <c r="K2990" s="26" t="str">
        <f>IF($E2990="","",INDEX(成本费用登记表!$D$4:$D$303,294))</f>
        <v/>
      </c>
      <c r="L2990" s="32" t="str">
        <f>IF($E2990="","",INDEX(成本费用登记表!$N$4:$N$303,294))</f>
        <v/>
      </c>
      <c r="M2990" s="32"/>
      <c r="N2990" s="26" t="str">
        <f t="shared" si="150"/>
        <v/>
      </c>
      <c r="O2990" s="26" t="str">
        <f t="shared" si="151"/>
        <v/>
      </c>
      <c r="P2990" s="10"/>
    </row>
    <row r="2991" ht="18" customHeight="1" spans="1:16">
      <c r="A2991" s="32" t="str">
        <f t="shared" si="152"/>
        <v/>
      </c>
      <c r="B2991" s="100" t="str">
        <f>IF($E2991="","",INDEX(成本费用登记表!$B$4:$B$303,294))</f>
        <v/>
      </c>
      <c r="C2991" s="26" t="str">
        <f t="shared" si="149"/>
        <v/>
      </c>
      <c r="D2991" s="32" t="str">
        <f>IF($E2991="","",INDEX(成本费用登记表!$E$4:$E$303,294))</f>
        <v/>
      </c>
      <c r="E2991" s="26" t="str">
        <f>IF(INDEX(成本费用登记表!$Q$4:$Y$303,294,7)=0,"",INDEX(成本费用登记表!$Q$4:$Y$303,294,7))</f>
        <v/>
      </c>
      <c r="F2991" s="25" t="str">
        <f>IF($E2991="","",IFERROR(INDEX(科目表!$A$4:$A$81,MATCH($E2991,科目表!$B$4:$B$81,0)),""))</f>
        <v/>
      </c>
      <c r="G2991" s="26" t="str">
        <f>IF($E2991="","",IFERROR(INDEX(科目表!$E$4:$E$81,MATCH($E2991,科目表!$B$4:$B$81,0)),""))</f>
        <v/>
      </c>
      <c r="H2991" s="27" t="str">
        <f>IF($E2991="","",N(INDEX(成本费用登记表!$Q$4:$Y$303,294,8)))</f>
        <v/>
      </c>
      <c r="I2991" s="27" t="str">
        <f>IF($E2991="","",N(INDEX(成本费用登记表!$Q$4:$Y$303,294,9)))</f>
        <v/>
      </c>
      <c r="J2991" s="26" t="str">
        <f>IF($E2991="","",INDEX(成本费用登记表!$C$4:$C$303,294))</f>
        <v/>
      </c>
      <c r="K2991" s="26" t="str">
        <f>IF($E2991="","",INDEX(成本费用登记表!$D$4:$D$303,294))</f>
        <v/>
      </c>
      <c r="L2991" s="32" t="str">
        <f>IF($E2991="","",INDEX(成本费用登记表!$N$4:$N$303,294))</f>
        <v/>
      </c>
      <c r="M2991" s="32"/>
      <c r="N2991" s="26" t="str">
        <f t="shared" si="150"/>
        <v/>
      </c>
      <c r="O2991" s="26" t="str">
        <f t="shared" si="151"/>
        <v/>
      </c>
      <c r="P2991" s="10"/>
    </row>
    <row r="2992" ht="18" customHeight="1" spans="1:16">
      <c r="A2992" s="32" t="str">
        <f t="shared" si="152"/>
        <v/>
      </c>
      <c r="B2992" s="100" t="str">
        <f>IF($E2992="","",INDEX(成本费用登记表!$B$4:$B$303,295))</f>
        <v/>
      </c>
      <c r="C2992" s="26" t="str">
        <f t="shared" si="149"/>
        <v/>
      </c>
      <c r="D2992" s="32" t="str">
        <f>IF($E2992="","",INDEX(成本费用登记表!$E$4:$E$303,295))</f>
        <v/>
      </c>
      <c r="E2992" s="26" t="str">
        <f>IF(INDEX(成本费用登记表!$Q$4:$Y$303,295,1)=0,"",INDEX(成本费用登记表!$Q$4:$Y$303,295,1))</f>
        <v/>
      </c>
      <c r="F2992" s="25" t="str">
        <f>IF($E2992="","",IFERROR(INDEX(科目表!$A$4:$A$81,MATCH($E2992,科目表!$B$4:$B$81,0)),""))</f>
        <v/>
      </c>
      <c r="G2992" s="26" t="str">
        <f>IF($E2992="","",IFERROR(INDEX(科目表!$E$4:$E$81,MATCH($E2992,科目表!$B$4:$B$81,0)),""))</f>
        <v/>
      </c>
      <c r="H2992" s="27" t="str">
        <f>IF($E2992="","",N(INDEX(成本费用登记表!$Q$4:$Y$303,295,2)))</f>
        <v/>
      </c>
      <c r="I2992" s="27" t="str">
        <f>IF($E2992="","",N(INDEX(成本费用登记表!$Q$4:$Y$303,295,3)))</f>
        <v/>
      </c>
      <c r="J2992" s="26" t="str">
        <f>IF($E2992="","",INDEX(成本费用登记表!$C$4:$C$303,295))</f>
        <v/>
      </c>
      <c r="K2992" s="26" t="str">
        <f>IF($E2992="","",INDEX(成本费用登记表!$D$4:$D$303,295))</f>
        <v/>
      </c>
      <c r="L2992" s="32" t="str">
        <f>IF($E2992="","",INDEX(成本费用登记表!$N$4:$N$303,295))</f>
        <v/>
      </c>
      <c r="M2992" s="32"/>
      <c r="N2992" s="26" t="str">
        <f t="shared" si="150"/>
        <v/>
      </c>
      <c r="O2992" s="26" t="str">
        <f t="shared" si="151"/>
        <v/>
      </c>
      <c r="P2992" s="10"/>
    </row>
    <row r="2993" ht="18" customHeight="1" spans="1:16">
      <c r="A2993" s="32" t="str">
        <f t="shared" si="152"/>
        <v/>
      </c>
      <c r="B2993" s="100" t="str">
        <f>IF($E2993="","",INDEX(成本费用登记表!$B$4:$B$303,295))</f>
        <v/>
      </c>
      <c r="C2993" s="26" t="str">
        <f t="shared" si="149"/>
        <v/>
      </c>
      <c r="D2993" s="32" t="str">
        <f>IF($E2993="","",INDEX(成本费用登记表!$E$4:$E$303,295))</f>
        <v/>
      </c>
      <c r="E2993" s="26" t="str">
        <f>IF(INDEX(成本费用登记表!$Q$4:$Y$303,295,4)=0,"",INDEX(成本费用登记表!$Q$4:$Y$303,295,4))</f>
        <v/>
      </c>
      <c r="F2993" s="25" t="str">
        <f>IF($E2993="","",IFERROR(INDEX(科目表!$A$4:$A$81,MATCH($E2993,科目表!$B$4:$B$81,0)),""))</f>
        <v/>
      </c>
      <c r="G2993" s="26" t="str">
        <f>IF($E2993="","",IFERROR(INDEX(科目表!$E$4:$E$81,MATCH($E2993,科目表!$B$4:$B$81,0)),""))</f>
        <v/>
      </c>
      <c r="H2993" s="27" t="str">
        <f>IF($E2993="","",N(INDEX(成本费用登记表!$Q$4:$Y$303,295,5)))</f>
        <v/>
      </c>
      <c r="I2993" s="27" t="str">
        <f>IF($E2993="","",N(INDEX(成本费用登记表!$Q$4:$Y$303,295,6)))</f>
        <v/>
      </c>
      <c r="J2993" s="26" t="str">
        <f>IF($E2993="","",INDEX(成本费用登记表!$C$4:$C$303,295))</f>
        <v/>
      </c>
      <c r="K2993" s="26" t="str">
        <f>IF($E2993="","",INDEX(成本费用登记表!$D$4:$D$303,295))</f>
        <v/>
      </c>
      <c r="L2993" s="32" t="str">
        <f>IF($E2993="","",INDEX(成本费用登记表!$N$4:$N$303,295))</f>
        <v/>
      </c>
      <c r="M2993" s="32"/>
      <c r="N2993" s="26" t="str">
        <f t="shared" si="150"/>
        <v/>
      </c>
      <c r="O2993" s="26" t="str">
        <f t="shared" si="151"/>
        <v/>
      </c>
      <c r="P2993" s="10"/>
    </row>
    <row r="2994" ht="18" customHeight="1" spans="1:16">
      <c r="A2994" s="32" t="str">
        <f t="shared" si="152"/>
        <v/>
      </c>
      <c r="B2994" s="100" t="str">
        <f>IF($E2994="","",INDEX(成本费用登记表!$B$4:$B$303,295))</f>
        <v/>
      </c>
      <c r="C2994" s="26" t="str">
        <f t="shared" si="149"/>
        <v/>
      </c>
      <c r="D2994" s="32" t="str">
        <f>IF($E2994="","",INDEX(成本费用登记表!$E$4:$E$303,295))</f>
        <v/>
      </c>
      <c r="E2994" s="26" t="str">
        <f>IF(INDEX(成本费用登记表!$Q$4:$Y$303,295,7)=0,"",INDEX(成本费用登记表!$Q$4:$Y$303,295,7))</f>
        <v/>
      </c>
      <c r="F2994" s="25" t="str">
        <f>IF($E2994="","",IFERROR(INDEX(科目表!$A$4:$A$81,MATCH($E2994,科目表!$B$4:$B$81,0)),""))</f>
        <v/>
      </c>
      <c r="G2994" s="26" t="str">
        <f>IF($E2994="","",IFERROR(INDEX(科目表!$E$4:$E$81,MATCH($E2994,科目表!$B$4:$B$81,0)),""))</f>
        <v/>
      </c>
      <c r="H2994" s="27" t="str">
        <f>IF($E2994="","",N(INDEX(成本费用登记表!$Q$4:$Y$303,295,8)))</f>
        <v/>
      </c>
      <c r="I2994" s="27" t="str">
        <f>IF($E2994="","",N(INDEX(成本费用登记表!$Q$4:$Y$303,295,9)))</f>
        <v/>
      </c>
      <c r="J2994" s="26" t="str">
        <f>IF($E2994="","",INDEX(成本费用登记表!$C$4:$C$303,295))</f>
        <v/>
      </c>
      <c r="K2994" s="26" t="str">
        <f>IF($E2994="","",INDEX(成本费用登记表!$D$4:$D$303,295))</f>
        <v/>
      </c>
      <c r="L2994" s="32" t="str">
        <f>IF($E2994="","",INDEX(成本费用登记表!$N$4:$N$303,295))</f>
        <v/>
      </c>
      <c r="M2994" s="32"/>
      <c r="N2994" s="26" t="str">
        <f t="shared" si="150"/>
        <v/>
      </c>
      <c r="O2994" s="26" t="str">
        <f t="shared" si="151"/>
        <v/>
      </c>
      <c r="P2994" s="10"/>
    </row>
    <row r="2995" ht="18" customHeight="1" spans="1:16">
      <c r="A2995" s="32" t="str">
        <f t="shared" si="152"/>
        <v/>
      </c>
      <c r="B2995" s="100" t="str">
        <f>IF($E2995="","",INDEX(成本费用登记表!$B$4:$B$303,296))</f>
        <v/>
      </c>
      <c r="C2995" s="26" t="str">
        <f t="shared" si="149"/>
        <v/>
      </c>
      <c r="D2995" s="32" t="str">
        <f>IF($E2995="","",INDEX(成本费用登记表!$E$4:$E$303,296))</f>
        <v/>
      </c>
      <c r="E2995" s="26" t="str">
        <f>IF(INDEX(成本费用登记表!$Q$4:$Y$303,296,1)=0,"",INDEX(成本费用登记表!$Q$4:$Y$303,296,1))</f>
        <v/>
      </c>
      <c r="F2995" s="25" t="str">
        <f>IF($E2995="","",IFERROR(INDEX(科目表!$A$4:$A$81,MATCH($E2995,科目表!$B$4:$B$81,0)),""))</f>
        <v/>
      </c>
      <c r="G2995" s="26" t="str">
        <f>IF($E2995="","",IFERROR(INDEX(科目表!$E$4:$E$81,MATCH($E2995,科目表!$B$4:$B$81,0)),""))</f>
        <v/>
      </c>
      <c r="H2995" s="27" t="str">
        <f>IF($E2995="","",N(INDEX(成本费用登记表!$Q$4:$Y$303,296,2)))</f>
        <v/>
      </c>
      <c r="I2995" s="27" t="str">
        <f>IF($E2995="","",N(INDEX(成本费用登记表!$Q$4:$Y$303,296,3)))</f>
        <v/>
      </c>
      <c r="J2995" s="26" t="str">
        <f>IF($E2995="","",INDEX(成本费用登记表!$C$4:$C$303,296))</f>
        <v/>
      </c>
      <c r="K2995" s="26" t="str">
        <f>IF($E2995="","",INDEX(成本费用登记表!$D$4:$D$303,296))</f>
        <v/>
      </c>
      <c r="L2995" s="32" t="str">
        <f>IF($E2995="","",INDEX(成本费用登记表!$N$4:$N$303,296))</f>
        <v/>
      </c>
      <c r="M2995" s="32"/>
      <c r="N2995" s="26" t="str">
        <f t="shared" si="150"/>
        <v/>
      </c>
      <c r="O2995" s="26" t="str">
        <f t="shared" si="151"/>
        <v/>
      </c>
      <c r="P2995" s="10"/>
    </row>
    <row r="2996" ht="18" customHeight="1" spans="1:16">
      <c r="A2996" s="32" t="str">
        <f t="shared" si="152"/>
        <v/>
      </c>
      <c r="B2996" s="100" t="str">
        <f>IF($E2996="","",INDEX(成本费用登记表!$B$4:$B$303,296))</f>
        <v/>
      </c>
      <c r="C2996" s="26" t="str">
        <f t="shared" si="149"/>
        <v/>
      </c>
      <c r="D2996" s="32" t="str">
        <f>IF($E2996="","",INDEX(成本费用登记表!$E$4:$E$303,296))</f>
        <v/>
      </c>
      <c r="E2996" s="26" t="str">
        <f>IF(INDEX(成本费用登记表!$Q$4:$Y$303,296,4)=0,"",INDEX(成本费用登记表!$Q$4:$Y$303,296,4))</f>
        <v/>
      </c>
      <c r="F2996" s="25" t="str">
        <f>IF($E2996="","",IFERROR(INDEX(科目表!$A$4:$A$81,MATCH($E2996,科目表!$B$4:$B$81,0)),""))</f>
        <v/>
      </c>
      <c r="G2996" s="26" t="str">
        <f>IF($E2996="","",IFERROR(INDEX(科目表!$E$4:$E$81,MATCH($E2996,科目表!$B$4:$B$81,0)),""))</f>
        <v/>
      </c>
      <c r="H2996" s="27" t="str">
        <f>IF($E2996="","",N(INDEX(成本费用登记表!$Q$4:$Y$303,296,5)))</f>
        <v/>
      </c>
      <c r="I2996" s="27" t="str">
        <f>IF($E2996="","",N(INDEX(成本费用登记表!$Q$4:$Y$303,296,6)))</f>
        <v/>
      </c>
      <c r="J2996" s="26" t="str">
        <f>IF($E2996="","",INDEX(成本费用登记表!$C$4:$C$303,296))</f>
        <v/>
      </c>
      <c r="K2996" s="26" t="str">
        <f>IF($E2996="","",INDEX(成本费用登记表!$D$4:$D$303,296))</f>
        <v/>
      </c>
      <c r="L2996" s="32" t="str">
        <f>IF($E2996="","",INDEX(成本费用登记表!$N$4:$N$303,296))</f>
        <v/>
      </c>
      <c r="M2996" s="32"/>
      <c r="N2996" s="26" t="str">
        <f t="shared" si="150"/>
        <v/>
      </c>
      <c r="O2996" s="26" t="str">
        <f t="shared" si="151"/>
        <v/>
      </c>
      <c r="P2996" s="10"/>
    </row>
    <row r="2997" ht="18" customHeight="1" spans="1:16">
      <c r="A2997" s="32" t="str">
        <f t="shared" si="152"/>
        <v/>
      </c>
      <c r="B2997" s="100" t="str">
        <f>IF($E2997="","",INDEX(成本费用登记表!$B$4:$B$303,296))</f>
        <v/>
      </c>
      <c r="C2997" s="26" t="str">
        <f t="shared" si="149"/>
        <v/>
      </c>
      <c r="D2997" s="32" t="str">
        <f>IF($E2997="","",INDEX(成本费用登记表!$E$4:$E$303,296))</f>
        <v/>
      </c>
      <c r="E2997" s="26" t="str">
        <f>IF(INDEX(成本费用登记表!$Q$4:$Y$303,296,7)=0,"",INDEX(成本费用登记表!$Q$4:$Y$303,296,7))</f>
        <v/>
      </c>
      <c r="F2997" s="25" t="str">
        <f>IF($E2997="","",IFERROR(INDEX(科目表!$A$4:$A$81,MATCH($E2997,科目表!$B$4:$B$81,0)),""))</f>
        <v/>
      </c>
      <c r="G2997" s="26" t="str">
        <f>IF($E2997="","",IFERROR(INDEX(科目表!$E$4:$E$81,MATCH($E2997,科目表!$B$4:$B$81,0)),""))</f>
        <v/>
      </c>
      <c r="H2997" s="27" t="str">
        <f>IF($E2997="","",N(INDEX(成本费用登记表!$Q$4:$Y$303,296,8)))</f>
        <v/>
      </c>
      <c r="I2997" s="27" t="str">
        <f>IF($E2997="","",N(INDEX(成本费用登记表!$Q$4:$Y$303,296,9)))</f>
        <v/>
      </c>
      <c r="J2997" s="26" t="str">
        <f>IF($E2997="","",INDEX(成本费用登记表!$C$4:$C$303,296))</f>
        <v/>
      </c>
      <c r="K2997" s="26" t="str">
        <f>IF($E2997="","",INDEX(成本费用登记表!$D$4:$D$303,296))</f>
        <v/>
      </c>
      <c r="L2997" s="32" t="str">
        <f>IF($E2997="","",INDEX(成本费用登记表!$N$4:$N$303,296))</f>
        <v/>
      </c>
      <c r="M2997" s="32"/>
      <c r="N2997" s="26" t="str">
        <f t="shared" si="150"/>
        <v/>
      </c>
      <c r="O2997" s="26" t="str">
        <f t="shared" si="151"/>
        <v/>
      </c>
      <c r="P2997" s="10"/>
    </row>
    <row r="2998" ht="18" customHeight="1" spans="1:16">
      <c r="A2998" s="32" t="str">
        <f t="shared" si="152"/>
        <v/>
      </c>
      <c r="B2998" s="100" t="str">
        <f>IF($E2998="","",INDEX(成本费用登记表!$B$4:$B$303,297))</f>
        <v/>
      </c>
      <c r="C2998" s="26" t="str">
        <f t="shared" si="149"/>
        <v/>
      </c>
      <c r="D2998" s="32" t="str">
        <f>IF($E2998="","",INDEX(成本费用登记表!$E$4:$E$303,297))</f>
        <v/>
      </c>
      <c r="E2998" s="26" t="str">
        <f>IF(INDEX(成本费用登记表!$Q$4:$Y$303,297,1)=0,"",INDEX(成本费用登记表!$Q$4:$Y$303,297,1))</f>
        <v/>
      </c>
      <c r="F2998" s="25" t="str">
        <f>IF($E2998="","",IFERROR(INDEX(科目表!$A$4:$A$81,MATCH($E2998,科目表!$B$4:$B$81,0)),""))</f>
        <v/>
      </c>
      <c r="G2998" s="26" t="str">
        <f>IF($E2998="","",IFERROR(INDEX(科目表!$E$4:$E$81,MATCH($E2998,科目表!$B$4:$B$81,0)),""))</f>
        <v/>
      </c>
      <c r="H2998" s="27" t="str">
        <f>IF($E2998="","",N(INDEX(成本费用登记表!$Q$4:$Y$303,297,2)))</f>
        <v/>
      </c>
      <c r="I2998" s="27" t="str">
        <f>IF($E2998="","",N(INDEX(成本费用登记表!$Q$4:$Y$303,297,3)))</f>
        <v/>
      </c>
      <c r="J2998" s="26" t="str">
        <f>IF($E2998="","",INDEX(成本费用登记表!$C$4:$C$303,297))</f>
        <v/>
      </c>
      <c r="K2998" s="26" t="str">
        <f>IF($E2998="","",INDEX(成本费用登记表!$D$4:$D$303,297))</f>
        <v/>
      </c>
      <c r="L2998" s="32" t="str">
        <f>IF($E2998="","",INDEX(成本费用登记表!$N$4:$N$303,297))</f>
        <v/>
      </c>
      <c r="M2998" s="32"/>
      <c r="N2998" s="26" t="str">
        <f t="shared" si="150"/>
        <v/>
      </c>
      <c r="O2998" s="26" t="str">
        <f t="shared" si="151"/>
        <v/>
      </c>
      <c r="P2998" s="10"/>
    </row>
    <row r="2999" ht="18" customHeight="1" spans="1:16">
      <c r="A2999" s="32" t="str">
        <f t="shared" si="152"/>
        <v/>
      </c>
      <c r="B2999" s="100" t="str">
        <f>IF($E2999="","",INDEX(成本费用登记表!$B$4:$B$303,297))</f>
        <v/>
      </c>
      <c r="C2999" s="26" t="str">
        <f t="shared" si="149"/>
        <v/>
      </c>
      <c r="D2999" s="32" t="str">
        <f>IF($E2999="","",INDEX(成本费用登记表!$E$4:$E$303,297))</f>
        <v/>
      </c>
      <c r="E2999" s="26" t="str">
        <f>IF(INDEX(成本费用登记表!$Q$4:$Y$303,297,4)=0,"",INDEX(成本费用登记表!$Q$4:$Y$303,297,4))</f>
        <v/>
      </c>
      <c r="F2999" s="25" t="str">
        <f>IF($E2999="","",IFERROR(INDEX(科目表!$A$4:$A$81,MATCH($E2999,科目表!$B$4:$B$81,0)),""))</f>
        <v/>
      </c>
      <c r="G2999" s="26" t="str">
        <f>IF($E2999="","",IFERROR(INDEX(科目表!$E$4:$E$81,MATCH($E2999,科目表!$B$4:$B$81,0)),""))</f>
        <v/>
      </c>
      <c r="H2999" s="27" t="str">
        <f>IF($E2999="","",N(INDEX(成本费用登记表!$Q$4:$Y$303,297,5)))</f>
        <v/>
      </c>
      <c r="I2999" s="27" t="str">
        <f>IF($E2999="","",N(INDEX(成本费用登记表!$Q$4:$Y$303,297,6)))</f>
        <v/>
      </c>
      <c r="J2999" s="26" t="str">
        <f>IF($E2999="","",INDEX(成本费用登记表!$C$4:$C$303,297))</f>
        <v/>
      </c>
      <c r="K2999" s="26" t="str">
        <f>IF($E2999="","",INDEX(成本费用登记表!$D$4:$D$303,297))</f>
        <v/>
      </c>
      <c r="L2999" s="32" t="str">
        <f>IF($E2999="","",INDEX(成本费用登记表!$N$4:$N$303,297))</f>
        <v/>
      </c>
      <c r="M2999" s="32"/>
      <c r="N2999" s="26" t="str">
        <f t="shared" si="150"/>
        <v/>
      </c>
      <c r="O2999" s="26" t="str">
        <f t="shared" si="151"/>
        <v/>
      </c>
      <c r="P2999" s="10"/>
    </row>
    <row r="3000" ht="18" customHeight="1" spans="1:16">
      <c r="A3000" s="32" t="str">
        <f t="shared" si="152"/>
        <v/>
      </c>
      <c r="B3000" s="100" t="str">
        <f>IF($E3000="","",INDEX(成本费用登记表!$B$4:$B$303,297))</f>
        <v/>
      </c>
      <c r="C3000" s="26" t="str">
        <f t="shared" si="149"/>
        <v/>
      </c>
      <c r="D3000" s="32" t="str">
        <f>IF($E3000="","",INDEX(成本费用登记表!$E$4:$E$303,297))</f>
        <v/>
      </c>
      <c r="E3000" s="26" t="str">
        <f>IF(INDEX(成本费用登记表!$Q$4:$Y$303,297,7)=0,"",INDEX(成本费用登记表!$Q$4:$Y$303,297,7))</f>
        <v/>
      </c>
      <c r="F3000" s="25" t="str">
        <f>IF($E3000="","",IFERROR(INDEX(科目表!$A$4:$A$81,MATCH($E3000,科目表!$B$4:$B$81,0)),""))</f>
        <v/>
      </c>
      <c r="G3000" s="26" t="str">
        <f>IF($E3000="","",IFERROR(INDEX(科目表!$E$4:$E$81,MATCH($E3000,科目表!$B$4:$B$81,0)),""))</f>
        <v/>
      </c>
      <c r="H3000" s="27" t="str">
        <f>IF($E3000="","",N(INDEX(成本费用登记表!$Q$4:$Y$303,297,8)))</f>
        <v/>
      </c>
      <c r="I3000" s="27" t="str">
        <f>IF($E3000="","",N(INDEX(成本费用登记表!$Q$4:$Y$303,297,9)))</f>
        <v/>
      </c>
      <c r="J3000" s="26" t="str">
        <f>IF($E3000="","",INDEX(成本费用登记表!$C$4:$C$303,297))</f>
        <v/>
      </c>
      <c r="K3000" s="26" t="str">
        <f>IF($E3000="","",INDEX(成本费用登记表!$D$4:$D$303,297))</f>
        <v/>
      </c>
      <c r="L3000" s="32" t="str">
        <f>IF($E3000="","",INDEX(成本费用登记表!$N$4:$N$303,297))</f>
        <v/>
      </c>
      <c r="M3000" s="32"/>
      <c r="N3000" s="26" t="str">
        <f t="shared" si="150"/>
        <v/>
      </c>
      <c r="O3000" s="26" t="str">
        <f t="shared" si="151"/>
        <v/>
      </c>
      <c r="P3000" s="10"/>
    </row>
    <row r="3001" ht="18" customHeight="1" spans="1:16">
      <c r="A3001" s="32" t="str">
        <f t="shared" si="152"/>
        <v/>
      </c>
      <c r="B3001" s="100" t="str">
        <f>IF($E3001="","",INDEX(成本费用登记表!$B$4:$B$303,298))</f>
        <v/>
      </c>
      <c r="C3001" s="26" t="str">
        <f t="shared" si="149"/>
        <v/>
      </c>
      <c r="D3001" s="32" t="str">
        <f>IF($E3001="","",INDEX(成本费用登记表!$E$4:$E$303,298))</f>
        <v/>
      </c>
      <c r="E3001" s="26" t="str">
        <f>IF(INDEX(成本费用登记表!$Q$4:$Y$303,298,1)=0,"",INDEX(成本费用登记表!$Q$4:$Y$303,298,1))</f>
        <v/>
      </c>
      <c r="F3001" s="25" t="str">
        <f>IF($E3001="","",IFERROR(INDEX(科目表!$A$4:$A$81,MATCH($E3001,科目表!$B$4:$B$81,0)),""))</f>
        <v/>
      </c>
      <c r="G3001" s="26" t="str">
        <f>IF($E3001="","",IFERROR(INDEX(科目表!$E$4:$E$81,MATCH($E3001,科目表!$B$4:$B$81,0)),""))</f>
        <v/>
      </c>
      <c r="H3001" s="27" t="str">
        <f>IF($E3001="","",N(INDEX(成本费用登记表!$Q$4:$Y$303,298,2)))</f>
        <v/>
      </c>
      <c r="I3001" s="27" t="str">
        <f>IF($E3001="","",N(INDEX(成本费用登记表!$Q$4:$Y$303,298,3)))</f>
        <v/>
      </c>
      <c r="J3001" s="26" t="str">
        <f>IF($E3001="","",INDEX(成本费用登记表!$C$4:$C$303,298))</f>
        <v/>
      </c>
      <c r="K3001" s="26" t="str">
        <f>IF($E3001="","",INDEX(成本费用登记表!$D$4:$D$303,298))</f>
        <v/>
      </c>
      <c r="L3001" s="32" t="str">
        <f>IF($E3001="","",INDEX(成本费用登记表!$N$4:$N$303,298))</f>
        <v/>
      </c>
      <c r="M3001" s="32"/>
      <c r="N3001" s="26" t="str">
        <f t="shared" si="150"/>
        <v/>
      </c>
      <c r="O3001" s="26" t="str">
        <f t="shared" si="151"/>
        <v/>
      </c>
      <c r="P3001" s="10"/>
    </row>
    <row r="3002" ht="18" customHeight="1" spans="1:16">
      <c r="A3002" s="32" t="str">
        <f t="shared" si="152"/>
        <v/>
      </c>
      <c r="B3002" s="100" t="str">
        <f>IF($E3002="","",INDEX(成本费用登记表!$B$4:$B$303,298))</f>
        <v/>
      </c>
      <c r="C3002" s="26" t="str">
        <f t="shared" si="149"/>
        <v/>
      </c>
      <c r="D3002" s="32" t="str">
        <f>IF($E3002="","",INDEX(成本费用登记表!$E$4:$E$303,298))</f>
        <v/>
      </c>
      <c r="E3002" s="26" t="str">
        <f>IF(INDEX(成本费用登记表!$Q$4:$Y$303,298,4)=0,"",INDEX(成本费用登记表!$Q$4:$Y$303,298,4))</f>
        <v/>
      </c>
      <c r="F3002" s="25" t="str">
        <f>IF($E3002="","",IFERROR(INDEX(科目表!$A$4:$A$81,MATCH($E3002,科目表!$B$4:$B$81,0)),""))</f>
        <v/>
      </c>
      <c r="G3002" s="26" t="str">
        <f>IF($E3002="","",IFERROR(INDEX(科目表!$E$4:$E$81,MATCH($E3002,科目表!$B$4:$B$81,0)),""))</f>
        <v/>
      </c>
      <c r="H3002" s="27" t="str">
        <f>IF($E3002="","",N(INDEX(成本费用登记表!$Q$4:$Y$303,298,5)))</f>
        <v/>
      </c>
      <c r="I3002" s="27" t="str">
        <f>IF($E3002="","",N(INDEX(成本费用登记表!$Q$4:$Y$303,298,6)))</f>
        <v/>
      </c>
      <c r="J3002" s="26" t="str">
        <f>IF($E3002="","",INDEX(成本费用登记表!$C$4:$C$303,298))</f>
        <v/>
      </c>
      <c r="K3002" s="26" t="str">
        <f>IF($E3002="","",INDEX(成本费用登记表!$D$4:$D$303,298))</f>
        <v/>
      </c>
      <c r="L3002" s="32" t="str">
        <f>IF($E3002="","",INDEX(成本费用登记表!$N$4:$N$303,298))</f>
        <v/>
      </c>
      <c r="M3002" s="32"/>
      <c r="N3002" s="26" t="str">
        <f t="shared" si="150"/>
        <v/>
      </c>
      <c r="O3002" s="26" t="str">
        <f t="shared" si="151"/>
        <v/>
      </c>
      <c r="P3002" s="10"/>
    </row>
    <row r="3003" ht="18" customHeight="1" spans="1:16">
      <c r="A3003" s="32" t="str">
        <f t="shared" si="152"/>
        <v/>
      </c>
      <c r="B3003" s="100" t="str">
        <f>IF($E3003="","",INDEX(成本费用登记表!$B$4:$B$303,298))</f>
        <v/>
      </c>
      <c r="C3003" s="26" t="str">
        <f t="shared" si="149"/>
        <v/>
      </c>
      <c r="D3003" s="32" t="str">
        <f>IF($E3003="","",INDEX(成本费用登记表!$E$4:$E$303,298))</f>
        <v/>
      </c>
      <c r="E3003" s="26" t="str">
        <f>IF(INDEX(成本费用登记表!$Q$4:$Y$303,298,7)=0,"",INDEX(成本费用登记表!$Q$4:$Y$303,298,7))</f>
        <v/>
      </c>
      <c r="F3003" s="25" t="str">
        <f>IF($E3003="","",IFERROR(INDEX(科目表!$A$4:$A$81,MATCH($E3003,科目表!$B$4:$B$81,0)),""))</f>
        <v/>
      </c>
      <c r="G3003" s="26" t="str">
        <f>IF($E3003="","",IFERROR(INDEX(科目表!$E$4:$E$81,MATCH($E3003,科目表!$B$4:$B$81,0)),""))</f>
        <v/>
      </c>
      <c r="H3003" s="27" t="str">
        <f>IF($E3003="","",N(INDEX(成本费用登记表!$Q$4:$Y$303,298,8)))</f>
        <v/>
      </c>
      <c r="I3003" s="27" t="str">
        <f>IF($E3003="","",N(INDEX(成本费用登记表!$Q$4:$Y$303,298,9)))</f>
        <v/>
      </c>
      <c r="J3003" s="26" t="str">
        <f>IF($E3003="","",INDEX(成本费用登记表!$C$4:$C$303,298))</f>
        <v/>
      </c>
      <c r="K3003" s="26" t="str">
        <f>IF($E3003="","",INDEX(成本费用登记表!$D$4:$D$303,298))</f>
        <v/>
      </c>
      <c r="L3003" s="32" t="str">
        <f>IF($E3003="","",INDEX(成本费用登记表!$N$4:$N$303,298))</f>
        <v/>
      </c>
      <c r="M3003" s="32"/>
      <c r="N3003" s="26" t="str">
        <f t="shared" si="150"/>
        <v/>
      </c>
      <c r="O3003" s="26" t="str">
        <f t="shared" si="151"/>
        <v/>
      </c>
      <c r="P3003" s="10"/>
    </row>
    <row r="3004" ht="18" customHeight="1" spans="1:16">
      <c r="A3004" s="32" t="str">
        <f t="shared" si="152"/>
        <v/>
      </c>
      <c r="B3004" s="100" t="str">
        <f>IF($E3004="","",INDEX(成本费用登记表!$B$4:$B$303,299))</f>
        <v/>
      </c>
      <c r="C3004" s="26" t="str">
        <f t="shared" si="149"/>
        <v/>
      </c>
      <c r="D3004" s="32" t="str">
        <f>IF($E3004="","",INDEX(成本费用登记表!$E$4:$E$303,299))</f>
        <v/>
      </c>
      <c r="E3004" s="26" t="str">
        <f>IF(INDEX(成本费用登记表!$Q$4:$Y$303,299,1)=0,"",INDEX(成本费用登记表!$Q$4:$Y$303,299,1))</f>
        <v/>
      </c>
      <c r="F3004" s="25" t="str">
        <f>IF($E3004="","",IFERROR(INDEX(科目表!$A$4:$A$81,MATCH($E3004,科目表!$B$4:$B$81,0)),""))</f>
        <v/>
      </c>
      <c r="G3004" s="26" t="str">
        <f>IF($E3004="","",IFERROR(INDEX(科目表!$E$4:$E$81,MATCH($E3004,科目表!$B$4:$B$81,0)),""))</f>
        <v/>
      </c>
      <c r="H3004" s="27" t="str">
        <f>IF($E3004="","",N(INDEX(成本费用登记表!$Q$4:$Y$303,299,2)))</f>
        <v/>
      </c>
      <c r="I3004" s="27" t="str">
        <f>IF($E3004="","",N(INDEX(成本费用登记表!$Q$4:$Y$303,299,3)))</f>
        <v/>
      </c>
      <c r="J3004" s="26" t="str">
        <f>IF($E3004="","",INDEX(成本费用登记表!$C$4:$C$303,299))</f>
        <v/>
      </c>
      <c r="K3004" s="26" t="str">
        <f>IF($E3004="","",INDEX(成本费用登记表!$D$4:$D$303,299))</f>
        <v/>
      </c>
      <c r="L3004" s="32" t="str">
        <f>IF($E3004="","",INDEX(成本费用登记表!$N$4:$N$303,299))</f>
        <v/>
      </c>
      <c r="M3004" s="32"/>
      <c r="N3004" s="26" t="str">
        <f t="shared" si="150"/>
        <v/>
      </c>
      <c r="O3004" s="26" t="str">
        <f t="shared" si="151"/>
        <v/>
      </c>
      <c r="P3004" s="10"/>
    </row>
    <row r="3005" ht="18" customHeight="1" spans="1:16">
      <c r="A3005" s="32" t="str">
        <f t="shared" si="152"/>
        <v/>
      </c>
      <c r="B3005" s="100" t="str">
        <f>IF($E3005="","",INDEX(成本费用登记表!$B$4:$B$303,299))</f>
        <v/>
      </c>
      <c r="C3005" s="26" t="str">
        <f t="shared" si="149"/>
        <v/>
      </c>
      <c r="D3005" s="32" t="str">
        <f>IF($E3005="","",INDEX(成本费用登记表!$E$4:$E$303,299))</f>
        <v/>
      </c>
      <c r="E3005" s="26" t="str">
        <f>IF(INDEX(成本费用登记表!$Q$4:$Y$303,299,4)=0,"",INDEX(成本费用登记表!$Q$4:$Y$303,299,4))</f>
        <v/>
      </c>
      <c r="F3005" s="25" t="str">
        <f>IF($E3005="","",IFERROR(INDEX(科目表!$A$4:$A$81,MATCH($E3005,科目表!$B$4:$B$81,0)),""))</f>
        <v/>
      </c>
      <c r="G3005" s="26" t="str">
        <f>IF($E3005="","",IFERROR(INDEX(科目表!$E$4:$E$81,MATCH($E3005,科目表!$B$4:$B$81,0)),""))</f>
        <v/>
      </c>
      <c r="H3005" s="27" t="str">
        <f>IF($E3005="","",N(INDEX(成本费用登记表!$Q$4:$Y$303,299,5)))</f>
        <v/>
      </c>
      <c r="I3005" s="27" t="str">
        <f>IF($E3005="","",N(INDEX(成本费用登记表!$Q$4:$Y$303,299,6)))</f>
        <v/>
      </c>
      <c r="J3005" s="26" t="str">
        <f>IF($E3005="","",INDEX(成本费用登记表!$C$4:$C$303,299))</f>
        <v/>
      </c>
      <c r="K3005" s="26" t="str">
        <f>IF($E3005="","",INDEX(成本费用登记表!$D$4:$D$303,299))</f>
        <v/>
      </c>
      <c r="L3005" s="32" t="str">
        <f>IF($E3005="","",INDEX(成本费用登记表!$N$4:$N$303,299))</f>
        <v/>
      </c>
      <c r="M3005" s="32"/>
      <c r="N3005" s="26" t="str">
        <f t="shared" si="150"/>
        <v/>
      </c>
      <c r="O3005" s="26" t="str">
        <f t="shared" si="151"/>
        <v/>
      </c>
      <c r="P3005" s="10"/>
    </row>
    <row r="3006" ht="18" customHeight="1" spans="1:16">
      <c r="A3006" s="32" t="str">
        <f t="shared" si="152"/>
        <v/>
      </c>
      <c r="B3006" s="100" t="str">
        <f>IF($E3006="","",INDEX(成本费用登记表!$B$4:$B$303,299))</f>
        <v/>
      </c>
      <c r="C3006" s="26" t="str">
        <f>IF($E3006="","","记-"&amp;TEXT($B3006,"YYYYMM")&amp;"-费用")</f>
        <v/>
      </c>
      <c r="D3006" s="32" t="str">
        <f>IF($E3006="","",INDEX(成本费用登记表!$E$4:$E$303,299))</f>
        <v/>
      </c>
      <c r="E3006" s="26" t="str">
        <f>IF(INDEX(成本费用登记表!$Q$4:$Y$303,299,7)=0,"",INDEX(成本费用登记表!$Q$4:$Y$303,299,7))</f>
        <v/>
      </c>
      <c r="F3006" s="25" t="str">
        <f>IF($E3006="","",IFERROR(INDEX(科目表!$A$4:$A$81,MATCH($E3006,科目表!$B$4:$B$81,0)),""))</f>
        <v/>
      </c>
      <c r="G3006" s="26" t="str">
        <f>IF($E3006="","",IFERROR(INDEX(科目表!$E$4:$E$81,MATCH($E3006,科目表!$B$4:$B$81,0)),""))</f>
        <v/>
      </c>
      <c r="H3006" s="27" t="str">
        <f>IF($E3006="","",N(INDEX(成本费用登记表!$Q$4:$Y$303,299,8)))</f>
        <v/>
      </c>
      <c r="I3006" s="27" t="str">
        <f>IF($E3006="","",N(INDEX(成本费用登记表!$Q$4:$Y$303,299,9)))</f>
        <v/>
      </c>
      <c r="J3006" s="26" t="str">
        <f>IF($E3006="","",INDEX(成本费用登记表!$C$4:$C$303,299))</f>
        <v/>
      </c>
      <c r="K3006" s="26" t="str">
        <f>IF($E3006="","",INDEX(成本费用登记表!$D$4:$D$303,299))</f>
        <v/>
      </c>
      <c r="L3006" s="32" t="str">
        <f>IF($E3006="","",INDEX(成本费用登记表!$N$4:$N$303,299))</f>
        <v/>
      </c>
      <c r="M3006" s="32"/>
      <c r="N3006" s="26" t="str">
        <f>IF($E3006="","","系统")</f>
        <v/>
      </c>
      <c r="O3006" s="26" t="str">
        <f>IF($E3006="","","自动C")</f>
        <v/>
      </c>
      <c r="P3006" s="10"/>
    </row>
    <row r="3007" ht="18" customHeight="1" spans="1:16">
      <c r="A3007" s="32" t="str">
        <f t="shared" si="152"/>
        <v/>
      </c>
      <c r="B3007" s="100" t="str">
        <f>IF($E3007="","",INDEX(成本费用登记表!$B$4:$B$303,300))</f>
        <v/>
      </c>
      <c r="C3007" s="26" t="str">
        <f>IF($E3007="","","记-"&amp;TEXT($B3007,"YYYYMM")&amp;"-费用")</f>
        <v/>
      </c>
      <c r="D3007" s="32" t="str">
        <f>IF($E3007="","",INDEX(成本费用登记表!$E$4:$E$303,300))</f>
        <v/>
      </c>
      <c r="E3007" s="26" t="str">
        <f>IF(INDEX(成本费用登记表!$Q$4:$Y$303,300,1)=0,"",INDEX(成本费用登记表!$Q$4:$Y$303,300,1))</f>
        <v/>
      </c>
      <c r="F3007" s="25" t="str">
        <f>IF($E3007="","",IFERROR(INDEX(科目表!$A$4:$A$81,MATCH($E3007,科目表!$B$4:$B$81,0)),""))</f>
        <v/>
      </c>
      <c r="G3007" s="26" t="str">
        <f>IF($E3007="","",IFERROR(INDEX(科目表!$E$4:$E$81,MATCH($E3007,科目表!$B$4:$B$81,0)),""))</f>
        <v/>
      </c>
      <c r="H3007" s="27" t="str">
        <f>IF($E3007="","",N(INDEX(成本费用登记表!$Q$4:$Y$303,300,2)))</f>
        <v/>
      </c>
      <c r="I3007" s="27" t="str">
        <f>IF($E3007="","",N(INDEX(成本费用登记表!$Q$4:$Y$303,300,3)))</f>
        <v/>
      </c>
      <c r="J3007" s="26" t="str">
        <f>IF($E3007="","",INDEX(成本费用登记表!$C$4:$C$303,300))</f>
        <v/>
      </c>
      <c r="K3007" s="26" t="str">
        <f>IF($E3007="","",INDEX(成本费用登记表!$D$4:$D$303,300))</f>
        <v/>
      </c>
      <c r="L3007" s="32" t="str">
        <f>IF($E3007="","",INDEX(成本费用登记表!$N$4:$N$303,300))</f>
        <v/>
      </c>
      <c r="M3007" s="32"/>
      <c r="N3007" s="26" t="str">
        <f>IF($E3007="","","系统")</f>
        <v/>
      </c>
      <c r="O3007" s="26" t="str">
        <f>IF($E3007="","","自动C")</f>
        <v/>
      </c>
      <c r="P3007" s="10"/>
    </row>
    <row r="3008" ht="18" customHeight="1" spans="1:16">
      <c r="A3008" s="32" t="str">
        <f t="shared" si="152"/>
        <v/>
      </c>
      <c r="B3008" s="100" t="str">
        <f>IF($E3008="","",INDEX(成本费用登记表!$B$4:$B$303,300))</f>
        <v/>
      </c>
      <c r="C3008" s="26" t="str">
        <f>IF($E3008="","","记-"&amp;TEXT($B3008,"YYYYMM")&amp;"-费用")</f>
        <v/>
      </c>
      <c r="D3008" s="32" t="str">
        <f>IF($E3008="","",INDEX(成本费用登记表!$E$4:$E$303,300))</f>
        <v/>
      </c>
      <c r="E3008" s="26" t="str">
        <f>IF(INDEX(成本费用登记表!$Q$4:$Y$303,300,4)=0,"",INDEX(成本费用登记表!$Q$4:$Y$303,300,4))</f>
        <v/>
      </c>
      <c r="F3008" s="25" t="str">
        <f>IF($E3008="","",IFERROR(INDEX(科目表!$A$4:$A$81,MATCH($E3008,科目表!$B$4:$B$81,0)),""))</f>
        <v/>
      </c>
      <c r="G3008" s="26" t="str">
        <f>IF($E3008="","",IFERROR(INDEX(科目表!$E$4:$E$81,MATCH($E3008,科目表!$B$4:$B$81,0)),""))</f>
        <v/>
      </c>
      <c r="H3008" s="27" t="str">
        <f>IF($E3008="","",N(INDEX(成本费用登记表!$Q$4:$Y$303,300,5)))</f>
        <v/>
      </c>
      <c r="I3008" s="27" t="str">
        <f>IF($E3008="","",N(INDEX(成本费用登记表!$Q$4:$Y$303,300,6)))</f>
        <v/>
      </c>
      <c r="J3008" s="26" t="str">
        <f>IF($E3008="","",INDEX(成本费用登记表!$C$4:$C$303,300))</f>
        <v/>
      </c>
      <c r="K3008" s="26" t="str">
        <f>IF($E3008="","",INDEX(成本费用登记表!$D$4:$D$303,300))</f>
        <v/>
      </c>
      <c r="L3008" s="32" t="str">
        <f>IF($E3008="","",INDEX(成本费用登记表!$N$4:$N$303,300))</f>
        <v/>
      </c>
      <c r="M3008" s="32"/>
      <c r="N3008" s="26" t="str">
        <f>IF($E3008="","","系统")</f>
        <v/>
      </c>
      <c r="O3008" s="26" t="str">
        <f>IF($E3008="","","自动C")</f>
        <v/>
      </c>
      <c r="P3008" s="10"/>
    </row>
    <row r="3009" ht="18" customHeight="1" spans="1:16">
      <c r="A3009" s="32" t="str">
        <f t="shared" si="152"/>
        <v/>
      </c>
      <c r="B3009" s="100" t="str">
        <f>IF($E3009="","",INDEX(成本费用登记表!$B$4:$B$303,300))</f>
        <v/>
      </c>
      <c r="C3009" s="26" t="str">
        <f>IF($E3009="","","记-"&amp;TEXT($B3009,"YYYYMM")&amp;"-费用")</f>
        <v/>
      </c>
      <c r="D3009" s="32" t="str">
        <f>IF($E3009="","",INDEX(成本费用登记表!$E$4:$E$303,300))</f>
        <v/>
      </c>
      <c r="E3009" s="26" t="str">
        <f>IF(INDEX(成本费用登记表!$Q$4:$Y$303,300,7)=0,"",INDEX(成本费用登记表!$Q$4:$Y$303,300,7))</f>
        <v/>
      </c>
      <c r="F3009" s="25" t="str">
        <f>IF($E3009="","",IFERROR(INDEX(科目表!$A$4:$A$81,MATCH($E3009,科目表!$B$4:$B$81,0)),""))</f>
        <v/>
      </c>
      <c r="G3009" s="26" t="str">
        <f>IF($E3009="","",IFERROR(INDEX(科目表!$E$4:$E$81,MATCH($E3009,科目表!$B$4:$B$81,0)),""))</f>
        <v/>
      </c>
      <c r="H3009" s="27" t="str">
        <f>IF($E3009="","",N(INDEX(成本费用登记表!$Q$4:$Y$303,300,8)))</f>
        <v/>
      </c>
      <c r="I3009" s="27" t="str">
        <f>IF($E3009="","",N(INDEX(成本费用登记表!$Q$4:$Y$303,300,9)))</f>
        <v/>
      </c>
      <c r="J3009" s="26" t="str">
        <f>IF($E3009="","",INDEX(成本费用登记表!$C$4:$C$303,300))</f>
        <v/>
      </c>
      <c r="K3009" s="26" t="str">
        <f>IF($E3009="","",INDEX(成本费用登记表!$D$4:$D$303,300))</f>
        <v/>
      </c>
      <c r="L3009" s="32" t="str">
        <f>IF($E3009="","",INDEX(成本费用登记表!$N$4:$N$303,300))</f>
        <v/>
      </c>
      <c r="M3009" s="32"/>
      <c r="N3009" s="26" t="str">
        <f>IF($E3009="","","系统")</f>
        <v/>
      </c>
      <c r="O3009" s="26" t="str">
        <f>IF($E3009="","","自动C")</f>
        <v/>
      </c>
      <c r="P3009" s="10"/>
    </row>
    <row r="3010" ht="18" customHeight="1" spans="1:16">
      <c r="A3010" s="32" t="str">
        <f t="shared" si="152"/>
        <v/>
      </c>
      <c r="B3010" s="101"/>
      <c r="C3010" s="102"/>
      <c r="D3010" s="103"/>
      <c r="E3010" s="102"/>
      <c r="F3010" s="25" t="str">
        <f>IF($E3010="","",IFERROR(INDEX(科目表!$A$4:$A$81,MATCH($E3010,科目表!$B$4:$B$81,0)),""))</f>
        <v/>
      </c>
      <c r="G3010" s="26" t="str">
        <f>IF($E3010="","",IFERROR(INDEX(科目表!$E$4:$E$81,MATCH($E3010,科目表!$B$4:$B$81,0)),""))</f>
        <v/>
      </c>
      <c r="H3010" s="104"/>
      <c r="I3010" s="104"/>
      <c r="J3010" s="102"/>
      <c r="K3010" s="102"/>
      <c r="L3010" s="103"/>
      <c r="M3010" s="105"/>
      <c r="N3010" s="103"/>
      <c r="O3010" s="26" t="str">
        <f t="shared" ref="O3010:O3073" si="153">IF($E3010="","","手工")</f>
        <v/>
      </c>
      <c r="P3010" s="103"/>
    </row>
    <row r="3011" ht="18" customHeight="1" spans="1:16">
      <c r="A3011" s="32" t="str">
        <f t="shared" si="152"/>
        <v/>
      </c>
      <c r="B3011" s="101"/>
      <c r="C3011" s="102"/>
      <c r="D3011" s="103"/>
      <c r="E3011" s="102"/>
      <c r="F3011" s="25" t="str">
        <f>IF($E3011="","",IFERROR(INDEX(科目表!$A$4:$A$81,MATCH($E3011,科目表!$B$4:$B$81,0)),""))</f>
        <v/>
      </c>
      <c r="G3011" s="26" t="str">
        <f>IF($E3011="","",IFERROR(INDEX(科目表!$E$4:$E$81,MATCH($E3011,科目表!$B$4:$B$81,0)),""))</f>
        <v/>
      </c>
      <c r="H3011" s="104"/>
      <c r="I3011" s="104"/>
      <c r="J3011" s="102"/>
      <c r="K3011" s="102"/>
      <c r="L3011" s="103"/>
      <c r="M3011" s="105"/>
      <c r="N3011" s="103"/>
      <c r="O3011" s="26" t="str">
        <f t="shared" si="153"/>
        <v/>
      </c>
      <c r="P3011" s="103"/>
    </row>
    <row r="3012" ht="18" customHeight="1" spans="1:16">
      <c r="A3012" s="32" t="str">
        <f t="shared" ref="A3012:A3075" si="154">IF($E3012="","",ROW()-3)</f>
        <v/>
      </c>
      <c r="B3012" s="101"/>
      <c r="C3012" s="102"/>
      <c r="D3012" s="103"/>
      <c r="E3012" s="102"/>
      <c r="F3012" s="25" t="str">
        <f>IF($E3012="","",IFERROR(INDEX(科目表!$A$4:$A$81,MATCH($E3012,科目表!$B$4:$B$81,0)),""))</f>
        <v/>
      </c>
      <c r="G3012" s="26" t="str">
        <f>IF($E3012="","",IFERROR(INDEX(科目表!$E$4:$E$81,MATCH($E3012,科目表!$B$4:$B$81,0)),""))</f>
        <v/>
      </c>
      <c r="H3012" s="104"/>
      <c r="I3012" s="104"/>
      <c r="J3012" s="102"/>
      <c r="K3012" s="102"/>
      <c r="L3012" s="103"/>
      <c r="M3012" s="105"/>
      <c r="N3012" s="103"/>
      <c r="O3012" s="26" t="str">
        <f t="shared" si="153"/>
        <v/>
      </c>
      <c r="P3012" s="103"/>
    </row>
    <row r="3013" ht="18" customHeight="1" spans="1:16">
      <c r="A3013" s="32" t="str">
        <f t="shared" si="154"/>
        <v/>
      </c>
      <c r="B3013" s="101"/>
      <c r="C3013" s="102"/>
      <c r="D3013" s="103"/>
      <c r="E3013" s="102"/>
      <c r="F3013" s="25" t="str">
        <f>IF($E3013="","",IFERROR(INDEX(科目表!$A$4:$A$81,MATCH($E3013,科目表!$B$4:$B$81,0)),""))</f>
        <v/>
      </c>
      <c r="G3013" s="26" t="str">
        <f>IF($E3013="","",IFERROR(INDEX(科目表!$E$4:$E$81,MATCH($E3013,科目表!$B$4:$B$81,0)),""))</f>
        <v/>
      </c>
      <c r="H3013" s="104"/>
      <c r="I3013" s="104"/>
      <c r="J3013" s="102"/>
      <c r="K3013" s="102"/>
      <c r="L3013" s="103"/>
      <c r="M3013" s="105"/>
      <c r="N3013" s="103"/>
      <c r="O3013" s="26" t="str">
        <f t="shared" si="153"/>
        <v/>
      </c>
      <c r="P3013" s="103"/>
    </row>
    <row r="3014" ht="18" customHeight="1" spans="1:16">
      <c r="A3014" s="32" t="str">
        <f t="shared" si="154"/>
        <v/>
      </c>
      <c r="B3014" s="101"/>
      <c r="C3014" s="102"/>
      <c r="D3014" s="103"/>
      <c r="E3014" s="102"/>
      <c r="F3014" s="25" t="str">
        <f>IF($E3014="","",IFERROR(INDEX(科目表!$A$4:$A$81,MATCH($E3014,科目表!$B$4:$B$81,0)),""))</f>
        <v/>
      </c>
      <c r="G3014" s="26" t="str">
        <f>IF($E3014="","",IFERROR(INDEX(科目表!$E$4:$E$81,MATCH($E3014,科目表!$B$4:$B$81,0)),""))</f>
        <v/>
      </c>
      <c r="H3014" s="104"/>
      <c r="I3014" s="104"/>
      <c r="J3014" s="102"/>
      <c r="K3014" s="102"/>
      <c r="L3014" s="103"/>
      <c r="M3014" s="105"/>
      <c r="N3014" s="103"/>
      <c r="O3014" s="26" t="str">
        <f t="shared" si="153"/>
        <v/>
      </c>
      <c r="P3014" s="103"/>
    </row>
    <row r="3015" ht="18" customHeight="1" spans="1:16">
      <c r="A3015" s="32" t="str">
        <f t="shared" si="154"/>
        <v/>
      </c>
      <c r="B3015" s="101"/>
      <c r="C3015" s="102"/>
      <c r="D3015" s="103"/>
      <c r="E3015" s="102"/>
      <c r="F3015" s="25" t="str">
        <f>IF($E3015="","",IFERROR(INDEX(科目表!$A$4:$A$81,MATCH($E3015,科目表!$B$4:$B$81,0)),""))</f>
        <v/>
      </c>
      <c r="G3015" s="26" t="str">
        <f>IF($E3015="","",IFERROR(INDEX(科目表!$E$4:$E$81,MATCH($E3015,科目表!$B$4:$B$81,0)),""))</f>
        <v/>
      </c>
      <c r="H3015" s="104"/>
      <c r="I3015" s="104"/>
      <c r="J3015" s="102"/>
      <c r="K3015" s="102"/>
      <c r="L3015" s="103"/>
      <c r="M3015" s="105"/>
      <c r="N3015" s="103"/>
      <c r="O3015" s="26" t="str">
        <f t="shared" si="153"/>
        <v/>
      </c>
      <c r="P3015" s="103"/>
    </row>
    <row r="3016" ht="18" customHeight="1" spans="1:16">
      <c r="A3016" s="32" t="str">
        <f t="shared" si="154"/>
        <v/>
      </c>
      <c r="B3016" s="101"/>
      <c r="C3016" s="102"/>
      <c r="D3016" s="103"/>
      <c r="E3016" s="102"/>
      <c r="F3016" s="25" t="str">
        <f>IF($E3016="","",IFERROR(INDEX(科目表!$A$4:$A$81,MATCH($E3016,科目表!$B$4:$B$81,0)),""))</f>
        <v/>
      </c>
      <c r="G3016" s="26" t="str">
        <f>IF($E3016="","",IFERROR(INDEX(科目表!$E$4:$E$81,MATCH($E3016,科目表!$B$4:$B$81,0)),""))</f>
        <v/>
      </c>
      <c r="H3016" s="104"/>
      <c r="I3016" s="104"/>
      <c r="J3016" s="102"/>
      <c r="K3016" s="102"/>
      <c r="L3016" s="103"/>
      <c r="M3016" s="105"/>
      <c r="N3016" s="103"/>
      <c r="O3016" s="26" t="str">
        <f t="shared" si="153"/>
        <v/>
      </c>
      <c r="P3016" s="103"/>
    </row>
    <row r="3017" ht="18" customHeight="1" spans="1:16">
      <c r="A3017" s="32" t="str">
        <f t="shared" si="154"/>
        <v/>
      </c>
      <c r="B3017" s="101"/>
      <c r="C3017" s="102"/>
      <c r="D3017" s="103"/>
      <c r="E3017" s="102"/>
      <c r="F3017" s="25" t="str">
        <f>IF($E3017="","",IFERROR(INDEX(科目表!$A$4:$A$81,MATCH($E3017,科目表!$B$4:$B$81,0)),""))</f>
        <v/>
      </c>
      <c r="G3017" s="26" t="str">
        <f>IF($E3017="","",IFERROR(INDEX(科目表!$E$4:$E$81,MATCH($E3017,科目表!$B$4:$B$81,0)),""))</f>
        <v/>
      </c>
      <c r="H3017" s="104"/>
      <c r="I3017" s="104"/>
      <c r="J3017" s="102"/>
      <c r="K3017" s="102"/>
      <c r="L3017" s="103"/>
      <c r="M3017" s="105"/>
      <c r="N3017" s="103"/>
      <c r="O3017" s="26" t="str">
        <f t="shared" si="153"/>
        <v/>
      </c>
      <c r="P3017" s="103"/>
    </row>
    <row r="3018" ht="18" customHeight="1" spans="1:16">
      <c r="A3018" s="32" t="str">
        <f t="shared" si="154"/>
        <v/>
      </c>
      <c r="B3018" s="101"/>
      <c r="C3018" s="102"/>
      <c r="D3018" s="103"/>
      <c r="E3018" s="102"/>
      <c r="F3018" s="25" t="str">
        <f>IF($E3018="","",IFERROR(INDEX(科目表!$A$4:$A$81,MATCH($E3018,科目表!$B$4:$B$81,0)),""))</f>
        <v/>
      </c>
      <c r="G3018" s="26" t="str">
        <f>IF($E3018="","",IFERROR(INDEX(科目表!$E$4:$E$81,MATCH($E3018,科目表!$B$4:$B$81,0)),""))</f>
        <v/>
      </c>
      <c r="H3018" s="104"/>
      <c r="I3018" s="104"/>
      <c r="J3018" s="102"/>
      <c r="K3018" s="102"/>
      <c r="L3018" s="103"/>
      <c r="M3018" s="105"/>
      <c r="N3018" s="103"/>
      <c r="O3018" s="26" t="str">
        <f t="shared" si="153"/>
        <v/>
      </c>
      <c r="P3018" s="103"/>
    </row>
    <row r="3019" ht="18" customHeight="1" spans="1:16">
      <c r="A3019" s="32" t="str">
        <f t="shared" si="154"/>
        <v/>
      </c>
      <c r="B3019" s="101"/>
      <c r="C3019" s="102"/>
      <c r="D3019" s="103"/>
      <c r="E3019" s="102"/>
      <c r="F3019" s="25" t="str">
        <f>IF($E3019="","",IFERROR(INDEX(科目表!$A$4:$A$81,MATCH($E3019,科目表!$B$4:$B$81,0)),""))</f>
        <v/>
      </c>
      <c r="G3019" s="26" t="str">
        <f>IF($E3019="","",IFERROR(INDEX(科目表!$E$4:$E$81,MATCH($E3019,科目表!$B$4:$B$81,0)),""))</f>
        <v/>
      </c>
      <c r="H3019" s="104"/>
      <c r="I3019" s="104"/>
      <c r="J3019" s="102"/>
      <c r="K3019" s="102"/>
      <c r="L3019" s="103"/>
      <c r="M3019" s="105"/>
      <c r="N3019" s="103"/>
      <c r="O3019" s="26" t="str">
        <f t="shared" si="153"/>
        <v/>
      </c>
      <c r="P3019" s="103"/>
    </row>
    <row r="3020" ht="18" customHeight="1" spans="1:16">
      <c r="A3020" s="32" t="str">
        <f t="shared" si="154"/>
        <v/>
      </c>
      <c r="B3020" s="101"/>
      <c r="C3020" s="102"/>
      <c r="D3020" s="103"/>
      <c r="E3020" s="102"/>
      <c r="F3020" s="25" t="str">
        <f>IF($E3020="","",IFERROR(INDEX(科目表!$A$4:$A$81,MATCH($E3020,科目表!$B$4:$B$81,0)),""))</f>
        <v/>
      </c>
      <c r="G3020" s="26" t="str">
        <f>IF($E3020="","",IFERROR(INDEX(科目表!$E$4:$E$81,MATCH($E3020,科目表!$B$4:$B$81,0)),""))</f>
        <v/>
      </c>
      <c r="H3020" s="104"/>
      <c r="I3020" s="104"/>
      <c r="J3020" s="102"/>
      <c r="K3020" s="102"/>
      <c r="L3020" s="103"/>
      <c r="M3020" s="105"/>
      <c r="N3020" s="103"/>
      <c r="O3020" s="26" t="str">
        <f t="shared" si="153"/>
        <v/>
      </c>
      <c r="P3020" s="103"/>
    </row>
    <row r="3021" ht="18" customHeight="1" spans="1:16">
      <c r="A3021" s="32" t="str">
        <f t="shared" si="154"/>
        <v/>
      </c>
      <c r="B3021" s="101"/>
      <c r="C3021" s="102"/>
      <c r="D3021" s="103"/>
      <c r="E3021" s="102"/>
      <c r="F3021" s="25" t="str">
        <f>IF($E3021="","",IFERROR(INDEX(科目表!$A$4:$A$81,MATCH($E3021,科目表!$B$4:$B$81,0)),""))</f>
        <v/>
      </c>
      <c r="G3021" s="26" t="str">
        <f>IF($E3021="","",IFERROR(INDEX(科目表!$E$4:$E$81,MATCH($E3021,科目表!$B$4:$B$81,0)),""))</f>
        <v/>
      </c>
      <c r="H3021" s="104"/>
      <c r="I3021" s="104"/>
      <c r="J3021" s="102"/>
      <c r="K3021" s="102"/>
      <c r="L3021" s="103"/>
      <c r="M3021" s="105"/>
      <c r="N3021" s="103"/>
      <c r="O3021" s="26" t="str">
        <f t="shared" si="153"/>
        <v/>
      </c>
      <c r="P3021" s="103"/>
    </row>
    <row r="3022" ht="18" customHeight="1" spans="1:16">
      <c r="A3022" s="32" t="str">
        <f t="shared" si="154"/>
        <v/>
      </c>
      <c r="B3022" s="101"/>
      <c r="C3022" s="102"/>
      <c r="D3022" s="103"/>
      <c r="E3022" s="102"/>
      <c r="F3022" s="25" t="str">
        <f>IF($E3022="","",IFERROR(INDEX(科目表!$A$4:$A$81,MATCH($E3022,科目表!$B$4:$B$81,0)),""))</f>
        <v/>
      </c>
      <c r="G3022" s="26" t="str">
        <f>IF($E3022="","",IFERROR(INDEX(科目表!$E$4:$E$81,MATCH($E3022,科目表!$B$4:$B$81,0)),""))</f>
        <v/>
      </c>
      <c r="H3022" s="104"/>
      <c r="I3022" s="104"/>
      <c r="J3022" s="102"/>
      <c r="K3022" s="102"/>
      <c r="L3022" s="103"/>
      <c r="M3022" s="105"/>
      <c r="N3022" s="103"/>
      <c r="O3022" s="26" t="str">
        <f t="shared" si="153"/>
        <v/>
      </c>
      <c r="P3022" s="103"/>
    </row>
    <row r="3023" ht="18" customHeight="1" spans="1:16">
      <c r="A3023" s="32" t="str">
        <f t="shared" si="154"/>
        <v/>
      </c>
      <c r="B3023" s="101"/>
      <c r="C3023" s="102"/>
      <c r="D3023" s="103"/>
      <c r="E3023" s="102"/>
      <c r="F3023" s="25" t="str">
        <f>IF($E3023="","",IFERROR(INDEX(科目表!$A$4:$A$81,MATCH($E3023,科目表!$B$4:$B$81,0)),""))</f>
        <v/>
      </c>
      <c r="G3023" s="26" t="str">
        <f>IF($E3023="","",IFERROR(INDEX(科目表!$E$4:$E$81,MATCH($E3023,科目表!$B$4:$B$81,0)),""))</f>
        <v/>
      </c>
      <c r="H3023" s="104"/>
      <c r="I3023" s="104"/>
      <c r="J3023" s="102"/>
      <c r="K3023" s="102"/>
      <c r="L3023" s="103"/>
      <c r="M3023" s="105"/>
      <c r="N3023" s="103"/>
      <c r="O3023" s="26" t="str">
        <f t="shared" si="153"/>
        <v/>
      </c>
      <c r="P3023" s="103"/>
    </row>
    <row r="3024" ht="18" customHeight="1" spans="1:16">
      <c r="A3024" s="32" t="str">
        <f t="shared" si="154"/>
        <v/>
      </c>
      <c r="B3024" s="101"/>
      <c r="C3024" s="102"/>
      <c r="D3024" s="103"/>
      <c r="E3024" s="102"/>
      <c r="F3024" s="25" t="str">
        <f>IF($E3024="","",IFERROR(INDEX(科目表!$A$4:$A$81,MATCH($E3024,科目表!$B$4:$B$81,0)),""))</f>
        <v/>
      </c>
      <c r="G3024" s="26" t="str">
        <f>IF($E3024="","",IFERROR(INDEX(科目表!$E$4:$E$81,MATCH($E3024,科目表!$B$4:$B$81,0)),""))</f>
        <v/>
      </c>
      <c r="H3024" s="104"/>
      <c r="I3024" s="104"/>
      <c r="J3024" s="102"/>
      <c r="K3024" s="102"/>
      <c r="L3024" s="103"/>
      <c r="M3024" s="105"/>
      <c r="N3024" s="103"/>
      <c r="O3024" s="26" t="str">
        <f t="shared" si="153"/>
        <v/>
      </c>
      <c r="P3024" s="103"/>
    </row>
    <row r="3025" ht="18" customHeight="1" spans="1:16">
      <c r="A3025" s="32" t="str">
        <f t="shared" si="154"/>
        <v/>
      </c>
      <c r="B3025" s="101"/>
      <c r="C3025" s="102"/>
      <c r="D3025" s="103"/>
      <c r="E3025" s="102"/>
      <c r="F3025" s="25" t="str">
        <f>IF($E3025="","",IFERROR(INDEX(科目表!$A$4:$A$81,MATCH($E3025,科目表!$B$4:$B$81,0)),""))</f>
        <v/>
      </c>
      <c r="G3025" s="26" t="str">
        <f>IF($E3025="","",IFERROR(INDEX(科目表!$E$4:$E$81,MATCH($E3025,科目表!$B$4:$B$81,0)),""))</f>
        <v/>
      </c>
      <c r="H3025" s="104"/>
      <c r="I3025" s="104"/>
      <c r="J3025" s="102"/>
      <c r="K3025" s="102"/>
      <c r="L3025" s="103"/>
      <c r="M3025" s="105"/>
      <c r="N3025" s="103"/>
      <c r="O3025" s="26" t="str">
        <f t="shared" si="153"/>
        <v/>
      </c>
      <c r="P3025" s="103"/>
    </row>
    <row r="3026" ht="18" customHeight="1" spans="1:16">
      <c r="A3026" s="32" t="str">
        <f t="shared" si="154"/>
        <v/>
      </c>
      <c r="B3026" s="101"/>
      <c r="C3026" s="102"/>
      <c r="D3026" s="103"/>
      <c r="E3026" s="102"/>
      <c r="F3026" s="25" t="str">
        <f>IF($E3026="","",IFERROR(INDEX(科目表!$A$4:$A$81,MATCH($E3026,科目表!$B$4:$B$81,0)),""))</f>
        <v/>
      </c>
      <c r="G3026" s="26" t="str">
        <f>IF($E3026="","",IFERROR(INDEX(科目表!$E$4:$E$81,MATCH($E3026,科目表!$B$4:$B$81,0)),""))</f>
        <v/>
      </c>
      <c r="H3026" s="104"/>
      <c r="I3026" s="104"/>
      <c r="J3026" s="102"/>
      <c r="K3026" s="102"/>
      <c r="L3026" s="103"/>
      <c r="M3026" s="105"/>
      <c r="N3026" s="103"/>
      <c r="O3026" s="26" t="str">
        <f t="shared" si="153"/>
        <v/>
      </c>
      <c r="P3026" s="103"/>
    </row>
    <row r="3027" ht="18" customHeight="1" spans="1:16">
      <c r="A3027" s="32" t="str">
        <f t="shared" si="154"/>
        <v/>
      </c>
      <c r="B3027" s="101"/>
      <c r="C3027" s="102"/>
      <c r="D3027" s="103"/>
      <c r="E3027" s="102"/>
      <c r="F3027" s="25" t="str">
        <f>IF($E3027="","",IFERROR(INDEX(科目表!$A$4:$A$81,MATCH($E3027,科目表!$B$4:$B$81,0)),""))</f>
        <v/>
      </c>
      <c r="G3027" s="26" t="str">
        <f>IF($E3027="","",IFERROR(INDEX(科目表!$E$4:$E$81,MATCH($E3027,科目表!$B$4:$B$81,0)),""))</f>
        <v/>
      </c>
      <c r="H3027" s="104"/>
      <c r="I3027" s="104"/>
      <c r="J3027" s="102"/>
      <c r="K3027" s="102"/>
      <c r="L3027" s="103"/>
      <c r="M3027" s="105"/>
      <c r="N3027" s="103"/>
      <c r="O3027" s="26" t="str">
        <f t="shared" si="153"/>
        <v/>
      </c>
      <c r="P3027" s="103"/>
    </row>
    <row r="3028" ht="18" customHeight="1" spans="1:16">
      <c r="A3028" s="32" t="str">
        <f t="shared" si="154"/>
        <v/>
      </c>
      <c r="B3028" s="101"/>
      <c r="C3028" s="102"/>
      <c r="D3028" s="103"/>
      <c r="E3028" s="102"/>
      <c r="F3028" s="25" t="str">
        <f>IF($E3028="","",IFERROR(INDEX(科目表!$A$4:$A$81,MATCH($E3028,科目表!$B$4:$B$81,0)),""))</f>
        <v/>
      </c>
      <c r="G3028" s="26" t="str">
        <f>IF($E3028="","",IFERROR(INDEX(科目表!$E$4:$E$81,MATCH($E3028,科目表!$B$4:$B$81,0)),""))</f>
        <v/>
      </c>
      <c r="H3028" s="104"/>
      <c r="I3028" s="104"/>
      <c r="J3028" s="102"/>
      <c r="K3028" s="102"/>
      <c r="L3028" s="103"/>
      <c r="M3028" s="105"/>
      <c r="N3028" s="103"/>
      <c r="O3028" s="26" t="str">
        <f t="shared" si="153"/>
        <v/>
      </c>
      <c r="P3028" s="103"/>
    </row>
    <row r="3029" ht="18" customHeight="1" spans="1:16">
      <c r="A3029" s="32" t="str">
        <f t="shared" si="154"/>
        <v/>
      </c>
      <c r="B3029" s="101"/>
      <c r="C3029" s="102"/>
      <c r="D3029" s="103"/>
      <c r="E3029" s="102"/>
      <c r="F3029" s="25" t="str">
        <f>IF($E3029="","",IFERROR(INDEX(科目表!$A$4:$A$81,MATCH($E3029,科目表!$B$4:$B$81,0)),""))</f>
        <v/>
      </c>
      <c r="G3029" s="26" t="str">
        <f>IF($E3029="","",IFERROR(INDEX(科目表!$E$4:$E$81,MATCH($E3029,科目表!$B$4:$B$81,0)),""))</f>
        <v/>
      </c>
      <c r="H3029" s="104"/>
      <c r="I3029" s="104"/>
      <c r="J3029" s="102"/>
      <c r="K3029" s="102"/>
      <c r="L3029" s="103"/>
      <c r="M3029" s="105"/>
      <c r="N3029" s="103"/>
      <c r="O3029" s="26" t="str">
        <f t="shared" si="153"/>
        <v/>
      </c>
      <c r="P3029" s="103"/>
    </row>
    <row r="3030" ht="18" customHeight="1" spans="1:16">
      <c r="A3030" s="32" t="str">
        <f t="shared" si="154"/>
        <v/>
      </c>
      <c r="B3030" s="101"/>
      <c r="C3030" s="102"/>
      <c r="D3030" s="103"/>
      <c r="E3030" s="102"/>
      <c r="F3030" s="25" t="str">
        <f>IF($E3030="","",IFERROR(INDEX(科目表!$A$4:$A$81,MATCH($E3030,科目表!$B$4:$B$81,0)),""))</f>
        <v/>
      </c>
      <c r="G3030" s="26" t="str">
        <f>IF($E3030="","",IFERROR(INDEX(科目表!$E$4:$E$81,MATCH($E3030,科目表!$B$4:$B$81,0)),""))</f>
        <v/>
      </c>
      <c r="H3030" s="104"/>
      <c r="I3030" s="104"/>
      <c r="J3030" s="102"/>
      <c r="K3030" s="102"/>
      <c r="L3030" s="103"/>
      <c r="M3030" s="105"/>
      <c r="N3030" s="103"/>
      <c r="O3030" s="26" t="str">
        <f t="shared" si="153"/>
        <v/>
      </c>
      <c r="P3030" s="103"/>
    </row>
    <row r="3031" ht="18" customHeight="1" spans="1:16">
      <c r="A3031" s="32" t="str">
        <f t="shared" si="154"/>
        <v/>
      </c>
      <c r="B3031" s="101"/>
      <c r="C3031" s="102"/>
      <c r="D3031" s="103"/>
      <c r="E3031" s="102"/>
      <c r="F3031" s="25" t="str">
        <f>IF($E3031="","",IFERROR(INDEX(科目表!$A$4:$A$81,MATCH($E3031,科目表!$B$4:$B$81,0)),""))</f>
        <v/>
      </c>
      <c r="G3031" s="26" t="str">
        <f>IF($E3031="","",IFERROR(INDEX(科目表!$E$4:$E$81,MATCH($E3031,科目表!$B$4:$B$81,0)),""))</f>
        <v/>
      </c>
      <c r="H3031" s="104"/>
      <c r="I3031" s="104"/>
      <c r="J3031" s="102"/>
      <c r="K3031" s="102"/>
      <c r="L3031" s="103"/>
      <c r="M3031" s="105"/>
      <c r="N3031" s="103"/>
      <c r="O3031" s="26" t="str">
        <f t="shared" si="153"/>
        <v/>
      </c>
      <c r="P3031" s="103"/>
    </row>
    <row r="3032" ht="18" customHeight="1" spans="1:16">
      <c r="A3032" s="32" t="str">
        <f t="shared" si="154"/>
        <v/>
      </c>
      <c r="B3032" s="101"/>
      <c r="C3032" s="102"/>
      <c r="D3032" s="103"/>
      <c r="E3032" s="102"/>
      <c r="F3032" s="25" t="str">
        <f>IF($E3032="","",IFERROR(INDEX(科目表!$A$4:$A$81,MATCH($E3032,科目表!$B$4:$B$81,0)),""))</f>
        <v/>
      </c>
      <c r="G3032" s="26" t="str">
        <f>IF($E3032="","",IFERROR(INDEX(科目表!$E$4:$E$81,MATCH($E3032,科目表!$B$4:$B$81,0)),""))</f>
        <v/>
      </c>
      <c r="H3032" s="104"/>
      <c r="I3032" s="104"/>
      <c r="J3032" s="102"/>
      <c r="K3032" s="102"/>
      <c r="L3032" s="103"/>
      <c r="M3032" s="105"/>
      <c r="N3032" s="103"/>
      <c r="O3032" s="26" t="str">
        <f t="shared" si="153"/>
        <v/>
      </c>
      <c r="P3032" s="103"/>
    </row>
    <row r="3033" ht="18" customHeight="1" spans="1:16">
      <c r="A3033" s="32" t="str">
        <f t="shared" si="154"/>
        <v/>
      </c>
      <c r="B3033" s="101"/>
      <c r="C3033" s="102"/>
      <c r="D3033" s="103"/>
      <c r="E3033" s="102"/>
      <c r="F3033" s="25" t="str">
        <f>IF($E3033="","",IFERROR(INDEX(科目表!$A$4:$A$81,MATCH($E3033,科目表!$B$4:$B$81,0)),""))</f>
        <v/>
      </c>
      <c r="G3033" s="26" t="str">
        <f>IF($E3033="","",IFERROR(INDEX(科目表!$E$4:$E$81,MATCH($E3033,科目表!$B$4:$B$81,0)),""))</f>
        <v/>
      </c>
      <c r="H3033" s="104"/>
      <c r="I3033" s="104"/>
      <c r="J3033" s="102"/>
      <c r="K3033" s="102"/>
      <c r="L3033" s="103"/>
      <c r="M3033" s="105"/>
      <c r="N3033" s="103"/>
      <c r="O3033" s="26" t="str">
        <f t="shared" si="153"/>
        <v/>
      </c>
      <c r="P3033" s="103"/>
    </row>
    <row r="3034" ht="18" customHeight="1" spans="1:16">
      <c r="A3034" s="32" t="str">
        <f t="shared" si="154"/>
        <v/>
      </c>
      <c r="B3034" s="101"/>
      <c r="C3034" s="102"/>
      <c r="D3034" s="103"/>
      <c r="E3034" s="102"/>
      <c r="F3034" s="25" t="str">
        <f>IF($E3034="","",IFERROR(INDEX(科目表!$A$4:$A$81,MATCH($E3034,科目表!$B$4:$B$81,0)),""))</f>
        <v/>
      </c>
      <c r="G3034" s="26" t="str">
        <f>IF($E3034="","",IFERROR(INDEX(科目表!$E$4:$E$81,MATCH($E3034,科目表!$B$4:$B$81,0)),""))</f>
        <v/>
      </c>
      <c r="H3034" s="104"/>
      <c r="I3034" s="104"/>
      <c r="J3034" s="102"/>
      <c r="K3034" s="102"/>
      <c r="L3034" s="103"/>
      <c r="M3034" s="105"/>
      <c r="N3034" s="103"/>
      <c r="O3034" s="26" t="str">
        <f t="shared" si="153"/>
        <v/>
      </c>
      <c r="P3034" s="103"/>
    </row>
    <row r="3035" ht="18" customHeight="1" spans="1:16">
      <c r="A3035" s="32" t="str">
        <f t="shared" si="154"/>
        <v/>
      </c>
      <c r="B3035" s="101"/>
      <c r="C3035" s="102"/>
      <c r="D3035" s="103"/>
      <c r="E3035" s="102"/>
      <c r="F3035" s="25" t="str">
        <f>IF($E3035="","",IFERROR(INDEX(科目表!$A$4:$A$81,MATCH($E3035,科目表!$B$4:$B$81,0)),""))</f>
        <v/>
      </c>
      <c r="G3035" s="26" t="str">
        <f>IF($E3035="","",IFERROR(INDEX(科目表!$E$4:$E$81,MATCH($E3035,科目表!$B$4:$B$81,0)),""))</f>
        <v/>
      </c>
      <c r="H3035" s="104"/>
      <c r="I3035" s="104"/>
      <c r="J3035" s="102"/>
      <c r="K3035" s="102"/>
      <c r="L3035" s="103"/>
      <c r="M3035" s="105"/>
      <c r="N3035" s="103"/>
      <c r="O3035" s="26" t="str">
        <f t="shared" si="153"/>
        <v/>
      </c>
      <c r="P3035" s="103"/>
    </row>
    <row r="3036" ht="18" customHeight="1" spans="1:16">
      <c r="A3036" s="32" t="str">
        <f t="shared" si="154"/>
        <v/>
      </c>
      <c r="B3036" s="101"/>
      <c r="C3036" s="102"/>
      <c r="D3036" s="103"/>
      <c r="E3036" s="102"/>
      <c r="F3036" s="25" t="str">
        <f>IF($E3036="","",IFERROR(INDEX(科目表!$A$4:$A$81,MATCH($E3036,科目表!$B$4:$B$81,0)),""))</f>
        <v/>
      </c>
      <c r="G3036" s="26" t="str">
        <f>IF($E3036="","",IFERROR(INDEX(科目表!$E$4:$E$81,MATCH($E3036,科目表!$B$4:$B$81,0)),""))</f>
        <v/>
      </c>
      <c r="H3036" s="104"/>
      <c r="I3036" s="104"/>
      <c r="J3036" s="102"/>
      <c r="K3036" s="102"/>
      <c r="L3036" s="103"/>
      <c r="M3036" s="105"/>
      <c r="N3036" s="103"/>
      <c r="O3036" s="26" t="str">
        <f t="shared" si="153"/>
        <v/>
      </c>
      <c r="P3036" s="103"/>
    </row>
    <row r="3037" ht="18" customHeight="1" spans="1:16">
      <c r="A3037" s="32" t="str">
        <f t="shared" si="154"/>
        <v/>
      </c>
      <c r="B3037" s="101"/>
      <c r="C3037" s="102"/>
      <c r="D3037" s="103"/>
      <c r="E3037" s="102"/>
      <c r="F3037" s="25" t="str">
        <f>IF($E3037="","",IFERROR(INDEX(科目表!$A$4:$A$81,MATCH($E3037,科目表!$B$4:$B$81,0)),""))</f>
        <v/>
      </c>
      <c r="G3037" s="26" t="str">
        <f>IF($E3037="","",IFERROR(INDEX(科目表!$E$4:$E$81,MATCH($E3037,科目表!$B$4:$B$81,0)),""))</f>
        <v/>
      </c>
      <c r="H3037" s="104"/>
      <c r="I3037" s="104"/>
      <c r="J3037" s="102"/>
      <c r="K3037" s="102"/>
      <c r="L3037" s="103"/>
      <c r="M3037" s="105"/>
      <c r="N3037" s="103"/>
      <c r="O3037" s="26" t="str">
        <f t="shared" si="153"/>
        <v/>
      </c>
      <c r="P3037" s="103"/>
    </row>
    <row r="3038" ht="18" customHeight="1" spans="1:16">
      <c r="A3038" s="32" t="str">
        <f t="shared" si="154"/>
        <v/>
      </c>
      <c r="B3038" s="101"/>
      <c r="C3038" s="102"/>
      <c r="D3038" s="103"/>
      <c r="E3038" s="102"/>
      <c r="F3038" s="25" t="str">
        <f>IF($E3038="","",IFERROR(INDEX(科目表!$A$4:$A$81,MATCH($E3038,科目表!$B$4:$B$81,0)),""))</f>
        <v/>
      </c>
      <c r="G3038" s="26" t="str">
        <f>IF($E3038="","",IFERROR(INDEX(科目表!$E$4:$E$81,MATCH($E3038,科目表!$B$4:$B$81,0)),""))</f>
        <v/>
      </c>
      <c r="H3038" s="104"/>
      <c r="I3038" s="104"/>
      <c r="J3038" s="102"/>
      <c r="K3038" s="102"/>
      <c r="L3038" s="103"/>
      <c r="M3038" s="105"/>
      <c r="N3038" s="103"/>
      <c r="O3038" s="26" t="str">
        <f t="shared" si="153"/>
        <v/>
      </c>
      <c r="P3038" s="103"/>
    </row>
    <row r="3039" ht="18" customHeight="1" spans="1:16">
      <c r="A3039" s="32" t="str">
        <f t="shared" si="154"/>
        <v/>
      </c>
      <c r="B3039" s="101"/>
      <c r="C3039" s="102"/>
      <c r="D3039" s="103"/>
      <c r="E3039" s="102"/>
      <c r="F3039" s="25" t="str">
        <f>IF($E3039="","",IFERROR(INDEX(科目表!$A$4:$A$81,MATCH($E3039,科目表!$B$4:$B$81,0)),""))</f>
        <v/>
      </c>
      <c r="G3039" s="26" t="str">
        <f>IF($E3039="","",IFERROR(INDEX(科目表!$E$4:$E$81,MATCH($E3039,科目表!$B$4:$B$81,0)),""))</f>
        <v/>
      </c>
      <c r="H3039" s="104"/>
      <c r="I3039" s="104"/>
      <c r="J3039" s="102"/>
      <c r="K3039" s="102"/>
      <c r="L3039" s="103"/>
      <c r="M3039" s="105"/>
      <c r="N3039" s="103"/>
      <c r="O3039" s="26" t="str">
        <f t="shared" si="153"/>
        <v/>
      </c>
      <c r="P3039" s="103"/>
    </row>
    <row r="3040" ht="18" customHeight="1" spans="1:16">
      <c r="A3040" s="32" t="str">
        <f t="shared" si="154"/>
        <v/>
      </c>
      <c r="B3040" s="101"/>
      <c r="C3040" s="102"/>
      <c r="D3040" s="103"/>
      <c r="E3040" s="102"/>
      <c r="F3040" s="25" t="str">
        <f>IF($E3040="","",IFERROR(INDEX(科目表!$A$4:$A$81,MATCH($E3040,科目表!$B$4:$B$81,0)),""))</f>
        <v/>
      </c>
      <c r="G3040" s="26" t="str">
        <f>IF($E3040="","",IFERROR(INDEX(科目表!$E$4:$E$81,MATCH($E3040,科目表!$B$4:$B$81,0)),""))</f>
        <v/>
      </c>
      <c r="H3040" s="104"/>
      <c r="I3040" s="104"/>
      <c r="J3040" s="102"/>
      <c r="K3040" s="102"/>
      <c r="L3040" s="103"/>
      <c r="M3040" s="105"/>
      <c r="N3040" s="103"/>
      <c r="O3040" s="26" t="str">
        <f t="shared" si="153"/>
        <v/>
      </c>
      <c r="P3040" s="103"/>
    </row>
    <row r="3041" ht="18" customHeight="1" spans="1:16">
      <c r="A3041" s="32" t="str">
        <f t="shared" si="154"/>
        <v/>
      </c>
      <c r="B3041" s="101"/>
      <c r="C3041" s="102"/>
      <c r="D3041" s="103"/>
      <c r="E3041" s="102"/>
      <c r="F3041" s="25" t="str">
        <f>IF($E3041="","",IFERROR(INDEX(科目表!$A$4:$A$81,MATCH($E3041,科目表!$B$4:$B$81,0)),""))</f>
        <v/>
      </c>
      <c r="G3041" s="26" t="str">
        <f>IF($E3041="","",IFERROR(INDEX(科目表!$E$4:$E$81,MATCH($E3041,科目表!$B$4:$B$81,0)),""))</f>
        <v/>
      </c>
      <c r="H3041" s="104"/>
      <c r="I3041" s="104"/>
      <c r="J3041" s="102"/>
      <c r="K3041" s="102"/>
      <c r="L3041" s="103"/>
      <c r="M3041" s="105"/>
      <c r="N3041" s="103"/>
      <c r="O3041" s="26" t="str">
        <f t="shared" si="153"/>
        <v/>
      </c>
      <c r="P3041" s="103"/>
    </row>
    <row r="3042" ht="18" customHeight="1" spans="1:16">
      <c r="A3042" s="32" t="str">
        <f t="shared" si="154"/>
        <v/>
      </c>
      <c r="B3042" s="101"/>
      <c r="C3042" s="102"/>
      <c r="D3042" s="103"/>
      <c r="E3042" s="102"/>
      <c r="F3042" s="25" t="str">
        <f>IF($E3042="","",IFERROR(INDEX(科目表!$A$4:$A$81,MATCH($E3042,科目表!$B$4:$B$81,0)),""))</f>
        <v/>
      </c>
      <c r="G3042" s="26" t="str">
        <f>IF($E3042="","",IFERROR(INDEX(科目表!$E$4:$E$81,MATCH($E3042,科目表!$B$4:$B$81,0)),""))</f>
        <v/>
      </c>
      <c r="H3042" s="104"/>
      <c r="I3042" s="104"/>
      <c r="J3042" s="102"/>
      <c r="K3042" s="102"/>
      <c r="L3042" s="103"/>
      <c r="M3042" s="105"/>
      <c r="N3042" s="103"/>
      <c r="O3042" s="26" t="str">
        <f t="shared" si="153"/>
        <v/>
      </c>
      <c r="P3042" s="103"/>
    </row>
    <row r="3043" ht="18" customHeight="1" spans="1:16">
      <c r="A3043" s="32" t="str">
        <f t="shared" si="154"/>
        <v/>
      </c>
      <c r="B3043" s="101"/>
      <c r="C3043" s="102"/>
      <c r="D3043" s="103"/>
      <c r="E3043" s="102"/>
      <c r="F3043" s="25" t="str">
        <f>IF($E3043="","",IFERROR(INDEX(科目表!$A$4:$A$81,MATCH($E3043,科目表!$B$4:$B$81,0)),""))</f>
        <v/>
      </c>
      <c r="G3043" s="26" t="str">
        <f>IF($E3043="","",IFERROR(INDEX(科目表!$E$4:$E$81,MATCH($E3043,科目表!$B$4:$B$81,0)),""))</f>
        <v/>
      </c>
      <c r="H3043" s="104"/>
      <c r="I3043" s="104"/>
      <c r="J3043" s="102"/>
      <c r="K3043" s="102"/>
      <c r="L3043" s="103"/>
      <c r="M3043" s="105"/>
      <c r="N3043" s="103"/>
      <c r="O3043" s="26" t="str">
        <f t="shared" si="153"/>
        <v/>
      </c>
      <c r="P3043" s="103"/>
    </row>
    <row r="3044" ht="18" customHeight="1" spans="1:16">
      <c r="A3044" s="32" t="str">
        <f t="shared" si="154"/>
        <v/>
      </c>
      <c r="B3044" s="101"/>
      <c r="C3044" s="102"/>
      <c r="D3044" s="103"/>
      <c r="E3044" s="102"/>
      <c r="F3044" s="25" t="str">
        <f>IF($E3044="","",IFERROR(INDEX(科目表!$A$4:$A$81,MATCH($E3044,科目表!$B$4:$B$81,0)),""))</f>
        <v/>
      </c>
      <c r="G3044" s="26" t="str">
        <f>IF($E3044="","",IFERROR(INDEX(科目表!$E$4:$E$81,MATCH($E3044,科目表!$B$4:$B$81,0)),""))</f>
        <v/>
      </c>
      <c r="H3044" s="104"/>
      <c r="I3044" s="104"/>
      <c r="J3044" s="102"/>
      <c r="K3044" s="102"/>
      <c r="L3044" s="103"/>
      <c r="M3044" s="105"/>
      <c r="N3044" s="103"/>
      <c r="O3044" s="26" t="str">
        <f t="shared" si="153"/>
        <v/>
      </c>
      <c r="P3044" s="103"/>
    </row>
    <row r="3045" ht="18" customHeight="1" spans="1:16">
      <c r="A3045" s="32" t="str">
        <f t="shared" si="154"/>
        <v/>
      </c>
      <c r="B3045" s="101"/>
      <c r="C3045" s="102"/>
      <c r="D3045" s="103"/>
      <c r="E3045" s="102"/>
      <c r="F3045" s="25" t="str">
        <f>IF($E3045="","",IFERROR(INDEX(科目表!$A$4:$A$81,MATCH($E3045,科目表!$B$4:$B$81,0)),""))</f>
        <v/>
      </c>
      <c r="G3045" s="26" t="str">
        <f>IF($E3045="","",IFERROR(INDEX(科目表!$E$4:$E$81,MATCH($E3045,科目表!$B$4:$B$81,0)),""))</f>
        <v/>
      </c>
      <c r="H3045" s="104"/>
      <c r="I3045" s="104"/>
      <c r="J3045" s="102"/>
      <c r="K3045" s="102"/>
      <c r="L3045" s="103"/>
      <c r="M3045" s="105"/>
      <c r="N3045" s="103"/>
      <c r="O3045" s="26" t="str">
        <f t="shared" si="153"/>
        <v/>
      </c>
      <c r="P3045" s="103"/>
    </row>
    <row r="3046" ht="18" customHeight="1" spans="1:16">
      <c r="A3046" s="32" t="str">
        <f t="shared" si="154"/>
        <v/>
      </c>
      <c r="B3046" s="101"/>
      <c r="C3046" s="102"/>
      <c r="D3046" s="103"/>
      <c r="E3046" s="102"/>
      <c r="F3046" s="25" t="str">
        <f>IF($E3046="","",IFERROR(INDEX(科目表!$A$4:$A$81,MATCH($E3046,科目表!$B$4:$B$81,0)),""))</f>
        <v/>
      </c>
      <c r="G3046" s="26" t="str">
        <f>IF($E3046="","",IFERROR(INDEX(科目表!$E$4:$E$81,MATCH($E3046,科目表!$B$4:$B$81,0)),""))</f>
        <v/>
      </c>
      <c r="H3046" s="104"/>
      <c r="I3046" s="104"/>
      <c r="J3046" s="102"/>
      <c r="K3046" s="102"/>
      <c r="L3046" s="103"/>
      <c r="M3046" s="105"/>
      <c r="N3046" s="103"/>
      <c r="O3046" s="26" t="str">
        <f t="shared" si="153"/>
        <v/>
      </c>
      <c r="P3046" s="103"/>
    </row>
    <row r="3047" ht="18" customHeight="1" spans="1:16">
      <c r="A3047" s="32" t="str">
        <f t="shared" si="154"/>
        <v/>
      </c>
      <c r="B3047" s="101"/>
      <c r="C3047" s="102"/>
      <c r="D3047" s="103"/>
      <c r="E3047" s="102"/>
      <c r="F3047" s="25" t="str">
        <f>IF($E3047="","",IFERROR(INDEX(科目表!$A$4:$A$81,MATCH($E3047,科目表!$B$4:$B$81,0)),""))</f>
        <v/>
      </c>
      <c r="G3047" s="26" t="str">
        <f>IF($E3047="","",IFERROR(INDEX(科目表!$E$4:$E$81,MATCH($E3047,科目表!$B$4:$B$81,0)),""))</f>
        <v/>
      </c>
      <c r="H3047" s="104"/>
      <c r="I3047" s="104"/>
      <c r="J3047" s="102"/>
      <c r="K3047" s="102"/>
      <c r="L3047" s="103"/>
      <c r="M3047" s="105"/>
      <c r="N3047" s="103"/>
      <c r="O3047" s="26" t="str">
        <f t="shared" si="153"/>
        <v/>
      </c>
      <c r="P3047" s="103"/>
    </row>
    <row r="3048" ht="18" customHeight="1" spans="1:16">
      <c r="A3048" s="32" t="str">
        <f t="shared" si="154"/>
        <v/>
      </c>
      <c r="B3048" s="101"/>
      <c r="C3048" s="102"/>
      <c r="D3048" s="103"/>
      <c r="E3048" s="102"/>
      <c r="F3048" s="25" t="str">
        <f>IF($E3048="","",IFERROR(INDEX(科目表!$A$4:$A$81,MATCH($E3048,科目表!$B$4:$B$81,0)),""))</f>
        <v/>
      </c>
      <c r="G3048" s="26" t="str">
        <f>IF($E3048="","",IFERROR(INDEX(科目表!$E$4:$E$81,MATCH($E3048,科目表!$B$4:$B$81,0)),""))</f>
        <v/>
      </c>
      <c r="H3048" s="104"/>
      <c r="I3048" s="104"/>
      <c r="J3048" s="102"/>
      <c r="K3048" s="102"/>
      <c r="L3048" s="103"/>
      <c r="M3048" s="105"/>
      <c r="N3048" s="103"/>
      <c r="O3048" s="26" t="str">
        <f t="shared" si="153"/>
        <v/>
      </c>
      <c r="P3048" s="103"/>
    </row>
    <row r="3049" ht="18" customHeight="1" spans="1:16">
      <c r="A3049" s="32" t="str">
        <f t="shared" si="154"/>
        <v/>
      </c>
      <c r="B3049" s="101"/>
      <c r="C3049" s="102"/>
      <c r="D3049" s="103"/>
      <c r="E3049" s="102"/>
      <c r="F3049" s="25" t="str">
        <f>IF($E3049="","",IFERROR(INDEX(科目表!$A$4:$A$81,MATCH($E3049,科目表!$B$4:$B$81,0)),""))</f>
        <v/>
      </c>
      <c r="G3049" s="26" t="str">
        <f>IF($E3049="","",IFERROR(INDEX(科目表!$E$4:$E$81,MATCH($E3049,科目表!$B$4:$B$81,0)),""))</f>
        <v/>
      </c>
      <c r="H3049" s="104"/>
      <c r="I3049" s="104"/>
      <c r="J3049" s="102"/>
      <c r="K3049" s="102"/>
      <c r="L3049" s="103"/>
      <c r="M3049" s="105"/>
      <c r="N3049" s="103"/>
      <c r="O3049" s="26" t="str">
        <f t="shared" si="153"/>
        <v/>
      </c>
      <c r="P3049" s="103"/>
    </row>
    <row r="3050" ht="18" customHeight="1" spans="1:16">
      <c r="A3050" s="32" t="str">
        <f t="shared" si="154"/>
        <v/>
      </c>
      <c r="B3050" s="101"/>
      <c r="C3050" s="102"/>
      <c r="D3050" s="103"/>
      <c r="E3050" s="102"/>
      <c r="F3050" s="25" t="str">
        <f>IF($E3050="","",IFERROR(INDEX(科目表!$A$4:$A$81,MATCH($E3050,科目表!$B$4:$B$81,0)),""))</f>
        <v/>
      </c>
      <c r="G3050" s="26" t="str">
        <f>IF($E3050="","",IFERROR(INDEX(科目表!$E$4:$E$81,MATCH($E3050,科目表!$B$4:$B$81,0)),""))</f>
        <v/>
      </c>
      <c r="H3050" s="104"/>
      <c r="I3050" s="104"/>
      <c r="J3050" s="102"/>
      <c r="K3050" s="102"/>
      <c r="L3050" s="103"/>
      <c r="M3050" s="105"/>
      <c r="N3050" s="103"/>
      <c r="O3050" s="26" t="str">
        <f t="shared" si="153"/>
        <v/>
      </c>
      <c r="P3050" s="103"/>
    </row>
    <row r="3051" ht="18" customHeight="1" spans="1:16">
      <c r="A3051" s="32" t="str">
        <f t="shared" si="154"/>
        <v/>
      </c>
      <c r="B3051" s="101"/>
      <c r="C3051" s="102"/>
      <c r="D3051" s="103"/>
      <c r="E3051" s="102"/>
      <c r="F3051" s="25" t="str">
        <f>IF($E3051="","",IFERROR(INDEX(科目表!$A$4:$A$81,MATCH($E3051,科目表!$B$4:$B$81,0)),""))</f>
        <v/>
      </c>
      <c r="G3051" s="26" t="str">
        <f>IF($E3051="","",IFERROR(INDEX(科目表!$E$4:$E$81,MATCH($E3051,科目表!$B$4:$B$81,0)),""))</f>
        <v/>
      </c>
      <c r="H3051" s="104"/>
      <c r="I3051" s="104"/>
      <c r="J3051" s="102"/>
      <c r="K3051" s="102"/>
      <c r="L3051" s="103"/>
      <c r="M3051" s="105"/>
      <c r="N3051" s="103"/>
      <c r="O3051" s="26" t="str">
        <f t="shared" si="153"/>
        <v/>
      </c>
      <c r="P3051" s="103"/>
    </row>
    <row r="3052" ht="18" customHeight="1" spans="1:16">
      <c r="A3052" s="32" t="str">
        <f t="shared" si="154"/>
        <v/>
      </c>
      <c r="B3052" s="101"/>
      <c r="C3052" s="102"/>
      <c r="D3052" s="103"/>
      <c r="E3052" s="102"/>
      <c r="F3052" s="25" t="str">
        <f>IF($E3052="","",IFERROR(INDEX(科目表!$A$4:$A$81,MATCH($E3052,科目表!$B$4:$B$81,0)),""))</f>
        <v/>
      </c>
      <c r="G3052" s="26" t="str">
        <f>IF($E3052="","",IFERROR(INDEX(科目表!$E$4:$E$81,MATCH($E3052,科目表!$B$4:$B$81,0)),""))</f>
        <v/>
      </c>
      <c r="H3052" s="104"/>
      <c r="I3052" s="104"/>
      <c r="J3052" s="102"/>
      <c r="K3052" s="102"/>
      <c r="L3052" s="103"/>
      <c r="M3052" s="105"/>
      <c r="N3052" s="103"/>
      <c r="O3052" s="26" t="str">
        <f t="shared" si="153"/>
        <v/>
      </c>
      <c r="P3052" s="103"/>
    </row>
    <row r="3053" ht="18" customHeight="1" spans="1:16">
      <c r="A3053" s="32" t="str">
        <f t="shared" si="154"/>
        <v/>
      </c>
      <c r="B3053" s="101"/>
      <c r="C3053" s="102"/>
      <c r="D3053" s="103"/>
      <c r="E3053" s="102"/>
      <c r="F3053" s="25" t="str">
        <f>IF($E3053="","",IFERROR(INDEX(科目表!$A$4:$A$81,MATCH($E3053,科目表!$B$4:$B$81,0)),""))</f>
        <v/>
      </c>
      <c r="G3053" s="26" t="str">
        <f>IF($E3053="","",IFERROR(INDEX(科目表!$E$4:$E$81,MATCH($E3053,科目表!$B$4:$B$81,0)),""))</f>
        <v/>
      </c>
      <c r="H3053" s="104"/>
      <c r="I3053" s="104"/>
      <c r="J3053" s="102"/>
      <c r="K3053" s="102"/>
      <c r="L3053" s="103"/>
      <c r="M3053" s="105"/>
      <c r="N3053" s="103"/>
      <c r="O3053" s="26" t="str">
        <f t="shared" si="153"/>
        <v/>
      </c>
      <c r="P3053" s="103"/>
    </row>
    <row r="3054" ht="18" customHeight="1" spans="1:16">
      <c r="A3054" s="32" t="str">
        <f t="shared" si="154"/>
        <v/>
      </c>
      <c r="B3054" s="101"/>
      <c r="C3054" s="102"/>
      <c r="D3054" s="103"/>
      <c r="E3054" s="102"/>
      <c r="F3054" s="25" t="str">
        <f>IF($E3054="","",IFERROR(INDEX(科目表!$A$4:$A$81,MATCH($E3054,科目表!$B$4:$B$81,0)),""))</f>
        <v/>
      </c>
      <c r="G3054" s="26" t="str">
        <f>IF($E3054="","",IFERROR(INDEX(科目表!$E$4:$E$81,MATCH($E3054,科目表!$B$4:$B$81,0)),""))</f>
        <v/>
      </c>
      <c r="H3054" s="104"/>
      <c r="I3054" s="104"/>
      <c r="J3054" s="102"/>
      <c r="K3054" s="102"/>
      <c r="L3054" s="103"/>
      <c r="M3054" s="105"/>
      <c r="N3054" s="103"/>
      <c r="O3054" s="26" t="str">
        <f t="shared" si="153"/>
        <v/>
      </c>
      <c r="P3054" s="103"/>
    </row>
    <row r="3055" ht="18" customHeight="1" spans="1:16">
      <c r="A3055" s="32" t="str">
        <f t="shared" si="154"/>
        <v/>
      </c>
      <c r="B3055" s="101"/>
      <c r="C3055" s="102"/>
      <c r="D3055" s="103"/>
      <c r="E3055" s="102"/>
      <c r="F3055" s="25" t="str">
        <f>IF($E3055="","",IFERROR(INDEX(科目表!$A$4:$A$81,MATCH($E3055,科目表!$B$4:$B$81,0)),""))</f>
        <v/>
      </c>
      <c r="G3055" s="26" t="str">
        <f>IF($E3055="","",IFERROR(INDEX(科目表!$E$4:$E$81,MATCH($E3055,科目表!$B$4:$B$81,0)),""))</f>
        <v/>
      </c>
      <c r="H3055" s="104"/>
      <c r="I3055" s="104"/>
      <c r="J3055" s="102"/>
      <c r="K3055" s="102"/>
      <c r="L3055" s="103"/>
      <c r="M3055" s="105"/>
      <c r="N3055" s="103"/>
      <c r="O3055" s="26" t="str">
        <f t="shared" si="153"/>
        <v/>
      </c>
      <c r="P3055" s="103"/>
    </row>
    <row r="3056" ht="18" customHeight="1" spans="1:16">
      <c r="A3056" s="32" t="str">
        <f t="shared" si="154"/>
        <v/>
      </c>
      <c r="B3056" s="101"/>
      <c r="C3056" s="102"/>
      <c r="D3056" s="103"/>
      <c r="E3056" s="102"/>
      <c r="F3056" s="25" t="str">
        <f>IF($E3056="","",IFERROR(INDEX(科目表!$A$4:$A$81,MATCH($E3056,科目表!$B$4:$B$81,0)),""))</f>
        <v/>
      </c>
      <c r="G3056" s="26" t="str">
        <f>IF($E3056="","",IFERROR(INDEX(科目表!$E$4:$E$81,MATCH($E3056,科目表!$B$4:$B$81,0)),""))</f>
        <v/>
      </c>
      <c r="H3056" s="104"/>
      <c r="I3056" s="104"/>
      <c r="J3056" s="102"/>
      <c r="K3056" s="102"/>
      <c r="L3056" s="103"/>
      <c r="M3056" s="105"/>
      <c r="N3056" s="103"/>
      <c r="O3056" s="26" t="str">
        <f t="shared" si="153"/>
        <v/>
      </c>
      <c r="P3056" s="103"/>
    </row>
    <row r="3057" ht="18" customHeight="1" spans="1:16">
      <c r="A3057" s="32" t="str">
        <f t="shared" si="154"/>
        <v/>
      </c>
      <c r="B3057" s="101"/>
      <c r="C3057" s="102"/>
      <c r="D3057" s="103"/>
      <c r="E3057" s="102"/>
      <c r="F3057" s="25" t="str">
        <f>IF($E3057="","",IFERROR(INDEX(科目表!$A$4:$A$81,MATCH($E3057,科目表!$B$4:$B$81,0)),""))</f>
        <v/>
      </c>
      <c r="G3057" s="26" t="str">
        <f>IF($E3057="","",IFERROR(INDEX(科目表!$E$4:$E$81,MATCH($E3057,科目表!$B$4:$B$81,0)),""))</f>
        <v/>
      </c>
      <c r="H3057" s="104"/>
      <c r="I3057" s="104"/>
      <c r="J3057" s="102"/>
      <c r="K3057" s="102"/>
      <c r="L3057" s="103"/>
      <c r="M3057" s="105"/>
      <c r="N3057" s="103"/>
      <c r="O3057" s="26" t="str">
        <f t="shared" si="153"/>
        <v/>
      </c>
      <c r="P3057" s="103"/>
    </row>
    <row r="3058" ht="18" customHeight="1" spans="1:16">
      <c r="A3058" s="32" t="str">
        <f t="shared" si="154"/>
        <v/>
      </c>
      <c r="B3058" s="101"/>
      <c r="C3058" s="102"/>
      <c r="D3058" s="103"/>
      <c r="E3058" s="102"/>
      <c r="F3058" s="25" t="str">
        <f>IF($E3058="","",IFERROR(INDEX(科目表!$A$4:$A$81,MATCH($E3058,科目表!$B$4:$B$81,0)),""))</f>
        <v/>
      </c>
      <c r="G3058" s="26" t="str">
        <f>IF($E3058="","",IFERROR(INDEX(科目表!$E$4:$E$81,MATCH($E3058,科目表!$B$4:$B$81,0)),""))</f>
        <v/>
      </c>
      <c r="H3058" s="104"/>
      <c r="I3058" s="104"/>
      <c r="J3058" s="102"/>
      <c r="K3058" s="102"/>
      <c r="L3058" s="103"/>
      <c r="M3058" s="105"/>
      <c r="N3058" s="103"/>
      <c r="O3058" s="26" t="str">
        <f t="shared" si="153"/>
        <v/>
      </c>
      <c r="P3058" s="103"/>
    </row>
    <row r="3059" ht="18" customHeight="1" spans="1:16">
      <c r="A3059" s="32" t="str">
        <f t="shared" si="154"/>
        <v/>
      </c>
      <c r="B3059" s="101"/>
      <c r="C3059" s="102"/>
      <c r="D3059" s="103"/>
      <c r="E3059" s="102"/>
      <c r="F3059" s="25" t="str">
        <f>IF($E3059="","",IFERROR(INDEX(科目表!$A$4:$A$81,MATCH($E3059,科目表!$B$4:$B$81,0)),""))</f>
        <v/>
      </c>
      <c r="G3059" s="26" t="str">
        <f>IF($E3059="","",IFERROR(INDEX(科目表!$E$4:$E$81,MATCH($E3059,科目表!$B$4:$B$81,0)),""))</f>
        <v/>
      </c>
      <c r="H3059" s="104"/>
      <c r="I3059" s="104"/>
      <c r="J3059" s="102"/>
      <c r="K3059" s="102"/>
      <c r="L3059" s="103"/>
      <c r="M3059" s="105"/>
      <c r="N3059" s="103"/>
      <c r="O3059" s="26" t="str">
        <f t="shared" si="153"/>
        <v/>
      </c>
      <c r="P3059" s="103"/>
    </row>
    <row r="3060" ht="18" customHeight="1" spans="1:16">
      <c r="A3060" s="32" t="str">
        <f t="shared" si="154"/>
        <v/>
      </c>
      <c r="B3060" s="101"/>
      <c r="C3060" s="102"/>
      <c r="D3060" s="103"/>
      <c r="E3060" s="102"/>
      <c r="F3060" s="25" t="str">
        <f>IF($E3060="","",IFERROR(INDEX(科目表!$A$4:$A$81,MATCH($E3060,科目表!$B$4:$B$81,0)),""))</f>
        <v/>
      </c>
      <c r="G3060" s="26" t="str">
        <f>IF($E3060="","",IFERROR(INDEX(科目表!$E$4:$E$81,MATCH($E3060,科目表!$B$4:$B$81,0)),""))</f>
        <v/>
      </c>
      <c r="H3060" s="104"/>
      <c r="I3060" s="104"/>
      <c r="J3060" s="102"/>
      <c r="K3060" s="102"/>
      <c r="L3060" s="103"/>
      <c r="M3060" s="105"/>
      <c r="N3060" s="103"/>
      <c r="O3060" s="26" t="str">
        <f t="shared" si="153"/>
        <v/>
      </c>
      <c r="P3060" s="103"/>
    </row>
    <row r="3061" ht="18" customHeight="1" spans="1:16">
      <c r="A3061" s="32" t="str">
        <f t="shared" si="154"/>
        <v/>
      </c>
      <c r="B3061" s="101"/>
      <c r="C3061" s="102"/>
      <c r="D3061" s="103"/>
      <c r="E3061" s="102"/>
      <c r="F3061" s="25" t="str">
        <f>IF($E3061="","",IFERROR(INDEX(科目表!$A$4:$A$81,MATCH($E3061,科目表!$B$4:$B$81,0)),""))</f>
        <v/>
      </c>
      <c r="G3061" s="26" t="str">
        <f>IF($E3061="","",IFERROR(INDEX(科目表!$E$4:$E$81,MATCH($E3061,科目表!$B$4:$B$81,0)),""))</f>
        <v/>
      </c>
      <c r="H3061" s="104"/>
      <c r="I3061" s="104"/>
      <c r="J3061" s="102"/>
      <c r="K3061" s="102"/>
      <c r="L3061" s="103"/>
      <c r="M3061" s="105"/>
      <c r="N3061" s="103"/>
      <c r="O3061" s="26" t="str">
        <f t="shared" si="153"/>
        <v/>
      </c>
      <c r="P3061" s="103"/>
    </row>
    <row r="3062" ht="18" customHeight="1" spans="1:16">
      <c r="A3062" s="32" t="str">
        <f t="shared" si="154"/>
        <v/>
      </c>
      <c r="B3062" s="101"/>
      <c r="C3062" s="102"/>
      <c r="D3062" s="103"/>
      <c r="E3062" s="102"/>
      <c r="F3062" s="25" t="str">
        <f>IF($E3062="","",IFERROR(INDEX(科目表!$A$4:$A$81,MATCH($E3062,科目表!$B$4:$B$81,0)),""))</f>
        <v/>
      </c>
      <c r="G3062" s="26" t="str">
        <f>IF($E3062="","",IFERROR(INDEX(科目表!$E$4:$E$81,MATCH($E3062,科目表!$B$4:$B$81,0)),""))</f>
        <v/>
      </c>
      <c r="H3062" s="104"/>
      <c r="I3062" s="104"/>
      <c r="J3062" s="102"/>
      <c r="K3062" s="102"/>
      <c r="L3062" s="103"/>
      <c r="M3062" s="105"/>
      <c r="N3062" s="103"/>
      <c r="O3062" s="26" t="str">
        <f t="shared" si="153"/>
        <v/>
      </c>
      <c r="P3062" s="103"/>
    </row>
    <row r="3063" ht="18" customHeight="1" spans="1:16">
      <c r="A3063" s="32" t="str">
        <f t="shared" si="154"/>
        <v/>
      </c>
      <c r="B3063" s="101"/>
      <c r="C3063" s="102"/>
      <c r="D3063" s="103"/>
      <c r="E3063" s="102"/>
      <c r="F3063" s="25" t="str">
        <f>IF($E3063="","",IFERROR(INDEX(科目表!$A$4:$A$81,MATCH($E3063,科目表!$B$4:$B$81,0)),""))</f>
        <v/>
      </c>
      <c r="G3063" s="26" t="str">
        <f>IF($E3063="","",IFERROR(INDEX(科目表!$E$4:$E$81,MATCH($E3063,科目表!$B$4:$B$81,0)),""))</f>
        <v/>
      </c>
      <c r="H3063" s="104"/>
      <c r="I3063" s="104"/>
      <c r="J3063" s="102"/>
      <c r="K3063" s="102"/>
      <c r="L3063" s="103"/>
      <c r="M3063" s="105"/>
      <c r="N3063" s="103"/>
      <c r="O3063" s="26" t="str">
        <f t="shared" si="153"/>
        <v/>
      </c>
      <c r="P3063" s="103"/>
    </row>
    <row r="3064" ht="18" customHeight="1" spans="1:16">
      <c r="A3064" s="32" t="str">
        <f t="shared" si="154"/>
        <v/>
      </c>
      <c r="B3064" s="101"/>
      <c r="C3064" s="102"/>
      <c r="D3064" s="103"/>
      <c r="E3064" s="102"/>
      <c r="F3064" s="25" t="str">
        <f>IF($E3064="","",IFERROR(INDEX(科目表!$A$4:$A$81,MATCH($E3064,科目表!$B$4:$B$81,0)),""))</f>
        <v/>
      </c>
      <c r="G3064" s="26" t="str">
        <f>IF($E3064="","",IFERROR(INDEX(科目表!$E$4:$E$81,MATCH($E3064,科目表!$B$4:$B$81,0)),""))</f>
        <v/>
      </c>
      <c r="H3064" s="104"/>
      <c r="I3064" s="104"/>
      <c r="J3064" s="102"/>
      <c r="K3064" s="102"/>
      <c r="L3064" s="103"/>
      <c r="M3064" s="105"/>
      <c r="N3064" s="103"/>
      <c r="O3064" s="26" t="str">
        <f t="shared" si="153"/>
        <v/>
      </c>
      <c r="P3064" s="103"/>
    </row>
    <row r="3065" ht="18" customHeight="1" spans="1:16">
      <c r="A3065" s="32" t="str">
        <f t="shared" si="154"/>
        <v/>
      </c>
      <c r="B3065" s="101"/>
      <c r="C3065" s="102"/>
      <c r="D3065" s="103"/>
      <c r="E3065" s="102"/>
      <c r="F3065" s="25" t="str">
        <f>IF($E3065="","",IFERROR(INDEX(科目表!$A$4:$A$81,MATCH($E3065,科目表!$B$4:$B$81,0)),""))</f>
        <v/>
      </c>
      <c r="G3065" s="26" t="str">
        <f>IF($E3065="","",IFERROR(INDEX(科目表!$E$4:$E$81,MATCH($E3065,科目表!$B$4:$B$81,0)),""))</f>
        <v/>
      </c>
      <c r="H3065" s="104"/>
      <c r="I3065" s="104"/>
      <c r="J3065" s="102"/>
      <c r="K3065" s="102"/>
      <c r="L3065" s="103"/>
      <c r="M3065" s="105"/>
      <c r="N3065" s="103"/>
      <c r="O3065" s="26" t="str">
        <f t="shared" si="153"/>
        <v/>
      </c>
      <c r="P3065" s="103"/>
    </row>
    <row r="3066" ht="18" customHeight="1" spans="1:16">
      <c r="A3066" s="32" t="str">
        <f t="shared" si="154"/>
        <v/>
      </c>
      <c r="B3066" s="101"/>
      <c r="C3066" s="102"/>
      <c r="D3066" s="103"/>
      <c r="E3066" s="102"/>
      <c r="F3066" s="25" t="str">
        <f>IF($E3066="","",IFERROR(INDEX(科目表!$A$4:$A$81,MATCH($E3066,科目表!$B$4:$B$81,0)),""))</f>
        <v/>
      </c>
      <c r="G3066" s="26" t="str">
        <f>IF($E3066="","",IFERROR(INDEX(科目表!$E$4:$E$81,MATCH($E3066,科目表!$B$4:$B$81,0)),""))</f>
        <v/>
      </c>
      <c r="H3066" s="104"/>
      <c r="I3066" s="104"/>
      <c r="J3066" s="102"/>
      <c r="K3066" s="102"/>
      <c r="L3066" s="103"/>
      <c r="M3066" s="105"/>
      <c r="N3066" s="103"/>
      <c r="O3066" s="26" t="str">
        <f t="shared" si="153"/>
        <v/>
      </c>
      <c r="P3066" s="103"/>
    </row>
    <row r="3067" ht="18" customHeight="1" spans="1:16">
      <c r="A3067" s="32" t="str">
        <f t="shared" si="154"/>
        <v/>
      </c>
      <c r="B3067" s="101"/>
      <c r="C3067" s="102"/>
      <c r="D3067" s="103"/>
      <c r="E3067" s="102"/>
      <c r="F3067" s="25" t="str">
        <f>IF($E3067="","",IFERROR(INDEX(科目表!$A$4:$A$81,MATCH($E3067,科目表!$B$4:$B$81,0)),""))</f>
        <v/>
      </c>
      <c r="G3067" s="26" t="str">
        <f>IF($E3067="","",IFERROR(INDEX(科目表!$E$4:$E$81,MATCH($E3067,科目表!$B$4:$B$81,0)),""))</f>
        <v/>
      </c>
      <c r="H3067" s="104"/>
      <c r="I3067" s="104"/>
      <c r="J3067" s="102"/>
      <c r="K3067" s="102"/>
      <c r="L3067" s="103"/>
      <c r="M3067" s="105"/>
      <c r="N3067" s="103"/>
      <c r="O3067" s="26" t="str">
        <f t="shared" si="153"/>
        <v/>
      </c>
      <c r="P3067" s="103"/>
    </row>
    <row r="3068" ht="18" customHeight="1" spans="1:16">
      <c r="A3068" s="32" t="str">
        <f t="shared" si="154"/>
        <v/>
      </c>
      <c r="B3068" s="101"/>
      <c r="C3068" s="102"/>
      <c r="D3068" s="103"/>
      <c r="E3068" s="102"/>
      <c r="F3068" s="25" t="str">
        <f>IF($E3068="","",IFERROR(INDEX(科目表!$A$4:$A$81,MATCH($E3068,科目表!$B$4:$B$81,0)),""))</f>
        <v/>
      </c>
      <c r="G3068" s="26" t="str">
        <f>IF($E3068="","",IFERROR(INDEX(科目表!$E$4:$E$81,MATCH($E3068,科目表!$B$4:$B$81,0)),""))</f>
        <v/>
      </c>
      <c r="H3068" s="104"/>
      <c r="I3068" s="104"/>
      <c r="J3068" s="102"/>
      <c r="K3068" s="102"/>
      <c r="L3068" s="103"/>
      <c r="M3068" s="105"/>
      <c r="N3068" s="103"/>
      <c r="O3068" s="26" t="str">
        <f t="shared" si="153"/>
        <v/>
      </c>
      <c r="P3068" s="103"/>
    </row>
    <row r="3069" ht="18" customHeight="1" spans="1:16">
      <c r="A3069" s="32" t="str">
        <f t="shared" si="154"/>
        <v/>
      </c>
      <c r="B3069" s="101"/>
      <c r="C3069" s="102"/>
      <c r="D3069" s="103"/>
      <c r="E3069" s="102"/>
      <c r="F3069" s="25" t="str">
        <f>IF($E3069="","",IFERROR(INDEX(科目表!$A$4:$A$81,MATCH($E3069,科目表!$B$4:$B$81,0)),""))</f>
        <v/>
      </c>
      <c r="G3069" s="26" t="str">
        <f>IF($E3069="","",IFERROR(INDEX(科目表!$E$4:$E$81,MATCH($E3069,科目表!$B$4:$B$81,0)),""))</f>
        <v/>
      </c>
      <c r="H3069" s="104"/>
      <c r="I3069" s="104"/>
      <c r="J3069" s="102"/>
      <c r="K3069" s="102"/>
      <c r="L3069" s="103"/>
      <c r="M3069" s="105"/>
      <c r="N3069" s="103"/>
      <c r="O3069" s="26" t="str">
        <f t="shared" si="153"/>
        <v/>
      </c>
      <c r="P3069" s="103"/>
    </row>
    <row r="3070" ht="18" customHeight="1" spans="1:16">
      <c r="A3070" s="32" t="str">
        <f t="shared" si="154"/>
        <v/>
      </c>
      <c r="B3070" s="101"/>
      <c r="C3070" s="102"/>
      <c r="D3070" s="103"/>
      <c r="E3070" s="102"/>
      <c r="F3070" s="25" t="str">
        <f>IF($E3070="","",IFERROR(INDEX(科目表!$A$4:$A$81,MATCH($E3070,科目表!$B$4:$B$81,0)),""))</f>
        <v/>
      </c>
      <c r="G3070" s="26" t="str">
        <f>IF($E3070="","",IFERROR(INDEX(科目表!$E$4:$E$81,MATCH($E3070,科目表!$B$4:$B$81,0)),""))</f>
        <v/>
      </c>
      <c r="H3070" s="104"/>
      <c r="I3070" s="104"/>
      <c r="J3070" s="102"/>
      <c r="K3070" s="102"/>
      <c r="L3070" s="103"/>
      <c r="M3070" s="105"/>
      <c r="N3070" s="103"/>
      <c r="O3070" s="26" t="str">
        <f t="shared" si="153"/>
        <v/>
      </c>
      <c r="P3070" s="103"/>
    </row>
    <row r="3071" ht="18" customHeight="1" spans="1:16">
      <c r="A3071" s="32" t="str">
        <f t="shared" si="154"/>
        <v/>
      </c>
      <c r="B3071" s="101"/>
      <c r="C3071" s="102"/>
      <c r="D3071" s="103"/>
      <c r="E3071" s="102"/>
      <c r="F3071" s="25" t="str">
        <f>IF($E3071="","",IFERROR(INDEX(科目表!$A$4:$A$81,MATCH($E3071,科目表!$B$4:$B$81,0)),""))</f>
        <v/>
      </c>
      <c r="G3071" s="26" t="str">
        <f>IF($E3071="","",IFERROR(INDEX(科目表!$E$4:$E$81,MATCH($E3071,科目表!$B$4:$B$81,0)),""))</f>
        <v/>
      </c>
      <c r="H3071" s="104"/>
      <c r="I3071" s="104"/>
      <c r="J3071" s="102"/>
      <c r="K3071" s="102"/>
      <c r="L3071" s="103"/>
      <c r="M3071" s="105"/>
      <c r="N3071" s="103"/>
      <c r="O3071" s="26" t="str">
        <f t="shared" si="153"/>
        <v/>
      </c>
      <c r="P3071" s="103"/>
    </row>
    <row r="3072" ht="18" customHeight="1" spans="1:16">
      <c r="A3072" s="32" t="str">
        <f t="shared" si="154"/>
        <v/>
      </c>
      <c r="B3072" s="101"/>
      <c r="C3072" s="102"/>
      <c r="D3072" s="103"/>
      <c r="E3072" s="102"/>
      <c r="F3072" s="25" t="str">
        <f>IF($E3072="","",IFERROR(INDEX(科目表!$A$4:$A$81,MATCH($E3072,科目表!$B$4:$B$81,0)),""))</f>
        <v/>
      </c>
      <c r="G3072" s="26" t="str">
        <f>IF($E3072="","",IFERROR(INDEX(科目表!$E$4:$E$81,MATCH($E3072,科目表!$B$4:$B$81,0)),""))</f>
        <v/>
      </c>
      <c r="H3072" s="104"/>
      <c r="I3072" s="104"/>
      <c r="J3072" s="102"/>
      <c r="K3072" s="102"/>
      <c r="L3072" s="103"/>
      <c r="M3072" s="105"/>
      <c r="N3072" s="103"/>
      <c r="O3072" s="26" t="str">
        <f t="shared" si="153"/>
        <v/>
      </c>
      <c r="P3072" s="103"/>
    </row>
    <row r="3073" ht="18" customHeight="1" spans="1:16">
      <c r="A3073" s="32" t="str">
        <f t="shared" si="154"/>
        <v/>
      </c>
      <c r="B3073" s="101"/>
      <c r="C3073" s="102"/>
      <c r="D3073" s="103"/>
      <c r="E3073" s="102"/>
      <c r="F3073" s="25" t="str">
        <f>IF($E3073="","",IFERROR(INDEX(科目表!$A$4:$A$81,MATCH($E3073,科目表!$B$4:$B$81,0)),""))</f>
        <v/>
      </c>
      <c r="G3073" s="26" t="str">
        <f>IF($E3073="","",IFERROR(INDEX(科目表!$E$4:$E$81,MATCH($E3073,科目表!$B$4:$B$81,0)),""))</f>
        <v/>
      </c>
      <c r="H3073" s="104"/>
      <c r="I3073" s="104"/>
      <c r="J3073" s="102"/>
      <c r="K3073" s="102"/>
      <c r="L3073" s="103"/>
      <c r="M3073" s="105"/>
      <c r="N3073" s="103"/>
      <c r="O3073" s="26" t="str">
        <f t="shared" si="153"/>
        <v/>
      </c>
      <c r="P3073" s="103"/>
    </row>
    <row r="3074" ht="18" customHeight="1" spans="1:16">
      <c r="A3074" s="32" t="str">
        <f t="shared" si="154"/>
        <v/>
      </c>
      <c r="B3074" s="101"/>
      <c r="C3074" s="102"/>
      <c r="D3074" s="103"/>
      <c r="E3074" s="102"/>
      <c r="F3074" s="25" t="str">
        <f>IF($E3074="","",IFERROR(INDEX(科目表!$A$4:$A$81,MATCH($E3074,科目表!$B$4:$B$81,0)),""))</f>
        <v/>
      </c>
      <c r="G3074" s="26" t="str">
        <f>IF($E3074="","",IFERROR(INDEX(科目表!$E$4:$E$81,MATCH($E3074,科目表!$B$4:$B$81,0)),""))</f>
        <v/>
      </c>
      <c r="H3074" s="104"/>
      <c r="I3074" s="104"/>
      <c r="J3074" s="102"/>
      <c r="K3074" s="102"/>
      <c r="L3074" s="103"/>
      <c r="M3074" s="105"/>
      <c r="N3074" s="103"/>
      <c r="O3074" s="26" t="str">
        <f t="shared" ref="O3074:O3137" si="155">IF($E3074="","","手工")</f>
        <v/>
      </c>
      <c r="P3074" s="103"/>
    </row>
    <row r="3075" ht="18" customHeight="1" spans="1:16">
      <c r="A3075" s="32" t="str">
        <f t="shared" si="154"/>
        <v/>
      </c>
      <c r="B3075" s="101"/>
      <c r="C3075" s="102"/>
      <c r="D3075" s="103"/>
      <c r="E3075" s="102"/>
      <c r="F3075" s="25" t="str">
        <f>IF($E3075="","",IFERROR(INDEX(科目表!$A$4:$A$81,MATCH($E3075,科目表!$B$4:$B$81,0)),""))</f>
        <v/>
      </c>
      <c r="G3075" s="26" t="str">
        <f>IF($E3075="","",IFERROR(INDEX(科目表!$E$4:$E$81,MATCH($E3075,科目表!$B$4:$B$81,0)),""))</f>
        <v/>
      </c>
      <c r="H3075" s="104"/>
      <c r="I3075" s="104"/>
      <c r="J3075" s="102"/>
      <c r="K3075" s="102"/>
      <c r="L3075" s="103"/>
      <c r="M3075" s="105"/>
      <c r="N3075" s="103"/>
      <c r="O3075" s="26" t="str">
        <f t="shared" si="155"/>
        <v/>
      </c>
      <c r="P3075" s="103"/>
    </row>
    <row r="3076" ht="18" customHeight="1" spans="1:16">
      <c r="A3076" s="32" t="str">
        <f t="shared" ref="A3076:A3139" si="156">IF($E3076="","",ROW()-3)</f>
        <v/>
      </c>
      <c r="B3076" s="101"/>
      <c r="C3076" s="102"/>
      <c r="D3076" s="103"/>
      <c r="E3076" s="102"/>
      <c r="F3076" s="25" t="str">
        <f>IF($E3076="","",IFERROR(INDEX(科目表!$A$4:$A$81,MATCH($E3076,科目表!$B$4:$B$81,0)),""))</f>
        <v/>
      </c>
      <c r="G3076" s="26" t="str">
        <f>IF($E3076="","",IFERROR(INDEX(科目表!$E$4:$E$81,MATCH($E3076,科目表!$B$4:$B$81,0)),""))</f>
        <v/>
      </c>
      <c r="H3076" s="104"/>
      <c r="I3076" s="104"/>
      <c r="J3076" s="102"/>
      <c r="K3076" s="102"/>
      <c r="L3076" s="103"/>
      <c r="M3076" s="105"/>
      <c r="N3076" s="103"/>
      <c r="O3076" s="26" t="str">
        <f t="shared" si="155"/>
        <v/>
      </c>
      <c r="P3076" s="103"/>
    </row>
    <row r="3077" ht="18" customHeight="1" spans="1:16">
      <c r="A3077" s="32" t="str">
        <f t="shared" si="156"/>
        <v/>
      </c>
      <c r="B3077" s="101"/>
      <c r="C3077" s="102"/>
      <c r="D3077" s="103"/>
      <c r="E3077" s="102"/>
      <c r="F3077" s="25" t="str">
        <f>IF($E3077="","",IFERROR(INDEX(科目表!$A$4:$A$81,MATCH($E3077,科目表!$B$4:$B$81,0)),""))</f>
        <v/>
      </c>
      <c r="G3077" s="26" t="str">
        <f>IF($E3077="","",IFERROR(INDEX(科目表!$E$4:$E$81,MATCH($E3077,科目表!$B$4:$B$81,0)),""))</f>
        <v/>
      </c>
      <c r="H3077" s="104"/>
      <c r="I3077" s="104"/>
      <c r="J3077" s="102"/>
      <c r="K3077" s="102"/>
      <c r="L3077" s="103"/>
      <c r="M3077" s="105"/>
      <c r="N3077" s="103"/>
      <c r="O3077" s="26" t="str">
        <f t="shared" si="155"/>
        <v/>
      </c>
      <c r="P3077" s="103"/>
    </row>
    <row r="3078" ht="18" customHeight="1" spans="1:16">
      <c r="A3078" s="32" t="str">
        <f t="shared" si="156"/>
        <v/>
      </c>
      <c r="B3078" s="101"/>
      <c r="C3078" s="102"/>
      <c r="D3078" s="103"/>
      <c r="E3078" s="102"/>
      <c r="F3078" s="25" t="str">
        <f>IF($E3078="","",IFERROR(INDEX(科目表!$A$4:$A$81,MATCH($E3078,科目表!$B$4:$B$81,0)),""))</f>
        <v/>
      </c>
      <c r="G3078" s="26" t="str">
        <f>IF($E3078="","",IFERROR(INDEX(科目表!$E$4:$E$81,MATCH($E3078,科目表!$B$4:$B$81,0)),""))</f>
        <v/>
      </c>
      <c r="H3078" s="104"/>
      <c r="I3078" s="104"/>
      <c r="J3078" s="102"/>
      <c r="K3078" s="102"/>
      <c r="L3078" s="103"/>
      <c r="M3078" s="105"/>
      <c r="N3078" s="103"/>
      <c r="O3078" s="26" t="str">
        <f t="shared" si="155"/>
        <v/>
      </c>
      <c r="P3078" s="103"/>
    </row>
    <row r="3079" ht="18" customHeight="1" spans="1:16">
      <c r="A3079" s="32" t="str">
        <f t="shared" si="156"/>
        <v/>
      </c>
      <c r="B3079" s="101"/>
      <c r="C3079" s="102"/>
      <c r="D3079" s="103"/>
      <c r="E3079" s="102"/>
      <c r="F3079" s="25" t="str">
        <f>IF($E3079="","",IFERROR(INDEX(科目表!$A$4:$A$81,MATCH($E3079,科目表!$B$4:$B$81,0)),""))</f>
        <v/>
      </c>
      <c r="G3079" s="26" t="str">
        <f>IF($E3079="","",IFERROR(INDEX(科目表!$E$4:$E$81,MATCH($E3079,科目表!$B$4:$B$81,0)),""))</f>
        <v/>
      </c>
      <c r="H3079" s="104"/>
      <c r="I3079" s="104"/>
      <c r="J3079" s="102"/>
      <c r="K3079" s="102"/>
      <c r="L3079" s="103"/>
      <c r="M3079" s="105"/>
      <c r="N3079" s="103"/>
      <c r="O3079" s="26" t="str">
        <f t="shared" si="155"/>
        <v/>
      </c>
      <c r="P3079" s="103"/>
    </row>
    <row r="3080" ht="18" customHeight="1" spans="1:16">
      <c r="A3080" s="32" t="str">
        <f t="shared" si="156"/>
        <v/>
      </c>
      <c r="B3080" s="101"/>
      <c r="C3080" s="102"/>
      <c r="D3080" s="103"/>
      <c r="E3080" s="102"/>
      <c r="F3080" s="25" t="str">
        <f>IF($E3080="","",IFERROR(INDEX(科目表!$A$4:$A$81,MATCH($E3080,科目表!$B$4:$B$81,0)),""))</f>
        <v/>
      </c>
      <c r="G3080" s="26" t="str">
        <f>IF($E3080="","",IFERROR(INDEX(科目表!$E$4:$E$81,MATCH($E3080,科目表!$B$4:$B$81,0)),""))</f>
        <v/>
      </c>
      <c r="H3080" s="104"/>
      <c r="I3080" s="104"/>
      <c r="J3080" s="102"/>
      <c r="K3080" s="102"/>
      <c r="L3080" s="103"/>
      <c r="M3080" s="105"/>
      <c r="N3080" s="103"/>
      <c r="O3080" s="26" t="str">
        <f t="shared" si="155"/>
        <v/>
      </c>
      <c r="P3080" s="103"/>
    </row>
    <row r="3081" ht="18" customHeight="1" spans="1:16">
      <c r="A3081" s="32" t="str">
        <f t="shared" si="156"/>
        <v/>
      </c>
      <c r="B3081" s="101"/>
      <c r="C3081" s="102"/>
      <c r="D3081" s="103"/>
      <c r="E3081" s="102"/>
      <c r="F3081" s="25" t="str">
        <f>IF($E3081="","",IFERROR(INDEX(科目表!$A$4:$A$81,MATCH($E3081,科目表!$B$4:$B$81,0)),""))</f>
        <v/>
      </c>
      <c r="G3081" s="26" t="str">
        <f>IF($E3081="","",IFERROR(INDEX(科目表!$E$4:$E$81,MATCH($E3081,科目表!$B$4:$B$81,0)),""))</f>
        <v/>
      </c>
      <c r="H3081" s="104"/>
      <c r="I3081" s="104"/>
      <c r="J3081" s="102"/>
      <c r="K3081" s="102"/>
      <c r="L3081" s="103"/>
      <c r="M3081" s="105"/>
      <c r="N3081" s="103"/>
      <c r="O3081" s="26" t="str">
        <f t="shared" si="155"/>
        <v/>
      </c>
      <c r="P3081" s="103"/>
    </row>
    <row r="3082" ht="18" customHeight="1" spans="1:16">
      <c r="A3082" s="32" t="str">
        <f t="shared" si="156"/>
        <v/>
      </c>
      <c r="B3082" s="101"/>
      <c r="C3082" s="102"/>
      <c r="D3082" s="103"/>
      <c r="E3082" s="102"/>
      <c r="F3082" s="25" t="str">
        <f>IF($E3082="","",IFERROR(INDEX(科目表!$A$4:$A$81,MATCH($E3082,科目表!$B$4:$B$81,0)),""))</f>
        <v/>
      </c>
      <c r="G3082" s="26" t="str">
        <f>IF($E3082="","",IFERROR(INDEX(科目表!$E$4:$E$81,MATCH($E3082,科目表!$B$4:$B$81,0)),""))</f>
        <v/>
      </c>
      <c r="H3082" s="104"/>
      <c r="I3082" s="104"/>
      <c r="J3082" s="102"/>
      <c r="K3082" s="102"/>
      <c r="L3082" s="103"/>
      <c r="M3082" s="105"/>
      <c r="N3082" s="103"/>
      <c r="O3082" s="26" t="str">
        <f t="shared" si="155"/>
        <v/>
      </c>
      <c r="P3082" s="103"/>
    </row>
    <row r="3083" ht="18" customHeight="1" spans="1:16">
      <c r="A3083" s="32" t="str">
        <f t="shared" si="156"/>
        <v/>
      </c>
      <c r="B3083" s="101"/>
      <c r="C3083" s="102"/>
      <c r="D3083" s="103"/>
      <c r="E3083" s="102"/>
      <c r="F3083" s="25" t="str">
        <f>IF($E3083="","",IFERROR(INDEX(科目表!$A$4:$A$81,MATCH($E3083,科目表!$B$4:$B$81,0)),""))</f>
        <v/>
      </c>
      <c r="G3083" s="26" t="str">
        <f>IF($E3083="","",IFERROR(INDEX(科目表!$E$4:$E$81,MATCH($E3083,科目表!$B$4:$B$81,0)),""))</f>
        <v/>
      </c>
      <c r="H3083" s="104"/>
      <c r="I3083" s="104"/>
      <c r="J3083" s="102"/>
      <c r="K3083" s="102"/>
      <c r="L3083" s="103"/>
      <c r="M3083" s="105"/>
      <c r="N3083" s="103"/>
      <c r="O3083" s="26" t="str">
        <f t="shared" si="155"/>
        <v/>
      </c>
      <c r="P3083" s="103"/>
    </row>
    <row r="3084" ht="18" customHeight="1" spans="1:16">
      <c r="A3084" s="32" t="str">
        <f t="shared" si="156"/>
        <v/>
      </c>
      <c r="B3084" s="101"/>
      <c r="C3084" s="102"/>
      <c r="D3084" s="103"/>
      <c r="E3084" s="102"/>
      <c r="F3084" s="25" t="str">
        <f>IF($E3084="","",IFERROR(INDEX(科目表!$A$4:$A$81,MATCH($E3084,科目表!$B$4:$B$81,0)),""))</f>
        <v/>
      </c>
      <c r="G3084" s="26" t="str">
        <f>IF($E3084="","",IFERROR(INDEX(科目表!$E$4:$E$81,MATCH($E3084,科目表!$B$4:$B$81,0)),""))</f>
        <v/>
      </c>
      <c r="H3084" s="104"/>
      <c r="I3084" s="104"/>
      <c r="J3084" s="102"/>
      <c r="K3084" s="102"/>
      <c r="L3084" s="103"/>
      <c r="M3084" s="105"/>
      <c r="N3084" s="103"/>
      <c r="O3084" s="26" t="str">
        <f t="shared" si="155"/>
        <v/>
      </c>
      <c r="P3084" s="103"/>
    </row>
    <row r="3085" ht="18" customHeight="1" spans="1:16">
      <c r="A3085" s="32" t="str">
        <f t="shared" si="156"/>
        <v/>
      </c>
      <c r="B3085" s="101"/>
      <c r="C3085" s="102"/>
      <c r="D3085" s="103"/>
      <c r="E3085" s="102"/>
      <c r="F3085" s="25" t="str">
        <f>IF($E3085="","",IFERROR(INDEX(科目表!$A$4:$A$81,MATCH($E3085,科目表!$B$4:$B$81,0)),""))</f>
        <v/>
      </c>
      <c r="G3085" s="26" t="str">
        <f>IF($E3085="","",IFERROR(INDEX(科目表!$E$4:$E$81,MATCH($E3085,科目表!$B$4:$B$81,0)),""))</f>
        <v/>
      </c>
      <c r="H3085" s="104"/>
      <c r="I3085" s="104"/>
      <c r="J3085" s="102"/>
      <c r="K3085" s="102"/>
      <c r="L3085" s="103"/>
      <c r="M3085" s="105"/>
      <c r="N3085" s="103"/>
      <c r="O3085" s="26" t="str">
        <f t="shared" si="155"/>
        <v/>
      </c>
      <c r="P3085" s="103"/>
    </row>
    <row r="3086" ht="18" customHeight="1" spans="1:16">
      <c r="A3086" s="32" t="str">
        <f t="shared" si="156"/>
        <v/>
      </c>
      <c r="B3086" s="101"/>
      <c r="C3086" s="102"/>
      <c r="D3086" s="103"/>
      <c r="E3086" s="102"/>
      <c r="F3086" s="25" t="str">
        <f>IF($E3086="","",IFERROR(INDEX(科目表!$A$4:$A$81,MATCH($E3086,科目表!$B$4:$B$81,0)),""))</f>
        <v/>
      </c>
      <c r="G3086" s="26" t="str">
        <f>IF($E3086="","",IFERROR(INDEX(科目表!$E$4:$E$81,MATCH($E3086,科目表!$B$4:$B$81,0)),""))</f>
        <v/>
      </c>
      <c r="H3086" s="104"/>
      <c r="I3086" s="104"/>
      <c r="J3086" s="102"/>
      <c r="K3086" s="102"/>
      <c r="L3086" s="103"/>
      <c r="M3086" s="105"/>
      <c r="N3086" s="103"/>
      <c r="O3086" s="26" t="str">
        <f t="shared" si="155"/>
        <v/>
      </c>
      <c r="P3086" s="103"/>
    </row>
    <row r="3087" ht="18" customHeight="1" spans="1:16">
      <c r="A3087" s="32" t="str">
        <f t="shared" si="156"/>
        <v/>
      </c>
      <c r="B3087" s="101"/>
      <c r="C3087" s="102"/>
      <c r="D3087" s="103"/>
      <c r="E3087" s="102"/>
      <c r="F3087" s="25" t="str">
        <f>IF($E3087="","",IFERROR(INDEX(科目表!$A$4:$A$81,MATCH($E3087,科目表!$B$4:$B$81,0)),""))</f>
        <v/>
      </c>
      <c r="G3087" s="26" t="str">
        <f>IF($E3087="","",IFERROR(INDEX(科目表!$E$4:$E$81,MATCH($E3087,科目表!$B$4:$B$81,0)),""))</f>
        <v/>
      </c>
      <c r="H3087" s="104"/>
      <c r="I3087" s="104"/>
      <c r="J3087" s="102"/>
      <c r="K3087" s="102"/>
      <c r="L3087" s="103"/>
      <c r="M3087" s="105"/>
      <c r="N3087" s="103"/>
      <c r="O3087" s="26" t="str">
        <f t="shared" si="155"/>
        <v/>
      </c>
      <c r="P3087" s="103"/>
    </row>
    <row r="3088" ht="18" customHeight="1" spans="1:16">
      <c r="A3088" s="32" t="str">
        <f t="shared" si="156"/>
        <v/>
      </c>
      <c r="B3088" s="101"/>
      <c r="C3088" s="102"/>
      <c r="D3088" s="103"/>
      <c r="E3088" s="102"/>
      <c r="F3088" s="25" t="str">
        <f>IF($E3088="","",IFERROR(INDEX(科目表!$A$4:$A$81,MATCH($E3088,科目表!$B$4:$B$81,0)),""))</f>
        <v/>
      </c>
      <c r="G3088" s="26" t="str">
        <f>IF($E3088="","",IFERROR(INDEX(科目表!$E$4:$E$81,MATCH($E3088,科目表!$B$4:$B$81,0)),""))</f>
        <v/>
      </c>
      <c r="H3088" s="104"/>
      <c r="I3088" s="104"/>
      <c r="J3088" s="102"/>
      <c r="K3088" s="102"/>
      <c r="L3088" s="103"/>
      <c r="M3088" s="105"/>
      <c r="N3088" s="103"/>
      <c r="O3088" s="26" t="str">
        <f t="shared" si="155"/>
        <v/>
      </c>
      <c r="P3088" s="103"/>
    </row>
    <row r="3089" ht="18" customHeight="1" spans="1:16">
      <c r="A3089" s="32" t="str">
        <f t="shared" si="156"/>
        <v/>
      </c>
      <c r="B3089" s="101"/>
      <c r="C3089" s="102"/>
      <c r="D3089" s="103"/>
      <c r="E3089" s="102"/>
      <c r="F3089" s="25" t="str">
        <f>IF($E3089="","",IFERROR(INDEX(科目表!$A$4:$A$81,MATCH($E3089,科目表!$B$4:$B$81,0)),""))</f>
        <v/>
      </c>
      <c r="G3089" s="26" t="str">
        <f>IF($E3089="","",IFERROR(INDEX(科目表!$E$4:$E$81,MATCH($E3089,科目表!$B$4:$B$81,0)),""))</f>
        <v/>
      </c>
      <c r="H3089" s="104"/>
      <c r="I3089" s="104"/>
      <c r="J3089" s="102"/>
      <c r="K3089" s="102"/>
      <c r="L3089" s="103"/>
      <c r="M3089" s="105"/>
      <c r="N3089" s="103"/>
      <c r="O3089" s="26" t="str">
        <f t="shared" si="155"/>
        <v/>
      </c>
      <c r="P3089" s="103"/>
    </row>
    <row r="3090" ht="18" customHeight="1" spans="1:16">
      <c r="A3090" s="32" t="str">
        <f t="shared" si="156"/>
        <v/>
      </c>
      <c r="B3090" s="101"/>
      <c r="C3090" s="102"/>
      <c r="D3090" s="103"/>
      <c r="E3090" s="102"/>
      <c r="F3090" s="25" t="str">
        <f>IF($E3090="","",IFERROR(INDEX(科目表!$A$4:$A$81,MATCH($E3090,科目表!$B$4:$B$81,0)),""))</f>
        <v/>
      </c>
      <c r="G3090" s="26" t="str">
        <f>IF($E3090="","",IFERROR(INDEX(科目表!$E$4:$E$81,MATCH($E3090,科目表!$B$4:$B$81,0)),""))</f>
        <v/>
      </c>
      <c r="H3090" s="104"/>
      <c r="I3090" s="104"/>
      <c r="J3090" s="102"/>
      <c r="K3090" s="102"/>
      <c r="L3090" s="103"/>
      <c r="M3090" s="105"/>
      <c r="N3090" s="103"/>
      <c r="O3090" s="26" t="str">
        <f t="shared" si="155"/>
        <v/>
      </c>
      <c r="P3090" s="103"/>
    </row>
    <row r="3091" ht="18" customHeight="1" spans="1:16">
      <c r="A3091" s="32" t="str">
        <f t="shared" si="156"/>
        <v/>
      </c>
      <c r="B3091" s="101"/>
      <c r="C3091" s="102"/>
      <c r="D3091" s="103"/>
      <c r="E3091" s="102"/>
      <c r="F3091" s="25" t="str">
        <f>IF($E3091="","",IFERROR(INDEX(科目表!$A$4:$A$81,MATCH($E3091,科目表!$B$4:$B$81,0)),""))</f>
        <v/>
      </c>
      <c r="G3091" s="26" t="str">
        <f>IF($E3091="","",IFERROR(INDEX(科目表!$E$4:$E$81,MATCH($E3091,科目表!$B$4:$B$81,0)),""))</f>
        <v/>
      </c>
      <c r="H3091" s="104"/>
      <c r="I3091" s="104"/>
      <c r="J3091" s="102"/>
      <c r="K3091" s="102"/>
      <c r="L3091" s="103"/>
      <c r="M3091" s="105"/>
      <c r="N3091" s="103"/>
      <c r="O3091" s="26" t="str">
        <f t="shared" si="155"/>
        <v/>
      </c>
      <c r="P3091" s="103"/>
    </row>
    <row r="3092" ht="18" customHeight="1" spans="1:16">
      <c r="A3092" s="32" t="str">
        <f t="shared" si="156"/>
        <v/>
      </c>
      <c r="B3092" s="101"/>
      <c r="C3092" s="102"/>
      <c r="D3092" s="103"/>
      <c r="E3092" s="102"/>
      <c r="F3092" s="25" t="str">
        <f>IF($E3092="","",IFERROR(INDEX(科目表!$A$4:$A$81,MATCH($E3092,科目表!$B$4:$B$81,0)),""))</f>
        <v/>
      </c>
      <c r="G3092" s="26" t="str">
        <f>IF($E3092="","",IFERROR(INDEX(科目表!$E$4:$E$81,MATCH($E3092,科目表!$B$4:$B$81,0)),""))</f>
        <v/>
      </c>
      <c r="H3092" s="104"/>
      <c r="I3092" s="104"/>
      <c r="J3092" s="102"/>
      <c r="K3092" s="102"/>
      <c r="L3092" s="103"/>
      <c r="M3092" s="105"/>
      <c r="N3092" s="103"/>
      <c r="O3092" s="26" t="str">
        <f t="shared" si="155"/>
        <v/>
      </c>
      <c r="P3092" s="103"/>
    </row>
    <row r="3093" ht="18" customHeight="1" spans="1:16">
      <c r="A3093" s="32" t="str">
        <f t="shared" si="156"/>
        <v/>
      </c>
      <c r="B3093" s="101"/>
      <c r="C3093" s="102"/>
      <c r="D3093" s="103"/>
      <c r="E3093" s="102"/>
      <c r="F3093" s="25" t="str">
        <f>IF($E3093="","",IFERROR(INDEX(科目表!$A$4:$A$81,MATCH($E3093,科目表!$B$4:$B$81,0)),""))</f>
        <v/>
      </c>
      <c r="G3093" s="26" t="str">
        <f>IF($E3093="","",IFERROR(INDEX(科目表!$E$4:$E$81,MATCH($E3093,科目表!$B$4:$B$81,0)),""))</f>
        <v/>
      </c>
      <c r="H3093" s="104"/>
      <c r="I3093" s="104"/>
      <c r="J3093" s="102"/>
      <c r="K3093" s="102"/>
      <c r="L3093" s="103"/>
      <c r="M3093" s="105"/>
      <c r="N3093" s="103"/>
      <c r="O3093" s="26" t="str">
        <f t="shared" si="155"/>
        <v/>
      </c>
      <c r="P3093" s="103"/>
    </row>
    <row r="3094" ht="18" customHeight="1" spans="1:16">
      <c r="A3094" s="32" t="str">
        <f t="shared" si="156"/>
        <v/>
      </c>
      <c r="B3094" s="101"/>
      <c r="C3094" s="102"/>
      <c r="D3094" s="103"/>
      <c r="E3094" s="102"/>
      <c r="F3094" s="25" t="str">
        <f>IF($E3094="","",IFERROR(INDEX(科目表!$A$4:$A$81,MATCH($E3094,科目表!$B$4:$B$81,0)),""))</f>
        <v/>
      </c>
      <c r="G3094" s="26" t="str">
        <f>IF($E3094="","",IFERROR(INDEX(科目表!$E$4:$E$81,MATCH($E3094,科目表!$B$4:$B$81,0)),""))</f>
        <v/>
      </c>
      <c r="H3094" s="104"/>
      <c r="I3094" s="104"/>
      <c r="J3094" s="102"/>
      <c r="K3094" s="102"/>
      <c r="L3094" s="103"/>
      <c r="M3094" s="105"/>
      <c r="N3094" s="103"/>
      <c r="O3094" s="26" t="str">
        <f t="shared" si="155"/>
        <v/>
      </c>
      <c r="P3094" s="103"/>
    </row>
    <row r="3095" ht="18" customHeight="1" spans="1:16">
      <c r="A3095" s="32" t="str">
        <f t="shared" si="156"/>
        <v/>
      </c>
      <c r="B3095" s="101"/>
      <c r="C3095" s="102"/>
      <c r="D3095" s="103"/>
      <c r="E3095" s="102"/>
      <c r="F3095" s="25" t="str">
        <f>IF($E3095="","",IFERROR(INDEX(科目表!$A$4:$A$81,MATCH($E3095,科目表!$B$4:$B$81,0)),""))</f>
        <v/>
      </c>
      <c r="G3095" s="26" t="str">
        <f>IF($E3095="","",IFERROR(INDEX(科目表!$E$4:$E$81,MATCH($E3095,科目表!$B$4:$B$81,0)),""))</f>
        <v/>
      </c>
      <c r="H3095" s="104"/>
      <c r="I3095" s="104"/>
      <c r="J3095" s="102"/>
      <c r="K3095" s="102"/>
      <c r="L3095" s="103"/>
      <c r="M3095" s="105"/>
      <c r="N3095" s="103"/>
      <c r="O3095" s="26" t="str">
        <f t="shared" si="155"/>
        <v/>
      </c>
      <c r="P3095" s="103"/>
    </row>
    <row r="3096" ht="18" customHeight="1" spans="1:16">
      <c r="A3096" s="32" t="str">
        <f t="shared" si="156"/>
        <v/>
      </c>
      <c r="B3096" s="101"/>
      <c r="C3096" s="102"/>
      <c r="D3096" s="103"/>
      <c r="E3096" s="102"/>
      <c r="F3096" s="25" t="str">
        <f>IF($E3096="","",IFERROR(INDEX(科目表!$A$4:$A$81,MATCH($E3096,科目表!$B$4:$B$81,0)),""))</f>
        <v/>
      </c>
      <c r="G3096" s="26" t="str">
        <f>IF($E3096="","",IFERROR(INDEX(科目表!$E$4:$E$81,MATCH($E3096,科目表!$B$4:$B$81,0)),""))</f>
        <v/>
      </c>
      <c r="H3096" s="104"/>
      <c r="I3096" s="104"/>
      <c r="J3096" s="102"/>
      <c r="K3096" s="102"/>
      <c r="L3096" s="103"/>
      <c r="M3096" s="105"/>
      <c r="N3096" s="103"/>
      <c r="O3096" s="26" t="str">
        <f t="shared" si="155"/>
        <v/>
      </c>
      <c r="P3096" s="103"/>
    </row>
    <row r="3097" ht="18" customHeight="1" spans="1:16">
      <c r="A3097" s="32" t="str">
        <f t="shared" si="156"/>
        <v/>
      </c>
      <c r="B3097" s="101"/>
      <c r="C3097" s="102"/>
      <c r="D3097" s="103"/>
      <c r="E3097" s="102"/>
      <c r="F3097" s="25" t="str">
        <f>IF($E3097="","",IFERROR(INDEX(科目表!$A$4:$A$81,MATCH($E3097,科目表!$B$4:$B$81,0)),""))</f>
        <v/>
      </c>
      <c r="G3097" s="26" t="str">
        <f>IF($E3097="","",IFERROR(INDEX(科目表!$E$4:$E$81,MATCH($E3097,科目表!$B$4:$B$81,0)),""))</f>
        <v/>
      </c>
      <c r="H3097" s="104"/>
      <c r="I3097" s="104"/>
      <c r="J3097" s="102"/>
      <c r="K3097" s="102"/>
      <c r="L3097" s="103"/>
      <c r="M3097" s="105"/>
      <c r="N3097" s="103"/>
      <c r="O3097" s="26" t="str">
        <f t="shared" si="155"/>
        <v/>
      </c>
      <c r="P3097" s="103"/>
    </row>
    <row r="3098" ht="18" customHeight="1" spans="1:16">
      <c r="A3098" s="32" t="str">
        <f t="shared" si="156"/>
        <v/>
      </c>
      <c r="B3098" s="101"/>
      <c r="C3098" s="102"/>
      <c r="D3098" s="103"/>
      <c r="E3098" s="102"/>
      <c r="F3098" s="25" t="str">
        <f>IF($E3098="","",IFERROR(INDEX(科目表!$A$4:$A$81,MATCH($E3098,科目表!$B$4:$B$81,0)),""))</f>
        <v/>
      </c>
      <c r="G3098" s="26" t="str">
        <f>IF($E3098="","",IFERROR(INDEX(科目表!$E$4:$E$81,MATCH($E3098,科目表!$B$4:$B$81,0)),""))</f>
        <v/>
      </c>
      <c r="H3098" s="104"/>
      <c r="I3098" s="104"/>
      <c r="J3098" s="102"/>
      <c r="K3098" s="102"/>
      <c r="L3098" s="103"/>
      <c r="M3098" s="105"/>
      <c r="N3098" s="103"/>
      <c r="O3098" s="26" t="str">
        <f t="shared" si="155"/>
        <v/>
      </c>
      <c r="P3098" s="103"/>
    </row>
    <row r="3099" ht="18" customHeight="1" spans="1:16">
      <c r="A3099" s="32" t="str">
        <f t="shared" si="156"/>
        <v/>
      </c>
      <c r="B3099" s="101"/>
      <c r="C3099" s="102"/>
      <c r="D3099" s="103"/>
      <c r="E3099" s="102"/>
      <c r="F3099" s="25" t="str">
        <f>IF($E3099="","",IFERROR(INDEX(科目表!$A$4:$A$81,MATCH($E3099,科目表!$B$4:$B$81,0)),""))</f>
        <v/>
      </c>
      <c r="G3099" s="26" t="str">
        <f>IF($E3099="","",IFERROR(INDEX(科目表!$E$4:$E$81,MATCH($E3099,科目表!$B$4:$B$81,0)),""))</f>
        <v/>
      </c>
      <c r="H3099" s="104"/>
      <c r="I3099" s="104"/>
      <c r="J3099" s="102"/>
      <c r="K3099" s="102"/>
      <c r="L3099" s="103"/>
      <c r="M3099" s="105"/>
      <c r="N3099" s="103"/>
      <c r="O3099" s="26" t="str">
        <f t="shared" si="155"/>
        <v/>
      </c>
      <c r="P3099" s="103"/>
    </row>
    <row r="3100" ht="18" customHeight="1" spans="1:16">
      <c r="A3100" s="32" t="str">
        <f t="shared" si="156"/>
        <v/>
      </c>
      <c r="B3100" s="101"/>
      <c r="C3100" s="102"/>
      <c r="D3100" s="103"/>
      <c r="E3100" s="102"/>
      <c r="F3100" s="25" t="str">
        <f>IF($E3100="","",IFERROR(INDEX(科目表!$A$4:$A$81,MATCH($E3100,科目表!$B$4:$B$81,0)),""))</f>
        <v/>
      </c>
      <c r="G3100" s="26" t="str">
        <f>IF($E3100="","",IFERROR(INDEX(科目表!$E$4:$E$81,MATCH($E3100,科目表!$B$4:$B$81,0)),""))</f>
        <v/>
      </c>
      <c r="H3100" s="104"/>
      <c r="I3100" s="104"/>
      <c r="J3100" s="102"/>
      <c r="K3100" s="102"/>
      <c r="L3100" s="103"/>
      <c r="M3100" s="105"/>
      <c r="N3100" s="103"/>
      <c r="O3100" s="26" t="str">
        <f t="shared" si="155"/>
        <v/>
      </c>
      <c r="P3100" s="103"/>
    </row>
    <row r="3101" ht="18" customHeight="1" spans="1:16">
      <c r="A3101" s="32" t="str">
        <f t="shared" si="156"/>
        <v/>
      </c>
      <c r="B3101" s="101"/>
      <c r="C3101" s="102"/>
      <c r="D3101" s="103"/>
      <c r="E3101" s="102"/>
      <c r="F3101" s="25" t="str">
        <f>IF($E3101="","",IFERROR(INDEX(科目表!$A$4:$A$81,MATCH($E3101,科目表!$B$4:$B$81,0)),""))</f>
        <v/>
      </c>
      <c r="G3101" s="26" t="str">
        <f>IF($E3101="","",IFERROR(INDEX(科目表!$E$4:$E$81,MATCH($E3101,科目表!$B$4:$B$81,0)),""))</f>
        <v/>
      </c>
      <c r="H3101" s="104"/>
      <c r="I3101" s="104"/>
      <c r="J3101" s="102"/>
      <c r="K3101" s="102"/>
      <c r="L3101" s="103"/>
      <c r="M3101" s="105"/>
      <c r="N3101" s="103"/>
      <c r="O3101" s="26" t="str">
        <f t="shared" si="155"/>
        <v/>
      </c>
      <c r="P3101" s="103"/>
    </row>
    <row r="3102" ht="18" customHeight="1" spans="1:16">
      <c r="A3102" s="32" t="str">
        <f t="shared" si="156"/>
        <v/>
      </c>
      <c r="B3102" s="101"/>
      <c r="C3102" s="102"/>
      <c r="D3102" s="103"/>
      <c r="E3102" s="102"/>
      <c r="F3102" s="25" t="str">
        <f>IF($E3102="","",IFERROR(INDEX(科目表!$A$4:$A$81,MATCH($E3102,科目表!$B$4:$B$81,0)),""))</f>
        <v/>
      </c>
      <c r="G3102" s="26" t="str">
        <f>IF($E3102="","",IFERROR(INDEX(科目表!$E$4:$E$81,MATCH($E3102,科目表!$B$4:$B$81,0)),""))</f>
        <v/>
      </c>
      <c r="H3102" s="104"/>
      <c r="I3102" s="104"/>
      <c r="J3102" s="102"/>
      <c r="K3102" s="102"/>
      <c r="L3102" s="103"/>
      <c r="M3102" s="105"/>
      <c r="N3102" s="103"/>
      <c r="O3102" s="26" t="str">
        <f t="shared" si="155"/>
        <v/>
      </c>
      <c r="P3102" s="103"/>
    </row>
    <row r="3103" ht="18" customHeight="1" spans="1:16">
      <c r="A3103" s="32" t="str">
        <f t="shared" si="156"/>
        <v/>
      </c>
      <c r="B3103" s="101"/>
      <c r="C3103" s="102"/>
      <c r="D3103" s="103"/>
      <c r="E3103" s="102"/>
      <c r="F3103" s="25" t="str">
        <f>IF($E3103="","",IFERROR(INDEX(科目表!$A$4:$A$81,MATCH($E3103,科目表!$B$4:$B$81,0)),""))</f>
        <v/>
      </c>
      <c r="G3103" s="26" t="str">
        <f>IF($E3103="","",IFERROR(INDEX(科目表!$E$4:$E$81,MATCH($E3103,科目表!$B$4:$B$81,0)),""))</f>
        <v/>
      </c>
      <c r="H3103" s="104"/>
      <c r="I3103" s="104"/>
      <c r="J3103" s="102"/>
      <c r="K3103" s="102"/>
      <c r="L3103" s="103"/>
      <c r="M3103" s="105"/>
      <c r="N3103" s="103"/>
      <c r="O3103" s="26" t="str">
        <f t="shared" si="155"/>
        <v/>
      </c>
      <c r="P3103" s="103"/>
    </row>
    <row r="3104" ht="18" customHeight="1" spans="1:16">
      <c r="A3104" s="32" t="str">
        <f t="shared" si="156"/>
        <v/>
      </c>
      <c r="B3104" s="101"/>
      <c r="C3104" s="102"/>
      <c r="D3104" s="103"/>
      <c r="E3104" s="102"/>
      <c r="F3104" s="25" t="str">
        <f>IF($E3104="","",IFERROR(INDEX(科目表!$A$4:$A$81,MATCH($E3104,科目表!$B$4:$B$81,0)),""))</f>
        <v/>
      </c>
      <c r="G3104" s="26" t="str">
        <f>IF($E3104="","",IFERROR(INDEX(科目表!$E$4:$E$81,MATCH($E3104,科目表!$B$4:$B$81,0)),""))</f>
        <v/>
      </c>
      <c r="H3104" s="104"/>
      <c r="I3104" s="104"/>
      <c r="J3104" s="102"/>
      <c r="K3104" s="102"/>
      <c r="L3104" s="103"/>
      <c r="M3104" s="105"/>
      <c r="N3104" s="103"/>
      <c r="O3104" s="26" t="str">
        <f t="shared" si="155"/>
        <v/>
      </c>
      <c r="P3104" s="103"/>
    </row>
    <row r="3105" ht="18" customHeight="1" spans="1:16">
      <c r="A3105" s="32" t="str">
        <f t="shared" si="156"/>
        <v/>
      </c>
      <c r="B3105" s="101"/>
      <c r="C3105" s="102"/>
      <c r="D3105" s="103"/>
      <c r="E3105" s="102"/>
      <c r="F3105" s="25" t="str">
        <f>IF($E3105="","",IFERROR(INDEX(科目表!$A$4:$A$81,MATCH($E3105,科目表!$B$4:$B$81,0)),""))</f>
        <v/>
      </c>
      <c r="G3105" s="26" t="str">
        <f>IF($E3105="","",IFERROR(INDEX(科目表!$E$4:$E$81,MATCH($E3105,科目表!$B$4:$B$81,0)),""))</f>
        <v/>
      </c>
      <c r="H3105" s="104"/>
      <c r="I3105" s="104"/>
      <c r="J3105" s="102"/>
      <c r="K3105" s="102"/>
      <c r="L3105" s="103"/>
      <c r="M3105" s="105"/>
      <c r="N3105" s="103"/>
      <c r="O3105" s="26" t="str">
        <f t="shared" si="155"/>
        <v/>
      </c>
      <c r="P3105" s="103"/>
    </row>
    <row r="3106" ht="18" customHeight="1" spans="1:16">
      <c r="A3106" s="32" t="str">
        <f t="shared" si="156"/>
        <v/>
      </c>
      <c r="B3106" s="101"/>
      <c r="C3106" s="102"/>
      <c r="D3106" s="103"/>
      <c r="E3106" s="102"/>
      <c r="F3106" s="25" t="str">
        <f>IF($E3106="","",IFERROR(INDEX(科目表!$A$4:$A$81,MATCH($E3106,科目表!$B$4:$B$81,0)),""))</f>
        <v/>
      </c>
      <c r="G3106" s="26" t="str">
        <f>IF($E3106="","",IFERROR(INDEX(科目表!$E$4:$E$81,MATCH($E3106,科目表!$B$4:$B$81,0)),""))</f>
        <v/>
      </c>
      <c r="H3106" s="104"/>
      <c r="I3106" s="104"/>
      <c r="J3106" s="102"/>
      <c r="K3106" s="102"/>
      <c r="L3106" s="103"/>
      <c r="M3106" s="105"/>
      <c r="N3106" s="103"/>
      <c r="O3106" s="26" t="str">
        <f t="shared" si="155"/>
        <v/>
      </c>
      <c r="P3106" s="103"/>
    </row>
    <row r="3107" ht="18" customHeight="1" spans="1:16">
      <c r="A3107" s="32" t="str">
        <f t="shared" si="156"/>
        <v/>
      </c>
      <c r="B3107" s="101"/>
      <c r="C3107" s="102"/>
      <c r="D3107" s="103"/>
      <c r="E3107" s="102"/>
      <c r="F3107" s="25" t="str">
        <f>IF($E3107="","",IFERROR(INDEX(科目表!$A$4:$A$81,MATCH($E3107,科目表!$B$4:$B$81,0)),""))</f>
        <v/>
      </c>
      <c r="G3107" s="26" t="str">
        <f>IF($E3107="","",IFERROR(INDEX(科目表!$E$4:$E$81,MATCH($E3107,科目表!$B$4:$B$81,0)),""))</f>
        <v/>
      </c>
      <c r="H3107" s="104"/>
      <c r="I3107" s="104"/>
      <c r="J3107" s="102"/>
      <c r="K3107" s="102"/>
      <c r="L3107" s="103"/>
      <c r="M3107" s="105"/>
      <c r="N3107" s="103"/>
      <c r="O3107" s="26" t="str">
        <f t="shared" si="155"/>
        <v/>
      </c>
      <c r="P3107" s="103"/>
    </row>
    <row r="3108" ht="18" customHeight="1" spans="1:16">
      <c r="A3108" s="32" t="str">
        <f t="shared" si="156"/>
        <v/>
      </c>
      <c r="B3108" s="101"/>
      <c r="C3108" s="102"/>
      <c r="D3108" s="103"/>
      <c r="E3108" s="102"/>
      <c r="F3108" s="25" t="str">
        <f>IF($E3108="","",IFERROR(INDEX(科目表!$A$4:$A$81,MATCH($E3108,科目表!$B$4:$B$81,0)),""))</f>
        <v/>
      </c>
      <c r="G3108" s="26" t="str">
        <f>IF($E3108="","",IFERROR(INDEX(科目表!$E$4:$E$81,MATCH($E3108,科目表!$B$4:$B$81,0)),""))</f>
        <v/>
      </c>
      <c r="H3108" s="104"/>
      <c r="I3108" s="104"/>
      <c r="J3108" s="102"/>
      <c r="K3108" s="102"/>
      <c r="L3108" s="103"/>
      <c r="M3108" s="105"/>
      <c r="N3108" s="103"/>
      <c r="O3108" s="26" t="str">
        <f t="shared" si="155"/>
        <v/>
      </c>
      <c r="P3108" s="103"/>
    </row>
    <row r="3109" ht="18" customHeight="1" spans="1:16">
      <c r="A3109" s="32" t="str">
        <f t="shared" si="156"/>
        <v/>
      </c>
      <c r="B3109" s="101"/>
      <c r="C3109" s="102"/>
      <c r="D3109" s="103"/>
      <c r="E3109" s="102"/>
      <c r="F3109" s="25" t="str">
        <f>IF($E3109="","",IFERROR(INDEX(科目表!$A$4:$A$81,MATCH($E3109,科目表!$B$4:$B$81,0)),""))</f>
        <v/>
      </c>
      <c r="G3109" s="26" t="str">
        <f>IF($E3109="","",IFERROR(INDEX(科目表!$E$4:$E$81,MATCH($E3109,科目表!$B$4:$B$81,0)),""))</f>
        <v/>
      </c>
      <c r="H3109" s="104"/>
      <c r="I3109" s="104"/>
      <c r="J3109" s="102"/>
      <c r="K3109" s="102"/>
      <c r="L3109" s="103"/>
      <c r="M3109" s="105"/>
      <c r="N3109" s="103"/>
      <c r="O3109" s="26" t="str">
        <f t="shared" si="155"/>
        <v/>
      </c>
      <c r="P3109" s="103"/>
    </row>
    <row r="3110" ht="18" customHeight="1" spans="1:16">
      <c r="A3110" s="32" t="str">
        <f t="shared" si="156"/>
        <v/>
      </c>
      <c r="B3110" s="101"/>
      <c r="C3110" s="102"/>
      <c r="D3110" s="103"/>
      <c r="E3110" s="102"/>
      <c r="F3110" s="25" t="str">
        <f>IF($E3110="","",IFERROR(INDEX(科目表!$A$4:$A$81,MATCH($E3110,科目表!$B$4:$B$81,0)),""))</f>
        <v/>
      </c>
      <c r="G3110" s="26" t="str">
        <f>IF($E3110="","",IFERROR(INDEX(科目表!$E$4:$E$81,MATCH($E3110,科目表!$B$4:$B$81,0)),""))</f>
        <v/>
      </c>
      <c r="H3110" s="104"/>
      <c r="I3110" s="104"/>
      <c r="J3110" s="102"/>
      <c r="K3110" s="102"/>
      <c r="L3110" s="103"/>
      <c r="M3110" s="105"/>
      <c r="N3110" s="103"/>
      <c r="O3110" s="26" t="str">
        <f t="shared" si="155"/>
        <v/>
      </c>
      <c r="P3110" s="103"/>
    </row>
    <row r="3111" ht="18" customHeight="1" spans="1:16">
      <c r="A3111" s="32" t="str">
        <f t="shared" si="156"/>
        <v/>
      </c>
      <c r="B3111" s="101"/>
      <c r="C3111" s="102"/>
      <c r="D3111" s="103"/>
      <c r="E3111" s="102"/>
      <c r="F3111" s="25" t="str">
        <f>IF($E3111="","",IFERROR(INDEX(科目表!$A$4:$A$81,MATCH($E3111,科目表!$B$4:$B$81,0)),""))</f>
        <v/>
      </c>
      <c r="G3111" s="26" t="str">
        <f>IF($E3111="","",IFERROR(INDEX(科目表!$E$4:$E$81,MATCH($E3111,科目表!$B$4:$B$81,0)),""))</f>
        <v/>
      </c>
      <c r="H3111" s="104"/>
      <c r="I3111" s="104"/>
      <c r="J3111" s="102"/>
      <c r="K3111" s="102"/>
      <c r="L3111" s="103"/>
      <c r="M3111" s="105"/>
      <c r="N3111" s="103"/>
      <c r="O3111" s="26" t="str">
        <f t="shared" si="155"/>
        <v/>
      </c>
      <c r="P3111" s="103"/>
    </row>
    <row r="3112" ht="18" customHeight="1" spans="1:16">
      <c r="A3112" s="32" t="str">
        <f t="shared" si="156"/>
        <v/>
      </c>
      <c r="B3112" s="101"/>
      <c r="C3112" s="102"/>
      <c r="D3112" s="103"/>
      <c r="E3112" s="102"/>
      <c r="F3112" s="25" t="str">
        <f>IF($E3112="","",IFERROR(INDEX(科目表!$A$4:$A$81,MATCH($E3112,科目表!$B$4:$B$81,0)),""))</f>
        <v/>
      </c>
      <c r="G3112" s="26" t="str">
        <f>IF($E3112="","",IFERROR(INDEX(科目表!$E$4:$E$81,MATCH($E3112,科目表!$B$4:$B$81,0)),""))</f>
        <v/>
      </c>
      <c r="H3112" s="104"/>
      <c r="I3112" s="104"/>
      <c r="J3112" s="102"/>
      <c r="K3112" s="102"/>
      <c r="L3112" s="103"/>
      <c r="M3112" s="105"/>
      <c r="N3112" s="103"/>
      <c r="O3112" s="26" t="str">
        <f t="shared" si="155"/>
        <v/>
      </c>
      <c r="P3112" s="103"/>
    </row>
    <row r="3113" ht="18" customHeight="1" spans="1:16">
      <c r="A3113" s="32" t="str">
        <f t="shared" si="156"/>
        <v/>
      </c>
      <c r="B3113" s="101"/>
      <c r="C3113" s="102"/>
      <c r="D3113" s="103"/>
      <c r="E3113" s="102"/>
      <c r="F3113" s="25" t="str">
        <f>IF($E3113="","",IFERROR(INDEX(科目表!$A$4:$A$81,MATCH($E3113,科目表!$B$4:$B$81,0)),""))</f>
        <v/>
      </c>
      <c r="G3113" s="26" t="str">
        <f>IF($E3113="","",IFERROR(INDEX(科目表!$E$4:$E$81,MATCH($E3113,科目表!$B$4:$B$81,0)),""))</f>
        <v/>
      </c>
      <c r="H3113" s="104"/>
      <c r="I3113" s="104"/>
      <c r="J3113" s="102"/>
      <c r="K3113" s="102"/>
      <c r="L3113" s="103"/>
      <c r="M3113" s="105"/>
      <c r="N3113" s="103"/>
      <c r="O3113" s="26" t="str">
        <f t="shared" si="155"/>
        <v/>
      </c>
      <c r="P3113" s="103"/>
    </row>
    <row r="3114" ht="18" customHeight="1" spans="1:16">
      <c r="A3114" s="32" t="str">
        <f t="shared" si="156"/>
        <v/>
      </c>
      <c r="B3114" s="101"/>
      <c r="C3114" s="102"/>
      <c r="D3114" s="103"/>
      <c r="E3114" s="102"/>
      <c r="F3114" s="25" t="str">
        <f>IF($E3114="","",IFERROR(INDEX(科目表!$A$4:$A$81,MATCH($E3114,科目表!$B$4:$B$81,0)),""))</f>
        <v/>
      </c>
      <c r="G3114" s="26" t="str">
        <f>IF($E3114="","",IFERROR(INDEX(科目表!$E$4:$E$81,MATCH($E3114,科目表!$B$4:$B$81,0)),""))</f>
        <v/>
      </c>
      <c r="H3114" s="104"/>
      <c r="I3114" s="104"/>
      <c r="J3114" s="102"/>
      <c r="K3114" s="102"/>
      <c r="L3114" s="103"/>
      <c r="M3114" s="105"/>
      <c r="N3114" s="103"/>
      <c r="O3114" s="26" t="str">
        <f t="shared" si="155"/>
        <v/>
      </c>
      <c r="P3114" s="103"/>
    </row>
    <row r="3115" ht="18" customHeight="1" spans="1:16">
      <c r="A3115" s="32" t="str">
        <f t="shared" si="156"/>
        <v/>
      </c>
      <c r="B3115" s="101"/>
      <c r="C3115" s="102"/>
      <c r="D3115" s="103"/>
      <c r="E3115" s="102"/>
      <c r="F3115" s="25" t="str">
        <f>IF($E3115="","",IFERROR(INDEX(科目表!$A$4:$A$81,MATCH($E3115,科目表!$B$4:$B$81,0)),""))</f>
        <v/>
      </c>
      <c r="G3115" s="26" t="str">
        <f>IF($E3115="","",IFERROR(INDEX(科目表!$E$4:$E$81,MATCH($E3115,科目表!$B$4:$B$81,0)),""))</f>
        <v/>
      </c>
      <c r="H3115" s="104"/>
      <c r="I3115" s="104"/>
      <c r="J3115" s="102"/>
      <c r="K3115" s="102"/>
      <c r="L3115" s="103"/>
      <c r="M3115" s="105"/>
      <c r="N3115" s="103"/>
      <c r="O3115" s="26" t="str">
        <f t="shared" si="155"/>
        <v/>
      </c>
      <c r="P3115" s="103"/>
    </row>
    <row r="3116" ht="18" customHeight="1" spans="1:16">
      <c r="A3116" s="32" t="str">
        <f t="shared" si="156"/>
        <v/>
      </c>
      <c r="B3116" s="101"/>
      <c r="C3116" s="102"/>
      <c r="D3116" s="103"/>
      <c r="E3116" s="102"/>
      <c r="F3116" s="25" t="str">
        <f>IF($E3116="","",IFERROR(INDEX(科目表!$A$4:$A$81,MATCH($E3116,科目表!$B$4:$B$81,0)),""))</f>
        <v/>
      </c>
      <c r="G3116" s="26" t="str">
        <f>IF($E3116="","",IFERROR(INDEX(科目表!$E$4:$E$81,MATCH($E3116,科目表!$B$4:$B$81,0)),""))</f>
        <v/>
      </c>
      <c r="H3116" s="104"/>
      <c r="I3116" s="104"/>
      <c r="J3116" s="102"/>
      <c r="K3116" s="102"/>
      <c r="L3116" s="103"/>
      <c r="M3116" s="105"/>
      <c r="N3116" s="103"/>
      <c r="O3116" s="26" t="str">
        <f t="shared" si="155"/>
        <v/>
      </c>
      <c r="P3116" s="103"/>
    </row>
    <row r="3117" ht="18" customHeight="1" spans="1:16">
      <c r="A3117" s="32" t="str">
        <f t="shared" si="156"/>
        <v/>
      </c>
      <c r="B3117" s="101"/>
      <c r="C3117" s="102"/>
      <c r="D3117" s="103"/>
      <c r="E3117" s="102"/>
      <c r="F3117" s="25" t="str">
        <f>IF($E3117="","",IFERROR(INDEX(科目表!$A$4:$A$81,MATCH($E3117,科目表!$B$4:$B$81,0)),""))</f>
        <v/>
      </c>
      <c r="G3117" s="26" t="str">
        <f>IF($E3117="","",IFERROR(INDEX(科目表!$E$4:$E$81,MATCH($E3117,科目表!$B$4:$B$81,0)),""))</f>
        <v/>
      </c>
      <c r="H3117" s="104"/>
      <c r="I3117" s="104"/>
      <c r="J3117" s="102"/>
      <c r="K3117" s="102"/>
      <c r="L3117" s="103"/>
      <c r="M3117" s="105"/>
      <c r="N3117" s="103"/>
      <c r="O3117" s="26" t="str">
        <f t="shared" si="155"/>
        <v/>
      </c>
      <c r="P3117" s="103"/>
    </row>
    <row r="3118" ht="18" customHeight="1" spans="1:16">
      <c r="A3118" s="32" t="str">
        <f t="shared" si="156"/>
        <v/>
      </c>
      <c r="B3118" s="101"/>
      <c r="C3118" s="102"/>
      <c r="D3118" s="103"/>
      <c r="E3118" s="102"/>
      <c r="F3118" s="25" t="str">
        <f>IF($E3118="","",IFERROR(INDEX(科目表!$A$4:$A$81,MATCH($E3118,科目表!$B$4:$B$81,0)),""))</f>
        <v/>
      </c>
      <c r="G3118" s="26" t="str">
        <f>IF($E3118="","",IFERROR(INDEX(科目表!$E$4:$E$81,MATCH($E3118,科目表!$B$4:$B$81,0)),""))</f>
        <v/>
      </c>
      <c r="H3118" s="104"/>
      <c r="I3118" s="104"/>
      <c r="J3118" s="102"/>
      <c r="K3118" s="102"/>
      <c r="L3118" s="103"/>
      <c r="M3118" s="105"/>
      <c r="N3118" s="103"/>
      <c r="O3118" s="26" t="str">
        <f t="shared" si="155"/>
        <v/>
      </c>
      <c r="P3118" s="103"/>
    </row>
    <row r="3119" ht="18" customHeight="1" spans="1:16">
      <c r="A3119" s="32" t="str">
        <f t="shared" si="156"/>
        <v/>
      </c>
      <c r="B3119" s="101"/>
      <c r="C3119" s="102"/>
      <c r="D3119" s="103"/>
      <c r="E3119" s="102"/>
      <c r="F3119" s="25" t="str">
        <f>IF($E3119="","",IFERROR(INDEX(科目表!$A$4:$A$81,MATCH($E3119,科目表!$B$4:$B$81,0)),""))</f>
        <v/>
      </c>
      <c r="G3119" s="26" t="str">
        <f>IF($E3119="","",IFERROR(INDEX(科目表!$E$4:$E$81,MATCH($E3119,科目表!$B$4:$B$81,0)),""))</f>
        <v/>
      </c>
      <c r="H3119" s="104"/>
      <c r="I3119" s="104"/>
      <c r="J3119" s="102"/>
      <c r="K3119" s="102"/>
      <c r="L3119" s="103"/>
      <c r="M3119" s="105"/>
      <c r="N3119" s="103"/>
      <c r="O3119" s="26" t="str">
        <f t="shared" si="155"/>
        <v/>
      </c>
      <c r="P3119" s="103"/>
    </row>
    <row r="3120" ht="18" customHeight="1" spans="1:16">
      <c r="A3120" s="32" t="str">
        <f t="shared" si="156"/>
        <v/>
      </c>
      <c r="B3120" s="101"/>
      <c r="C3120" s="102"/>
      <c r="D3120" s="103"/>
      <c r="E3120" s="102"/>
      <c r="F3120" s="25" t="str">
        <f>IF($E3120="","",IFERROR(INDEX(科目表!$A$4:$A$81,MATCH($E3120,科目表!$B$4:$B$81,0)),""))</f>
        <v/>
      </c>
      <c r="G3120" s="26" t="str">
        <f>IF($E3120="","",IFERROR(INDEX(科目表!$E$4:$E$81,MATCH($E3120,科目表!$B$4:$B$81,0)),""))</f>
        <v/>
      </c>
      <c r="H3120" s="104"/>
      <c r="I3120" s="104"/>
      <c r="J3120" s="102"/>
      <c r="K3120" s="102"/>
      <c r="L3120" s="103"/>
      <c r="M3120" s="105"/>
      <c r="N3120" s="103"/>
      <c r="O3120" s="26" t="str">
        <f t="shared" si="155"/>
        <v/>
      </c>
      <c r="P3120" s="103"/>
    </row>
    <row r="3121" ht="18" customHeight="1" spans="1:16">
      <c r="A3121" s="32" t="str">
        <f t="shared" si="156"/>
        <v/>
      </c>
      <c r="B3121" s="101"/>
      <c r="C3121" s="102"/>
      <c r="D3121" s="103"/>
      <c r="E3121" s="102"/>
      <c r="F3121" s="25" t="str">
        <f>IF($E3121="","",IFERROR(INDEX(科目表!$A$4:$A$81,MATCH($E3121,科目表!$B$4:$B$81,0)),""))</f>
        <v/>
      </c>
      <c r="G3121" s="26" t="str">
        <f>IF($E3121="","",IFERROR(INDEX(科目表!$E$4:$E$81,MATCH($E3121,科目表!$B$4:$B$81,0)),""))</f>
        <v/>
      </c>
      <c r="H3121" s="104"/>
      <c r="I3121" s="104"/>
      <c r="J3121" s="102"/>
      <c r="K3121" s="102"/>
      <c r="L3121" s="103"/>
      <c r="M3121" s="105"/>
      <c r="N3121" s="103"/>
      <c r="O3121" s="26" t="str">
        <f t="shared" si="155"/>
        <v/>
      </c>
      <c r="P3121" s="103"/>
    </row>
    <row r="3122" ht="18" customHeight="1" spans="1:16">
      <c r="A3122" s="32" t="str">
        <f t="shared" si="156"/>
        <v/>
      </c>
      <c r="B3122" s="101"/>
      <c r="C3122" s="102"/>
      <c r="D3122" s="103"/>
      <c r="E3122" s="102"/>
      <c r="F3122" s="25" t="str">
        <f>IF($E3122="","",IFERROR(INDEX(科目表!$A$4:$A$81,MATCH($E3122,科目表!$B$4:$B$81,0)),""))</f>
        <v/>
      </c>
      <c r="G3122" s="26" t="str">
        <f>IF($E3122="","",IFERROR(INDEX(科目表!$E$4:$E$81,MATCH($E3122,科目表!$B$4:$B$81,0)),""))</f>
        <v/>
      </c>
      <c r="H3122" s="104"/>
      <c r="I3122" s="104"/>
      <c r="J3122" s="102"/>
      <c r="K3122" s="102"/>
      <c r="L3122" s="103"/>
      <c r="M3122" s="105"/>
      <c r="N3122" s="103"/>
      <c r="O3122" s="26" t="str">
        <f t="shared" si="155"/>
        <v/>
      </c>
      <c r="P3122" s="103"/>
    </row>
    <row r="3123" ht="18" customHeight="1" spans="1:16">
      <c r="A3123" s="32" t="str">
        <f t="shared" si="156"/>
        <v/>
      </c>
      <c r="B3123" s="101"/>
      <c r="C3123" s="102"/>
      <c r="D3123" s="103"/>
      <c r="E3123" s="102"/>
      <c r="F3123" s="25" t="str">
        <f>IF($E3123="","",IFERROR(INDEX(科目表!$A$4:$A$81,MATCH($E3123,科目表!$B$4:$B$81,0)),""))</f>
        <v/>
      </c>
      <c r="G3123" s="26" t="str">
        <f>IF($E3123="","",IFERROR(INDEX(科目表!$E$4:$E$81,MATCH($E3123,科目表!$B$4:$B$81,0)),""))</f>
        <v/>
      </c>
      <c r="H3123" s="104"/>
      <c r="I3123" s="104"/>
      <c r="J3123" s="102"/>
      <c r="K3123" s="102"/>
      <c r="L3123" s="103"/>
      <c r="M3123" s="105"/>
      <c r="N3123" s="103"/>
      <c r="O3123" s="26" t="str">
        <f t="shared" si="155"/>
        <v/>
      </c>
      <c r="P3123" s="103"/>
    </row>
    <row r="3124" ht="18" customHeight="1" spans="1:16">
      <c r="A3124" s="32" t="str">
        <f t="shared" si="156"/>
        <v/>
      </c>
      <c r="B3124" s="101"/>
      <c r="C3124" s="102"/>
      <c r="D3124" s="103"/>
      <c r="E3124" s="102"/>
      <c r="F3124" s="25" t="str">
        <f>IF($E3124="","",IFERROR(INDEX(科目表!$A$4:$A$81,MATCH($E3124,科目表!$B$4:$B$81,0)),""))</f>
        <v/>
      </c>
      <c r="G3124" s="26" t="str">
        <f>IF($E3124="","",IFERROR(INDEX(科目表!$E$4:$E$81,MATCH($E3124,科目表!$B$4:$B$81,0)),""))</f>
        <v/>
      </c>
      <c r="H3124" s="104"/>
      <c r="I3124" s="104"/>
      <c r="J3124" s="102"/>
      <c r="K3124" s="102"/>
      <c r="L3124" s="103"/>
      <c r="M3124" s="105"/>
      <c r="N3124" s="103"/>
      <c r="O3124" s="26" t="str">
        <f t="shared" si="155"/>
        <v/>
      </c>
      <c r="P3124" s="103"/>
    </row>
    <row r="3125" ht="18" customHeight="1" spans="1:16">
      <c r="A3125" s="32" t="str">
        <f t="shared" si="156"/>
        <v/>
      </c>
      <c r="B3125" s="101"/>
      <c r="C3125" s="102"/>
      <c r="D3125" s="103"/>
      <c r="E3125" s="102"/>
      <c r="F3125" s="25" t="str">
        <f>IF($E3125="","",IFERROR(INDEX(科目表!$A$4:$A$81,MATCH($E3125,科目表!$B$4:$B$81,0)),""))</f>
        <v/>
      </c>
      <c r="G3125" s="26" t="str">
        <f>IF($E3125="","",IFERROR(INDEX(科目表!$E$4:$E$81,MATCH($E3125,科目表!$B$4:$B$81,0)),""))</f>
        <v/>
      </c>
      <c r="H3125" s="104"/>
      <c r="I3125" s="104"/>
      <c r="J3125" s="102"/>
      <c r="K3125" s="102"/>
      <c r="L3125" s="103"/>
      <c r="M3125" s="105"/>
      <c r="N3125" s="103"/>
      <c r="O3125" s="26" t="str">
        <f t="shared" si="155"/>
        <v/>
      </c>
      <c r="P3125" s="103"/>
    </row>
    <row r="3126" ht="18" customHeight="1" spans="1:16">
      <c r="A3126" s="32" t="str">
        <f t="shared" si="156"/>
        <v/>
      </c>
      <c r="B3126" s="101"/>
      <c r="C3126" s="102"/>
      <c r="D3126" s="103"/>
      <c r="E3126" s="102"/>
      <c r="F3126" s="25" t="str">
        <f>IF($E3126="","",IFERROR(INDEX(科目表!$A$4:$A$81,MATCH($E3126,科目表!$B$4:$B$81,0)),""))</f>
        <v/>
      </c>
      <c r="G3126" s="26" t="str">
        <f>IF($E3126="","",IFERROR(INDEX(科目表!$E$4:$E$81,MATCH($E3126,科目表!$B$4:$B$81,0)),""))</f>
        <v/>
      </c>
      <c r="H3126" s="104"/>
      <c r="I3126" s="104"/>
      <c r="J3126" s="102"/>
      <c r="K3126" s="102"/>
      <c r="L3126" s="103"/>
      <c r="M3126" s="105"/>
      <c r="N3126" s="103"/>
      <c r="O3126" s="26" t="str">
        <f t="shared" si="155"/>
        <v/>
      </c>
      <c r="P3126" s="103"/>
    </row>
    <row r="3127" ht="18" customHeight="1" spans="1:16">
      <c r="A3127" s="32" t="str">
        <f t="shared" si="156"/>
        <v/>
      </c>
      <c r="B3127" s="101"/>
      <c r="C3127" s="102"/>
      <c r="D3127" s="103"/>
      <c r="E3127" s="102"/>
      <c r="F3127" s="25" t="str">
        <f>IF($E3127="","",IFERROR(INDEX(科目表!$A$4:$A$81,MATCH($E3127,科目表!$B$4:$B$81,0)),""))</f>
        <v/>
      </c>
      <c r="G3127" s="26" t="str">
        <f>IF($E3127="","",IFERROR(INDEX(科目表!$E$4:$E$81,MATCH($E3127,科目表!$B$4:$B$81,0)),""))</f>
        <v/>
      </c>
      <c r="H3127" s="104"/>
      <c r="I3127" s="104"/>
      <c r="J3127" s="102"/>
      <c r="K3127" s="102"/>
      <c r="L3127" s="103"/>
      <c r="M3127" s="105"/>
      <c r="N3127" s="103"/>
      <c r="O3127" s="26" t="str">
        <f t="shared" si="155"/>
        <v/>
      </c>
      <c r="P3127" s="103"/>
    </row>
    <row r="3128" ht="18" customHeight="1" spans="1:16">
      <c r="A3128" s="32" t="str">
        <f t="shared" si="156"/>
        <v/>
      </c>
      <c r="B3128" s="101"/>
      <c r="C3128" s="102"/>
      <c r="D3128" s="103"/>
      <c r="E3128" s="102"/>
      <c r="F3128" s="25" t="str">
        <f>IF($E3128="","",IFERROR(INDEX(科目表!$A$4:$A$81,MATCH($E3128,科目表!$B$4:$B$81,0)),""))</f>
        <v/>
      </c>
      <c r="G3128" s="26" t="str">
        <f>IF($E3128="","",IFERROR(INDEX(科目表!$E$4:$E$81,MATCH($E3128,科目表!$B$4:$B$81,0)),""))</f>
        <v/>
      </c>
      <c r="H3128" s="104"/>
      <c r="I3128" s="104"/>
      <c r="J3128" s="102"/>
      <c r="K3128" s="102"/>
      <c r="L3128" s="103"/>
      <c r="M3128" s="105"/>
      <c r="N3128" s="103"/>
      <c r="O3128" s="26" t="str">
        <f t="shared" si="155"/>
        <v/>
      </c>
      <c r="P3128" s="103"/>
    </row>
    <row r="3129" ht="18" customHeight="1" spans="1:16">
      <c r="A3129" s="32" t="str">
        <f t="shared" si="156"/>
        <v/>
      </c>
      <c r="B3129" s="101"/>
      <c r="C3129" s="102"/>
      <c r="D3129" s="103"/>
      <c r="E3129" s="102"/>
      <c r="F3129" s="25" t="str">
        <f>IF($E3129="","",IFERROR(INDEX(科目表!$A$4:$A$81,MATCH($E3129,科目表!$B$4:$B$81,0)),""))</f>
        <v/>
      </c>
      <c r="G3129" s="26" t="str">
        <f>IF($E3129="","",IFERROR(INDEX(科目表!$E$4:$E$81,MATCH($E3129,科目表!$B$4:$B$81,0)),""))</f>
        <v/>
      </c>
      <c r="H3129" s="104"/>
      <c r="I3129" s="104"/>
      <c r="J3129" s="102"/>
      <c r="K3129" s="102"/>
      <c r="L3129" s="103"/>
      <c r="M3129" s="105"/>
      <c r="N3129" s="103"/>
      <c r="O3129" s="26" t="str">
        <f t="shared" si="155"/>
        <v/>
      </c>
      <c r="P3129" s="103"/>
    </row>
    <row r="3130" ht="18" customHeight="1" spans="1:16">
      <c r="A3130" s="32" t="str">
        <f t="shared" si="156"/>
        <v/>
      </c>
      <c r="B3130" s="101"/>
      <c r="C3130" s="102"/>
      <c r="D3130" s="103"/>
      <c r="E3130" s="102"/>
      <c r="F3130" s="25" t="str">
        <f>IF($E3130="","",IFERROR(INDEX(科目表!$A$4:$A$81,MATCH($E3130,科目表!$B$4:$B$81,0)),""))</f>
        <v/>
      </c>
      <c r="G3130" s="26" t="str">
        <f>IF($E3130="","",IFERROR(INDEX(科目表!$E$4:$E$81,MATCH($E3130,科目表!$B$4:$B$81,0)),""))</f>
        <v/>
      </c>
      <c r="H3130" s="104"/>
      <c r="I3130" s="104"/>
      <c r="J3130" s="102"/>
      <c r="K3130" s="102"/>
      <c r="L3130" s="103"/>
      <c r="M3130" s="105"/>
      <c r="N3130" s="103"/>
      <c r="O3130" s="26" t="str">
        <f t="shared" si="155"/>
        <v/>
      </c>
      <c r="P3130" s="103"/>
    </row>
    <row r="3131" ht="18" customHeight="1" spans="1:16">
      <c r="A3131" s="32" t="str">
        <f t="shared" si="156"/>
        <v/>
      </c>
      <c r="B3131" s="101"/>
      <c r="C3131" s="102"/>
      <c r="D3131" s="103"/>
      <c r="E3131" s="102"/>
      <c r="F3131" s="25" t="str">
        <f>IF($E3131="","",IFERROR(INDEX(科目表!$A$4:$A$81,MATCH($E3131,科目表!$B$4:$B$81,0)),""))</f>
        <v/>
      </c>
      <c r="G3131" s="26" t="str">
        <f>IF($E3131="","",IFERROR(INDEX(科目表!$E$4:$E$81,MATCH($E3131,科目表!$B$4:$B$81,0)),""))</f>
        <v/>
      </c>
      <c r="H3131" s="104"/>
      <c r="I3131" s="104"/>
      <c r="J3131" s="102"/>
      <c r="K3131" s="102"/>
      <c r="L3131" s="103"/>
      <c r="M3131" s="105"/>
      <c r="N3131" s="103"/>
      <c r="O3131" s="26" t="str">
        <f t="shared" si="155"/>
        <v/>
      </c>
      <c r="P3131" s="103"/>
    </row>
    <row r="3132" ht="18" customHeight="1" spans="1:16">
      <c r="A3132" s="32" t="str">
        <f t="shared" si="156"/>
        <v/>
      </c>
      <c r="B3132" s="101"/>
      <c r="C3132" s="102"/>
      <c r="D3132" s="103"/>
      <c r="E3132" s="102"/>
      <c r="F3132" s="25" t="str">
        <f>IF($E3132="","",IFERROR(INDEX(科目表!$A$4:$A$81,MATCH($E3132,科目表!$B$4:$B$81,0)),""))</f>
        <v/>
      </c>
      <c r="G3132" s="26" t="str">
        <f>IF($E3132="","",IFERROR(INDEX(科目表!$E$4:$E$81,MATCH($E3132,科目表!$B$4:$B$81,0)),""))</f>
        <v/>
      </c>
      <c r="H3132" s="104"/>
      <c r="I3132" s="104"/>
      <c r="J3132" s="102"/>
      <c r="K3132" s="102"/>
      <c r="L3132" s="103"/>
      <c r="M3132" s="105"/>
      <c r="N3132" s="103"/>
      <c r="O3132" s="26" t="str">
        <f t="shared" si="155"/>
        <v/>
      </c>
      <c r="P3132" s="103"/>
    </row>
    <row r="3133" ht="18" customHeight="1" spans="1:16">
      <c r="A3133" s="32" t="str">
        <f t="shared" si="156"/>
        <v/>
      </c>
      <c r="B3133" s="101"/>
      <c r="C3133" s="102"/>
      <c r="D3133" s="103"/>
      <c r="E3133" s="102"/>
      <c r="F3133" s="25" t="str">
        <f>IF($E3133="","",IFERROR(INDEX(科目表!$A$4:$A$81,MATCH($E3133,科目表!$B$4:$B$81,0)),""))</f>
        <v/>
      </c>
      <c r="G3133" s="26" t="str">
        <f>IF($E3133="","",IFERROR(INDEX(科目表!$E$4:$E$81,MATCH($E3133,科目表!$B$4:$B$81,0)),""))</f>
        <v/>
      </c>
      <c r="H3133" s="104"/>
      <c r="I3133" s="104"/>
      <c r="J3133" s="102"/>
      <c r="K3133" s="102"/>
      <c r="L3133" s="103"/>
      <c r="M3133" s="105"/>
      <c r="N3133" s="103"/>
      <c r="O3133" s="26" t="str">
        <f t="shared" si="155"/>
        <v/>
      </c>
      <c r="P3133" s="103"/>
    </row>
    <row r="3134" ht="18" customHeight="1" spans="1:16">
      <c r="A3134" s="32" t="str">
        <f t="shared" si="156"/>
        <v/>
      </c>
      <c r="B3134" s="101"/>
      <c r="C3134" s="102"/>
      <c r="D3134" s="103"/>
      <c r="E3134" s="102"/>
      <c r="F3134" s="25" t="str">
        <f>IF($E3134="","",IFERROR(INDEX(科目表!$A$4:$A$81,MATCH($E3134,科目表!$B$4:$B$81,0)),""))</f>
        <v/>
      </c>
      <c r="G3134" s="26" t="str">
        <f>IF($E3134="","",IFERROR(INDEX(科目表!$E$4:$E$81,MATCH($E3134,科目表!$B$4:$B$81,0)),""))</f>
        <v/>
      </c>
      <c r="H3134" s="104"/>
      <c r="I3134" s="104"/>
      <c r="J3134" s="102"/>
      <c r="K3134" s="102"/>
      <c r="L3134" s="103"/>
      <c r="M3134" s="105"/>
      <c r="N3134" s="103"/>
      <c r="O3134" s="26" t="str">
        <f t="shared" si="155"/>
        <v/>
      </c>
      <c r="P3134" s="103"/>
    </row>
    <row r="3135" ht="18" customHeight="1" spans="1:16">
      <c r="A3135" s="32" t="str">
        <f t="shared" si="156"/>
        <v/>
      </c>
      <c r="B3135" s="101"/>
      <c r="C3135" s="102"/>
      <c r="D3135" s="103"/>
      <c r="E3135" s="102"/>
      <c r="F3135" s="25" t="str">
        <f>IF($E3135="","",IFERROR(INDEX(科目表!$A$4:$A$81,MATCH($E3135,科目表!$B$4:$B$81,0)),""))</f>
        <v/>
      </c>
      <c r="G3135" s="26" t="str">
        <f>IF($E3135="","",IFERROR(INDEX(科目表!$E$4:$E$81,MATCH($E3135,科目表!$B$4:$B$81,0)),""))</f>
        <v/>
      </c>
      <c r="H3135" s="104"/>
      <c r="I3135" s="104"/>
      <c r="J3135" s="102"/>
      <c r="K3135" s="102"/>
      <c r="L3135" s="103"/>
      <c r="M3135" s="105"/>
      <c r="N3135" s="103"/>
      <c r="O3135" s="26" t="str">
        <f t="shared" si="155"/>
        <v/>
      </c>
      <c r="P3135" s="103"/>
    </row>
    <row r="3136" ht="18" customHeight="1" spans="1:16">
      <c r="A3136" s="32" t="str">
        <f t="shared" si="156"/>
        <v/>
      </c>
      <c r="B3136" s="101"/>
      <c r="C3136" s="102"/>
      <c r="D3136" s="103"/>
      <c r="E3136" s="102"/>
      <c r="F3136" s="25" t="str">
        <f>IF($E3136="","",IFERROR(INDEX(科目表!$A$4:$A$81,MATCH($E3136,科目表!$B$4:$B$81,0)),""))</f>
        <v/>
      </c>
      <c r="G3136" s="26" t="str">
        <f>IF($E3136="","",IFERROR(INDEX(科目表!$E$4:$E$81,MATCH($E3136,科目表!$B$4:$B$81,0)),""))</f>
        <v/>
      </c>
      <c r="H3136" s="104"/>
      <c r="I3136" s="104"/>
      <c r="J3136" s="102"/>
      <c r="K3136" s="102"/>
      <c r="L3136" s="103"/>
      <c r="M3136" s="105"/>
      <c r="N3136" s="103"/>
      <c r="O3136" s="26" t="str">
        <f t="shared" si="155"/>
        <v/>
      </c>
      <c r="P3136" s="103"/>
    </row>
    <row r="3137" ht="18" customHeight="1" spans="1:16">
      <c r="A3137" s="32" t="str">
        <f t="shared" si="156"/>
        <v/>
      </c>
      <c r="B3137" s="101"/>
      <c r="C3137" s="102"/>
      <c r="D3137" s="103"/>
      <c r="E3137" s="102"/>
      <c r="F3137" s="25" t="str">
        <f>IF($E3137="","",IFERROR(INDEX(科目表!$A$4:$A$81,MATCH($E3137,科目表!$B$4:$B$81,0)),""))</f>
        <v/>
      </c>
      <c r="G3137" s="26" t="str">
        <f>IF($E3137="","",IFERROR(INDEX(科目表!$E$4:$E$81,MATCH($E3137,科目表!$B$4:$B$81,0)),""))</f>
        <v/>
      </c>
      <c r="H3137" s="104"/>
      <c r="I3137" s="104"/>
      <c r="J3137" s="102"/>
      <c r="K3137" s="102"/>
      <c r="L3137" s="103"/>
      <c r="M3137" s="105"/>
      <c r="N3137" s="103"/>
      <c r="O3137" s="26" t="str">
        <f t="shared" si="155"/>
        <v/>
      </c>
      <c r="P3137" s="103"/>
    </row>
    <row r="3138" ht="18" customHeight="1" spans="1:16">
      <c r="A3138" s="32" t="str">
        <f t="shared" si="156"/>
        <v/>
      </c>
      <c r="B3138" s="101"/>
      <c r="C3138" s="102"/>
      <c r="D3138" s="103"/>
      <c r="E3138" s="102"/>
      <c r="F3138" s="25" t="str">
        <f>IF($E3138="","",IFERROR(INDEX(科目表!$A$4:$A$81,MATCH($E3138,科目表!$B$4:$B$81,0)),""))</f>
        <v/>
      </c>
      <c r="G3138" s="26" t="str">
        <f>IF($E3138="","",IFERROR(INDEX(科目表!$E$4:$E$81,MATCH($E3138,科目表!$B$4:$B$81,0)),""))</f>
        <v/>
      </c>
      <c r="H3138" s="104"/>
      <c r="I3138" s="104"/>
      <c r="J3138" s="102"/>
      <c r="K3138" s="102"/>
      <c r="L3138" s="103"/>
      <c r="M3138" s="105"/>
      <c r="N3138" s="103"/>
      <c r="O3138" s="26" t="str">
        <f t="shared" ref="O3138:O3201" si="157">IF($E3138="","","手工")</f>
        <v/>
      </c>
      <c r="P3138" s="103"/>
    </row>
    <row r="3139" ht="18" customHeight="1" spans="1:16">
      <c r="A3139" s="32" t="str">
        <f t="shared" si="156"/>
        <v/>
      </c>
      <c r="B3139" s="101"/>
      <c r="C3139" s="102"/>
      <c r="D3139" s="103"/>
      <c r="E3139" s="102"/>
      <c r="F3139" s="25" t="str">
        <f>IF($E3139="","",IFERROR(INDEX(科目表!$A$4:$A$81,MATCH($E3139,科目表!$B$4:$B$81,0)),""))</f>
        <v/>
      </c>
      <c r="G3139" s="26" t="str">
        <f>IF($E3139="","",IFERROR(INDEX(科目表!$E$4:$E$81,MATCH($E3139,科目表!$B$4:$B$81,0)),""))</f>
        <v/>
      </c>
      <c r="H3139" s="104"/>
      <c r="I3139" s="104"/>
      <c r="J3139" s="102"/>
      <c r="K3139" s="102"/>
      <c r="L3139" s="103"/>
      <c r="M3139" s="105"/>
      <c r="N3139" s="103"/>
      <c r="O3139" s="26" t="str">
        <f t="shared" si="157"/>
        <v/>
      </c>
      <c r="P3139" s="103"/>
    </row>
    <row r="3140" ht="18" customHeight="1" spans="1:16">
      <c r="A3140" s="32" t="str">
        <f t="shared" ref="A3140:A3203" si="158">IF($E3140="","",ROW()-3)</f>
        <v/>
      </c>
      <c r="B3140" s="101"/>
      <c r="C3140" s="102"/>
      <c r="D3140" s="103"/>
      <c r="E3140" s="102"/>
      <c r="F3140" s="25" t="str">
        <f>IF($E3140="","",IFERROR(INDEX(科目表!$A$4:$A$81,MATCH($E3140,科目表!$B$4:$B$81,0)),""))</f>
        <v/>
      </c>
      <c r="G3140" s="26" t="str">
        <f>IF($E3140="","",IFERROR(INDEX(科目表!$E$4:$E$81,MATCH($E3140,科目表!$B$4:$B$81,0)),""))</f>
        <v/>
      </c>
      <c r="H3140" s="104"/>
      <c r="I3140" s="104"/>
      <c r="J3140" s="102"/>
      <c r="K3140" s="102"/>
      <c r="L3140" s="103"/>
      <c r="M3140" s="105"/>
      <c r="N3140" s="103"/>
      <c r="O3140" s="26" t="str">
        <f t="shared" si="157"/>
        <v/>
      </c>
      <c r="P3140" s="103"/>
    </row>
    <row r="3141" ht="18" customHeight="1" spans="1:16">
      <c r="A3141" s="32" t="str">
        <f t="shared" si="158"/>
        <v/>
      </c>
      <c r="B3141" s="101"/>
      <c r="C3141" s="102"/>
      <c r="D3141" s="103"/>
      <c r="E3141" s="102"/>
      <c r="F3141" s="25" t="str">
        <f>IF($E3141="","",IFERROR(INDEX(科目表!$A$4:$A$81,MATCH($E3141,科目表!$B$4:$B$81,0)),""))</f>
        <v/>
      </c>
      <c r="G3141" s="26" t="str">
        <f>IF($E3141="","",IFERROR(INDEX(科目表!$E$4:$E$81,MATCH($E3141,科目表!$B$4:$B$81,0)),""))</f>
        <v/>
      </c>
      <c r="H3141" s="104"/>
      <c r="I3141" s="104"/>
      <c r="J3141" s="102"/>
      <c r="K3141" s="102"/>
      <c r="L3141" s="103"/>
      <c r="M3141" s="105"/>
      <c r="N3141" s="103"/>
      <c r="O3141" s="26" t="str">
        <f t="shared" si="157"/>
        <v/>
      </c>
      <c r="P3141" s="103"/>
    </row>
    <row r="3142" ht="18" customHeight="1" spans="1:16">
      <c r="A3142" s="32" t="str">
        <f t="shared" si="158"/>
        <v/>
      </c>
      <c r="B3142" s="101"/>
      <c r="C3142" s="102"/>
      <c r="D3142" s="103"/>
      <c r="E3142" s="102"/>
      <c r="F3142" s="25" t="str">
        <f>IF($E3142="","",IFERROR(INDEX(科目表!$A$4:$A$81,MATCH($E3142,科目表!$B$4:$B$81,0)),""))</f>
        <v/>
      </c>
      <c r="G3142" s="26" t="str">
        <f>IF($E3142="","",IFERROR(INDEX(科目表!$E$4:$E$81,MATCH($E3142,科目表!$B$4:$B$81,0)),""))</f>
        <v/>
      </c>
      <c r="H3142" s="104"/>
      <c r="I3142" s="104"/>
      <c r="J3142" s="102"/>
      <c r="K3142" s="102"/>
      <c r="L3142" s="103"/>
      <c r="M3142" s="105"/>
      <c r="N3142" s="103"/>
      <c r="O3142" s="26" t="str">
        <f t="shared" si="157"/>
        <v/>
      </c>
      <c r="P3142" s="103"/>
    </row>
    <row r="3143" ht="18" customHeight="1" spans="1:16">
      <c r="A3143" s="32" t="str">
        <f t="shared" si="158"/>
        <v/>
      </c>
      <c r="B3143" s="101"/>
      <c r="C3143" s="102"/>
      <c r="D3143" s="103"/>
      <c r="E3143" s="102"/>
      <c r="F3143" s="25" t="str">
        <f>IF($E3143="","",IFERROR(INDEX(科目表!$A$4:$A$81,MATCH($E3143,科目表!$B$4:$B$81,0)),""))</f>
        <v/>
      </c>
      <c r="G3143" s="26" t="str">
        <f>IF($E3143="","",IFERROR(INDEX(科目表!$E$4:$E$81,MATCH($E3143,科目表!$B$4:$B$81,0)),""))</f>
        <v/>
      </c>
      <c r="H3143" s="104"/>
      <c r="I3143" s="104"/>
      <c r="J3143" s="102"/>
      <c r="K3143" s="102"/>
      <c r="L3143" s="103"/>
      <c r="M3143" s="105"/>
      <c r="N3143" s="103"/>
      <c r="O3143" s="26" t="str">
        <f t="shared" si="157"/>
        <v/>
      </c>
      <c r="P3143" s="103"/>
    </row>
    <row r="3144" ht="18" customHeight="1" spans="1:16">
      <c r="A3144" s="32" t="str">
        <f t="shared" si="158"/>
        <v/>
      </c>
      <c r="B3144" s="101"/>
      <c r="C3144" s="102"/>
      <c r="D3144" s="103"/>
      <c r="E3144" s="102"/>
      <c r="F3144" s="25" t="str">
        <f>IF($E3144="","",IFERROR(INDEX(科目表!$A$4:$A$81,MATCH($E3144,科目表!$B$4:$B$81,0)),""))</f>
        <v/>
      </c>
      <c r="G3144" s="26" t="str">
        <f>IF($E3144="","",IFERROR(INDEX(科目表!$E$4:$E$81,MATCH($E3144,科目表!$B$4:$B$81,0)),""))</f>
        <v/>
      </c>
      <c r="H3144" s="104"/>
      <c r="I3144" s="104"/>
      <c r="J3144" s="102"/>
      <c r="K3144" s="102"/>
      <c r="L3144" s="103"/>
      <c r="M3144" s="105"/>
      <c r="N3144" s="103"/>
      <c r="O3144" s="26" t="str">
        <f t="shared" si="157"/>
        <v/>
      </c>
      <c r="P3144" s="103"/>
    </row>
    <row r="3145" ht="18" customHeight="1" spans="1:16">
      <c r="A3145" s="32" t="str">
        <f t="shared" si="158"/>
        <v/>
      </c>
      <c r="B3145" s="101"/>
      <c r="C3145" s="102"/>
      <c r="D3145" s="103"/>
      <c r="E3145" s="102"/>
      <c r="F3145" s="25" t="str">
        <f>IF($E3145="","",IFERROR(INDEX(科目表!$A$4:$A$81,MATCH($E3145,科目表!$B$4:$B$81,0)),""))</f>
        <v/>
      </c>
      <c r="G3145" s="26" t="str">
        <f>IF($E3145="","",IFERROR(INDEX(科目表!$E$4:$E$81,MATCH($E3145,科目表!$B$4:$B$81,0)),""))</f>
        <v/>
      </c>
      <c r="H3145" s="104"/>
      <c r="I3145" s="104"/>
      <c r="J3145" s="102"/>
      <c r="K3145" s="102"/>
      <c r="L3145" s="103"/>
      <c r="M3145" s="105"/>
      <c r="N3145" s="103"/>
      <c r="O3145" s="26" t="str">
        <f t="shared" si="157"/>
        <v/>
      </c>
      <c r="P3145" s="103"/>
    </row>
    <row r="3146" ht="18" customHeight="1" spans="1:16">
      <c r="A3146" s="32" t="str">
        <f t="shared" si="158"/>
        <v/>
      </c>
      <c r="B3146" s="101"/>
      <c r="C3146" s="102"/>
      <c r="D3146" s="103"/>
      <c r="E3146" s="102"/>
      <c r="F3146" s="25" t="str">
        <f>IF($E3146="","",IFERROR(INDEX(科目表!$A$4:$A$81,MATCH($E3146,科目表!$B$4:$B$81,0)),""))</f>
        <v/>
      </c>
      <c r="G3146" s="26" t="str">
        <f>IF($E3146="","",IFERROR(INDEX(科目表!$E$4:$E$81,MATCH($E3146,科目表!$B$4:$B$81,0)),""))</f>
        <v/>
      </c>
      <c r="H3146" s="104"/>
      <c r="I3146" s="104"/>
      <c r="J3146" s="102"/>
      <c r="K3146" s="102"/>
      <c r="L3146" s="103"/>
      <c r="M3146" s="105"/>
      <c r="N3146" s="103"/>
      <c r="O3146" s="26" t="str">
        <f t="shared" si="157"/>
        <v/>
      </c>
      <c r="P3146" s="103"/>
    </row>
    <row r="3147" ht="18" customHeight="1" spans="1:16">
      <c r="A3147" s="32" t="str">
        <f t="shared" si="158"/>
        <v/>
      </c>
      <c r="B3147" s="101"/>
      <c r="C3147" s="102"/>
      <c r="D3147" s="103"/>
      <c r="E3147" s="102"/>
      <c r="F3147" s="25" t="str">
        <f>IF($E3147="","",IFERROR(INDEX(科目表!$A$4:$A$81,MATCH($E3147,科目表!$B$4:$B$81,0)),""))</f>
        <v/>
      </c>
      <c r="G3147" s="26" t="str">
        <f>IF($E3147="","",IFERROR(INDEX(科目表!$E$4:$E$81,MATCH($E3147,科目表!$B$4:$B$81,0)),""))</f>
        <v/>
      </c>
      <c r="H3147" s="104"/>
      <c r="I3147" s="104"/>
      <c r="J3147" s="102"/>
      <c r="K3147" s="102"/>
      <c r="L3147" s="103"/>
      <c r="M3147" s="105"/>
      <c r="N3147" s="103"/>
      <c r="O3147" s="26" t="str">
        <f t="shared" si="157"/>
        <v/>
      </c>
      <c r="P3147" s="103"/>
    </row>
    <row r="3148" ht="18" customHeight="1" spans="1:16">
      <c r="A3148" s="32" t="str">
        <f t="shared" si="158"/>
        <v/>
      </c>
      <c r="B3148" s="101"/>
      <c r="C3148" s="102"/>
      <c r="D3148" s="103"/>
      <c r="E3148" s="102"/>
      <c r="F3148" s="25" t="str">
        <f>IF($E3148="","",IFERROR(INDEX(科目表!$A$4:$A$81,MATCH($E3148,科目表!$B$4:$B$81,0)),""))</f>
        <v/>
      </c>
      <c r="G3148" s="26" t="str">
        <f>IF($E3148="","",IFERROR(INDEX(科目表!$E$4:$E$81,MATCH($E3148,科目表!$B$4:$B$81,0)),""))</f>
        <v/>
      </c>
      <c r="H3148" s="104"/>
      <c r="I3148" s="104"/>
      <c r="J3148" s="102"/>
      <c r="K3148" s="102"/>
      <c r="L3148" s="103"/>
      <c r="M3148" s="105"/>
      <c r="N3148" s="103"/>
      <c r="O3148" s="26" t="str">
        <f t="shared" si="157"/>
        <v/>
      </c>
      <c r="P3148" s="103"/>
    </row>
    <row r="3149" ht="18" customHeight="1" spans="1:16">
      <c r="A3149" s="32" t="str">
        <f t="shared" si="158"/>
        <v/>
      </c>
      <c r="B3149" s="101"/>
      <c r="C3149" s="102"/>
      <c r="D3149" s="103"/>
      <c r="E3149" s="102"/>
      <c r="F3149" s="25" t="str">
        <f>IF($E3149="","",IFERROR(INDEX(科目表!$A$4:$A$81,MATCH($E3149,科目表!$B$4:$B$81,0)),""))</f>
        <v/>
      </c>
      <c r="G3149" s="26" t="str">
        <f>IF($E3149="","",IFERROR(INDEX(科目表!$E$4:$E$81,MATCH($E3149,科目表!$B$4:$B$81,0)),""))</f>
        <v/>
      </c>
      <c r="H3149" s="104"/>
      <c r="I3149" s="104"/>
      <c r="J3149" s="102"/>
      <c r="K3149" s="102"/>
      <c r="L3149" s="103"/>
      <c r="M3149" s="105"/>
      <c r="N3149" s="103"/>
      <c r="O3149" s="26" t="str">
        <f t="shared" si="157"/>
        <v/>
      </c>
      <c r="P3149" s="103"/>
    </row>
    <row r="3150" ht="18" customHeight="1" spans="1:16">
      <c r="A3150" s="32" t="str">
        <f t="shared" si="158"/>
        <v/>
      </c>
      <c r="B3150" s="101"/>
      <c r="C3150" s="102"/>
      <c r="D3150" s="103"/>
      <c r="E3150" s="102"/>
      <c r="F3150" s="25" t="str">
        <f>IF($E3150="","",IFERROR(INDEX(科目表!$A$4:$A$81,MATCH($E3150,科目表!$B$4:$B$81,0)),""))</f>
        <v/>
      </c>
      <c r="G3150" s="26" t="str">
        <f>IF($E3150="","",IFERROR(INDEX(科目表!$E$4:$E$81,MATCH($E3150,科目表!$B$4:$B$81,0)),""))</f>
        <v/>
      </c>
      <c r="H3150" s="104"/>
      <c r="I3150" s="104"/>
      <c r="J3150" s="102"/>
      <c r="K3150" s="102"/>
      <c r="L3150" s="103"/>
      <c r="M3150" s="105"/>
      <c r="N3150" s="103"/>
      <c r="O3150" s="26" t="str">
        <f t="shared" si="157"/>
        <v/>
      </c>
      <c r="P3150" s="103"/>
    </row>
    <row r="3151" ht="18" customHeight="1" spans="1:16">
      <c r="A3151" s="32" t="str">
        <f t="shared" si="158"/>
        <v/>
      </c>
      <c r="B3151" s="101"/>
      <c r="C3151" s="102"/>
      <c r="D3151" s="103"/>
      <c r="E3151" s="102"/>
      <c r="F3151" s="25" t="str">
        <f>IF($E3151="","",IFERROR(INDEX(科目表!$A$4:$A$81,MATCH($E3151,科目表!$B$4:$B$81,0)),""))</f>
        <v/>
      </c>
      <c r="G3151" s="26" t="str">
        <f>IF($E3151="","",IFERROR(INDEX(科目表!$E$4:$E$81,MATCH($E3151,科目表!$B$4:$B$81,0)),""))</f>
        <v/>
      </c>
      <c r="H3151" s="104"/>
      <c r="I3151" s="104"/>
      <c r="J3151" s="102"/>
      <c r="K3151" s="102"/>
      <c r="L3151" s="103"/>
      <c r="M3151" s="105"/>
      <c r="N3151" s="103"/>
      <c r="O3151" s="26" t="str">
        <f t="shared" si="157"/>
        <v/>
      </c>
      <c r="P3151" s="103"/>
    </row>
    <row r="3152" ht="18" customHeight="1" spans="1:16">
      <c r="A3152" s="32" t="str">
        <f t="shared" si="158"/>
        <v/>
      </c>
      <c r="B3152" s="101"/>
      <c r="C3152" s="102"/>
      <c r="D3152" s="103"/>
      <c r="E3152" s="102"/>
      <c r="F3152" s="25" t="str">
        <f>IF($E3152="","",IFERROR(INDEX(科目表!$A$4:$A$81,MATCH($E3152,科目表!$B$4:$B$81,0)),""))</f>
        <v/>
      </c>
      <c r="G3152" s="26" t="str">
        <f>IF($E3152="","",IFERROR(INDEX(科目表!$E$4:$E$81,MATCH($E3152,科目表!$B$4:$B$81,0)),""))</f>
        <v/>
      </c>
      <c r="H3152" s="104"/>
      <c r="I3152" s="104"/>
      <c r="J3152" s="102"/>
      <c r="K3152" s="102"/>
      <c r="L3152" s="103"/>
      <c r="M3152" s="105"/>
      <c r="N3152" s="103"/>
      <c r="O3152" s="26" t="str">
        <f t="shared" si="157"/>
        <v/>
      </c>
      <c r="P3152" s="103"/>
    </row>
    <row r="3153" ht="18" customHeight="1" spans="1:16">
      <c r="A3153" s="32" t="str">
        <f t="shared" si="158"/>
        <v/>
      </c>
      <c r="B3153" s="101"/>
      <c r="C3153" s="102"/>
      <c r="D3153" s="103"/>
      <c r="E3153" s="102"/>
      <c r="F3153" s="25" t="str">
        <f>IF($E3153="","",IFERROR(INDEX(科目表!$A$4:$A$81,MATCH($E3153,科目表!$B$4:$B$81,0)),""))</f>
        <v/>
      </c>
      <c r="G3153" s="26" t="str">
        <f>IF($E3153="","",IFERROR(INDEX(科目表!$E$4:$E$81,MATCH($E3153,科目表!$B$4:$B$81,0)),""))</f>
        <v/>
      </c>
      <c r="H3153" s="104"/>
      <c r="I3153" s="104"/>
      <c r="J3153" s="102"/>
      <c r="K3153" s="102"/>
      <c r="L3153" s="103"/>
      <c r="M3153" s="105"/>
      <c r="N3153" s="103"/>
      <c r="O3153" s="26" t="str">
        <f t="shared" si="157"/>
        <v/>
      </c>
      <c r="P3153" s="103"/>
    </row>
    <row r="3154" ht="18" customHeight="1" spans="1:16">
      <c r="A3154" s="32" t="str">
        <f t="shared" si="158"/>
        <v/>
      </c>
      <c r="B3154" s="101"/>
      <c r="C3154" s="102"/>
      <c r="D3154" s="103"/>
      <c r="E3154" s="102"/>
      <c r="F3154" s="25" t="str">
        <f>IF($E3154="","",IFERROR(INDEX(科目表!$A$4:$A$81,MATCH($E3154,科目表!$B$4:$B$81,0)),""))</f>
        <v/>
      </c>
      <c r="G3154" s="26" t="str">
        <f>IF($E3154="","",IFERROR(INDEX(科目表!$E$4:$E$81,MATCH($E3154,科目表!$B$4:$B$81,0)),""))</f>
        <v/>
      </c>
      <c r="H3154" s="104"/>
      <c r="I3154" s="104"/>
      <c r="J3154" s="102"/>
      <c r="K3154" s="102"/>
      <c r="L3154" s="103"/>
      <c r="M3154" s="105"/>
      <c r="N3154" s="103"/>
      <c r="O3154" s="26" t="str">
        <f t="shared" si="157"/>
        <v/>
      </c>
      <c r="P3154" s="103"/>
    </row>
    <row r="3155" ht="18" customHeight="1" spans="1:16">
      <c r="A3155" s="32" t="str">
        <f t="shared" si="158"/>
        <v/>
      </c>
      <c r="B3155" s="101"/>
      <c r="C3155" s="102"/>
      <c r="D3155" s="103"/>
      <c r="E3155" s="102"/>
      <c r="F3155" s="25" t="str">
        <f>IF($E3155="","",IFERROR(INDEX(科目表!$A$4:$A$81,MATCH($E3155,科目表!$B$4:$B$81,0)),""))</f>
        <v/>
      </c>
      <c r="G3155" s="26" t="str">
        <f>IF($E3155="","",IFERROR(INDEX(科目表!$E$4:$E$81,MATCH($E3155,科目表!$B$4:$B$81,0)),""))</f>
        <v/>
      </c>
      <c r="H3155" s="104"/>
      <c r="I3155" s="104"/>
      <c r="J3155" s="102"/>
      <c r="K3155" s="102"/>
      <c r="L3155" s="103"/>
      <c r="M3155" s="105"/>
      <c r="N3155" s="103"/>
      <c r="O3155" s="26" t="str">
        <f t="shared" si="157"/>
        <v/>
      </c>
      <c r="P3155" s="103"/>
    </row>
    <row r="3156" ht="18" customHeight="1" spans="1:16">
      <c r="A3156" s="32" t="str">
        <f t="shared" si="158"/>
        <v/>
      </c>
      <c r="B3156" s="101"/>
      <c r="C3156" s="102"/>
      <c r="D3156" s="103"/>
      <c r="E3156" s="102"/>
      <c r="F3156" s="25" t="str">
        <f>IF($E3156="","",IFERROR(INDEX(科目表!$A$4:$A$81,MATCH($E3156,科目表!$B$4:$B$81,0)),""))</f>
        <v/>
      </c>
      <c r="G3156" s="26" t="str">
        <f>IF($E3156="","",IFERROR(INDEX(科目表!$E$4:$E$81,MATCH($E3156,科目表!$B$4:$B$81,0)),""))</f>
        <v/>
      </c>
      <c r="H3156" s="104"/>
      <c r="I3156" s="104"/>
      <c r="J3156" s="102"/>
      <c r="K3156" s="102"/>
      <c r="L3156" s="103"/>
      <c r="M3156" s="105"/>
      <c r="N3156" s="103"/>
      <c r="O3156" s="26" t="str">
        <f t="shared" si="157"/>
        <v/>
      </c>
      <c r="P3156" s="103"/>
    </row>
    <row r="3157" ht="18" customHeight="1" spans="1:16">
      <c r="A3157" s="32" t="str">
        <f t="shared" si="158"/>
        <v/>
      </c>
      <c r="B3157" s="101"/>
      <c r="C3157" s="102"/>
      <c r="D3157" s="103"/>
      <c r="E3157" s="102"/>
      <c r="F3157" s="25" t="str">
        <f>IF($E3157="","",IFERROR(INDEX(科目表!$A$4:$A$81,MATCH($E3157,科目表!$B$4:$B$81,0)),""))</f>
        <v/>
      </c>
      <c r="G3157" s="26" t="str">
        <f>IF($E3157="","",IFERROR(INDEX(科目表!$E$4:$E$81,MATCH($E3157,科目表!$B$4:$B$81,0)),""))</f>
        <v/>
      </c>
      <c r="H3157" s="104"/>
      <c r="I3157" s="104"/>
      <c r="J3157" s="102"/>
      <c r="K3157" s="102"/>
      <c r="L3157" s="103"/>
      <c r="M3157" s="105"/>
      <c r="N3157" s="103"/>
      <c r="O3157" s="26" t="str">
        <f t="shared" si="157"/>
        <v/>
      </c>
      <c r="P3157" s="103"/>
    </row>
    <row r="3158" ht="18" customHeight="1" spans="1:16">
      <c r="A3158" s="32" t="str">
        <f t="shared" si="158"/>
        <v/>
      </c>
      <c r="B3158" s="101"/>
      <c r="C3158" s="102"/>
      <c r="D3158" s="103"/>
      <c r="E3158" s="102"/>
      <c r="F3158" s="25" t="str">
        <f>IF($E3158="","",IFERROR(INDEX(科目表!$A$4:$A$81,MATCH($E3158,科目表!$B$4:$B$81,0)),""))</f>
        <v/>
      </c>
      <c r="G3158" s="26" t="str">
        <f>IF($E3158="","",IFERROR(INDEX(科目表!$E$4:$E$81,MATCH($E3158,科目表!$B$4:$B$81,0)),""))</f>
        <v/>
      </c>
      <c r="H3158" s="104"/>
      <c r="I3158" s="104"/>
      <c r="J3158" s="102"/>
      <c r="K3158" s="102"/>
      <c r="L3158" s="103"/>
      <c r="M3158" s="105"/>
      <c r="N3158" s="103"/>
      <c r="O3158" s="26" t="str">
        <f t="shared" si="157"/>
        <v/>
      </c>
      <c r="P3158" s="103"/>
    </row>
    <row r="3159" ht="18" customHeight="1" spans="1:16">
      <c r="A3159" s="32" t="str">
        <f t="shared" si="158"/>
        <v/>
      </c>
      <c r="B3159" s="101"/>
      <c r="C3159" s="102"/>
      <c r="D3159" s="103"/>
      <c r="E3159" s="102"/>
      <c r="F3159" s="25" t="str">
        <f>IF($E3159="","",IFERROR(INDEX(科目表!$A$4:$A$81,MATCH($E3159,科目表!$B$4:$B$81,0)),""))</f>
        <v/>
      </c>
      <c r="G3159" s="26" t="str">
        <f>IF($E3159="","",IFERROR(INDEX(科目表!$E$4:$E$81,MATCH($E3159,科目表!$B$4:$B$81,0)),""))</f>
        <v/>
      </c>
      <c r="H3159" s="104"/>
      <c r="I3159" s="104"/>
      <c r="J3159" s="102"/>
      <c r="K3159" s="102"/>
      <c r="L3159" s="103"/>
      <c r="M3159" s="105"/>
      <c r="N3159" s="103"/>
      <c r="O3159" s="26" t="str">
        <f t="shared" si="157"/>
        <v/>
      </c>
      <c r="P3159" s="103"/>
    </row>
    <row r="3160" ht="18" customHeight="1" spans="1:16">
      <c r="A3160" s="32" t="str">
        <f t="shared" si="158"/>
        <v/>
      </c>
      <c r="B3160" s="101"/>
      <c r="C3160" s="102"/>
      <c r="D3160" s="103"/>
      <c r="E3160" s="102"/>
      <c r="F3160" s="25" t="str">
        <f>IF($E3160="","",IFERROR(INDEX(科目表!$A$4:$A$81,MATCH($E3160,科目表!$B$4:$B$81,0)),""))</f>
        <v/>
      </c>
      <c r="G3160" s="26" t="str">
        <f>IF($E3160="","",IFERROR(INDEX(科目表!$E$4:$E$81,MATCH($E3160,科目表!$B$4:$B$81,0)),""))</f>
        <v/>
      </c>
      <c r="H3160" s="104"/>
      <c r="I3160" s="104"/>
      <c r="J3160" s="102"/>
      <c r="K3160" s="102"/>
      <c r="L3160" s="103"/>
      <c r="M3160" s="105"/>
      <c r="N3160" s="103"/>
      <c r="O3160" s="26" t="str">
        <f t="shared" si="157"/>
        <v/>
      </c>
      <c r="P3160" s="103"/>
    </row>
    <row r="3161" ht="18" customHeight="1" spans="1:16">
      <c r="A3161" s="32" t="str">
        <f t="shared" si="158"/>
        <v/>
      </c>
      <c r="B3161" s="101"/>
      <c r="C3161" s="102"/>
      <c r="D3161" s="103"/>
      <c r="E3161" s="102"/>
      <c r="F3161" s="25" t="str">
        <f>IF($E3161="","",IFERROR(INDEX(科目表!$A$4:$A$81,MATCH($E3161,科目表!$B$4:$B$81,0)),""))</f>
        <v/>
      </c>
      <c r="G3161" s="26" t="str">
        <f>IF($E3161="","",IFERROR(INDEX(科目表!$E$4:$E$81,MATCH($E3161,科目表!$B$4:$B$81,0)),""))</f>
        <v/>
      </c>
      <c r="H3161" s="104"/>
      <c r="I3161" s="104"/>
      <c r="J3161" s="102"/>
      <c r="K3161" s="102"/>
      <c r="L3161" s="103"/>
      <c r="M3161" s="105"/>
      <c r="N3161" s="103"/>
      <c r="O3161" s="26" t="str">
        <f t="shared" si="157"/>
        <v/>
      </c>
      <c r="P3161" s="103"/>
    </row>
    <row r="3162" ht="18" customHeight="1" spans="1:16">
      <c r="A3162" s="32" t="str">
        <f t="shared" si="158"/>
        <v/>
      </c>
      <c r="B3162" s="101"/>
      <c r="C3162" s="102"/>
      <c r="D3162" s="103"/>
      <c r="E3162" s="102"/>
      <c r="F3162" s="25" t="str">
        <f>IF($E3162="","",IFERROR(INDEX(科目表!$A$4:$A$81,MATCH($E3162,科目表!$B$4:$B$81,0)),""))</f>
        <v/>
      </c>
      <c r="G3162" s="26" t="str">
        <f>IF($E3162="","",IFERROR(INDEX(科目表!$E$4:$E$81,MATCH($E3162,科目表!$B$4:$B$81,0)),""))</f>
        <v/>
      </c>
      <c r="H3162" s="104"/>
      <c r="I3162" s="104"/>
      <c r="J3162" s="102"/>
      <c r="K3162" s="102"/>
      <c r="L3162" s="103"/>
      <c r="M3162" s="105"/>
      <c r="N3162" s="103"/>
      <c r="O3162" s="26" t="str">
        <f t="shared" si="157"/>
        <v/>
      </c>
      <c r="P3162" s="103"/>
    </row>
    <row r="3163" ht="18" customHeight="1" spans="1:16">
      <c r="A3163" s="32" t="str">
        <f t="shared" si="158"/>
        <v/>
      </c>
      <c r="B3163" s="101"/>
      <c r="C3163" s="102"/>
      <c r="D3163" s="103"/>
      <c r="E3163" s="102"/>
      <c r="F3163" s="25" t="str">
        <f>IF($E3163="","",IFERROR(INDEX(科目表!$A$4:$A$81,MATCH($E3163,科目表!$B$4:$B$81,0)),""))</f>
        <v/>
      </c>
      <c r="G3163" s="26" t="str">
        <f>IF($E3163="","",IFERROR(INDEX(科目表!$E$4:$E$81,MATCH($E3163,科目表!$B$4:$B$81,0)),""))</f>
        <v/>
      </c>
      <c r="H3163" s="104"/>
      <c r="I3163" s="104"/>
      <c r="J3163" s="102"/>
      <c r="K3163" s="102"/>
      <c r="L3163" s="103"/>
      <c r="M3163" s="105"/>
      <c r="N3163" s="103"/>
      <c r="O3163" s="26" t="str">
        <f t="shared" si="157"/>
        <v/>
      </c>
      <c r="P3163" s="103"/>
    </row>
    <row r="3164" ht="18" customHeight="1" spans="1:16">
      <c r="A3164" s="32" t="str">
        <f t="shared" si="158"/>
        <v/>
      </c>
      <c r="B3164" s="101"/>
      <c r="C3164" s="102"/>
      <c r="D3164" s="103"/>
      <c r="E3164" s="102"/>
      <c r="F3164" s="25" t="str">
        <f>IF($E3164="","",IFERROR(INDEX(科目表!$A$4:$A$81,MATCH($E3164,科目表!$B$4:$B$81,0)),""))</f>
        <v/>
      </c>
      <c r="G3164" s="26" t="str">
        <f>IF($E3164="","",IFERROR(INDEX(科目表!$E$4:$E$81,MATCH($E3164,科目表!$B$4:$B$81,0)),""))</f>
        <v/>
      </c>
      <c r="H3164" s="104"/>
      <c r="I3164" s="104"/>
      <c r="J3164" s="102"/>
      <c r="K3164" s="102"/>
      <c r="L3164" s="103"/>
      <c r="M3164" s="105"/>
      <c r="N3164" s="103"/>
      <c r="O3164" s="26" t="str">
        <f t="shared" si="157"/>
        <v/>
      </c>
      <c r="P3164" s="103"/>
    </row>
    <row r="3165" ht="18" customHeight="1" spans="1:16">
      <c r="A3165" s="32" t="str">
        <f t="shared" si="158"/>
        <v/>
      </c>
      <c r="B3165" s="101"/>
      <c r="C3165" s="102"/>
      <c r="D3165" s="103"/>
      <c r="E3165" s="102"/>
      <c r="F3165" s="25" t="str">
        <f>IF($E3165="","",IFERROR(INDEX(科目表!$A$4:$A$81,MATCH($E3165,科目表!$B$4:$B$81,0)),""))</f>
        <v/>
      </c>
      <c r="G3165" s="26" t="str">
        <f>IF($E3165="","",IFERROR(INDEX(科目表!$E$4:$E$81,MATCH($E3165,科目表!$B$4:$B$81,0)),""))</f>
        <v/>
      </c>
      <c r="H3165" s="104"/>
      <c r="I3165" s="104"/>
      <c r="J3165" s="102"/>
      <c r="K3165" s="102"/>
      <c r="L3165" s="103"/>
      <c r="M3165" s="105"/>
      <c r="N3165" s="103"/>
      <c r="O3165" s="26" t="str">
        <f t="shared" si="157"/>
        <v/>
      </c>
      <c r="P3165" s="103"/>
    </row>
    <row r="3166" ht="18" customHeight="1" spans="1:16">
      <c r="A3166" s="32" t="str">
        <f t="shared" si="158"/>
        <v/>
      </c>
      <c r="B3166" s="101"/>
      <c r="C3166" s="102"/>
      <c r="D3166" s="103"/>
      <c r="E3166" s="102"/>
      <c r="F3166" s="25" t="str">
        <f>IF($E3166="","",IFERROR(INDEX(科目表!$A$4:$A$81,MATCH($E3166,科目表!$B$4:$B$81,0)),""))</f>
        <v/>
      </c>
      <c r="G3166" s="26" t="str">
        <f>IF($E3166="","",IFERROR(INDEX(科目表!$E$4:$E$81,MATCH($E3166,科目表!$B$4:$B$81,0)),""))</f>
        <v/>
      </c>
      <c r="H3166" s="104"/>
      <c r="I3166" s="104"/>
      <c r="J3166" s="102"/>
      <c r="K3166" s="102"/>
      <c r="L3166" s="103"/>
      <c r="M3166" s="105"/>
      <c r="N3166" s="103"/>
      <c r="O3166" s="26" t="str">
        <f t="shared" si="157"/>
        <v/>
      </c>
      <c r="P3166" s="103"/>
    </row>
    <row r="3167" ht="18" customHeight="1" spans="1:16">
      <c r="A3167" s="32" t="str">
        <f t="shared" si="158"/>
        <v/>
      </c>
      <c r="B3167" s="101"/>
      <c r="C3167" s="102"/>
      <c r="D3167" s="103"/>
      <c r="E3167" s="102"/>
      <c r="F3167" s="25" t="str">
        <f>IF($E3167="","",IFERROR(INDEX(科目表!$A$4:$A$81,MATCH($E3167,科目表!$B$4:$B$81,0)),""))</f>
        <v/>
      </c>
      <c r="G3167" s="26" t="str">
        <f>IF($E3167="","",IFERROR(INDEX(科目表!$E$4:$E$81,MATCH($E3167,科目表!$B$4:$B$81,0)),""))</f>
        <v/>
      </c>
      <c r="H3167" s="104"/>
      <c r="I3167" s="104"/>
      <c r="J3167" s="102"/>
      <c r="K3167" s="102"/>
      <c r="L3167" s="103"/>
      <c r="M3167" s="105"/>
      <c r="N3167" s="103"/>
      <c r="O3167" s="26" t="str">
        <f t="shared" si="157"/>
        <v/>
      </c>
      <c r="P3167" s="103"/>
    </row>
    <row r="3168" ht="18" customHeight="1" spans="1:16">
      <c r="A3168" s="32" t="str">
        <f t="shared" si="158"/>
        <v/>
      </c>
      <c r="B3168" s="101"/>
      <c r="C3168" s="102"/>
      <c r="D3168" s="103"/>
      <c r="E3168" s="102"/>
      <c r="F3168" s="25" t="str">
        <f>IF($E3168="","",IFERROR(INDEX(科目表!$A$4:$A$81,MATCH($E3168,科目表!$B$4:$B$81,0)),""))</f>
        <v/>
      </c>
      <c r="G3168" s="26" t="str">
        <f>IF($E3168="","",IFERROR(INDEX(科目表!$E$4:$E$81,MATCH($E3168,科目表!$B$4:$B$81,0)),""))</f>
        <v/>
      </c>
      <c r="H3168" s="104"/>
      <c r="I3168" s="104"/>
      <c r="J3168" s="102"/>
      <c r="K3168" s="102"/>
      <c r="L3168" s="103"/>
      <c r="M3168" s="105"/>
      <c r="N3168" s="103"/>
      <c r="O3168" s="26" t="str">
        <f t="shared" si="157"/>
        <v/>
      </c>
      <c r="P3168" s="103"/>
    </row>
    <row r="3169" ht="18" customHeight="1" spans="1:16">
      <c r="A3169" s="32" t="str">
        <f t="shared" si="158"/>
        <v/>
      </c>
      <c r="B3169" s="101"/>
      <c r="C3169" s="102"/>
      <c r="D3169" s="103"/>
      <c r="E3169" s="102"/>
      <c r="F3169" s="25" t="str">
        <f>IF($E3169="","",IFERROR(INDEX(科目表!$A$4:$A$81,MATCH($E3169,科目表!$B$4:$B$81,0)),""))</f>
        <v/>
      </c>
      <c r="G3169" s="26" t="str">
        <f>IF($E3169="","",IFERROR(INDEX(科目表!$E$4:$E$81,MATCH($E3169,科目表!$B$4:$B$81,0)),""))</f>
        <v/>
      </c>
      <c r="H3169" s="104"/>
      <c r="I3169" s="104"/>
      <c r="J3169" s="102"/>
      <c r="K3169" s="102"/>
      <c r="L3169" s="103"/>
      <c r="M3169" s="105"/>
      <c r="N3169" s="103"/>
      <c r="O3169" s="26" t="str">
        <f t="shared" si="157"/>
        <v/>
      </c>
      <c r="P3169" s="103"/>
    </row>
    <row r="3170" ht="18" customHeight="1" spans="1:16">
      <c r="A3170" s="32" t="str">
        <f t="shared" si="158"/>
        <v/>
      </c>
      <c r="B3170" s="101"/>
      <c r="C3170" s="102"/>
      <c r="D3170" s="103"/>
      <c r="E3170" s="102"/>
      <c r="F3170" s="25" t="str">
        <f>IF($E3170="","",IFERROR(INDEX(科目表!$A$4:$A$81,MATCH($E3170,科目表!$B$4:$B$81,0)),""))</f>
        <v/>
      </c>
      <c r="G3170" s="26" t="str">
        <f>IF($E3170="","",IFERROR(INDEX(科目表!$E$4:$E$81,MATCH($E3170,科目表!$B$4:$B$81,0)),""))</f>
        <v/>
      </c>
      <c r="H3170" s="104"/>
      <c r="I3170" s="104"/>
      <c r="J3170" s="102"/>
      <c r="K3170" s="102"/>
      <c r="L3170" s="103"/>
      <c r="M3170" s="105"/>
      <c r="N3170" s="103"/>
      <c r="O3170" s="26" t="str">
        <f t="shared" si="157"/>
        <v/>
      </c>
      <c r="P3170" s="103"/>
    </row>
    <row r="3171" ht="18" customHeight="1" spans="1:16">
      <c r="A3171" s="32" t="str">
        <f t="shared" si="158"/>
        <v/>
      </c>
      <c r="B3171" s="101"/>
      <c r="C3171" s="102"/>
      <c r="D3171" s="103"/>
      <c r="E3171" s="102"/>
      <c r="F3171" s="25" t="str">
        <f>IF($E3171="","",IFERROR(INDEX(科目表!$A$4:$A$81,MATCH($E3171,科目表!$B$4:$B$81,0)),""))</f>
        <v/>
      </c>
      <c r="G3171" s="26" t="str">
        <f>IF($E3171="","",IFERROR(INDEX(科目表!$E$4:$E$81,MATCH($E3171,科目表!$B$4:$B$81,0)),""))</f>
        <v/>
      </c>
      <c r="H3171" s="104"/>
      <c r="I3171" s="104"/>
      <c r="J3171" s="102"/>
      <c r="K3171" s="102"/>
      <c r="L3171" s="103"/>
      <c r="M3171" s="105"/>
      <c r="N3171" s="103"/>
      <c r="O3171" s="26" t="str">
        <f t="shared" si="157"/>
        <v/>
      </c>
      <c r="P3171" s="103"/>
    </row>
    <row r="3172" ht="18" customHeight="1" spans="1:16">
      <c r="A3172" s="32" t="str">
        <f t="shared" si="158"/>
        <v/>
      </c>
      <c r="B3172" s="101"/>
      <c r="C3172" s="102"/>
      <c r="D3172" s="103"/>
      <c r="E3172" s="102"/>
      <c r="F3172" s="25" t="str">
        <f>IF($E3172="","",IFERROR(INDEX(科目表!$A$4:$A$81,MATCH($E3172,科目表!$B$4:$B$81,0)),""))</f>
        <v/>
      </c>
      <c r="G3172" s="26" t="str">
        <f>IF($E3172="","",IFERROR(INDEX(科目表!$E$4:$E$81,MATCH($E3172,科目表!$B$4:$B$81,0)),""))</f>
        <v/>
      </c>
      <c r="H3172" s="104"/>
      <c r="I3172" s="104"/>
      <c r="J3172" s="102"/>
      <c r="K3172" s="102"/>
      <c r="L3172" s="103"/>
      <c r="M3172" s="105"/>
      <c r="N3172" s="103"/>
      <c r="O3172" s="26" t="str">
        <f t="shared" si="157"/>
        <v/>
      </c>
      <c r="P3172" s="103"/>
    </row>
    <row r="3173" ht="18" customHeight="1" spans="1:16">
      <c r="A3173" s="32" t="str">
        <f t="shared" si="158"/>
        <v/>
      </c>
      <c r="B3173" s="101"/>
      <c r="C3173" s="102"/>
      <c r="D3173" s="103"/>
      <c r="E3173" s="102"/>
      <c r="F3173" s="25" t="str">
        <f>IF($E3173="","",IFERROR(INDEX(科目表!$A$4:$A$81,MATCH($E3173,科目表!$B$4:$B$81,0)),""))</f>
        <v/>
      </c>
      <c r="G3173" s="26" t="str">
        <f>IF($E3173="","",IFERROR(INDEX(科目表!$E$4:$E$81,MATCH($E3173,科目表!$B$4:$B$81,0)),""))</f>
        <v/>
      </c>
      <c r="H3173" s="104"/>
      <c r="I3173" s="104"/>
      <c r="J3173" s="102"/>
      <c r="K3173" s="102"/>
      <c r="L3173" s="103"/>
      <c r="M3173" s="105"/>
      <c r="N3173" s="103"/>
      <c r="O3173" s="26" t="str">
        <f t="shared" si="157"/>
        <v/>
      </c>
      <c r="P3173" s="103"/>
    </row>
    <row r="3174" ht="18" customHeight="1" spans="1:16">
      <c r="A3174" s="32" t="str">
        <f t="shared" si="158"/>
        <v/>
      </c>
      <c r="B3174" s="101"/>
      <c r="C3174" s="102"/>
      <c r="D3174" s="103"/>
      <c r="E3174" s="102"/>
      <c r="F3174" s="25" t="str">
        <f>IF($E3174="","",IFERROR(INDEX(科目表!$A$4:$A$81,MATCH($E3174,科目表!$B$4:$B$81,0)),""))</f>
        <v/>
      </c>
      <c r="G3174" s="26" t="str">
        <f>IF($E3174="","",IFERROR(INDEX(科目表!$E$4:$E$81,MATCH($E3174,科目表!$B$4:$B$81,0)),""))</f>
        <v/>
      </c>
      <c r="H3174" s="104"/>
      <c r="I3174" s="104"/>
      <c r="J3174" s="102"/>
      <c r="K3174" s="102"/>
      <c r="L3174" s="103"/>
      <c r="M3174" s="105"/>
      <c r="N3174" s="103"/>
      <c r="O3174" s="26" t="str">
        <f t="shared" si="157"/>
        <v/>
      </c>
      <c r="P3174" s="103"/>
    </row>
    <row r="3175" ht="18" customHeight="1" spans="1:16">
      <c r="A3175" s="32" t="str">
        <f t="shared" si="158"/>
        <v/>
      </c>
      <c r="B3175" s="101"/>
      <c r="C3175" s="102"/>
      <c r="D3175" s="103"/>
      <c r="E3175" s="102"/>
      <c r="F3175" s="25" t="str">
        <f>IF($E3175="","",IFERROR(INDEX(科目表!$A$4:$A$81,MATCH($E3175,科目表!$B$4:$B$81,0)),""))</f>
        <v/>
      </c>
      <c r="G3175" s="26" t="str">
        <f>IF($E3175="","",IFERROR(INDEX(科目表!$E$4:$E$81,MATCH($E3175,科目表!$B$4:$B$81,0)),""))</f>
        <v/>
      </c>
      <c r="H3175" s="104"/>
      <c r="I3175" s="104"/>
      <c r="J3175" s="102"/>
      <c r="K3175" s="102"/>
      <c r="L3175" s="103"/>
      <c r="M3175" s="105"/>
      <c r="N3175" s="103"/>
      <c r="O3175" s="26" t="str">
        <f t="shared" si="157"/>
        <v/>
      </c>
      <c r="P3175" s="103"/>
    </row>
    <row r="3176" ht="18" customHeight="1" spans="1:16">
      <c r="A3176" s="32" t="str">
        <f t="shared" si="158"/>
        <v/>
      </c>
      <c r="B3176" s="101"/>
      <c r="C3176" s="102"/>
      <c r="D3176" s="103"/>
      <c r="E3176" s="102"/>
      <c r="F3176" s="25" t="str">
        <f>IF($E3176="","",IFERROR(INDEX(科目表!$A$4:$A$81,MATCH($E3176,科目表!$B$4:$B$81,0)),""))</f>
        <v/>
      </c>
      <c r="G3176" s="26" t="str">
        <f>IF($E3176="","",IFERROR(INDEX(科目表!$E$4:$E$81,MATCH($E3176,科目表!$B$4:$B$81,0)),""))</f>
        <v/>
      </c>
      <c r="H3176" s="104"/>
      <c r="I3176" s="104"/>
      <c r="J3176" s="102"/>
      <c r="K3176" s="102"/>
      <c r="L3176" s="103"/>
      <c r="M3176" s="105"/>
      <c r="N3176" s="103"/>
      <c r="O3176" s="26" t="str">
        <f t="shared" si="157"/>
        <v/>
      </c>
      <c r="P3176" s="103"/>
    </row>
    <row r="3177" ht="18" customHeight="1" spans="1:16">
      <c r="A3177" s="32" t="str">
        <f t="shared" si="158"/>
        <v/>
      </c>
      <c r="B3177" s="101"/>
      <c r="C3177" s="102"/>
      <c r="D3177" s="103"/>
      <c r="E3177" s="102"/>
      <c r="F3177" s="25" t="str">
        <f>IF($E3177="","",IFERROR(INDEX(科目表!$A$4:$A$81,MATCH($E3177,科目表!$B$4:$B$81,0)),""))</f>
        <v/>
      </c>
      <c r="G3177" s="26" t="str">
        <f>IF($E3177="","",IFERROR(INDEX(科目表!$E$4:$E$81,MATCH($E3177,科目表!$B$4:$B$81,0)),""))</f>
        <v/>
      </c>
      <c r="H3177" s="104"/>
      <c r="I3177" s="104"/>
      <c r="J3177" s="102"/>
      <c r="K3177" s="102"/>
      <c r="L3177" s="103"/>
      <c r="M3177" s="105"/>
      <c r="N3177" s="103"/>
      <c r="O3177" s="26" t="str">
        <f t="shared" si="157"/>
        <v/>
      </c>
      <c r="P3177" s="103"/>
    </row>
    <row r="3178" ht="18" customHeight="1" spans="1:16">
      <c r="A3178" s="32" t="str">
        <f t="shared" si="158"/>
        <v/>
      </c>
      <c r="B3178" s="101"/>
      <c r="C3178" s="102"/>
      <c r="D3178" s="103"/>
      <c r="E3178" s="102"/>
      <c r="F3178" s="25" t="str">
        <f>IF($E3178="","",IFERROR(INDEX(科目表!$A$4:$A$81,MATCH($E3178,科目表!$B$4:$B$81,0)),""))</f>
        <v/>
      </c>
      <c r="G3178" s="26" t="str">
        <f>IF($E3178="","",IFERROR(INDEX(科目表!$E$4:$E$81,MATCH($E3178,科目表!$B$4:$B$81,0)),""))</f>
        <v/>
      </c>
      <c r="H3178" s="104"/>
      <c r="I3178" s="104"/>
      <c r="J3178" s="102"/>
      <c r="K3178" s="102"/>
      <c r="L3178" s="103"/>
      <c r="M3178" s="105"/>
      <c r="N3178" s="103"/>
      <c r="O3178" s="26" t="str">
        <f t="shared" si="157"/>
        <v/>
      </c>
      <c r="P3178" s="103"/>
    </row>
    <row r="3179" ht="18" customHeight="1" spans="1:16">
      <c r="A3179" s="32" t="str">
        <f t="shared" si="158"/>
        <v/>
      </c>
      <c r="B3179" s="101"/>
      <c r="C3179" s="102"/>
      <c r="D3179" s="103"/>
      <c r="E3179" s="102"/>
      <c r="F3179" s="25" t="str">
        <f>IF($E3179="","",IFERROR(INDEX(科目表!$A$4:$A$81,MATCH($E3179,科目表!$B$4:$B$81,0)),""))</f>
        <v/>
      </c>
      <c r="G3179" s="26" t="str">
        <f>IF($E3179="","",IFERROR(INDEX(科目表!$E$4:$E$81,MATCH($E3179,科目表!$B$4:$B$81,0)),""))</f>
        <v/>
      </c>
      <c r="H3179" s="104"/>
      <c r="I3179" s="104"/>
      <c r="J3179" s="102"/>
      <c r="K3179" s="102"/>
      <c r="L3179" s="103"/>
      <c r="M3179" s="105"/>
      <c r="N3179" s="103"/>
      <c r="O3179" s="26" t="str">
        <f t="shared" si="157"/>
        <v/>
      </c>
      <c r="P3179" s="103"/>
    </row>
    <row r="3180" ht="18" customHeight="1" spans="1:16">
      <c r="A3180" s="32" t="str">
        <f t="shared" si="158"/>
        <v/>
      </c>
      <c r="B3180" s="101"/>
      <c r="C3180" s="102"/>
      <c r="D3180" s="103"/>
      <c r="E3180" s="102"/>
      <c r="F3180" s="25" t="str">
        <f>IF($E3180="","",IFERROR(INDEX(科目表!$A$4:$A$81,MATCH($E3180,科目表!$B$4:$B$81,0)),""))</f>
        <v/>
      </c>
      <c r="G3180" s="26" t="str">
        <f>IF($E3180="","",IFERROR(INDEX(科目表!$E$4:$E$81,MATCH($E3180,科目表!$B$4:$B$81,0)),""))</f>
        <v/>
      </c>
      <c r="H3180" s="104"/>
      <c r="I3180" s="104"/>
      <c r="J3180" s="102"/>
      <c r="K3180" s="102"/>
      <c r="L3180" s="103"/>
      <c r="M3180" s="105"/>
      <c r="N3180" s="103"/>
      <c r="O3180" s="26" t="str">
        <f t="shared" si="157"/>
        <v/>
      </c>
      <c r="P3180" s="103"/>
    </row>
    <row r="3181" ht="18" customHeight="1" spans="1:16">
      <c r="A3181" s="32" t="str">
        <f t="shared" si="158"/>
        <v/>
      </c>
      <c r="B3181" s="101"/>
      <c r="C3181" s="102"/>
      <c r="D3181" s="103"/>
      <c r="E3181" s="102"/>
      <c r="F3181" s="25" t="str">
        <f>IF($E3181="","",IFERROR(INDEX(科目表!$A$4:$A$81,MATCH($E3181,科目表!$B$4:$B$81,0)),""))</f>
        <v/>
      </c>
      <c r="G3181" s="26" t="str">
        <f>IF($E3181="","",IFERROR(INDEX(科目表!$E$4:$E$81,MATCH($E3181,科目表!$B$4:$B$81,0)),""))</f>
        <v/>
      </c>
      <c r="H3181" s="104"/>
      <c r="I3181" s="104"/>
      <c r="J3181" s="102"/>
      <c r="K3181" s="102"/>
      <c r="L3181" s="103"/>
      <c r="M3181" s="105"/>
      <c r="N3181" s="103"/>
      <c r="O3181" s="26" t="str">
        <f t="shared" si="157"/>
        <v/>
      </c>
      <c r="P3181" s="103"/>
    </row>
    <row r="3182" ht="18" customHeight="1" spans="1:16">
      <c r="A3182" s="32" t="str">
        <f t="shared" si="158"/>
        <v/>
      </c>
      <c r="B3182" s="101"/>
      <c r="C3182" s="102"/>
      <c r="D3182" s="103"/>
      <c r="E3182" s="102"/>
      <c r="F3182" s="25" t="str">
        <f>IF($E3182="","",IFERROR(INDEX(科目表!$A$4:$A$81,MATCH($E3182,科目表!$B$4:$B$81,0)),""))</f>
        <v/>
      </c>
      <c r="G3182" s="26" t="str">
        <f>IF($E3182="","",IFERROR(INDEX(科目表!$E$4:$E$81,MATCH($E3182,科目表!$B$4:$B$81,0)),""))</f>
        <v/>
      </c>
      <c r="H3182" s="104"/>
      <c r="I3182" s="104"/>
      <c r="J3182" s="102"/>
      <c r="K3182" s="102"/>
      <c r="L3182" s="103"/>
      <c r="M3182" s="105"/>
      <c r="N3182" s="103"/>
      <c r="O3182" s="26" t="str">
        <f t="shared" si="157"/>
        <v/>
      </c>
      <c r="P3182" s="103"/>
    </row>
    <row r="3183" ht="18" customHeight="1" spans="1:16">
      <c r="A3183" s="32" t="str">
        <f t="shared" si="158"/>
        <v/>
      </c>
      <c r="B3183" s="101"/>
      <c r="C3183" s="102"/>
      <c r="D3183" s="103"/>
      <c r="E3183" s="102"/>
      <c r="F3183" s="25" t="str">
        <f>IF($E3183="","",IFERROR(INDEX(科目表!$A$4:$A$81,MATCH($E3183,科目表!$B$4:$B$81,0)),""))</f>
        <v/>
      </c>
      <c r="G3183" s="26" t="str">
        <f>IF($E3183="","",IFERROR(INDEX(科目表!$E$4:$E$81,MATCH($E3183,科目表!$B$4:$B$81,0)),""))</f>
        <v/>
      </c>
      <c r="H3183" s="104"/>
      <c r="I3183" s="104"/>
      <c r="J3183" s="102"/>
      <c r="K3183" s="102"/>
      <c r="L3183" s="103"/>
      <c r="M3183" s="105"/>
      <c r="N3183" s="103"/>
      <c r="O3183" s="26" t="str">
        <f t="shared" si="157"/>
        <v/>
      </c>
      <c r="P3183" s="103"/>
    </row>
    <row r="3184" ht="18" customHeight="1" spans="1:16">
      <c r="A3184" s="32" t="str">
        <f t="shared" si="158"/>
        <v/>
      </c>
      <c r="B3184" s="101"/>
      <c r="C3184" s="102"/>
      <c r="D3184" s="103"/>
      <c r="E3184" s="102"/>
      <c r="F3184" s="25" t="str">
        <f>IF($E3184="","",IFERROR(INDEX(科目表!$A$4:$A$81,MATCH($E3184,科目表!$B$4:$B$81,0)),""))</f>
        <v/>
      </c>
      <c r="G3184" s="26" t="str">
        <f>IF($E3184="","",IFERROR(INDEX(科目表!$E$4:$E$81,MATCH($E3184,科目表!$B$4:$B$81,0)),""))</f>
        <v/>
      </c>
      <c r="H3184" s="104"/>
      <c r="I3184" s="104"/>
      <c r="J3184" s="102"/>
      <c r="K3184" s="102"/>
      <c r="L3184" s="103"/>
      <c r="M3184" s="105"/>
      <c r="N3184" s="103"/>
      <c r="O3184" s="26" t="str">
        <f t="shared" si="157"/>
        <v/>
      </c>
      <c r="P3184" s="103"/>
    </row>
    <row r="3185" ht="18" customHeight="1" spans="1:16">
      <c r="A3185" s="32" t="str">
        <f t="shared" si="158"/>
        <v/>
      </c>
      <c r="B3185" s="101"/>
      <c r="C3185" s="102"/>
      <c r="D3185" s="103"/>
      <c r="E3185" s="102"/>
      <c r="F3185" s="25" t="str">
        <f>IF($E3185="","",IFERROR(INDEX(科目表!$A$4:$A$81,MATCH($E3185,科目表!$B$4:$B$81,0)),""))</f>
        <v/>
      </c>
      <c r="G3185" s="26" t="str">
        <f>IF($E3185="","",IFERROR(INDEX(科目表!$E$4:$E$81,MATCH($E3185,科目表!$B$4:$B$81,0)),""))</f>
        <v/>
      </c>
      <c r="H3185" s="104"/>
      <c r="I3185" s="104"/>
      <c r="J3185" s="102"/>
      <c r="K3185" s="102"/>
      <c r="L3185" s="103"/>
      <c r="M3185" s="105"/>
      <c r="N3185" s="103"/>
      <c r="O3185" s="26" t="str">
        <f t="shared" si="157"/>
        <v/>
      </c>
      <c r="P3185" s="103"/>
    </row>
    <row r="3186" ht="18" customHeight="1" spans="1:16">
      <c r="A3186" s="32" t="str">
        <f t="shared" si="158"/>
        <v/>
      </c>
      <c r="B3186" s="101"/>
      <c r="C3186" s="102"/>
      <c r="D3186" s="103"/>
      <c r="E3186" s="102"/>
      <c r="F3186" s="25" t="str">
        <f>IF($E3186="","",IFERROR(INDEX(科目表!$A$4:$A$81,MATCH($E3186,科目表!$B$4:$B$81,0)),""))</f>
        <v/>
      </c>
      <c r="G3186" s="26" t="str">
        <f>IF($E3186="","",IFERROR(INDEX(科目表!$E$4:$E$81,MATCH($E3186,科目表!$B$4:$B$81,0)),""))</f>
        <v/>
      </c>
      <c r="H3186" s="104"/>
      <c r="I3186" s="104"/>
      <c r="J3186" s="102"/>
      <c r="K3186" s="102"/>
      <c r="L3186" s="103"/>
      <c r="M3186" s="105"/>
      <c r="N3186" s="103"/>
      <c r="O3186" s="26" t="str">
        <f t="shared" si="157"/>
        <v/>
      </c>
      <c r="P3186" s="103"/>
    </row>
    <row r="3187" ht="18" customHeight="1" spans="1:16">
      <c r="A3187" s="32" t="str">
        <f t="shared" si="158"/>
        <v/>
      </c>
      <c r="B3187" s="101"/>
      <c r="C3187" s="102"/>
      <c r="D3187" s="103"/>
      <c r="E3187" s="102"/>
      <c r="F3187" s="25" t="str">
        <f>IF($E3187="","",IFERROR(INDEX(科目表!$A$4:$A$81,MATCH($E3187,科目表!$B$4:$B$81,0)),""))</f>
        <v/>
      </c>
      <c r="G3187" s="26" t="str">
        <f>IF($E3187="","",IFERROR(INDEX(科目表!$E$4:$E$81,MATCH($E3187,科目表!$B$4:$B$81,0)),""))</f>
        <v/>
      </c>
      <c r="H3187" s="104"/>
      <c r="I3187" s="104"/>
      <c r="J3187" s="102"/>
      <c r="K3187" s="102"/>
      <c r="L3187" s="103"/>
      <c r="M3187" s="105"/>
      <c r="N3187" s="103"/>
      <c r="O3187" s="26" t="str">
        <f t="shared" si="157"/>
        <v/>
      </c>
      <c r="P3187" s="103"/>
    </row>
    <row r="3188" ht="18" customHeight="1" spans="1:16">
      <c r="A3188" s="32" t="str">
        <f t="shared" si="158"/>
        <v/>
      </c>
      <c r="B3188" s="101"/>
      <c r="C3188" s="102"/>
      <c r="D3188" s="103"/>
      <c r="E3188" s="102"/>
      <c r="F3188" s="25" t="str">
        <f>IF($E3188="","",IFERROR(INDEX(科目表!$A$4:$A$81,MATCH($E3188,科目表!$B$4:$B$81,0)),""))</f>
        <v/>
      </c>
      <c r="G3188" s="26" t="str">
        <f>IF($E3188="","",IFERROR(INDEX(科目表!$E$4:$E$81,MATCH($E3188,科目表!$B$4:$B$81,0)),""))</f>
        <v/>
      </c>
      <c r="H3188" s="104"/>
      <c r="I3188" s="104"/>
      <c r="J3188" s="102"/>
      <c r="K3188" s="102"/>
      <c r="L3188" s="103"/>
      <c r="M3188" s="105"/>
      <c r="N3188" s="103"/>
      <c r="O3188" s="26" t="str">
        <f t="shared" si="157"/>
        <v/>
      </c>
      <c r="P3188" s="103"/>
    </row>
    <row r="3189" ht="18" customHeight="1" spans="1:16">
      <c r="A3189" s="32" t="str">
        <f t="shared" si="158"/>
        <v/>
      </c>
      <c r="B3189" s="101"/>
      <c r="C3189" s="102"/>
      <c r="D3189" s="103"/>
      <c r="E3189" s="102"/>
      <c r="F3189" s="25" t="str">
        <f>IF($E3189="","",IFERROR(INDEX(科目表!$A$4:$A$81,MATCH($E3189,科目表!$B$4:$B$81,0)),""))</f>
        <v/>
      </c>
      <c r="G3189" s="26" t="str">
        <f>IF($E3189="","",IFERROR(INDEX(科目表!$E$4:$E$81,MATCH($E3189,科目表!$B$4:$B$81,0)),""))</f>
        <v/>
      </c>
      <c r="H3189" s="104"/>
      <c r="I3189" s="104"/>
      <c r="J3189" s="102"/>
      <c r="K3189" s="102"/>
      <c r="L3189" s="103"/>
      <c r="M3189" s="105"/>
      <c r="N3189" s="103"/>
      <c r="O3189" s="26" t="str">
        <f t="shared" si="157"/>
        <v/>
      </c>
      <c r="P3189" s="103"/>
    </row>
    <row r="3190" ht="18" customHeight="1" spans="1:16">
      <c r="A3190" s="32" t="str">
        <f t="shared" si="158"/>
        <v/>
      </c>
      <c r="B3190" s="101"/>
      <c r="C3190" s="102"/>
      <c r="D3190" s="103"/>
      <c r="E3190" s="102"/>
      <c r="F3190" s="25" t="str">
        <f>IF($E3190="","",IFERROR(INDEX(科目表!$A$4:$A$81,MATCH($E3190,科目表!$B$4:$B$81,0)),""))</f>
        <v/>
      </c>
      <c r="G3190" s="26" t="str">
        <f>IF($E3190="","",IFERROR(INDEX(科目表!$E$4:$E$81,MATCH($E3190,科目表!$B$4:$B$81,0)),""))</f>
        <v/>
      </c>
      <c r="H3190" s="104"/>
      <c r="I3190" s="104"/>
      <c r="J3190" s="102"/>
      <c r="K3190" s="102"/>
      <c r="L3190" s="103"/>
      <c r="M3190" s="105"/>
      <c r="N3190" s="103"/>
      <c r="O3190" s="26" t="str">
        <f t="shared" si="157"/>
        <v/>
      </c>
      <c r="P3190" s="103"/>
    </row>
    <row r="3191" ht="18" customHeight="1" spans="1:16">
      <c r="A3191" s="32" t="str">
        <f t="shared" si="158"/>
        <v/>
      </c>
      <c r="B3191" s="101"/>
      <c r="C3191" s="102"/>
      <c r="D3191" s="103"/>
      <c r="E3191" s="102"/>
      <c r="F3191" s="25" t="str">
        <f>IF($E3191="","",IFERROR(INDEX(科目表!$A$4:$A$81,MATCH($E3191,科目表!$B$4:$B$81,0)),""))</f>
        <v/>
      </c>
      <c r="G3191" s="26" t="str">
        <f>IF($E3191="","",IFERROR(INDEX(科目表!$E$4:$E$81,MATCH($E3191,科目表!$B$4:$B$81,0)),""))</f>
        <v/>
      </c>
      <c r="H3191" s="104"/>
      <c r="I3191" s="104"/>
      <c r="J3191" s="102"/>
      <c r="K3191" s="102"/>
      <c r="L3191" s="103"/>
      <c r="M3191" s="105"/>
      <c r="N3191" s="103"/>
      <c r="O3191" s="26" t="str">
        <f t="shared" si="157"/>
        <v/>
      </c>
      <c r="P3191" s="103"/>
    </row>
    <row r="3192" ht="18" customHeight="1" spans="1:16">
      <c r="A3192" s="32" t="str">
        <f t="shared" si="158"/>
        <v/>
      </c>
      <c r="B3192" s="101"/>
      <c r="C3192" s="102"/>
      <c r="D3192" s="103"/>
      <c r="E3192" s="102"/>
      <c r="F3192" s="25" t="str">
        <f>IF($E3192="","",IFERROR(INDEX(科目表!$A$4:$A$81,MATCH($E3192,科目表!$B$4:$B$81,0)),""))</f>
        <v/>
      </c>
      <c r="G3192" s="26" t="str">
        <f>IF($E3192="","",IFERROR(INDEX(科目表!$E$4:$E$81,MATCH($E3192,科目表!$B$4:$B$81,0)),""))</f>
        <v/>
      </c>
      <c r="H3192" s="104"/>
      <c r="I3192" s="104"/>
      <c r="J3192" s="102"/>
      <c r="K3192" s="102"/>
      <c r="L3192" s="103"/>
      <c r="M3192" s="105"/>
      <c r="N3192" s="103"/>
      <c r="O3192" s="26" t="str">
        <f t="shared" si="157"/>
        <v/>
      </c>
      <c r="P3192" s="103"/>
    </row>
    <row r="3193" ht="18" customHeight="1" spans="1:16">
      <c r="A3193" s="32" t="str">
        <f t="shared" si="158"/>
        <v/>
      </c>
      <c r="B3193" s="101"/>
      <c r="C3193" s="102"/>
      <c r="D3193" s="103"/>
      <c r="E3193" s="102"/>
      <c r="F3193" s="25" t="str">
        <f>IF($E3193="","",IFERROR(INDEX(科目表!$A$4:$A$81,MATCH($E3193,科目表!$B$4:$B$81,0)),""))</f>
        <v/>
      </c>
      <c r="G3193" s="26" t="str">
        <f>IF($E3193="","",IFERROR(INDEX(科目表!$E$4:$E$81,MATCH($E3193,科目表!$B$4:$B$81,0)),""))</f>
        <v/>
      </c>
      <c r="H3193" s="104"/>
      <c r="I3193" s="104"/>
      <c r="J3193" s="102"/>
      <c r="K3193" s="102"/>
      <c r="L3193" s="103"/>
      <c r="M3193" s="105"/>
      <c r="N3193" s="103"/>
      <c r="O3193" s="26" t="str">
        <f t="shared" si="157"/>
        <v/>
      </c>
      <c r="P3193" s="103"/>
    </row>
    <row r="3194" ht="18" customHeight="1" spans="1:16">
      <c r="A3194" s="32" t="str">
        <f t="shared" si="158"/>
        <v/>
      </c>
      <c r="B3194" s="101"/>
      <c r="C3194" s="102"/>
      <c r="D3194" s="103"/>
      <c r="E3194" s="102"/>
      <c r="F3194" s="25" t="str">
        <f>IF($E3194="","",IFERROR(INDEX(科目表!$A$4:$A$81,MATCH($E3194,科目表!$B$4:$B$81,0)),""))</f>
        <v/>
      </c>
      <c r="G3194" s="26" t="str">
        <f>IF($E3194="","",IFERROR(INDEX(科目表!$E$4:$E$81,MATCH($E3194,科目表!$B$4:$B$81,0)),""))</f>
        <v/>
      </c>
      <c r="H3194" s="104"/>
      <c r="I3194" s="104"/>
      <c r="J3194" s="102"/>
      <c r="K3194" s="102"/>
      <c r="L3194" s="103"/>
      <c r="M3194" s="105"/>
      <c r="N3194" s="103"/>
      <c r="O3194" s="26" t="str">
        <f t="shared" si="157"/>
        <v/>
      </c>
      <c r="P3194" s="103"/>
    </row>
    <row r="3195" ht="18" customHeight="1" spans="1:16">
      <c r="A3195" s="32" t="str">
        <f t="shared" si="158"/>
        <v/>
      </c>
      <c r="B3195" s="101"/>
      <c r="C3195" s="102"/>
      <c r="D3195" s="103"/>
      <c r="E3195" s="102"/>
      <c r="F3195" s="25" t="str">
        <f>IF($E3195="","",IFERROR(INDEX(科目表!$A$4:$A$81,MATCH($E3195,科目表!$B$4:$B$81,0)),""))</f>
        <v/>
      </c>
      <c r="G3195" s="26" t="str">
        <f>IF($E3195="","",IFERROR(INDEX(科目表!$E$4:$E$81,MATCH($E3195,科目表!$B$4:$B$81,0)),""))</f>
        <v/>
      </c>
      <c r="H3195" s="104"/>
      <c r="I3195" s="104"/>
      <c r="J3195" s="102"/>
      <c r="K3195" s="102"/>
      <c r="L3195" s="103"/>
      <c r="M3195" s="105"/>
      <c r="N3195" s="103"/>
      <c r="O3195" s="26" t="str">
        <f t="shared" si="157"/>
        <v/>
      </c>
      <c r="P3195" s="103"/>
    </row>
    <row r="3196" ht="18" customHeight="1" spans="1:16">
      <c r="A3196" s="32" t="str">
        <f t="shared" si="158"/>
        <v/>
      </c>
      <c r="B3196" s="101"/>
      <c r="C3196" s="102"/>
      <c r="D3196" s="103"/>
      <c r="E3196" s="102"/>
      <c r="F3196" s="25" t="str">
        <f>IF($E3196="","",IFERROR(INDEX(科目表!$A$4:$A$81,MATCH($E3196,科目表!$B$4:$B$81,0)),""))</f>
        <v/>
      </c>
      <c r="G3196" s="26" t="str">
        <f>IF($E3196="","",IFERROR(INDEX(科目表!$E$4:$E$81,MATCH($E3196,科目表!$B$4:$B$81,0)),""))</f>
        <v/>
      </c>
      <c r="H3196" s="104"/>
      <c r="I3196" s="104"/>
      <c r="J3196" s="102"/>
      <c r="K3196" s="102"/>
      <c r="L3196" s="103"/>
      <c r="M3196" s="105"/>
      <c r="N3196" s="103"/>
      <c r="O3196" s="26" t="str">
        <f t="shared" si="157"/>
        <v/>
      </c>
      <c r="P3196" s="103"/>
    </row>
    <row r="3197" ht="18" customHeight="1" spans="1:16">
      <c r="A3197" s="32" t="str">
        <f t="shared" si="158"/>
        <v/>
      </c>
      <c r="B3197" s="101"/>
      <c r="C3197" s="102"/>
      <c r="D3197" s="103"/>
      <c r="E3197" s="102"/>
      <c r="F3197" s="25" t="str">
        <f>IF($E3197="","",IFERROR(INDEX(科目表!$A$4:$A$81,MATCH($E3197,科目表!$B$4:$B$81,0)),""))</f>
        <v/>
      </c>
      <c r="G3197" s="26" t="str">
        <f>IF($E3197="","",IFERROR(INDEX(科目表!$E$4:$E$81,MATCH($E3197,科目表!$B$4:$B$81,0)),""))</f>
        <v/>
      </c>
      <c r="H3197" s="104"/>
      <c r="I3197" s="104"/>
      <c r="J3197" s="102"/>
      <c r="K3197" s="102"/>
      <c r="L3197" s="103"/>
      <c r="M3197" s="105"/>
      <c r="N3197" s="103"/>
      <c r="O3197" s="26" t="str">
        <f t="shared" si="157"/>
        <v/>
      </c>
      <c r="P3197" s="103"/>
    </row>
    <row r="3198" ht="18" customHeight="1" spans="1:16">
      <c r="A3198" s="32" t="str">
        <f t="shared" si="158"/>
        <v/>
      </c>
      <c r="B3198" s="101"/>
      <c r="C3198" s="102"/>
      <c r="D3198" s="103"/>
      <c r="E3198" s="102"/>
      <c r="F3198" s="25" t="str">
        <f>IF($E3198="","",IFERROR(INDEX(科目表!$A$4:$A$81,MATCH($E3198,科目表!$B$4:$B$81,0)),""))</f>
        <v/>
      </c>
      <c r="G3198" s="26" t="str">
        <f>IF($E3198="","",IFERROR(INDEX(科目表!$E$4:$E$81,MATCH($E3198,科目表!$B$4:$B$81,0)),""))</f>
        <v/>
      </c>
      <c r="H3198" s="104"/>
      <c r="I3198" s="104"/>
      <c r="J3198" s="102"/>
      <c r="K3198" s="102"/>
      <c r="L3198" s="103"/>
      <c r="M3198" s="105"/>
      <c r="N3198" s="103"/>
      <c r="O3198" s="26" t="str">
        <f t="shared" si="157"/>
        <v/>
      </c>
      <c r="P3198" s="103"/>
    </row>
    <row r="3199" ht="18" customHeight="1" spans="1:16">
      <c r="A3199" s="32" t="str">
        <f t="shared" si="158"/>
        <v/>
      </c>
      <c r="B3199" s="101"/>
      <c r="C3199" s="102"/>
      <c r="D3199" s="103"/>
      <c r="E3199" s="102"/>
      <c r="F3199" s="25" t="str">
        <f>IF($E3199="","",IFERROR(INDEX(科目表!$A$4:$A$81,MATCH($E3199,科目表!$B$4:$B$81,0)),""))</f>
        <v/>
      </c>
      <c r="G3199" s="26" t="str">
        <f>IF($E3199="","",IFERROR(INDEX(科目表!$E$4:$E$81,MATCH($E3199,科目表!$B$4:$B$81,0)),""))</f>
        <v/>
      </c>
      <c r="H3199" s="104"/>
      <c r="I3199" s="104"/>
      <c r="J3199" s="102"/>
      <c r="K3199" s="102"/>
      <c r="L3199" s="103"/>
      <c r="M3199" s="105"/>
      <c r="N3199" s="103"/>
      <c r="O3199" s="26" t="str">
        <f t="shared" si="157"/>
        <v/>
      </c>
      <c r="P3199" s="103"/>
    </row>
    <row r="3200" ht="18" customHeight="1" spans="1:16">
      <c r="A3200" s="32" t="str">
        <f t="shared" si="158"/>
        <v/>
      </c>
      <c r="B3200" s="101"/>
      <c r="C3200" s="102"/>
      <c r="D3200" s="103"/>
      <c r="E3200" s="102"/>
      <c r="F3200" s="25" t="str">
        <f>IF($E3200="","",IFERROR(INDEX(科目表!$A$4:$A$81,MATCH($E3200,科目表!$B$4:$B$81,0)),""))</f>
        <v/>
      </c>
      <c r="G3200" s="26" t="str">
        <f>IF($E3200="","",IFERROR(INDEX(科目表!$E$4:$E$81,MATCH($E3200,科目表!$B$4:$B$81,0)),""))</f>
        <v/>
      </c>
      <c r="H3200" s="104"/>
      <c r="I3200" s="104"/>
      <c r="J3200" s="102"/>
      <c r="K3200" s="102"/>
      <c r="L3200" s="103"/>
      <c r="M3200" s="105"/>
      <c r="N3200" s="103"/>
      <c r="O3200" s="26" t="str">
        <f t="shared" si="157"/>
        <v/>
      </c>
      <c r="P3200" s="103"/>
    </row>
    <row r="3201" ht="18" customHeight="1" spans="1:16">
      <c r="A3201" s="32" t="str">
        <f t="shared" si="158"/>
        <v/>
      </c>
      <c r="B3201" s="101"/>
      <c r="C3201" s="102"/>
      <c r="D3201" s="103"/>
      <c r="E3201" s="102"/>
      <c r="F3201" s="25" t="str">
        <f>IF($E3201="","",IFERROR(INDEX(科目表!$A$4:$A$81,MATCH($E3201,科目表!$B$4:$B$81,0)),""))</f>
        <v/>
      </c>
      <c r="G3201" s="26" t="str">
        <f>IF($E3201="","",IFERROR(INDEX(科目表!$E$4:$E$81,MATCH($E3201,科目表!$B$4:$B$81,0)),""))</f>
        <v/>
      </c>
      <c r="H3201" s="104"/>
      <c r="I3201" s="104"/>
      <c r="J3201" s="102"/>
      <c r="K3201" s="102"/>
      <c r="L3201" s="103"/>
      <c r="M3201" s="105"/>
      <c r="N3201" s="103"/>
      <c r="O3201" s="26" t="str">
        <f t="shared" si="157"/>
        <v/>
      </c>
      <c r="P3201" s="103"/>
    </row>
    <row r="3202" ht="18" customHeight="1" spans="1:16">
      <c r="A3202" s="32" t="str">
        <f t="shared" si="158"/>
        <v/>
      </c>
      <c r="B3202" s="101"/>
      <c r="C3202" s="102"/>
      <c r="D3202" s="103"/>
      <c r="E3202" s="102"/>
      <c r="F3202" s="25" t="str">
        <f>IF($E3202="","",IFERROR(INDEX(科目表!$A$4:$A$81,MATCH($E3202,科目表!$B$4:$B$81,0)),""))</f>
        <v/>
      </c>
      <c r="G3202" s="26" t="str">
        <f>IF($E3202="","",IFERROR(INDEX(科目表!$E$4:$E$81,MATCH($E3202,科目表!$B$4:$B$81,0)),""))</f>
        <v/>
      </c>
      <c r="H3202" s="104"/>
      <c r="I3202" s="104"/>
      <c r="J3202" s="102"/>
      <c r="K3202" s="102"/>
      <c r="L3202" s="103"/>
      <c r="M3202" s="105"/>
      <c r="N3202" s="103"/>
      <c r="O3202" s="26" t="str">
        <f t="shared" ref="O3202:O3265" si="159">IF($E3202="","","手工")</f>
        <v/>
      </c>
      <c r="P3202" s="103"/>
    </row>
    <row r="3203" ht="18" customHeight="1" spans="1:16">
      <c r="A3203" s="32" t="str">
        <f t="shared" si="158"/>
        <v/>
      </c>
      <c r="B3203" s="101"/>
      <c r="C3203" s="102"/>
      <c r="D3203" s="103"/>
      <c r="E3203" s="102"/>
      <c r="F3203" s="25" t="str">
        <f>IF($E3203="","",IFERROR(INDEX(科目表!$A$4:$A$81,MATCH($E3203,科目表!$B$4:$B$81,0)),""))</f>
        <v/>
      </c>
      <c r="G3203" s="26" t="str">
        <f>IF($E3203="","",IFERROR(INDEX(科目表!$E$4:$E$81,MATCH($E3203,科目表!$B$4:$B$81,0)),""))</f>
        <v/>
      </c>
      <c r="H3203" s="104"/>
      <c r="I3203" s="104"/>
      <c r="J3203" s="102"/>
      <c r="K3203" s="102"/>
      <c r="L3203" s="103"/>
      <c r="M3203" s="105"/>
      <c r="N3203" s="103"/>
      <c r="O3203" s="26" t="str">
        <f t="shared" si="159"/>
        <v/>
      </c>
      <c r="P3203" s="103"/>
    </row>
    <row r="3204" ht="18" customHeight="1" spans="1:16">
      <c r="A3204" s="32" t="str">
        <f t="shared" ref="A3204:A3267" si="160">IF($E3204="","",ROW()-3)</f>
        <v/>
      </c>
      <c r="B3204" s="101"/>
      <c r="C3204" s="102"/>
      <c r="D3204" s="103"/>
      <c r="E3204" s="102"/>
      <c r="F3204" s="25" t="str">
        <f>IF($E3204="","",IFERROR(INDEX(科目表!$A$4:$A$81,MATCH($E3204,科目表!$B$4:$B$81,0)),""))</f>
        <v/>
      </c>
      <c r="G3204" s="26" t="str">
        <f>IF($E3204="","",IFERROR(INDEX(科目表!$E$4:$E$81,MATCH($E3204,科目表!$B$4:$B$81,0)),""))</f>
        <v/>
      </c>
      <c r="H3204" s="104"/>
      <c r="I3204" s="104"/>
      <c r="J3204" s="102"/>
      <c r="K3204" s="102"/>
      <c r="L3204" s="103"/>
      <c r="M3204" s="105"/>
      <c r="N3204" s="103"/>
      <c r="O3204" s="26" t="str">
        <f t="shared" si="159"/>
        <v/>
      </c>
      <c r="P3204" s="103"/>
    </row>
    <row r="3205" ht="18" customHeight="1" spans="1:16">
      <c r="A3205" s="32" t="str">
        <f t="shared" si="160"/>
        <v/>
      </c>
      <c r="B3205" s="101"/>
      <c r="C3205" s="102"/>
      <c r="D3205" s="103"/>
      <c r="E3205" s="102"/>
      <c r="F3205" s="25" t="str">
        <f>IF($E3205="","",IFERROR(INDEX(科目表!$A$4:$A$81,MATCH($E3205,科目表!$B$4:$B$81,0)),""))</f>
        <v/>
      </c>
      <c r="G3205" s="26" t="str">
        <f>IF($E3205="","",IFERROR(INDEX(科目表!$E$4:$E$81,MATCH($E3205,科目表!$B$4:$B$81,0)),""))</f>
        <v/>
      </c>
      <c r="H3205" s="104"/>
      <c r="I3205" s="104"/>
      <c r="J3205" s="102"/>
      <c r="K3205" s="102"/>
      <c r="L3205" s="103"/>
      <c r="M3205" s="105"/>
      <c r="N3205" s="103"/>
      <c r="O3205" s="26" t="str">
        <f t="shared" si="159"/>
        <v/>
      </c>
      <c r="P3205" s="103"/>
    </row>
    <row r="3206" ht="18" customHeight="1" spans="1:16">
      <c r="A3206" s="32" t="str">
        <f t="shared" si="160"/>
        <v/>
      </c>
      <c r="B3206" s="101"/>
      <c r="C3206" s="102"/>
      <c r="D3206" s="103"/>
      <c r="E3206" s="102"/>
      <c r="F3206" s="25" t="str">
        <f>IF($E3206="","",IFERROR(INDEX(科目表!$A$4:$A$81,MATCH($E3206,科目表!$B$4:$B$81,0)),""))</f>
        <v/>
      </c>
      <c r="G3206" s="26" t="str">
        <f>IF($E3206="","",IFERROR(INDEX(科目表!$E$4:$E$81,MATCH($E3206,科目表!$B$4:$B$81,0)),""))</f>
        <v/>
      </c>
      <c r="H3206" s="104"/>
      <c r="I3206" s="104"/>
      <c r="J3206" s="102"/>
      <c r="K3206" s="102"/>
      <c r="L3206" s="103"/>
      <c r="M3206" s="105"/>
      <c r="N3206" s="103"/>
      <c r="O3206" s="26" t="str">
        <f t="shared" si="159"/>
        <v/>
      </c>
      <c r="P3206" s="103"/>
    </row>
    <row r="3207" ht="18" customHeight="1" spans="1:16">
      <c r="A3207" s="32" t="str">
        <f t="shared" si="160"/>
        <v/>
      </c>
      <c r="B3207" s="101"/>
      <c r="C3207" s="102"/>
      <c r="D3207" s="103"/>
      <c r="E3207" s="102"/>
      <c r="F3207" s="25" t="str">
        <f>IF($E3207="","",IFERROR(INDEX(科目表!$A$4:$A$81,MATCH($E3207,科目表!$B$4:$B$81,0)),""))</f>
        <v/>
      </c>
      <c r="G3207" s="26" t="str">
        <f>IF($E3207="","",IFERROR(INDEX(科目表!$E$4:$E$81,MATCH($E3207,科目表!$B$4:$B$81,0)),""))</f>
        <v/>
      </c>
      <c r="H3207" s="104"/>
      <c r="I3207" s="104"/>
      <c r="J3207" s="102"/>
      <c r="K3207" s="102"/>
      <c r="L3207" s="103"/>
      <c r="M3207" s="105"/>
      <c r="N3207" s="103"/>
      <c r="O3207" s="26" t="str">
        <f t="shared" si="159"/>
        <v/>
      </c>
      <c r="P3207" s="103"/>
    </row>
    <row r="3208" ht="18" customHeight="1" spans="1:16">
      <c r="A3208" s="32" t="str">
        <f t="shared" si="160"/>
        <v/>
      </c>
      <c r="B3208" s="101"/>
      <c r="C3208" s="102"/>
      <c r="D3208" s="103"/>
      <c r="E3208" s="102"/>
      <c r="F3208" s="25" t="str">
        <f>IF($E3208="","",IFERROR(INDEX(科目表!$A$4:$A$81,MATCH($E3208,科目表!$B$4:$B$81,0)),""))</f>
        <v/>
      </c>
      <c r="G3208" s="26" t="str">
        <f>IF($E3208="","",IFERROR(INDEX(科目表!$E$4:$E$81,MATCH($E3208,科目表!$B$4:$B$81,0)),""))</f>
        <v/>
      </c>
      <c r="H3208" s="104"/>
      <c r="I3208" s="104"/>
      <c r="J3208" s="102"/>
      <c r="K3208" s="102"/>
      <c r="L3208" s="103"/>
      <c r="M3208" s="105"/>
      <c r="N3208" s="103"/>
      <c r="O3208" s="26" t="str">
        <f t="shared" si="159"/>
        <v/>
      </c>
      <c r="P3208" s="103"/>
    </row>
    <row r="3209" ht="18" customHeight="1" spans="1:16">
      <c r="A3209" s="32" t="str">
        <f t="shared" si="160"/>
        <v/>
      </c>
      <c r="B3209" s="101"/>
      <c r="C3209" s="102"/>
      <c r="D3209" s="103"/>
      <c r="E3209" s="102"/>
      <c r="F3209" s="25" t="str">
        <f>IF($E3209="","",IFERROR(INDEX(科目表!$A$4:$A$81,MATCH($E3209,科目表!$B$4:$B$81,0)),""))</f>
        <v/>
      </c>
      <c r="G3209" s="26" t="str">
        <f>IF($E3209="","",IFERROR(INDEX(科目表!$E$4:$E$81,MATCH($E3209,科目表!$B$4:$B$81,0)),""))</f>
        <v/>
      </c>
      <c r="H3209" s="104"/>
      <c r="I3209" s="104"/>
      <c r="J3209" s="102"/>
      <c r="K3209" s="102"/>
      <c r="L3209" s="103"/>
      <c r="M3209" s="105"/>
      <c r="N3209" s="103"/>
      <c r="O3209" s="26" t="str">
        <f t="shared" si="159"/>
        <v/>
      </c>
      <c r="P3209" s="103"/>
    </row>
    <row r="3210" ht="18" customHeight="1" spans="1:16">
      <c r="A3210" s="32" t="str">
        <f t="shared" si="160"/>
        <v/>
      </c>
      <c r="B3210" s="101"/>
      <c r="C3210" s="102"/>
      <c r="D3210" s="103"/>
      <c r="E3210" s="102"/>
      <c r="F3210" s="25" t="str">
        <f>IF($E3210="","",IFERROR(INDEX(科目表!$A$4:$A$81,MATCH($E3210,科目表!$B$4:$B$81,0)),""))</f>
        <v/>
      </c>
      <c r="G3210" s="26" t="str">
        <f>IF($E3210="","",IFERROR(INDEX(科目表!$E$4:$E$81,MATCH($E3210,科目表!$B$4:$B$81,0)),""))</f>
        <v/>
      </c>
      <c r="H3210" s="104"/>
      <c r="I3210" s="104"/>
      <c r="J3210" s="102"/>
      <c r="K3210" s="102"/>
      <c r="L3210" s="103"/>
      <c r="M3210" s="105"/>
      <c r="N3210" s="103"/>
      <c r="O3210" s="26" t="str">
        <f t="shared" si="159"/>
        <v/>
      </c>
      <c r="P3210" s="103"/>
    </row>
    <row r="3211" ht="18" customHeight="1" spans="1:16">
      <c r="A3211" s="32" t="str">
        <f t="shared" si="160"/>
        <v/>
      </c>
      <c r="B3211" s="101"/>
      <c r="C3211" s="102"/>
      <c r="D3211" s="103"/>
      <c r="E3211" s="102"/>
      <c r="F3211" s="25" t="str">
        <f>IF($E3211="","",IFERROR(INDEX(科目表!$A$4:$A$81,MATCH($E3211,科目表!$B$4:$B$81,0)),""))</f>
        <v/>
      </c>
      <c r="G3211" s="26" t="str">
        <f>IF($E3211="","",IFERROR(INDEX(科目表!$E$4:$E$81,MATCH($E3211,科目表!$B$4:$B$81,0)),""))</f>
        <v/>
      </c>
      <c r="H3211" s="104"/>
      <c r="I3211" s="104"/>
      <c r="J3211" s="102"/>
      <c r="K3211" s="102"/>
      <c r="L3211" s="103"/>
      <c r="M3211" s="105"/>
      <c r="N3211" s="103"/>
      <c r="O3211" s="26" t="str">
        <f t="shared" si="159"/>
        <v/>
      </c>
      <c r="P3211" s="103"/>
    </row>
    <row r="3212" ht="18" customHeight="1" spans="1:16">
      <c r="A3212" s="32" t="str">
        <f t="shared" si="160"/>
        <v/>
      </c>
      <c r="B3212" s="101"/>
      <c r="C3212" s="102"/>
      <c r="D3212" s="103"/>
      <c r="E3212" s="102"/>
      <c r="F3212" s="25" t="str">
        <f>IF($E3212="","",IFERROR(INDEX(科目表!$A$4:$A$81,MATCH($E3212,科目表!$B$4:$B$81,0)),""))</f>
        <v/>
      </c>
      <c r="G3212" s="26" t="str">
        <f>IF($E3212="","",IFERROR(INDEX(科目表!$E$4:$E$81,MATCH($E3212,科目表!$B$4:$B$81,0)),""))</f>
        <v/>
      </c>
      <c r="H3212" s="104"/>
      <c r="I3212" s="104"/>
      <c r="J3212" s="102"/>
      <c r="K3212" s="102"/>
      <c r="L3212" s="103"/>
      <c r="M3212" s="105"/>
      <c r="N3212" s="103"/>
      <c r="O3212" s="26" t="str">
        <f t="shared" si="159"/>
        <v/>
      </c>
      <c r="P3212" s="103"/>
    </row>
    <row r="3213" ht="18" customHeight="1" spans="1:16">
      <c r="A3213" s="32" t="str">
        <f t="shared" si="160"/>
        <v/>
      </c>
      <c r="B3213" s="101"/>
      <c r="C3213" s="102"/>
      <c r="D3213" s="103"/>
      <c r="E3213" s="102"/>
      <c r="F3213" s="25" t="str">
        <f>IF($E3213="","",IFERROR(INDEX(科目表!$A$4:$A$81,MATCH($E3213,科目表!$B$4:$B$81,0)),""))</f>
        <v/>
      </c>
      <c r="G3213" s="26" t="str">
        <f>IF($E3213="","",IFERROR(INDEX(科目表!$E$4:$E$81,MATCH($E3213,科目表!$B$4:$B$81,0)),""))</f>
        <v/>
      </c>
      <c r="H3213" s="104"/>
      <c r="I3213" s="104"/>
      <c r="J3213" s="102"/>
      <c r="K3213" s="102"/>
      <c r="L3213" s="103"/>
      <c r="M3213" s="105"/>
      <c r="N3213" s="103"/>
      <c r="O3213" s="26" t="str">
        <f t="shared" si="159"/>
        <v/>
      </c>
      <c r="P3213" s="103"/>
    </row>
    <row r="3214" ht="18" customHeight="1" spans="1:16">
      <c r="A3214" s="32" t="str">
        <f t="shared" si="160"/>
        <v/>
      </c>
      <c r="B3214" s="101"/>
      <c r="C3214" s="102"/>
      <c r="D3214" s="103"/>
      <c r="E3214" s="102"/>
      <c r="F3214" s="25" t="str">
        <f>IF($E3214="","",IFERROR(INDEX(科目表!$A$4:$A$81,MATCH($E3214,科目表!$B$4:$B$81,0)),""))</f>
        <v/>
      </c>
      <c r="G3214" s="26" t="str">
        <f>IF($E3214="","",IFERROR(INDEX(科目表!$E$4:$E$81,MATCH($E3214,科目表!$B$4:$B$81,0)),""))</f>
        <v/>
      </c>
      <c r="H3214" s="104"/>
      <c r="I3214" s="104"/>
      <c r="J3214" s="102"/>
      <c r="K3214" s="102"/>
      <c r="L3214" s="103"/>
      <c r="M3214" s="105"/>
      <c r="N3214" s="103"/>
      <c r="O3214" s="26" t="str">
        <f t="shared" si="159"/>
        <v/>
      </c>
      <c r="P3214" s="103"/>
    </row>
    <row r="3215" ht="18" customHeight="1" spans="1:16">
      <c r="A3215" s="32" t="str">
        <f t="shared" si="160"/>
        <v/>
      </c>
      <c r="B3215" s="101"/>
      <c r="C3215" s="102"/>
      <c r="D3215" s="103"/>
      <c r="E3215" s="102"/>
      <c r="F3215" s="25" t="str">
        <f>IF($E3215="","",IFERROR(INDEX(科目表!$A$4:$A$81,MATCH($E3215,科目表!$B$4:$B$81,0)),""))</f>
        <v/>
      </c>
      <c r="G3215" s="26" t="str">
        <f>IF($E3215="","",IFERROR(INDEX(科目表!$E$4:$E$81,MATCH($E3215,科目表!$B$4:$B$81,0)),""))</f>
        <v/>
      </c>
      <c r="H3215" s="104"/>
      <c r="I3215" s="104"/>
      <c r="J3215" s="102"/>
      <c r="K3215" s="102"/>
      <c r="L3215" s="103"/>
      <c r="M3215" s="105"/>
      <c r="N3215" s="103"/>
      <c r="O3215" s="26" t="str">
        <f t="shared" si="159"/>
        <v/>
      </c>
      <c r="P3215" s="103"/>
    </row>
    <row r="3216" ht="18" customHeight="1" spans="1:16">
      <c r="A3216" s="32" t="str">
        <f t="shared" si="160"/>
        <v/>
      </c>
      <c r="B3216" s="101"/>
      <c r="C3216" s="102"/>
      <c r="D3216" s="103"/>
      <c r="E3216" s="102"/>
      <c r="F3216" s="25" t="str">
        <f>IF($E3216="","",IFERROR(INDEX(科目表!$A$4:$A$81,MATCH($E3216,科目表!$B$4:$B$81,0)),""))</f>
        <v/>
      </c>
      <c r="G3216" s="26" t="str">
        <f>IF($E3216="","",IFERROR(INDEX(科目表!$E$4:$E$81,MATCH($E3216,科目表!$B$4:$B$81,0)),""))</f>
        <v/>
      </c>
      <c r="H3216" s="104"/>
      <c r="I3216" s="104"/>
      <c r="J3216" s="102"/>
      <c r="K3216" s="102"/>
      <c r="L3216" s="103"/>
      <c r="M3216" s="105"/>
      <c r="N3216" s="103"/>
      <c r="O3216" s="26" t="str">
        <f t="shared" si="159"/>
        <v/>
      </c>
      <c r="P3216" s="103"/>
    </row>
    <row r="3217" ht="18" customHeight="1" spans="1:16">
      <c r="A3217" s="32" t="str">
        <f t="shared" si="160"/>
        <v/>
      </c>
      <c r="B3217" s="101"/>
      <c r="C3217" s="102"/>
      <c r="D3217" s="103"/>
      <c r="E3217" s="102"/>
      <c r="F3217" s="25" t="str">
        <f>IF($E3217="","",IFERROR(INDEX(科目表!$A$4:$A$81,MATCH($E3217,科目表!$B$4:$B$81,0)),""))</f>
        <v/>
      </c>
      <c r="G3217" s="26" t="str">
        <f>IF($E3217="","",IFERROR(INDEX(科目表!$E$4:$E$81,MATCH($E3217,科目表!$B$4:$B$81,0)),""))</f>
        <v/>
      </c>
      <c r="H3217" s="104"/>
      <c r="I3217" s="104"/>
      <c r="J3217" s="102"/>
      <c r="K3217" s="102"/>
      <c r="L3217" s="103"/>
      <c r="M3217" s="105"/>
      <c r="N3217" s="103"/>
      <c r="O3217" s="26" t="str">
        <f t="shared" si="159"/>
        <v/>
      </c>
      <c r="P3217" s="103"/>
    </row>
    <row r="3218" ht="18" customHeight="1" spans="1:16">
      <c r="A3218" s="32" t="str">
        <f t="shared" si="160"/>
        <v/>
      </c>
      <c r="B3218" s="101"/>
      <c r="C3218" s="102"/>
      <c r="D3218" s="103"/>
      <c r="E3218" s="102"/>
      <c r="F3218" s="25" t="str">
        <f>IF($E3218="","",IFERROR(INDEX(科目表!$A$4:$A$81,MATCH($E3218,科目表!$B$4:$B$81,0)),""))</f>
        <v/>
      </c>
      <c r="G3218" s="26" t="str">
        <f>IF($E3218="","",IFERROR(INDEX(科目表!$E$4:$E$81,MATCH($E3218,科目表!$B$4:$B$81,0)),""))</f>
        <v/>
      </c>
      <c r="H3218" s="104"/>
      <c r="I3218" s="104"/>
      <c r="J3218" s="102"/>
      <c r="K3218" s="102"/>
      <c r="L3218" s="103"/>
      <c r="M3218" s="105"/>
      <c r="N3218" s="103"/>
      <c r="O3218" s="26" t="str">
        <f t="shared" si="159"/>
        <v/>
      </c>
      <c r="P3218" s="103"/>
    </row>
    <row r="3219" ht="18" customHeight="1" spans="1:16">
      <c r="A3219" s="32" t="str">
        <f t="shared" si="160"/>
        <v/>
      </c>
      <c r="B3219" s="101"/>
      <c r="C3219" s="102"/>
      <c r="D3219" s="103"/>
      <c r="E3219" s="102"/>
      <c r="F3219" s="25" t="str">
        <f>IF($E3219="","",IFERROR(INDEX(科目表!$A$4:$A$81,MATCH($E3219,科目表!$B$4:$B$81,0)),""))</f>
        <v/>
      </c>
      <c r="G3219" s="26" t="str">
        <f>IF($E3219="","",IFERROR(INDEX(科目表!$E$4:$E$81,MATCH($E3219,科目表!$B$4:$B$81,0)),""))</f>
        <v/>
      </c>
      <c r="H3219" s="104"/>
      <c r="I3219" s="104"/>
      <c r="J3219" s="102"/>
      <c r="K3219" s="102"/>
      <c r="L3219" s="103"/>
      <c r="M3219" s="105"/>
      <c r="N3219" s="103"/>
      <c r="O3219" s="26" t="str">
        <f t="shared" si="159"/>
        <v/>
      </c>
      <c r="P3219" s="103"/>
    </row>
    <row r="3220" ht="18" customHeight="1" spans="1:16">
      <c r="A3220" s="32" t="str">
        <f t="shared" si="160"/>
        <v/>
      </c>
      <c r="B3220" s="101"/>
      <c r="C3220" s="102"/>
      <c r="D3220" s="103"/>
      <c r="E3220" s="102"/>
      <c r="F3220" s="25" t="str">
        <f>IF($E3220="","",IFERROR(INDEX(科目表!$A$4:$A$81,MATCH($E3220,科目表!$B$4:$B$81,0)),""))</f>
        <v/>
      </c>
      <c r="G3220" s="26" t="str">
        <f>IF($E3220="","",IFERROR(INDEX(科目表!$E$4:$E$81,MATCH($E3220,科目表!$B$4:$B$81,0)),""))</f>
        <v/>
      </c>
      <c r="H3220" s="104"/>
      <c r="I3220" s="104"/>
      <c r="J3220" s="102"/>
      <c r="K3220" s="102"/>
      <c r="L3220" s="103"/>
      <c r="M3220" s="105"/>
      <c r="N3220" s="103"/>
      <c r="O3220" s="26" t="str">
        <f t="shared" si="159"/>
        <v/>
      </c>
      <c r="P3220" s="103"/>
    </row>
    <row r="3221" ht="18" customHeight="1" spans="1:16">
      <c r="A3221" s="32" t="str">
        <f t="shared" si="160"/>
        <v/>
      </c>
      <c r="B3221" s="101"/>
      <c r="C3221" s="102"/>
      <c r="D3221" s="103"/>
      <c r="E3221" s="102"/>
      <c r="F3221" s="25" t="str">
        <f>IF($E3221="","",IFERROR(INDEX(科目表!$A$4:$A$81,MATCH($E3221,科目表!$B$4:$B$81,0)),""))</f>
        <v/>
      </c>
      <c r="G3221" s="26" t="str">
        <f>IF($E3221="","",IFERROR(INDEX(科目表!$E$4:$E$81,MATCH($E3221,科目表!$B$4:$B$81,0)),""))</f>
        <v/>
      </c>
      <c r="H3221" s="104"/>
      <c r="I3221" s="104"/>
      <c r="J3221" s="102"/>
      <c r="K3221" s="102"/>
      <c r="L3221" s="103"/>
      <c r="M3221" s="105"/>
      <c r="N3221" s="103"/>
      <c r="O3221" s="26" t="str">
        <f t="shared" si="159"/>
        <v/>
      </c>
      <c r="P3221" s="103"/>
    </row>
    <row r="3222" ht="18" customHeight="1" spans="1:16">
      <c r="A3222" s="32" t="str">
        <f t="shared" si="160"/>
        <v/>
      </c>
      <c r="B3222" s="101"/>
      <c r="C3222" s="102"/>
      <c r="D3222" s="103"/>
      <c r="E3222" s="102"/>
      <c r="F3222" s="25" t="str">
        <f>IF($E3222="","",IFERROR(INDEX(科目表!$A$4:$A$81,MATCH($E3222,科目表!$B$4:$B$81,0)),""))</f>
        <v/>
      </c>
      <c r="G3222" s="26" t="str">
        <f>IF($E3222="","",IFERROR(INDEX(科目表!$E$4:$E$81,MATCH($E3222,科目表!$B$4:$B$81,0)),""))</f>
        <v/>
      </c>
      <c r="H3222" s="104"/>
      <c r="I3222" s="104"/>
      <c r="J3222" s="102"/>
      <c r="K3222" s="102"/>
      <c r="L3222" s="103"/>
      <c r="M3222" s="105"/>
      <c r="N3222" s="103"/>
      <c r="O3222" s="26" t="str">
        <f t="shared" si="159"/>
        <v/>
      </c>
      <c r="P3222" s="103"/>
    </row>
    <row r="3223" ht="18" customHeight="1" spans="1:16">
      <c r="A3223" s="32" t="str">
        <f t="shared" si="160"/>
        <v/>
      </c>
      <c r="B3223" s="101"/>
      <c r="C3223" s="102"/>
      <c r="D3223" s="103"/>
      <c r="E3223" s="102"/>
      <c r="F3223" s="25" t="str">
        <f>IF($E3223="","",IFERROR(INDEX(科目表!$A$4:$A$81,MATCH($E3223,科目表!$B$4:$B$81,0)),""))</f>
        <v/>
      </c>
      <c r="G3223" s="26" t="str">
        <f>IF($E3223="","",IFERROR(INDEX(科目表!$E$4:$E$81,MATCH($E3223,科目表!$B$4:$B$81,0)),""))</f>
        <v/>
      </c>
      <c r="H3223" s="104"/>
      <c r="I3223" s="104"/>
      <c r="J3223" s="102"/>
      <c r="K3223" s="102"/>
      <c r="L3223" s="103"/>
      <c r="M3223" s="105"/>
      <c r="N3223" s="103"/>
      <c r="O3223" s="26" t="str">
        <f t="shared" si="159"/>
        <v/>
      </c>
      <c r="P3223" s="103"/>
    </row>
    <row r="3224" ht="18" customHeight="1" spans="1:16">
      <c r="A3224" s="32" t="str">
        <f t="shared" si="160"/>
        <v/>
      </c>
      <c r="B3224" s="101"/>
      <c r="C3224" s="102"/>
      <c r="D3224" s="103"/>
      <c r="E3224" s="102"/>
      <c r="F3224" s="25" t="str">
        <f>IF($E3224="","",IFERROR(INDEX(科目表!$A$4:$A$81,MATCH($E3224,科目表!$B$4:$B$81,0)),""))</f>
        <v/>
      </c>
      <c r="G3224" s="26" t="str">
        <f>IF($E3224="","",IFERROR(INDEX(科目表!$E$4:$E$81,MATCH($E3224,科目表!$B$4:$B$81,0)),""))</f>
        <v/>
      </c>
      <c r="H3224" s="104"/>
      <c r="I3224" s="104"/>
      <c r="J3224" s="102"/>
      <c r="K3224" s="102"/>
      <c r="L3224" s="103"/>
      <c r="M3224" s="105"/>
      <c r="N3224" s="103"/>
      <c r="O3224" s="26" t="str">
        <f t="shared" si="159"/>
        <v/>
      </c>
      <c r="P3224" s="103"/>
    </row>
    <row r="3225" ht="18" customHeight="1" spans="1:16">
      <c r="A3225" s="32" t="str">
        <f t="shared" si="160"/>
        <v/>
      </c>
      <c r="B3225" s="101"/>
      <c r="C3225" s="102"/>
      <c r="D3225" s="103"/>
      <c r="E3225" s="102"/>
      <c r="F3225" s="25" t="str">
        <f>IF($E3225="","",IFERROR(INDEX(科目表!$A$4:$A$81,MATCH($E3225,科目表!$B$4:$B$81,0)),""))</f>
        <v/>
      </c>
      <c r="G3225" s="26" t="str">
        <f>IF($E3225="","",IFERROR(INDEX(科目表!$E$4:$E$81,MATCH($E3225,科目表!$B$4:$B$81,0)),""))</f>
        <v/>
      </c>
      <c r="H3225" s="104"/>
      <c r="I3225" s="104"/>
      <c r="J3225" s="102"/>
      <c r="K3225" s="102"/>
      <c r="L3225" s="103"/>
      <c r="M3225" s="105"/>
      <c r="N3225" s="103"/>
      <c r="O3225" s="26" t="str">
        <f t="shared" si="159"/>
        <v/>
      </c>
      <c r="P3225" s="103"/>
    </row>
    <row r="3226" ht="18" customHeight="1" spans="1:16">
      <c r="A3226" s="32" t="str">
        <f t="shared" si="160"/>
        <v/>
      </c>
      <c r="B3226" s="101"/>
      <c r="C3226" s="102"/>
      <c r="D3226" s="103"/>
      <c r="E3226" s="102"/>
      <c r="F3226" s="25" t="str">
        <f>IF($E3226="","",IFERROR(INDEX(科目表!$A$4:$A$81,MATCH($E3226,科目表!$B$4:$B$81,0)),""))</f>
        <v/>
      </c>
      <c r="G3226" s="26" t="str">
        <f>IF($E3226="","",IFERROR(INDEX(科目表!$E$4:$E$81,MATCH($E3226,科目表!$B$4:$B$81,0)),""))</f>
        <v/>
      </c>
      <c r="H3226" s="104"/>
      <c r="I3226" s="104"/>
      <c r="J3226" s="102"/>
      <c r="K3226" s="102"/>
      <c r="L3226" s="103"/>
      <c r="M3226" s="105"/>
      <c r="N3226" s="103"/>
      <c r="O3226" s="26" t="str">
        <f t="shared" si="159"/>
        <v/>
      </c>
      <c r="P3226" s="103"/>
    </row>
    <row r="3227" ht="18" customHeight="1" spans="1:16">
      <c r="A3227" s="32" t="str">
        <f t="shared" si="160"/>
        <v/>
      </c>
      <c r="B3227" s="101"/>
      <c r="C3227" s="102"/>
      <c r="D3227" s="103"/>
      <c r="E3227" s="102"/>
      <c r="F3227" s="25" t="str">
        <f>IF($E3227="","",IFERROR(INDEX(科目表!$A$4:$A$81,MATCH($E3227,科目表!$B$4:$B$81,0)),""))</f>
        <v/>
      </c>
      <c r="G3227" s="26" t="str">
        <f>IF($E3227="","",IFERROR(INDEX(科目表!$E$4:$E$81,MATCH($E3227,科目表!$B$4:$B$81,0)),""))</f>
        <v/>
      </c>
      <c r="H3227" s="104"/>
      <c r="I3227" s="104"/>
      <c r="J3227" s="102"/>
      <c r="K3227" s="102"/>
      <c r="L3227" s="103"/>
      <c r="M3227" s="105"/>
      <c r="N3227" s="103"/>
      <c r="O3227" s="26" t="str">
        <f t="shared" si="159"/>
        <v/>
      </c>
      <c r="P3227" s="103"/>
    </row>
    <row r="3228" ht="18" customHeight="1" spans="1:16">
      <c r="A3228" s="32" t="str">
        <f t="shared" si="160"/>
        <v/>
      </c>
      <c r="B3228" s="101"/>
      <c r="C3228" s="102"/>
      <c r="D3228" s="103"/>
      <c r="E3228" s="102"/>
      <c r="F3228" s="25" t="str">
        <f>IF($E3228="","",IFERROR(INDEX(科目表!$A$4:$A$81,MATCH($E3228,科目表!$B$4:$B$81,0)),""))</f>
        <v/>
      </c>
      <c r="G3228" s="26" t="str">
        <f>IF($E3228="","",IFERROR(INDEX(科目表!$E$4:$E$81,MATCH($E3228,科目表!$B$4:$B$81,0)),""))</f>
        <v/>
      </c>
      <c r="H3228" s="104"/>
      <c r="I3228" s="104"/>
      <c r="J3228" s="102"/>
      <c r="K3228" s="102"/>
      <c r="L3228" s="103"/>
      <c r="M3228" s="105"/>
      <c r="N3228" s="103"/>
      <c r="O3228" s="26" t="str">
        <f t="shared" si="159"/>
        <v/>
      </c>
      <c r="P3228" s="103"/>
    </row>
    <row r="3229" ht="18" customHeight="1" spans="1:16">
      <c r="A3229" s="32" t="str">
        <f t="shared" si="160"/>
        <v/>
      </c>
      <c r="B3229" s="101"/>
      <c r="C3229" s="102"/>
      <c r="D3229" s="103"/>
      <c r="E3229" s="102"/>
      <c r="F3229" s="25" t="str">
        <f>IF($E3229="","",IFERROR(INDEX(科目表!$A$4:$A$81,MATCH($E3229,科目表!$B$4:$B$81,0)),""))</f>
        <v/>
      </c>
      <c r="G3229" s="26" t="str">
        <f>IF($E3229="","",IFERROR(INDEX(科目表!$E$4:$E$81,MATCH($E3229,科目表!$B$4:$B$81,0)),""))</f>
        <v/>
      </c>
      <c r="H3229" s="104"/>
      <c r="I3229" s="104"/>
      <c r="J3229" s="102"/>
      <c r="K3229" s="102"/>
      <c r="L3229" s="103"/>
      <c r="M3229" s="105"/>
      <c r="N3229" s="103"/>
      <c r="O3229" s="26" t="str">
        <f t="shared" si="159"/>
        <v/>
      </c>
      <c r="P3229" s="103"/>
    </row>
    <row r="3230" ht="18" customHeight="1" spans="1:16">
      <c r="A3230" s="32" t="str">
        <f t="shared" si="160"/>
        <v/>
      </c>
      <c r="B3230" s="101"/>
      <c r="C3230" s="102"/>
      <c r="D3230" s="103"/>
      <c r="E3230" s="102"/>
      <c r="F3230" s="25" t="str">
        <f>IF($E3230="","",IFERROR(INDEX(科目表!$A$4:$A$81,MATCH($E3230,科目表!$B$4:$B$81,0)),""))</f>
        <v/>
      </c>
      <c r="G3230" s="26" t="str">
        <f>IF($E3230="","",IFERROR(INDEX(科目表!$E$4:$E$81,MATCH($E3230,科目表!$B$4:$B$81,0)),""))</f>
        <v/>
      </c>
      <c r="H3230" s="104"/>
      <c r="I3230" s="104"/>
      <c r="J3230" s="102"/>
      <c r="K3230" s="102"/>
      <c r="L3230" s="103"/>
      <c r="M3230" s="105"/>
      <c r="N3230" s="103"/>
      <c r="O3230" s="26" t="str">
        <f t="shared" si="159"/>
        <v/>
      </c>
      <c r="P3230" s="103"/>
    </row>
    <row r="3231" ht="18" customHeight="1" spans="1:16">
      <c r="A3231" s="32" t="str">
        <f t="shared" si="160"/>
        <v/>
      </c>
      <c r="B3231" s="101"/>
      <c r="C3231" s="102"/>
      <c r="D3231" s="103"/>
      <c r="E3231" s="102"/>
      <c r="F3231" s="25" t="str">
        <f>IF($E3231="","",IFERROR(INDEX(科目表!$A$4:$A$81,MATCH($E3231,科目表!$B$4:$B$81,0)),""))</f>
        <v/>
      </c>
      <c r="G3231" s="26" t="str">
        <f>IF($E3231="","",IFERROR(INDEX(科目表!$E$4:$E$81,MATCH($E3231,科目表!$B$4:$B$81,0)),""))</f>
        <v/>
      </c>
      <c r="H3231" s="104"/>
      <c r="I3231" s="104"/>
      <c r="J3231" s="102"/>
      <c r="K3231" s="102"/>
      <c r="L3231" s="103"/>
      <c r="M3231" s="105"/>
      <c r="N3231" s="103"/>
      <c r="O3231" s="26" t="str">
        <f t="shared" si="159"/>
        <v/>
      </c>
      <c r="P3231" s="103"/>
    </row>
    <row r="3232" ht="18" customHeight="1" spans="1:16">
      <c r="A3232" s="32" t="str">
        <f t="shared" si="160"/>
        <v/>
      </c>
      <c r="B3232" s="101"/>
      <c r="C3232" s="102"/>
      <c r="D3232" s="103"/>
      <c r="E3232" s="102"/>
      <c r="F3232" s="25" t="str">
        <f>IF($E3232="","",IFERROR(INDEX(科目表!$A$4:$A$81,MATCH($E3232,科目表!$B$4:$B$81,0)),""))</f>
        <v/>
      </c>
      <c r="G3232" s="26" t="str">
        <f>IF($E3232="","",IFERROR(INDEX(科目表!$E$4:$E$81,MATCH($E3232,科目表!$B$4:$B$81,0)),""))</f>
        <v/>
      </c>
      <c r="H3232" s="104"/>
      <c r="I3232" s="104"/>
      <c r="J3232" s="102"/>
      <c r="K3232" s="102"/>
      <c r="L3232" s="103"/>
      <c r="M3232" s="105"/>
      <c r="N3232" s="103"/>
      <c r="O3232" s="26" t="str">
        <f t="shared" si="159"/>
        <v/>
      </c>
      <c r="P3232" s="103"/>
    </row>
    <row r="3233" ht="18" customHeight="1" spans="1:16">
      <c r="A3233" s="32" t="str">
        <f t="shared" si="160"/>
        <v/>
      </c>
      <c r="B3233" s="101"/>
      <c r="C3233" s="102"/>
      <c r="D3233" s="103"/>
      <c r="E3233" s="102"/>
      <c r="F3233" s="25" t="str">
        <f>IF($E3233="","",IFERROR(INDEX(科目表!$A$4:$A$81,MATCH($E3233,科目表!$B$4:$B$81,0)),""))</f>
        <v/>
      </c>
      <c r="G3233" s="26" t="str">
        <f>IF($E3233="","",IFERROR(INDEX(科目表!$E$4:$E$81,MATCH($E3233,科目表!$B$4:$B$81,0)),""))</f>
        <v/>
      </c>
      <c r="H3233" s="104"/>
      <c r="I3233" s="104"/>
      <c r="J3233" s="102"/>
      <c r="K3233" s="102"/>
      <c r="L3233" s="103"/>
      <c r="M3233" s="105"/>
      <c r="N3233" s="103"/>
      <c r="O3233" s="26" t="str">
        <f t="shared" si="159"/>
        <v/>
      </c>
      <c r="P3233" s="103"/>
    </row>
    <row r="3234" ht="18" customHeight="1" spans="1:16">
      <c r="A3234" s="32" t="str">
        <f t="shared" si="160"/>
        <v/>
      </c>
      <c r="B3234" s="101"/>
      <c r="C3234" s="102"/>
      <c r="D3234" s="103"/>
      <c r="E3234" s="102"/>
      <c r="F3234" s="25" t="str">
        <f>IF($E3234="","",IFERROR(INDEX(科目表!$A$4:$A$81,MATCH($E3234,科目表!$B$4:$B$81,0)),""))</f>
        <v/>
      </c>
      <c r="G3234" s="26" t="str">
        <f>IF($E3234="","",IFERROR(INDEX(科目表!$E$4:$E$81,MATCH($E3234,科目表!$B$4:$B$81,0)),""))</f>
        <v/>
      </c>
      <c r="H3234" s="104"/>
      <c r="I3234" s="104"/>
      <c r="J3234" s="102"/>
      <c r="K3234" s="102"/>
      <c r="L3234" s="103"/>
      <c r="M3234" s="105"/>
      <c r="N3234" s="103"/>
      <c r="O3234" s="26" t="str">
        <f t="shared" si="159"/>
        <v/>
      </c>
      <c r="P3234" s="103"/>
    </row>
    <row r="3235" ht="18" customHeight="1" spans="1:16">
      <c r="A3235" s="32" t="str">
        <f t="shared" si="160"/>
        <v/>
      </c>
      <c r="B3235" s="101"/>
      <c r="C3235" s="102"/>
      <c r="D3235" s="103"/>
      <c r="E3235" s="102"/>
      <c r="F3235" s="25" t="str">
        <f>IF($E3235="","",IFERROR(INDEX(科目表!$A$4:$A$81,MATCH($E3235,科目表!$B$4:$B$81,0)),""))</f>
        <v/>
      </c>
      <c r="G3235" s="26" t="str">
        <f>IF($E3235="","",IFERROR(INDEX(科目表!$E$4:$E$81,MATCH($E3235,科目表!$B$4:$B$81,0)),""))</f>
        <v/>
      </c>
      <c r="H3235" s="104"/>
      <c r="I3235" s="104"/>
      <c r="J3235" s="102"/>
      <c r="K3235" s="102"/>
      <c r="L3235" s="103"/>
      <c r="M3235" s="105"/>
      <c r="N3235" s="103"/>
      <c r="O3235" s="26" t="str">
        <f t="shared" si="159"/>
        <v/>
      </c>
      <c r="P3235" s="103"/>
    </row>
    <row r="3236" ht="18" customHeight="1" spans="1:16">
      <c r="A3236" s="32" t="str">
        <f t="shared" si="160"/>
        <v/>
      </c>
      <c r="B3236" s="101"/>
      <c r="C3236" s="102"/>
      <c r="D3236" s="103"/>
      <c r="E3236" s="102"/>
      <c r="F3236" s="25" t="str">
        <f>IF($E3236="","",IFERROR(INDEX(科目表!$A$4:$A$81,MATCH($E3236,科目表!$B$4:$B$81,0)),""))</f>
        <v/>
      </c>
      <c r="G3236" s="26" t="str">
        <f>IF($E3236="","",IFERROR(INDEX(科目表!$E$4:$E$81,MATCH($E3236,科目表!$B$4:$B$81,0)),""))</f>
        <v/>
      </c>
      <c r="H3236" s="104"/>
      <c r="I3236" s="104"/>
      <c r="J3236" s="102"/>
      <c r="K3236" s="102"/>
      <c r="L3236" s="103"/>
      <c r="M3236" s="105"/>
      <c r="N3236" s="103"/>
      <c r="O3236" s="26" t="str">
        <f t="shared" si="159"/>
        <v/>
      </c>
      <c r="P3236" s="103"/>
    </row>
    <row r="3237" ht="18" customHeight="1" spans="1:16">
      <c r="A3237" s="32" t="str">
        <f t="shared" si="160"/>
        <v/>
      </c>
      <c r="B3237" s="101"/>
      <c r="C3237" s="102"/>
      <c r="D3237" s="103"/>
      <c r="E3237" s="102"/>
      <c r="F3237" s="25" t="str">
        <f>IF($E3237="","",IFERROR(INDEX(科目表!$A$4:$A$81,MATCH($E3237,科目表!$B$4:$B$81,0)),""))</f>
        <v/>
      </c>
      <c r="G3237" s="26" t="str">
        <f>IF($E3237="","",IFERROR(INDEX(科目表!$E$4:$E$81,MATCH($E3237,科目表!$B$4:$B$81,0)),""))</f>
        <v/>
      </c>
      <c r="H3237" s="104"/>
      <c r="I3237" s="104"/>
      <c r="J3237" s="102"/>
      <c r="K3237" s="102"/>
      <c r="L3237" s="103"/>
      <c r="M3237" s="105"/>
      <c r="N3237" s="103"/>
      <c r="O3237" s="26" t="str">
        <f t="shared" si="159"/>
        <v/>
      </c>
      <c r="P3237" s="103"/>
    </row>
    <row r="3238" ht="18" customHeight="1" spans="1:16">
      <c r="A3238" s="32" t="str">
        <f t="shared" si="160"/>
        <v/>
      </c>
      <c r="B3238" s="101"/>
      <c r="C3238" s="102"/>
      <c r="D3238" s="103"/>
      <c r="E3238" s="102"/>
      <c r="F3238" s="25" t="str">
        <f>IF($E3238="","",IFERROR(INDEX(科目表!$A$4:$A$81,MATCH($E3238,科目表!$B$4:$B$81,0)),""))</f>
        <v/>
      </c>
      <c r="G3238" s="26" t="str">
        <f>IF($E3238="","",IFERROR(INDEX(科目表!$E$4:$E$81,MATCH($E3238,科目表!$B$4:$B$81,0)),""))</f>
        <v/>
      </c>
      <c r="H3238" s="104"/>
      <c r="I3238" s="104"/>
      <c r="J3238" s="102"/>
      <c r="K3238" s="102"/>
      <c r="L3238" s="103"/>
      <c r="M3238" s="105"/>
      <c r="N3238" s="103"/>
      <c r="O3238" s="26" t="str">
        <f t="shared" si="159"/>
        <v/>
      </c>
      <c r="P3238" s="103"/>
    </row>
    <row r="3239" ht="18" customHeight="1" spans="1:16">
      <c r="A3239" s="32" t="str">
        <f t="shared" si="160"/>
        <v/>
      </c>
      <c r="B3239" s="101"/>
      <c r="C3239" s="102"/>
      <c r="D3239" s="103"/>
      <c r="E3239" s="102"/>
      <c r="F3239" s="25" t="str">
        <f>IF($E3239="","",IFERROR(INDEX(科目表!$A$4:$A$81,MATCH($E3239,科目表!$B$4:$B$81,0)),""))</f>
        <v/>
      </c>
      <c r="G3239" s="26" t="str">
        <f>IF($E3239="","",IFERROR(INDEX(科目表!$E$4:$E$81,MATCH($E3239,科目表!$B$4:$B$81,0)),""))</f>
        <v/>
      </c>
      <c r="H3239" s="104"/>
      <c r="I3239" s="104"/>
      <c r="J3239" s="102"/>
      <c r="K3239" s="102"/>
      <c r="L3239" s="103"/>
      <c r="M3239" s="105"/>
      <c r="N3239" s="103"/>
      <c r="O3239" s="26" t="str">
        <f t="shared" si="159"/>
        <v/>
      </c>
      <c r="P3239" s="103"/>
    </row>
    <row r="3240" ht="18" customHeight="1" spans="1:16">
      <c r="A3240" s="32" t="str">
        <f t="shared" si="160"/>
        <v/>
      </c>
      <c r="B3240" s="101"/>
      <c r="C3240" s="102"/>
      <c r="D3240" s="103"/>
      <c r="E3240" s="102"/>
      <c r="F3240" s="25" t="str">
        <f>IF($E3240="","",IFERROR(INDEX(科目表!$A$4:$A$81,MATCH($E3240,科目表!$B$4:$B$81,0)),""))</f>
        <v/>
      </c>
      <c r="G3240" s="26" t="str">
        <f>IF($E3240="","",IFERROR(INDEX(科目表!$E$4:$E$81,MATCH($E3240,科目表!$B$4:$B$81,0)),""))</f>
        <v/>
      </c>
      <c r="H3240" s="104"/>
      <c r="I3240" s="104"/>
      <c r="J3240" s="102"/>
      <c r="K3240" s="102"/>
      <c r="L3240" s="103"/>
      <c r="M3240" s="105"/>
      <c r="N3240" s="103"/>
      <c r="O3240" s="26" t="str">
        <f t="shared" si="159"/>
        <v/>
      </c>
      <c r="P3240" s="103"/>
    </row>
    <row r="3241" ht="18" customHeight="1" spans="1:16">
      <c r="A3241" s="32" t="str">
        <f t="shared" si="160"/>
        <v/>
      </c>
      <c r="B3241" s="101"/>
      <c r="C3241" s="102"/>
      <c r="D3241" s="103"/>
      <c r="E3241" s="102"/>
      <c r="F3241" s="25" t="str">
        <f>IF($E3241="","",IFERROR(INDEX(科目表!$A$4:$A$81,MATCH($E3241,科目表!$B$4:$B$81,0)),""))</f>
        <v/>
      </c>
      <c r="G3241" s="26" t="str">
        <f>IF($E3241="","",IFERROR(INDEX(科目表!$E$4:$E$81,MATCH($E3241,科目表!$B$4:$B$81,0)),""))</f>
        <v/>
      </c>
      <c r="H3241" s="104"/>
      <c r="I3241" s="104"/>
      <c r="J3241" s="102"/>
      <c r="K3241" s="102"/>
      <c r="L3241" s="103"/>
      <c r="M3241" s="105"/>
      <c r="N3241" s="103"/>
      <c r="O3241" s="26" t="str">
        <f t="shared" si="159"/>
        <v/>
      </c>
      <c r="P3241" s="103"/>
    </row>
    <row r="3242" ht="18" customHeight="1" spans="1:16">
      <c r="A3242" s="32" t="str">
        <f t="shared" si="160"/>
        <v/>
      </c>
      <c r="B3242" s="101"/>
      <c r="C3242" s="102"/>
      <c r="D3242" s="103"/>
      <c r="E3242" s="102"/>
      <c r="F3242" s="25" t="str">
        <f>IF($E3242="","",IFERROR(INDEX(科目表!$A$4:$A$81,MATCH($E3242,科目表!$B$4:$B$81,0)),""))</f>
        <v/>
      </c>
      <c r="G3242" s="26" t="str">
        <f>IF($E3242="","",IFERROR(INDEX(科目表!$E$4:$E$81,MATCH($E3242,科目表!$B$4:$B$81,0)),""))</f>
        <v/>
      </c>
      <c r="H3242" s="104"/>
      <c r="I3242" s="104"/>
      <c r="J3242" s="102"/>
      <c r="K3242" s="102"/>
      <c r="L3242" s="103"/>
      <c r="M3242" s="105"/>
      <c r="N3242" s="103"/>
      <c r="O3242" s="26" t="str">
        <f t="shared" si="159"/>
        <v/>
      </c>
      <c r="P3242" s="103"/>
    </row>
    <row r="3243" ht="18" customHeight="1" spans="1:16">
      <c r="A3243" s="32" t="str">
        <f t="shared" si="160"/>
        <v/>
      </c>
      <c r="B3243" s="101"/>
      <c r="C3243" s="102"/>
      <c r="D3243" s="103"/>
      <c r="E3243" s="102"/>
      <c r="F3243" s="25" t="str">
        <f>IF($E3243="","",IFERROR(INDEX(科目表!$A$4:$A$81,MATCH($E3243,科目表!$B$4:$B$81,0)),""))</f>
        <v/>
      </c>
      <c r="G3243" s="26" t="str">
        <f>IF($E3243="","",IFERROR(INDEX(科目表!$E$4:$E$81,MATCH($E3243,科目表!$B$4:$B$81,0)),""))</f>
        <v/>
      </c>
      <c r="H3243" s="104"/>
      <c r="I3243" s="104"/>
      <c r="J3243" s="102"/>
      <c r="K3243" s="102"/>
      <c r="L3243" s="103"/>
      <c r="M3243" s="105"/>
      <c r="N3243" s="103"/>
      <c r="O3243" s="26" t="str">
        <f t="shared" si="159"/>
        <v/>
      </c>
      <c r="P3243" s="103"/>
    </row>
    <row r="3244" ht="18" customHeight="1" spans="1:16">
      <c r="A3244" s="32" t="str">
        <f t="shared" si="160"/>
        <v/>
      </c>
      <c r="B3244" s="101"/>
      <c r="C3244" s="102"/>
      <c r="D3244" s="103"/>
      <c r="E3244" s="102"/>
      <c r="F3244" s="25" t="str">
        <f>IF($E3244="","",IFERROR(INDEX(科目表!$A$4:$A$81,MATCH($E3244,科目表!$B$4:$B$81,0)),""))</f>
        <v/>
      </c>
      <c r="G3244" s="26" t="str">
        <f>IF($E3244="","",IFERROR(INDEX(科目表!$E$4:$E$81,MATCH($E3244,科目表!$B$4:$B$81,0)),""))</f>
        <v/>
      </c>
      <c r="H3244" s="104"/>
      <c r="I3244" s="104"/>
      <c r="J3244" s="102"/>
      <c r="K3244" s="102"/>
      <c r="L3244" s="103"/>
      <c r="M3244" s="105"/>
      <c r="N3244" s="103"/>
      <c r="O3244" s="26" t="str">
        <f t="shared" si="159"/>
        <v/>
      </c>
      <c r="P3244" s="103"/>
    </row>
    <row r="3245" ht="18" customHeight="1" spans="1:16">
      <c r="A3245" s="32" t="str">
        <f t="shared" si="160"/>
        <v/>
      </c>
      <c r="B3245" s="101"/>
      <c r="C3245" s="102"/>
      <c r="D3245" s="103"/>
      <c r="E3245" s="102"/>
      <c r="F3245" s="25" t="str">
        <f>IF($E3245="","",IFERROR(INDEX(科目表!$A$4:$A$81,MATCH($E3245,科目表!$B$4:$B$81,0)),""))</f>
        <v/>
      </c>
      <c r="G3245" s="26" t="str">
        <f>IF($E3245="","",IFERROR(INDEX(科目表!$E$4:$E$81,MATCH($E3245,科目表!$B$4:$B$81,0)),""))</f>
        <v/>
      </c>
      <c r="H3245" s="104"/>
      <c r="I3245" s="104"/>
      <c r="J3245" s="102"/>
      <c r="K3245" s="102"/>
      <c r="L3245" s="103"/>
      <c r="M3245" s="105"/>
      <c r="N3245" s="103"/>
      <c r="O3245" s="26" t="str">
        <f t="shared" si="159"/>
        <v/>
      </c>
      <c r="P3245" s="103"/>
    </row>
    <row r="3246" ht="18" customHeight="1" spans="1:16">
      <c r="A3246" s="32" t="str">
        <f t="shared" si="160"/>
        <v/>
      </c>
      <c r="B3246" s="101"/>
      <c r="C3246" s="102"/>
      <c r="D3246" s="103"/>
      <c r="E3246" s="102"/>
      <c r="F3246" s="25" t="str">
        <f>IF($E3246="","",IFERROR(INDEX(科目表!$A$4:$A$81,MATCH($E3246,科目表!$B$4:$B$81,0)),""))</f>
        <v/>
      </c>
      <c r="G3246" s="26" t="str">
        <f>IF($E3246="","",IFERROR(INDEX(科目表!$E$4:$E$81,MATCH($E3246,科目表!$B$4:$B$81,0)),""))</f>
        <v/>
      </c>
      <c r="H3246" s="104"/>
      <c r="I3246" s="104"/>
      <c r="J3246" s="102"/>
      <c r="K3246" s="102"/>
      <c r="L3246" s="103"/>
      <c r="M3246" s="105"/>
      <c r="N3246" s="103"/>
      <c r="O3246" s="26" t="str">
        <f t="shared" si="159"/>
        <v/>
      </c>
      <c r="P3246" s="103"/>
    </row>
    <row r="3247" ht="18" customHeight="1" spans="1:16">
      <c r="A3247" s="32" t="str">
        <f t="shared" si="160"/>
        <v/>
      </c>
      <c r="B3247" s="101"/>
      <c r="C3247" s="102"/>
      <c r="D3247" s="103"/>
      <c r="E3247" s="102"/>
      <c r="F3247" s="25" t="str">
        <f>IF($E3247="","",IFERROR(INDEX(科目表!$A$4:$A$81,MATCH($E3247,科目表!$B$4:$B$81,0)),""))</f>
        <v/>
      </c>
      <c r="G3247" s="26" t="str">
        <f>IF($E3247="","",IFERROR(INDEX(科目表!$E$4:$E$81,MATCH($E3247,科目表!$B$4:$B$81,0)),""))</f>
        <v/>
      </c>
      <c r="H3247" s="104"/>
      <c r="I3247" s="104"/>
      <c r="J3247" s="102"/>
      <c r="K3247" s="102"/>
      <c r="L3247" s="103"/>
      <c r="M3247" s="105"/>
      <c r="N3247" s="103"/>
      <c r="O3247" s="26" t="str">
        <f t="shared" si="159"/>
        <v/>
      </c>
      <c r="P3247" s="103"/>
    </row>
    <row r="3248" ht="18" customHeight="1" spans="1:16">
      <c r="A3248" s="32" t="str">
        <f t="shared" si="160"/>
        <v/>
      </c>
      <c r="B3248" s="101"/>
      <c r="C3248" s="102"/>
      <c r="D3248" s="103"/>
      <c r="E3248" s="102"/>
      <c r="F3248" s="25" t="str">
        <f>IF($E3248="","",IFERROR(INDEX(科目表!$A$4:$A$81,MATCH($E3248,科目表!$B$4:$B$81,0)),""))</f>
        <v/>
      </c>
      <c r="G3248" s="26" t="str">
        <f>IF($E3248="","",IFERROR(INDEX(科目表!$E$4:$E$81,MATCH($E3248,科目表!$B$4:$B$81,0)),""))</f>
        <v/>
      </c>
      <c r="H3248" s="104"/>
      <c r="I3248" s="104"/>
      <c r="J3248" s="102"/>
      <c r="K3248" s="102"/>
      <c r="L3248" s="103"/>
      <c r="M3248" s="105"/>
      <c r="N3248" s="103"/>
      <c r="O3248" s="26" t="str">
        <f t="shared" si="159"/>
        <v/>
      </c>
      <c r="P3248" s="103"/>
    </row>
    <row r="3249" ht="18" customHeight="1" spans="1:16">
      <c r="A3249" s="32" t="str">
        <f t="shared" si="160"/>
        <v/>
      </c>
      <c r="B3249" s="101"/>
      <c r="C3249" s="102"/>
      <c r="D3249" s="103"/>
      <c r="E3249" s="102"/>
      <c r="F3249" s="25" t="str">
        <f>IF($E3249="","",IFERROR(INDEX(科目表!$A$4:$A$81,MATCH($E3249,科目表!$B$4:$B$81,0)),""))</f>
        <v/>
      </c>
      <c r="G3249" s="26" t="str">
        <f>IF($E3249="","",IFERROR(INDEX(科目表!$E$4:$E$81,MATCH($E3249,科目表!$B$4:$B$81,0)),""))</f>
        <v/>
      </c>
      <c r="H3249" s="104"/>
      <c r="I3249" s="104"/>
      <c r="J3249" s="102"/>
      <c r="K3249" s="102"/>
      <c r="L3249" s="103"/>
      <c r="M3249" s="105"/>
      <c r="N3249" s="103"/>
      <c r="O3249" s="26" t="str">
        <f t="shared" si="159"/>
        <v/>
      </c>
      <c r="P3249" s="103"/>
    </row>
    <row r="3250" ht="18" customHeight="1" spans="1:16">
      <c r="A3250" s="32" t="str">
        <f t="shared" si="160"/>
        <v/>
      </c>
      <c r="B3250" s="101"/>
      <c r="C3250" s="102"/>
      <c r="D3250" s="103"/>
      <c r="E3250" s="102"/>
      <c r="F3250" s="25" t="str">
        <f>IF($E3250="","",IFERROR(INDEX(科目表!$A$4:$A$81,MATCH($E3250,科目表!$B$4:$B$81,0)),""))</f>
        <v/>
      </c>
      <c r="G3250" s="26" t="str">
        <f>IF($E3250="","",IFERROR(INDEX(科目表!$E$4:$E$81,MATCH($E3250,科目表!$B$4:$B$81,0)),""))</f>
        <v/>
      </c>
      <c r="H3250" s="104"/>
      <c r="I3250" s="104"/>
      <c r="J3250" s="102"/>
      <c r="K3250" s="102"/>
      <c r="L3250" s="103"/>
      <c r="M3250" s="105"/>
      <c r="N3250" s="103"/>
      <c r="O3250" s="26" t="str">
        <f t="shared" si="159"/>
        <v/>
      </c>
      <c r="P3250" s="103"/>
    </row>
    <row r="3251" ht="18" customHeight="1" spans="1:16">
      <c r="A3251" s="32" t="str">
        <f t="shared" si="160"/>
        <v/>
      </c>
      <c r="B3251" s="101"/>
      <c r="C3251" s="102"/>
      <c r="D3251" s="103"/>
      <c r="E3251" s="102"/>
      <c r="F3251" s="25" t="str">
        <f>IF($E3251="","",IFERROR(INDEX(科目表!$A$4:$A$81,MATCH($E3251,科目表!$B$4:$B$81,0)),""))</f>
        <v/>
      </c>
      <c r="G3251" s="26" t="str">
        <f>IF($E3251="","",IFERROR(INDEX(科目表!$E$4:$E$81,MATCH($E3251,科目表!$B$4:$B$81,0)),""))</f>
        <v/>
      </c>
      <c r="H3251" s="104"/>
      <c r="I3251" s="104"/>
      <c r="J3251" s="102"/>
      <c r="K3251" s="102"/>
      <c r="L3251" s="103"/>
      <c r="M3251" s="105"/>
      <c r="N3251" s="103"/>
      <c r="O3251" s="26" t="str">
        <f t="shared" si="159"/>
        <v/>
      </c>
      <c r="P3251" s="103"/>
    </row>
    <row r="3252" ht="18" customHeight="1" spans="1:16">
      <c r="A3252" s="32" t="str">
        <f t="shared" si="160"/>
        <v/>
      </c>
      <c r="B3252" s="101"/>
      <c r="C3252" s="102"/>
      <c r="D3252" s="103"/>
      <c r="E3252" s="102"/>
      <c r="F3252" s="25" t="str">
        <f>IF($E3252="","",IFERROR(INDEX(科目表!$A$4:$A$81,MATCH($E3252,科目表!$B$4:$B$81,0)),""))</f>
        <v/>
      </c>
      <c r="G3252" s="26" t="str">
        <f>IF($E3252="","",IFERROR(INDEX(科目表!$E$4:$E$81,MATCH($E3252,科目表!$B$4:$B$81,0)),""))</f>
        <v/>
      </c>
      <c r="H3252" s="104"/>
      <c r="I3252" s="104"/>
      <c r="J3252" s="102"/>
      <c r="K3252" s="102"/>
      <c r="L3252" s="103"/>
      <c r="M3252" s="105"/>
      <c r="N3252" s="103"/>
      <c r="O3252" s="26" t="str">
        <f t="shared" si="159"/>
        <v/>
      </c>
      <c r="P3252" s="103"/>
    </row>
    <row r="3253" ht="18" customHeight="1" spans="1:16">
      <c r="A3253" s="32" t="str">
        <f t="shared" si="160"/>
        <v/>
      </c>
      <c r="B3253" s="101"/>
      <c r="C3253" s="102"/>
      <c r="D3253" s="103"/>
      <c r="E3253" s="102"/>
      <c r="F3253" s="25" t="str">
        <f>IF($E3253="","",IFERROR(INDEX(科目表!$A$4:$A$81,MATCH($E3253,科目表!$B$4:$B$81,0)),""))</f>
        <v/>
      </c>
      <c r="G3253" s="26" t="str">
        <f>IF($E3253="","",IFERROR(INDEX(科目表!$E$4:$E$81,MATCH($E3253,科目表!$B$4:$B$81,0)),""))</f>
        <v/>
      </c>
      <c r="H3253" s="104"/>
      <c r="I3253" s="104"/>
      <c r="J3253" s="102"/>
      <c r="K3253" s="102"/>
      <c r="L3253" s="103"/>
      <c r="M3253" s="105"/>
      <c r="N3253" s="103"/>
      <c r="O3253" s="26" t="str">
        <f t="shared" si="159"/>
        <v/>
      </c>
      <c r="P3253" s="103"/>
    </row>
    <row r="3254" ht="18" customHeight="1" spans="1:16">
      <c r="A3254" s="32" t="str">
        <f t="shared" si="160"/>
        <v/>
      </c>
      <c r="B3254" s="101"/>
      <c r="C3254" s="102"/>
      <c r="D3254" s="103"/>
      <c r="E3254" s="102"/>
      <c r="F3254" s="25" t="str">
        <f>IF($E3254="","",IFERROR(INDEX(科目表!$A$4:$A$81,MATCH($E3254,科目表!$B$4:$B$81,0)),""))</f>
        <v/>
      </c>
      <c r="G3254" s="26" t="str">
        <f>IF($E3254="","",IFERROR(INDEX(科目表!$E$4:$E$81,MATCH($E3254,科目表!$B$4:$B$81,0)),""))</f>
        <v/>
      </c>
      <c r="H3254" s="104"/>
      <c r="I3254" s="104"/>
      <c r="J3254" s="102"/>
      <c r="K3254" s="102"/>
      <c r="L3254" s="103"/>
      <c r="M3254" s="105"/>
      <c r="N3254" s="103"/>
      <c r="O3254" s="26" t="str">
        <f t="shared" si="159"/>
        <v/>
      </c>
      <c r="P3254" s="103"/>
    </row>
    <row r="3255" ht="18" customHeight="1" spans="1:16">
      <c r="A3255" s="32" t="str">
        <f t="shared" si="160"/>
        <v/>
      </c>
      <c r="B3255" s="101"/>
      <c r="C3255" s="102"/>
      <c r="D3255" s="103"/>
      <c r="E3255" s="102"/>
      <c r="F3255" s="25" t="str">
        <f>IF($E3255="","",IFERROR(INDEX(科目表!$A$4:$A$81,MATCH($E3255,科目表!$B$4:$B$81,0)),""))</f>
        <v/>
      </c>
      <c r="G3255" s="26" t="str">
        <f>IF($E3255="","",IFERROR(INDEX(科目表!$E$4:$E$81,MATCH($E3255,科目表!$B$4:$B$81,0)),""))</f>
        <v/>
      </c>
      <c r="H3255" s="104"/>
      <c r="I3255" s="104"/>
      <c r="J3255" s="102"/>
      <c r="K3255" s="102"/>
      <c r="L3255" s="103"/>
      <c r="M3255" s="105"/>
      <c r="N3255" s="103"/>
      <c r="O3255" s="26" t="str">
        <f t="shared" si="159"/>
        <v/>
      </c>
      <c r="P3255" s="103"/>
    </row>
    <row r="3256" ht="18" customHeight="1" spans="1:16">
      <c r="A3256" s="32" t="str">
        <f t="shared" si="160"/>
        <v/>
      </c>
      <c r="B3256" s="101"/>
      <c r="C3256" s="102"/>
      <c r="D3256" s="103"/>
      <c r="E3256" s="102"/>
      <c r="F3256" s="25" t="str">
        <f>IF($E3256="","",IFERROR(INDEX(科目表!$A$4:$A$81,MATCH($E3256,科目表!$B$4:$B$81,0)),""))</f>
        <v/>
      </c>
      <c r="G3256" s="26" t="str">
        <f>IF($E3256="","",IFERROR(INDEX(科目表!$E$4:$E$81,MATCH($E3256,科目表!$B$4:$B$81,0)),""))</f>
        <v/>
      </c>
      <c r="H3256" s="104"/>
      <c r="I3256" s="104"/>
      <c r="J3256" s="102"/>
      <c r="K3256" s="102"/>
      <c r="L3256" s="103"/>
      <c r="M3256" s="105"/>
      <c r="N3256" s="103"/>
      <c r="O3256" s="26" t="str">
        <f t="shared" si="159"/>
        <v/>
      </c>
      <c r="P3256" s="103"/>
    </row>
    <row r="3257" ht="18" customHeight="1" spans="1:16">
      <c r="A3257" s="32" t="str">
        <f t="shared" si="160"/>
        <v/>
      </c>
      <c r="B3257" s="101"/>
      <c r="C3257" s="102"/>
      <c r="D3257" s="103"/>
      <c r="E3257" s="102"/>
      <c r="F3257" s="25" t="str">
        <f>IF($E3257="","",IFERROR(INDEX(科目表!$A$4:$A$81,MATCH($E3257,科目表!$B$4:$B$81,0)),""))</f>
        <v/>
      </c>
      <c r="G3257" s="26" t="str">
        <f>IF($E3257="","",IFERROR(INDEX(科目表!$E$4:$E$81,MATCH($E3257,科目表!$B$4:$B$81,0)),""))</f>
        <v/>
      </c>
      <c r="H3257" s="104"/>
      <c r="I3257" s="104"/>
      <c r="J3257" s="102"/>
      <c r="K3257" s="102"/>
      <c r="L3257" s="103"/>
      <c r="M3257" s="105"/>
      <c r="N3257" s="103"/>
      <c r="O3257" s="26" t="str">
        <f t="shared" si="159"/>
        <v/>
      </c>
      <c r="P3257" s="103"/>
    </row>
    <row r="3258" ht="18" customHeight="1" spans="1:16">
      <c r="A3258" s="32" t="str">
        <f t="shared" si="160"/>
        <v/>
      </c>
      <c r="B3258" s="101"/>
      <c r="C3258" s="102"/>
      <c r="D3258" s="103"/>
      <c r="E3258" s="102"/>
      <c r="F3258" s="25" t="str">
        <f>IF($E3258="","",IFERROR(INDEX(科目表!$A$4:$A$81,MATCH($E3258,科目表!$B$4:$B$81,0)),""))</f>
        <v/>
      </c>
      <c r="G3258" s="26" t="str">
        <f>IF($E3258="","",IFERROR(INDEX(科目表!$E$4:$E$81,MATCH($E3258,科目表!$B$4:$B$81,0)),""))</f>
        <v/>
      </c>
      <c r="H3258" s="104"/>
      <c r="I3258" s="104"/>
      <c r="J3258" s="102"/>
      <c r="K3258" s="102"/>
      <c r="L3258" s="103"/>
      <c r="M3258" s="105"/>
      <c r="N3258" s="103"/>
      <c r="O3258" s="26" t="str">
        <f t="shared" si="159"/>
        <v/>
      </c>
      <c r="P3258" s="103"/>
    </row>
    <row r="3259" ht="18" customHeight="1" spans="1:16">
      <c r="A3259" s="32" t="str">
        <f t="shared" si="160"/>
        <v/>
      </c>
      <c r="B3259" s="101"/>
      <c r="C3259" s="102"/>
      <c r="D3259" s="103"/>
      <c r="E3259" s="102"/>
      <c r="F3259" s="25" t="str">
        <f>IF($E3259="","",IFERROR(INDEX(科目表!$A$4:$A$81,MATCH($E3259,科目表!$B$4:$B$81,0)),""))</f>
        <v/>
      </c>
      <c r="G3259" s="26" t="str">
        <f>IF($E3259="","",IFERROR(INDEX(科目表!$E$4:$E$81,MATCH($E3259,科目表!$B$4:$B$81,0)),""))</f>
        <v/>
      </c>
      <c r="H3259" s="104"/>
      <c r="I3259" s="104"/>
      <c r="J3259" s="102"/>
      <c r="K3259" s="102"/>
      <c r="L3259" s="103"/>
      <c r="M3259" s="105"/>
      <c r="N3259" s="103"/>
      <c r="O3259" s="26" t="str">
        <f t="shared" si="159"/>
        <v/>
      </c>
      <c r="P3259" s="103"/>
    </row>
    <row r="3260" ht="18" customHeight="1" spans="1:16">
      <c r="A3260" s="32" t="str">
        <f t="shared" si="160"/>
        <v/>
      </c>
      <c r="B3260" s="101"/>
      <c r="C3260" s="102"/>
      <c r="D3260" s="103"/>
      <c r="E3260" s="102"/>
      <c r="F3260" s="25" t="str">
        <f>IF($E3260="","",IFERROR(INDEX(科目表!$A$4:$A$81,MATCH($E3260,科目表!$B$4:$B$81,0)),""))</f>
        <v/>
      </c>
      <c r="G3260" s="26" t="str">
        <f>IF($E3260="","",IFERROR(INDEX(科目表!$E$4:$E$81,MATCH($E3260,科目表!$B$4:$B$81,0)),""))</f>
        <v/>
      </c>
      <c r="H3260" s="104"/>
      <c r="I3260" s="104"/>
      <c r="J3260" s="102"/>
      <c r="K3260" s="102"/>
      <c r="L3260" s="103"/>
      <c r="M3260" s="105"/>
      <c r="N3260" s="103"/>
      <c r="O3260" s="26" t="str">
        <f t="shared" si="159"/>
        <v/>
      </c>
      <c r="P3260" s="103"/>
    </row>
    <row r="3261" ht="18" customHeight="1" spans="1:16">
      <c r="A3261" s="32" t="str">
        <f t="shared" si="160"/>
        <v/>
      </c>
      <c r="B3261" s="101"/>
      <c r="C3261" s="102"/>
      <c r="D3261" s="103"/>
      <c r="E3261" s="102"/>
      <c r="F3261" s="25" t="str">
        <f>IF($E3261="","",IFERROR(INDEX(科目表!$A$4:$A$81,MATCH($E3261,科目表!$B$4:$B$81,0)),""))</f>
        <v/>
      </c>
      <c r="G3261" s="26" t="str">
        <f>IF($E3261="","",IFERROR(INDEX(科目表!$E$4:$E$81,MATCH($E3261,科目表!$B$4:$B$81,0)),""))</f>
        <v/>
      </c>
      <c r="H3261" s="104"/>
      <c r="I3261" s="104"/>
      <c r="J3261" s="102"/>
      <c r="K3261" s="102"/>
      <c r="L3261" s="103"/>
      <c r="M3261" s="105"/>
      <c r="N3261" s="103"/>
      <c r="O3261" s="26" t="str">
        <f t="shared" si="159"/>
        <v/>
      </c>
      <c r="P3261" s="103"/>
    </row>
    <row r="3262" ht="18" customHeight="1" spans="1:16">
      <c r="A3262" s="32" t="str">
        <f t="shared" si="160"/>
        <v/>
      </c>
      <c r="B3262" s="101"/>
      <c r="C3262" s="102"/>
      <c r="D3262" s="103"/>
      <c r="E3262" s="102"/>
      <c r="F3262" s="25" t="str">
        <f>IF($E3262="","",IFERROR(INDEX(科目表!$A$4:$A$81,MATCH($E3262,科目表!$B$4:$B$81,0)),""))</f>
        <v/>
      </c>
      <c r="G3262" s="26" t="str">
        <f>IF($E3262="","",IFERROR(INDEX(科目表!$E$4:$E$81,MATCH($E3262,科目表!$B$4:$B$81,0)),""))</f>
        <v/>
      </c>
      <c r="H3262" s="104"/>
      <c r="I3262" s="104"/>
      <c r="J3262" s="102"/>
      <c r="K3262" s="102"/>
      <c r="L3262" s="103"/>
      <c r="M3262" s="105"/>
      <c r="N3262" s="103"/>
      <c r="O3262" s="26" t="str">
        <f t="shared" si="159"/>
        <v/>
      </c>
      <c r="P3262" s="103"/>
    </row>
    <row r="3263" ht="18" customHeight="1" spans="1:16">
      <c r="A3263" s="32" t="str">
        <f t="shared" si="160"/>
        <v/>
      </c>
      <c r="B3263" s="101"/>
      <c r="C3263" s="102"/>
      <c r="D3263" s="103"/>
      <c r="E3263" s="102"/>
      <c r="F3263" s="25" t="str">
        <f>IF($E3263="","",IFERROR(INDEX(科目表!$A$4:$A$81,MATCH($E3263,科目表!$B$4:$B$81,0)),""))</f>
        <v/>
      </c>
      <c r="G3263" s="26" t="str">
        <f>IF($E3263="","",IFERROR(INDEX(科目表!$E$4:$E$81,MATCH($E3263,科目表!$B$4:$B$81,0)),""))</f>
        <v/>
      </c>
      <c r="H3263" s="104"/>
      <c r="I3263" s="104"/>
      <c r="J3263" s="102"/>
      <c r="K3263" s="102"/>
      <c r="L3263" s="103"/>
      <c r="M3263" s="105"/>
      <c r="N3263" s="103"/>
      <c r="O3263" s="26" t="str">
        <f t="shared" si="159"/>
        <v/>
      </c>
      <c r="P3263" s="103"/>
    </row>
    <row r="3264" ht="18" customHeight="1" spans="1:16">
      <c r="A3264" s="32" t="str">
        <f t="shared" si="160"/>
        <v/>
      </c>
      <c r="B3264" s="101"/>
      <c r="C3264" s="102"/>
      <c r="D3264" s="103"/>
      <c r="E3264" s="102"/>
      <c r="F3264" s="25" t="str">
        <f>IF($E3264="","",IFERROR(INDEX(科目表!$A$4:$A$81,MATCH($E3264,科目表!$B$4:$B$81,0)),""))</f>
        <v/>
      </c>
      <c r="G3264" s="26" t="str">
        <f>IF($E3264="","",IFERROR(INDEX(科目表!$E$4:$E$81,MATCH($E3264,科目表!$B$4:$B$81,0)),""))</f>
        <v/>
      </c>
      <c r="H3264" s="104"/>
      <c r="I3264" s="104"/>
      <c r="J3264" s="102"/>
      <c r="K3264" s="102"/>
      <c r="L3264" s="103"/>
      <c r="M3264" s="105"/>
      <c r="N3264" s="103"/>
      <c r="O3264" s="26" t="str">
        <f t="shared" si="159"/>
        <v/>
      </c>
      <c r="P3264" s="103"/>
    </row>
    <row r="3265" ht="18" customHeight="1" spans="1:16">
      <c r="A3265" s="32" t="str">
        <f t="shared" si="160"/>
        <v/>
      </c>
      <c r="B3265" s="101"/>
      <c r="C3265" s="102"/>
      <c r="D3265" s="103"/>
      <c r="E3265" s="102"/>
      <c r="F3265" s="25" t="str">
        <f>IF($E3265="","",IFERROR(INDEX(科目表!$A$4:$A$81,MATCH($E3265,科目表!$B$4:$B$81,0)),""))</f>
        <v/>
      </c>
      <c r="G3265" s="26" t="str">
        <f>IF($E3265="","",IFERROR(INDEX(科目表!$E$4:$E$81,MATCH($E3265,科目表!$B$4:$B$81,0)),""))</f>
        <v/>
      </c>
      <c r="H3265" s="104"/>
      <c r="I3265" s="104"/>
      <c r="J3265" s="102"/>
      <c r="K3265" s="102"/>
      <c r="L3265" s="103"/>
      <c r="M3265" s="105"/>
      <c r="N3265" s="103"/>
      <c r="O3265" s="26" t="str">
        <f t="shared" si="159"/>
        <v/>
      </c>
      <c r="P3265" s="103"/>
    </row>
    <row r="3266" ht="18" customHeight="1" spans="1:16">
      <c r="A3266" s="32" t="str">
        <f t="shared" si="160"/>
        <v/>
      </c>
      <c r="B3266" s="101"/>
      <c r="C3266" s="102"/>
      <c r="D3266" s="103"/>
      <c r="E3266" s="102"/>
      <c r="F3266" s="25" t="str">
        <f>IF($E3266="","",IFERROR(INDEX(科目表!$A$4:$A$81,MATCH($E3266,科目表!$B$4:$B$81,0)),""))</f>
        <v/>
      </c>
      <c r="G3266" s="26" t="str">
        <f>IF($E3266="","",IFERROR(INDEX(科目表!$E$4:$E$81,MATCH($E3266,科目表!$B$4:$B$81,0)),""))</f>
        <v/>
      </c>
      <c r="H3266" s="104"/>
      <c r="I3266" s="104"/>
      <c r="J3266" s="102"/>
      <c r="K3266" s="102"/>
      <c r="L3266" s="103"/>
      <c r="M3266" s="105"/>
      <c r="N3266" s="103"/>
      <c r="O3266" s="26" t="str">
        <f t="shared" ref="O3266:O3329" si="161">IF($E3266="","","手工")</f>
        <v/>
      </c>
      <c r="P3266" s="103"/>
    </row>
    <row r="3267" ht="18" customHeight="1" spans="1:16">
      <c r="A3267" s="32" t="str">
        <f t="shared" si="160"/>
        <v/>
      </c>
      <c r="B3267" s="101"/>
      <c r="C3267" s="102"/>
      <c r="D3267" s="103"/>
      <c r="E3267" s="102"/>
      <c r="F3267" s="25" t="str">
        <f>IF($E3267="","",IFERROR(INDEX(科目表!$A$4:$A$81,MATCH($E3267,科目表!$B$4:$B$81,0)),""))</f>
        <v/>
      </c>
      <c r="G3267" s="26" t="str">
        <f>IF($E3267="","",IFERROR(INDEX(科目表!$E$4:$E$81,MATCH($E3267,科目表!$B$4:$B$81,0)),""))</f>
        <v/>
      </c>
      <c r="H3267" s="104"/>
      <c r="I3267" s="104"/>
      <c r="J3267" s="102"/>
      <c r="K3267" s="102"/>
      <c r="L3267" s="103"/>
      <c r="M3267" s="105"/>
      <c r="N3267" s="103"/>
      <c r="O3267" s="26" t="str">
        <f t="shared" si="161"/>
        <v/>
      </c>
      <c r="P3267" s="103"/>
    </row>
    <row r="3268" ht="18" customHeight="1" spans="1:16">
      <c r="A3268" s="32" t="str">
        <f t="shared" ref="A3268:A3331" si="162">IF($E3268="","",ROW()-3)</f>
        <v/>
      </c>
      <c r="B3268" s="101"/>
      <c r="C3268" s="102"/>
      <c r="D3268" s="103"/>
      <c r="E3268" s="102"/>
      <c r="F3268" s="25" t="str">
        <f>IF($E3268="","",IFERROR(INDEX(科目表!$A$4:$A$81,MATCH($E3268,科目表!$B$4:$B$81,0)),""))</f>
        <v/>
      </c>
      <c r="G3268" s="26" t="str">
        <f>IF($E3268="","",IFERROR(INDEX(科目表!$E$4:$E$81,MATCH($E3268,科目表!$B$4:$B$81,0)),""))</f>
        <v/>
      </c>
      <c r="H3268" s="104"/>
      <c r="I3268" s="104"/>
      <c r="J3268" s="102"/>
      <c r="K3268" s="102"/>
      <c r="L3268" s="103"/>
      <c r="M3268" s="105"/>
      <c r="N3268" s="103"/>
      <c r="O3268" s="26" t="str">
        <f t="shared" si="161"/>
        <v/>
      </c>
      <c r="P3268" s="103"/>
    </row>
    <row r="3269" ht="18" customHeight="1" spans="1:16">
      <c r="A3269" s="32" t="str">
        <f t="shared" si="162"/>
        <v/>
      </c>
      <c r="B3269" s="101"/>
      <c r="C3269" s="102"/>
      <c r="D3269" s="103"/>
      <c r="E3269" s="102"/>
      <c r="F3269" s="25" t="str">
        <f>IF($E3269="","",IFERROR(INDEX(科目表!$A$4:$A$81,MATCH($E3269,科目表!$B$4:$B$81,0)),""))</f>
        <v/>
      </c>
      <c r="G3269" s="26" t="str">
        <f>IF($E3269="","",IFERROR(INDEX(科目表!$E$4:$E$81,MATCH($E3269,科目表!$B$4:$B$81,0)),""))</f>
        <v/>
      </c>
      <c r="H3269" s="104"/>
      <c r="I3269" s="104"/>
      <c r="J3269" s="102"/>
      <c r="K3269" s="102"/>
      <c r="L3269" s="103"/>
      <c r="M3269" s="105"/>
      <c r="N3269" s="103"/>
      <c r="O3269" s="26" t="str">
        <f t="shared" si="161"/>
        <v/>
      </c>
      <c r="P3269" s="103"/>
    </row>
    <row r="3270" ht="18" customHeight="1" spans="1:16">
      <c r="A3270" s="32" t="str">
        <f t="shared" si="162"/>
        <v/>
      </c>
      <c r="B3270" s="101"/>
      <c r="C3270" s="102"/>
      <c r="D3270" s="103"/>
      <c r="E3270" s="102"/>
      <c r="F3270" s="25" t="str">
        <f>IF($E3270="","",IFERROR(INDEX(科目表!$A$4:$A$81,MATCH($E3270,科目表!$B$4:$B$81,0)),""))</f>
        <v/>
      </c>
      <c r="G3270" s="26" t="str">
        <f>IF($E3270="","",IFERROR(INDEX(科目表!$E$4:$E$81,MATCH($E3270,科目表!$B$4:$B$81,0)),""))</f>
        <v/>
      </c>
      <c r="H3270" s="104"/>
      <c r="I3270" s="104"/>
      <c r="J3270" s="102"/>
      <c r="K3270" s="102"/>
      <c r="L3270" s="103"/>
      <c r="M3270" s="105"/>
      <c r="N3270" s="103"/>
      <c r="O3270" s="26" t="str">
        <f t="shared" si="161"/>
        <v/>
      </c>
      <c r="P3270" s="103"/>
    </row>
    <row r="3271" ht="18" customHeight="1" spans="1:16">
      <c r="A3271" s="32" t="str">
        <f t="shared" si="162"/>
        <v/>
      </c>
      <c r="B3271" s="101"/>
      <c r="C3271" s="102"/>
      <c r="D3271" s="103"/>
      <c r="E3271" s="102"/>
      <c r="F3271" s="25" t="str">
        <f>IF($E3271="","",IFERROR(INDEX(科目表!$A$4:$A$81,MATCH($E3271,科目表!$B$4:$B$81,0)),""))</f>
        <v/>
      </c>
      <c r="G3271" s="26" t="str">
        <f>IF($E3271="","",IFERROR(INDEX(科目表!$E$4:$E$81,MATCH($E3271,科目表!$B$4:$B$81,0)),""))</f>
        <v/>
      </c>
      <c r="H3271" s="104"/>
      <c r="I3271" s="104"/>
      <c r="J3271" s="102"/>
      <c r="K3271" s="102"/>
      <c r="L3271" s="103"/>
      <c r="M3271" s="105"/>
      <c r="N3271" s="103"/>
      <c r="O3271" s="26" t="str">
        <f t="shared" si="161"/>
        <v/>
      </c>
      <c r="P3271" s="103"/>
    </row>
    <row r="3272" ht="18" customHeight="1" spans="1:16">
      <c r="A3272" s="32" t="str">
        <f t="shared" si="162"/>
        <v/>
      </c>
      <c r="B3272" s="101"/>
      <c r="C3272" s="102"/>
      <c r="D3272" s="103"/>
      <c r="E3272" s="102"/>
      <c r="F3272" s="25" t="str">
        <f>IF($E3272="","",IFERROR(INDEX(科目表!$A$4:$A$81,MATCH($E3272,科目表!$B$4:$B$81,0)),""))</f>
        <v/>
      </c>
      <c r="G3272" s="26" t="str">
        <f>IF($E3272="","",IFERROR(INDEX(科目表!$E$4:$E$81,MATCH($E3272,科目表!$B$4:$B$81,0)),""))</f>
        <v/>
      </c>
      <c r="H3272" s="104"/>
      <c r="I3272" s="104"/>
      <c r="J3272" s="102"/>
      <c r="K3272" s="102"/>
      <c r="L3272" s="103"/>
      <c r="M3272" s="105"/>
      <c r="N3272" s="103"/>
      <c r="O3272" s="26" t="str">
        <f t="shared" si="161"/>
        <v/>
      </c>
      <c r="P3272" s="103"/>
    </row>
    <row r="3273" ht="18" customHeight="1" spans="1:16">
      <c r="A3273" s="32" t="str">
        <f t="shared" si="162"/>
        <v/>
      </c>
      <c r="B3273" s="101"/>
      <c r="C3273" s="102"/>
      <c r="D3273" s="103"/>
      <c r="E3273" s="102"/>
      <c r="F3273" s="25" t="str">
        <f>IF($E3273="","",IFERROR(INDEX(科目表!$A$4:$A$81,MATCH($E3273,科目表!$B$4:$B$81,0)),""))</f>
        <v/>
      </c>
      <c r="G3273" s="26" t="str">
        <f>IF($E3273="","",IFERROR(INDEX(科目表!$E$4:$E$81,MATCH($E3273,科目表!$B$4:$B$81,0)),""))</f>
        <v/>
      </c>
      <c r="H3273" s="104"/>
      <c r="I3273" s="104"/>
      <c r="J3273" s="102"/>
      <c r="K3273" s="102"/>
      <c r="L3273" s="103"/>
      <c r="M3273" s="105"/>
      <c r="N3273" s="103"/>
      <c r="O3273" s="26" t="str">
        <f t="shared" si="161"/>
        <v/>
      </c>
      <c r="P3273" s="103"/>
    </row>
    <row r="3274" ht="18" customHeight="1" spans="1:16">
      <c r="A3274" s="32" t="str">
        <f t="shared" si="162"/>
        <v/>
      </c>
      <c r="B3274" s="101"/>
      <c r="C3274" s="102"/>
      <c r="D3274" s="103"/>
      <c r="E3274" s="102"/>
      <c r="F3274" s="25" t="str">
        <f>IF($E3274="","",IFERROR(INDEX(科目表!$A$4:$A$81,MATCH($E3274,科目表!$B$4:$B$81,0)),""))</f>
        <v/>
      </c>
      <c r="G3274" s="26" t="str">
        <f>IF($E3274="","",IFERROR(INDEX(科目表!$E$4:$E$81,MATCH($E3274,科目表!$B$4:$B$81,0)),""))</f>
        <v/>
      </c>
      <c r="H3274" s="104"/>
      <c r="I3274" s="104"/>
      <c r="J3274" s="102"/>
      <c r="K3274" s="102"/>
      <c r="L3274" s="103"/>
      <c r="M3274" s="105"/>
      <c r="N3274" s="103"/>
      <c r="O3274" s="26" t="str">
        <f t="shared" si="161"/>
        <v/>
      </c>
      <c r="P3274" s="103"/>
    </row>
    <row r="3275" ht="18" customHeight="1" spans="1:16">
      <c r="A3275" s="32" t="str">
        <f t="shared" si="162"/>
        <v/>
      </c>
      <c r="B3275" s="101"/>
      <c r="C3275" s="102"/>
      <c r="D3275" s="103"/>
      <c r="E3275" s="102"/>
      <c r="F3275" s="25" t="str">
        <f>IF($E3275="","",IFERROR(INDEX(科目表!$A$4:$A$81,MATCH($E3275,科目表!$B$4:$B$81,0)),""))</f>
        <v/>
      </c>
      <c r="G3275" s="26" t="str">
        <f>IF($E3275="","",IFERROR(INDEX(科目表!$E$4:$E$81,MATCH($E3275,科目表!$B$4:$B$81,0)),""))</f>
        <v/>
      </c>
      <c r="H3275" s="104"/>
      <c r="I3275" s="104"/>
      <c r="J3275" s="102"/>
      <c r="K3275" s="102"/>
      <c r="L3275" s="103"/>
      <c r="M3275" s="105"/>
      <c r="N3275" s="103"/>
      <c r="O3275" s="26" t="str">
        <f t="shared" si="161"/>
        <v/>
      </c>
      <c r="P3275" s="103"/>
    </row>
    <row r="3276" ht="18" customHeight="1" spans="1:16">
      <c r="A3276" s="32" t="str">
        <f t="shared" si="162"/>
        <v/>
      </c>
      <c r="B3276" s="101"/>
      <c r="C3276" s="102"/>
      <c r="D3276" s="103"/>
      <c r="E3276" s="102"/>
      <c r="F3276" s="25" t="str">
        <f>IF($E3276="","",IFERROR(INDEX(科目表!$A$4:$A$81,MATCH($E3276,科目表!$B$4:$B$81,0)),""))</f>
        <v/>
      </c>
      <c r="G3276" s="26" t="str">
        <f>IF($E3276="","",IFERROR(INDEX(科目表!$E$4:$E$81,MATCH($E3276,科目表!$B$4:$B$81,0)),""))</f>
        <v/>
      </c>
      <c r="H3276" s="104"/>
      <c r="I3276" s="104"/>
      <c r="J3276" s="102"/>
      <c r="K3276" s="102"/>
      <c r="L3276" s="103"/>
      <c r="M3276" s="105"/>
      <c r="N3276" s="103"/>
      <c r="O3276" s="26" t="str">
        <f t="shared" si="161"/>
        <v/>
      </c>
      <c r="P3276" s="103"/>
    </row>
    <row r="3277" ht="18" customHeight="1" spans="1:16">
      <c r="A3277" s="32" t="str">
        <f t="shared" si="162"/>
        <v/>
      </c>
      <c r="B3277" s="101"/>
      <c r="C3277" s="102"/>
      <c r="D3277" s="103"/>
      <c r="E3277" s="102"/>
      <c r="F3277" s="25" t="str">
        <f>IF($E3277="","",IFERROR(INDEX(科目表!$A$4:$A$81,MATCH($E3277,科目表!$B$4:$B$81,0)),""))</f>
        <v/>
      </c>
      <c r="G3277" s="26" t="str">
        <f>IF($E3277="","",IFERROR(INDEX(科目表!$E$4:$E$81,MATCH($E3277,科目表!$B$4:$B$81,0)),""))</f>
        <v/>
      </c>
      <c r="H3277" s="104"/>
      <c r="I3277" s="104"/>
      <c r="J3277" s="102"/>
      <c r="K3277" s="102"/>
      <c r="L3277" s="103"/>
      <c r="M3277" s="105"/>
      <c r="N3277" s="103"/>
      <c r="O3277" s="26" t="str">
        <f t="shared" si="161"/>
        <v/>
      </c>
      <c r="P3277" s="103"/>
    </row>
    <row r="3278" ht="18" customHeight="1" spans="1:16">
      <c r="A3278" s="32" t="str">
        <f t="shared" si="162"/>
        <v/>
      </c>
      <c r="B3278" s="101"/>
      <c r="C3278" s="102"/>
      <c r="D3278" s="103"/>
      <c r="E3278" s="102"/>
      <c r="F3278" s="25" t="str">
        <f>IF($E3278="","",IFERROR(INDEX(科目表!$A$4:$A$81,MATCH($E3278,科目表!$B$4:$B$81,0)),""))</f>
        <v/>
      </c>
      <c r="G3278" s="26" t="str">
        <f>IF($E3278="","",IFERROR(INDEX(科目表!$E$4:$E$81,MATCH($E3278,科目表!$B$4:$B$81,0)),""))</f>
        <v/>
      </c>
      <c r="H3278" s="104"/>
      <c r="I3278" s="104"/>
      <c r="J3278" s="102"/>
      <c r="K3278" s="102"/>
      <c r="L3278" s="103"/>
      <c r="M3278" s="105"/>
      <c r="N3278" s="103"/>
      <c r="O3278" s="26" t="str">
        <f t="shared" si="161"/>
        <v/>
      </c>
      <c r="P3278" s="103"/>
    </row>
    <row r="3279" ht="18" customHeight="1" spans="1:16">
      <c r="A3279" s="32" t="str">
        <f t="shared" si="162"/>
        <v/>
      </c>
      <c r="B3279" s="101"/>
      <c r="C3279" s="102"/>
      <c r="D3279" s="103"/>
      <c r="E3279" s="102"/>
      <c r="F3279" s="25" t="str">
        <f>IF($E3279="","",IFERROR(INDEX(科目表!$A$4:$A$81,MATCH($E3279,科目表!$B$4:$B$81,0)),""))</f>
        <v/>
      </c>
      <c r="G3279" s="26" t="str">
        <f>IF($E3279="","",IFERROR(INDEX(科目表!$E$4:$E$81,MATCH($E3279,科目表!$B$4:$B$81,0)),""))</f>
        <v/>
      </c>
      <c r="H3279" s="104"/>
      <c r="I3279" s="104"/>
      <c r="J3279" s="102"/>
      <c r="K3279" s="102"/>
      <c r="L3279" s="103"/>
      <c r="M3279" s="105"/>
      <c r="N3279" s="103"/>
      <c r="O3279" s="26" t="str">
        <f t="shared" si="161"/>
        <v/>
      </c>
      <c r="P3279" s="103"/>
    </row>
    <row r="3280" ht="18" customHeight="1" spans="1:16">
      <c r="A3280" s="32" t="str">
        <f t="shared" si="162"/>
        <v/>
      </c>
      <c r="B3280" s="101"/>
      <c r="C3280" s="102"/>
      <c r="D3280" s="103"/>
      <c r="E3280" s="102"/>
      <c r="F3280" s="25" t="str">
        <f>IF($E3280="","",IFERROR(INDEX(科目表!$A$4:$A$81,MATCH($E3280,科目表!$B$4:$B$81,0)),""))</f>
        <v/>
      </c>
      <c r="G3280" s="26" t="str">
        <f>IF($E3280="","",IFERROR(INDEX(科目表!$E$4:$E$81,MATCH($E3280,科目表!$B$4:$B$81,0)),""))</f>
        <v/>
      </c>
      <c r="H3280" s="104"/>
      <c r="I3280" s="104"/>
      <c r="J3280" s="102"/>
      <c r="K3280" s="102"/>
      <c r="L3280" s="103"/>
      <c r="M3280" s="105"/>
      <c r="N3280" s="103"/>
      <c r="O3280" s="26" t="str">
        <f t="shared" si="161"/>
        <v/>
      </c>
      <c r="P3280" s="103"/>
    </row>
    <row r="3281" ht="18" customHeight="1" spans="1:16">
      <c r="A3281" s="32" t="str">
        <f t="shared" si="162"/>
        <v/>
      </c>
      <c r="B3281" s="101"/>
      <c r="C3281" s="102"/>
      <c r="D3281" s="103"/>
      <c r="E3281" s="102"/>
      <c r="F3281" s="25" t="str">
        <f>IF($E3281="","",IFERROR(INDEX(科目表!$A$4:$A$81,MATCH($E3281,科目表!$B$4:$B$81,0)),""))</f>
        <v/>
      </c>
      <c r="G3281" s="26" t="str">
        <f>IF($E3281="","",IFERROR(INDEX(科目表!$E$4:$E$81,MATCH($E3281,科目表!$B$4:$B$81,0)),""))</f>
        <v/>
      </c>
      <c r="H3281" s="104"/>
      <c r="I3281" s="104"/>
      <c r="J3281" s="102"/>
      <c r="K3281" s="102"/>
      <c r="L3281" s="103"/>
      <c r="M3281" s="105"/>
      <c r="N3281" s="103"/>
      <c r="O3281" s="26" t="str">
        <f t="shared" si="161"/>
        <v/>
      </c>
      <c r="P3281" s="103"/>
    </row>
    <row r="3282" ht="18" customHeight="1" spans="1:16">
      <c r="A3282" s="32" t="str">
        <f t="shared" si="162"/>
        <v/>
      </c>
      <c r="B3282" s="101"/>
      <c r="C3282" s="102"/>
      <c r="D3282" s="103"/>
      <c r="E3282" s="102"/>
      <c r="F3282" s="25" t="str">
        <f>IF($E3282="","",IFERROR(INDEX(科目表!$A$4:$A$81,MATCH($E3282,科目表!$B$4:$B$81,0)),""))</f>
        <v/>
      </c>
      <c r="G3282" s="26" t="str">
        <f>IF($E3282="","",IFERROR(INDEX(科目表!$E$4:$E$81,MATCH($E3282,科目表!$B$4:$B$81,0)),""))</f>
        <v/>
      </c>
      <c r="H3282" s="104"/>
      <c r="I3282" s="104"/>
      <c r="J3282" s="102"/>
      <c r="K3282" s="102"/>
      <c r="L3282" s="103"/>
      <c r="M3282" s="105"/>
      <c r="N3282" s="103"/>
      <c r="O3282" s="26" t="str">
        <f t="shared" si="161"/>
        <v/>
      </c>
      <c r="P3282" s="103"/>
    </row>
    <row r="3283" ht="18" customHeight="1" spans="1:16">
      <c r="A3283" s="32" t="str">
        <f t="shared" si="162"/>
        <v/>
      </c>
      <c r="B3283" s="101"/>
      <c r="C3283" s="102"/>
      <c r="D3283" s="103"/>
      <c r="E3283" s="102"/>
      <c r="F3283" s="25" t="str">
        <f>IF($E3283="","",IFERROR(INDEX(科目表!$A$4:$A$81,MATCH($E3283,科目表!$B$4:$B$81,0)),""))</f>
        <v/>
      </c>
      <c r="G3283" s="26" t="str">
        <f>IF($E3283="","",IFERROR(INDEX(科目表!$E$4:$E$81,MATCH($E3283,科目表!$B$4:$B$81,0)),""))</f>
        <v/>
      </c>
      <c r="H3283" s="104"/>
      <c r="I3283" s="104"/>
      <c r="J3283" s="102"/>
      <c r="K3283" s="102"/>
      <c r="L3283" s="103"/>
      <c r="M3283" s="105"/>
      <c r="N3283" s="103"/>
      <c r="O3283" s="26" t="str">
        <f t="shared" si="161"/>
        <v/>
      </c>
      <c r="P3283" s="103"/>
    </row>
    <row r="3284" ht="18" customHeight="1" spans="1:16">
      <c r="A3284" s="32" t="str">
        <f t="shared" si="162"/>
        <v/>
      </c>
      <c r="B3284" s="101"/>
      <c r="C3284" s="102"/>
      <c r="D3284" s="103"/>
      <c r="E3284" s="102"/>
      <c r="F3284" s="25" t="str">
        <f>IF($E3284="","",IFERROR(INDEX(科目表!$A$4:$A$81,MATCH($E3284,科目表!$B$4:$B$81,0)),""))</f>
        <v/>
      </c>
      <c r="G3284" s="26" t="str">
        <f>IF($E3284="","",IFERROR(INDEX(科目表!$E$4:$E$81,MATCH($E3284,科目表!$B$4:$B$81,0)),""))</f>
        <v/>
      </c>
      <c r="H3284" s="104"/>
      <c r="I3284" s="104"/>
      <c r="J3284" s="102"/>
      <c r="K3284" s="102"/>
      <c r="L3284" s="103"/>
      <c r="M3284" s="105"/>
      <c r="N3284" s="103"/>
      <c r="O3284" s="26" t="str">
        <f t="shared" si="161"/>
        <v/>
      </c>
      <c r="P3284" s="103"/>
    </row>
    <row r="3285" ht="18" customHeight="1" spans="1:16">
      <c r="A3285" s="32" t="str">
        <f t="shared" si="162"/>
        <v/>
      </c>
      <c r="B3285" s="101"/>
      <c r="C3285" s="102"/>
      <c r="D3285" s="103"/>
      <c r="E3285" s="102"/>
      <c r="F3285" s="25" t="str">
        <f>IF($E3285="","",IFERROR(INDEX(科目表!$A$4:$A$81,MATCH($E3285,科目表!$B$4:$B$81,0)),""))</f>
        <v/>
      </c>
      <c r="G3285" s="26" t="str">
        <f>IF($E3285="","",IFERROR(INDEX(科目表!$E$4:$E$81,MATCH($E3285,科目表!$B$4:$B$81,0)),""))</f>
        <v/>
      </c>
      <c r="H3285" s="104"/>
      <c r="I3285" s="104"/>
      <c r="J3285" s="102"/>
      <c r="K3285" s="102"/>
      <c r="L3285" s="103"/>
      <c r="M3285" s="105"/>
      <c r="N3285" s="103"/>
      <c r="O3285" s="26" t="str">
        <f t="shared" si="161"/>
        <v/>
      </c>
      <c r="P3285" s="103"/>
    </row>
    <row r="3286" ht="18" customHeight="1" spans="1:16">
      <c r="A3286" s="32" t="str">
        <f t="shared" si="162"/>
        <v/>
      </c>
      <c r="B3286" s="101"/>
      <c r="C3286" s="102"/>
      <c r="D3286" s="103"/>
      <c r="E3286" s="102"/>
      <c r="F3286" s="25" t="str">
        <f>IF($E3286="","",IFERROR(INDEX(科目表!$A$4:$A$81,MATCH($E3286,科目表!$B$4:$B$81,0)),""))</f>
        <v/>
      </c>
      <c r="G3286" s="26" t="str">
        <f>IF($E3286="","",IFERROR(INDEX(科目表!$E$4:$E$81,MATCH($E3286,科目表!$B$4:$B$81,0)),""))</f>
        <v/>
      </c>
      <c r="H3286" s="104"/>
      <c r="I3286" s="104"/>
      <c r="J3286" s="102"/>
      <c r="K3286" s="102"/>
      <c r="L3286" s="103"/>
      <c r="M3286" s="105"/>
      <c r="N3286" s="103"/>
      <c r="O3286" s="26" t="str">
        <f t="shared" si="161"/>
        <v/>
      </c>
      <c r="P3286" s="103"/>
    </row>
    <row r="3287" ht="18" customHeight="1" spans="1:16">
      <c r="A3287" s="32" t="str">
        <f t="shared" si="162"/>
        <v/>
      </c>
      <c r="B3287" s="101"/>
      <c r="C3287" s="102"/>
      <c r="D3287" s="103"/>
      <c r="E3287" s="102"/>
      <c r="F3287" s="25" t="str">
        <f>IF($E3287="","",IFERROR(INDEX(科目表!$A$4:$A$81,MATCH($E3287,科目表!$B$4:$B$81,0)),""))</f>
        <v/>
      </c>
      <c r="G3287" s="26" t="str">
        <f>IF($E3287="","",IFERROR(INDEX(科目表!$E$4:$E$81,MATCH($E3287,科目表!$B$4:$B$81,0)),""))</f>
        <v/>
      </c>
      <c r="H3287" s="104"/>
      <c r="I3287" s="104"/>
      <c r="J3287" s="102"/>
      <c r="K3287" s="102"/>
      <c r="L3287" s="103"/>
      <c r="M3287" s="105"/>
      <c r="N3287" s="103"/>
      <c r="O3287" s="26" t="str">
        <f t="shared" si="161"/>
        <v/>
      </c>
      <c r="P3287" s="103"/>
    </row>
    <row r="3288" ht="18" customHeight="1" spans="1:16">
      <c r="A3288" s="32" t="str">
        <f t="shared" si="162"/>
        <v/>
      </c>
      <c r="B3288" s="101"/>
      <c r="C3288" s="102"/>
      <c r="D3288" s="103"/>
      <c r="E3288" s="102"/>
      <c r="F3288" s="25" t="str">
        <f>IF($E3288="","",IFERROR(INDEX(科目表!$A$4:$A$81,MATCH($E3288,科目表!$B$4:$B$81,0)),""))</f>
        <v/>
      </c>
      <c r="G3288" s="26" t="str">
        <f>IF($E3288="","",IFERROR(INDEX(科目表!$E$4:$E$81,MATCH($E3288,科目表!$B$4:$B$81,0)),""))</f>
        <v/>
      </c>
      <c r="H3288" s="104"/>
      <c r="I3288" s="104"/>
      <c r="J3288" s="102"/>
      <c r="K3288" s="102"/>
      <c r="L3288" s="103"/>
      <c r="M3288" s="105"/>
      <c r="N3288" s="103"/>
      <c r="O3288" s="26" t="str">
        <f t="shared" si="161"/>
        <v/>
      </c>
      <c r="P3288" s="103"/>
    </row>
    <row r="3289" ht="18" customHeight="1" spans="1:16">
      <c r="A3289" s="32" t="str">
        <f t="shared" si="162"/>
        <v/>
      </c>
      <c r="B3289" s="101"/>
      <c r="C3289" s="102"/>
      <c r="D3289" s="103"/>
      <c r="E3289" s="102"/>
      <c r="F3289" s="25" t="str">
        <f>IF($E3289="","",IFERROR(INDEX(科目表!$A$4:$A$81,MATCH($E3289,科目表!$B$4:$B$81,0)),""))</f>
        <v/>
      </c>
      <c r="G3289" s="26" t="str">
        <f>IF($E3289="","",IFERROR(INDEX(科目表!$E$4:$E$81,MATCH($E3289,科目表!$B$4:$B$81,0)),""))</f>
        <v/>
      </c>
      <c r="H3289" s="104"/>
      <c r="I3289" s="104"/>
      <c r="J3289" s="102"/>
      <c r="K3289" s="102"/>
      <c r="L3289" s="103"/>
      <c r="M3289" s="105"/>
      <c r="N3289" s="103"/>
      <c r="O3289" s="26" t="str">
        <f t="shared" si="161"/>
        <v/>
      </c>
      <c r="P3289" s="103"/>
    </row>
    <row r="3290" ht="18" customHeight="1" spans="1:16">
      <c r="A3290" s="32" t="str">
        <f t="shared" si="162"/>
        <v/>
      </c>
      <c r="B3290" s="101"/>
      <c r="C3290" s="102"/>
      <c r="D3290" s="103"/>
      <c r="E3290" s="102"/>
      <c r="F3290" s="25" t="str">
        <f>IF($E3290="","",IFERROR(INDEX(科目表!$A$4:$A$81,MATCH($E3290,科目表!$B$4:$B$81,0)),""))</f>
        <v/>
      </c>
      <c r="G3290" s="26" t="str">
        <f>IF($E3290="","",IFERROR(INDEX(科目表!$E$4:$E$81,MATCH($E3290,科目表!$B$4:$B$81,0)),""))</f>
        <v/>
      </c>
      <c r="H3290" s="104"/>
      <c r="I3290" s="104"/>
      <c r="J3290" s="102"/>
      <c r="K3290" s="102"/>
      <c r="L3290" s="103"/>
      <c r="M3290" s="105"/>
      <c r="N3290" s="103"/>
      <c r="O3290" s="26" t="str">
        <f t="shared" si="161"/>
        <v/>
      </c>
      <c r="P3290" s="103"/>
    </row>
    <row r="3291" ht="18" customHeight="1" spans="1:16">
      <c r="A3291" s="32" t="str">
        <f t="shared" si="162"/>
        <v/>
      </c>
      <c r="B3291" s="101"/>
      <c r="C3291" s="102"/>
      <c r="D3291" s="103"/>
      <c r="E3291" s="102"/>
      <c r="F3291" s="25" t="str">
        <f>IF($E3291="","",IFERROR(INDEX(科目表!$A$4:$A$81,MATCH($E3291,科目表!$B$4:$B$81,0)),""))</f>
        <v/>
      </c>
      <c r="G3291" s="26" t="str">
        <f>IF($E3291="","",IFERROR(INDEX(科目表!$E$4:$E$81,MATCH($E3291,科目表!$B$4:$B$81,0)),""))</f>
        <v/>
      </c>
      <c r="H3291" s="104"/>
      <c r="I3291" s="104"/>
      <c r="J3291" s="102"/>
      <c r="K3291" s="102"/>
      <c r="L3291" s="103"/>
      <c r="M3291" s="105"/>
      <c r="N3291" s="103"/>
      <c r="O3291" s="26" t="str">
        <f t="shared" si="161"/>
        <v/>
      </c>
      <c r="P3291" s="103"/>
    </row>
    <row r="3292" ht="18" customHeight="1" spans="1:16">
      <c r="A3292" s="32" t="str">
        <f t="shared" si="162"/>
        <v/>
      </c>
      <c r="B3292" s="101"/>
      <c r="C3292" s="102"/>
      <c r="D3292" s="103"/>
      <c r="E3292" s="102"/>
      <c r="F3292" s="25" t="str">
        <f>IF($E3292="","",IFERROR(INDEX(科目表!$A$4:$A$81,MATCH($E3292,科目表!$B$4:$B$81,0)),""))</f>
        <v/>
      </c>
      <c r="G3292" s="26" t="str">
        <f>IF($E3292="","",IFERROR(INDEX(科目表!$E$4:$E$81,MATCH($E3292,科目表!$B$4:$B$81,0)),""))</f>
        <v/>
      </c>
      <c r="H3292" s="104"/>
      <c r="I3292" s="104"/>
      <c r="J3292" s="102"/>
      <c r="K3292" s="102"/>
      <c r="L3292" s="103"/>
      <c r="M3292" s="105"/>
      <c r="N3292" s="103"/>
      <c r="O3292" s="26" t="str">
        <f t="shared" si="161"/>
        <v/>
      </c>
      <c r="P3292" s="103"/>
    </row>
    <row r="3293" ht="18" customHeight="1" spans="1:16">
      <c r="A3293" s="32" t="str">
        <f t="shared" si="162"/>
        <v/>
      </c>
      <c r="B3293" s="101"/>
      <c r="C3293" s="102"/>
      <c r="D3293" s="103"/>
      <c r="E3293" s="102"/>
      <c r="F3293" s="25" t="str">
        <f>IF($E3293="","",IFERROR(INDEX(科目表!$A$4:$A$81,MATCH($E3293,科目表!$B$4:$B$81,0)),""))</f>
        <v/>
      </c>
      <c r="G3293" s="26" t="str">
        <f>IF($E3293="","",IFERROR(INDEX(科目表!$E$4:$E$81,MATCH($E3293,科目表!$B$4:$B$81,0)),""))</f>
        <v/>
      </c>
      <c r="H3293" s="104"/>
      <c r="I3293" s="104"/>
      <c r="J3293" s="102"/>
      <c r="K3293" s="102"/>
      <c r="L3293" s="103"/>
      <c r="M3293" s="105"/>
      <c r="N3293" s="103"/>
      <c r="O3293" s="26" t="str">
        <f t="shared" si="161"/>
        <v/>
      </c>
      <c r="P3293" s="103"/>
    </row>
    <row r="3294" ht="18" customHeight="1" spans="1:16">
      <c r="A3294" s="32" t="str">
        <f t="shared" si="162"/>
        <v/>
      </c>
      <c r="B3294" s="101"/>
      <c r="C3294" s="102"/>
      <c r="D3294" s="103"/>
      <c r="E3294" s="102"/>
      <c r="F3294" s="25" t="str">
        <f>IF($E3294="","",IFERROR(INDEX(科目表!$A$4:$A$81,MATCH($E3294,科目表!$B$4:$B$81,0)),""))</f>
        <v/>
      </c>
      <c r="G3294" s="26" t="str">
        <f>IF($E3294="","",IFERROR(INDEX(科目表!$E$4:$E$81,MATCH($E3294,科目表!$B$4:$B$81,0)),""))</f>
        <v/>
      </c>
      <c r="H3294" s="104"/>
      <c r="I3294" s="104"/>
      <c r="J3294" s="102"/>
      <c r="K3294" s="102"/>
      <c r="L3294" s="103"/>
      <c r="M3294" s="105"/>
      <c r="N3294" s="103"/>
      <c r="O3294" s="26" t="str">
        <f t="shared" si="161"/>
        <v/>
      </c>
      <c r="P3294" s="103"/>
    </row>
    <row r="3295" ht="18" customHeight="1" spans="1:16">
      <c r="A3295" s="32" t="str">
        <f t="shared" si="162"/>
        <v/>
      </c>
      <c r="B3295" s="101"/>
      <c r="C3295" s="102"/>
      <c r="D3295" s="103"/>
      <c r="E3295" s="102"/>
      <c r="F3295" s="25" t="str">
        <f>IF($E3295="","",IFERROR(INDEX(科目表!$A$4:$A$81,MATCH($E3295,科目表!$B$4:$B$81,0)),""))</f>
        <v/>
      </c>
      <c r="G3295" s="26" t="str">
        <f>IF($E3295="","",IFERROR(INDEX(科目表!$E$4:$E$81,MATCH($E3295,科目表!$B$4:$B$81,0)),""))</f>
        <v/>
      </c>
      <c r="H3295" s="104"/>
      <c r="I3295" s="104"/>
      <c r="J3295" s="102"/>
      <c r="K3295" s="102"/>
      <c r="L3295" s="103"/>
      <c r="M3295" s="105"/>
      <c r="N3295" s="103"/>
      <c r="O3295" s="26" t="str">
        <f t="shared" si="161"/>
        <v/>
      </c>
      <c r="P3295" s="103"/>
    </row>
    <row r="3296" ht="18" customHeight="1" spans="1:16">
      <c r="A3296" s="32" t="str">
        <f t="shared" si="162"/>
        <v/>
      </c>
      <c r="B3296" s="101"/>
      <c r="C3296" s="102"/>
      <c r="D3296" s="103"/>
      <c r="E3296" s="102"/>
      <c r="F3296" s="25" t="str">
        <f>IF($E3296="","",IFERROR(INDEX(科目表!$A$4:$A$81,MATCH($E3296,科目表!$B$4:$B$81,0)),""))</f>
        <v/>
      </c>
      <c r="G3296" s="26" t="str">
        <f>IF($E3296="","",IFERROR(INDEX(科目表!$E$4:$E$81,MATCH($E3296,科目表!$B$4:$B$81,0)),""))</f>
        <v/>
      </c>
      <c r="H3296" s="104"/>
      <c r="I3296" s="104"/>
      <c r="J3296" s="102"/>
      <c r="K3296" s="102"/>
      <c r="L3296" s="103"/>
      <c r="M3296" s="105"/>
      <c r="N3296" s="103"/>
      <c r="O3296" s="26" t="str">
        <f t="shared" si="161"/>
        <v/>
      </c>
      <c r="P3296" s="103"/>
    </row>
    <row r="3297" ht="18" customHeight="1" spans="1:16">
      <c r="A3297" s="32" t="str">
        <f t="shared" si="162"/>
        <v/>
      </c>
      <c r="B3297" s="101"/>
      <c r="C3297" s="102"/>
      <c r="D3297" s="103"/>
      <c r="E3297" s="102"/>
      <c r="F3297" s="25" t="str">
        <f>IF($E3297="","",IFERROR(INDEX(科目表!$A$4:$A$81,MATCH($E3297,科目表!$B$4:$B$81,0)),""))</f>
        <v/>
      </c>
      <c r="G3297" s="26" t="str">
        <f>IF($E3297="","",IFERROR(INDEX(科目表!$E$4:$E$81,MATCH($E3297,科目表!$B$4:$B$81,0)),""))</f>
        <v/>
      </c>
      <c r="H3297" s="104"/>
      <c r="I3297" s="104"/>
      <c r="J3297" s="102"/>
      <c r="K3297" s="102"/>
      <c r="L3297" s="103"/>
      <c r="M3297" s="105"/>
      <c r="N3297" s="103"/>
      <c r="O3297" s="26" t="str">
        <f t="shared" si="161"/>
        <v/>
      </c>
      <c r="P3297" s="103"/>
    </row>
    <row r="3298" ht="18" customHeight="1" spans="1:16">
      <c r="A3298" s="32" t="str">
        <f t="shared" si="162"/>
        <v/>
      </c>
      <c r="B3298" s="101"/>
      <c r="C3298" s="102"/>
      <c r="D3298" s="103"/>
      <c r="E3298" s="102"/>
      <c r="F3298" s="25" t="str">
        <f>IF($E3298="","",IFERROR(INDEX(科目表!$A$4:$A$81,MATCH($E3298,科目表!$B$4:$B$81,0)),""))</f>
        <v/>
      </c>
      <c r="G3298" s="26" t="str">
        <f>IF($E3298="","",IFERROR(INDEX(科目表!$E$4:$E$81,MATCH($E3298,科目表!$B$4:$B$81,0)),""))</f>
        <v/>
      </c>
      <c r="H3298" s="104"/>
      <c r="I3298" s="104"/>
      <c r="J3298" s="102"/>
      <c r="K3298" s="102"/>
      <c r="L3298" s="103"/>
      <c r="M3298" s="105"/>
      <c r="N3298" s="103"/>
      <c r="O3298" s="26" t="str">
        <f t="shared" si="161"/>
        <v/>
      </c>
      <c r="P3298" s="103"/>
    </row>
    <row r="3299" ht="18" customHeight="1" spans="1:16">
      <c r="A3299" s="32" t="str">
        <f t="shared" si="162"/>
        <v/>
      </c>
      <c r="B3299" s="101"/>
      <c r="C3299" s="102"/>
      <c r="D3299" s="103"/>
      <c r="E3299" s="102"/>
      <c r="F3299" s="25" t="str">
        <f>IF($E3299="","",IFERROR(INDEX(科目表!$A$4:$A$81,MATCH($E3299,科目表!$B$4:$B$81,0)),""))</f>
        <v/>
      </c>
      <c r="G3299" s="26" t="str">
        <f>IF($E3299="","",IFERROR(INDEX(科目表!$E$4:$E$81,MATCH($E3299,科目表!$B$4:$B$81,0)),""))</f>
        <v/>
      </c>
      <c r="H3299" s="104"/>
      <c r="I3299" s="104"/>
      <c r="J3299" s="102"/>
      <c r="K3299" s="102"/>
      <c r="L3299" s="103"/>
      <c r="M3299" s="105"/>
      <c r="N3299" s="103"/>
      <c r="O3299" s="26" t="str">
        <f t="shared" si="161"/>
        <v/>
      </c>
      <c r="P3299" s="103"/>
    </row>
    <row r="3300" ht="18" customHeight="1" spans="1:16">
      <c r="A3300" s="32" t="str">
        <f t="shared" si="162"/>
        <v/>
      </c>
      <c r="B3300" s="101"/>
      <c r="C3300" s="102"/>
      <c r="D3300" s="103"/>
      <c r="E3300" s="102"/>
      <c r="F3300" s="25" t="str">
        <f>IF($E3300="","",IFERROR(INDEX(科目表!$A$4:$A$81,MATCH($E3300,科目表!$B$4:$B$81,0)),""))</f>
        <v/>
      </c>
      <c r="G3300" s="26" t="str">
        <f>IF($E3300="","",IFERROR(INDEX(科目表!$E$4:$E$81,MATCH($E3300,科目表!$B$4:$B$81,0)),""))</f>
        <v/>
      </c>
      <c r="H3300" s="104"/>
      <c r="I3300" s="104"/>
      <c r="J3300" s="102"/>
      <c r="K3300" s="102"/>
      <c r="L3300" s="103"/>
      <c r="M3300" s="105"/>
      <c r="N3300" s="103"/>
      <c r="O3300" s="26" t="str">
        <f t="shared" si="161"/>
        <v/>
      </c>
      <c r="P3300" s="103"/>
    </row>
    <row r="3301" ht="18" customHeight="1" spans="1:16">
      <c r="A3301" s="32" t="str">
        <f t="shared" si="162"/>
        <v/>
      </c>
      <c r="B3301" s="101"/>
      <c r="C3301" s="102"/>
      <c r="D3301" s="103"/>
      <c r="E3301" s="102"/>
      <c r="F3301" s="25" t="str">
        <f>IF($E3301="","",IFERROR(INDEX(科目表!$A$4:$A$81,MATCH($E3301,科目表!$B$4:$B$81,0)),""))</f>
        <v/>
      </c>
      <c r="G3301" s="26" t="str">
        <f>IF($E3301="","",IFERROR(INDEX(科目表!$E$4:$E$81,MATCH($E3301,科目表!$B$4:$B$81,0)),""))</f>
        <v/>
      </c>
      <c r="H3301" s="104"/>
      <c r="I3301" s="104"/>
      <c r="J3301" s="102"/>
      <c r="K3301" s="102"/>
      <c r="L3301" s="103"/>
      <c r="M3301" s="105"/>
      <c r="N3301" s="103"/>
      <c r="O3301" s="26" t="str">
        <f t="shared" si="161"/>
        <v/>
      </c>
      <c r="P3301" s="103"/>
    </row>
    <row r="3302" ht="18" customHeight="1" spans="1:16">
      <c r="A3302" s="32" t="str">
        <f t="shared" si="162"/>
        <v/>
      </c>
      <c r="B3302" s="101"/>
      <c r="C3302" s="102"/>
      <c r="D3302" s="103"/>
      <c r="E3302" s="102"/>
      <c r="F3302" s="25" t="str">
        <f>IF($E3302="","",IFERROR(INDEX(科目表!$A$4:$A$81,MATCH($E3302,科目表!$B$4:$B$81,0)),""))</f>
        <v/>
      </c>
      <c r="G3302" s="26" t="str">
        <f>IF($E3302="","",IFERROR(INDEX(科目表!$E$4:$E$81,MATCH($E3302,科目表!$B$4:$B$81,0)),""))</f>
        <v/>
      </c>
      <c r="H3302" s="104"/>
      <c r="I3302" s="104"/>
      <c r="J3302" s="102"/>
      <c r="K3302" s="102"/>
      <c r="L3302" s="103"/>
      <c r="M3302" s="105"/>
      <c r="N3302" s="103"/>
      <c r="O3302" s="26" t="str">
        <f t="shared" si="161"/>
        <v/>
      </c>
      <c r="P3302" s="103"/>
    </row>
    <row r="3303" ht="18" customHeight="1" spans="1:16">
      <c r="A3303" s="32" t="str">
        <f t="shared" si="162"/>
        <v/>
      </c>
      <c r="B3303" s="101"/>
      <c r="C3303" s="102"/>
      <c r="D3303" s="103"/>
      <c r="E3303" s="102"/>
      <c r="F3303" s="25" t="str">
        <f>IF($E3303="","",IFERROR(INDEX(科目表!$A$4:$A$81,MATCH($E3303,科目表!$B$4:$B$81,0)),""))</f>
        <v/>
      </c>
      <c r="G3303" s="26" t="str">
        <f>IF($E3303="","",IFERROR(INDEX(科目表!$E$4:$E$81,MATCH($E3303,科目表!$B$4:$B$81,0)),""))</f>
        <v/>
      </c>
      <c r="H3303" s="104"/>
      <c r="I3303" s="104"/>
      <c r="J3303" s="102"/>
      <c r="K3303" s="102"/>
      <c r="L3303" s="103"/>
      <c r="M3303" s="105"/>
      <c r="N3303" s="103"/>
      <c r="O3303" s="26" t="str">
        <f t="shared" si="161"/>
        <v/>
      </c>
      <c r="P3303" s="103"/>
    </row>
    <row r="3304" ht="18" customHeight="1" spans="1:16">
      <c r="A3304" s="32" t="str">
        <f t="shared" si="162"/>
        <v/>
      </c>
      <c r="B3304" s="101"/>
      <c r="C3304" s="102"/>
      <c r="D3304" s="103"/>
      <c r="E3304" s="102"/>
      <c r="F3304" s="25" t="str">
        <f>IF($E3304="","",IFERROR(INDEX(科目表!$A$4:$A$81,MATCH($E3304,科目表!$B$4:$B$81,0)),""))</f>
        <v/>
      </c>
      <c r="G3304" s="26" t="str">
        <f>IF($E3304="","",IFERROR(INDEX(科目表!$E$4:$E$81,MATCH($E3304,科目表!$B$4:$B$81,0)),""))</f>
        <v/>
      </c>
      <c r="H3304" s="104"/>
      <c r="I3304" s="104"/>
      <c r="J3304" s="102"/>
      <c r="K3304" s="102"/>
      <c r="L3304" s="103"/>
      <c r="M3304" s="105"/>
      <c r="N3304" s="103"/>
      <c r="O3304" s="26" t="str">
        <f t="shared" si="161"/>
        <v/>
      </c>
      <c r="P3304" s="103"/>
    </row>
    <row r="3305" ht="18" customHeight="1" spans="1:16">
      <c r="A3305" s="32" t="str">
        <f t="shared" si="162"/>
        <v/>
      </c>
      <c r="B3305" s="101"/>
      <c r="C3305" s="102"/>
      <c r="D3305" s="103"/>
      <c r="E3305" s="102"/>
      <c r="F3305" s="25" t="str">
        <f>IF($E3305="","",IFERROR(INDEX(科目表!$A$4:$A$81,MATCH($E3305,科目表!$B$4:$B$81,0)),""))</f>
        <v/>
      </c>
      <c r="G3305" s="26" t="str">
        <f>IF($E3305="","",IFERROR(INDEX(科目表!$E$4:$E$81,MATCH($E3305,科目表!$B$4:$B$81,0)),""))</f>
        <v/>
      </c>
      <c r="H3305" s="104"/>
      <c r="I3305" s="104"/>
      <c r="J3305" s="102"/>
      <c r="K3305" s="102"/>
      <c r="L3305" s="103"/>
      <c r="M3305" s="105"/>
      <c r="N3305" s="103"/>
      <c r="O3305" s="26" t="str">
        <f t="shared" si="161"/>
        <v/>
      </c>
      <c r="P3305" s="103"/>
    </row>
    <row r="3306" ht="18" customHeight="1" spans="1:16">
      <c r="A3306" s="32" t="str">
        <f t="shared" si="162"/>
        <v/>
      </c>
      <c r="B3306" s="101"/>
      <c r="C3306" s="102"/>
      <c r="D3306" s="103"/>
      <c r="E3306" s="102"/>
      <c r="F3306" s="25" t="str">
        <f>IF($E3306="","",IFERROR(INDEX(科目表!$A$4:$A$81,MATCH($E3306,科目表!$B$4:$B$81,0)),""))</f>
        <v/>
      </c>
      <c r="G3306" s="26" t="str">
        <f>IF($E3306="","",IFERROR(INDEX(科目表!$E$4:$E$81,MATCH($E3306,科目表!$B$4:$B$81,0)),""))</f>
        <v/>
      </c>
      <c r="H3306" s="104"/>
      <c r="I3306" s="104"/>
      <c r="J3306" s="102"/>
      <c r="K3306" s="102"/>
      <c r="L3306" s="103"/>
      <c r="M3306" s="105"/>
      <c r="N3306" s="103"/>
      <c r="O3306" s="26" t="str">
        <f t="shared" si="161"/>
        <v/>
      </c>
      <c r="P3306" s="103"/>
    </row>
    <row r="3307" ht="18" customHeight="1" spans="1:16">
      <c r="A3307" s="32" t="str">
        <f t="shared" si="162"/>
        <v/>
      </c>
      <c r="B3307" s="101"/>
      <c r="C3307" s="102"/>
      <c r="D3307" s="103"/>
      <c r="E3307" s="102"/>
      <c r="F3307" s="25" t="str">
        <f>IF($E3307="","",IFERROR(INDEX(科目表!$A$4:$A$81,MATCH($E3307,科目表!$B$4:$B$81,0)),""))</f>
        <v/>
      </c>
      <c r="G3307" s="26" t="str">
        <f>IF($E3307="","",IFERROR(INDEX(科目表!$E$4:$E$81,MATCH($E3307,科目表!$B$4:$B$81,0)),""))</f>
        <v/>
      </c>
      <c r="H3307" s="104"/>
      <c r="I3307" s="104"/>
      <c r="J3307" s="102"/>
      <c r="K3307" s="102"/>
      <c r="L3307" s="103"/>
      <c r="M3307" s="105"/>
      <c r="N3307" s="103"/>
      <c r="O3307" s="26" t="str">
        <f t="shared" si="161"/>
        <v/>
      </c>
      <c r="P3307" s="103"/>
    </row>
    <row r="3308" ht="18" customHeight="1" spans="1:16">
      <c r="A3308" s="32" t="str">
        <f t="shared" si="162"/>
        <v/>
      </c>
      <c r="B3308" s="101"/>
      <c r="C3308" s="102"/>
      <c r="D3308" s="103"/>
      <c r="E3308" s="102"/>
      <c r="F3308" s="25" t="str">
        <f>IF($E3308="","",IFERROR(INDEX(科目表!$A$4:$A$81,MATCH($E3308,科目表!$B$4:$B$81,0)),""))</f>
        <v/>
      </c>
      <c r="G3308" s="26" t="str">
        <f>IF($E3308="","",IFERROR(INDEX(科目表!$E$4:$E$81,MATCH($E3308,科目表!$B$4:$B$81,0)),""))</f>
        <v/>
      </c>
      <c r="H3308" s="104"/>
      <c r="I3308" s="104"/>
      <c r="J3308" s="102"/>
      <c r="K3308" s="102"/>
      <c r="L3308" s="103"/>
      <c r="M3308" s="105"/>
      <c r="N3308" s="103"/>
      <c r="O3308" s="26" t="str">
        <f t="shared" si="161"/>
        <v/>
      </c>
      <c r="P3308" s="103"/>
    </row>
    <row r="3309" ht="18" customHeight="1" spans="1:16">
      <c r="A3309" s="32" t="str">
        <f t="shared" si="162"/>
        <v/>
      </c>
      <c r="B3309" s="101"/>
      <c r="C3309" s="102"/>
      <c r="D3309" s="103"/>
      <c r="E3309" s="102"/>
      <c r="F3309" s="25" t="str">
        <f>IF($E3309="","",IFERROR(INDEX(科目表!$A$4:$A$81,MATCH($E3309,科目表!$B$4:$B$81,0)),""))</f>
        <v/>
      </c>
      <c r="G3309" s="26" t="str">
        <f>IF($E3309="","",IFERROR(INDEX(科目表!$E$4:$E$81,MATCH($E3309,科目表!$B$4:$B$81,0)),""))</f>
        <v/>
      </c>
      <c r="H3309" s="104"/>
      <c r="I3309" s="104"/>
      <c r="J3309" s="102"/>
      <c r="K3309" s="102"/>
      <c r="L3309" s="103"/>
      <c r="M3309" s="105"/>
      <c r="N3309" s="103"/>
      <c r="O3309" s="26" t="str">
        <f t="shared" si="161"/>
        <v/>
      </c>
      <c r="P3309" s="103"/>
    </row>
    <row r="3310" ht="18" customHeight="1" spans="1:16">
      <c r="A3310" s="32" t="str">
        <f t="shared" si="162"/>
        <v/>
      </c>
      <c r="B3310" s="101"/>
      <c r="C3310" s="102"/>
      <c r="D3310" s="103"/>
      <c r="E3310" s="102"/>
      <c r="F3310" s="25" t="str">
        <f>IF($E3310="","",IFERROR(INDEX(科目表!$A$4:$A$81,MATCH($E3310,科目表!$B$4:$B$81,0)),""))</f>
        <v/>
      </c>
      <c r="G3310" s="26" t="str">
        <f>IF($E3310="","",IFERROR(INDEX(科目表!$E$4:$E$81,MATCH($E3310,科目表!$B$4:$B$81,0)),""))</f>
        <v/>
      </c>
      <c r="H3310" s="104"/>
      <c r="I3310" s="104"/>
      <c r="J3310" s="102"/>
      <c r="K3310" s="102"/>
      <c r="L3310" s="103"/>
      <c r="M3310" s="105"/>
      <c r="N3310" s="103"/>
      <c r="O3310" s="26" t="str">
        <f t="shared" si="161"/>
        <v/>
      </c>
      <c r="P3310" s="103"/>
    </row>
    <row r="3311" ht="18" customHeight="1" spans="1:16">
      <c r="A3311" s="32" t="str">
        <f t="shared" si="162"/>
        <v/>
      </c>
      <c r="B3311" s="101"/>
      <c r="C3311" s="102"/>
      <c r="D3311" s="103"/>
      <c r="E3311" s="102"/>
      <c r="F3311" s="25" t="str">
        <f>IF($E3311="","",IFERROR(INDEX(科目表!$A$4:$A$81,MATCH($E3311,科目表!$B$4:$B$81,0)),""))</f>
        <v/>
      </c>
      <c r="G3311" s="26" t="str">
        <f>IF($E3311="","",IFERROR(INDEX(科目表!$E$4:$E$81,MATCH($E3311,科目表!$B$4:$B$81,0)),""))</f>
        <v/>
      </c>
      <c r="H3311" s="104"/>
      <c r="I3311" s="104"/>
      <c r="J3311" s="102"/>
      <c r="K3311" s="102"/>
      <c r="L3311" s="103"/>
      <c r="M3311" s="105"/>
      <c r="N3311" s="103"/>
      <c r="O3311" s="26" t="str">
        <f t="shared" si="161"/>
        <v/>
      </c>
      <c r="P3311" s="103"/>
    </row>
    <row r="3312" ht="18" customHeight="1" spans="1:16">
      <c r="A3312" s="32" t="str">
        <f t="shared" si="162"/>
        <v/>
      </c>
      <c r="B3312" s="101"/>
      <c r="C3312" s="102"/>
      <c r="D3312" s="103"/>
      <c r="E3312" s="102"/>
      <c r="F3312" s="25" t="str">
        <f>IF($E3312="","",IFERROR(INDEX(科目表!$A$4:$A$81,MATCH($E3312,科目表!$B$4:$B$81,0)),""))</f>
        <v/>
      </c>
      <c r="G3312" s="26" t="str">
        <f>IF($E3312="","",IFERROR(INDEX(科目表!$E$4:$E$81,MATCH($E3312,科目表!$B$4:$B$81,0)),""))</f>
        <v/>
      </c>
      <c r="H3312" s="104"/>
      <c r="I3312" s="104"/>
      <c r="J3312" s="102"/>
      <c r="K3312" s="102"/>
      <c r="L3312" s="103"/>
      <c r="M3312" s="105"/>
      <c r="N3312" s="103"/>
      <c r="O3312" s="26" t="str">
        <f t="shared" si="161"/>
        <v/>
      </c>
      <c r="P3312" s="103"/>
    </row>
    <row r="3313" ht="18" customHeight="1" spans="1:16">
      <c r="A3313" s="32" t="str">
        <f t="shared" si="162"/>
        <v/>
      </c>
      <c r="B3313" s="101"/>
      <c r="C3313" s="102"/>
      <c r="D3313" s="103"/>
      <c r="E3313" s="102"/>
      <c r="F3313" s="25" t="str">
        <f>IF($E3313="","",IFERROR(INDEX(科目表!$A$4:$A$81,MATCH($E3313,科目表!$B$4:$B$81,0)),""))</f>
        <v/>
      </c>
      <c r="G3313" s="26" t="str">
        <f>IF($E3313="","",IFERROR(INDEX(科目表!$E$4:$E$81,MATCH($E3313,科目表!$B$4:$B$81,0)),""))</f>
        <v/>
      </c>
      <c r="H3313" s="104"/>
      <c r="I3313" s="104"/>
      <c r="J3313" s="102"/>
      <c r="K3313" s="102"/>
      <c r="L3313" s="103"/>
      <c r="M3313" s="105"/>
      <c r="N3313" s="103"/>
      <c r="O3313" s="26" t="str">
        <f t="shared" si="161"/>
        <v/>
      </c>
      <c r="P3313" s="103"/>
    </row>
    <row r="3314" ht="18" customHeight="1" spans="1:16">
      <c r="A3314" s="32" t="str">
        <f t="shared" si="162"/>
        <v/>
      </c>
      <c r="B3314" s="101"/>
      <c r="C3314" s="102"/>
      <c r="D3314" s="103"/>
      <c r="E3314" s="102"/>
      <c r="F3314" s="25" t="str">
        <f>IF($E3314="","",IFERROR(INDEX(科目表!$A$4:$A$81,MATCH($E3314,科目表!$B$4:$B$81,0)),""))</f>
        <v/>
      </c>
      <c r="G3314" s="26" t="str">
        <f>IF($E3314="","",IFERROR(INDEX(科目表!$E$4:$E$81,MATCH($E3314,科目表!$B$4:$B$81,0)),""))</f>
        <v/>
      </c>
      <c r="H3314" s="104"/>
      <c r="I3314" s="104"/>
      <c r="J3314" s="102"/>
      <c r="K3314" s="102"/>
      <c r="L3314" s="103"/>
      <c r="M3314" s="105"/>
      <c r="N3314" s="103"/>
      <c r="O3314" s="26" t="str">
        <f t="shared" si="161"/>
        <v/>
      </c>
      <c r="P3314" s="103"/>
    </row>
    <row r="3315" ht="18" customHeight="1" spans="1:16">
      <c r="A3315" s="32" t="str">
        <f t="shared" si="162"/>
        <v/>
      </c>
      <c r="B3315" s="101"/>
      <c r="C3315" s="102"/>
      <c r="D3315" s="103"/>
      <c r="E3315" s="102"/>
      <c r="F3315" s="25" t="str">
        <f>IF($E3315="","",IFERROR(INDEX(科目表!$A$4:$A$81,MATCH($E3315,科目表!$B$4:$B$81,0)),""))</f>
        <v/>
      </c>
      <c r="G3315" s="26" t="str">
        <f>IF($E3315="","",IFERROR(INDEX(科目表!$E$4:$E$81,MATCH($E3315,科目表!$B$4:$B$81,0)),""))</f>
        <v/>
      </c>
      <c r="H3315" s="104"/>
      <c r="I3315" s="104"/>
      <c r="J3315" s="102"/>
      <c r="K3315" s="102"/>
      <c r="L3315" s="103"/>
      <c r="M3315" s="105"/>
      <c r="N3315" s="103"/>
      <c r="O3315" s="26" t="str">
        <f t="shared" si="161"/>
        <v/>
      </c>
      <c r="P3315" s="103"/>
    </row>
    <row r="3316" ht="18" customHeight="1" spans="1:16">
      <c r="A3316" s="32" t="str">
        <f t="shared" si="162"/>
        <v/>
      </c>
      <c r="B3316" s="101"/>
      <c r="C3316" s="102"/>
      <c r="D3316" s="103"/>
      <c r="E3316" s="102"/>
      <c r="F3316" s="25" t="str">
        <f>IF($E3316="","",IFERROR(INDEX(科目表!$A$4:$A$81,MATCH($E3316,科目表!$B$4:$B$81,0)),""))</f>
        <v/>
      </c>
      <c r="G3316" s="26" t="str">
        <f>IF($E3316="","",IFERROR(INDEX(科目表!$E$4:$E$81,MATCH($E3316,科目表!$B$4:$B$81,0)),""))</f>
        <v/>
      </c>
      <c r="H3316" s="104"/>
      <c r="I3316" s="104"/>
      <c r="J3316" s="102"/>
      <c r="K3316" s="102"/>
      <c r="L3316" s="103"/>
      <c r="M3316" s="105"/>
      <c r="N3316" s="103"/>
      <c r="O3316" s="26" t="str">
        <f t="shared" si="161"/>
        <v/>
      </c>
      <c r="P3316" s="103"/>
    </row>
    <row r="3317" ht="18" customHeight="1" spans="1:16">
      <c r="A3317" s="32" t="str">
        <f t="shared" si="162"/>
        <v/>
      </c>
      <c r="B3317" s="101"/>
      <c r="C3317" s="102"/>
      <c r="D3317" s="103"/>
      <c r="E3317" s="102"/>
      <c r="F3317" s="25" t="str">
        <f>IF($E3317="","",IFERROR(INDEX(科目表!$A$4:$A$81,MATCH($E3317,科目表!$B$4:$B$81,0)),""))</f>
        <v/>
      </c>
      <c r="G3317" s="26" t="str">
        <f>IF($E3317="","",IFERROR(INDEX(科目表!$E$4:$E$81,MATCH($E3317,科目表!$B$4:$B$81,0)),""))</f>
        <v/>
      </c>
      <c r="H3317" s="104"/>
      <c r="I3317" s="104"/>
      <c r="J3317" s="102"/>
      <c r="K3317" s="102"/>
      <c r="L3317" s="103"/>
      <c r="M3317" s="105"/>
      <c r="N3317" s="103"/>
      <c r="O3317" s="26" t="str">
        <f t="shared" si="161"/>
        <v/>
      </c>
      <c r="P3317" s="103"/>
    </row>
    <row r="3318" ht="18" customHeight="1" spans="1:16">
      <c r="A3318" s="32" t="str">
        <f t="shared" si="162"/>
        <v/>
      </c>
      <c r="B3318" s="101"/>
      <c r="C3318" s="102"/>
      <c r="D3318" s="103"/>
      <c r="E3318" s="102"/>
      <c r="F3318" s="25" t="str">
        <f>IF($E3318="","",IFERROR(INDEX(科目表!$A$4:$A$81,MATCH($E3318,科目表!$B$4:$B$81,0)),""))</f>
        <v/>
      </c>
      <c r="G3318" s="26" t="str">
        <f>IF($E3318="","",IFERROR(INDEX(科目表!$E$4:$E$81,MATCH($E3318,科目表!$B$4:$B$81,0)),""))</f>
        <v/>
      </c>
      <c r="H3318" s="104"/>
      <c r="I3318" s="104"/>
      <c r="J3318" s="102"/>
      <c r="K3318" s="102"/>
      <c r="L3318" s="103"/>
      <c r="M3318" s="105"/>
      <c r="N3318" s="103"/>
      <c r="O3318" s="26" t="str">
        <f t="shared" si="161"/>
        <v/>
      </c>
      <c r="P3318" s="103"/>
    </row>
    <row r="3319" ht="18" customHeight="1" spans="1:16">
      <c r="A3319" s="32" t="str">
        <f t="shared" si="162"/>
        <v/>
      </c>
      <c r="B3319" s="101"/>
      <c r="C3319" s="102"/>
      <c r="D3319" s="103"/>
      <c r="E3319" s="102"/>
      <c r="F3319" s="25" t="str">
        <f>IF($E3319="","",IFERROR(INDEX(科目表!$A$4:$A$81,MATCH($E3319,科目表!$B$4:$B$81,0)),""))</f>
        <v/>
      </c>
      <c r="G3319" s="26" t="str">
        <f>IF($E3319="","",IFERROR(INDEX(科目表!$E$4:$E$81,MATCH($E3319,科目表!$B$4:$B$81,0)),""))</f>
        <v/>
      </c>
      <c r="H3319" s="104"/>
      <c r="I3319" s="104"/>
      <c r="J3319" s="102"/>
      <c r="K3319" s="102"/>
      <c r="L3319" s="103"/>
      <c r="M3319" s="105"/>
      <c r="N3319" s="103"/>
      <c r="O3319" s="26" t="str">
        <f t="shared" si="161"/>
        <v/>
      </c>
      <c r="P3319" s="103"/>
    </row>
    <row r="3320" ht="18" customHeight="1" spans="1:16">
      <c r="A3320" s="32" t="str">
        <f t="shared" si="162"/>
        <v/>
      </c>
      <c r="B3320" s="101"/>
      <c r="C3320" s="102"/>
      <c r="D3320" s="103"/>
      <c r="E3320" s="102"/>
      <c r="F3320" s="25" t="str">
        <f>IF($E3320="","",IFERROR(INDEX(科目表!$A$4:$A$81,MATCH($E3320,科目表!$B$4:$B$81,0)),""))</f>
        <v/>
      </c>
      <c r="G3320" s="26" t="str">
        <f>IF($E3320="","",IFERROR(INDEX(科目表!$E$4:$E$81,MATCH($E3320,科目表!$B$4:$B$81,0)),""))</f>
        <v/>
      </c>
      <c r="H3320" s="104"/>
      <c r="I3320" s="104"/>
      <c r="J3320" s="102"/>
      <c r="K3320" s="102"/>
      <c r="L3320" s="103"/>
      <c r="M3320" s="105"/>
      <c r="N3320" s="103"/>
      <c r="O3320" s="26" t="str">
        <f t="shared" si="161"/>
        <v/>
      </c>
      <c r="P3320" s="103"/>
    </row>
    <row r="3321" ht="18" customHeight="1" spans="1:16">
      <c r="A3321" s="32" t="str">
        <f t="shared" si="162"/>
        <v/>
      </c>
      <c r="B3321" s="101"/>
      <c r="C3321" s="102"/>
      <c r="D3321" s="103"/>
      <c r="E3321" s="102"/>
      <c r="F3321" s="25" t="str">
        <f>IF($E3321="","",IFERROR(INDEX(科目表!$A$4:$A$81,MATCH($E3321,科目表!$B$4:$B$81,0)),""))</f>
        <v/>
      </c>
      <c r="G3321" s="26" t="str">
        <f>IF($E3321="","",IFERROR(INDEX(科目表!$E$4:$E$81,MATCH($E3321,科目表!$B$4:$B$81,0)),""))</f>
        <v/>
      </c>
      <c r="H3321" s="104"/>
      <c r="I3321" s="104"/>
      <c r="J3321" s="102"/>
      <c r="K3321" s="102"/>
      <c r="L3321" s="103"/>
      <c r="M3321" s="105"/>
      <c r="N3321" s="103"/>
      <c r="O3321" s="26" t="str">
        <f t="shared" si="161"/>
        <v/>
      </c>
      <c r="P3321" s="103"/>
    </row>
    <row r="3322" ht="18" customHeight="1" spans="1:16">
      <c r="A3322" s="32" t="str">
        <f t="shared" si="162"/>
        <v/>
      </c>
      <c r="B3322" s="101"/>
      <c r="C3322" s="102"/>
      <c r="D3322" s="103"/>
      <c r="E3322" s="102"/>
      <c r="F3322" s="25" t="str">
        <f>IF($E3322="","",IFERROR(INDEX(科目表!$A$4:$A$81,MATCH($E3322,科目表!$B$4:$B$81,0)),""))</f>
        <v/>
      </c>
      <c r="G3322" s="26" t="str">
        <f>IF($E3322="","",IFERROR(INDEX(科目表!$E$4:$E$81,MATCH($E3322,科目表!$B$4:$B$81,0)),""))</f>
        <v/>
      </c>
      <c r="H3322" s="104"/>
      <c r="I3322" s="104"/>
      <c r="J3322" s="102"/>
      <c r="K3322" s="102"/>
      <c r="L3322" s="103"/>
      <c r="M3322" s="105"/>
      <c r="N3322" s="103"/>
      <c r="O3322" s="26" t="str">
        <f t="shared" si="161"/>
        <v/>
      </c>
      <c r="P3322" s="103"/>
    </row>
    <row r="3323" ht="18" customHeight="1" spans="1:16">
      <c r="A3323" s="32" t="str">
        <f t="shared" si="162"/>
        <v/>
      </c>
      <c r="B3323" s="101"/>
      <c r="C3323" s="102"/>
      <c r="D3323" s="103"/>
      <c r="E3323" s="102"/>
      <c r="F3323" s="25" t="str">
        <f>IF($E3323="","",IFERROR(INDEX(科目表!$A$4:$A$81,MATCH($E3323,科目表!$B$4:$B$81,0)),""))</f>
        <v/>
      </c>
      <c r="G3323" s="26" t="str">
        <f>IF($E3323="","",IFERROR(INDEX(科目表!$E$4:$E$81,MATCH($E3323,科目表!$B$4:$B$81,0)),""))</f>
        <v/>
      </c>
      <c r="H3323" s="104"/>
      <c r="I3323" s="104"/>
      <c r="J3323" s="102"/>
      <c r="K3323" s="102"/>
      <c r="L3323" s="103"/>
      <c r="M3323" s="105"/>
      <c r="N3323" s="103"/>
      <c r="O3323" s="26" t="str">
        <f t="shared" si="161"/>
        <v/>
      </c>
      <c r="P3323" s="103"/>
    </row>
    <row r="3324" ht="18" customHeight="1" spans="1:16">
      <c r="A3324" s="32" t="str">
        <f t="shared" si="162"/>
        <v/>
      </c>
      <c r="B3324" s="101"/>
      <c r="C3324" s="102"/>
      <c r="D3324" s="103"/>
      <c r="E3324" s="102"/>
      <c r="F3324" s="25" t="str">
        <f>IF($E3324="","",IFERROR(INDEX(科目表!$A$4:$A$81,MATCH($E3324,科目表!$B$4:$B$81,0)),""))</f>
        <v/>
      </c>
      <c r="G3324" s="26" t="str">
        <f>IF($E3324="","",IFERROR(INDEX(科目表!$E$4:$E$81,MATCH($E3324,科目表!$B$4:$B$81,0)),""))</f>
        <v/>
      </c>
      <c r="H3324" s="104"/>
      <c r="I3324" s="104"/>
      <c r="J3324" s="102"/>
      <c r="K3324" s="102"/>
      <c r="L3324" s="103"/>
      <c r="M3324" s="105"/>
      <c r="N3324" s="103"/>
      <c r="O3324" s="26" t="str">
        <f t="shared" si="161"/>
        <v/>
      </c>
      <c r="P3324" s="103"/>
    </row>
    <row r="3325" ht="18" customHeight="1" spans="1:16">
      <c r="A3325" s="32" t="str">
        <f t="shared" si="162"/>
        <v/>
      </c>
      <c r="B3325" s="101"/>
      <c r="C3325" s="102"/>
      <c r="D3325" s="103"/>
      <c r="E3325" s="102"/>
      <c r="F3325" s="25" t="str">
        <f>IF($E3325="","",IFERROR(INDEX(科目表!$A$4:$A$81,MATCH($E3325,科目表!$B$4:$B$81,0)),""))</f>
        <v/>
      </c>
      <c r="G3325" s="26" t="str">
        <f>IF($E3325="","",IFERROR(INDEX(科目表!$E$4:$E$81,MATCH($E3325,科目表!$B$4:$B$81,0)),""))</f>
        <v/>
      </c>
      <c r="H3325" s="104"/>
      <c r="I3325" s="104"/>
      <c r="J3325" s="102"/>
      <c r="K3325" s="102"/>
      <c r="L3325" s="103"/>
      <c r="M3325" s="105"/>
      <c r="N3325" s="103"/>
      <c r="O3325" s="26" t="str">
        <f t="shared" si="161"/>
        <v/>
      </c>
      <c r="P3325" s="103"/>
    </row>
    <row r="3326" ht="18" customHeight="1" spans="1:16">
      <c r="A3326" s="32" t="str">
        <f t="shared" si="162"/>
        <v/>
      </c>
      <c r="B3326" s="101"/>
      <c r="C3326" s="102"/>
      <c r="D3326" s="103"/>
      <c r="E3326" s="102"/>
      <c r="F3326" s="25" t="str">
        <f>IF($E3326="","",IFERROR(INDEX(科目表!$A$4:$A$81,MATCH($E3326,科目表!$B$4:$B$81,0)),""))</f>
        <v/>
      </c>
      <c r="G3326" s="26" t="str">
        <f>IF($E3326="","",IFERROR(INDEX(科目表!$E$4:$E$81,MATCH($E3326,科目表!$B$4:$B$81,0)),""))</f>
        <v/>
      </c>
      <c r="H3326" s="104"/>
      <c r="I3326" s="104"/>
      <c r="J3326" s="102"/>
      <c r="K3326" s="102"/>
      <c r="L3326" s="103"/>
      <c r="M3326" s="105"/>
      <c r="N3326" s="103"/>
      <c r="O3326" s="26" t="str">
        <f t="shared" si="161"/>
        <v/>
      </c>
      <c r="P3326" s="103"/>
    </row>
    <row r="3327" ht="18" customHeight="1" spans="1:16">
      <c r="A3327" s="32" t="str">
        <f t="shared" si="162"/>
        <v/>
      </c>
      <c r="B3327" s="101"/>
      <c r="C3327" s="102"/>
      <c r="D3327" s="103"/>
      <c r="E3327" s="102"/>
      <c r="F3327" s="25" t="str">
        <f>IF($E3327="","",IFERROR(INDEX(科目表!$A$4:$A$81,MATCH($E3327,科目表!$B$4:$B$81,0)),""))</f>
        <v/>
      </c>
      <c r="G3327" s="26" t="str">
        <f>IF($E3327="","",IFERROR(INDEX(科目表!$E$4:$E$81,MATCH($E3327,科目表!$B$4:$B$81,0)),""))</f>
        <v/>
      </c>
      <c r="H3327" s="104"/>
      <c r="I3327" s="104"/>
      <c r="J3327" s="102"/>
      <c r="K3327" s="102"/>
      <c r="L3327" s="103"/>
      <c r="M3327" s="105"/>
      <c r="N3327" s="103"/>
      <c r="O3327" s="26" t="str">
        <f t="shared" si="161"/>
        <v/>
      </c>
      <c r="P3327" s="103"/>
    </row>
    <row r="3328" ht="18" customHeight="1" spans="1:16">
      <c r="A3328" s="32" t="str">
        <f t="shared" si="162"/>
        <v/>
      </c>
      <c r="B3328" s="101"/>
      <c r="C3328" s="102"/>
      <c r="D3328" s="103"/>
      <c r="E3328" s="102"/>
      <c r="F3328" s="25" t="str">
        <f>IF($E3328="","",IFERROR(INDEX(科目表!$A$4:$A$81,MATCH($E3328,科目表!$B$4:$B$81,0)),""))</f>
        <v/>
      </c>
      <c r="G3328" s="26" t="str">
        <f>IF($E3328="","",IFERROR(INDEX(科目表!$E$4:$E$81,MATCH($E3328,科目表!$B$4:$B$81,0)),""))</f>
        <v/>
      </c>
      <c r="H3328" s="104"/>
      <c r="I3328" s="104"/>
      <c r="J3328" s="102"/>
      <c r="K3328" s="102"/>
      <c r="L3328" s="103"/>
      <c r="M3328" s="105"/>
      <c r="N3328" s="103"/>
      <c r="O3328" s="26" t="str">
        <f t="shared" si="161"/>
        <v/>
      </c>
      <c r="P3328" s="103"/>
    </row>
    <row r="3329" ht="18" customHeight="1" spans="1:16">
      <c r="A3329" s="32" t="str">
        <f t="shared" si="162"/>
        <v/>
      </c>
      <c r="B3329" s="101"/>
      <c r="C3329" s="102"/>
      <c r="D3329" s="103"/>
      <c r="E3329" s="102"/>
      <c r="F3329" s="25" t="str">
        <f>IF($E3329="","",IFERROR(INDEX(科目表!$A$4:$A$81,MATCH($E3329,科目表!$B$4:$B$81,0)),""))</f>
        <v/>
      </c>
      <c r="G3329" s="26" t="str">
        <f>IF($E3329="","",IFERROR(INDEX(科目表!$E$4:$E$81,MATCH($E3329,科目表!$B$4:$B$81,0)),""))</f>
        <v/>
      </c>
      <c r="H3329" s="104"/>
      <c r="I3329" s="104"/>
      <c r="J3329" s="102"/>
      <c r="K3329" s="102"/>
      <c r="L3329" s="103"/>
      <c r="M3329" s="105"/>
      <c r="N3329" s="103"/>
      <c r="O3329" s="26" t="str">
        <f t="shared" si="161"/>
        <v/>
      </c>
      <c r="P3329" s="103"/>
    </row>
    <row r="3330" ht="18" customHeight="1" spans="1:16">
      <c r="A3330" s="32" t="str">
        <f t="shared" si="162"/>
        <v/>
      </c>
      <c r="B3330" s="101"/>
      <c r="C3330" s="102"/>
      <c r="D3330" s="103"/>
      <c r="E3330" s="102"/>
      <c r="F3330" s="25" t="str">
        <f>IF($E3330="","",IFERROR(INDEX(科目表!$A$4:$A$81,MATCH($E3330,科目表!$B$4:$B$81,0)),""))</f>
        <v/>
      </c>
      <c r="G3330" s="26" t="str">
        <f>IF($E3330="","",IFERROR(INDEX(科目表!$E$4:$E$81,MATCH($E3330,科目表!$B$4:$B$81,0)),""))</f>
        <v/>
      </c>
      <c r="H3330" s="104"/>
      <c r="I3330" s="104"/>
      <c r="J3330" s="102"/>
      <c r="K3330" s="102"/>
      <c r="L3330" s="103"/>
      <c r="M3330" s="105"/>
      <c r="N3330" s="103"/>
      <c r="O3330" s="26" t="str">
        <f t="shared" ref="O3330:O3393" si="163">IF($E3330="","","手工")</f>
        <v/>
      </c>
      <c r="P3330" s="103"/>
    </row>
    <row r="3331" ht="18" customHeight="1" spans="1:16">
      <c r="A3331" s="32" t="str">
        <f t="shared" si="162"/>
        <v/>
      </c>
      <c r="B3331" s="101"/>
      <c r="C3331" s="102"/>
      <c r="D3331" s="103"/>
      <c r="E3331" s="102"/>
      <c r="F3331" s="25" t="str">
        <f>IF($E3331="","",IFERROR(INDEX(科目表!$A$4:$A$81,MATCH($E3331,科目表!$B$4:$B$81,0)),""))</f>
        <v/>
      </c>
      <c r="G3331" s="26" t="str">
        <f>IF($E3331="","",IFERROR(INDEX(科目表!$E$4:$E$81,MATCH($E3331,科目表!$B$4:$B$81,0)),""))</f>
        <v/>
      </c>
      <c r="H3331" s="104"/>
      <c r="I3331" s="104"/>
      <c r="J3331" s="102"/>
      <c r="K3331" s="102"/>
      <c r="L3331" s="103"/>
      <c r="M3331" s="105"/>
      <c r="N3331" s="103"/>
      <c r="O3331" s="26" t="str">
        <f t="shared" si="163"/>
        <v/>
      </c>
      <c r="P3331" s="103"/>
    </row>
    <row r="3332" ht="18" customHeight="1" spans="1:16">
      <c r="A3332" s="32" t="str">
        <f t="shared" ref="A3332:A3395" si="164">IF($E3332="","",ROW()-3)</f>
        <v/>
      </c>
      <c r="B3332" s="101"/>
      <c r="C3332" s="102"/>
      <c r="D3332" s="103"/>
      <c r="E3332" s="102"/>
      <c r="F3332" s="25" t="str">
        <f>IF($E3332="","",IFERROR(INDEX(科目表!$A$4:$A$81,MATCH($E3332,科目表!$B$4:$B$81,0)),""))</f>
        <v/>
      </c>
      <c r="G3332" s="26" t="str">
        <f>IF($E3332="","",IFERROR(INDEX(科目表!$E$4:$E$81,MATCH($E3332,科目表!$B$4:$B$81,0)),""))</f>
        <v/>
      </c>
      <c r="H3332" s="104"/>
      <c r="I3332" s="104"/>
      <c r="J3332" s="102"/>
      <c r="K3332" s="102"/>
      <c r="L3332" s="103"/>
      <c r="M3332" s="105"/>
      <c r="N3332" s="103"/>
      <c r="O3332" s="26" t="str">
        <f t="shared" si="163"/>
        <v/>
      </c>
      <c r="P3332" s="103"/>
    </row>
    <row r="3333" ht="18" customHeight="1" spans="1:16">
      <c r="A3333" s="32" t="str">
        <f t="shared" si="164"/>
        <v/>
      </c>
      <c r="B3333" s="101"/>
      <c r="C3333" s="102"/>
      <c r="D3333" s="103"/>
      <c r="E3333" s="102"/>
      <c r="F3333" s="25" t="str">
        <f>IF($E3333="","",IFERROR(INDEX(科目表!$A$4:$A$81,MATCH($E3333,科目表!$B$4:$B$81,0)),""))</f>
        <v/>
      </c>
      <c r="G3333" s="26" t="str">
        <f>IF($E3333="","",IFERROR(INDEX(科目表!$E$4:$E$81,MATCH($E3333,科目表!$B$4:$B$81,0)),""))</f>
        <v/>
      </c>
      <c r="H3333" s="104"/>
      <c r="I3333" s="104"/>
      <c r="J3333" s="102"/>
      <c r="K3333" s="102"/>
      <c r="L3333" s="103"/>
      <c r="M3333" s="105"/>
      <c r="N3333" s="103"/>
      <c r="O3333" s="26" t="str">
        <f t="shared" si="163"/>
        <v/>
      </c>
      <c r="P3333" s="103"/>
    </row>
    <row r="3334" ht="18" customHeight="1" spans="1:16">
      <c r="A3334" s="32" t="str">
        <f t="shared" si="164"/>
        <v/>
      </c>
      <c r="B3334" s="101"/>
      <c r="C3334" s="102"/>
      <c r="D3334" s="103"/>
      <c r="E3334" s="102"/>
      <c r="F3334" s="25" t="str">
        <f>IF($E3334="","",IFERROR(INDEX(科目表!$A$4:$A$81,MATCH($E3334,科目表!$B$4:$B$81,0)),""))</f>
        <v/>
      </c>
      <c r="G3334" s="26" t="str">
        <f>IF($E3334="","",IFERROR(INDEX(科目表!$E$4:$E$81,MATCH($E3334,科目表!$B$4:$B$81,0)),""))</f>
        <v/>
      </c>
      <c r="H3334" s="104"/>
      <c r="I3334" s="104"/>
      <c r="J3334" s="102"/>
      <c r="K3334" s="102"/>
      <c r="L3334" s="103"/>
      <c r="M3334" s="105"/>
      <c r="N3334" s="103"/>
      <c r="O3334" s="26" t="str">
        <f t="shared" si="163"/>
        <v/>
      </c>
      <c r="P3334" s="103"/>
    </row>
    <row r="3335" ht="18" customHeight="1" spans="1:16">
      <c r="A3335" s="32" t="str">
        <f t="shared" si="164"/>
        <v/>
      </c>
      <c r="B3335" s="101"/>
      <c r="C3335" s="102"/>
      <c r="D3335" s="103"/>
      <c r="E3335" s="102"/>
      <c r="F3335" s="25" t="str">
        <f>IF($E3335="","",IFERROR(INDEX(科目表!$A$4:$A$81,MATCH($E3335,科目表!$B$4:$B$81,0)),""))</f>
        <v/>
      </c>
      <c r="G3335" s="26" t="str">
        <f>IF($E3335="","",IFERROR(INDEX(科目表!$E$4:$E$81,MATCH($E3335,科目表!$B$4:$B$81,0)),""))</f>
        <v/>
      </c>
      <c r="H3335" s="104"/>
      <c r="I3335" s="104"/>
      <c r="J3335" s="102"/>
      <c r="K3335" s="102"/>
      <c r="L3335" s="103"/>
      <c r="M3335" s="105"/>
      <c r="N3335" s="103"/>
      <c r="O3335" s="26" t="str">
        <f t="shared" si="163"/>
        <v/>
      </c>
      <c r="P3335" s="103"/>
    </row>
    <row r="3336" ht="18" customHeight="1" spans="1:16">
      <c r="A3336" s="32" t="str">
        <f t="shared" si="164"/>
        <v/>
      </c>
      <c r="B3336" s="101"/>
      <c r="C3336" s="102"/>
      <c r="D3336" s="103"/>
      <c r="E3336" s="102"/>
      <c r="F3336" s="25" t="str">
        <f>IF($E3336="","",IFERROR(INDEX(科目表!$A$4:$A$81,MATCH($E3336,科目表!$B$4:$B$81,0)),""))</f>
        <v/>
      </c>
      <c r="G3336" s="26" t="str">
        <f>IF($E3336="","",IFERROR(INDEX(科目表!$E$4:$E$81,MATCH($E3336,科目表!$B$4:$B$81,0)),""))</f>
        <v/>
      </c>
      <c r="H3336" s="104"/>
      <c r="I3336" s="104"/>
      <c r="J3336" s="102"/>
      <c r="K3336" s="102"/>
      <c r="L3336" s="103"/>
      <c r="M3336" s="105"/>
      <c r="N3336" s="103"/>
      <c r="O3336" s="26" t="str">
        <f t="shared" si="163"/>
        <v/>
      </c>
      <c r="P3336" s="103"/>
    </row>
    <row r="3337" ht="18" customHeight="1" spans="1:16">
      <c r="A3337" s="32" t="str">
        <f t="shared" si="164"/>
        <v/>
      </c>
      <c r="B3337" s="101"/>
      <c r="C3337" s="102"/>
      <c r="D3337" s="103"/>
      <c r="E3337" s="102"/>
      <c r="F3337" s="25" t="str">
        <f>IF($E3337="","",IFERROR(INDEX(科目表!$A$4:$A$81,MATCH($E3337,科目表!$B$4:$B$81,0)),""))</f>
        <v/>
      </c>
      <c r="G3337" s="26" t="str">
        <f>IF($E3337="","",IFERROR(INDEX(科目表!$E$4:$E$81,MATCH($E3337,科目表!$B$4:$B$81,0)),""))</f>
        <v/>
      </c>
      <c r="H3337" s="104"/>
      <c r="I3337" s="104"/>
      <c r="J3337" s="102"/>
      <c r="K3337" s="102"/>
      <c r="L3337" s="103"/>
      <c r="M3337" s="105"/>
      <c r="N3337" s="103"/>
      <c r="O3337" s="26" t="str">
        <f t="shared" si="163"/>
        <v/>
      </c>
      <c r="P3337" s="103"/>
    </row>
    <row r="3338" ht="18" customHeight="1" spans="1:16">
      <c r="A3338" s="32" t="str">
        <f t="shared" si="164"/>
        <v/>
      </c>
      <c r="B3338" s="101"/>
      <c r="C3338" s="102"/>
      <c r="D3338" s="103"/>
      <c r="E3338" s="102"/>
      <c r="F3338" s="25" t="str">
        <f>IF($E3338="","",IFERROR(INDEX(科目表!$A$4:$A$81,MATCH($E3338,科目表!$B$4:$B$81,0)),""))</f>
        <v/>
      </c>
      <c r="G3338" s="26" t="str">
        <f>IF($E3338="","",IFERROR(INDEX(科目表!$E$4:$E$81,MATCH($E3338,科目表!$B$4:$B$81,0)),""))</f>
        <v/>
      </c>
      <c r="H3338" s="104"/>
      <c r="I3338" s="104"/>
      <c r="J3338" s="102"/>
      <c r="K3338" s="102"/>
      <c r="L3338" s="103"/>
      <c r="M3338" s="105"/>
      <c r="N3338" s="103"/>
      <c r="O3338" s="26" t="str">
        <f t="shared" si="163"/>
        <v/>
      </c>
      <c r="P3338" s="103"/>
    </row>
    <row r="3339" ht="18" customHeight="1" spans="1:16">
      <c r="A3339" s="32" t="str">
        <f t="shared" si="164"/>
        <v/>
      </c>
      <c r="B3339" s="101"/>
      <c r="C3339" s="102"/>
      <c r="D3339" s="103"/>
      <c r="E3339" s="102"/>
      <c r="F3339" s="25" t="str">
        <f>IF($E3339="","",IFERROR(INDEX(科目表!$A$4:$A$81,MATCH($E3339,科目表!$B$4:$B$81,0)),""))</f>
        <v/>
      </c>
      <c r="G3339" s="26" t="str">
        <f>IF($E3339="","",IFERROR(INDEX(科目表!$E$4:$E$81,MATCH($E3339,科目表!$B$4:$B$81,0)),""))</f>
        <v/>
      </c>
      <c r="H3339" s="104"/>
      <c r="I3339" s="104"/>
      <c r="J3339" s="102"/>
      <c r="K3339" s="102"/>
      <c r="L3339" s="103"/>
      <c r="M3339" s="105"/>
      <c r="N3339" s="103"/>
      <c r="O3339" s="26" t="str">
        <f t="shared" si="163"/>
        <v/>
      </c>
      <c r="P3339" s="103"/>
    </row>
    <row r="3340" ht="18" customHeight="1" spans="1:16">
      <c r="A3340" s="32" t="str">
        <f t="shared" si="164"/>
        <v/>
      </c>
      <c r="B3340" s="101"/>
      <c r="C3340" s="102"/>
      <c r="D3340" s="103"/>
      <c r="E3340" s="102"/>
      <c r="F3340" s="25" t="str">
        <f>IF($E3340="","",IFERROR(INDEX(科目表!$A$4:$A$81,MATCH($E3340,科目表!$B$4:$B$81,0)),""))</f>
        <v/>
      </c>
      <c r="G3340" s="26" t="str">
        <f>IF($E3340="","",IFERROR(INDEX(科目表!$E$4:$E$81,MATCH($E3340,科目表!$B$4:$B$81,0)),""))</f>
        <v/>
      </c>
      <c r="H3340" s="104"/>
      <c r="I3340" s="104"/>
      <c r="J3340" s="102"/>
      <c r="K3340" s="102"/>
      <c r="L3340" s="103"/>
      <c r="M3340" s="105"/>
      <c r="N3340" s="103"/>
      <c r="O3340" s="26" t="str">
        <f t="shared" si="163"/>
        <v/>
      </c>
      <c r="P3340" s="103"/>
    </row>
    <row r="3341" ht="18" customHeight="1" spans="1:16">
      <c r="A3341" s="32" t="str">
        <f t="shared" si="164"/>
        <v/>
      </c>
      <c r="B3341" s="101"/>
      <c r="C3341" s="102"/>
      <c r="D3341" s="103"/>
      <c r="E3341" s="102"/>
      <c r="F3341" s="25" t="str">
        <f>IF($E3341="","",IFERROR(INDEX(科目表!$A$4:$A$81,MATCH($E3341,科目表!$B$4:$B$81,0)),""))</f>
        <v/>
      </c>
      <c r="G3341" s="26" t="str">
        <f>IF($E3341="","",IFERROR(INDEX(科目表!$E$4:$E$81,MATCH($E3341,科目表!$B$4:$B$81,0)),""))</f>
        <v/>
      </c>
      <c r="H3341" s="104"/>
      <c r="I3341" s="104"/>
      <c r="J3341" s="102"/>
      <c r="K3341" s="102"/>
      <c r="L3341" s="103"/>
      <c r="M3341" s="105"/>
      <c r="N3341" s="103"/>
      <c r="O3341" s="26" t="str">
        <f t="shared" si="163"/>
        <v/>
      </c>
      <c r="P3341" s="103"/>
    </row>
    <row r="3342" ht="18" customHeight="1" spans="1:16">
      <c r="A3342" s="32" t="str">
        <f t="shared" si="164"/>
        <v/>
      </c>
      <c r="B3342" s="101"/>
      <c r="C3342" s="102"/>
      <c r="D3342" s="103"/>
      <c r="E3342" s="102"/>
      <c r="F3342" s="25" t="str">
        <f>IF($E3342="","",IFERROR(INDEX(科目表!$A$4:$A$81,MATCH($E3342,科目表!$B$4:$B$81,0)),""))</f>
        <v/>
      </c>
      <c r="G3342" s="26" t="str">
        <f>IF($E3342="","",IFERROR(INDEX(科目表!$E$4:$E$81,MATCH($E3342,科目表!$B$4:$B$81,0)),""))</f>
        <v/>
      </c>
      <c r="H3342" s="104"/>
      <c r="I3342" s="104"/>
      <c r="J3342" s="102"/>
      <c r="K3342" s="102"/>
      <c r="L3342" s="103"/>
      <c r="M3342" s="105"/>
      <c r="N3342" s="103"/>
      <c r="O3342" s="26" t="str">
        <f t="shared" si="163"/>
        <v/>
      </c>
      <c r="P3342" s="103"/>
    </row>
    <row r="3343" ht="18" customHeight="1" spans="1:16">
      <c r="A3343" s="32" t="str">
        <f t="shared" si="164"/>
        <v/>
      </c>
      <c r="B3343" s="101"/>
      <c r="C3343" s="102"/>
      <c r="D3343" s="103"/>
      <c r="E3343" s="102"/>
      <c r="F3343" s="25" t="str">
        <f>IF($E3343="","",IFERROR(INDEX(科目表!$A$4:$A$81,MATCH($E3343,科目表!$B$4:$B$81,0)),""))</f>
        <v/>
      </c>
      <c r="G3343" s="26" t="str">
        <f>IF($E3343="","",IFERROR(INDEX(科目表!$E$4:$E$81,MATCH($E3343,科目表!$B$4:$B$81,0)),""))</f>
        <v/>
      </c>
      <c r="H3343" s="104"/>
      <c r="I3343" s="104"/>
      <c r="J3343" s="102"/>
      <c r="K3343" s="102"/>
      <c r="L3343" s="103"/>
      <c r="M3343" s="105"/>
      <c r="N3343" s="103"/>
      <c r="O3343" s="26" t="str">
        <f t="shared" si="163"/>
        <v/>
      </c>
      <c r="P3343" s="103"/>
    </row>
    <row r="3344" ht="18" customHeight="1" spans="1:16">
      <c r="A3344" s="32" t="str">
        <f t="shared" si="164"/>
        <v/>
      </c>
      <c r="B3344" s="101"/>
      <c r="C3344" s="102"/>
      <c r="D3344" s="103"/>
      <c r="E3344" s="102"/>
      <c r="F3344" s="25" t="str">
        <f>IF($E3344="","",IFERROR(INDEX(科目表!$A$4:$A$81,MATCH($E3344,科目表!$B$4:$B$81,0)),""))</f>
        <v/>
      </c>
      <c r="G3344" s="26" t="str">
        <f>IF($E3344="","",IFERROR(INDEX(科目表!$E$4:$E$81,MATCH($E3344,科目表!$B$4:$B$81,0)),""))</f>
        <v/>
      </c>
      <c r="H3344" s="104"/>
      <c r="I3344" s="104"/>
      <c r="J3344" s="102"/>
      <c r="K3344" s="102"/>
      <c r="L3344" s="103"/>
      <c r="M3344" s="105"/>
      <c r="N3344" s="103"/>
      <c r="O3344" s="26" t="str">
        <f t="shared" si="163"/>
        <v/>
      </c>
      <c r="P3344" s="103"/>
    </row>
    <row r="3345" ht="18" customHeight="1" spans="1:16">
      <c r="A3345" s="32" t="str">
        <f t="shared" si="164"/>
        <v/>
      </c>
      <c r="B3345" s="101"/>
      <c r="C3345" s="102"/>
      <c r="D3345" s="103"/>
      <c r="E3345" s="102"/>
      <c r="F3345" s="25" t="str">
        <f>IF($E3345="","",IFERROR(INDEX(科目表!$A$4:$A$81,MATCH($E3345,科目表!$B$4:$B$81,0)),""))</f>
        <v/>
      </c>
      <c r="G3345" s="26" t="str">
        <f>IF($E3345="","",IFERROR(INDEX(科目表!$E$4:$E$81,MATCH($E3345,科目表!$B$4:$B$81,0)),""))</f>
        <v/>
      </c>
      <c r="H3345" s="104"/>
      <c r="I3345" s="104"/>
      <c r="J3345" s="102"/>
      <c r="K3345" s="102"/>
      <c r="L3345" s="103"/>
      <c r="M3345" s="105"/>
      <c r="N3345" s="103"/>
      <c r="O3345" s="26" t="str">
        <f t="shared" si="163"/>
        <v/>
      </c>
      <c r="P3345" s="103"/>
    </row>
    <row r="3346" ht="18" customHeight="1" spans="1:16">
      <c r="A3346" s="32" t="str">
        <f t="shared" si="164"/>
        <v/>
      </c>
      <c r="B3346" s="101"/>
      <c r="C3346" s="102"/>
      <c r="D3346" s="103"/>
      <c r="E3346" s="102"/>
      <c r="F3346" s="25" t="str">
        <f>IF($E3346="","",IFERROR(INDEX(科目表!$A$4:$A$81,MATCH($E3346,科目表!$B$4:$B$81,0)),""))</f>
        <v/>
      </c>
      <c r="G3346" s="26" t="str">
        <f>IF($E3346="","",IFERROR(INDEX(科目表!$E$4:$E$81,MATCH($E3346,科目表!$B$4:$B$81,0)),""))</f>
        <v/>
      </c>
      <c r="H3346" s="104"/>
      <c r="I3346" s="104"/>
      <c r="J3346" s="102"/>
      <c r="K3346" s="102"/>
      <c r="L3346" s="103"/>
      <c r="M3346" s="105"/>
      <c r="N3346" s="103"/>
      <c r="O3346" s="26" t="str">
        <f t="shared" si="163"/>
        <v/>
      </c>
      <c r="P3346" s="103"/>
    </row>
    <row r="3347" ht="18" customHeight="1" spans="1:16">
      <c r="A3347" s="32" t="str">
        <f t="shared" si="164"/>
        <v/>
      </c>
      <c r="B3347" s="101"/>
      <c r="C3347" s="102"/>
      <c r="D3347" s="103"/>
      <c r="E3347" s="102"/>
      <c r="F3347" s="25" t="str">
        <f>IF($E3347="","",IFERROR(INDEX(科目表!$A$4:$A$81,MATCH($E3347,科目表!$B$4:$B$81,0)),""))</f>
        <v/>
      </c>
      <c r="G3347" s="26" t="str">
        <f>IF($E3347="","",IFERROR(INDEX(科目表!$E$4:$E$81,MATCH($E3347,科目表!$B$4:$B$81,0)),""))</f>
        <v/>
      </c>
      <c r="H3347" s="104"/>
      <c r="I3347" s="104"/>
      <c r="J3347" s="102"/>
      <c r="K3347" s="102"/>
      <c r="L3347" s="103"/>
      <c r="M3347" s="105"/>
      <c r="N3347" s="103"/>
      <c r="O3347" s="26" t="str">
        <f t="shared" si="163"/>
        <v/>
      </c>
      <c r="P3347" s="103"/>
    </row>
    <row r="3348" ht="18" customHeight="1" spans="1:16">
      <c r="A3348" s="32" t="str">
        <f t="shared" si="164"/>
        <v/>
      </c>
      <c r="B3348" s="101"/>
      <c r="C3348" s="102"/>
      <c r="D3348" s="103"/>
      <c r="E3348" s="102"/>
      <c r="F3348" s="25" t="str">
        <f>IF($E3348="","",IFERROR(INDEX(科目表!$A$4:$A$81,MATCH($E3348,科目表!$B$4:$B$81,0)),""))</f>
        <v/>
      </c>
      <c r="G3348" s="26" t="str">
        <f>IF($E3348="","",IFERROR(INDEX(科目表!$E$4:$E$81,MATCH($E3348,科目表!$B$4:$B$81,0)),""))</f>
        <v/>
      </c>
      <c r="H3348" s="104"/>
      <c r="I3348" s="104"/>
      <c r="J3348" s="102"/>
      <c r="K3348" s="102"/>
      <c r="L3348" s="103"/>
      <c r="M3348" s="105"/>
      <c r="N3348" s="103"/>
      <c r="O3348" s="26" t="str">
        <f t="shared" si="163"/>
        <v/>
      </c>
      <c r="P3348" s="103"/>
    </row>
    <row r="3349" ht="18" customHeight="1" spans="1:16">
      <c r="A3349" s="32" t="str">
        <f t="shared" si="164"/>
        <v/>
      </c>
      <c r="B3349" s="101"/>
      <c r="C3349" s="102"/>
      <c r="D3349" s="103"/>
      <c r="E3349" s="102"/>
      <c r="F3349" s="25" t="str">
        <f>IF($E3349="","",IFERROR(INDEX(科目表!$A$4:$A$81,MATCH($E3349,科目表!$B$4:$B$81,0)),""))</f>
        <v/>
      </c>
      <c r="G3349" s="26" t="str">
        <f>IF($E3349="","",IFERROR(INDEX(科目表!$E$4:$E$81,MATCH($E3349,科目表!$B$4:$B$81,0)),""))</f>
        <v/>
      </c>
      <c r="H3349" s="104"/>
      <c r="I3349" s="104"/>
      <c r="J3349" s="102"/>
      <c r="K3349" s="102"/>
      <c r="L3349" s="103"/>
      <c r="M3349" s="105"/>
      <c r="N3349" s="103"/>
      <c r="O3349" s="26" t="str">
        <f t="shared" si="163"/>
        <v/>
      </c>
      <c r="P3349" s="103"/>
    </row>
    <row r="3350" ht="18" customHeight="1" spans="1:16">
      <c r="A3350" s="32" t="str">
        <f t="shared" si="164"/>
        <v/>
      </c>
      <c r="B3350" s="101"/>
      <c r="C3350" s="102"/>
      <c r="D3350" s="103"/>
      <c r="E3350" s="102"/>
      <c r="F3350" s="25" t="str">
        <f>IF($E3350="","",IFERROR(INDEX(科目表!$A$4:$A$81,MATCH($E3350,科目表!$B$4:$B$81,0)),""))</f>
        <v/>
      </c>
      <c r="G3350" s="26" t="str">
        <f>IF($E3350="","",IFERROR(INDEX(科目表!$E$4:$E$81,MATCH($E3350,科目表!$B$4:$B$81,0)),""))</f>
        <v/>
      </c>
      <c r="H3350" s="104"/>
      <c r="I3350" s="104"/>
      <c r="J3350" s="102"/>
      <c r="K3350" s="102"/>
      <c r="L3350" s="103"/>
      <c r="M3350" s="105"/>
      <c r="N3350" s="103"/>
      <c r="O3350" s="26" t="str">
        <f t="shared" si="163"/>
        <v/>
      </c>
      <c r="P3350" s="103"/>
    </row>
    <row r="3351" ht="18" customHeight="1" spans="1:16">
      <c r="A3351" s="32" t="str">
        <f t="shared" si="164"/>
        <v/>
      </c>
      <c r="B3351" s="101"/>
      <c r="C3351" s="102"/>
      <c r="D3351" s="103"/>
      <c r="E3351" s="102"/>
      <c r="F3351" s="25" t="str">
        <f>IF($E3351="","",IFERROR(INDEX(科目表!$A$4:$A$81,MATCH($E3351,科目表!$B$4:$B$81,0)),""))</f>
        <v/>
      </c>
      <c r="G3351" s="26" t="str">
        <f>IF($E3351="","",IFERROR(INDEX(科目表!$E$4:$E$81,MATCH($E3351,科目表!$B$4:$B$81,0)),""))</f>
        <v/>
      </c>
      <c r="H3351" s="104"/>
      <c r="I3351" s="104"/>
      <c r="J3351" s="102"/>
      <c r="K3351" s="102"/>
      <c r="L3351" s="103"/>
      <c r="M3351" s="105"/>
      <c r="N3351" s="103"/>
      <c r="O3351" s="26" t="str">
        <f t="shared" si="163"/>
        <v/>
      </c>
      <c r="P3351" s="103"/>
    </row>
    <row r="3352" ht="18" customHeight="1" spans="1:16">
      <c r="A3352" s="32" t="str">
        <f t="shared" si="164"/>
        <v/>
      </c>
      <c r="B3352" s="101"/>
      <c r="C3352" s="102"/>
      <c r="D3352" s="103"/>
      <c r="E3352" s="102"/>
      <c r="F3352" s="25" t="str">
        <f>IF($E3352="","",IFERROR(INDEX(科目表!$A$4:$A$81,MATCH($E3352,科目表!$B$4:$B$81,0)),""))</f>
        <v/>
      </c>
      <c r="G3352" s="26" t="str">
        <f>IF($E3352="","",IFERROR(INDEX(科目表!$E$4:$E$81,MATCH($E3352,科目表!$B$4:$B$81,0)),""))</f>
        <v/>
      </c>
      <c r="H3352" s="104"/>
      <c r="I3352" s="104"/>
      <c r="J3352" s="102"/>
      <c r="K3352" s="102"/>
      <c r="L3352" s="103"/>
      <c r="M3352" s="105"/>
      <c r="N3352" s="103"/>
      <c r="O3352" s="26" t="str">
        <f t="shared" si="163"/>
        <v/>
      </c>
      <c r="P3352" s="103"/>
    </row>
    <row r="3353" ht="18" customHeight="1" spans="1:16">
      <c r="A3353" s="32" t="str">
        <f t="shared" si="164"/>
        <v/>
      </c>
      <c r="B3353" s="101"/>
      <c r="C3353" s="102"/>
      <c r="D3353" s="103"/>
      <c r="E3353" s="102"/>
      <c r="F3353" s="25" t="str">
        <f>IF($E3353="","",IFERROR(INDEX(科目表!$A$4:$A$81,MATCH($E3353,科目表!$B$4:$B$81,0)),""))</f>
        <v/>
      </c>
      <c r="G3353" s="26" t="str">
        <f>IF($E3353="","",IFERROR(INDEX(科目表!$E$4:$E$81,MATCH($E3353,科目表!$B$4:$B$81,0)),""))</f>
        <v/>
      </c>
      <c r="H3353" s="104"/>
      <c r="I3353" s="104"/>
      <c r="J3353" s="102"/>
      <c r="K3353" s="102"/>
      <c r="L3353" s="103"/>
      <c r="M3353" s="105"/>
      <c r="N3353" s="103"/>
      <c r="O3353" s="26" t="str">
        <f t="shared" si="163"/>
        <v/>
      </c>
      <c r="P3353" s="103"/>
    </row>
    <row r="3354" ht="18" customHeight="1" spans="1:16">
      <c r="A3354" s="32" t="str">
        <f t="shared" si="164"/>
        <v/>
      </c>
      <c r="B3354" s="101"/>
      <c r="C3354" s="102"/>
      <c r="D3354" s="103"/>
      <c r="E3354" s="102"/>
      <c r="F3354" s="25" t="str">
        <f>IF($E3354="","",IFERROR(INDEX(科目表!$A$4:$A$81,MATCH($E3354,科目表!$B$4:$B$81,0)),""))</f>
        <v/>
      </c>
      <c r="G3354" s="26" t="str">
        <f>IF($E3354="","",IFERROR(INDEX(科目表!$E$4:$E$81,MATCH($E3354,科目表!$B$4:$B$81,0)),""))</f>
        <v/>
      </c>
      <c r="H3354" s="104"/>
      <c r="I3354" s="104"/>
      <c r="J3354" s="102"/>
      <c r="K3354" s="102"/>
      <c r="L3354" s="103"/>
      <c r="M3354" s="105"/>
      <c r="N3354" s="103"/>
      <c r="O3354" s="26" t="str">
        <f t="shared" si="163"/>
        <v/>
      </c>
      <c r="P3354" s="103"/>
    </row>
    <row r="3355" ht="18" customHeight="1" spans="1:16">
      <c r="A3355" s="32" t="str">
        <f t="shared" si="164"/>
        <v/>
      </c>
      <c r="B3355" s="101"/>
      <c r="C3355" s="102"/>
      <c r="D3355" s="103"/>
      <c r="E3355" s="102"/>
      <c r="F3355" s="25" t="str">
        <f>IF($E3355="","",IFERROR(INDEX(科目表!$A$4:$A$81,MATCH($E3355,科目表!$B$4:$B$81,0)),""))</f>
        <v/>
      </c>
      <c r="G3355" s="26" t="str">
        <f>IF($E3355="","",IFERROR(INDEX(科目表!$E$4:$E$81,MATCH($E3355,科目表!$B$4:$B$81,0)),""))</f>
        <v/>
      </c>
      <c r="H3355" s="104"/>
      <c r="I3355" s="104"/>
      <c r="J3355" s="102"/>
      <c r="K3355" s="102"/>
      <c r="L3355" s="103"/>
      <c r="M3355" s="105"/>
      <c r="N3355" s="103"/>
      <c r="O3355" s="26" t="str">
        <f t="shared" si="163"/>
        <v/>
      </c>
      <c r="P3355" s="103"/>
    </row>
    <row r="3356" ht="18" customHeight="1" spans="1:16">
      <c r="A3356" s="32" t="str">
        <f t="shared" si="164"/>
        <v/>
      </c>
      <c r="B3356" s="101"/>
      <c r="C3356" s="102"/>
      <c r="D3356" s="103"/>
      <c r="E3356" s="102"/>
      <c r="F3356" s="25" t="str">
        <f>IF($E3356="","",IFERROR(INDEX(科目表!$A$4:$A$81,MATCH($E3356,科目表!$B$4:$B$81,0)),""))</f>
        <v/>
      </c>
      <c r="G3356" s="26" t="str">
        <f>IF($E3356="","",IFERROR(INDEX(科目表!$E$4:$E$81,MATCH($E3356,科目表!$B$4:$B$81,0)),""))</f>
        <v/>
      </c>
      <c r="H3356" s="104"/>
      <c r="I3356" s="104"/>
      <c r="J3356" s="102"/>
      <c r="K3356" s="102"/>
      <c r="L3356" s="103"/>
      <c r="M3356" s="105"/>
      <c r="N3356" s="103"/>
      <c r="O3356" s="26" t="str">
        <f t="shared" si="163"/>
        <v/>
      </c>
      <c r="P3356" s="103"/>
    </row>
    <row r="3357" ht="18" customHeight="1" spans="1:16">
      <c r="A3357" s="32" t="str">
        <f t="shared" si="164"/>
        <v/>
      </c>
      <c r="B3357" s="101"/>
      <c r="C3357" s="102"/>
      <c r="D3357" s="103"/>
      <c r="E3357" s="102"/>
      <c r="F3357" s="25" t="str">
        <f>IF($E3357="","",IFERROR(INDEX(科目表!$A$4:$A$81,MATCH($E3357,科目表!$B$4:$B$81,0)),""))</f>
        <v/>
      </c>
      <c r="G3357" s="26" t="str">
        <f>IF($E3357="","",IFERROR(INDEX(科目表!$E$4:$E$81,MATCH($E3357,科目表!$B$4:$B$81,0)),""))</f>
        <v/>
      </c>
      <c r="H3357" s="104"/>
      <c r="I3357" s="104"/>
      <c r="J3357" s="102"/>
      <c r="K3357" s="102"/>
      <c r="L3357" s="103"/>
      <c r="M3357" s="105"/>
      <c r="N3357" s="103"/>
      <c r="O3357" s="26" t="str">
        <f t="shared" si="163"/>
        <v/>
      </c>
      <c r="P3357" s="103"/>
    </row>
    <row r="3358" ht="18" customHeight="1" spans="1:16">
      <c r="A3358" s="32" t="str">
        <f t="shared" si="164"/>
        <v/>
      </c>
      <c r="B3358" s="101"/>
      <c r="C3358" s="102"/>
      <c r="D3358" s="103"/>
      <c r="E3358" s="102"/>
      <c r="F3358" s="25" t="str">
        <f>IF($E3358="","",IFERROR(INDEX(科目表!$A$4:$A$81,MATCH($E3358,科目表!$B$4:$B$81,0)),""))</f>
        <v/>
      </c>
      <c r="G3358" s="26" t="str">
        <f>IF($E3358="","",IFERROR(INDEX(科目表!$E$4:$E$81,MATCH($E3358,科目表!$B$4:$B$81,0)),""))</f>
        <v/>
      </c>
      <c r="H3358" s="104"/>
      <c r="I3358" s="104"/>
      <c r="J3358" s="102"/>
      <c r="K3358" s="102"/>
      <c r="L3358" s="103"/>
      <c r="M3358" s="105"/>
      <c r="N3358" s="103"/>
      <c r="O3358" s="26" t="str">
        <f t="shared" si="163"/>
        <v/>
      </c>
      <c r="P3358" s="103"/>
    </row>
    <row r="3359" ht="18" customHeight="1" spans="1:16">
      <c r="A3359" s="32" t="str">
        <f t="shared" si="164"/>
        <v/>
      </c>
      <c r="B3359" s="101"/>
      <c r="C3359" s="102"/>
      <c r="D3359" s="103"/>
      <c r="E3359" s="102"/>
      <c r="F3359" s="25" t="str">
        <f>IF($E3359="","",IFERROR(INDEX(科目表!$A$4:$A$81,MATCH($E3359,科目表!$B$4:$B$81,0)),""))</f>
        <v/>
      </c>
      <c r="G3359" s="26" t="str">
        <f>IF($E3359="","",IFERROR(INDEX(科目表!$E$4:$E$81,MATCH($E3359,科目表!$B$4:$B$81,0)),""))</f>
        <v/>
      </c>
      <c r="H3359" s="104"/>
      <c r="I3359" s="104"/>
      <c r="J3359" s="102"/>
      <c r="K3359" s="102"/>
      <c r="L3359" s="103"/>
      <c r="M3359" s="105"/>
      <c r="N3359" s="103"/>
      <c r="O3359" s="26" t="str">
        <f t="shared" si="163"/>
        <v/>
      </c>
      <c r="P3359" s="103"/>
    </row>
    <row r="3360" ht="18" customHeight="1" spans="1:16">
      <c r="A3360" s="32" t="str">
        <f t="shared" si="164"/>
        <v/>
      </c>
      <c r="B3360" s="101"/>
      <c r="C3360" s="102"/>
      <c r="D3360" s="103"/>
      <c r="E3360" s="102"/>
      <c r="F3360" s="25" t="str">
        <f>IF($E3360="","",IFERROR(INDEX(科目表!$A$4:$A$81,MATCH($E3360,科目表!$B$4:$B$81,0)),""))</f>
        <v/>
      </c>
      <c r="G3360" s="26" t="str">
        <f>IF($E3360="","",IFERROR(INDEX(科目表!$E$4:$E$81,MATCH($E3360,科目表!$B$4:$B$81,0)),""))</f>
        <v/>
      </c>
      <c r="H3360" s="104"/>
      <c r="I3360" s="104"/>
      <c r="J3360" s="102"/>
      <c r="K3360" s="102"/>
      <c r="L3360" s="103"/>
      <c r="M3360" s="105"/>
      <c r="N3360" s="103"/>
      <c r="O3360" s="26" t="str">
        <f t="shared" si="163"/>
        <v/>
      </c>
      <c r="P3360" s="103"/>
    </row>
    <row r="3361" ht="18" customHeight="1" spans="1:16">
      <c r="A3361" s="32" t="str">
        <f t="shared" si="164"/>
        <v/>
      </c>
      <c r="B3361" s="101"/>
      <c r="C3361" s="102"/>
      <c r="D3361" s="103"/>
      <c r="E3361" s="102"/>
      <c r="F3361" s="25" t="str">
        <f>IF($E3361="","",IFERROR(INDEX(科目表!$A$4:$A$81,MATCH($E3361,科目表!$B$4:$B$81,0)),""))</f>
        <v/>
      </c>
      <c r="G3361" s="26" t="str">
        <f>IF($E3361="","",IFERROR(INDEX(科目表!$E$4:$E$81,MATCH($E3361,科目表!$B$4:$B$81,0)),""))</f>
        <v/>
      </c>
      <c r="H3361" s="104"/>
      <c r="I3361" s="104"/>
      <c r="J3361" s="102"/>
      <c r="K3361" s="102"/>
      <c r="L3361" s="103"/>
      <c r="M3361" s="105"/>
      <c r="N3361" s="103"/>
      <c r="O3361" s="26" t="str">
        <f t="shared" si="163"/>
        <v/>
      </c>
      <c r="P3361" s="103"/>
    </row>
    <row r="3362" ht="18" customHeight="1" spans="1:16">
      <c r="A3362" s="32" t="str">
        <f t="shared" si="164"/>
        <v/>
      </c>
      <c r="B3362" s="101"/>
      <c r="C3362" s="102"/>
      <c r="D3362" s="103"/>
      <c r="E3362" s="102"/>
      <c r="F3362" s="25" t="str">
        <f>IF($E3362="","",IFERROR(INDEX(科目表!$A$4:$A$81,MATCH($E3362,科目表!$B$4:$B$81,0)),""))</f>
        <v/>
      </c>
      <c r="G3362" s="26" t="str">
        <f>IF($E3362="","",IFERROR(INDEX(科目表!$E$4:$E$81,MATCH($E3362,科目表!$B$4:$B$81,0)),""))</f>
        <v/>
      </c>
      <c r="H3362" s="104"/>
      <c r="I3362" s="104"/>
      <c r="J3362" s="102"/>
      <c r="K3362" s="102"/>
      <c r="L3362" s="103"/>
      <c r="M3362" s="105"/>
      <c r="N3362" s="103"/>
      <c r="O3362" s="26" t="str">
        <f t="shared" si="163"/>
        <v/>
      </c>
      <c r="P3362" s="103"/>
    </row>
    <row r="3363" ht="18" customHeight="1" spans="1:16">
      <c r="A3363" s="32" t="str">
        <f t="shared" si="164"/>
        <v/>
      </c>
      <c r="B3363" s="101"/>
      <c r="C3363" s="102"/>
      <c r="D3363" s="103"/>
      <c r="E3363" s="102"/>
      <c r="F3363" s="25" t="str">
        <f>IF($E3363="","",IFERROR(INDEX(科目表!$A$4:$A$81,MATCH($E3363,科目表!$B$4:$B$81,0)),""))</f>
        <v/>
      </c>
      <c r="G3363" s="26" t="str">
        <f>IF($E3363="","",IFERROR(INDEX(科目表!$E$4:$E$81,MATCH($E3363,科目表!$B$4:$B$81,0)),""))</f>
        <v/>
      </c>
      <c r="H3363" s="104"/>
      <c r="I3363" s="104"/>
      <c r="J3363" s="102"/>
      <c r="K3363" s="102"/>
      <c r="L3363" s="103"/>
      <c r="M3363" s="105"/>
      <c r="N3363" s="103"/>
      <c r="O3363" s="26" t="str">
        <f t="shared" si="163"/>
        <v/>
      </c>
      <c r="P3363" s="103"/>
    </row>
    <row r="3364" ht="18" customHeight="1" spans="1:16">
      <c r="A3364" s="32" t="str">
        <f t="shared" si="164"/>
        <v/>
      </c>
      <c r="B3364" s="101"/>
      <c r="C3364" s="102"/>
      <c r="D3364" s="103"/>
      <c r="E3364" s="102"/>
      <c r="F3364" s="25" t="str">
        <f>IF($E3364="","",IFERROR(INDEX(科目表!$A$4:$A$81,MATCH($E3364,科目表!$B$4:$B$81,0)),""))</f>
        <v/>
      </c>
      <c r="G3364" s="26" t="str">
        <f>IF($E3364="","",IFERROR(INDEX(科目表!$E$4:$E$81,MATCH($E3364,科目表!$B$4:$B$81,0)),""))</f>
        <v/>
      </c>
      <c r="H3364" s="104"/>
      <c r="I3364" s="104"/>
      <c r="J3364" s="102"/>
      <c r="K3364" s="102"/>
      <c r="L3364" s="103"/>
      <c r="M3364" s="105"/>
      <c r="N3364" s="103"/>
      <c r="O3364" s="26" t="str">
        <f t="shared" si="163"/>
        <v/>
      </c>
      <c r="P3364" s="103"/>
    </row>
    <row r="3365" ht="18" customHeight="1" spans="1:16">
      <c r="A3365" s="32" t="str">
        <f t="shared" si="164"/>
        <v/>
      </c>
      <c r="B3365" s="101"/>
      <c r="C3365" s="102"/>
      <c r="D3365" s="103"/>
      <c r="E3365" s="102"/>
      <c r="F3365" s="25" t="str">
        <f>IF($E3365="","",IFERROR(INDEX(科目表!$A$4:$A$81,MATCH($E3365,科目表!$B$4:$B$81,0)),""))</f>
        <v/>
      </c>
      <c r="G3365" s="26" t="str">
        <f>IF($E3365="","",IFERROR(INDEX(科目表!$E$4:$E$81,MATCH($E3365,科目表!$B$4:$B$81,0)),""))</f>
        <v/>
      </c>
      <c r="H3365" s="104"/>
      <c r="I3365" s="104"/>
      <c r="J3365" s="102"/>
      <c r="K3365" s="102"/>
      <c r="L3365" s="103"/>
      <c r="M3365" s="105"/>
      <c r="N3365" s="103"/>
      <c r="O3365" s="26" t="str">
        <f t="shared" si="163"/>
        <v/>
      </c>
      <c r="P3365" s="103"/>
    </row>
    <row r="3366" ht="18" customHeight="1" spans="1:16">
      <c r="A3366" s="32" t="str">
        <f t="shared" si="164"/>
        <v/>
      </c>
      <c r="B3366" s="101"/>
      <c r="C3366" s="102"/>
      <c r="D3366" s="103"/>
      <c r="E3366" s="102"/>
      <c r="F3366" s="25" t="str">
        <f>IF($E3366="","",IFERROR(INDEX(科目表!$A$4:$A$81,MATCH($E3366,科目表!$B$4:$B$81,0)),""))</f>
        <v/>
      </c>
      <c r="G3366" s="26" t="str">
        <f>IF($E3366="","",IFERROR(INDEX(科目表!$E$4:$E$81,MATCH($E3366,科目表!$B$4:$B$81,0)),""))</f>
        <v/>
      </c>
      <c r="H3366" s="104"/>
      <c r="I3366" s="104"/>
      <c r="J3366" s="102"/>
      <c r="K3366" s="102"/>
      <c r="L3366" s="103"/>
      <c r="M3366" s="105"/>
      <c r="N3366" s="103"/>
      <c r="O3366" s="26" t="str">
        <f t="shared" si="163"/>
        <v/>
      </c>
      <c r="P3366" s="103"/>
    </row>
    <row r="3367" ht="18" customHeight="1" spans="1:16">
      <c r="A3367" s="32" t="str">
        <f t="shared" si="164"/>
        <v/>
      </c>
      <c r="B3367" s="101"/>
      <c r="C3367" s="102"/>
      <c r="D3367" s="103"/>
      <c r="E3367" s="102"/>
      <c r="F3367" s="25" t="str">
        <f>IF($E3367="","",IFERROR(INDEX(科目表!$A$4:$A$81,MATCH($E3367,科目表!$B$4:$B$81,0)),""))</f>
        <v/>
      </c>
      <c r="G3367" s="26" t="str">
        <f>IF($E3367="","",IFERROR(INDEX(科目表!$E$4:$E$81,MATCH($E3367,科目表!$B$4:$B$81,0)),""))</f>
        <v/>
      </c>
      <c r="H3367" s="104"/>
      <c r="I3367" s="104"/>
      <c r="J3367" s="102"/>
      <c r="K3367" s="102"/>
      <c r="L3367" s="103"/>
      <c r="M3367" s="105"/>
      <c r="N3367" s="103"/>
      <c r="O3367" s="26" t="str">
        <f t="shared" si="163"/>
        <v/>
      </c>
      <c r="P3367" s="103"/>
    </row>
    <row r="3368" ht="18" customHeight="1" spans="1:16">
      <c r="A3368" s="32" t="str">
        <f t="shared" si="164"/>
        <v/>
      </c>
      <c r="B3368" s="101"/>
      <c r="C3368" s="102"/>
      <c r="D3368" s="103"/>
      <c r="E3368" s="102"/>
      <c r="F3368" s="25" t="str">
        <f>IF($E3368="","",IFERROR(INDEX(科目表!$A$4:$A$81,MATCH($E3368,科目表!$B$4:$B$81,0)),""))</f>
        <v/>
      </c>
      <c r="G3368" s="26" t="str">
        <f>IF($E3368="","",IFERROR(INDEX(科目表!$E$4:$E$81,MATCH($E3368,科目表!$B$4:$B$81,0)),""))</f>
        <v/>
      </c>
      <c r="H3368" s="104"/>
      <c r="I3368" s="104"/>
      <c r="J3368" s="102"/>
      <c r="K3368" s="102"/>
      <c r="L3368" s="103"/>
      <c r="M3368" s="105"/>
      <c r="N3368" s="103"/>
      <c r="O3368" s="26" t="str">
        <f t="shared" si="163"/>
        <v/>
      </c>
      <c r="P3368" s="103"/>
    </row>
    <row r="3369" ht="18" customHeight="1" spans="1:16">
      <c r="A3369" s="32" t="str">
        <f t="shared" si="164"/>
        <v/>
      </c>
      <c r="B3369" s="101"/>
      <c r="C3369" s="102"/>
      <c r="D3369" s="103"/>
      <c r="E3369" s="102"/>
      <c r="F3369" s="25" t="str">
        <f>IF($E3369="","",IFERROR(INDEX(科目表!$A$4:$A$81,MATCH($E3369,科目表!$B$4:$B$81,0)),""))</f>
        <v/>
      </c>
      <c r="G3369" s="26" t="str">
        <f>IF($E3369="","",IFERROR(INDEX(科目表!$E$4:$E$81,MATCH($E3369,科目表!$B$4:$B$81,0)),""))</f>
        <v/>
      </c>
      <c r="H3369" s="104"/>
      <c r="I3369" s="104"/>
      <c r="J3369" s="102"/>
      <c r="K3369" s="102"/>
      <c r="L3369" s="103"/>
      <c r="M3369" s="105"/>
      <c r="N3369" s="103"/>
      <c r="O3369" s="26" t="str">
        <f t="shared" si="163"/>
        <v/>
      </c>
      <c r="P3369" s="103"/>
    </row>
    <row r="3370" ht="18" customHeight="1" spans="1:16">
      <c r="A3370" s="32" t="str">
        <f t="shared" si="164"/>
        <v/>
      </c>
      <c r="B3370" s="101"/>
      <c r="C3370" s="102"/>
      <c r="D3370" s="103"/>
      <c r="E3370" s="102"/>
      <c r="F3370" s="25" t="str">
        <f>IF($E3370="","",IFERROR(INDEX(科目表!$A$4:$A$81,MATCH($E3370,科目表!$B$4:$B$81,0)),""))</f>
        <v/>
      </c>
      <c r="G3370" s="26" t="str">
        <f>IF($E3370="","",IFERROR(INDEX(科目表!$E$4:$E$81,MATCH($E3370,科目表!$B$4:$B$81,0)),""))</f>
        <v/>
      </c>
      <c r="H3370" s="104"/>
      <c r="I3370" s="104"/>
      <c r="J3370" s="102"/>
      <c r="K3370" s="102"/>
      <c r="L3370" s="103"/>
      <c r="M3370" s="105"/>
      <c r="N3370" s="103"/>
      <c r="O3370" s="26" t="str">
        <f t="shared" si="163"/>
        <v/>
      </c>
      <c r="P3370" s="103"/>
    </row>
    <row r="3371" ht="18" customHeight="1" spans="1:16">
      <c r="A3371" s="32" t="str">
        <f t="shared" si="164"/>
        <v/>
      </c>
      <c r="B3371" s="101"/>
      <c r="C3371" s="102"/>
      <c r="D3371" s="103"/>
      <c r="E3371" s="102"/>
      <c r="F3371" s="25" t="str">
        <f>IF($E3371="","",IFERROR(INDEX(科目表!$A$4:$A$81,MATCH($E3371,科目表!$B$4:$B$81,0)),""))</f>
        <v/>
      </c>
      <c r="G3371" s="26" t="str">
        <f>IF($E3371="","",IFERROR(INDEX(科目表!$E$4:$E$81,MATCH($E3371,科目表!$B$4:$B$81,0)),""))</f>
        <v/>
      </c>
      <c r="H3371" s="104"/>
      <c r="I3371" s="104"/>
      <c r="J3371" s="102"/>
      <c r="K3371" s="102"/>
      <c r="L3371" s="103"/>
      <c r="M3371" s="105"/>
      <c r="N3371" s="103"/>
      <c r="O3371" s="26" t="str">
        <f t="shared" si="163"/>
        <v/>
      </c>
      <c r="P3371" s="103"/>
    </row>
    <row r="3372" ht="18" customHeight="1" spans="1:16">
      <c r="A3372" s="32" t="str">
        <f t="shared" si="164"/>
        <v/>
      </c>
      <c r="B3372" s="101"/>
      <c r="C3372" s="102"/>
      <c r="D3372" s="103"/>
      <c r="E3372" s="102"/>
      <c r="F3372" s="25" t="str">
        <f>IF($E3372="","",IFERROR(INDEX(科目表!$A$4:$A$81,MATCH($E3372,科目表!$B$4:$B$81,0)),""))</f>
        <v/>
      </c>
      <c r="G3372" s="26" t="str">
        <f>IF($E3372="","",IFERROR(INDEX(科目表!$E$4:$E$81,MATCH($E3372,科目表!$B$4:$B$81,0)),""))</f>
        <v/>
      </c>
      <c r="H3372" s="104"/>
      <c r="I3372" s="104"/>
      <c r="J3372" s="102"/>
      <c r="K3372" s="102"/>
      <c r="L3372" s="103"/>
      <c r="M3372" s="105"/>
      <c r="N3372" s="103"/>
      <c r="O3372" s="26" t="str">
        <f t="shared" si="163"/>
        <v/>
      </c>
      <c r="P3372" s="103"/>
    </row>
    <row r="3373" ht="18" customHeight="1" spans="1:16">
      <c r="A3373" s="32" t="str">
        <f t="shared" si="164"/>
        <v/>
      </c>
      <c r="B3373" s="101"/>
      <c r="C3373" s="102"/>
      <c r="D3373" s="103"/>
      <c r="E3373" s="102"/>
      <c r="F3373" s="25" t="str">
        <f>IF($E3373="","",IFERROR(INDEX(科目表!$A$4:$A$81,MATCH($E3373,科目表!$B$4:$B$81,0)),""))</f>
        <v/>
      </c>
      <c r="G3373" s="26" t="str">
        <f>IF($E3373="","",IFERROR(INDEX(科目表!$E$4:$E$81,MATCH($E3373,科目表!$B$4:$B$81,0)),""))</f>
        <v/>
      </c>
      <c r="H3373" s="104"/>
      <c r="I3373" s="104"/>
      <c r="J3373" s="102"/>
      <c r="K3373" s="102"/>
      <c r="L3373" s="103"/>
      <c r="M3373" s="105"/>
      <c r="N3373" s="103"/>
      <c r="O3373" s="26" t="str">
        <f t="shared" si="163"/>
        <v/>
      </c>
      <c r="P3373" s="103"/>
    </row>
    <row r="3374" ht="18" customHeight="1" spans="1:16">
      <c r="A3374" s="32" t="str">
        <f t="shared" si="164"/>
        <v/>
      </c>
      <c r="B3374" s="101"/>
      <c r="C3374" s="102"/>
      <c r="D3374" s="103"/>
      <c r="E3374" s="102"/>
      <c r="F3374" s="25" t="str">
        <f>IF($E3374="","",IFERROR(INDEX(科目表!$A$4:$A$81,MATCH($E3374,科目表!$B$4:$B$81,0)),""))</f>
        <v/>
      </c>
      <c r="G3374" s="26" t="str">
        <f>IF($E3374="","",IFERROR(INDEX(科目表!$E$4:$E$81,MATCH($E3374,科目表!$B$4:$B$81,0)),""))</f>
        <v/>
      </c>
      <c r="H3374" s="104"/>
      <c r="I3374" s="104"/>
      <c r="J3374" s="102"/>
      <c r="K3374" s="102"/>
      <c r="L3374" s="103"/>
      <c r="M3374" s="105"/>
      <c r="N3374" s="103"/>
      <c r="O3374" s="26" t="str">
        <f t="shared" si="163"/>
        <v/>
      </c>
      <c r="P3374" s="103"/>
    </row>
    <row r="3375" ht="18" customHeight="1" spans="1:16">
      <c r="A3375" s="32" t="str">
        <f t="shared" si="164"/>
        <v/>
      </c>
      <c r="B3375" s="101"/>
      <c r="C3375" s="102"/>
      <c r="D3375" s="103"/>
      <c r="E3375" s="102"/>
      <c r="F3375" s="25" t="str">
        <f>IF($E3375="","",IFERROR(INDEX(科目表!$A$4:$A$81,MATCH($E3375,科目表!$B$4:$B$81,0)),""))</f>
        <v/>
      </c>
      <c r="G3375" s="26" t="str">
        <f>IF($E3375="","",IFERROR(INDEX(科目表!$E$4:$E$81,MATCH($E3375,科目表!$B$4:$B$81,0)),""))</f>
        <v/>
      </c>
      <c r="H3375" s="104"/>
      <c r="I3375" s="104"/>
      <c r="J3375" s="102"/>
      <c r="K3375" s="102"/>
      <c r="L3375" s="103"/>
      <c r="M3375" s="105"/>
      <c r="N3375" s="103"/>
      <c r="O3375" s="26" t="str">
        <f t="shared" si="163"/>
        <v/>
      </c>
      <c r="P3375" s="103"/>
    </row>
    <row r="3376" ht="18" customHeight="1" spans="1:16">
      <c r="A3376" s="32" t="str">
        <f t="shared" si="164"/>
        <v/>
      </c>
      <c r="B3376" s="101"/>
      <c r="C3376" s="102"/>
      <c r="D3376" s="103"/>
      <c r="E3376" s="102"/>
      <c r="F3376" s="25" t="str">
        <f>IF($E3376="","",IFERROR(INDEX(科目表!$A$4:$A$81,MATCH($E3376,科目表!$B$4:$B$81,0)),""))</f>
        <v/>
      </c>
      <c r="G3376" s="26" t="str">
        <f>IF($E3376="","",IFERROR(INDEX(科目表!$E$4:$E$81,MATCH($E3376,科目表!$B$4:$B$81,0)),""))</f>
        <v/>
      </c>
      <c r="H3376" s="104"/>
      <c r="I3376" s="104"/>
      <c r="J3376" s="102"/>
      <c r="K3376" s="102"/>
      <c r="L3376" s="103"/>
      <c r="M3376" s="105"/>
      <c r="N3376" s="103"/>
      <c r="O3376" s="26" t="str">
        <f t="shared" si="163"/>
        <v/>
      </c>
      <c r="P3376" s="103"/>
    </row>
    <row r="3377" ht="18" customHeight="1" spans="1:16">
      <c r="A3377" s="32" t="str">
        <f t="shared" si="164"/>
        <v/>
      </c>
      <c r="B3377" s="101"/>
      <c r="C3377" s="102"/>
      <c r="D3377" s="103"/>
      <c r="E3377" s="102"/>
      <c r="F3377" s="25" t="str">
        <f>IF($E3377="","",IFERROR(INDEX(科目表!$A$4:$A$81,MATCH($E3377,科目表!$B$4:$B$81,0)),""))</f>
        <v/>
      </c>
      <c r="G3377" s="26" t="str">
        <f>IF($E3377="","",IFERROR(INDEX(科目表!$E$4:$E$81,MATCH($E3377,科目表!$B$4:$B$81,0)),""))</f>
        <v/>
      </c>
      <c r="H3377" s="104"/>
      <c r="I3377" s="104"/>
      <c r="J3377" s="102"/>
      <c r="K3377" s="102"/>
      <c r="L3377" s="103"/>
      <c r="M3377" s="105"/>
      <c r="N3377" s="103"/>
      <c r="O3377" s="26" t="str">
        <f t="shared" si="163"/>
        <v/>
      </c>
      <c r="P3377" s="103"/>
    </row>
    <row r="3378" ht="18" customHeight="1" spans="1:16">
      <c r="A3378" s="32" t="str">
        <f t="shared" si="164"/>
        <v/>
      </c>
      <c r="B3378" s="101"/>
      <c r="C3378" s="102"/>
      <c r="D3378" s="103"/>
      <c r="E3378" s="102"/>
      <c r="F3378" s="25" t="str">
        <f>IF($E3378="","",IFERROR(INDEX(科目表!$A$4:$A$81,MATCH($E3378,科目表!$B$4:$B$81,0)),""))</f>
        <v/>
      </c>
      <c r="G3378" s="26" t="str">
        <f>IF($E3378="","",IFERROR(INDEX(科目表!$E$4:$E$81,MATCH($E3378,科目表!$B$4:$B$81,0)),""))</f>
        <v/>
      </c>
      <c r="H3378" s="104"/>
      <c r="I3378" s="104"/>
      <c r="J3378" s="102"/>
      <c r="K3378" s="102"/>
      <c r="L3378" s="103"/>
      <c r="M3378" s="105"/>
      <c r="N3378" s="103"/>
      <c r="O3378" s="26" t="str">
        <f t="shared" si="163"/>
        <v/>
      </c>
      <c r="P3378" s="103"/>
    </row>
    <row r="3379" ht="18" customHeight="1" spans="1:16">
      <c r="A3379" s="32" t="str">
        <f t="shared" si="164"/>
        <v/>
      </c>
      <c r="B3379" s="101"/>
      <c r="C3379" s="102"/>
      <c r="D3379" s="103"/>
      <c r="E3379" s="102"/>
      <c r="F3379" s="25" t="str">
        <f>IF($E3379="","",IFERROR(INDEX(科目表!$A$4:$A$81,MATCH($E3379,科目表!$B$4:$B$81,0)),""))</f>
        <v/>
      </c>
      <c r="G3379" s="26" t="str">
        <f>IF($E3379="","",IFERROR(INDEX(科目表!$E$4:$E$81,MATCH($E3379,科目表!$B$4:$B$81,0)),""))</f>
        <v/>
      </c>
      <c r="H3379" s="104"/>
      <c r="I3379" s="104"/>
      <c r="J3379" s="102"/>
      <c r="K3379" s="102"/>
      <c r="L3379" s="103"/>
      <c r="M3379" s="105"/>
      <c r="N3379" s="103"/>
      <c r="O3379" s="26" t="str">
        <f t="shared" si="163"/>
        <v/>
      </c>
      <c r="P3379" s="103"/>
    </row>
    <row r="3380" ht="18" customHeight="1" spans="1:16">
      <c r="A3380" s="32" t="str">
        <f t="shared" si="164"/>
        <v/>
      </c>
      <c r="B3380" s="101"/>
      <c r="C3380" s="102"/>
      <c r="D3380" s="103"/>
      <c r="E3380" s="102"/>
      <c r="F3380" s="25" t="str">
        <f>IF($E3380="","",IFERROR(INDEX(科目表!$A$4:$A$81,MATCH($E3380,科目表!$B$4:$B$81,0)),""))</f>
        <v/>
      </c>
      <c r="G3380" s="26" t="str">
        <f>IF($E3380="","",IFERROR(INDEX(科目表!$E$4:$E$81,MATCH($E3380,科目表!$B$4:$B$81,0)),""))</f>
        <v/>
      </c>
      <c r="H3380" s="104"/>
      <c r="I3380" s="104"/>
      <c r="J3380" s="102"/>
      <c r="K3380" s="102"/>
      <c r="L3380" s="103"/>
      <c r="M3380" s="105"/>
      <c r="N3380" s="103"/>
      <c r="O3380" s="26" t="str">
        <f t="shared" si="163"/>
        <v/>
      </c>
      <c r="P3380" s="103"/>
    </row>
    <row r="3381" ht="18" customHeight="1" spans="1:16">
      <c r="A3381" s="32" t="str">
        <f t="shared" si="164"/>
        <v/>
      </c>
      <c r="B3381" s="101"/>
      <c r="C3381" s="102"/>
      <c r="D3381" s="103"/>
      <c r="E3381" s="102"/>
      <c r="F3381" s="25" t="str">
        <f>IF($E3381="","",IFERROR(INDEX(科目表!$A$4:$A$81,MATCH($E3381,科目表!$B$4:$B$81,0)),""))</f>
        <v/>
      </c>
      <c r="G3381" s="26" t="str">
        <f>IF($E3381="","",IFERROR(INDEX(科目表!$E$4:$E$81,MATCH($E3381,科目表!$B$4:$B$81,0)),""))</f>
        <v/>
      </c>
      <c r="H3381" s="104"/>
      <c r="I3381" s="104"/>
      <c r="J3381" s="102"/>
      <c r="K3381" s="102"/>
      <c r="L3381" s="103"/>
      <c r="M3381" s="105"/>
      <c r="N3381" s="103"/>
      <c r="O3381" s="26" t="str">
        <f t="shared" si="163"/>
        <v/>
      </c>
      <c r="P3381" s="103"/>
    </row>
    <row r="3382" ht="18" customHeight="1" spans="1:16">
      <c r="A3382" s="32" t="str">
        <f t="shared" si="164"/>
        <v/>
      </c>
      <c r="B3382" s="101"/>
      <c r="C3382" s="102"/>
      <c r="D3382" s="103"/>
      <c r="E3382" s="102"/>
      <c r="F3382" s="25" t="str">
        <f>IF($E3382="","",IFERROR(INDEX(科目表!$A$4:$A$81,MATCH($E3382,科目表!$B$4:$B$81,0)),""))</f>
        <v/>
      </c>
      <c r="G3382" s="26" t="str">
        <f>IF($E3382="","",IFERROR(INDEX(科目表!$E$4:$E$81,MATCH($E3382,科目表!$B$4:$B$81,0)),""))</f>
        <v/>
      </c>
      <c r="H3382" s="104"/>
      <c r="I3382" s="104"/>
      <c r="J3382" s="102"/>
      <c r="K3382" s="102"/>
      <c r="L3382" s="103"/>
      <c r="M3382" s="105"/>
      <c r="N3382" s="103"/>
      <c r="O3382" s="26" t="str">
        <f t="shared" si="163"/>
        <v/>
      </c>
      <c r="P3382" s="103"/>
    </row>
    <row r="3383" ht="18" customHeight="1" spans="1:16">
      <c r="A3383" s="32" t="str">
        <f t="shared" si="164"/>
        <v/>
      </c>
      <c r="B3383" s="101"/>
      <c r="C3383" s="102"/>
      <c r="D3383" s="103"/>
      <c r="E3383" s="102"/>
      <c r="F3383" s="25" t="str">
        <f>IF($E3383="","",IFERROR(INDEX(科目表!$A$4:$A$81,MATCH($E3383,科目表!$B$4:$B$81,0)),""))</f>
        <v/>
      </c>
      <c r="G3383" s="26" t="str">
        <f>IF($E3383="","",IFERROR(INDEX(科目表!$E$4:$E$81,MATCH($E3383,科目表!$B$4:$B$81,0)),""))</f>
        <v/>
      </c>
      <c r="H3383" s="104"/>
      <c r="I3383" s="104"/>
      <c r="J3383" s="102"/>
      <c r="K3383" s="102"/>
      <c r="L3383" s="103"/>
      <c r="M3383" s="105"/>
      <c r="N3383" s="103"/>
      <c r="O3383" s="26" t="str">
        <f t="shared" si="163"/>
        <v/>
      </c>
      <c r="P3383" s="103"/>
    </row>
    <row r="3384" ht="18" customHeight="1" spans="1:16">
      <c r="A3384" s="32" t="str">
        <f t="shared" si="164"/>
        <v/>
      </c>
      <c r="B3384" s="101"/>
      <c r="C3384" s="102"/>
      <c r="D3384" s="103"/>
      <c r="E3384" s="102"/>
      <c r="F3384" s="25" t="str">
        <f>IF($E3384="","",IFERROR(INDEX(科目表!$A$4:$A$81,MATCH($E3384,科目表!$B$4:$B$81,0)),""))</f>
        <v/>
      </c>
      <c r="G3384" s="26" t="str">
        <f>IF($E3384="","",IFERROR(INDEX(科目表!$E$4:$E$81,MATCH($E3384,科目表!$B$4:$B$81,0)),""))</f>
        <v/>
      </c>
      <c r="H3384" s="104"/>
      <c r="I3384" s="104"/>
      <c r="J3384" s="102"/>
      <c r="K3384" s="102"/>
      <c r="L3384" s="103"/>
      <c r="M3384" s="105"/>
      <c r="N3384" s="103"/>
      <c r="O3384" s="26" t="str">
        <f t="shared" si="163"/>
        <v/>
      </c>
      <c r="P3384" s="103"/>
    </row>
    <row r="3385" ht="18" customHeight="1" spans="1:16">
      <c r="A3385" s="32" t="str">
        <f t="shared" si="164"/>
        <v/>
      </c>
      <c r="B3385" s="101"/>
      <c r="C3385" s="102"/>
      <c r="D3385" s="103"/>
      <c r="E3385" s="102"/>
      <c r="F3385" s="25" t="str">
        <f>IF($E3385="","",IFERROR(INDEX(科目表!$A$4:$A$81,MATCH($E3385,科目表!$B$4:$B$81,0)),""))</f>
        <v/>
      </c>
      <c r="G3385" s="26" t="str">
        <f>IF($E3385="","",IFERROR(INDEX(科目表!$E$4:$E$81,MATCH($E3385,科目表!$B$4:$B$81,0)),""))</f>
        <v/>
      </c>
      <c r="H3385" s="104"/>
      <c r="I3385" s="104"/>
      <c r="J3385" s="102"/>
      <c r="K3385" s="102"/>
      <c r="L3385" s="103"/>
      <c r="M3385" s="105"/>
      <c r="N3385" s="103"/>
      <c r="O3385" s="26" t="str">
        <f t="shared" si="163"/>
        <v/>
      </c>
      <c r="P3385" s="103"/>
    </row>
    <row r="3386" ht="18" customHeight="1" spans="1:16">
      <c r="A3386" s="32" t="str">
        <f t="shared" si="164"/>
        <v/>
      </c>
      <c r="B3386" s="101"/>
      <c r="C3386" s="102"/>
      <c r="D3386" s="103"/>
      <c r="E3386" s="102"/>
      <c r="F3386" s="25" t="str">
        <f>IF($E3386="","",IFERROR(INDEX(科目表!$A$4:$A$81,MATCH($E3386,科目表!$B$4:$B$81,0)),""))</f>
        <v/>
      </c>
      <c r="G3386" s="26" t="str">
        <f>IF($E3386="","",IFERROR(INDEX(科目表!$E$4:$E$81,MATCH($E3386,科目表!$B$4:$B$81,0)),""))</f>
        <v/>
      </c>
      <c r="H3386" s="104"/>
      <c r="I3386" s="104"/>
      <c r="J3386" s="102"/>
      <c r="K3386" s="102"/>
      <c r="L3386" s="103"/>
      <c r="M3386" s="105"/>
      <c r="N3386" s="103"/>
      <c r="O3386" s="26" t="str">
        <f t="shared" si="163"/>
        <v/>
      </c>
      <c r="P3386" s="103"/>
    </row>
    <row r="3387" ht="18" customHeight="1" spans="1:16">
      <c r="A3387" s="32" t="str">
        <f t="shared" si="164"/>
        <v/>
      </c>
      <c r="B3387" s="101"/>
      <c r="C3387" s="102"/>
      <c r="D3387" s="103"/>
      <c r="E3387" s="102"/>
      <c r="F3387" s="25" t="str">
        <f>IF($E3387="","",IFERROR(INDEX(科目表!$A$4:$A$81,MATCH($E3387,科目表!$B$4:$B$81,0)),""))</f>
        <v/>
      </c>
      <c r="G3387" s="26" t="str">
        <f>IF($E3387="","",IFERROR(INDEX(科目表!$E$4:$E$81,MATCH($E3387,科目表!$B$4:$B$81,0)),""))</f>
        <v/>
      </c>
      <c r="H3387" s="104"/>
      <c r="I3387" s="104"/>
      <c r="J3387" s="102"/>
      <c r="K3387" s="102"/>
      <c r="L3387" s="103"/>
      <c r="M3387" s="105"/>
      <c r="N3387" s="103"/>
      <c r="O3387" s="26" t="str">
        <f t="shared" si="163"/>
        <v/>
      </c>
      <c r="P3387" s="103"/>
    </row>
    <row r="3388" ht="18" customHeight="1" spans="1:16">
      <c r="A3388" s="32" t="str">
        <f t="shared" si="164"/>
        <v/>
      </c>
      <c r="B3388" s="101"/>
      <c r="C3388" s="102"/>
      <c r="D3388" s="103"/>
      <c r="E3388" s="102"/>
      <c r="F3388" s="25" t="str">
        <f>IF($E3388="","",IFERROR(INDEX(科目表!$A$4:$A$81,MATCH($E3388,科目表!$B$4:$B$81,0)),""))</f>
        <v/>
      </c>
      <c r="G3388" s="26" t="str">
        <f>IF($E3388="","",IFERROR(INDEX(科目表!$E$4:$E$81,MATCH($E3388,科目表!$B$4:$B$81,0)),""))</f>
        <v/>
      </c>
      <c r="H3388" s="104"/>
      <c r="I3388" s="104"/>
      <c r="J3388" s="102"/>
      <c r="K3388" s="102"/>
      <c r="L3388" s="103"/>
      <c r="M3388" s="105"/>
      <c r="N3388" s="103"/>
      <c r="O3388" s="26" t="str">
        <f t="shared" si="163"/>
        <v/>
      </c>
      <c r="P3388" s="103"/>
    </row>
    <row r="3389" ht="18" customHeight="1" spans="1:16">
      <c r="A3389" s="32" t="str">
        <f t="shared" si="164"/>
        <v/>
      </c>
      <c r="B3389" s="101"/>
      <c r="C3389" s="102"/>
      <c r="D3389" s="103"/>
      <c r="E3389" s="102"/>
      <c r="F3389" s="25" t="str">
        <f>IF($E3389="","",IFERROR(INDEX(科目表!$A$4:$A$81,MATCH($E3389,科目表!$B$4:$B$81,0)),""))</f>
        <v/>
      </c>
      <c r="G3389" s="26" t="str">
        <f>IF($E3389="","",IFERROR(INDEX(科目表!$E$4:$E$81,MATCH($E3389,科目表!$B$4:$B$81,0)),""))</f>
        <v/>
      </c>
      <c r="H3389" s="104"/>
      <c r="I3389" s="104"/>
      <c r="J3389" s="102"/>
      <c r="K3389" s="102"/>
      <c r="L3389" s="103"/>
      <c r="M3389" s="105"/>
      <c r="N3389" s="103"/>
      <c r="O3389" s="26" t="str">
        <f t="shared" si="163"/>
        <v/>
      </c>
      <c r="P3389" s="103"/>
    </row>
    <row r="3390" ht="18" customHeight="1" spans="1:16">
      <c r="A3390" s="32" t="str">
        <f t="shared" si="164"/>
        <v/>
      </c>
      <c r="B3390" s="101"/>
      <c r="C3390" s="102"/>
      <c r="D3390" s="103"/>
      <c r="E3390" s="102"/>
      <c r="F3390" s="25" t="str">
        <f>IF($E3390="","",IFERROR(INDEX(科目表!$A$4:$A$81,MATCH($E3390,科目表!$B$4:$B$81,0)),""))</f>
        <v/>
      </c>
      <c r="G3390" s="26" t="str">
        <f>IF($E3390="","",IFERROR(INDEX(科目表!$E$4:$E$81,MATCH($E3390,科目表!$B$4:$B$81,0)),""))</f>
        <v/>
      </c>
      <c r="H3390" s="104"/>
      <c r="I3390" s="104"/>
      <c r="J3390" s="102"/>
      <c r="K3390" s="102"/>
      <c r="L3390" s="103"/>
      <c r="M3390" s="105"/>
      <c r="N3390" s="103"/>
      <c r="O3390" s="26" t="str">
        <f t="shared" si="163"/>
        <v/>
      </c>
      <c r="P3390" s="103"/>
    </row>
    <row r="3391" ht="18" customHeight="1" spans="1:16">
      <c r="A3391" s="32" t="str">
        <f t="shared" si="164"/>
        <v/>
      </c>
      <c r="B3391" s="101"/>
      <c r="C3391" s="102"/>
      <c r="D3391" s="103"/>
      <c r="E3391" s="102"/>
      <c r="F3391" s="25" t="str">
        <f>IF($E3391="","",IFERROR(INDEX(科目表!$A$4:$A$81,MATCH($E3391,科目表!$B$4:$B$81,0)),""))</f>
        <v/>
      </c>
      <c r="G3391" s="26" t="str">
        <f>IF($E3391="","",IFERROR(INDEX(科目表!$E$4:$E$81,MATCH($E3391,科目表!$B$4:$B$81,0)),""))</f>
        <v/>
      </c>
      <c r="H3391" s="104"/>
      <c r="I3391" s="104"/>
      <c r="J3391" s="102"/>
      <c r="K3391" s="102"/>
      <c r="L3391" s="103"/>
      <c r="M3391" s="105"/>
      <c r="N3391" s="103"/>
      <c r="O3391" s="26" t="str">
        <f t="shared" si="163"/>
        <v/>
      </c>
      <c r="P3391" s="103"/>
    </row>
    <row r="3392" ht="18" customHeight="1" spans="1:16">
      <c r="A3392" s="32" t="str">
        <f t="shared" si="164"/>
        <v/>
      </c>
      <c r="B3392" s="101"/>
      <c r="C3392" s="102"/>
      <c r="D3392" s="103"/>
      <c r="E3392" s="102"/>
      <c r="F3392" s="25" t="str">
        <f>IF($E3392="","",IFERROR(INDEX(科目表!$A$4:$A$81,MATCH($E3392,科目表!$B$4:$B$81,0)),""))</f>
        <v/>
      </c>
      <c r="G3392" s="26" t="str">
        <f>IF($E3392="","",IFERROR(INDEX(科目表!$E$4:$E$81,MATCH($E3392,科目表!$B$4:$B$81,0)),""))</f>
        <v/>
      </c>
      <c r="H3392" s="104"/>
      <c r="I3392" s="104"/>
      <c r="J3392" s="102"/>
      <c r="K3392" s="102"/>
      <c r="L3392" s="103"/>
      <c r="M3392" s="105"/>
      <c r="N3392" s="103"/>
      <c r="O3392" s="26" t="str">
        <f t="shared" si="163"/>
        <v/>
      </c>
      <c r="P3392" s="103"/>
    </row>
    <row r="3393" ht="18" customHeight="1" spans="1:16">
      <c r="A3393" s="32" t="str">
        <f t="shared" si="164"/>
        <v/>
      </c>
      <c r="B3393" s="101"/>
      <c r="C3393" s="102"/>
      <c r="D3393" s="103"/>
      <c r="E3393" s="102"/>
      <c r="F3393" s="25" t="str">
        <f>IF($E3393="","",IFERROR(INDEX(科目表!$A$4:$A$81,MATCH($E3393,科目表!$B$4:$B$81,0)),""))</f>
        <v/>
      </c>
      <c r="G3393" s="26" t="str">
        <f>IF($E3393="","",IFERROR(INDEX(科目表!$E$4:$E$81,MATCH($E3393,科目表!$B$4:$B$81,0)),""))</f>
        <v/>
      </c>
      <c r="H3393" s="104"/>
      <c r="I3393" s="104"/>
      <c r="J3393" s="102"/>
      <c r="K3393" s="102"/>
      <c r="L3393" s="103"/>
      <c r="M3393" s="105"/>
      <c r="N3393" s="103"/>
      <c r="O3393" s="26" t="str">
        <f t="shared" si="163"/>
        <v/>
      </c>
      <c r="P3393" s="103"/>
    </row>
    <row r="3394" ht="18" customHeight="1" spans="1:16">
      <c r="A3394" s="32" t="str">
        <f t="shared" si="164"/>
        <v/>
      </c>
      <c r="B3394" s="101"/>
      <c r="C3394" s="102"/>
      <c r="D3394" s="103"/>
      <c r="E3394" s="102"/>
      <c r="F3394" s="25" t="str">
        <f>IF($E3394="","",IFERROR(INDEX(科目表!$A$4:$A$81,MATCH($E3394,科目表!$B$4:$B$81,0)),""))</f>
        <v/>
      </c>
      <c r="G3394" s="26" t="str">
        <f>IF($E3394="","",IFERROR(INDEX(科目表!$E$4:$E$81,MATCH($E3394,科目表!$B$4:$B$81,0)),""))</f>
        <v/>
      </c>
      <c r="H3394" s="104"/>
      <c r="I3394" s="104"/>
      <c r="J3394" s="102"/>
      <c r="K3394" s="102"/>
      <c r="L3394" s="103"/>
      <c r="M3394" s="105"/>
      <c r="N3394" s="103"/>
      <c r="O3394" s="26" t="str">
        <f t="shared" ref="O3394:O3457" si="165">IF($E3394="","","手工")</f>
        <v/>
      </c>
      <c r="P3394" s="103"/>
    </row>
    <row r="3395" ht="18" customHeight="1" spans="1:16">
      <c r="A3395" s="32" t="str">
        <f t="shared" si="164"/>
        <v/>
      </c>
      <c r="B3395" s="101"/>
      <c r="C3395" s="102"/>
      <c r="D3395" s="103"/>
      <c r="E3395" s="102"/>
      <c r="F3395" s="25" t="str">
        <f>IF($E3395="","",IFERROR(INDEX(科目表!$A$4:$A$81,MATCH($E3395,科目表!$B$4:$B$81,0)),""))</f>
        <v/>
      </c>
      <c r="G3395" s="26" t="str">
        <f>IF($E3395="","",IFERROR(INDEX(科目表!$E$4:$E$81,MATCH($E3395,科目表!$B$4:$B$81,0)),""))</f>
        <v/>
      </c>
      <c r="H3395" s="104"/>
      <c r="I3395" s="104"/>
      <c r="J3395" s="102"/>
      <c r="K3395" s="102"/>
      <c r="L3395" s="103"/>
      <c r="M3395" s="105"/>
      <c r="N3395" s="103"/>
      <c r="O3395" s="26" t="str">
        <f t="shared" si="165"/>
        <v/>
      </c>
      <c r="P3395" s="103"/>
    </row>
    <row r="3396" ht="18" customHeight="1" spans="1:16">
      <c r="A3396" s="32" t="str">
        <f t="shared" ref="A3396:A3459" si="166">IF($E3396="","",ROW()-3)</f>
        <v/>
      </c>
      <c r="B3396" s="101"/>
      <c r="C3396" s="102"/>
      <c r="D3396" s="103"/>
      <c r="E3396" s="102"/>
      <c r="F3396" s="25" t="str">
        <f>IF($E3396="","",IFERROR(INDEX(科目表!$A$4:$A$81,MATCH($E3396,科目表!$B$4:$B$81,0)),""))</f>
        <v/>
      </c>
      <c r="G3396" s="26" t="str">
        <f>IF($E3396="","",IFERROR(INDEX(科目表!$E$4:$E$81,MATCH($E3396,科目表!$B$4:$B$81,0)),""))</f>
        <v/>
      </c>
      <c r="H3396" s="104"/>
      <c r="I3396" s="104"/>
      <c r="J3396" s="102"/>
      <c r="K3396" s="102"/>
      <c r="L3396" s="103"/>
      <c r="M3396" s="105"/>
      <c r="N3396" s="103"/>
      <c r="O3396" s="26" t="str">
        <f t="shared" si="165"/>
        <v/>
      </c>
      <c r="P3396" s="103"/>
    </row>
    <row r="3397" ht="18" customHeight="1" spans="1:16">
      <c r="A3397" s="32" t="str">
        <f t="shared" si="166"/>
        <v/>
      </c>
      <c r="B3397" s="101"/>
      <c r="C3397" s="102"/>
      <c r="D3397" s="103"/>
      <c r="E3397" s="102"/>
      <c r="F3397" s="25" t="str">
        <f>IF($E3397="","",IFERROR(INDEX(科目表!$A$4:$A$81,MATCH($E3397,科目表!$B$4:$B$81,0)),""))</f>
        <v/>
      </c>
      <c r="G3397" s="26" t="str">
        <f>IF($E3397="","",IFERROR(INDEX(科目表!$E$4:$E$81,MATCH($E3397,科目表!$B$4:$B$81,0)),""))</f>
        <v/>
      </c>
      <c r="H3397" s="104"/>
      <c r="I3397" s="104"/>
      <c r="J3397" s="102"/>
      <c r="K3397" s="102"/>
      <c r="L3397" s="103"/>
      <c r="M3397" s="105"/>
      <c r="N3397" s="103"/>
      <c r="O3397" s="26" t="str">
        <f t="shared" si="165"/>
        <v/>
      </c>
      <c r="P3397" s="103"/>
    </row>
    <row r="3398" ht="18" customHeight="1" spans="1:16">
      <c r="A3398" s="32" t="str">
        <f t="shared" si="166"/>
        <v/>
      </c>
      <c r="B3398" s="101"/>
      <c r="C3398" s="102"/>
      <c r="D3398" s="103"/>
      <c r="E3398" s="102"/>
      <c r="F3398" s="25" t="str">
        <f>IF($E3398="","",IFERROR(INDEX(科目表!$A$4:$A$81,MATCH($E3398,科目表!$B$4:$B$81,0)),""))</f>
        <v/>
      </c>
      <c r="G3398" s="26" t="str">
        <f>IF($E3398="","",IFERROR(INDEX(科目表!$E$4:$E$81,MATCH($E3398,科目表!$B$4:$B$81,0)),""))</f>
        <v/>
      </c>
      <c r="H3398" s="104"/>
      <c r="I3398" s="104"/>
      <c r="J3398" s="102"/>
      <c r="K3398" s="102"/>
      <c r="L3398" s="103"/>
      <c r="M3398" s="105"/>
      <c r="N3398" s="103"/>
      <c r="O3398" s="26" t="str">
        <f t="shared" si="165"/>
        <v/>
      </c>
      <c r="P3398" s="103"/>
    </row>
    <row r="3399" ht="18" customHeight="1" spans="1:16">
      <c r="A3399" s="32" t="str">
        <f t="shared" si="166"/>
        <v/>
      </c>
      <c r="B3399" s="101"/>
      <c r="C3399" s="102"/>
      <c r="D3399" s="103"/>
      <c r="E3399" s="102"/>
      <c r="F3399" s="25" t="str">
        <f>IF($E3399="","",IFERROR(INDEX(科目表!$A$4:$A$81,MATCH($E3399,科目表!$B$4:$B$81,0)),""))</f>
        <v/>
      </c>
      <c r="G3399" s="26" t="str">
        <f>IF($E3399="","",IFERROR(INDEX(科目表!$E$4:$E$81,MATCH($E3399,科目表!$B$4:$B$81,0)),""))</f>
        <v/>
      </c>
      <c r="H3399" s="104"/>
      <c r="I3399" s="104"/>
      <c r="J3399" s="102"/>
      <c r="K3399" s="102"/>
      <c r="L3399" s="103"/>
      <c r="M3399" s="105"/>
      <c r="N3399" s="103"/>
      <c r="O3399" s="26" t="str">
        <f t="shared" si="165"/>
        <v/>
      </c>
      <c r="P3399" s="103"/>
    </row>
    <row r="3400" ht="18" customHeight="1" spans="1:16">
      <c r="A3400" s="32" t="str">
        <f t="shared" si="166"/>
        <v/>
      </c>
      <c r="B3400" s="101"/>
      <c r="C3400" s="102"/>
      <c r="D3400" s="103"/>
      <c r="E3400" s="102"/>
      <c r="F3400" s="25" t="str">
        <f>IF($E3400="","",IFERROR(INDEX(科目表!$A$4:$A$81,MATCH($E3400,科目表!$B$4:$B$81,0)),""))</f>
        <v/>
      </c>
      <c r="G3400" s="26" t="str">
        <f>IF($E3400="","",IFERROR(INDEX(科目表!$E$4:$E$81,MATCH($E3400,科目表!$B$4:$B$81,0)),""))</f>
        <v/>
      </c>
      <c r="H3400" s="104"/>
      <c r="I3400" s="104"/>
      <c r="J3400" s="102"/>
      <c r="K3400" s="102"/>
      <c r="L3400" s="103"/>
      <c r="M3400" s="105"/>
      <c r="N3400" s="103"/>
      <c r="O3400" s="26" t="str">
        <f t="shared" si="165"/>
        <v/>
      </c>
      <c r="P3400" s="103"/>
    </row>
    <row r="3401" ht="18" customHeight="1" spans="1:16">
      <c r="A3401" s="32" t="str">
        <f t="shared" si="166"/>
        <v/>
      </c>
      <c r="B3401" s="101"/>
      <c r="C3401" s="102"/>
      <c r="D3401" s="103"/>
      <c r="E3401" s="102"/>
      <c r="F3401" s="25" t="str">
        <f>IF($E3401="","",IFERROR(INDEX(科目表!$A$4:$A$81,MATCH($E3401,科目表!$B$4:$B$81,0)),""))</f>
        <v/>
      </c>
      <c r="G3401" s="26" t="str">
        <f>IF($E3401="","",IFERROR(INDEX(科目表!$E$4:$E$81,MATCH($E3401,科目表!$B$4:$B$81,0)),""))</f>
        <v/>
      </c>
      <c r="H3401" s="104"/>
      <c r="I3401" s="104"/>
      <c r="J3401" s="102"/>
      <c r="K3401" s="102"/>
      <c r="L3401" s="103"/>
      <c r="M3401" s="105"/>
      <c r="N3401" s="103"/>
      <c r="O3401" s="26" t="str">
        <f t="shared" si="165"/>
        <v/>
      </c>
      <c r="P3401" s="103"/>
    </row>
    <row r="3402" ht="18" customHeight="1" spans="1:16">
      <c r="A3402" s="32" t="str">
        <f t="shared" si="166"/>
        <v/>
      </c>
      <c r="B3402" s="101"/>
      <c r="C3402" s="102"/>
      <c r="D3402" s="103"/>
      <c r="E3402" s="102"/>
      <c r="F3402" s="25" t="str">
        <f>IF($E3402="","",IFERROR(INDEX(科目表!$A$4:$A$81,MATCH($E3402,科目表!$B$4:$B$81,0)),""))</f>
        <v/>
      </c>
      <c r="G3402" s="26" t="str">
        <f>IF($E3402="","",IFERROR(INDEX(科目表!$E$4:$E$81,MATCH($E3402,科目表!$B$4:$B$81,0)),""))</f>
        <v/>
      </c>
      <c r="H3402" s="104"/>
      <c r="I3402" s="104"/>
      <c r="J3402" s="102"/>
      <c r="K3402" s="102"/>
      <c r="L3402" s="103"/>
      <c r="M3402" s="105"/>
      <c r="N3402" s="103"/>
      <c r="O3402" s="26" t="str">
        <f t="shared" si="165"/>
        <v/>
      </c>
      <c r="P3402" s="103"/>
    </row>
    <row r="3403" ht="18" customHeight="1" spans="1:16">
      <c r="A3403" s="32" t="str">
        <f t="shared" si="166"/>
        <v/>
      </c>
      <c r="B3403" s="101"/>
      <c r="C3403" s="102"/>
      <c r="D3403" s="103"/>
      <c r="E3403" s="102"/>
      <c r="F3403" s="25" t="str">
        <f>IF($E3403="","",IFERROR(INDEX(科目表!$A$4:$A$81,MATCH($E3403,科目表!$B$4:$B$81,0)),""))</f>
        <v/>
      </c>
      <c r="G3403" s="26" t="str">
        <f>IF($E3403="","",IFERROR(INDEX(科目表!$E$4:$E$81,MATCH($E3403,科目表!$B$4:$B$81,0)),""))</f>
        <v/>
      </c>
      <c r="H3403" s="104"/>
      <c r="I3403" s="104"/>
      <c r="J3403" s="102"/>
      <c r="K3403" s="102"/>
      <c r="L3403" s="103"/>
      <c r="M3403" s="105"/>
      <c r="N3403" s="103"/>
      <c r="O3403" s="26" t="str">
        <f t="shared" si="165"/>
        <v/>
      </c>
      <c r="P3403" s="103"/>
    </row>
    <row r="3404" ht="18" customHeight="1" spans="1:16">
      <c r="A3404" s="32" t="str">
        <f t="shared" si="166"/>
        <v/>
      </c>
      <c r="B3404" s="101"/>
      <c r="C3404" s="102"/>
      <c r="D3404" s="103"/>
      <c r="E3404" s="102"/>
      <c r="F3404" s="25" t="str">
        <f>IF($E3404="","",IFERROR(INDEX(科目表!$A$4:$A$81,MATCH($E3404,科目表!$B$4:$B$81,0)),""))</f>
        <v/>
      </c>
      <c r="G3404" s="26" t="str">
        <f>IF($E3404="","",IFERROR(INDEX(科目表!$E$4:$E$81,MATCH($E3404,科目表!$B$4:$B$81,0)),""))</f>
        <v/>
      </c>
      <c r="H3404" s="104"/>
      <c r="I3404" s="104"/>
      <c r="J3404" s="102"/>
      <c r="K3404" s="102"/>
      <c r="L3404" s="103"/>
      <c r="M3404" s="105"/>
      <c r="N3404" s="103"/>
      <c r="O3404" s="26" t="str">
        <f t="shared" si="165"/>
        <v/>
      </c>
      <c r="P3404" s="103"/>
    </row>
    <row r="3405" ht="18" customHeight="1" spans="1:16">
      <c r="A3405" s="32" t="str">
        <f t="shared" si="166"/>
        <v/>
      </c>
      <c r="B3405" s="101"/>
      <c r="C3405" s="102"/>
      <c r="D3405" s="103"/>
      <c r="E3405" s="102"/>
      <c r="F3405" s="25" t="str">
        <f>IF($E3405="","",IFERROR(INDEX(科目表!$A$4:$A$81,MATCH($E3405,科目表!$B$4:$B$81,0)),""))</f>
        <v/>
      </c>
      <c r="G3405" s="26" t="str">
        <f>IF($E3405="","",IFERROR(INDEX(科目表!$E$4:$E$81,MATCH($E3405,科目表!$B$4:$B$81,0)),""))</f>
        <v/>
      </c>
      <c r="H3405" s="104"/>
      <c r="I3405" s="104"/>
      <c r="J3405" s="102"/>
      <c r="K3405" s="102"/>
      <c r="L3405" s="103"/>
      <c r="M3405" s="105"/>
      <c r="N3405" s="103"/>
      <c r="O3405" s="26" t="str">
        <f t="shared" si="165"/>
        <v/>
      </c>
      <c r="P3405" s="103"/>
    </row>
    <row r="3406" ht="18" customHeight="1" spans="1:16">
      <c r="A3406" s="32" t="str">
        <f t="shared" si="166"/>
        <v/>
      </c>
      <c r="B3406" s="101"/>
      <c r="C3406" s="102"/>
      <c r="D3406" s="103"/>
      <c r="E3406" s="102"/>
      <c r="F3406" s="25" t="str">
        <f>IF($E3406="","",IFERROR(INDEX(科目表!$A$4:$A$81,MATCH($E3406,科目表!$B$4:$B$81,0)),""))</f>
        <v/>
      </c>
      <c r="G3406" s="26" t="str">
        <f>IF($E3406="","",IFERROR(INDEX(科目表!$E$4:$E$81,MATCH($E3406,科目表!$B$4:$B$81,0)),""))</f>
        <v/>
      </c>
      <c r="H3406" s="104"/>
      <c r="I3406" s="104"/>
      <c r="J3406" s="102"/>
      <c r="K3406" s="102"/>
      <c r="L3406" s="103"/>
      <c r="M3406" s="105"/>
      <c r="N3406" s="103"/>
      <c r="O3406" s="26" t="str">
        <f t="shared" si="165"/>
        <v/>
      </c>
      <c r="P3406" s="103"/>
    </row>
    <row r="3407" ht="18" customHeight="1" spans="1:16">
      <c r="A3407" s="32" t="str">
        <f t="shared" si="166"/>
        <v/>
      </c>
      <c r="B3407" s="101"/>
      <c r="C3407" s="102"/>
      <c r="D3407" s="103"/>
      <c r="E3407" s="102"/>
      <c r="F3407" s="25" t="str">
        <f>IF($E3407="","",IFERROR(INDEX(科目表!$A$4:$A$81,MATCH($E3407,科目表!$B$4:$B$81,0)),""))</f>
        <v/>
      </c>
      <c r="G3407" s="26" t="str">
        <f>IF($E3407="","",IFERROR(INDEX(科目表!$E$4:$E$81,MATCH($E3407,科目表!$B$4:$B$81,0)),""))</f>
        <v/>
      </c>
      <c r="H3407" s="104"/>
      <c r="I3407" s="104"/>
      <c r="J3407" s="102"/>
      <c r="K3407" s="102"/>
      <c r="L3407" s="103"/>
      <c r="M3407" s="105"/>
      <c r="N3407" s="103"/>
      <c r="O3407" s="26" t="str">
        <f t="shared" si="165"/>
        <v/>
      </c>
      <c r="P3407" s="103"/>
    </row>
    <row r="3408" ht="18" customHeight="1" spans="1:16">
      <c r="A3408" s="32" t="str">
        <f t="shared" si="166"/>
        <v/>
      </c>
      <c r="B3408" s="101"/>
      <c r="C3408" s="102"/>
      <c r="D3408" s="103"/>
      <c r="E3408" s="102"/>
      <c r="F3408" s="25" t="str">
        <f>IF($E3408="","",IFERROR(INDEX(科目表!$A$4:$A$81,MATCH($E3408,科目表!$B$4:$B$81,0)),""))</f>
        <v/>
      </c>
      <c r="G3408" s="26" t="str">
        <f>IF($E3408="","",IFERROR(INDEX(科目表!$E$4:$E$81,MATCH($E3408,科目表!$B$4:$B$81,0)),""))</f>
        <v/>
      </c>
      <c r="H3408" s="104"/>
      <c r="I3408" s="104"/>
      <c r="J3408" s="102"/>
      <c r="K3408" s="102"/>
      <c r="L3408" s="103"/>
      <c r="M3408" s="105"/>
      <c r="N3408" s="103"/>
      <c r="O3408" s="26" t="str">
        <f t="shared" si="165"/>
        <v/>
      </c>
      <c r="P3408" s="103"/>
    </row>
    <row r="3409" ht="18" customHeight="1" spans="1:16">
      <c r="A3409" s="32" t="str">
        <f t="shared" si="166"/>
        <v/>
      </c>
      <c r="B3409" s="101"/>
      <c r="C3409" s="102"/>
      <c r="D3409" s="103"/>
      <c r="E3409" s="102"/>
      <c r="F3409" s="25" t="str">
        <f>IF($E3409="","",IFERROR(INDEX(科目表!$A$4:$A$81,MATCH($E3409,科目表!$B$4:$B$81,0)),""))</f>
        <v/>
      </c>
      <c r="G3409" s="26" t="str">
        <f>IF($E3409="","",IFERROR(INDEX(科目表!$E$4:$E$81,MATCH($E3409,科目表!$B$4:$B$81,0)),""))</f>
        <v/>
      </c>
      <c r="H3409" s="104"/>
      <c r="I3409" s="104"/>
      <c r="J3409" s="102"/>
      <c r="K3409" s="102"/>
      <c r="L3409" s="103"/>
      <c r="M3409" s="105"/>
      <c r="N3409" s="103"/>
      <c r="O3409" s="26" t="str">
        <f t="shared" si="165"/>
        <v/>
      </c>
      <c r="P3409" s="103"/>
    </row>
    <row r="3410" ht="18" customHeight="1" spans="1:16">
      <c r="A3410" s="32" t="str">
        <f t="shared" si="166"/>
        <v/>
      </c>
      <c r="B3410" s="101"/>
      <c r="C3410" s="102"/>
      <c r="D3410" s="103"/>
      <c r="E3410" s="102"/>
      <c r="F3410" s="25" t="str">
        <f>IF($E3410="","",IFERROR(INDEX(科目表!$A$4:$A$81,MATCH($E3410,科目表!$B$4:$B$81,0)),""))</f>
        <v/>
      </c>
      <c r="G3410" s="26" t="str">
        <f>IF($E3410="","",IFERROR(INDEX(科目表!$E$4:$E$81,MATCH($E3410,科目表!$B$4:$B$81,0)),""))</f>
        <v/>
      </c>
      <c r="H3410" s="104"/>
      <c r="I3410" s="104"/>
      <c r="J3410" s="102"/>
      <c r="K3410" s="102"/>
      <c r="L3410" s="103"/>
      <c r="M3410" s="105"/>
      <c r="N3410" s="103"/>
      <c r="O3410" s="26" t="str">
        <f t="shared" si="165"/>
        <v/>
      </c>
      <c r="P3410" s="103"/>
    </row>
    <row r="3411" ht="18" customHeight="1" spans="1:16">
      <c r="A3411" s="32" t="str">
        <f t="shared" si="166"/>
        <v/>
      </c>
      <c r="B3411" s="101"/>
      <c r="C3411" s="102"/>
      <c r="D3411" s="103"/>
      <c r="E3411" s="102"/>
      <c r="F3411" s="25" t="str">
        <f>IF($E3411="","",IFERROR(INDEX(科目表!$A$4:$A$81,MATCH($E3411,科目表!$B$4:$B$81,0)),""))</f>
        <v/>
      </c>
      <c r="G3411" s="26" t="str">
        <f>IF($E3411="","",IFERROR(INDEX(科目表!$E$4:$E$81,MATCH($E3411,科目表!$B$4:$B$81,0)),""))</f>
        <v/>
      </c>
      <c r="H3411" s="104"/>
      <c r="I3411" s="104"/>
      <c r="J3411" s="102"/>
      <c r="K3411" s="102"/>
      <c r="L3411" s="103"/>
      <c r="M3411" s="105"/>
      <c r="N3411" s="103"/>
      <c r="O3411" s="26" t="str">
        <f t="shared" si="165"/>
        <v/>
      </c>
      <c r="P3411" s="103"/>
    </row>
    <row r="3412" ht="18" customHeight="1" spans="1:16">
      <c r="A3412" s="32" t="str">
        <f t="shared" si="166"/>
        <v/>
      </c>
      <c r="B3412" s="101"/>
      <c r="C3412" s="102"/>
      <c r="D3412" s="103"/>
      <c r="E3412" s="102"/>
      <c r="F3412" s="25" t="str">
        <f>IF($E3412="","",IFERROR(INDEX(科目表!$A$4:$A$81,MATCH($E3412,科目表!$B$4:$B$81,0)),""))</f>
        <v/>
      </c>
      <c r="G3412" s="26" t="str">
        <f>IF($E3412="","",IFERROR(INDEX(科目表!$E$4:$E$81,MATCH($E3412,科目表!$B$4:$B$81,0)),""))</f>
        <v/>
      </c>
      <c r="H3412" s="104"/>
      <c r="I3412" s="104"/>
      <c r="J3412" s="102"/>
      <c r="K3412" s="102"/>
      <c r="L3412" s="103"/>
      <c r="M3412" s="105"/>
      <c r="N3412" s="103"/>
      <c r="O3412" s="26" t="str">
        <f t="shared" si="165"/>
        <v/>
      </c>
      <c r="P3412" s="103"/>
    </row>
    <row r="3413" ht="18" customHeight="1" spans="1:16">
      <c r="A3413" s="32" t="str">
        <f t="shared" si="166"/>
        <v/>
      </c>
      <c r="B3413" s="101"/>
      <c r="C3413" s="102"/>
      <c r="D3413" s="103"/>
      <c r="E3413" s="102"/>
      <c r="F3413" s="25" t="str">
        <f>IF($E3413="","",IFERROR(INDEX(科目表!$A$4:$A$81,MATCH($E3413,科目表!$B$4:$B$81,0)),""))</f>
        <v/>
      </c>
      <c r="G3413" s="26" t="str">
        <f>IF($E3413="","",IFERROR(INDEX(科目表!$E$4:$E$81,MATCH($E3413,科目表!$B$4:$B$81,0)),""))</f>
        <v/>
      </c>
      <c r="H3413" s="104"/>
      <c r="I3413" s="104"/>
      <c r="J3413" s="102"/>
      <c r="K3413" s="102"/>
      <c r="L3413" s="103"/>
      <c r="M3413" s="105"/>
      <c r="N3413" s="103"/>
      <c r="O3413" s="26" t="str">
        <f t="shared" si="165"/>
        <v/>
      </c>
      <c r="P3413" s="103"/>
    </row>
    <row r="3414" ht="18" customHeight="1" spans="1:16">
      <c r="A3414" s="32" t="str">
        <f t="shared" si="166"/>
        <v/>
      </c>
      <c r="B3414" s="101"/>
      <c r="C3414" s="102"/>
      <c r="D3414" s="103"/>
      <c r="E3414" s="102"/>
      <c r="F3414" s="25" t="str">
        <f>IF($E3414="","",IFERROR(INDEX(科目表!$A$4:$A$81,MATCH($E3414,科目表!$B$4:$B$81,0)),""))</f>
        <v/>
      </c>
      <c r="G3414" s="26" t="str">
        <f>IF($E3414="","",IFERROR(INDEX(科目表!$E$4:$E$81,MATCH($E3414,科目表!$B$4:$B$81,0)),""))</f>
        <v/>
      </c>
      <c r="H3414" s="104"/>
      <c r="I3414" s="104"/>
      <c r="J3414" s="102"/>
      <c r="K3414" s="102"/>
      <c r="L3414" s="103"/>
      <c r="M3414" s="105"/>
      <c r="N3414" s="103"/>
      <c r="O3414" s="26" t="str">
        <f t="shared" si="165"/>
        <v/>
      </c>
      <c r="P3414" s="103"/>
    </row>
    <row r="3415" ht="18" customHeight="1" spans="1:16">
      <c r="A3415" s="32" t="str">
        <f t="shared" si="166"/>
        <v/>
      </c>
      <c r="B3415" s="101"/>
      <c r="C3415" s="102"/>
      <c r="D3415" s="103"/>
      <c r="E3415" s="102"/>
      <c r="F3415" s="25" t="str">
        <f>IF($E3415="","",IFERROR(INDEX(科目表!$A$4:$A$81,MATCH($E3415,科目表!$B$4:$B$81,0)),""))</f>
        <v/>
      </c>
      <c r="G3415" s="26" t="str">
        <f>IF($E3415="","",IFERROR(INDEX(科目表!$E$4:$E$81,MATCH($E3415,科目表!$B$4:$B$81,0)),""))</f>
        <v/>
      </c>
      <c r="H3415" s="104"/>
      <c r="I3415" s="104"/>
      <c r="J3415" s="102"/>
      <c r="K3415" s="102"/>
      <c r="L3415" s="103"/>
      <c r="M3415" s="105"/>
      <c r="N3415" s="103"/>
      <c r="O3415" s="26" t="str">
        <f t="shared" si="165"/>
        <v/>
      </c>
      <c r="P3415" s="103"/>
    </row>
    <row r="3416" ht="18" customHeight="1" spans="1:16">
      <c r="A3416" s="32" t="str">
        <f t="shared" si="166"/>
        <v/>
      </c>
      <c r="B3416" s="101"/>
      <c r="C3416" s="102"/>
      <c r="D3416" s="103"/>
      <c r="E3416" s="102"/>
      <c r="F3416" s="25" t="str">
        <f>IF($E3416="","",IFERROR(INDEX(科目表!$A$4:$A$81,MATCH($E3416,科目表!$B$4:$B$81,0)),""))</f>
        <v/>
      </c>
      <c r="G3416" s="26" t="str">
        <f>IF($E3416="","",IFERROR(INDEX(科目表!$E$4:$E$81,MATCH($E3416,科目表!$B$4:$B$81,0)),""))</f>
        <v/>
      </c>
      <c r="H3416" s="104"/>
      <c r="I3416" s="104"/>
      <c r="J3416" s="102"/>
      <c r="K3416" s="102"/>
      <c r="L3416" s="103"/>
      <c r="M3416" s="105"/>
      <c r="N3416" s="103"/>
      <c r="O3416" s="26" t="str">
        <f t="shared" si="165"/>
        <v/>
      </c>
      <c r="P3416" s="103"/>
    </row>
    <row r="3417" ht="18" customHeight="1" spans="1:16">
      <c r="A3417" s="32" t="str">
        <f t="shared" si="166"/>
        <v/>
      </c>
      <c r="B3417" s="101"/>
      <c r="C3417" s="102"/>
      <c r="D3417" s="103"/>
      <c r="E3417" s="102"/>
      <c r="F3417" s="25" t="str">
        <f>IF($E3417="","",IFERROR(INDEX(科目表!$A$4:$A$81,MATCH($E3417,科目表!$B$4:$B$81,0)),""))</f>
        <v/>
      </c>
      <c r="G3417" s="26" t="str">
        <f>IF($E3417="","",IFERROR(INDEX(科目表!$E$4:$E$81,MATCH($E3417,科目表!$B$4:$B$81,0)),""))</f>
        <v/>
      </c>
      <c r="H3417" s="104"/>
      <c r="I3417" s="104"/>
      <c r="J3417" s="102"/>
      <c r="K3417" s="102"/>
      <c r="L3417" s="103"/>
      <c r="M3417" s="105"/>
      <c r="N3417" s="103"/>
      <c r="O3417" s="26" t="str">
        <f t="shared" si="165"/>
        <v/>
      </c>
      <c r="P3417" s="103"/>
    </row>
    <row r="3418" ht="18" customHeight="1" spans="1:16">
      <c r="A3418" s="32" t="str">
        <f t="shared" si="166"/>
        <v/>
      </c>
      <c r="B3418" s="101"/>
      <c r="C3418" s="102"/>
      <c r="D3418" s="103"/>
      <c r="E3418" s="102"/>
      <c r="F3418" s="25" t="str">
        <f>IF($E3418="","",IFERROR(INDEX(科目表!$A$4:$A$81,MATCH($E3418,科目表!$B$4:$B$81,0)),""))</f>
        <v/>
      </c>
      <c r="G3418" s="26" t="str">
        <f>IF($E3418="","",IFERROR(INDEX(科目表!$E$4:$E$81,MATCH($E3418,科目表!$B$4:$B$81,0)),""))</f>
        <v/>
      </c>
      <c r="H3418" s="104"/>
      <c r="I3418" s="104"/>
      <c r="J3418" s="102"/>
      <c r="K3418" s="102"/>
      <c r="L3418" s="103"/>
      <c r="M3418" s="105"/>
      <c r="N3418" s="103"/>
      <c r="O3418" s="26" t="str">
        <f t="shared" si="165"/>
        <v/>
      </c>
      <c r="P3418" s="103"/>
    </row>
    <row r="3419" ht="18" customHeight="1" spans="1:16">
      <c r="A3419" s="32" t="str">
        <f t="shared" si="166"/>
        <v/>
      </c>
      <c r="B3419" s="101"/>
      <c r="C3419" s="102"/>
      <c r="D3419" s="103"/>
      <c r="E3419" s="102"/>
      <c r="F3419" s="25" t="str">
        <f>IF($E3419="","",IFERROR(INDEX(科目表!$A$4:$A$81,MATCH($E3419,科目表!$B$4:$B$81,0)),""))</f>
        <v/>
      </c>
      <c r="G3419" s="26" t="str">
        <f>IF($E3419="","",IFERROR(INDEX(科目表!$E$4:$E$81,MATCH($E3419,科目表!$B$4:$B$81,0)),""))</f>
        <v/>
      </c>
      <c r="H3419" s="104"/>
      <c r="I3419" s="104"/>
      <c r="J3419" s="102"/>
      <c r="K3419" s="102"/>
      <c r="L3419" s="103"/>
      <c r="M3419" s="105"/>
      <c r="N3419" s="103"/>
      <c r="O3419" s="26" t="str">
        <f t="shared" si="165"/>
        <v/>
      </c>
      <c r="P3419" s="103"/>
    </row>
    <row r="3420" ht="18" customHeight="1" spans="1:16">
      <c r="A3420" s="32" t="str">
        <f t="shared" si="166"/>
        <v/>
      </c>
      <c r="B3420" s="101"/>
      <c r="C3420" s="102"/>
      <c r="D3420" s="103"/>
      <c r="E3420" s="102"/>
      <c r="F3420" s="25" t="str">
        <f>IF($E3420="","",IFERROR(INDEX(科目表!$A$4:$A$81,MATCH($E3420,科目表!$B$4:$B$81,0)),""))</f>
        <v/>
      </c>
      <c r="G3420" s="26" t="str">
        <f>IF($E3420="","",IFERROR(INDEX(科目表!$E$4:$E$81,MATCH($E3420,科目表!$B$4:$B$81,0)),""))</f>
        <v/>
      </c>
      <c r="H3420" s="104"/>
      <c r="I3420" s="104"/>
      <c r="J3420" s="102"/>
      <c r="K3420" s="102"/>
      <c r="L3420" s="103"/>
      <c r="M3420" s="105"/>
      <c r="N3420" s="103"/>
      <c r="O3420" s="26" t="str">
        <f t="shared" si="165"/>
        <v/>
      </c>
      <c r="P3420" s="103"/>
    </row>
    <row r="3421" ht="18" customHeight="1" spans="1:16">
      <c r="A3421" s="32" t="str">
        <f t="shared" si="166"/>
        <v/>
      </c>
      <c r="B3421" s="101"/>
      <c r="C3421" s="102"/>
      <c r="D3421" s="103"/>
      <c r="E3421" s="102"/>
      <c r="F3421" s="25" t="str">
        <f>IF($E3421="","",IFERROR(INDEX(科目表!$A$4:$A$81,MATCH($E3421,科目表!$B$4:$B$81,0)),""))</f>
        <v/>
      </c>
      <c r="G3421" s="26" t="str">
        <f>IF($E3421="","",IFERROR(INDEX(科目表!$E$4:$E$81,MATCH($E3421,科目表!$B$4:$B$81,0)),""))</f>
        <v/>
      </c>
      <c r="H3421" s="104"/>
      <c r="I3421" s="104"/>
      <c r="J3421" s="102"/>
      <c r="K3421" s="102"/>
      <c r="L3421" s="103"/>
      <c r="M3421" s="105"/>
      <c r="N3421" s="103"/>
      <c r="O3421" s="26" t="str">
        <f t="shared" si="165"/>
        <v/>
      </c>
      <c r="P3421" s="103"/>
    </row>
    <row r="3422" ht="18" customHeight="1" spans="1:16">
      <c r="A3422" s="32" t="str">
        <f t="shared" si="166"/>
        <v/>
      </c>
      <c r="B3422" s="101"/>
      <c r="C3422" s="102"/>
      <c r="D3422" s="103"/>
      <c r="E3422" s="102"/>
      <c r="F3422" s="25" t="str">
        <f>IF($E3422="","",IFERROR(INDEX(科目表!$A$4:$A$81,MATCH($E3422,科目表!$B$4:$B$81,0)),""))</f>
        <v/>
      </c>
      <c r="G3422" s="26" t="str">
        <f>IF($E3422="","",IFERROR(INDEX(科目表!$E$4:$E$81,MATCH($E3422,科目表!$B$4:$B$81,0)),""))</f>
        <v/>
      </c>
      <c r="H3422" s="104"/>
      <c r="I3422" s="104"/>
      <c r="J3422" s="102"/>
      <c r="K3422" s="102"/>
      <c r="L3422" s="103"/>
      <c r="M3422" s="105"/>
      <c r="N3422" s="103"/>
      <c r="O3422" s="26" t="str">
        <f t="shared" si="165"/>
        <v/>
      </c>
      <c r="P3422" s="103"/>
    </row>
    <row r="3423" ht="18" customHeight="1" spans="1:16">
      <c r="A3423" s="32" t="str">
        <f t="shared" si="166"/>
        <v/>
      </c>
      <c r="B3423" s="101"/>
      <c r="C3423" s="102"/>
      <c r="D3423" s="103"/>
      <c r="E3423" s="102"/>
      <c r="F3423" s="25" t="str">
        <f>IF($E3423="","",IFERROR(INDEX(科目表!$A$4:$A$81,MATCH($E3423,科目表!$B$4:$B$81,0)),""))</f>
        <v/>
      </c>
      <c r="G3423" s="26" t="str">
        <f>IF($E3423="","",IFERROR(INDEX(科目表!$E$4:$E$81,MATCH($E3423,科目表!$B$4:$B$81,0)),""))</f>
        <v/>
      </c>
      <c r="H3423" s="104"/>
      <c r="I3423" s="104"/>
      <c r="J3423" s="102"/>
      <c r="K3423" s="102"/>
      <c r="L3423" s="103"/>
      <c r="M3423" s="105"/>
      <c r="N3423" s="103"/>
      <c r="O3423" s="26" t="str">
        <f t="shared" si="165"/>
        <v/>
      </c>
      <c r="P3423" s="103"/>
    </row>
    <row r="3424" ht="18" customHeight="1" spans="1:16">
      <c r="A3424" s="32" t="str">
        <f t="shared" si="166"/>
        <v/>
      </c>
      <c r="B3424" s="101"/>
      <c r="C3424" s="102"/>
      <c r="D3424" s="103"/>
      <c r="E3424" s="102"/>
      <c r="F3424" s="25" t="str">
        <f>IF($E3424="","",IFERROR(INDEX(科目表!$A$4:$A$81,MATCH($E3424,科目表!$B$4:$B$81,0)),""))</f>
        <v/>
      </c>
      <c r="G3424" s="26" t="str">
        <f>IF($E3424="","",IFERROR(INDEX(科目表!$E$4:$E$81,MATCH($E3424,科目表!$B$4:$B$81,0)),""))</f>
        <v/>
      </c>
      <c r="H3424" s="104"/>
      <c r="I3424" s="104"/>
      <c r="J3424" s="102"/>
      <c r="K3424" s="102"/>
      <c r="L3424" s="103"/>
      <c r="M3424" s="105"/>
      <c r="N3424" s="103"/>
      <c r="O3424" s="26" t="str">
        <f t="shared" si="165"/>
        <v/>
      </c>
      <c r="P3424" s="103"/>
    </row>
    <row r="3425" ht="18" customHeight="1" spans="1:16">
      <c r="A3425" s="32" t="str">
        <f t="shared" si="166"/>
        <v/>
      </c>
      <c r="B3425" s="101"/>
      <c r="C3425" s="102"/>
      <c r="D3425" s="103"/>
      <c r="E3425" s="102"/>
      <c r="F3425" s="25" t="str">
        <f>IF($E3425="","",IFERROR(INDEX(科目表!$A$4:$A$81,MATCH($E3425,科目表!$B$4:$B$81,0)),""))</f>
        <v/>
      </c>
      <c r="G3425" s="26" t="str">
        <f>IF($E3425="","",IFERROR(INDEX(科目表!$E$4:$E$81,MATCH($E3425,科目表!$B$4:$B$81,0)),""))</f>
        <v/>
      </c>
      <c r="H3425" s="104"/>
      <c r="I3425" s="104"/>
      <c r="J3425" s="102"/>
      <c r="K3425" s="102"/>
      <c r="L3425" s="103"/>
      <c r="M3425" s="105"/>
      <c r="N3425" s="103"/>
      <c r="O3425" s="26" t="str">
        <f t="shared" si="165"/>
        <v/>
      </c>
      <c r="P3425" s="103"/>
    </row>
    <row r="3426" ht="18" customHeight="1" spans="1:16">
      <c r="A3426" s="32" t="str">
        <f t="shared" si="166"/>
        <v/>
      </c>
      <c r="B3426" s="101"/>
      <c r="C3426" s="102"/>
      <c r="D3426" s="103"/>
      <c r="E3426" s="102"/>
      <c r="F3426" s="25" t="str">
        <f>IF($E3426="","",IFERROR(INDEX(科目表!$A$4:$A$81,MATCH($E3426,科目表!$B$4:$B$81,0)),""))</f>
        <v/>
      </c>
      <c r="G3426" s="26" t="str">
        <f>IF($E3426="","",IFERROR(INDEX(科目表!$E$4:$E$81,MATCH($E3426,科目表!$B$4:$B$81,0)),""))</f>
        <v/>
      </c>
      <c r="H3426" s="104"/>
      <c r="I3426" s="104"/>
      <c r="J3426" s="102"/>
      <c r="K3426" s="102"/>
      <c r="L3426" s="103"/>
      <c r="M3426" s="105"/>
      <c r="N3426" s="103"/>
      <c r="O3426" s="26" t="str">
        <f t="shared" si="165"/>
        <v/>
      </c>
      <c r="P3426" s="103"/>
    </row>
    <row r="3427" ht="18" customHeight="1" spans="1:16">
      <c r="A3427" s="32" t="str">
        <f t="shared" si="166"/>
        <v/>
      </c>
      <c r="B3427" s="101"/>
      <c r="C3427" s="102"/>
      <c r="D3427" s="103"/>
      <c r="E3427" s="102"/>
      <c r="F3427" s="25" t="str">
        <f>IF($E3427="","",IFERROR(INDEX(科目表!$A$4:$A$81,MATCH($E3427,科目表!$B$4:$B$81,0)),""))</f>
        <v/>
      </c>
      <c r="G3427" s="26" t="str">
        <f>IF($E3427="","",IFERROR(INDEX(科目表!$E$4:$E$81,MATCH($E3427,科目表!$B$4:$B$81,0)),""))</f>
        <v/>
      </c>
      <c r="H3427" s="104"/>
      <c r="I3427" s="104"/>
      <c r="J3427" s="102"/>
      <c r="K3427" s="102"/>
      <c r="L3427" s="103"/>
      <c r="M3427" s="105"/>
      <c r="N3427" s="103"/>
      <c r="O3427" s="26" t="str">
        <f t="shared" si="165"/>
        <v/>
      </c>
      <c r="P3427" s="103"/>
    </row>
    <row r="3428" ht="18" customHeight="1" spans="1:16">
      <c r="A3428" s="32" t="str">
        <f t="shared" si="166"/>
        <v/>
      </c>
      <c r="B3428" s="101"/>
      <c r="C3428" s="102"/>
      <c r="D3428" s="103"/>
      <c r="E3428" s="102"/>
      <c r="F3428" s="25" t="str">
        <f>IF($E3428="","",IFERROR(INDEX(科目表!$A$4:$A$81,MATCH($E3428,科目表!$B$4:$B$81,0)),""))</f>
        <v/>
      </c>
      <c r="G3428" s="26" t="str">
        <f>IF($E3428="","",IFERROR(INDEX(科目表!$E$4:$E$81,MATCH($E3428,科目表!$B$4:$B$81,0)),""))</f>
        <v/>
      </c>
      <c r="H3428" s="104"/>
      <c r="I3428" s="104"/>
      <c r="J3428" s="102"/>
      <c r="K3428" s="102"/>
      <c r="L3428" s="103"/>
      <c r="M3428" s="105"/>
      <c r="N3428" s="103"/>
      <c r="O3428" s="26" t="str">
        <f t="shared" si="165"/>
        <v/>
      </c>
      <c r="P3428" s="103"/>
    </row>
    <row r="3429" ht="18" customHeight="1" spans="1:16">
      <c r="A3429" s="32" t="str">
        <f t="shared" si="166"/>
        <v/>
      </c>
      <c r="B3429" s="101"/>
      <c r="C3429" s="102"/>
      <c r="D3429" s="103"/>
      <c r="E3429" s="102"/>
      <c r="F3429" s="25" t="str">
        <f>IF($E3429="","",IFERROR(INDEX(科目表!$A$4:$A$81,MATCH($E3429,科目表!$B$4:$B$81,0)),""))</f>
        <v/>
      </c>
      <c r="G3429" s="26" t="str">
        <f>IF($E3429="","",IFERROR(INDEX(科目表!$E$4:$E$81,MATCH($E3429,科目表!$B$4:$B$81,0)),""))</f>
        <v/>
      </c>
      <c r="H3429" s="104"/>
      <c r="I3429" s="104"/>
      <c r="J3429" s="102"/>
      <c r="K3429" s="102"/>
      <c r="L3429" s="103"/>
      <c r="M3429" s="105"/>
      <c r="N3429" s="103"/>
      <c r="O3429" s="26" t="str">
        <f t="shared" si="165"/>
        <v/>
      </c>
      <c r="P3429" s="103"/>
    </row>
    <row r="3430" ht="18" customHeight="1" spans="1:16">
      <c r="A3430" s="32" t="str">
        <f t="shared" si="166"/>
        <v/>
      </c>
      <c r="B3430" s="101"/>
      <c r="C3430" s="102"/>
      <c r="D3430" s="103"/>
      <c r="E3430" s="102"/>
      <c r="F3430" s="25" t="str">
        <f>IF($E3430="","",IFERROR(INDEX(科目表!$A$4:$A$81,MATCH($E3430,科目表!$B$4:$B$81,0)),""))</f>
        <v/>
      </c>
      <c r="G3430" s="26" t="str">
        <f>IF($E3430="","",IFERROR(INDEX(科目表!$E$4:$E$81,MATCH($E3430,科目表!$B$4:$B$81,0)),""))</f>
        <v/>
      </c>
      <c r="H3430" s="104"/>
      <c r="I3430" s="104"/>
      <c r="J3430" s="102"/>
      <c r="K3430" s="102"/>
      <c r="L3430" s="103"/>
      <c r="M3430" s="105"/>
      <c r="N3430" s="103"/>
      <c r="O3430" s="26" t="str">
        <f t="shared" si="165"/>
        <v/>
      </c>
      <c r="P3430" s="103"/>
    </row>
    <row r="3431" ht="18" customHeight="1" spans="1:16">
      <c r="A3431" s="32" t="str">
        <f t="shared" si="166"/>
        <v/>
      </c>
      <c r="B3431" s="101"/>
      <c r="C3431" s="102"/>
      <c r="D3431" s="103"/>
      <c r="E3431" s="102"/>
      <c r="F3431" s="25" t="str">
        <f>IF($E3431="","",IFERROR(INDEX(科目表!$A$4:$A$81,MATCH($E3431,科目表!$B$4:$B$81,0)),""))</f>
        <v/>
      </c>
      <c r="G3431" s="26" t="str">
        <f>IF($E3431="","",IFERROR(INDEX(科目表!$E$4:$E$81,MATCH($E3431,科目表!$B$4:$B$81,0)),""))</f>
        <v/>
      </c>
      <c r="H3431" s="104"/>
      <c r="I3431" s="104"/>
      <c r="J3431" s="102"/>
      <c r="K3431" s="102"/>
      <c r="L3431" s="103"/>
      <c r="M3431" s="105"/>
      <c r="N3431" s="103"/>
      <c r="O3431" s="26" t="str">
        <f t="shared" si="165"/>
        <v/>
      </c>
      <c r="P3431" s="103"/>
    </row>
    <row r="3432" ht="18" customHeight="1" spans="1:16">
      <c r="A3432" s="32" t="str">
        <f t="shared" si="166"/>
        <v/>
      </c>
      <c r="B3432" s="101"/>
      <c r="C3432" s="102"/>
      <c r="D3432" s="103"/>
      <c r="E3432" s="102"/>
      <c r="F3432" s="25" t="str">
        <f>IF($E3432="","",IFERROR(INDEX(科目表!$A$4:$A$81,MATCH($E3432,科目表!$B$4:$B$81,0)),""))</f>
        <v/>
      </c>
      <c r="G3432" s="26" t="str">
        <f>IF($E3432="","",IFERROR(INDEX(科目表!$E$4:$E$81,MATCH($E3432,科目表!$B$4:$B$81,0)),""))</f>
        <v/>
      </c>
      <c r="H3432" s="104"/>
      <c r="I3432" s="104"/>
      <c r="J3432" s="102"/>
      <c r="K3432" s="102"/>
      <c r="L3432" s="103"/>
      <c r="M3432" s="105"/>
      <c r="N3432" s="103"/>
      <c r="O3432" s="26" t="str">
        <f t="shared" si="165"/>
        <v/>
      </c>
      <c r="P3432" s="103"/>
    </row>
    <row r="3433" ht="18" customHeight="1" spans="1:16">
      <c r="A3433" s="32" t="str">
        <f t="shared" si="166"/>
        <v/>
      </c>
      <c r="B3433" s="101"/>
      <c r="C3433" s="102"/>
      <c r="D3433" s="103"/>
      <c r="E3433" s="102"/>
      <c r="F3433" s="25" t="str">
        <f>IF($E3433="","",IFERROR(INDEX(科目表!$A$4:$A$81,MATCH($E3433,科目表!$B$4:$B$81,0)),""))</f>
        <v/>
      </c>
      <c r="G3433" s="26" t="str">
        <f>IF($E3433="","",IFERROR(INDEX(科目表!$E$4:$E$81,MATCH($E3433,科目表!$B$4:$B$81,0)),""))</f>
        <v/>
      </c>
      <c r="H3433" s="104"/>
      <c r="I3433" s="104"/>
      <c r="J3433" s="102"/>
      <c r="K3433" s="102"/>
      <c r="L3433" s="103"/>
      <c r="M3433" s="105"/>
      <c r="N3433" s="103"/>
      <c r="O3433" s="26" t="str">
        <f t="shared" si="165"/>
        <v/>
      </c>
      <c r="P3433" s="103"/>
    </row>
    <row r="3434" ht="18" customHeight="1" spans="1:16">
      <c r="A3434" s="32" t="str">
        <f t="shared" si="166"/>
        <v/>
      </c>
      <c r="B3434" s="101"/>
      <c r="C3434" s="102"/>
      <c r="D3434" s="103"/>
      <c r="E3434" s="102"/>
      <c r="F3434" s="25" t="str">
        <f>IF($E3434="","",IFERROR(INDEX(科目表!$A$4:$A$81,MATCH($E3434,科目表!$B$4:$B$81,0)),""))</f>
        <v/>
      </c>
      <c r="G3434" s="26" t="str">
        <f>IF($E3434="","",IFERROR(INDEX(科目表!$E$4:$E$81,MATCH($E3434,科目表!$B$4:$B$81,0)),""))</f>
        <v/>
      </c>
      <c r="H3434" s="104"/>
      <c r="I3434" s="104"/>
      <c r="J3434" s="102"/>
      <c r="K3434" s="102"/>
      <c r="L3434" s="103"/>
      <c r="M3434" s="105"/>
      <c r="N3434" s="103"/>
      <c r="O3434" s="26" t="str">
        <f t="shared" si="165"/>
        <v/>
      </c>
      <c r="P3434" s="103"/>
    </row>
    <row r="3435" ht="18" customHeight="1" spans="1:16">
      <c r="A3435" s="32" t="str">
        <f t="shared" si="166"/>
        <v/>
      </c>
      <c r="B3435" s="101"/>
      <c r="C3435" s="102"/>
      <c r="D3435" s="103"/>
      <c r="E3435" s="102"/>
      <c r="F3435" s="25" t="str">
        <f>IF($E3435="","",IFERROR(INDEX(科目表!$A$4:$A$81,MATCH($E3435,科目表!$B$4:$B$81,0)),""))</f>
        <v/>
      </c>
      <c r="G3435" s="26" t="str">
        <f>IF($E3435="","",IFERROR(INDEX(科目表!$E$4:$E$81,MATCH($E3435,科目表!$B$4:$B$81,0)),""))</f>
        <v/>
      </c>
      <c r="H3435" s="104"/>
      <c r="I3435" s="104"/>
      <c r="J3435" s="102"/>
      <c r="K3435" s="102"/>
      <c r="L3435" s="103"/>
      <c r="M3435" s="105"/>
      <c r="N3435" s="103"/>
      <c r="O3435" s="26" t="str">
        <f t="shared" si="165"/>
        <v/>
      </c>
      <c r="P3435" s="103"/>
    </row>
    <row r="3436" ht="18" customHeight="1" spans="1:16">
      <c r="A3436" s="32" t="str">
        <f t="shared" si="166"/>
        <v/>
      </c>
      <c r="B3436" s="101"/>
      <c r="C3436" s="102"/>
      <c r="D3436" s="103"/>
      <c r="E3436" s="102"/>
      <c r="F3436" s="25" t="str">
        <f>IF($E3436="","",IFERROR(INDEX(科目表!$A$4:$A$81,MATCH($E3436,科目表!$B$4:$B$81,0)),""))</f>
        <v/>
      </c>
      <c r="G3436" s="26" t="str">
        <f>IF($E3436="","",IFERROR(INDEX(科目表!$E$4:$E$81,MATCH($E3436,科目表!$B$4:$B$81,0)),""))</f>
        <v/>
      </c>
      <c r="H3436" s="104"/>
      <c r="I3436" s="104"/>
      <c r="J3436" s="102"/>
      <c r="K3436" s="102"/>
      <c r="L3436" s="103"/>
      <c r="M3436" s="105"/>
      <c r="N3436" s="103"/>
      <c r="O3436" s="26" t="str">
        <f t="shared" si="165"/>
        <v/>
      </c>
      <c r="P3436" s="103"/>
    </row>
    <row r="3437" ht="18" customHeight="1" spans="1:16">
      <c r="A3437" s="32" t="str">
        <f t="shared" si="166"/>
        <v/>
      </c>
      <c r="B3437" s="101"/>
      <c r="C3437" s="102"/>
      <c r="D3437" s="103"/>
      <c r="E3437" s="102"/>
      <c r="F3437" s="25" t="str">
        <f>IF($E3437="","",IFERROR(INDEX(科目表!$A$4:$A$81,MATCH($E3437,科目表!$B$4:$B$81,0)),""))</f>
        <v/>
      </c>
      <c r="G3437" s="26" t="str">
        <f>IF($E3437="","",IFERROR(INDEX(科目表!$E$4:$E$81,MATCH($E3437,科目表!$B$4:$B$81,0)),""))</f>
        <v/>
      </c>
      <c r="H3437" s="104"/>
      <c r="I3437" s="104"/>
      <c r="J3437" s="102"/>
      <c r="K3437" s="102"/>
      <c r="L3437" s="103"/>
      <c r="M3437" s="105"/>
      <c r="N3437" s="103"/>
      <c r="O3437" s="26" t="str">
        <f t="shared" si="165"/>
        <v/>
      </c>
      <c r="P3437" s="103"/>
    </row>
    <row r="3438" ht="18" customHeight="1" spans="1:16">
      <c r="A3438" s="32" t="str">
        <f t="shared" si="166"/>
        <v/>
      </c>
      <c r="B3438" s="101"/>
      <c r="C3438" s="102"/>
      <c r="D3438" s="103"/>
      <c r="E3438" s="102"/>
      <c r="F3438" s="25" t="str">
        <f>IF($E3438="","",IFERROR(INDEX(科目表!$A$4:$A$81,MATCH($E3438,科目表!$B$4:$B$81,0)),""))</f>
        <v/>
      </c>
      <c r="G3438" s="26" t="str">
        <f>IF($E3438="","",IFERROR(INDEX(科目表!$E$4:$E$81,MATCH($E3438,科目表!$B$4:$B$81,0)),""))</f>
        <v/>
      </c>
      <c r="H3438" s="104"/>
      <c r="I3438" s="104"/>
      <c r="J3438" s="102"/>
      <c r="K3438" s="102"/>
      <c r="L3438" s="103"/>
      <c r="M3438" s="105"/>
      <c r="N3438" s="103"/>
      <c r="O3438" s="26" t="str">
        <f t="shared" si="165"/>
        <v/>
      </c>
      <c r="P3438" s="103"/>
    </row>
    <row r="3439" ht="18" customHeight="1" spans="1:16">
      <c r="A3439" s="32" t="str">
        <f t="shared" si="166"/>
        <v/>
      </c>
      <c r="B3439" s="101"/>
      <c r="C3439" s="102"/>
      <c r="D3439" s="103"/>
      <c r="E3439" s="102"/>
      <c r="F3439" s="25" t="str">
        <f>IF($E3439="","",IFERROR(INDEX(科目表!$A$4:$A$81,MATCH($E3439,科目表!$B$4:$B$81,0)),""))</f>
        <v/>
      </c>
      <c r="G3439" s="26" t="str">
        <f>IF($E3439="","",IFERROR(INDEX(科目表!$E$4:$E$81,MATCH($E3439,科目表!$B$4:$B$81,0)),""))</f>
        <v/>
      </c>
      <c r="H3439" s="104"/>
      <c r="I3439" s="104"/>
      <c r="J3439" s="102"/>
      <c r="K3439" s="102"/>
      <c r="L3439" s="103"/>
      <c r="M3439" s="105"/>
      <c r="N3439" s="103"/>
      <c r="O3439" s="26" t="str">
        <f t="shared" si="165"/>
        <v/>
      </c>
      <c r="P3439" s="103"/>
    </row>
    <row r="3440" ht="18" customHeight="1" spans="1:16">
      <c r="A3440" s="32" t="str">
        <f t="shared" si="166"/>
        <v/>
      </c>
      <c r="B3440" s="101"/>
      <c r="C3440" s="102"/>
      <c r="D3440" s="103"/>
      <c r="E3440" s="102"/>
      <c r="F3440" s="25" t="str">
        <f>IF($E3440="","",IFERROR(INDEX(科目表!$A$4:$A$81,MATCH($E3440,科目表!$B$4:$B$81,0)),""))</f>
        <v/>
      </c>
      <c r="G3440" s="26" t="str">
        <f>IF($E3440="","",IFERROR(INDEX(科目表!$E$4:$E$81,MATCH($E3440,科目表!$B$4:$B$81,0)),""))</f>
        <v/>
      </c>
      <c r="H3440" s="104"/>
      <c r="I3440" s="104"/>
      <c r="J3440" s="102"/>
      <c r="K3440" s="102"/>
      <c r="L3440" s="103"/>
      <c r="M3440" s="105"/>
      <c r="N3440" s="103"/>
      <c r="O3440" s="26" t="str">
        <f t="shared" si="165"/>
        <v/>
      </c>
      <c r="P3440" s="103"/>
    </row>
    <row r="3441" ht="18" customHeight="1" spans="1:16">
      <c r="A3441" s="32" t="str">
        <f t="shared" si="166"/>
        <v/>
      </c>
      <c r="B3441" s="101"/>
      <c r="C3441" s="102"/>
      <c r="D3441" s="103"/>
      <c r="E3441" s="102"/>
      <c r="F3441" s="25" t="str">
        <f>IF($E3441="","",IFERROR(INDEX(科目表!$A$4:$A$81,MATCH($E3441,科目表!$B$4:$B$81,0)),""))</f>
        <v/>
      </c>
      <c r="G3441" s="26" t="str">
        <f>IF($E3441="","",IFERROR(INDEX(科目表!$E$4:$E$81,MATCH($E3441,科目表!$B$4:$B$81,0)),""))</f>
        <v/>
      </c>
      <c r="H3441" s="104"/>
      <c r="I3441" s="104"/>
      <c r="J3441" s="102"/>
      <c r="K3441" s="102"/>
      <c r="L3441" s="103"/>
      <c r="M3441" s="105"/>
      <c r="N3441" s="103"/>
      <c r="O3441" s="26" t="str">
        <f t="shared" si="165"/>
        <v/>
      </c>
      <c r="P3441" s="103"/>
    </row>
    <row r="3442" ht="18" customHeight="1" spans="1:16">
      <c r="A3442" s="32" t="str">
        <f t="shared" si="166"/>
        <v/>
      </c>
      <c r="B3442" s="101"/>
      <c r="C3442" s="102"/>
      <c r="D3442" s="103"/>
      <c r="E3442" s="102"/>
      <c r="F3442" s="25" t="str">
        <f>IF($E3442="","",IFERROR(INDEX(科目表!$A$4:$A$81,MATCH($E3442,科目表!$B$4:$B$81,0)),""))</f>
        <v/>
      </c>
      <c r="G3442" s="26" t="str">
        <f>IF($E3442="","",IFERROR(INDEX(科目表!$E$4:$E$81,MATCH($E3442,科目表!$B$4:$B$81,0)),""))</f>
        <v/>
      </c>
      <c r="H3442" s="104"/>
      <c r="I3442" s="104"/>
      <c r="J3442" s="102"/>
      <c r="K3442" s="102"/>
      <c r="L3442" s="103"/>
      <c r="M3442" s="105"/>
      <c r="N3442" s="103"/>
      <c r="O3442" s="26" t="str">
        <f t="shared" si="165"/>
        <v/>
      </c>
      <c r="P3442" s="103"/>
    </row>
    <row r="3443" ht="18" customHeight="1" spans="1:16">
      <c r="A3443" s="32" t="str">
        <f t="shared" si="166"/>
        <v/>
      </c>
      <c r="B3443" s="101"/>
      <c r="C3443" s="102"/>
      <c r="D3443" s="103"/>
      <c r="E3443" s="102"/>
      <c r="F3443" s="25" t="str">
        <f>IF($E3443="","",IFERROR(INDEX(科目表!$A$4:$A$81,MATCH($E3443,科目表!$B$4:$B$81,0)),""))</f>
        <v/>
      </c>
      <c r="G3443" s="26" t="str">
        <f>IF($E3443="","",IFERROR(INDEX(科目表!$E$4:$E$81,MATCH($E3443,科目表!$B$4:$B$81,0)),""))</f>
        <v/>
      </c>
      <c r="H3443" s="104"/>
      <c r="I3443" s="104"/>
      <c r="J3443" s="102"/>
      <c r="K3443" s="102"/>
      <c r="L3443" s="103"/>
      <c r="M3443" s="105"/>
      <c r="N3443" s="103"/>
      <c r="O3443" s="26" t="str">
        <f t="shared" si="165"/>
        <v/>
      </c>
      <c r="P3443" s="103"/>
    </row>
    <row r="3444" ht="18" customHeight="1" spans="1:16">
      <c r="A3444" s="32" t="str">
        <f t="shared" si="166"/>
        <v/>
      </c>
      <c r="B3444" s="101"/>
      <c r="C3444" s="102"/>
      <c r="D3444" s="103"/>
      <c r="E3444" s="102"/>
      <c r="F3444" s="25" t="str">
        <f>IF($E3444="","",IFERROR(INDEX(科目表!$A$4:$A$81,MATCH($E3444,科目表!$B$4:$B$81,0)),""))</f>
        <v/>
      </c>
      <c r="G3444" s="26" t="str">
        <f>IF($E3444="","",IFERROR(INDEX(科目表!$E$4:$E$81,MATCH($E3444,科目表!$B$4:$B$81,0)),""))</f>
        <v/>
      </c>
      <c r="H3444" s="104"/>
      <c r="I3444" s="104"/>
      <c r="J3444" s="102"/>
      <c r="K3444" s="102"/>
      <c r="L3444" s="103"/>
      <c r="M3444" s="105"/>
      <c r="N3444" s="103"/>
      <c r="O3444" s="26" t="str">
        <f t="shared" si="165"/>
        <v/>
      </c>
      <c r="P3444" s="103"/>
    </row>
    <row r="3445" ht="18" customHeight="1" spans="1:16">
      <c r="A3445" s="32" t="str">
        <f t="shared" si="166"/>
        <v/>
      </c>
      <c r="B3445" s="101"/>
      <c r="C3445" s="102"/>
      <c r="D3445" s="103"/>
      <c r="E3445" s="102"/>
      <c r="F3445" s="25" t="str">
        <f>IF($E3445="","",IFERROR(INDEX(科目表!$A$4:$A$81,MATCH($E3445,科目表!$B$4:$B$81,0)),""))</f>
        <v/>
      </c>
      <c r="G3445" s="26" t="str">
        <f>IF($E3445="","",IFERROR(INDEX(科目表!$E$4:$E$81,MATCH($E3445,科目表!$B$4:$B$81,0)),""))</f>
        <v/>
      </c>
      <c r="H3445" s="104"/>
      <c r="I3445" s="104"/>
      <c r="J3445" s="102"/>
      <c r="K3445" s="102"/>
      <c r="L3445" s="103"/>
      <c r="M3445" s="105"/>
      <c r="N3445" s="103"/>
      <c r="O3445" s="26" t="str">
        <f t="shared" si="165"/>
        <v/>
      </c>
      <c r="P3445" s="103"/>
    </row>
    <row r="3446" ht="18" customHeight="1" spans="1:16">
      <c r="A3446" s="32" t="str">
        <f t="shared" si="166"/>
        <v/>
      </c>
      <c r="B3446" s="101"/>
      <c r="C3446" s="102"/>
      <c r="D3446" s="103"/>
      <c r="E3446" s="102"/>
      <c r="F3446" s="25" t="str">
        <f>IF($E3446="","",IFERROR(INDEX(科目表!$A$4:$A$81,MATCH($E3446,科目表!$B$4:$B$81,0)),""))</f>
        <v/>
      </c>
      <c r="G3446" s="26" t="str">
        <f>IF($E3446="","",IFERROR(INDEX(科目表!$E$4:$E$81,MATCH($E3446,科目表!$B$4:$B$81,0)),""))</f>
        <v/>
      </c>
      <c r="H3446" s="104"/>
      <c r="I3446" s="104"/>
      <c r="J3446" s="102"/>
      <c r="K3446" s="102"/>
      <c r="L3446" s="103"/>
      <c r="M3446" s="105"/>
      <c r="N3446" s="103"/>
      <c r="O3446" s="26" t="str">
        <f t="shared" si="165"/>
        <v/>
      </c>
      <c r="P3446" s="103"/>
    </row>
    <row r="3447" ht="18" customHeight="1" spans="1:16">
      <c r="A3447" s="32" t="str">
        <f t="shared" si="166"/>
        <v/>
      </c>
      <c r="B3447" s="101"/>
      <c r="C3447" s="102"/>
      <c r="D3447" s="103"/>
      <c r="E3447" s="102"/>
      <c r="F3447" s="25" t="str">
        <f>IF($E3447="","",IFERROR(INDEX(科目表!$A$4:$A$81,MATCH($E3447,科目表!$B$4:$B$81,0)),""))</f>
        <v/>
      </c>
      <c r="G3447" s="26" t="str">
        <f>IF($E3447="","",IFERROR(INDEX(科目表!$E$4:$E$81,MATCH($E3447,科目表!$B$4:$B$81,0)),""))</f>
        <v/>
      </c>
      <c r="H3447" s="104"/>
      <c r="I3447" s="104"/>
      <c r="J3447" s="102"/>
      <c r="K3447" s="102"/>
      <c r="L3447" s="103"/>
      <c r="M3447" s="105"/>
      <c r="N3447" s="103"/>
      <c r="O3447" s="26" t="str">
        <f t="shared" si="165"/>
        <v/>
      </c>
      <c r="P3447" s="103"/>
    </row>
    <row r="3448" ht="18" customHeight="1" spans="1:16">
      <c r="A3448" s="32" t="str">
        <f t="shared" si="166"/>
        <v/>
      </c>
      <c r="B3448" s="101"/>
      <c r="C3448" s="102"/>
      <c r="D3448" s="103"/>
      <c r="E3448" s="102"/>
      <c r="F3448" s="25" t="str">
        <f>IF($E3448="","",IFERROR(INDEX(科目表!$A$4:$A$81,MATCH($E3448,科目表!$B$4:$B$81,0)),""))</f>
        <v/>
      </c>
      <c r="G3448" s="26" t="str">
        <f>IF($E3448="","",IFERROR(INDEX(科目表!$E$4:$E$81,MATCH($E3448,科目表!$B$4:$B$81,0)),""))</f>
        <v/>
      </c>
      <c r="H3448" s="104"/>
      <c r="I3448" s="104"/>
      <c r="J3448" s="102"/>
      <c r="K3448" s="102"/>
      <c r="L3448" s="103"/>
      <c r="M3448" s="105"/>
      <c r="N3448" s="103"/>
      <c r="O3448" s="26" t="str">
        <f t="shared" si="165"/>
        <v/>
      </c>
      <c r="P3448" s="103"/>
    </row>
    <row r="3449" ht="18" customHeight="1" spans="1:16">
      <c r="A3449" s="32" t="str">
        <f t="shared" si="166"/>
        <v/>
      </c>
      <c r="B3449" s="101"/>
      <c r="C3449" s="102"/>
      <c r="D3449" s="103"/>
      <c r="E3449" s="102"/>
      <c r="F3449" s="25" t="str">
        <f>IF($E3449="","",IFERROR(INDEX(科目表!$A$4:$A$81,MATCH($E3449,科目表!$B$4:$B$81,0)),""))</f>
        <v/>
      </c>
      <c r="G3449" s="26" t="str">
        <f>IF($E3449="","",IFERROR(INDEX(科目表!$E$4:$E$81,MATCH($E3449,科目表!$B$4:$B$81,0)),""))</f>
        <v/>
      </c>
      <c r="H3449" s="104"/>
      <c r="I3449" s="104"/>
      <c r="J3449" s="102"/>
      <c r="K3449" s="102"/>
      <c r="L3449" s="103"/>
      <c r="M3449" s="105"/>
      <c r="N3449" s="103"/>
      <c r="O3449" s="26" t="str">
        <f t="shared" si="165"/>
        <v/>
      </c>
      <c r="P3449" s="103"/>
    </row>
    <row r="3450" ht="18" customHeight="1" spans="1:16">
      <c r="A3450" s="32" t="str">
        <f t="shared" si="166"/>
        <v/>
      </c>
      <c r="B3450" s="101"/>
      <c r="C3450" s="102"/>
      <c r="D3450" s="103"/>
      <c r="E3450" s="102"/>
      <c r="F3450" s="25" t="str">
        <f>IF($E3450="","",IFERROR(INDEX(科目表!$A$4:$A$81,MATCH($E3450,科目表!$B$4:$B$81,0)),""))</f>
        <v/>
      </c>
      <c r="G3450" s="26" t="str">
        <f>IF($E3450="","",IFERROR(INDEX(科目表!$E$4:$E$81,MATCH($E3450,科目表!$B$4:$B$81,0)),""))</f>
        <v/>
      </c>
      <c r="H3450" s="104"/>
      <c r="I3450" s="104"/>
      <c r="J3450" s="102"/>
      <c r="K3450" s="102"/>
      <c r="L3450" s="103"/>
      <c r="M3450" s="105"/>
      <c r="N3450" s="103"/>
      <c r="O3450" s="26" t="str">
        <f t="shared" si="165"/>
        <v/>
      </c>
      <c r="P3450" s="103"/>
    </row>
    <row r="3451" ht="18" customHeight="1" spans="1:16">
      <c r="A3451" s="32" t="str">
        <f t="shared" si="166"/>
        <v/>
      </c>
      <c r="B3451" s="101"/>
      <c r="C3451" s="102"/>
      <c r="D3451" s="103"/>
      <c r="E3451" s="102"/>
      <c r="F3451" s="25" t="str">
        <f>IF($E3451="","",IFERROR(INDEX(科目表!$A$4:$A$81,MATCH($E3451,科目表!$B$4:$B$81,0)),""))</f>
        <v/>
      </c>
      <c r="G3451" s="26" t="str">
        <f>IF($E3451="","",IFERROR(INDEX(科目表!$E$4:$E$81,MATCH($E3451,科目表!$B$4:$B$81,0)),""))</f>
        <v/>
      </c>
      <c r="H3451" s="104"/>
      <c r="I3451" s="104"/>
      <c r="J3451" s="102"/>
      <c r="K3451" s="102"/>
      <c r="L3451" s="103"/>
      <c r="M3451" s="105"/>
      <c r="N3451" s="103"/>
      <c r="O3451" s="26" t="str">
        <f t="shared" si="165"/>
        <v/>
      </c>
      <c r="P3451" s="103"/>
    </row>
    <row r="3452" ht="18" customHeight="1" spans="1:16">
      <c r="A3452" s="32" t="str">
        <f t="shared" si="166"/>
        <v/>
      </c>
      <c r="B3452" s="101"/>
      <c r="C3452" s="102"/>
      <c r="D3452" s="103"/>
      <c r="E3452" s="102"/>
      <c r="F3452" s="25" t="str">
        <f>IF($E3452="","",IFERROR(INDEX(科目表!$A$4:$A$81,MATCH($E3452,科目表!$B$4:$B$81,0)),""))</f>
        <v/>
      </c>
      <c r="G3452" s="26" t="str">
        <f>IF($E3452="","",IFERROR(INDEX(科目表!$E$4:$E$81,MATCH($E3452,科目表!$B$4:$B$81,0)),""))</f>
        <v/>
      </c>
      <c r="H3452" s="104"/>
      <c r="I3452" s="104"/>
      <c r="J3452" s="102"/>
      <c r="K3452" s="102"/>
      <c r="L3452" s="103"/>
      <c r="M3452" s="105"/>
      <c r="N3452" s="103"/>
      <c r="O3452" s="26" t="str">
        <f t="shared" si="165"/>
        <v/>
      </c>
      <c r="P3452" s="103"/>
    </row>
    <row r="3453" ht="18" customHeight="1" spans="1:16">
      <c r="A3453" s="32" t="str">
        <f t="shared" si="166"/>
        <v/>
      </c>
      <c r="B3453" s="101"/>
      <c r="C3453" s="102"/>
      <c r="D3453" s="103"/>
      <c r="E3453" s="102"/>
      <c r="F3453" s="25" t="str">
        <f>IF($E3453="","",IFERROR(INDEX(科目表!$A$4:$A$81,MATCH($E3453,科目表!$B$4:$B$81,0)),""))</f>
        <v/>
      </c>
      <c r="G3453" s="26" t="str">
        <f>IF($E3453="","",IFERROR(INDEX(科目表!$E$4:$E$81,MATCH($E3453,科目表!$B$4:$B$81,0)),""))</f>
        <v/>
      </c>
      <c r="H3453" s="104"/>
      <c r="I3453" s="104"/>
      <c r="J3453" s="102"/>
      <c r="K3453" s="102"/>
      <c r="L3453" s="103"/>
      <c r="M3453" s="105"/>
      <c r="N3453" s="103"/>
      <c r="O3453" s="26" t="str">
        <f t="shared" si="165"/>
        <v/>
      </c>
      <c r="P3453" s="103"/>
    </row>
    <row r="3454" ht="18" customHeight="1" spans="1:16">
      <c r="A3454" s="32" t="str">
        <f t="shared" si="166"/>
        <v/>
      </c>
      <c r="B3454" s="101"/>
      <c r="C3454" s="102"/>
      <c r="D3454" s="103"/>
      <c r="E3454" s="102"/>
      <c r="F3454" s="25" t="str">
        <f>IF($E3454="","",IFERROR(INDEX(科目表!$A$4:$A$81,MATCH($E3454,科目表!$B$4:$B$81,0)),""))</f>
        <v/>
      </c>
      <c r="G3454" s="26" t="str">
        <f>IF($E3454="","",IFERROR(INDEX(科目表!$E$4:$E$81,MATCH($E3454,科目表!$B$4:$B$81,0)),""))</f>
        <v/>
      </c>
      <c r="H3454" s="104"/>
      <c r="I3454" s="104"/>
      <c r="J3454" s="102"/>
      <c r="K3454" s="102"/>
      <c r="L3454" s="103"/>
      <c r="M3454" s="105"/>
      <c r="N3454" s="103"/>
      <c r="O3454" s="26" t="str">
        <f t="shared" si="165"/>
        <v/>
      </c>
      <c r="P3454" s="103"/>
    </row>
    <row r="3455" ht="18" customHeight="1" spans="1:16">
      <c r="A3455" s="32" t="str">
        <f t="shared" si="166"/>
        <v/>
      </c>
      <c r="B3455" s="101"/>
      <c r="C3455" s="102"/>
      <c r="D3455" s="103"/>
      <c r="E3455" s="102"/>
      <c r="F3455" s="25" t="str">
        <f>IF($E3455="","",IFERROR(INDEX(科目表!$A$4:$A$81,MATCH($E3455,科目表!$B$4:$B$81,0)),""))</f>
        <v/>
      </c>
      <c r="G3455" s="26" t="str">
        <f>IF($E3455="","",IFERROR(INDEX(科目表!$E$4:$E$81,MATCH($E3455,科目表!$B$4:$B$81,0)),""))</f>
        <v/>
      </c>
      <c r="H3455" s="104"/>
      <c r="I3455" s="104"/>
      <c r="J3455" s="102"/>
      <c r="K3455" s="102"/>
      <c r="L3455" s="103"/>
      <c r="M3455" s="105"/>
      <c r="N3455" s="103"/>
      <c r="O3455" s="26" t="str">
        <f t="shared" si="165"/>
        <v/>
      </c>
      <c r="P3455" s="103"/>
    </row>
    <row r="3456" ht="18" customHeight="1" spans="1:16">
      <c r="A3456" s="32" t="str">
        <f t="shared" si="166"/>
        <v/>
      </c>
      <c r="B3456" s="101"/>
      <c r="C3456" s="102"/>
      <c r="D3456" s="103"/>
      <c r="E3456" s="102"/>
      <c r="F3456" s="25" t="str">
        <f>IF($E3456="","",IFERROR(INDEX(科目表!$A$4:$A$81,MATCH($E3456,科目表!$B$4:$B$81,0)),""))</f>
        <v/>
      </c>
      <c r="G3456" s="26" t="str">
        <f>IF($E3456="","",IFERROR(INDEX(科目表!$E$4:$E$81,MATCH($E3456,科目表!$B$4:$B$81,0)),""))</f>
        <v/>
      </c>
      <c r="H3456" s="104"/>
      <c r="I3456" s="104"/>
      <c r="J3456" s="102"/>
      <c r="K3456" s="102"/>
      <c r="L3456" s="103"/>
      <c r="M3456" s="105"/>
      <c r="N3456" s="103"/>
      <c r="O3456" s="26" t="str">
        <f t="shared" si="165"/>
        <v/>
      </c>
      <c r="P3456" s="103"/>
    </row>
    <row r="3457" ht="18" customHeight="1" spans="1:16">
      <c r="A3457" s="32" t="str">
        <f t="shared" si="166"/>
        <v/>
      </c>
      <c r="B3457" s="101"/>
      <c r="C3457" s="102"/>
      <c r="D3457" s="103"/>
      <c r="E3457" s="102"/>
      <c r="F3457" s="25" t="str">
        <f>IF($E3457="","",IFERROR(INDEX(科目表!$A$4:$A$81,MATCH($E3457,科目表!$B$4:$B$81,0)),""))</f>
        <v/>
      </c>
      <c r="G3457" s="26" t="str">
        <f>IF($E3457="","",IFERROR(INDEX(科目表!$E$4:$E$81,MATCH($E3457,科目表!$B$4:$B$81,0)),""))</f>
        <v/>
      </c>
      <c r="H3457" s="104"/>
      <c r="I3457" s="104"/>
      <c r="J3457" s="102"/>
      <c r="K3457" s="102"/>
      <c r="L3457" s="103"/>
      <c r="M3457" s="105"/>
      <c r="N3457" s="103"/>
      <c r="O3457" s="26" t="str">
        <f t="shared" si="165"/>
        <v/>
      </c>
      <c r="P3457" s="103"/>
    </row>
    <row r="3458" ht="18" customHeight="1" spans="1:16">
      <c r="A3458" s="32" t="str">
        <f t="shared" si="166"/>
        <v/>
      </c>
      <c r="B3458" s="101"/>
      <c r="C3458" s="102"/>
      <c r="D3458" s="103"/>
      <c r="E3458" s="102"/>
      <c r="F3458" s="25" t="str">
        <f>IF($E3458="","",IFERROR(INDEX(科目表!$A$4:$A$81,MATCH($E3458,科目表!$B$4:$B$81,0)),""))</f>
        <v/>
      </c>
      <c r="G3458" s="26" t="str">
        <f>IF($E3458="","",IFERROR(INDEX(科目表!$E$4:$E$81,MATCH($E3458,科目表!$B$4:$B$81,0)),""))</f>
        <v/>
      </c>
      <c r="H3458" s="104"/>
      <c r="I3458" s="104"/>
      <c r="J3458" s="102"/>
      <c r="K3458" s="102"/>
      <c r="L3458" s="103"/>
      <c r="M3458" s="105"/>
      <c r="N3458" s="103"/>
      <c r="O3458" s="26" t="str">
        <f t="shared" ref="O3458:O3521" si="167">IF($E3458="","","手工")</f>
        <v/>
      </c>
      <c r="P3458" s="103"/>
    </row>
    <row r="3459" ht="18" customHeight="1" spans="1:16">
      <c r="A3459" s="32" t="str">
        <f t="shared" si="166"/>
        <v/>
      </c>
      <c r="B3459" s="101"/>
      <c r="C3459" s="102"/>
      <c r="D3459" s="103"/>
      <c r="E3459" s="102"/>
      <c r="F3459" s="25" t="str">
        <f>IF($E3459="","",IFERROR(INDEX(科目表!$A$4:$A$81,MATCH($E3459,科目表!$B$4:$B$81,0)),""))</f>
        <v/>
      </c>
      <c r="G3459" s="26" t="str">
        <f>IF($E3459="","",IFERROR(INDEX(科目表!$E$4:$E$81,MATCH($E3459,科目表!$B$4:$B$81,0)),""))</f>
        <v/>
      </c>
      <c r="H3459" s="104"/>
      <c r="I3459" s="104"/>
      <c r="J3459" s="102"/>
      <c r="K3459" s="102"/>
      <c r="L3459" s="103"/>
      <c r="M3459" s="105"/>
      <c r="N3459" s="103"/>
      <c r="O3459" s="26" t="str">
        <f t="shared" si="167"/>
        <v/>
      </c>
      <c r="P3459" s="103"/>
    </row>
    <row r="3460" ht="18" customHeight="1" spans="1:16">
      <c r="A3460" s="32" t="str">
        <f t="shared" ref="A3460:A3523" si="168">IF($E3460="","",ROW()-3)</f>
        <v/>
      </c>
      <c r="B3460" s="101"/>
      <c r="C3460" s="102"/>
      <c r="D3460" s="103"/>
      <c r="E3460" s="102"/>
      <c r="F3460" s="25" t="str">
        <f>IF($E3460="","",IFERROR(INDEX(科目表!$A$4:$A$81,MATCH($E3460,科目表!$B$4:$B$81,0)),""))</f>
        <v/>
      </c>
      <c r="G3460" s="26" t="str">
        <f>IF($E3460="","",IFERROR(INDEX(科目表!$E$4:$E$81,MATCH($E3460,科目表!$B$4:$B$81,0)),""))</f>
        <v/>
      </c>
      <c r="H3460" s="104"/>
      <c r="I3460" s="104"/>
      <c r="J3460" s="102"/>
      <c r="K3460" s="102"/>
      <c r="L3460" s="103"/>
      <c r="M3460" s="105"/>
      <c r="N3460" s="103"/>
      <c r="O3460" s="26" t="str">
        <f t="shared" si="167"/>
        <v/>
      </c>
      <c r="P3460" s="103"/>
    </row>
    <row r="3461" ht="18" customHeight="1" spans="1:16">
      <c r="A3461" s="32" t="str">
        <f t="shared" si="168"/>
        <v/>
      </c>
      <c r="B3461" s="101"/>
      <c r="C3461" s="102"/>
      <c r="D3461" s="103"/>
      <c r="E3461" s="102"/>
      <c r="F3461" s="25" t="str">
        <f>IF($E3461="","",IFERROR(INDEX(科目表!$A$4:$A$81,MATCH($E3461,科目表!$B$4:$B$81,0)),""))</f>
        <v/>
      </c>
      <c r="G3461" s="26" t="str">
        <f>IF($E3461="","",IFERROR(INDEX(科目表!$E$4:$E$81,MATCH($E3461,科目表!$B$4:$B$81,0)),""))</f>
        <v/>
      </c>
      <c r="H3461" s="104"/>
      <c r="I3461" s="104"/>
      <c r="J3461" s="102"/>
      <c r="K3461" s="102"/>
      <c r="L3461" s="103"/>
      <c r="M3461" s="105"/>
      <c r="N3461" s="103"/>
      <c r="O3461" s="26" t="str">
        <f t="shared" si="167"/>
        <v/>
      </c>
      <c r="P3461" s="103"/>
    </row>
    <row r="3462" ht="18" customHeight="1" spans="1:16">
      <c r="A3462" s="32" t="str">
        <f t="shared" si="168"/>
        <v/>
      </c>
      <c r="B3462" s="101"/>
      <c r="C3462" s="102"/>
      <c r="D3462" s="103"/>
      <c r="E3462" s="102"/>
      <c r="F3462" s="25" t="str">
        <f>IF($E3462="","",IFERROR(INDEX(科目表!$A$4:$A$81,MATCH($E3462,科目表!$B$4:$B$81,0)),""))</f>
        <v/>
      </c>
      <c r="G3462" s="26" t="str">
        <f>IF($E3462="","",IFERROR(INDEX(科目表!$E$4:$E$81,MATCH($E3462,科目表!$B$4:$B$81,0)),""))</f>
        <v/>
      </c>
      <c r="H3462" s="104"/>
      <c r="I3462" s="104"/>
      <c r="J3462" s="102"/>
      <c r="K3462" s="102"/>
      <c r="L3462" s="103"/>
      <c r="M3462" s="105"/>
      <c r="N3462" s="103"/>
      <c r="O3462" s="26" t="str">
        <f t="shared" si="167"/>
        <v/>
      </c>
      <c r="P3462" s="103"/>
    </row>
    <row r="3463" ht="18" customHeight="1" spans="1:16">
      <c r="A3463" s="32" t="str">
        <f t="shared" si="168"/>
        <v/>
      </c>
      <c r="B3463" s="101"/>
      <c r="C3463" s="102"/>
      <c r="D3463" s="103"/>
      <c r="E3463" s="102"/>
      <c r="F3463" s="25" t="str">
        <f>IF($E3463="","",IFERROR(INDEX(科目表!$A$4:$A$81,MATCH($E3463,科目表!$B$4:$B$81,0)),""))</f>
        <v/>
      </c>
      <c r="G3463" s="26" t="str">
        <f>IF($E3463="","",IFERROR(INDEX(科目表!$E$4:$E$81,MATCH($E3463,科目表!$B$4:$B$81,0)),""))</f>
        <v/>
      </c>
      <c r="H3463" s="104"/>
      <c r="I3463" s="104"/>
      <c r="J3463" s="102"/>
      <c r="K3463" s="102"/>
      <c r="L3463" s="103"/>
      <c r="M3463" s="105"/>
      <c r="N3463" s="103"/>
      <c r="O3463" s="26" t="str">
        <f t="shared" si="167"/>
        <v/>
      </c>
      <c r="P3463" s="103"/>
    </row>
    <row r="3464" ht="18" customHeight="1" spans="1:16">
      <c r="A3464" s="32" t="str">
        <f t="shared" si="168"/>
        <v/>
      </c>
      <c r="B3464" s="101"/>
      <c r="C3464" s="102"/>
      <c r="D3464" s="103"/>
      <c r="E3464" s="102"/>
      <c r="F3464" s="25" t="str">
        <f>IF($E3464="","",IFERROR(INDEX(科目表!$A$4:$A$81,MATCH($E3464,科目表!$B$4:$B$81,0)),""))</f>
        <v/>
      </c>
      <c r="G3464" s="26" t="str">
        <f>IF($E3464="","",IFERROR(INDEX(科目表!$E$4:$E$81,MATCH($E3464,科目表!$B$4:$B$81,0)),""))</f>
        <v/>
      </c>
      <c r="H3464" s="104"/>
      <c r="I3464" s="104"/>
      <c r="J3464" s="102"/>
      <c r="K3464" s="102"/>
      <c r="L3464" s="103"/>
      <c r="M3464" s="105"/>
      <c r="N3464" s="103"/>
      <c r="O3464" s="26" t="str">
        <f t="shared" si="167"/>
        <v/>
      </c>
      <c r="P3464" s="103"/>
    </row>
    <row r="3465" ht="18" customHeight="1" spans="1:16">
      <c r="A3465" s="32" t="str">
        <f t="shared" si="168"/>
        <v/>
      </c>
      <c r="B3465" s="101"/>
      <c r="C3465" s="102"/>
      <c r="D3465" s="103"/>
      <c r="E3465" s="102"/>
      <c r="F3465" s="25" t="str">
        <f>IF($E3465="","",IFERROR(INDEX(科目表!$A$4:$A$81,MATCH($E3465,科目表!$B$4:$B$81,0)),""))</f>
        <v/>
      </c>
      <c r="G3465" s="26" t="str">
        <f>IF($E3465="","",IFERROR(INDEX(科目表!$E$4:$E$81,MATCH($E3465,科目表!$B$4:$B$81,0)),""))</f>
        <v/>
      </c>
      <c r="H3465" s="104"/>
      <c r="I3465" s="104"/>
      <c r="J3465" s="102"/>
      <c r="K3465" s="102"/>
      <c r="L3465" s="103"/>
      <c r="M3465" s="105"/>
      <c r="N3465" s="103"/>
      <c r="O3465" s="26" t="str">
        <f t="shared" si="167"/>
        <v/>
      </c>
      <c r="P3465" s="103"/>
    </row>
    <row r="3466" ht="18" customHeight="1" spans="1:16">
      <c r="A3466" s="32" t="str">
        <f t="shared" si="168"/>
        <v/>
      </c>
      <c r="B3466" s="101"/>
      <c r="C3466" s="102"/>
      <c r="D3466" s="103"/>
      <c r="E3466" s="102"/>
      <c r="F3466" s="25" t="str">
        <f>IF($E3466="","",IFERROR(INDEX(科目表!$A$4:$A$81,MATCH($E3466,科目表!$B$4:$B$81,0)),""))</f>
        <v/>
      </c>
      <c r="G3466" s="26" t="str">
        <f>IF($E3466="","",IFERROR(INDEX(科目表!$E$4:$E$81,MATCH($E3466,科目表!$B$4:$B$81,0)),""))</f>
        <v/>
      </c>
      <c r="H3466" s="104"/>
      <c r="I3466" s="104"/>
      <c r="J3466" s="102"/>
      <c r="K3466" s="102"/>
      <c r="L3466" s="103"/>
      <c r="M3466" s="105"/>
      <c r="N3466" s="103"/>
      <c r="O3466" s="26" t="str">
        <f t="shared" si="167"/>
        <v/>
      </c>
      <c r="P3466" s="103"/>
    </row>
    <row r="3467" ht="18" customHeight="1" spans="1:16">
      <c r="A3467" s="32" t="str">
        <f t="shared" si="168"/>
        <v/>
      </c>
      <c r="B3467" s="101"/>
      <c r="C3467" s="102"/>
      <c r="D3467" s="103"/>
      <c r="E3467" s="102"/>
      <c r="F3467" s="25" t="str">
        <f>IF($E3467="","",IFERROR(INDEX(科目表!$A$4:$A$81,MATCH($E3467,科目表!$B$4:$B$81,0)),""))</f>
        <v/>
      </c>
      <c r="G3467" s="26" t="str">
        <f>IF($E3467="","",IFERROR(INDEX(科目表!$E$4:$E$81,MATCH($E3467,科目表!$B$4:$B$81,0)),""))</f>
        <v/>
      </c>
      <c r="H3467" s="104"/>
      <c r="I3467" s="104"/>
      <c r="J3467" s="102"/>
      <c r="K3467" s="102"/>
      <c r="L3467" s="103"/>
      <c r="M3467" s="105"/>
      <c r="N3467" s="103"/>
      <c r="O3467" s="26" t="str">
        <f t="shared" si="167"/>
        <v/>
      </c>
      <c r="P3467" s="103"/>
    </row>
    <row r="3468" ht="18" customHeight="1" spans="1:16">
      <c r="A3468" s="32" t="str">
        <f t="shared" si="168"/>
        <v/>
      </c>
      <c r="B3468" s="101"/>
      <c r="C3468" s="102"/>
      <c r="D3468" s="103"/>
      <c r="E3468" s="102"/>
      <c r="F3468" s="25" t="str">
        <f>IF($E3468="","",IFERROR(INDEX(科目表!$A$4:$A$81,MATCH($E3468,科目表!$B$4:$B$81,0)),""))</f>
        <v/>
      </c>
      <c r="G3468" s="26" t="str">
        <f>IF($E3468="","",IFERROR(INDEX(科目表!$E$4:$E$81,MATCH($E3468,科目表!$B$4:$B$81,0)),""))</f>
        <v/>
      </c>
      <c r="H3468" s="104"/>
      <c r="I3468" s="104"/>
      <c r="J3468" s="102"/>
      <c r="K3468" s="102"/>
      <c r="L3468" s="103"/>
      <c r="M3468" s="105"/>
      <c r="N3468" s="103"/>
      <c r="O3468" s="26" t="str">
        <f t="shared" si="167"/>
        <v/>
      </c>
      <c r="P3468" s="103"/>
    </row>
    <row r="3469" ht="18" customHeight="1" spans="1:16">
      <c r="A3469" s="32" t="str">
        <f t="shared" si="168"/>
        <v/>
      </c>
      <c r="B3469" s="101"/>
      <c r="C3469" s="102"/>
      <c r="D3469" s="103"/>
      <c r="E3469" s="102"/>
      <c r="F3469" s="25" t="str">
        <f>IF($E3469="","",IFERROR(INDEX(科目表!$A$4:$A$81,MATCH($E3469,科目表!$B$4:$B$81,0)),""))</f>
        <v/>
      </c>
      <c r="G3469" s="26" t="str">
        <f>IF($E3469="","",IFERROR(INDEX(科目表!$E$4:$E$81,MATCH($E3469,科目表!$B$4:$B$81,0)),""))</f>
        <v/>
      </c>
      <c r="H3469" s="104"/>
      <c r="I3469" s="104"/>
      <c r="J3469" s="102"/>
      <c r="K3469" s="102"/>
      <c r="L3469" s="103"/>
      <c r="M3469" s="105"/>
      <c r="N3469" s="103"/>
      <c r="O3469" s="26" t="str">
        <f t="shared" si="167"/>
        <v/>
      </c>
      <c r="P3469" s="103"/>
    </row>
    <row r="3470" ht="18" customHeight="1" spans="1:16">
      <c r="A3470" s="32" t="str">
        <f t="shared" si="168"/>
        <v/>
      </c>
      <c r="B3470" s="101"/>
      <c r="C3470" s="102"/>
      <c r="D3470" s="103"/>
      <c r="E3470" s="102"/>
      <c r="F3470" s="25" t="str">
        <f>IF($E3470="","",IFERROR(INDEX(科目表!$A$4:$A$81,MATCH($E3470,科目表!$B$4:$B$81,0)),""))</f>
        <v/>
      </c>
      <c r="G3470" s="26" t="str">
        <f>IF($E3470="","",IFERROR(INDEX(科目表!$E$4:$E$81,MATCH($E3470,科目表!$B$4:$B$81,0)),""))</f>
        <v/>
      </c>
      <c r="H3470" s="104"/>
      <c r="I3470" s="104"/>
      <c r="J3470" s="102"/>
      <c r="K3470" s="102"/>
      <c r="L3470" s="103"/>
      <c r="M3470" s="105"/>
      <c r="N3470" s="103"/>
      <c r="O3470" s="26" t="str">
        <f t="shared" si="167"/>
        <v/>
      </c>
      <c r="P3470" s="103"/>
    </row>
    <row r="3471" ht="18" customHeight="1" spans="1:16">
      <c r="A3471" s="32" t="str">
        <f t="shared" si="168"/>
        <v/>
      </c>
      <c r="B3471" s="101"/>
      <c r="C3471" s="102"/>
      <c r="D3471" s="103"/>
      <c r="E3471" s="102"/>
      <c r="F3471" s="25" t="str">
        <f>IF($E3471="","",IFERROR(INDEX(科目表!$A$4:$A$81,MATCH($E3471,科目表!$B$4:$B$81,0)),""))</f>
        <v/>
      </c>
      <c r="G3471" s="26" t="str">
        <f>IF($E3471="","",IFERROR(INDEX(科目表!$E$4:$E$81,MATCH($E3471,科目表!$B$4:$B$81,0)),""))</f>
        <v/>
      </c>
      <c r="H3471" s="104"/>
      <c r="I3471" s="104"/>
      <c r="J3471" s="102"/>
      <c r="K3471" s="102"/>
      <c r="L3471" s="103"/>
      <c r="M3471" s="105"/>
      <c r="N3471" s="103"/>
      <c r="O3471" s="26" t="str">
        <f t="shared" si="167"/>
        <v/>
      </c>
      <c r="P3471" s="103"/>
    </row>
    <row r="3472" ht="18" customHeight="1" spans="1:16">
      <c r="A3472" s="32" t="str">
        <f t="shared" si="168"/>
        <v/>
      </c>
      <c r="B3472" s="101"/>
      <c r="C3472" s="102"/>
      <c r="D3472" s="103"/>
      <c r="E3472" s="102"/>
      <c r="F3472" s="25" t="str">
        <f>IF($E3472="","",IFERROR(INDEX(科目表!$A$4:$A$81,MATCH($E3472,科目表!$B$4:$B$81,0)),""))</f>
        <v/>
      </c>
      <c r="G3472" s="26" t="str">
        <f>IF($E3472="","",IFERROR(INDEX(科目表!$E$4:$E$81,MATCH($E3472,科目表!$B$4:$B$81,0)),""))</f>
        <v/>
      </c>
      <c r="H3472" s="104"/>
      <c r="I3472" s="104"/>
      <c r="J3472" s="102"/>
      <c r="K3472" s="102"/>
      <c r="L3472" s="103"/>
      <c r="M3472" s="105"/>
      <c r="N3472" s="103"/>
      <c r="O3472" s="26" t="str">
        <f t="shared" si="167"/>
        <v/>
      </c>
      <c r="P3472" s="103"/>
    </row>
    <row r="3473" ht="18" customHeight="1" spans="1:16">
      <c r="A3473" s="32" t="str">
        <f t="shared" si="168"/>
        <v/>
      </c>
      <c r="B3473" s="101"/>
      <c r="C3473" s="102"/>
      <c r="D3473" s="103"/>
      <c r="E3473" s="102"/>
      <c r="F3473" s="25" t="str">
        <f>IF($E3473="","",IFERROR(INDEX(科目表!$A$4:$A$81,MATCH($E3473,科目表!$B$4:$B$81,0)),""))</f>
        <v/>
      </c>
      <c r="G3473" s="26" t="str">
        <f>IF($E3473="","",IFERROR(INDEX(科目表!$E$4:$E$81,MATCH($E3473,科目表!$B$4:$B$81,0)),""))</f>
        <v/>
      </c>
      <c r="H3473" s="104"/>
      <c r="I3473" s="104"/>
      <c r="J3473" s="102"/>
      <c r="K3473" s="102"/>
      <c r="L3473" s="103"/>
      <c r="M3473" s="105"/>
      <c r="N3473" s="103"/>
      <c r="O3473" s="26" t="str">
        <f t="shared" si="167"/>
        <v/>
      </c>
      <c r="P3473" s="103"/>
    </row>
    <row r="3474" ht="18" customHeight="1" spans="1:16">
      <c r="A3474" s="32" t="str">
        <f t="shared" si="168"/>
        <v/>
      </c>
      <c r="B3474" s="101"/>
      <c r="C3474" s="102"/>
      <c r="D3474" s="103"/>
      <c r="E3474" s="102"/>
      <c r="F3474" s="25" t="str">
        <f>IF($E3474="","",IFERROR(INDEX(科目表!$A$4:$A$81,MATCH($E3474,科目表!$B$4:$B$81,0)),""))</f>
        <v/>
      </c>
      <c r="G3474" s="26" t="str">
        <f>IF($E3474="","",IFERROR(INDEX(科目表!$E$4:$E$81,MATCH($E3474,科目表!$B$4:$B$81,0)),""))</f>
        <v/>
      </c>
      <c r="H3474" s="104"/>
      <c r="I3474" s="104"/>
      <c r="J3474" s="102"/>
      <c r="K3474" s="102"/>
      <c r="L3474" s="103"/>
      <c r="M3474" s="105"/>
      <c r="N3474" s="103"/>
      <c r="O3474" s="26" t="str">
        <f t="shared" si="167"/>
        <v/>
      </c>
      <c r="P3474" s="103"/>
    </row>
    <row r="3475" ht="18" customHeight="1" spans="1:16">
      <c r="A3475" s="32" t="str">
        <f t="shared" si="168"/>
        <v/>
      </c>
      <c r="B3475" s="101"/>
      <c r="C3475" s="102"/>
      <c r="D3475" s="103"/>
      <c r="E3475" s="102"/>
      <c r="F3475" s="25" t="str">
        <f>IF($E3475="","",IFERROR(INDEX(科目表!$A$4:$A$81,MATCH($E3475,科目表!$B$4:$B$81,0)),""))</f>
        <v/>
      </c>
      <c r="G3475" s="26" t="str">
        <f>IF($E3475="","",IFERROR(INDEX(科目表!$E$4:$E$81,MATCH($E3475,科目表!$B$4:$B$81,0)),""))</f>
        <v/>
      </c>
      <c r="H3475" s="104"/>
      <c r="I3475" s="104"/>
      <c r="J3475" s="102"/>
      <c r="K3475" s="102"/>
      <c r="L3475" s="103"/>
      <c r="M3475" s="105"/>
      <c r="N3475" s="103"/>
      <c r="O3475" s="26" t="str">
        <f t="shared" si="167"/>
        <v/>
      </c>
      <c r="P3475" s="103"/>
    </row>
    <row r="3476" ht="18" customHeight="1" spans="1:16">
      <c r="A3476" s="32" t="str">
        <f t="shared" si="168"/>
        <v/>
      </c>
      <c r="B3476" s="101"/>
      <c r="C3476" s="102"/>
      <c r="D3476" s="103"/>
      <c r="E3476" s="102"/>
      <c r="F3476" s="25" t="str">
        <f>IF($E3476="","",IFERROR(INDEX(科目表!$A$4:$A$81,MATCH($E3476,科目表!$B$4:$B$81,0)),""))</f>
        <v/>
      </c>
      <c r="G3476" s="26" t="str">
        <f>IF($E3476="","",IFERROR(INDEX(科目表!$E$4:$E$81,MATCH($E3476,科目表!$B$4:$B$81,0)),""))</f>
        <v/>
      </c>
      <c r="H3476" s="104"/>
      <c r="I3476" s="104"/>
      <c r="J3476" s="102"/>
      <c r="K3476" s="102"/>
      <c r="L3476" s="103"/>
      <c r="M3476" s="105"/>
      <c r="N3476" s="103"/>
      <c r="O3476" s="26" t="str">
        <f t="shared" si="167"/>
        <v/>
      </c>
      <c r="P3476" s="103"/>
    </row>
    <row r="3477" ht="18" customHeight="1" spans="1:16">
      <c r="A3477" s="32" t="str">
        <f t="shared" si="168"/>
        <v/>
      </c>
      <c r="B3477" s="101"/>
      <c r="C3477" s="102"/>
      <c r="D3477" s="103"/>
      <c r="E3477" s="102"/>
      <c r="F3477" s="25" t="str">
        <f>IF($E3477="","",IFERROR(INDEX(科目表!$A$4:$A$81,MATCH($E3477,科目表!$B$4:$B$81,0)),""))</f>
        <v/>
      </c>
      <c r="G3477" s="26" t="str">
        <f>IF($E3477="","",IFERROR(INDEX(科目表!$E$4:$E$81,MATCH($E3477,科目表!$B$4:$B$81,0)),""))</f>
        <v/>
      </c>
      <c r="H3477" s="104"/>
      <c r="I3477" s="104"/>
      <c r="J3477" s="102"/>
      <c r="K3477" s="102"/>
      <c r="L3477" s="103"/>
      <c r="M3477" s="105"/>
      <c r="N3477" s="103"/>
      <c r="O3477" s="26" t="str">
        <f t="shared" si="167"/>
        <v/>
      </c>
      <c r="P3477" s="103"/>
    </row>
    <row r="3478" ht="18" customHeight="1" spans="1:16">
      <c r="A3478" s="32" t="str">
        <f t="shared" si="168"/>
        <v/>
      </c>
      <c r="B3478" s="101"/>
      <c r="C3478" s="102"/>
      <c r="D3478" s="103"/>
      <c r="E3478" s="102"/>
      <c r="F3478" s="25" t="str">
        <f>IF($E3478="","",IFERROR(INDEX(科目表!$A$4:$A$81,MATCH($E3478,科目表!$B$4:$B$81,0)),""))</f>
        <v/>
      </c>
      <c r="G3478" s="26" t="str">
        <f>IF($E3478="","",IFERROR(INDEX(科目表!$E$4:$E$81,MATCH($E3478,科目表!$B$4:$B$81,0)),""))</f>
        <v/>
      </c>
      <c r="H3478" s="104"/>
      <c r="I3478" s="104"/>
      <c r="J3478" s="102"/>
      <c r="K3478" s="102"/>
      <c r="L3478" s="103"/>
      <c r="M3478" s="105"/>
      <c r="N3478" s="103"/>
      <c r="O3478" s="26" t="str">
        <f t="shared" si="167"/>
        <v/>
      </c>
      <c r="P3478" s="103"/>
    </row>
    <row r="3479" ht="18" customHeight="1" spans="1:16">
      <c r="A3479" s="32" t="str">
        <f t="shared" si="168"/>
        <v/>
      </c>
      <c r="B3479" s="101"/>
      <c r="C3479" s="102"/>
      <c r="D3479" s="103"/>
      <c r="E3479" s="102"/>
      <c r="F3479" s="25" t="str">
        <f>IF($E3479="","",IFERROR(INDEX(科目表!$A$4:$A$81,MATCH($E3479,科目表!$B$4:$B$81,0)),""))</f>
        <v/>
      </c>
      <c r="G3479" s="26" t="str">
        <f>IF($E3479="","",IFERROR(INDEX(科目表!$E$4:$E$81,MATCH($E3479,科目表!$B$4:$B$81,0)),""))</f>
        <v/>
      </c>
      <c r="H3479" s="104"/>
      <c r="I3479" s="104"/>
      <c r="J3479" s="102"/>
      <c r="K3479" s="102"/>
      <c r="L3479" s="103"/>
      <c r="M3479" s="105"/>
      <c r="N3479" s="103"/>
      <c r="O3479" s="26" t="str">
        <f t="shared" si="167"/>
        <v/>
      </c>
      <c r="P3479" s="103"/>
    </row>
    <row r="3480" ht="18" customHeight="1" spans="1:16">
      <c r="A3480" s="32" t="str">
        <f t="shared" si="168"/>
        <v/>
      </c>
      <c r="B3480" s="101"/>
      <c r="C3480" s="102"/>
      <c r="D3480" s="103"/>
      <c r="E3480" s="102"/>
      <c r="F3480" s="25" t="str">
        <f>IF($E3480="","",IFERROR(INDEX(科目表!$A$4:$A$81,MATCH($E3480,科目表!$B$4:$B$81,0)),""))</f>
        <v/>
      </c>
      <c r="G3480" s="26" t="str">
        <f>IF($E3480="","",IFERROR(INDEX(科目表!$E$4:$E$81,MATCH($E3480,科目表!$B$4:$B$81,0)),""))</f>
        <v/>
      </c>
      <c r="H3480" s="104"/>
      <c r="I3480" s="104"/>
      <c r="J3480" s="102"/>
      <c r="K3480" s="102"/>
      <c r="L3480" s="103"/>
      <c r="M3480" s="105"/>
      <c r="N3480" s="103"/>
      <c r="O3480" s="26" t="str">
        <f t="shared" si="167"/>
        <v/>
      </c>
      <c r="P3480" s="103"/>
    </row>
    <row r="3481" ht="18" customHeight="1" spans="1:16">
      <c r="A3481" s="32" t="str">
        <f t="shared" si="168"/>
        <v/>
      </c>
      <c r="B3481" s="101"/>
      <c r="C3481" s="102"/>
      <c r="D3481" s="103"/>
      <c r="E3481" s="102"/>
      <c r="F3481" s="25" t="str">
        <f>IF($E3481="","",IFERROR(INDEX(科目表!$A$4:$A$81,MATCH($E3481,科目表!$B$4:$B$81,0)),""))</f>
        <v/>
      </c>
      <c r="G3481" s="26" t="str">
        <f>IF($E3481="","",IFERROR(INDEX(科目表!$E$4:$E$81,MATCH($E3481,科目表!$B$4:$B$81,0)),""))</f>
        <v/>
      </c>
      <c r="H3481" s="104"/>
      <c r="I3481" s="104"/>
      <c r="J3481" s="102"/>
      <c r="K3481" s="102"/>
      <c r="L3481" s="103"/>
      <c r="M3481" s="105"/>
      <c r="N3481" s="103"/>
      <c r="O3481" s="26" t="str">
        <f t="shared" si="167"/>
        <v/>
      </c>
      <c r="P3481" s="103"/>
    </row>
    <row r="3482" ht="18" customHeight="1" spans="1:16">
      <c r="A3482" s="32" t="str">
        <f t="shared" si="168"/>
        <v/>
      </c>
      <c r="B3482" s="101"/>
      <c r="C3482" s="102"/>
      <c r="D3482" s="103"/>
      <c r="E3482" s="102"/>
      <c r="F3482" s="25" t="str">
        <f>IF($E3482="","",IFERROR(INDEX(科目表!$A$4:$A$81,MATCH($E3482,科目表!$B$4:$B$81,0)),""))</f>
        <v/>
      </c>
      <c r="G3482" s="26" t="str">
        <f>IF($E3482="","",IFERROR(INDEX(科目表!$E$4:$E$81,MATCH($E3482,科目表!$B$4:$B$81,0)),""))</f>
        <v/>
      </c>
      <c r="H3482" s="104"/>
      <c r="I3482" s="104"/>
      <c r="J3482" s="102"/>
      <c r="K3482" s="102"/>
      <c r="L3482" s="103"/>
      <c r="M3482" s="105"/>
      <c r="N3482" s="103"/>
      <c r="O3482" s="26" t="str">
        <f t="shared" si="167"/>
        <v/>
      </c>
      <c r="P3482" s="103"/>
    </row>
    <row r="3483" ht="18" customHeight="1" spans="1:16">
      <c r="A3483" s="32" t="str">
        <f t="shared" si="168"/>
        <v/>
      </c>
      <c r="B3483" s="101"/>
      <c r="C3483" s="102"/>
      <c r="D3483" s="103"/>
      <c r="E3483" s="102"/>
      <c r="F3483" s="25" t="str">
        <f>IF($E3483="","",IFERROR(INDEX(科目表!$A$4:$A$81,MATCH($E3483,科目表!$B$4:$B$81,0)),""))</f>
        <v/>
      </c>
      <c r="G3483" s="26" t="str">
        <f>IF($E3483="","",IFERROR(INDEX(科目表!$E$4:$E$81,MATCH($E3483,科目表!$B$4:$B$81,0)),""))</f>
        <v/>
      </c>
      <c r="H3483" s="104"/>
      <c r="I3483" s="104"/>
      <c r="J3483" s="102"/>
      <c r="K3483" s="102"/>
      <c r="L3483" s="103"/>
      <c r="M3483" s="105"/>
      <c r="N3483" s="103"/>
      <c r="O3483" s="26" t="str">
        <f t="shared" si="167"/>
        <v/>
      </c>
      <c r="P3483" s="103"/>
    </row>
    <row r="3484" ht="18" customHeight="1" spans="1:16">
      <c r="A3484" s="32" t="str">
        <f t="shared" si="168"/>
        <v/>
      </c>
      <c r="B3484" s="101"/>
      <c r="C3484" s="102"/>
      <c r="D3484" s="103"/>
      <c r="E3484" s="102"/>
      <c r="F3484" s="25" t="str">
        <f>IF($E3484="","",IFERROR(INDEX(科目表!$A$4:$A$81,MATCH($E3484,科目表!$B$4:$B$81,0)),""))</f>
        <v/>
      </c>
      <c r="G3484" s="26" t="str">
        <f>IF($E3484="","",IFERROR(INDEX(科目表!$E$4:$E$81,MATCH($E3484,科目表!$B$4:$B$81,0)),""))</f>
        <v/>
      </c>
      <c r="H3484" s="104"/>
      <c r="I3484" s="104"/>
      <c r="J3484" s="102"/>
      <c r="K3484" s="102"/>
      <c r="L3484" s="103"/>
      <c r="M3484" s="105"/>
      <c r="N3484" s="103"/>
      <c r="O3484" s="26" t="str">
        <f t="shared" si="167"/>
        <v/>
      </c>
      <c r="P3484" s="103"/>
    </row>
    <row r="3485" ht="18" customHeight="1" spans="1:16">
      <c r="A3485" s="32" t="str">
        <f t="shared" si="168"/>
        <v/>
      </c>
      <c r="B3485" s="101"/>
      <c r="C3485" s="102"/>
      <c r="D3485" s="103"/>
      <c r="E3485" s="102"/>
      <c r="F3485" s="25" t="str">
        <f>IF($E3485="","",IFERROR(INDEX(科目表!$A$4:$A$81,MATCH($E3485,科目表!$B$4:$B$81,0)),""))</f>
        <v/>
      </c>
      <c r="G3485" s="26" t="str">
        <f>IF($E3485="","",IFERROR(INDEX(科目表!$E$4:$E$81,MATCH($E3485,科目表!$B$4:$B$81,0)),""))</f>
        <v/>
      </c>
      <c r="H3485" s="104"/>
      <c r="I3485" s="104"/>
      <c r="J3485" s="102"/>
      <c r="K3485" s="102"/>
      <c r="L3485" s="103"/>
      <c r="M3485" s="105"/>
      <c r="N3485" s="103"/>
      <c r="O3485" s="26" t="str">
        <f t="shared" si="167"/>
        <v/>
      </c>
      <c r="P3485" s="103"/>
    </row>
    <row r="3486" ht="18" customHeight="1" spans="1:16">
      <c r="A3486" s="32" t="str">
        <f t="shared" si="168"/>
        <v/>
      </c>
      <c r="B3486" s="101"/>
      <c r="C3486" s="102"/>
      <c r="D3486" s="103"/>
      <c r="E3486" s="102"/>
      <c r="F3486" s="25" t="str">
        <f>IF($E3486="","",IFERROR(INDEX(科目表!$A$4:$A$81,MATCH($E3486,科目表!$B$4:$B$81,0)),""))</f>
        <v/>
      </c>
      <c r="G3486" s="26" t="str">
        <f>IF($E3486="","",IFERROR(INDEX(科目表!$E$4:$E$81,MATCH($E3486,科目表!$B$4:$B$81,0)),""))</f>
        <v/>
      </c>
      <c r="H3486" s="104"/>
      <c r="I3486" s="104"/>
      <c r="J3486" s="102"/>
      <c r="K3486" s="102"/>
      <c r="L3486" s="103"/>
      <c r="M3486" s="105"/>
      <c r="N3486" s="103"/>
      <c r="O3486" s="26" t="str">
        <f t="shared" si="167"/>
        <v/>
      </c>
      <c r="P3486" s="103"/>
    </row>
    <row r="3487" ht="18" customHeight="1" spans="1:16">
      <c r="A3487" s="32" t="str">
        <f t="shared" si="168"/>
        <v/>
      </c>
      <c r="B3487" s="101"/>
      <c r="C3487" s="102"/>
      <c r="D3487" s="103"/>
      <c r="E3487" s="102"/>
      <c r="F3487" s="25" t="str">
        <f>IF($E3487="","",IFERROR(INDEX(科目表!$A$4:$A$81,MATCH($E3487,科目表!$B$4:$B$81,0)),""))</f>
        <v/>
      </c>
      <c r="G3487" s="26" t="str">
        <f>IF($E3487="","",IFERROR(INDEX(科目表!$E$4:$E$81,MATCH($E3487,科目表!$B$4:$B$81,0)),""))</f>
        <v/>
      </c>
      <c r="H3487" s="104"/>
      <c r="I3487" s="104"/>
      <c r="J3487" s="102"/>
      <c r="K3487" s="102"/>
      <c r="L3487" s="103"/>
      <c r="M3487" s="105"/>
      <c r="N3487" s="103"/>
      <c r="O3487" s="26" t="str">
        <f t="shared" si="167"/>
        <v/>
      </c>
      <c r="P3487" s="103"/>
    </row>
    <row r="3488" ht="18" customHeight="1" spans="1:16">
      <c r="A3488" s="32" t="str">
        <f t="shared" si="168"/>
        <v/>
      </c>
      <c r="B3488" s="101"/>
      <c r="C3488" s="102"/>
      <c r="D3488" s="103"/>
      <c r="E3488" s="102"/>
      <c r="F3488" s="25" t="str">
        <f>IF($E3488="","",IFERROR(INDEX(科目表!$A$4:$A$81,MATCH($E3488,科目表!$B$4:$B$81,0)),""))</f>
        <v/>
      </c>
      <c r="G3488" s="26" t="str">
        <f>IF($E3488="","",IFERROR(INDEX(科目表!$E$4:$E$81,MATCH($E3488,科目表!$B$4:$B$81,0)),""))</f>
        <v/>
      </c>
      <c r="H3488" s="104"/>
      <c r="I3488" s="104"/>
      <c r="J3488" s="102"/>
      <c r="K3488" s="102"/>
      <c r="L3488" s="103"/>
      <c r="M3488" s="105"/>
      <c r="N3488" s="103"/>
      <c r="O3488" s="26" t="str">
        <f t="shared" si="167"/>
        <v/>
      </c>
      <c r="P3488" s="103"/>
    </row>
    <row r="3489" ht="18" customHeight="1" spans="1:16">
      <c r="A3489" s="32" t="str">
        <f t="shared" si="168"/>
        <v/>
      </c>
      <c r="B3489" s="101"/>
      <c r="C3489" s="102"/>
      <c r="D3489" s="103"/>
      <c r="E3489" s="102"/>
      <c r="F3489" s="25" t="str">
        <f>IF($E3489="","",IFERROR(INDEX(科目表!$A$4:$A$81,MATCH($E3489,科目表!$B$4:$B$81,0)),""))</f>
        <v/>
      </c>
      <c r="G3489" s="26" t="str">
        <f>IF($E3489="","",IFERROR(INDEX(科目表!$E$4:$E$81,MATCH($E3489,科目表!$B$4:$B$81,0)),""))</f>
        <v/>
      </c>
      <c r="H3489" s="104"/>
      <c r="I3489" s="104"/>
      <c r="J3489" s="102"/>
      <c r="K3489" s="102"/>
      <c r="L3489" s="103"/>
      <c r="M3489" s="105"/>
      <c r="N3489" s="103"/>
      <c r="O3489" s="26" t="str">
        <f t="shared" si="167"/>
        <v/>
      </c>
      <c r="P3489" s="103"/>
    </row>
    <row r="3490" ht="18" customHeight="1" spans="1:16">
      <c r="A3490" s="32" t="str">
        <f t="shared" si="168"/>
        <v/>
      </c>
      <c r="B3490" s="101"/>
      <c r="C3490" s="102"/>
      <c r="D3490" s="103"/>
      <c r="E3490" s="102"/>
      <c r="F3490" s="25" t="str">
        <f>IF($E3490="","",IFERROR(INDEX(科目表!$A$4:$A$81,MATCH($E3490,科目表!$B$4:$B$81,0)),""))</f>
        <v/>
      </c>
      <c r="G3490" s="26" t="str">
        <f>IF($E3490="","",IFERROR(INDEX(科目表!$E$4:$E$81,MATCH($E3490,科目表!$B$4:$B$81,0)),""))</f>
        <v/>
      </c>
      <c r="H3490" s="104"/>
      <c r="I3490" s="104"/>
      <c r="J3490" s="102"/>
      <c r="K3490" s="102"/>
      <c r="L3490" s="103"/>
      <c r="M3490" s="105"/>
      <c r="N3490" s="103"/>
      <c r="O3490" s="26" t="str">
        <f t="shared" si="167"/>
        <v/>
      </c>
      <c r="P3490" s="103"/>
    </row>
    <row r="3491" ht="18" customHeight="1" spans="1:16">
      <c r="A3491" s="32" t="str">
        <f t="shared" si="168"/>
        <v/>
      </c>
      <c r="B3491" s="101"/>
      <c r="C3491" s="102"/>
      <c r="D3491" s="103"/>
      <c r="E3491" s="102"/>
      <c r="F3491" s="25" t="str">
        <f>IF($E3491="","",IFERROR(INDEX(科目表!$A$4:$A$81,MATCH($E3491,科目表!$B$4:$B$81,0)),""))</f>
        <v/>
      </c>
      <c r="G3491" s="26" t="str">
        <f>IF($E3491="","",IFERROR(INDEX(科目表!$E$4:$E$81,MATCH($E3491,科目表!$B$4:$B$81,0)),""))</f>
        <v/>
      </c>
      <c r="H3491" s="104"/>
      <c r="I3491" s="104"/>
      <c r="J3491" s="102"/>
      <c r="K3491" s="102"/>
      <c r="L3491" s="103"/>
      <c r="M3491" s="105"/>
      <c r="N3491" s="103"/>
      <c r="O3491" s="26" t="str">
        <f t="shared" si="167"/>
        <v/>
      </c>
      <c r="P3491" s="103"/>
    </row>
    <row r="3492" ht="18" customHeight="1" spans="1:16">
      <c r="A3492" s="32" t="str">
        <f t="shared" si="168"/>
        <v/>
      </c>
      <c r="B3492" s="101"/>
      <c r="C3492" s="102"/>
      <c r="D3492" s="103"/>
      <c r="E3492" s="102"/>
      <c r="F3492" s="25" t="str">
        <f>IF($E3492="","",IFERROR(INDEX(科目表!$A$4:$A$81,MATCH($E3492,科目表!$B$4:$B$81,0)),""))</f>
        <v/>
      </c>
      <c r="G3492" s="26" t="str">
        <f>IF($E3492="","",IFERROR(INDEX(科目表!$E$4:$E$81,MATCH($E3492,科目表!$B$4:$B$81,0)),""))</f>
        <v/>
      </c>
      <c r="H3492" s="104"/>
      <c r="I3492" s="104"/>
      <c r="J3492" s="102"/>
      <c r="K3492" s="102"/>
      <c r="L3492" s="103"/>
      <c r="M3492" s="105"/>
      <c r="N3492" s="103"/>
      <c r="O3492" s="26" t="str">
        <f t="shared" si="167"/>
        <v/>
      </c>
      <c r="P3492" s="103"/>
    </row>
    <row r="3493" ht="18" customHeight="1" spans="1:16">
      <c r="A3493" s="32" t="str">
        <f t="shared" si="168"/>
        <v/>
      </c>
      <c r="B3493" s="101"/>
      <c r="C3493" s="102"/>
      <c r="D3493" s="103"/>
      <c r="E3493" s="102"/>
      <c r="F3493" s="25" t="str">
        <f>IF($E3493="","",IFERROR(INDEX(科目表!$A$4:$A$81,MATCH($E3493,科目表!$B$4:$B$81,0)),""))</f>
        <v/>
      </c>
      <c r="G3493" s="26" t="str">
        <f>IF($E3493="","",IFERROR(INDEX(科目表!$E$4:$E$81,MATCH($E3493,科目表!$B$4:$B$81,0)),""))</f>
        <v/>
      </c>
      <c r="H3493" s="104"/>
      <c r="I3493" s="104"/>
      <c r="J3493" s="102"/>
      <c r="K3493" s="102"/>
      <c r="L3493" s="103"/>
      <c r="M3493" s="105"/>
      <c r="N3493" s="103"/>
      <c r="O3493" s="26" t="str">
        <f t="shared" si="167"/>
        <v/>
      </c>
      <c r="P3493" s="103"/>
    </row>
    <row r="3494" ht="18" customHeight="1" spans="1:16">
      <c r="A3494" s="32" t="str">
        <f t="shared" si="168"/>
        <v/>
      </c>
      <c r="B3494" s="101"/>
      <c r="C3494" s="102"/>
      <c r="D3494" s="103"/>
      <c r="E3494" s="102"/>
      <c r="F3494" s="25" t="str">
        <f>IF($E3494="","",IFERROR(INDEX(科目表!$A$4:$A$81,MATCH($E3494,科目表!$B$4:$B$81,0)),""))</f>
        <v/>
      </c>
      <c r="G3494" s="26" t="str">
        <f>IF($E3494="","",IFERROR(INDEX(科目表!$E$4:$E$81,MATCH($E3494,科目表!$B$4:$B$81,0)),""))</f>
        <v/>
      </c>
      <c r="H3494" s="104"/>
      <c r="I3494" s="104"/>
      <c r="J3494" s="102"/>
      <c r="K3494" s="102"/>
      <c r="L3494" s="103"/>
      <c r="M3494" s="105"/>
      <c r="N3494" s="103"/>
      <c r="O3494" s="26" t="str">
        <f t="shared" si="167"/>
        <v/>
      </c>
      <c r="P3494" s="103"/>
    </row>
    <row r="3495" ht="18" customHeight="1" spans="1:16">
      <c r="A3495" s="32" t="str">
        <f t="shared" si="168"/>
        <v/>
      </c>
      <c r="B3495" s="101"/>
      <c r="C3495" s="102"/>
      <c r="D3495" s="103"/>
      <c r="E3495" s="102"/>
      <c r="F3495" s="25" t="str">
        <f>IF($E3495="","",IFERROR(INDEX(科目表!$A$4:$A$81,MATCH($E3495,科目表!$B$4:$B$81,0)),""))</f>
        <v/>
      </c>
      <c r="G3495" s="26" t="str">
        <f>IF($E3495="","",IFERROR(INDEX(科目表!$E$4:$E$81,MATCH($E3495,科目表!$B$4:$B$81,0)),""))</f>
        <v/>
      </c>
      <c r="H3495" s="104"/>
      <c r="I3495" s="104"/>
      <c r="J3495" s="102"/>
      <c r="K3495" s="102"/>
      <c r="L3495" s="103"/>
      <c r="M3495" s="105"/>
      <c r="N3495" s="103"/>
      <c r="O3495" s="26" t="str">
        <f t="shared" si="167"/>
        <v/>
      </c>
      <c r="P3495" s="103"/>
    </row>
    <row r="3496" ht="18" customHeight="1" spans="1:16">
      <c r="A3496" s="32" t="str">
        <f t="shared" si="168"/>
        <v/>
      </c>
      <c r="B3496" s="101"/>
      <c r="C3496" s="102"/>
      <c r="D3496" s="103"/>
      <c r="E3496" s="102"/>
      <c r="F3496" s="25" t="str">
        <f>IF($E3496="","",IFERROR(INDEX(科目表!$A$4:$A$81,MATCH($E3496,科目表!$B$4:$B$81,0)),""))</f>
        <v/>
      </c>
      <c r="G3496" s="26" t="str">
        <f>IF($E3496="","",IFERROR(INDEX(科目表!$E$4:$E$81,MATCH($E3496,科目表!$B$4:$B$81,0)),""))</f>
        <v/>
      </c>
      <c r="H3496" s="104"/>
      <c r="I3496" s="104"/>
      <c r="J3496" s="102"/>
      <c r="K3496" s="102"/>
      <c r="L3496" s="103"/>
      <c r="M3496" s="105"/>
      <c r="N3496" s="103"/>
      <c r="O3496" s="26" t="str">
        <f t="shared" si="167"/>
        <v/>
      </c>
      <c r="P3496" s="103"/>
    </row>
    <row r="3497" ht="18" customHeight="1" spans="1:16">
      <c r="A3497" s="32" t="str">
        <f t="shared" si="168"/>
        <v/>
      </c>
      <c r="B3497" s="101"/>
      <c r="C3497" s="102"/>
      <c r="D3497" s="103"/>
      <c r="E3497" s="102"/>
      <c r="F3497" s="25" t="str">
        <f>IF($E3497="","",IFERROR(INDEX(科目表!$A$4:$A$81,MATCH($E3497,科目表!$B$4:$B$81,0)),""))</f>
        <v/>
      </c>
      <c r="G3497" s="26" t="str">
        <f>IF($E3497="","",IFERROR(INDEX(科目表!$E$4:$E$81,MATCH($E3497,科目表!$B$4:$B$81,0)),""))</f>
        <v/>
      </c>
      <c r="H3497" s="104"/>
      <c r="I3497" s="104"/>
      <c r="J3497" s="102"/>
      <c r="K3497" s="102"/>
      <c r="L3497" s="103"/>
      <c r="M3497" s="105"/>
      <c r="N3497" s="103"/>
      <c r="O3497" s="26" t="str">
        <f t="shared" si="167"/>
        <v/>
      </c>
      <c r="P3497" s="103"/>
    </row>
    <row r="3498" ht="18" customHeight="1" spans="1:16">
      <c r="A3498" s="32" t="str">
        <f t="shared" si="168"/>
        <v/>
      </c>
      <c r="B3498" s="101"/>
      <c r="C3498" s="102"/>
      <c r="D3498" s="103"/>
      <c r="E3498" s="102"/>
      <c r="F3498" s="25" t="str">
        <f>IF($E3498="","",IFERROR(INDEX(科目表!$A$4:$A$81,MATCH($E3498,科目表!$B$4:$B$81,0)),""))</f>
        <v/>
      </c>
      <c r="G3498" s="26" t="str">
        <f>IF($E3498="","",IFERROR(INDEX(科目表!$E$4:$E$81,MATCH($E3498,科目表!$B$4:$B$81,0)),""))</f>
        <v/>
      </c>
      <c r="H3498" s="104"/>
      <c r="I3498" s="104"/>
      <c r="J3498" s="102"/>
      <c r="K3498" s="102"/>
      <c r="L3498" s="103"/>
      <c r="M3498" s="105"/>
      <c r="N3498" s="103"/>
      <c r="O3498" s="26" t="str">
        <f t="shared" si="167"/>
        <v/>
      </c>
      <c r="P3498" s="103"/>
    </row>
    <row r="3499" ht="18" customHeight="1" spans="1:16">
      <c r="A3499" s="32" t="str">
        <f t="shared" si="168"/>
        <v/>
      </c>
      <c r="B3499" s="101"/>
      <c r="C3499" s="102"/>
      <c r="D3499" s="103"/>
      <c r="E3499" s="102"/>
      <c r="F3499" s="25" t="str">
        <f>IF($E3499="","",IFERROR(INDEX(科目表!$A$4:$A$81,MATCH($E3499,科目表!$B$4:$B$81,0)),""))</f>
        <v/>
      </c>
      <c r="G3499" s="26" t="str">
        <f>IF($E3499="","",IFERROR(INDEX(科目表!$E$4:$E$81,MATCH($E3499,科目表!$B$4:$B$81,0)),""))</f>
        <v/>
      </c>
      <c r="H3499" s="104"/>
      <c r="I3499" s="104"/>
      <c r="J3499" s="102"/>
      <c r="K3499" s="102"/>
      <c r="L3499" s="103"/>
      <c r="M3499" s="105"/>
      <c r="N3499" s="103"/>
      <c r="O3499" s="26" t="str">
        <f t="shared" si="167"/>
        <v/>
      </c>
      <c r="P3499" s="103"/>
    </row>
    <row r="3500" ht="18" customHeight="1" spans="1:16">
      <c r="A3500" s="32" t="str">
        <f t="shared" si="168"/>
        <v/>
      </c>
      <c r="B3500" s="101"/>
      <c r="C3500" s="102"/>
      <c r="D3500" s="103"/>
      <c r="E3500" s="102"/>
      <c r="F3500" s="25" t="str">
        <f>IF($E3500="","",IFERROR(INDEX(科目表!$A$4:$A$81,MATCH($E3500,科目表!$B$4:$B$81,0)),""))</f>
        <v/>
      </c>
      <c r="G3500" s="26" t="str">
        <f>IF($E3500="","",IFERROR(INDEX(科目表!$E$4:$E$81,MATCH($E3500,科目表!$B$4:$B$81,0)),""))</f>
        <v/>
      </c>
      <c r="H3500" s="104"/>
      <c r="I3500" s="104"/>
      <c r="J3500" s="102"/>
      <c r="K3500" s="102"/>
      <c r="L3500" s="103"/>
      <c r="M3500" s="105"/>
      <c r="N3500" s="103"/>
      <c r="O3500" s="26" t="str">
        <f t="shared" si="167"/>
        <v/>
      </c>
      <c r="P3500" s="103"/>
    </row>
    <row r="3501" ht="18" customHeight="1" spans="1:16">
      <c r="A3501" s="32" t="str">
        <f t="shared" si="168"/>
        <v/>
      </c>
      <c r="B3501" s="101"/>
      <c r="C3501" s="102"/>
      <c r="D3501" s="103"/>
      <c r="E3501" s="102"/>
      <c r="F3501" s="25" t="str">
        <f>IF($E3501="","",IFERROR(INDEX(科目表!$A$4:$A$81,MATCH($E3501,科目表!$B$4:$B$81,0)),""))</f>
        <v/>
      </c>
      <c r="G3501" s="26" t="str">
        <f>IF($E3501="","",IFERROR(INDEX(科目表!$E$4:$E$81,MATCH($E3501,科目表!$B$4:$B$81,0)),""))</f>
        <v/>
      </c>
      <c r="H3501" s="104"/>
      <c r="I3501" s="104"/>
      <c r="J3501" s="102"/>
      <c r="K3501" s="102"/>
      <c r="L3501" s="103"/>
      <c r="M3501" s="105"/>
      <c r="N3501" s="103"/>
      <c r="O3501" s="26" t="str">
        <f t="shared" si="167"/>
        <v/>
      </c>
      <c r="P3501" s="103"/>
    </row>
    <row r="3502" ht="18" customHeight="1" spans="1:16">
      <c r="A3502" s="32" t="str">
        <f t="shared" si="168"/>
        <v/>
      </c>
      <c r="B3502" s="101"/>
      <c r="C3502" s="102"/>
      <c r="D3502" s="103"/>
      <c r="E3502" s="102"/>
      <c r="F3502" s="25" t="str">
        <f>IF($E3502="","",IFERROR(INDEX(科目表!$A$4:$A$81,MATCH($E3502,科目表!$B$4:$B$81,0)),""))</f>
        <v/>
      </c>
      <c r="G3502" s="26" t="str">
        <f>IF($E3502="","",IFERROR(INDEX(科目表!$E$4:$E$81,MATCH($E3502,科目表!$B$4:$B$81,0)),""))</f>
        <v/>
      </c>
      <c r="H3502" s="104"/>
      <c r="I3502" s="104"/>
      <c r="J3502" s="102"/>
      <c r="K3502" s="102"/>
      <c r="L3502" s="103"/>
      <c r="M3502" s="105"/>
      <c r="N3502" s="103"/>
      <c r="O3502" s="26" t="str">
        <f t="shared" si="167"/>
        <v/>
      </c>
      <c r="P3502" s="103"/>
    </row>
    <row r="3503" ht="18" customHeight="1" spans="1:16">
      <c r="A3503" s="32" t="str">
        <f t="shared" si="168"/>
        <v/>
      </c>
      <c r="B3503" s="101"/>
      <c r="C3503" s="102"/>
      <c r="D3503" s="103"/>
      <c r="E3503" s="102"/>
      <c r="F3503" s="25" t="str">
        <f>IF($E3503="","",IFERROR(INDEX(科目表!$A$4:$A$81,MATCH($E3503,科目表!$B$4:$B$81,0)),""))</f>
        <v/>
      </c>
      <c r="G3503" s="26" t="str">
        <f>IF($E3503="","",IFERROR(INDEX(科目表!$E$4:$E$81,MATCH($E3503,科目表!$B$4:$B$81,0)),""))</f>
        <v/>
      </c>
      <c r="H3503" s="104"/>
      <c r="I3503" s="104"/>
      <c r="J3503" s="102"/>
      <c r="K3503" s="102"/>
      <c r="L3503" s="103"/>
      <c r="M3503" s="105"/>
      <c r="N3503" s="103"/>
      <c r="O3503" s="26" t="str">
        <f t="shared" si="167"/>
        <v/>
      </c>
      <c r="P3503" s="103"/>
    </row>
    <row r="3504" ht="18" customHeight="1" spans="1:16">
      <c r="A3504" s="32" t="str">
        <f t="shared" si="168"/>
        <v/>
      </c>
      <c r="B3504" s="101"/>
      <c r="C3504" s="102"/>
      <c r="D3504" s="103"/>
      <c r="E3504" s="102"/>
      <c r="F3504" s="25" t="str">
        <f>IF($E3504="","",IFERROR(INDEX(科目表!$A$4:$A$81,MATCH($E3504,科目表!$B$4:$B$81,0)),""))</f>
        <v/>
      </c>
      <c r="G3504" s="26" t="str">
        <f>IF($E3504="","",IFERROR(INDEX(科目表!$E$4:$E$81,MATCH($E3504,科目表!$B$4:$B$81,0)),""))</f>
        <v/>
      </c>
      <c r="H3504" s="104"/>
      <c r="I3504" s="104"/>
      <c r="J3504" s="102"/>
      <c r="K3504" s="102"/>
      <c r="L3504" s="103"/>
      <c r="M3504" s="105"/>
      <c r="N3504" s="103"/>
      <c r="O3504" s="26" t="str">
        <f t="shared" si="167"/>
        <v/>
      </c>
      <c r="P3504" s="103"/>
    </row>
    <row r="3505" ht="18" customHeight="1" spans="1:16">
      <c r="A3505" s="32" t="str">
        <f t="shared" si="168"/>
        <v/>
      </c>
      <c r="B3505" s="101"/>
      <c r="C3505" s="102"/>
      <c r="D3505" s="103"/>
      <c r="E3505" s="102"/>
      <c r="F3505" s="25" t="str">
        <f>IF($E3505="","",IFERROR(INDEX(科目表!$A$4:$A$81,MATCH($E3505,科目表!$B$4:$B$81,0)),""))</f>
        <v/>
      </c>
      <c r="G3505" s="26" t="str">
        <f>IF($E3505="","",IFERROR(INDEX(科目表!$E$4:$E$81,MATCH($E3505,科目表!$B$4:$B$81,0)),""))</f>
        <v/>
      </c>
      <c r="H3505" s="104"/>
      <c r="I3505" s="104"/>
      <c r="J3505" s="102"/>
      <c r="K3505" s="102"/>
      <c r="L3505" s="103"/>
      <c r="M3505" s="105"/>
      <c r="N3505" s="103"/>
      <c r="O3505" s="26" t="str">
        <f t="shared" si="167"/>
        <v/>
      </c>
      <c r="P3505" s="103"/>
    </row>
    <row r="3506" ht="18" customHeight="1" spans="1:16">
      <c r="A3506" s="32" t="str">
        <f t="shared" si="168"/>
        <v/>
      </c>
      <c r="B3506" s="101"/>
      <c r="C3506" s="102"/>
      <c r="D3506" s="103"/>
      <c r="E3506" s="102"/>
      <c r="F3506" s="25" t="str">
        <f>IF($E3506="","",IFERROR(INDEX(科目表!$A$4:$A$81,MATCH($E3506,科目表!$B$4:$B$81,0)),""))</f>
        <v/>
      </c>
      <c r="G3506" s="26" t="str">
        <f>IF($E3506="","",IFERROR(INDEX(科目表!$E$4:$E$81,MATCH($E3506,科目表!$B$4:$B$81,0)),""))</f>
        <v/>
      </c>
      <c r="H3506" s="104"/>
      <c r="I3506" s="104"/>
      <c r="J3506" s="102"/>
      <c r="K3506" s="102"/>
      <c r="L3506" s="103"/>
      <c r="M3506" s="105"/>
      <c r="N3506" s="103"/>
      <c r="O3506" s="26" t="str">
        <f t="shared" si="167"/>
        <v/>
      </c>
      <c r="P3506" s="103"/>
    </row>
    <row r="3507" ht="18" customHeight="1" spans="1:16">
      <c r="A3507" s="32" t="str">
        <f t="shared" si="168"/>
        <v/>
      </c>
      <c r="B3507" s="101"/>
      <c r="C3507" s="102"/>
      <c r="D3507" s="103"/>
      <c r="E3507" s="102"/>
      <c r="F3507" s="25" t="str">
        <f>IF($E3507="","",IFERROR(INDEX(科目表!$A$4:$A$81,MATCH($E3507,科目表!$B$4:$B$81,0)),""))</f>
        <v/>
      </c>
      <c r="G3507" s="26" t="str">
        <f>IF($E3507="","",IFERROR(INDEX(科目表!$E$4:$E$81,MATCH($E3507,科目表!$B$4:$B$81,0)),""))</f>
        <v/>
      </c>
      <c r="H3507" s="104"/>
      <c r="I3507" s="104"/>
      <c r="J3507" s="102"/>
      <c r="K3507" s="102"/>
      <c r="L3507" s="103"/>
      <c r="M3507" s="105"/>
      <c r="N3507" s="103"/>
      <c r="O3507" s="26" t="str">
        <f t="shared" si="167"/>
        <v/>
      </c>
      <c r="P3507" s="103"/>
    </row>
    <row r="3508" ht="18" customHeight="1" spans="1:16">
      <c r="A3508" s="32" t="str">
        <f t="shared" si="168"/>
        <v/>
      </c>
      <c r="B3508" s="101"/>
      <c r="C3508" s="102"/>
      <c r="D3508" s="103"/>
      <c r="E3508" s="102"/>
      <c r="F3508" s="25" t="str">
        <f>IF($E3508="","",IFERROR(INDEX(科目表!$A$4:$A$81,MATCH($E3508,科目表!$B$4:$B$81,0)),""))</f>
        <v/>
      </c>
      <c r="G3508" s="26" t="str">
        <f>IF($E3508="","",IFERROR(INDEX(科目表!$E$4:$E$81,MATCH($E3508,科目表!$B$4:$B$81,0)),""))</f>
        <v/>
      </c>
      <c r="H3508" s="104"/>
      <c r="I3508" s="104"/>
      <c r="J3508" s="102"/>
      <c r="K3508" s="102"/>
      <c r="L3508" s="103"/>
      <c r="M3508" s="105"/>
      <c r="N3508" s="103"/>
      <c r="O3508" s="26" t="str">
        <f t="shared" si="167"/>
        <v/>
      </c>
      <c r="P3508" s="103"/>
    </row>
    <row r="3509" ht="18" customHeight="1" spans="1:16">
      <c r="A3509" s="32" t="str">
        <f t="shared" si="168"/>
        <v/>
      </c>
      <c r="B3509" s="101"/>
      <c r="C3509" s="102"/>
      <c r="D3509" s="103"/>
      <c r="E3509" s="102"/>
      <c r="F3509" s="25" t="str">
        <f>IF($E3509="","",IFERROR(INDEX(科目表!$A$4:$A$81,MATCH($E3509,科目表!$B$4:$B$81,0)),""))</f>
        <v/>
      </c>
      <c r="G3509" s="26" t="str">
        <f>IF($E3509="","",IFERROR(INDEX(科目表!$E$4:$E$81,MATCH($E3509,科目表!$B$4:$B$81,0)),""))</f>
        <v/>
      </c>
      <c r="H3509" s="104"/>
      <c r="I3509" s="104"/>
      <c r="J3509" s="102"/>
      <c r="K3509" s="102"/>
      <c r="L3509" s="103"/>
      <c r="M3509" s="105"/>
      <c r="N3509" s="103"/>
      <c r="O3509" s="26" t="str">
        <f t="shared" si="167"/>
        <v/>
      </c>
      <c r="P3509" s="103"/>
    </row>
    <row r="3510" ht="18" customHeight="1" spans="1:16">
      <c r="A3510" s="32" t="str">
        <f t="shared" si="168"/>
        <v/>
      </c>
      <c r="B3510" s="101"/>
      <c r="C3510" s="102"/>
      <c r="D3510" s="103"/>
      <c r="E3510" s="102"/>
      <c r="F3510" s="25" t="str">
        <f>IF($E3510="","",IFERROR(INDEX(科目表!$A$4:$A$81,MATCH($E3510,科目表!$B$4:$B$81,0)),""))</f>
        <v/>
      </c>
      <c r="G3510" s="26" t="str">
        <f>IF($E3510="","",IFERROR(INDEX(科目表!$E$4:$E$81,MATCH($E3510,科目表!$B$4:$B$81,0)),""))</f>
        <v/>
      </c>
      <c r="H3510" s="104"/>
      <c r="I3510" s="104"/>
      <c r="J3510" s="102"/>
      <c r="K3510" s="102"/>
      <c r="L3510" s="103"/>
      <c r="M3510" s="105"/>
      <c r="N3510" s="103"/>
      <c r="O3510" s="26" t="str">
        <f t="shared" si="167"/>
        <v/>
      </c>
      <c r="P3510" s="103"/>
    </row>
    <row r="3511" ht="18" customHeight="1" spans="1:16">
      <c r="A3511" s="32" t="str">
        <f t="shared" si="168"/>
        <v/>
      </c>
      <c r="B3511" s="101"/>
      <c r="C3511" s="102"/>
      <c r="D3511" s="103"/>
      <c r="E3511" s="102"/>
      <c r="F3511" s="25" t="str">
        <f>IF($E3511="","",IFERROR(INDEX(科目表!$A$4:$A$81,MATCH($E3511,科目表!$B$4:$B$81,0)),""))</f>
        <v/>
      </c>
      <c r="G3511" s="26" t="str">
        <f>IF($E3511="","",IFERROR(INDEX(科目表!$E$4:$E$81,MATCH($E3511,科目表!$B$4:$B$81,0)),""))</f>
        <v/>
      </c>
      <c r="H3511" s="104"/>
      <c r="I3511" s="104"/>
      <c r="J3511" s="102"/>
      <c r="K3511" s="102"/>
      <c r="L3511" s="103"/>
      <c r="M3511" s="105"/>
      <c r="N3511" s="103"/>
      <c r="O3511" s="26" t="str">
        <f t="shared" si="167"/>
        <v/>
      </c>
      <c r="P3511" s="103"/>
    </row>
    <row r="3512" ht="18" customHeight="1" spans="1:16">
      <c r="A3512" s="32" t="str">
        <f t="shared" si="168"/>
        <v/>
      </c>
      <c r="B3512" s="101"/>
      <c r="C3512" s="102"/>
      <c r="D3512" s="103"/>
      <c r="E3512" s="102"/>
      <c r="F3512" s="25" t="str">
        <f>IF($E3512="","",IFERROR(INDEX(科目表!$A$4:$A$81,MATCH($E3512,科目表!$B$4:$B$81,0)),""))</f>
        <v/>
      </c>
      <c r="G3512" s="26" t="str">
        <f>IF($E3512="","",IFERROR(INDEX(科目表!$E$4:$E$81,MATCH($E3512,科目表!$B$4:$B$81,0)),""))</f>
        <v/>
      </c>
      <c r="H3512" s="104"/>
      <c r="I3512" s="104"/>
      <c r="J3512" s="102"/>
      <c r="K3512" s="102"/>
      <c r="L3512" s="103"/>
      <c r="M3512" s="105"/>
      <c r="N3512" s="103"/>
      <c r="O3512" s="26" t="str">
        <f t="shared" si="167"/>
        <v/>
      </c>
      <c r="P3512" s="103"/>
    </row>
    <row r="3513" ht="18" customHeight="1" spans="1:16">
      <c r="A3513" s="32" t="str">
        <f t="shared" si="168"/>
        <v/>
      </c>
      <c r="B3513" s="101"/>
      <c r="C3513" s="102"/>
      <c r="D3513" s="103"/>
      <c r="E3513" s="102"/>
      <c r="F3513" s="25" t="str">
        <f>IF($E3513="","",IFERROR(INDEX(科目表!$A$4:$A$81,MATCH($E3513,科目表!$B$4:$B$81,0)),""))</f>
        <v/>
      </c>
      <c r="G3513" s="26" t="str">
        <f>IF($E3513="","",IFERROR(INDEX(科目表!$E$4:$E$81,MATCH($E3513,科目表!$B$4:$B$81,0)),""))</f>
        <v/>
      </c>
      <c r="H3513" s="104"/>
      <c r="I3513" s="104"/>
      <c r="J3513" s="102"/>
      <c r="K3513" s="102"/>
      <c r="L3513" s="103"/>
      <c r="M3513" s="105"/>
      <c r="N3513" s="103"/>
      <c r="O3513" s="26" t="str">
        <f t="shared" si="167"/>
        <v/>
      </c>
      <c r="P3513" s="103"/>
    </row>
    <row r="3514" ht="18" customHeight="1" spans="1:16">
      <c r="A3514" s="32" t="str">
        <f t="shared" si="168"/>
        <v/>
      </c>
      <c r="B3514" s="101"/>
      <c r="C3514" s="102"/>
      <c r="D3514" s="103"/>
      <c r="E3514" s="102"/>
      <c r="F3514" s="25" t="str">
        <f>IF($E3514="","",IFERROR(INDEX(科目表!$A$4:$A$81,MATCH($E3514,科目表!$B$4:$B$81,0)),""))</f>
        <v/>
      </c>
      <c r="G3514" s="26" t="str">
        <f>IF($E3514="","",IFERROR(INDEX(科目表!$E$4:$E$81,MATCH($E3514,科目表!$B$4:$B$81,0)),""))</f>
        <v/>
      </c>
      <c r="H3514" s="104"/>
      <c r="I3514" s="104"/>
      <c r="J3514" s="102"/>
      <c r="K3514" s="102"/>
      <c r="L3514" s="103"/>
      <c r="M3514" s="105"/>
      <c r="N3514" s="103"/>
      <c r="O3514" s="26" t="str">
        <f t="shared" si="167"/>
        <v/>
      </c>
      <c r="P3514" s="103"/>
    </row>
    <row r="3515" ht="18" customHeight="1" spans="1:16">
      <c r="A3515" s="32" t="str">
        <f t="shared" si="168"/>
        <v/>
      </c>
      <c r="B3515" s="101"/>
      <c r="C3515" s="102"/>
      <c r="D3515" s="103"/>
      <c r="E3515" s="102"/>
      <c r="F3515" s="25" t="str">
        <f>IF($E3515="","",IFERROR(INDEX(科目表!$A$4:$A$81,MATCH($E3515,科目表!$B$4:$B$81,0)),""))</f>
        <v/>
      </c>
      <c r="G3515" s="26" t="str">
        <f>IF($E3515="","",IFERROR(INDEX(科目表!$E$4:$E$81,MATCH($E3515,科目表!$B$4:$B$81,0)),""))</f>
        <v/>
      </c>
      <c r="H3515" s="104"/>
      <c r="I3515" s="104"/>
      <c r="J3515" s="102"/>
      <c r="K3515" s="102"/>
      <c r="L3515" s="103"/>
      <c r="M3515" s="105"/>
      <c r="N3515" s="103"/>
      <c r="O3515" s="26" t="str">
        <f t="shared" si="167"/>
        <v/>
      </c>
      <c r="P3515" s="103"/>
    </row>
    <row r="3516" ht="18" customHeight="1" spans="1:16">
      <c r="A3516" s="32" t="str">
        <f t="shared" si="168"/>
        <v/>
      </c>
      <c r="B3516" s="101"/>
      <c r="C3516" s="102"/>
      <c r="D3516" s="103"/>
      <c r="E3516" s="102"/>
      <c r="F3516" s="25" t="str">
        <f>IF($E3516="","",IFERROR(INDEX(科目表!$A$4:$A$81,MATCH($E3516,科目表!$B$4:$B$81,0)),""))</f>
        <v/>
      </c>
      <c r="G3516" s="26" t="str">
        <f>IF($E3516="","",IFERROR(INDEX(科目表!$E$4:$E$81,MATCH($E3516,科目表!$B$4:$B$81,0)),""))</f>
        <v/>
      </c>
      <c r="H3516" s="104"/>
      <c r="I3516" s="104"/>
      <c r="J3516" s="102"/>
      <c r="K3516" s="102"/>
      <c r="L3516" s="103"/>
      <c r="M3516" s="105"/>
      <c r="N3516" s="103"/>
      <c r="O3516" s="26" t="str">
        <f t="shared" si="167"/>
        <v/>
      </c>
      <c r="P3516" s="103"/>
    </row>
    <row r="3517" ht="18" customHeight="1" spans="1:16">
      <c r="A3517" s="32" t="str">
        <f t="shared" si="168"/>
        <v/>
      </c>
      <c r="B3517" s="101"/>
      <c r="C3517" s="102"/>
      <c r="D3517" s="103"/>
      <c r="E3517" s="102"/>
      <c r="F3517" s="25" t="str">
        <f>IF($E3517="","",IFERROR(INDEX(科目表!$A$4:$A$81,MATCH($E3517,科目表!$B$4:$B$81,0)),""))</f>
        <v/>
      </c>
      <c r="G3517" s="26" t="str">
        <f>IF($E3517="","",IFERROR(INDEX(科目表!$E$4:$E$81,MATCH($E3517,科目表!$B$4:$B$81,0)),""))</f>
        <v/>
      </c>
      <c r="H3517" s="104"/>
      <c r="I3517" s="104"/>
      <c r="J3517" s="102"/>
      <c r="K3517" s="102"/>
      <c r="L3517" s="103"/>
      <c r="M3517" s="105"/>
      <c r="N3517" s="103"/>
      <c r="O3517" s="26" t="str">
        <f t="shared" si="167"/>
        <v/>
      </c>
      <c r="P3517" s="103"/>
    </row>
    <row r="3518" ht="18" customHeight="1" spans="1:16">
      <c r="A3518" s="32" t="str">
        <f t="shared" si="168"/>
        <v/>
      </c>
      <c r="B3518" s="101"/>
      <c r="C3518" s="102"/>
      <c r="D3518" s="103"/>
      <c r="E3518" s="102"/>
      <c r="F3518" s="25" t="str">
        <f>IF($E3518="","",IFERROR(INDEX(科目表!$A$4:$A$81,MATCH($E3518,科目表!$B$4:$B$81,0)),""))</f>
        <v/>
      </c>
      <c r="G3518" s="26" t="str">
        <f>IF($E3518="","",IFERROR(INDEX(科目表!$E$4:$E$81,MATCH($E3518,科目表!$B$4:$B$81,0)),""))</f>
        <v/>
      </c>
      <c r="H3518" s="104"/>
      <c r="I3518" s="104"/>
      <c r="J3518" s="102"/>
      <c r="K3518" s="102"/>
      <c r="L3518" s="103"/>
      <c r="M3518" s="105"/>
      <c r="N3518" s="103"/>
      <c r="O3518" s="26" t="str">
        <f t="shared" si="167"/>
        <v/>
      </c>
      <c r="P3518" s="103"/>
    </row>
    <row r="3519" ht="18" customHeight="1" spans="1:16">
      <c r="A3519" s="32" t="str">
        <f t="shared" si="168"/>
        <v/>
      </c>
      <c r="B3519" s="101"/>
      <c r="C3519" s="102"/>
      <c r="D3519" s="103"/>
      <c r="E3519" s="102"/>
      <c r="F3519" s="25" t="str">
        <f>IF($E3519="","",IFERROR(INDEX(科目表!$A$4:$A$81,MATCH($E3519,科目表!$B$4:$B$81,0)),""))</f>
        <v/>
      </c>
      <c r="G3519" s="26" t="str">
        <f>IF($E3519="","",IFERROR(INDEX(科目表!$E$4:$E$81,MATCH($E3519,科目表!$B$4:$B$81,0)),""))</f>
        <v/>
      </c>
      <c r="H3519" s="104"/>
      <c r="I3519" s="104"/>
      <c r="J3519" s="102"/>
      <c r="K3519" s="102"/>
      <c r="L3519" s="103"/>
      <c r="M3519" s="105"/>
      <c r="N3519" s="103"/>
      <c r="O3519" s="26" t="str">
        <f t="shared" si="167"/>
        <v/>
      </c>
      <c r="P3519" s="103"/>
    </row>
    <row r="3520" ht="18" customHeight="1" spans="1:16">
      <c r="A3520" s="32" t="str">
        <f t="shared" si="168"/>
        <v/>
      </c>
      <c r="B3520" s="101"/>
      <c r="C3520" s="102"/>
      <c r="D3520" s="103"/>
      <c r="E3520" s="102"/>
      <c r="F3520" s="25" t="str">
        <f>IF($E3520="","",IFERROR(INDEX(科目表!$A$4:$A$81,MATCH($E3520,科目表!$B$4:$B$81,0)),""))</f>
        <v/>
      </c>
      <c r="G3520" s="26" t="str">
        <f>IF($E3520="","",IFERROR(INDEX(科目表!$E$4:$E$81,MATCH($E3520,科目表!$B$4:$B$81,0)),""))</f>
        <v/>
      </c>
      <c r="H3520" s="104"/>
      <c r="I3520" s="104"/>
      <c r="J3520" s="102"/>
      <c r="K3520" s="102"/>
      <c r="L3520" s="103"/>
      <c r="M3520" s="105"/>
      <c r="N3520" s="103"/>
      <c r="O3520" s="26" t="str">
        <f t="shared" si="167"/>
        <v/>
      </c>
      <c r="P3520" s="103"/>
    </row>
    <row r="3521" ht="18" customHeight="1" spans="1:16">
      <c r="A3521" s="32" t="str">
        <f t="shared" si="168"/>
        <v/>
      </c>
      <c r="B3521" s="101"/>
      <c r="C3521" s="102"/>
      <c r="D3521" s="103"/>
      <c r="E3521" s="102"/>
      <c r="F3521" s="25" t="str">
        <f>IF($E3521="","",IFERROR(INDEX(科目表!$A$4:$A$81,MATCH($E3521,科目表!$B$4:$B$81,0)),""))</f>
        <v/>
      </c>
      <c r="G3521" s="26" t="str">
        <f>IF($E3521="","",IFERROR(INDEX(科目表!$E$4:$E$81,MATCH($E3521,科目表!$B$4:$B$81,0)),""))</f>
        <v/>
      </c>
      <c r="H3521" s="104"/>
      <c r="I3521" s="104"/>
      <c r="J3521" s="102"/>
      <c r="K3521" s="102"/>
      <c r="L3521" s="103"/>
      <c r="M3521" s="105"/>
      <c r="N3521" s="103"/>
      <c r="O3521" s="26" t="str">
        <f t="shared" si="167"/>
        <v/>
      </c>
      <c r="P3521" s="103"/>
    </row>
    <row r="3522" ht="18" customHeight="1" spans="1:16">
      <c r="A3522" s="32" t="str">
        <f t="shared" si="168"/>
        <v/>
      </c>
      <c r="B3522" s="101"/>
      <c r="C3522" s="102"/>
      <c r="D3522" s="103"/>
      <c r="E3522" s="102"/>
      <c r="F3522" s="25" t="str">
        <f>IF($E3522="","",IFERROR(INDEX(科目表!$A$4:$A$81,MATCH($E3522,科目表!$B$4:$B$81,0)),""))</f>
        <v/>
      </c>
      <c r="G3522" s="26" t="str">
        <f>IF($E3522="","",IFERROR(INDEX(科目表!$E$4:$E$81,MATCH($E3522,科目表!$B$4:$B$81,0)),""))</f>
        <v/>
      </c>
      <c r="H3522" s="104"/>
      <c r="I3522" s="104"/>
      <c r="J3522" s="102"/>
      <c r="K3522" s="102"/>
      <c r="L3522" s="103"/>
      <c r="M3522" s="105"/>
      <c r="N3522" s="103"/>
      <c r="O3522" s="26" t="str">
        <f t="shared" ref="O3522:O3585" si="169">IF($E3522="","","手工")</f>
        <v/>
      </c>
      <c r="P3522" s="103"/>
    </row>
    <row r="3523" ht="18" customHeight="1" spans="1:16">
      <c r="A3523" s="32" t="str">
        <f t="shared" si="168"/>
        <v/>
      </c>
      <c r="B3523" s="101"/>
      <c r="C3523" s="102"/>
      <c r="D3523" s="103"/>
      <c r="E3523" s="102"/>
      <c r="F3523" s="25" t="str">
        <f>IF($E3523="","",IFERROR(INDEX(科目表!$A$4:$A$81,MATCH($E3523,科目表!$B$4:$B$81,0)),""))</f>
        <v/>
      </c>
      <c r="G3523" s="26" t="str">
        <f>IF($E3523="","",IFERROR(INDEX(科目表!$E$4:$E$81,MATCH($E3523,科目表!$B$4:$B$81,0)),""))</f>
        <v/>
      </c>
      <c r="H3523" s="104"/>
      <c r="I3523" s="104"/>
      <c r="J3523" s="102"/>
      <c r="K3523" s="102"/>
      <c r="L3523" s="103"/>
      <c r="M3523" s="105"/>
      <c r="N3523" s="103"/>
      <c r="O3523" s="26" t="str">
        <f t="shared" si="169"/>
        <v/>
      </c>
      <c r="P3523" s="103"/>
    </row>
    <row r="3524" ht="18" customHeight="1" spans="1:16">
      <c r="A3524" s="32" t="str">
        <f t="shared" ref="A3524:A3587" si="170">IF($E3524="","",ROW()-3)</f>
        <v/>
      </c>
      <c r="B3524" s="101"/>
      <c r="C3524" s="102"/>
      <c r="D3524" s="103"/>
      <c r="E3524" s="102"/>
      <c r="F3524" s="25" t="str">
        <f>IF($E3524="","",IFERROR(INDEX(科目表!$A$4:$A$81,MATCH($E3524,科目表!$B$4:$B$81,0)),""))</f>
        <v/>
      </c>
      <c r="G3524" s="26" t="str">
        <f>IF($E3524="","",IFERROR(INDEX(科目表!$E$4:$E$81,MATCH($E3524,科目表!$B$4:$B$81,0)),""))</f>
        <v/>
      </c>
      <c r="H3524" s="104"/>
      <c r="I3524" s="104"/>
      <c r="J3524" s="102"/>
      <c r="K3524" s="102"/>
      <c r="L3524" s="103"/>
      <c r="M3524" s="105"/>
      <c r="N3524" s="103"/>
      <c r="O3524" s="26" t="str">
        <f t="shared" si="169"/>
        <v/>
      </c>
      <c r="P3524" s="103"/>
    </row>
    <row r="3525" ht="18" customHeight="1" spans="1:16">
      <c r="A3525" s="32" t="str">
        <f t="shared" si="170"/>
        <v/>
      </c>
      <c r="B3525" s="101"/>
      <c r="C3525" s="102"/>
      <c r="D3525" s="103"/>
      <c r="E3525" s="102"/>
      <c r="F3525" s="25" t="str">
        <f>IF($E3525="","",IFERROR(INDEX(科目表!$A$4:$A$81,MATCH($E3525,科目表!$B$4:$B$81,0)),""))</f>
        <v/>
      </c>
      <c r="G3525" s="26" t="str">
        <f>IF($E3525="","",IFERROR(INDEX(科目表!$E$4:$E$81,MATCH($E3525,科目表!$B$4:$B$81,0)),""))</f>
        <v/>
      </c>
      <c r="H3525" s="104"/>
      <c r="I3525" s="104"/>
      <c r="J3525" s="102"/>
      <c r="K3525" s="102"/>
      <c r="L3525" s="103"/>
      <c r="M3525" s="105"/>
      <c r="N3525" s="103"/>
      <c r="O3525" s="26" t="str">
        <f t="shared" si="169"/>
        <v/>
      </c>
      <c r="P3525" s="103"/>
    </row>
    <row r="3526" ht="18" customHeight="1" spans="1:16">
      <c r="A3526" s="32" t="str">
        <f t="shared" si="170"/>
        <v/>
      </c>
      <c r="B3526" s="101"/>
      <c r="C3526" s="102"/>
      <c r="D3526" s="103"/>
      <c r="E3526" s="102"/>
      <c r="F3526" s="25" t="str">
        <f>IF($E3526="","",IFERROR(INDEX(科目表!$A$4:$A$81,MATCH($E3526,科目表!$B$4:$B$81,0)),""))</f>
        <v/>
      </c>
      <c r="G3526" s="26" t="str">
        <f>IF($E3526="","",IFERROR(INDEX(科目表!$E$4:$E$81,MATCH($E3526,科目表!$B$4:$B$81,0)),""))</f>
        <v/>
      </c>
      <c r="H3526" s="104"/>
      <c r="I3526" s="104"/>
      <c r="J3526" s="102"/>
      <c r="K3526" s="102"/>
      <c r="L3526" s="103"/>
      <c r="M3526" s="105"/>
      <c r="N3526" s="103"/>
      <c r="O3526" s="26" t="str">
        <f t="shared" si="169"/>
        <v/>
      </c>
      <c r="P3526" s="103"/>
    </row>
    <row r="3527" ht="18" customHeight="1" spans="1:16">
      <c r="A3527" s="32" t="str">
        <f t="shared" si="170"/>
        <v/>
      </c>
      <c r="B3527" s="101"/>
      <c r="C3527" s="102"/>
      <c r="D3527" s="103"/>
      <c r="E3527" s="102"/>
      <c r="F3527" s="25" t="str">
        <f>IF($E3527="","",IFERROR(INDEX(科目表!$A$4:$A$81,MATCH($E3527,科目表!$B$4:$B$81,0)),""))</f>
        <v/>
      </c>
      <c r="G3527" s="26" t="str">
        <f>IF($E3527="","",IFERROR(INDEX(科目表!$E$4:$E$81,MATCH($E3527,科目表!$B$4:$B$81,0)),""))</f>
        <v/>
      </c>
      <c r="H3527" s="104"/>
      <c r="I3527" s="104"/>
      <c r="J3527" s="102"/>
      <c r="K3527" s="102"/>
      <c r="L3527" s="103"/>
      <c r="M3527" s="105"/>
      <c r="N3527" s="103"/>
      <c r="O3527" s="26" t="str">
        <f t="shared" si="169"/>
        <v/>
      </c>
      <c r="P3527" s="103"/>
    </row>
    <row r="3528" ht="18" customHeight="1" spans="1:16">
      <c r="A3528" s="32" t="str">
        <f t="shared" si="170"/>
        <v/>
      </c>
      <c r="B3528" s="101"/>
      <c r="C3528" s="102"/>
      <c r="D3528" s="103"/>
      <c r="E3528" s="102"/>
      <c r="F3528" s="25" t="str">
        <f>IF($E3528="","",IFERROR(INDEX(科目表!$A$4:$A$81,MATCH($E3528,科目表!$B$4:$B$81,0)),""))</f>
        <v/>
      </c>
      <c r="G3528" s="26" t="str">
        <f>IF($E3528="","",IFERROR(INDEX(科目表!$E$4:$E$81,MATCH($E3528,科目表!$B$4:$B$81,0)),""))</f>
        <v/>
      </c>
      <c r="H3528" s="104"/>
      <c r="I3528" s="104"/>
      <c r="J3528" s="102"/>
      <c r="K3528" s="102"/>
      <c r="L3528" s="103"/>
      <c r="M3528" s="105"/>
      <c r="N3528" s="103"/>
      <c r="O3528" s="26" t="str">
        <f t="shared" si="169"/>
        <v/>
      </c>
      <c r="P3528" s="103"/>
    </row>
    <row r="3529" ht="18" customHeight="1" spans="1:16">
      <c r="A3529" s="32" t="str">
        <f t="shared" si="170"/>
        <v/>
      </c>
      <c r="B3529" s="101"/>
      <c r="C3529" s="102"/>
      <c r="D3529" s="103"/>
      <c r="E3529" s="102"/>
      <c r="F3529" s="25" t="str">
        <f>IF($E3529="","",IFERROR(INDEX(科目表!$A$4:$A$81,MATCH($E3529,科目表!$B$4:$B$81,0)),""))</f>
        <v/>
      </c>
      <c r="G3529" s="26" t="str">
        <f>IF($E3529="","",IFERROR(INDEX(科目表!$E$4:$E$81,MATCH($E3529,科目表!$B$4:$B$81,0)),""))</f>
        <v/>
      </c>
      <c r="H3529" s="104"/>
      <c r="I3529" s="104"/>
      <c r="J3529" s="102"/>
      <c r="K3529" s="102"/>
      <c r="L3529" s="103"/>
      <c r="M3529" s="105"/>
      <c r="N3529" s="103"/>
      <c r="O3529" s="26" t="str">
        <f t="shared" si="169"/>
        <v/>
      </c>
      <c r="P3529" s="103"/>
    </row>
    <row r="3530" ht="18" customHeight="1" spans="1:16">
      <c r="A3530" s="32" t="str">
        <f t="shared" si="170"/>
        <v/>
      </c>
      <c r="B3530" s="101"/>
      <c r="C3530" s="102"/>
      <c r="D3530" s="103"/>
      <c r="E3530" s="102"/>
      <c r="F3530" s="25" t="str">
        <f>IF($E3530="","",IFERROR(INDEX(科目表!$A$4:$A$81,MATCH($E3530,科目表!$B$4:$B$81,0)),""))</f>
        <v/>
      </c>
      <c r="G3530" s="26" t="str">
        <f>IF($E3530="","",IFERROR(INDEX(科目表!$E$4:$E$81,MATCH($E3530,科目表!$B$4:$B$81,0)),""))</f>
        <v/>
      </c>
      <c r="H3530" s="104"/>
      <c r="I3530" s="104"/>
      <c r="J3530" s="102"/>
      <c r="K3530" s="102"/>
      <c r="L3530" s="103"/>
      <c r="M3530" s="105"/>
      <c r="N3530" s="103"/>
      <c r="O3530" s="26" t="str">
        <f t="shared" si="169"/>
        <v/>
      </c>
      <c r="P3530" s="103"/>
    </row>
    <row r="3531" ht="18" customHeight="1" spans="1:16">
      <c r="A3531" s="32" t="str">
        <f t="shared" si="170"/>
        <v/>
      </c>
      <c r="B3531" s="101"/>
      <c r="C3531" s="102"/>
      <c r="D3531" s="103"/>
      <c r="E3531" s="102"/>
      <c r="F3531" s="25" t="str">
        <f>IF($E3531="","",IFERROR(INDEX(科目表!$A$4:$A$81,MATCH($E3531,科目表!$B$4:$B$81,0)),""))</f>
        <v/>
      </c>
      <c r="G3531" s="26" t="str">
        <f>IF($E3531="","",IFERROR(INDEX(科目表!$E$4:$E$81,MATCH($E3531,科目表!$B$4:$B$81,0)),""))</f>
        <v/>
      </c>
      <c r="H3531" s="104"/>
      <c r="I3531" s="104"/>
      <c r="J3531" s="102"/>
      <c r="K3531" s="102"/>
      <c r="L3531" s="103"/>
      <c r="M3531" s="105"/>
      <c r="N3531" s="103"/>
      <c r="O3531" s="26" t="str">
        <f t="shared" si="169"/>
        <v/>
      </c>
      <c r="P3531" s="103"/>
    </row>
    <row r="3532" ht="18" customHeight="1" spans="1:16">
      <c r="A3532" s="32" t="str">
        <f t="shared" si="170"/>
        <v/>
      </c>
      <c r="B3532" s="101"/>
      <c r="C3532" s="102"/>
      <c r="D3532" s="103"/>
      <c r="E3532" s="102"/>
      <c r="F3532" s="25" t="str">
        <f>IF($E3532="","",IFERROR(INDEX(科目表!$A$4:$A$81,MATCH($E3532,科目表!$B$4:$B$81,0)),""))</f>
        <v/>
      </c>
      <c r="G3532" s="26" t="str">
        <f>IF($E3532="","",IFERROR(INDEX(科目表!$E$4:$E$81,MATCH($E3532,科目表!$B$4:$B$81,0)),""))</f>
        <v/>
      </c>
      <c r="H3532" s="104"/>
      <c r="I3532" s="104"/>
      <c r="J3532" s="102"/>
      <c r="K3532" s="102"/>
      <c r="L3532" s="103"/>
      <c r="M3532" s="105"/>
      <c r="N3532" s="103"/>
      <c r="O3532" s="26" t="str">
        <f t="shared" si="169"/>
        <v/>
      </c>
      <c r="P3532" s="103"/>
    </row>
    <row r="3533" ht="18" customHeight="1" spans="1:16">
      <c r="A3533" s="32" t="str">
        <f t="shared" si="170"/>
        <v/>
      </c>
      <c r="B3533" s="101"/>
      <c r="C3533" s="102"/>
      <c r="D3533" s="103"/>
      <c r="E3533" s="102"/>
      <c r="F3533" s="25" t="str">
        <f>IF($E3533="","",IFERROR(INDEX(科目表!$A$4:$A$81,MATCH($E3533,科目表!$B$4:$B$81,0)),""))</f>
        <v/>
      </c>
      <c r="G3533" s="26" t="str">
        <f>IF($E3533="","",IFERROR(INDEX(科目表!$E$4:$E$81,MATCH($E3533,科目表!$B$4:$B$81,0)),""))</f>
        <v/>
      </c>
      <c r="H3533" s="104"/>
      <c r="I3533" s="104"/>
      <c r="J3533" s="102"/>
      <c r="K3533" s="102"/>
      <c r="L3533" s="103"/>
      <c r="M3533" s="105"/>
      <c r="N3533" s="103"/>
      <c r="O3533" s="26" t="str">
        <f t="shared" si="169"/>
        <v/>
      </c>
      <c r="P3533" s="103"/>
    </row>
    <row r="3534" ht="18" customHeight="1" spans="1:16">
      <c r="A3534" s="32" t="str">
        <f t="shared" si="170"/>
        <v/>
      </c>
      <c r="B3534" s="101"/>
      <c r="C3534" s="102"/>
      <c r="D3534" s="103"/>
      <c r="E3534" s="102"/>
      <c r="F3534" s="25" t="str">
        <f>IF($E3534="","",IFERROR(INDEX(科目表!$A$4:$A$81,MATCH($E3534,科目表!$B$4:$B$81,0)),""))</f>
        <v/>
      </c>
      <c r="G3534" s="26" t="str">
        <f>IF($E3534="","",IFERROR(INDEX(科目表!$E$4:$E$81,MATCH($E3534,科目表!$B$4:$B$81,0)),""))</f>
        <v/>
      </c>
      <c r="H3534" s="104"/>
      <c r="I3534" s="104"/>
      <c r="J3534" s="102"/>
      <c r="K3534" s="102"/>
      <c r="L3534" s="103"/>
      <c r="M3534" s="105"/>
      <c r="N3534" s="103"/>
      <c r="O3534" s="26" t="str">
        <f t="shared" si="169"/>
        <v/>
      </c>
      <c r="P3534" s="103"/>
    </row>
    <row r="3535" ht="18" customHeight="1" spans="1:16">
      <c r="A3535" s="32" t="str">
        <f t="shared" si="170"/>
        <v/>
      </c>
      <c r="B3535" s="101"/>
      <c r="C3535" s="102"/>
      <c r="D3535" s="103"/>
      <c r="E3535" s="102"/>
      <c r="F3535" s="25" t="str">
        <f>IF($E3535="","",IFERROR(INDEX(科目表!$A$4:$A$81,MATCH($E3535,科目表!$B$4:$B$81,0)),""))</f>
        <v/>
      </c>
      <c r="G3535" s="26" t="str">
        <f>IF($E3535="","",IFERROR(INDEX(科目表!$E$4:$E$81,MATCH($E3535,科目表!$B$4:$B$81,0)),""))</f>
        <v/>
      </c>
      <c r="H3535" s="104"/>
      <c r="I3535" s="104"/>
      <c r="J3535" s="102"/>
      <c r="K3535" s="102"/>
      <c r="L3535" s="103"/>
      <c r="M3535" s="105"/>
      <c r="N3535" s="103"/>
      <c r="O3535" s="26" t="str">
        <f t="shared" si="169"/>
        <v/>
      </c>
      <c r="P3535" s="103"/>
    </row>
    <row r="3536" ht="18" customHeight="1" spans="1:16">
      <c r="A3536" s="32" t="str">
        <f t="shared" si="170"/>
        <v/>
      </c>
      <c r="B3536" s="101"/>
      <c r="C3536" s="102"/>
      <c r="D3536" s="103"/>
      <c r="E3536" s="102"/>
      <c r="F3536" s="25" t="str">
        <f>IF($E3536="","",IFERROR(INDEX(科目表!$A$4:$A$81,MATCH($E3536,科目表!$B$4:$B$81,0)),""))</f>
        <v/>
      </c>
      <c r="G3536" s="26" t="str">
        <f>IF($E3536="","",IFERROR(INDEX(科目表!$E$4:$E$81,MATCH($E3536,科目表!$B$4:$B$81,0)),""))</f>
        <v/>
      </c>
      <c r="H3536" s="104"/>
      <c r="I3536" s="104"/>
      <c r="J3536" s="102"/>
      <c r="K3536" s="102"/>
      <c r="L3536" s="103"/>
      <c r="M3536" s="105"/>
      <c r="N3536" s="103"/>
      <c r="O3536" s="26" t="str">
        <f t="shared" si="169"/>
        <v/>
      </c>
      <c r="P3536" s="103"/>
    </row>
    <row r="3537" ht="18" customHeight="1" spans="1:16">
      <c r="A3537" s="32" t="str">
        <f t="shared" si="170"/>
        <v/>
      </c>
      <c r="B3537" s="101"/>
      <c r="C3537" s="102"/>
      <c r="D3537" s="103"/>
      <c r="E3537" s="102"/>
      <c r="F3537" s="25" t="str">
        <f>IF($E3537="","",IFERROR(INDEX(科目表!$A$4:$A$81,MATCH($E3537,科目表!$B$4:$B$81,0)),""))</f>
        <v/>
      </c>
      <c r="G3537" s="26" t="str">
        <f>IF($E3537="","",IFERROR(INDEX(科目表!$E$4:$E$81,MATCH($E3537,科目表!$B$4:$B$81,0)),""))</f>
        <v/>
      </c>
      <c r="H3537" s="104"/>
      <c r="I3537" s="104"/>
      <c r="J3537" s="102"/>
      <c r="K3537" s="102"/>
      <c r="L3537" s="103"/>
      <c r="M3537" s="105"/>
      <c r="N3537" s="103"/>
      <c r="O3537" s="26" t="str">
        <f t="shared" si="169"/>
        <v/>
      </c>
      <c r="P3537" s="103"/>
    </row>
    <row r="3538" ht="18" customHeight="1" spans="1:16">
      <c r="A3538" s="32" t="str">
        <f t="shared" si="170"/>
        <v/>
      </c>
      <c r="B3538" s="101"/>
      <c r="C3538" s="102"/>
      <c r="D3538" s="103"/>
      <c r="E3538" s="102"/>
      <c r="F3538" s="25" t="str">
        <f>IF($E3538="","",IFERROR(INDEX(科目表!$A$4:$A$81,MATCH($E3538,科目表!$B$4:$B$81,0)),""))</f>
        <v/>
      </c>
      <c r="G3538" s="26" t="str">
        <f>IF($E3538="","",IFERROR(INDEX(科目表!$E$4:$E$81,MATCH($E3538,科目表!$B$4:$B$81,0)),""))</f>
        <v/>
      </c>
      <c r="H3538" s="104"/>
      <c r="I3538" s="104"/>
      <c r="J3538" s="102"/>
      <c r="K3538" s="102"/>
      <c r="L3538" s="103"/>
      <c r="M3538" s="105"/>
      <c r="N3538" s="103"/>
      <c r="O3538" s="26" t="str">
        <f t="shared" si="169"/>
        <v/>
      </c>
      <c r="P3538" s="103"/>
    </row>
    <row r="3539" ht="18" customHeight="1" spans="1:16">
      <c r="A3539" s="32" t="str">
        <f t="shared" si="170"/>
        <v/>
      </c>
      <c r="B3539" s="101"/>
      <c r="C3539" s="102"/>
      <c r="D3539" s="103"/>
      <c r="E3539" s="102"/>
      <c r="F3539" s="25" t="str">
        <f>IF($E3539="","",IFERROR(INDEX(科目表!$A$4:$A$81,MATCH($E3539,科目表!$B$4:$B$81,0)),""))</f>
        <v/>
      </c>
      <c r="G3539" s="26" t="str">
        <f>IF($E3539="","",IFERROR(INDEX(科目表!$E$4:$E$81,MATCH($E3539,科目表!$B$4:$B$81,0)),""))</f>
        <v/>
      </c>
      <c r="H3539" s="104"/>
      <c r="I3539" s="104"/>
      <c r="J3539" s="102"/>
      <c r="K3539" s="102"/>
      <c r="L3539" s="103"/>
      <c r="M3539" s="105"/>
      <c r="N3539" s="103"/>
      <c r="O3539" s="26" t="str">
        <f t="shared" si="169"/>
        <v/>
      </c>
      <c r="P3539" s="103"/>
    </row>
    <row r="3540" ht="18" customHeight="1" spans="1:16">
      <c r="A3540" s="32" t="str">
        <f t="shared" si="170"/>
        <v/>
      </c>
      <c r="B3540" s="101"/>
      <c r="C3540" s="102"/>
      <c r="D3540" s="103"/>
      <c r="E3540" s="102"/>
      <c r="F3540" s="25" t="str">
        <f>IF($E3540="","",IFERROR(INDEX(科目表!$A$4:$A$81,MATCH($E3540,科目表!$B$4:$B$81,0)),""))</f>
        <v/>
      </c>
      <c r="G3540" s="26" t="str">
        <f>IF($E3540="","",IFERROR(INDEX(科目表!$E$4:$E$81,MATCH($E3540,科目表!$B$4:$B$81,0)),""))</f>
        <v/>
      </c>
      <c r="H3540" s="104"/>
      <c r="I3540" s="104"/>
      <c r="J3540" s="102"/>
      <c r="K3540" s="102"/>
      <c r="L3540" s="103"/>
      <c r="M3540" s="105"/>
      <c r="N3540" s="103"/>
      <c r="O3540" s="26" t="str">
        <f t="shared" si="169"/>
        <v/>
      </c>
      <c r="P3540" s="103"/>
    </row>
    <row r="3541" ht="18" customHeight="1" spans="1:16">
      <c r="A3541" s="32" t="str">
        <f t="shared" si="170"/>
        <v/>
      </c>
      <c r="B3541" s="101"/>
      <c r="C3541" s="102"/>
      <c r="D3541" s="103"/>
      <c r="E3541" s="102"/>
      <c r="F3541" s="25" t="str">
        <f>IF($E3541="","",IFERROR(INDEX(科目表!$A$4:$A$81,MATCH($E3541,科目表!$B$4:$B$81,0)),""))</f>
        <v/>
      </c>
      <c r="G3541" s="26" t="str">
        <f>IF($E3541="","",IFERROR(INDEX(科目表!$E$4:$E$81,MATCH($E3541,科目表!$B$4:$B$81,0)),""))</f>
        <v/>
      </c>
      <c r="H3541" s="104"/>
      <c r="I3541" s="104"/>
      <c r="J3541" s="102"/>
      <c r="K3541" s="102"/>
      <c r="L3541" s="103"/>
      <c r="M3541" s="105"/>
      <c r="N3541" s="103"/>
      <c r="O3541" s="26" t="str">
        <f t="shared" si="169"/>
        <v/>
      </c>
      <c r="P3541" s="103"/>
    </row>
    <row r="3542" ht="18" customHeight="1" spans="1:16">
      <c r="A3542" s="32" t="str">
        <f t="shared" si="170"/>
        <v/>
      </c>
      <c r="B3542" s="101"/>
      <c r="C3542" s="102"/>
      <c r="D3542" s="103"/>
      <c r="E3542" s="102"/>
      <c r="F3542" s="25" t="str">
        <f>IF($E3542="","",IFERROR(INDEX(科目表!$A$4:$A$81,MATCH($E3542,科目表!$B$4:$B$81,0)),""))</f>
        <v/>
      </c>
      <c r="G3542" s="26" t="str">
        <f>IF($E3542="","",IFERROR(INDEX(科目表!$E$4:$E$81,MATCH($E3542,科目表!$B$4:$B$81,0)),""))</f>
        <v/>
      </c>
      <c r="H3542" s="104"/>
      <c r="I3542" s="104"/>
      <c r="J3542" s="102"/>
      <c r="K3542" s="102"/>
      <c r="L3542" s="103"/>
      <c r="M3542" s="105"/>
      <c r="N3542" s="103"/>
      <c r="O3542" s="26" t="str">
        <f t="shared" si="169"/>
        <v/>
      </c>
      <c r="P3542" s="103"/>
    </row>
    <row r="3543" ht="18" customHeight="1" spans="1:16">
      <c r="A3543" s="32" t="str">
        <f t="shared" si="170"/>
        <v/>
      </c>
      <c r="B3543" s="101"/>
      <c r="C3543" s="102"/>
      <c r="D3543" s="103"/>
      <c r="E3543" s="102"/>
      <c r="F3543" s="25" t="str">
        <f>IF($E3543="","",IFERROR(INDEX(科目表!$A$4:$A$81,MATCH($E3543,科目表!$B$4:$B$81,0)),""))</f>
        <v/>
      </c>
      <c r="G3543" s="26" t="str">
        <f>IF($E3543="","",IFERROR(INDEX(科目表!$E$4:$E$81,MATCH($E3543,科目表!$B$4:$B$81,0)),""))</f>
        <v/>
      </c>
      <c r="H3543" s="104"/>
      <c r="I3543" s="104"/>
      <c r="J3543" s="102"/>
      <c r="K3543" s="102"/>
      <c r="L3543" s="103"/>
      <c r="M3543" s="105"/>
      <c r="N3543" s="103"/>
      <c r="O3543" s="26" t="str">
        <f t="shared" si="169"/>
        <v/>
      </c>
      <c r="P3543" s="103"/>
    </row>
    <row r="3544" ht="18" customHeight="1" spans="1:16">
      <c r="A3544" s="32" t="str">
        <f t="shared" si="170"/>
        <v/>
      </c>
      <c r="B3544" s="101"/>
      <c r="C3544" s="102"/>
      <c r="D3544" s="103"/>
      <c r="E3544" s="102"/>
      <c r="F3544" s="25" t="str">
        <f>IF($E3544="","",IFERROR(INDEX(科目表!$A$4:$A$81,MATCH($E3544,科目表!$B$4:$B$81,0)),""))</f>
        <v/>
      </c>
      <c r="G3544" s="26" t="str">
        <f>IF($E3544="","",IFERROR(INDEX(科目表!$E$4:$E$81,MATCH($E3544,科目表!$B$4:$B$81,0)),""))</f>
        <v/>
      </c>
      <c r="H3544" s="104"/>
      <c r="I3544" s="104"/>
      <c r="J3544" s="102"/>
      <c r="K3544" s="102"/>
      <c r="L3544" s="103"/>
      <c r="M3544" s="105"/>
      <c r="N3544" s="103"/>
      <c r="O3544" s="26" t="str">
        <f t="shared" si="169"/>
        <v/>
      </c>
      <c r="P3544" s="103"/>
    </row>
    <row r="3545" ht="18" customHeight="1" spans="1:16">
      <c r="A3545" s="32" t="str">
        <f t="shared" si="170"/>
        <v/>
      </c>
      <c r="B3545" s="101"/>
      <c r="C3545" s="102"/>
      <c r="D3545" s="103"/>
      <c r="E3545" s="102"/>
      <c r="F3545" s="25" t="str">
        <f>IF($E3545="","",IFERROR(INDEX(科目表!$A$4:$A$81,MATCH($E3545,科目表!$B$4:$B$81,0)),""))</f>
        <v/>
      </c>
      <c r="G3545" s="26" t="str">
        <f>IF($E3545="","",IFERROR(INDEX(科目表!$E$4:$E$81,MATCH($E3545,科目表!$B$4:$B$81,0)),""))</f>
        <v/>
      </c>
      <c r="H3545" s="104"/>
      <c r="I3545" s="104"/>
      <c r="J3545" s="102"/>
      <c r="K3545" s="102"/>
      <c r="L3545" s="103"/>
      <c r="M3545" s="105"/>
      <c r="N3545" s="103"/>
      <c r="O3545" s="26" t="str">
        <f t="shared" si="169"/>
        <v/>
      </c>
      <c r="P3545" s="103"/>
    </row>
    <row r="3546" ht="18" customHeight="1" spans="1:16">
      <c r="A3546" s="32" t="str">
        <f t="shared" si="170"/>
        <v/>
      </c>
      <c r="B3546" s="101"/>
      <c r="C3546" s="102"/>
      <c r="D3546" s="103"/>
      <c r="E3546" s="102"/>
      <c r="F3546" s="25" t="str">
        <f>IF($E3546="","",IFERROR(INDEX(科目表!$A$4:$A$81,MATCH($E3546,科目表!$B$4:$B$81,0)),""))</f>
        <v/>
      </c>
      <c r="G3546" s="26" t="str">
        <f>IF($E3546="","",IFERROR(INDEX(科目表!$E$4:$E$81,MATCH($E3546,科目表!$B$4:$B$81,0)),""))</f>
        <v/>
      </c>
      <c r="H3546" s="104"/>
      <c r="I3546" s="104"/>
      <c r="J3546" s="102"/>
      <c r="K3546" s="102"/>
      <c r="L3546" s="103"/>
      <c r="M3546" s="105"/>
      <c r="N3546" s="103"/>
      <c r="O3546" s="26" t="str">
        <f t="shared" si="169"/>
        <v/>
      </c>
      <c r="P3546" s="103"/>
    </row>
    <row r="3547" ht="18" customHeight="1" spans="1:16">
      <c r="A3547" s="32" t="str">
        <f t="shared" si="170"/>
        <v/>
      </c>
      <c r="B3547" s="101"/>
      <c r="C3547" s="102"/>
      <c r="D3547" s="103"/>
      <c r="E3547" s="102"/>
      <c r="F3547" s="25" t="str">
        <f>IF($E3547="","",IFERROR(INDEX(科目表!$A$4:$A$81,MATCH($E3547,科目表!$B$4:$B$81,0)),""))</f>
        <v/>
      </c>
      <c r="G3547" s="26" t="str">
        <f>IF($E3547="","",IFERROR(INDEX(科目表!$E$4:$E$81,MATCH($E3547,科目表!$B$4:$B$81,0)),""))</f>
        <v/>
      </c>
      <c r="H3547" s="104"/>
      <c r="I3547" s="104"/>
      <c r="J3547" s="102"/>
      <c r="K3547" s="102"/>
      <c r="L3547" s="103"/>
      <c r="M3547" s="105"/>
      <c r="N3547" s="103"/>
      <c r="O3547" s="26" t="str">
        <f t="shared" si="169"/>
        <v/>
      </c>
      <c r="P3547" s="103"/>
    </row>
    <row r="3548" ht="18" customHeight="1" spans="1:16">
      <c r="A3548" s="32" t="str">
        <f t="shared" si="170"/>
        <v/>
      </c>
      <c r="B3548" s="101"/>
      <c r="C3548" s="102"/>
      <c r="D3548" s="103"/>
      <c r="E3548" s="102"/>
      <c r="F3548" s="25" t="str">
        <f>IF($E3548="","",IFERROR(INDEX(科目表!$A$4:$A$81,MATCH($E3548,科目表!$B$4:$B$81,0)),""))</f>
        <v/>
      </c>
      <c r="G3548" s="26" t="str">
        <f>IF($E3548="","",IFERROR(INDEX(科目表!$E$4:$E$81,MATCH($E3548,科目表!$B$4:$B$81,0)),""))</f>
        <v/>
      </c>
      <c r="H3548" s="104"/>
      <c r="I3548" s="104"/>
      <c r="J3548" s="102"/>
      <c r="K3548" s="102"/>
      <c r="L3548" s="103"/>
      <c r="M3548" s="105"/>
      <c r="N3548" s="103"/>
      <c r="O3548" s="26" t="str">
        <f t="shared" si="169"/>
        <v/>
      </c>
      <c r="P3548" s="103"/>
    </row>
    <row r="3549" ht="18" customHeight="1" spans="1:16">
      <c r="A3549" s="32" t="str">
        <f t="shared" si="170"/>
        <v/>
      </c>
      <c r="B3549" s="101"/>
      <c r="C3549" s="102"/>
      <c r="D3549" s="103"/>
      <c r="E3549" s="102"/>
      <c r="F3549" s="25" t="str">
        <f>IF($E3549="","",IFERROR(INDEX(科目表!$A$4:$A$81,MATCH($E3549,科目表!$B$4:$B$81,0)),""))</f>
        <v/>
      </c>
      <c r="G3549" s="26" t="str">
        <f>IF($E3549="","",IFERROR(INDEX(科目表!$E$4:$E$81,MATCH($E3549,科目表!$B$4:$B$81,0)),""))</f>
        <v/>
      </c>
      <c r="H3549" s="104"/>
      <c r="I3549" s="104"/>
      <c r="J3549" s="102"/>
      <c r="K3549" s="102"/>
      <c r="L3549" s="103"/>
      <c r="M3549" s="105"/>
      <c r="N3549" s="103"/>
      <c r="O3549" s="26" t="str">
        <f t="shared" si="169"/>
        <v/>
      </c>
      <c r="P3549" s="103"/>
    </row>
    <row r="3550" ht="18" customHeight="1" spans="1:16">
      <c r="A3550" s="32" t="str">
        <f t="shared" si="170"/>
        <v/>
      </c>
      <c r="B3550" s="101"/>
      <c r="C3550" s="102"/>
      <c r="D3550" s="103"/>
      <c r="E3550" s="102"/>
      <c r="F3550" s="25" t="str">
        <f>IF($E3550="","",IFERROR(INDEX(科目表!$A$4:$A$81,MATCH($E3550,科目表!$B$4:$B$81,0)),""))</f>
        <v/>
      </c>
      <c r="G3550" s="26" t="str">
        <f>IF($E3550="","",IFERROR(INDEX(科目表!$E$4:$E$81,MATCH($E3550,科目表!$B$4:$B$81,0)),""))</f>
        <v/>
      </c>
      <c r="H3550" s="104"/>
      <c r="I3550" s="104"/>
      <c r="J3550" s="102"/>
      <c r="K3550" s="102"/>
      <c r="L3550" s="103"/>
      <c r="M3550" s="105"/>
      <c r="N3550" s="103"/>
      <c r="O3550" s="26" t="str">
        <f t="shared" si="169"/>
        <v/>
      </c>
      <c r="P3550" s="103"/>
    </row>
    <row r="3551" ht="18" customHeight="1" spans="1:16">
      <c r="A3551" s="32" t="str">
        <f t="shared" si="170"/>
        <v/>
      </c>
      <c r="B3551" s="101"/>
      <c r="C3551" s="102"/>
      <c r="D3551" s="103"/>
      <c r="E3551" s="102"/>
      <c r="F3551" s="25" t="str">
        <f>IF($E3551="","",IFERROR(INDEX(科目表!$A$4:$A$81,MATCH($E3551,科目表!$B$4:$B$81,0)),""))</f>
        <v/>
      </c>
      <c r="G3551" s="26" t="str">
        <f>IF($E3551="","",IFERROR(INDEX(科目表!$E$4:$E$81,MATCH($E3551,科目表!$B$4:$B$81,0)),""))</f>
        <v/>
      </c>
      <c r="H3551" s="104"/>
      <c r="I3551" s="104"/>
      <c r="J3551" s="102"/>
      <c r="K3551" s="102"/>
      <c r="L3551" s="103"/>
      <c r="M3551" s="105"/>
      <c r="N3551" s="103"/>
      <c r="O3551" s="26" t="str">
        <f t="shared" si="169"/>
        <v/>
      </c>
      <c r="P3551" s="103"/>
    </row>
    <row r="3552" ht="18" customHeight="1" spans="1:16">
      <c r="A3552" s="32" t="str">
        <f t="shared" si="170"/>
        <v/>
      </c>
      <c r="B3552" s="101"/>
      <c r="C3552" s="102"/>
      <c r="D3552" s="103"/>
      <c r="E3552" s="102"/>
      <c r="F3552" s="25" t="str">
        <f>IF($E3552="","",IFERROR(INDEX(科目表!$A$4:$A$81,MATCH($E3552,科目表!$B$4:$B$81,0)),""))</f>
        <v/>
      </c>
      <c r="G3552" s="26" t="str">
        <f>IF($E3552="","",IFERROR(INDEX(科目表!$E$4:$E$81,MATCH($E3552,科目表!$B$4:$B$81,0)),""))</f>
        <v/>
      </c>
      <c r="H3552" s="104"/>
      <c r="I3552" s="104"/>
      <c r="J3552" s="102"/>
      <c r="K3552" s="102"/>
      <c r="L3552" s="103"/>
      <c r="M3552" s="105"/>
      <c r="N3552" s="103"/>
      <c r="O3552" s="26" t="str">
        <f t="shared" si="169"/>
        <v/>
      </c>
      <c r="P3552" s="103"/>
    </row>
    <row r="3553" ht="18" customHeight="1" spans="1:16">
      <c r="A3553" s="32" t="str">
        <f t="shared" si="170"/>
        <v/>
      </c>
      <c r="B3553" s="101"/>
      <c r="C3553" s="102"/>
      <c r="D3553" s="103"/>
      <c r="E3553" s="102"/>
      <c r="F3553" s="25" t="str">
        <f>IF($E3553="","",IFERROR(INDEX(科目表!$A$4:$A$81,MATCH($E3553,科目表!$B$4:$B$81,0)),""))</f>
        <v/>
      </c>
      <c r="G3553" s="26" t="str">
        <f>IF($E3553="","",IFERROR(INDEX(科目表!$E$4:$E$81,MATCH($E3553,科目表!$B$4:$B$81,0)),""))</f>
        <v/>
      </c>
      <c r="H3553" s="104"/>
      <c r="I3553" s="104"/>
      <c r="J3553" s="102"/>
      <c r="K3553" s="102"/>
      <c r="L3553" s="103"/>
      <c r="M3553" s="105"/>
      <c r="N3553" s="103"/>
      <c r="O3553" s="26" t="str">
        <f t="shared" si="169"/>
        <v/>
      </c>
      <c r="P3553" s="103"/>
    </row>
    <row r="3554" ht="18" customHeight="1" spans="1:16">
      <c r="A3554" s="32" t="str">
        <f t="shared" si="170"/>
        <v/>
      </c>
      <c r="B3554" s="101"/>
      <c r="C3554" s="102"/>
      <c r="D3554" s="103"/>
      <c r="E3554" s="102"/>
      <c r="F3554" s="25" t="str">
        <f>IF($E3554="","",IFERROR(INDEX(科目表!$A$4:$A$81,MATCH($E3554,科目表!$B$4:$B$81,0)),""))</f>
        <v/>
      </c>
      <c r="G3554" s="26" t="str">
        <f>IF($E3554="","",IFERROR(INDEX(科目表!$E$4:$E$81,MATCH($E3554,科目表!$B$4:$B$81,0)),""))</f>
        <v/>
      </c>
      <c r="H3554" s="104"/>
      <c r="I3554" s="104"/>
      <c r="J3554" s="102"/>
      <c r="K3554" s="102"/>
      <c r="L3554" s="103"/>
      <c r="M3554" s="105"/>
      <c r="N3554" s="103"/>
      <c r="O3554" s="26" t="str">
        <f t="shared" si="169"/>
        <v/>
      </c>
      <c r="P3554" s="103"/>
    </row>
    <row r="3555" ht="18" customHeight="1" spans="1:16">
      <c r="A3555" s="32" t="str">
        <f t="shared" si="170"/>
        <v/>
      </c>
      <c r="B3555" s="101"/>
      <c r="C3555" s="102"/>
      <c r="D3555" s="103"/>
      <c r="E3555" s="102"/>
      <c r="F3555" s="25" t="str">
        <f>IF($E3555="","",IFERROR(INDEX(科目表!$A$4:$A$81,MATCH($E3555,科目表!$B$4:$B$81,0)),""))</f>
        <v/>
      </c>
      <c r="G3555" s="26" t="str">
        <f>IF($E3555="","",IFERROR(INDEX(科目表!$E$4:$E$81,MATCH($E3555,科目表!$B$4:$B$81,0)),""))</f>
        <v/>
      </c>
      <c r="H3555" s="104"/>
      <c r="I3555" s="104"/>
      <c r="J3555" s="102"/>
      <c r="K3555" s="102"/>
      <c r="L3555" s="103"/>
      <c r="M3555" s="105"/>
      <c r="N3555" s="103"/>
      <c r="O3555" s="26" t="str">
        <f t="shared" si="169"/>
        <v/>
      </c>
      <c r="P3555" s="103"/>
    </row>
    <row r="3556" ht="18" customHeight="1" spans="1:16">
      <c r="A3556" s="32" t="str">
        <f t="shared" si="170"/>
        <v/>
      </c>
      <c r="B3556" s="101"/>
      <c r="C3556" s="102"/>
      <c r="D3556" s="103"/>
      <c r="E3556" s="102"/>
      <c r="F3556" s="25" t="str">
        <f>IF($E3556="","",IFERROR(INDEX(科目表!$A$4:$A$81,MATCH($E3556,科目表!$B$4:$B$81,0)),""))</f>
        <v/>
      </c>
      <c r="G3556" s="26" t="str">
        <f>IF($E3556="","",IFERROR(INDEX(科目表!$E$4:$E$81,MATCH($E3556,科目表!$B$4:$B$81,0)),""))</f>
        <v/>
      </c>
      <c r="H3556" s="104"/>
      <c r="I3556" s="104"/>
      <c r="J3556" s="102"/>
      <c r="K3556" s="102"/>
      <c r="L3556" s="103"/>
      <c r="M3556" s="105"/>
      <c r="N3556" s="103"/>
      <c r="O3556" s="26" t="str">
        <f t="shared" si="169"/>
        <v/>
      </c>
      <c r="P3556" s="103"/>
    </row>
    <row r="3557" ht="18" customHeight="1" spans="1:16">
      <c r="A3557" s="32" t="str">
        <f t="shared" si="170"/>
        <v/>
      </c>
      <c r="B3557" s="101"/>
      <c r="C3557" s="102"/>
      <c r="D3557" s="103"/>
      <c r="E3557" s="102"/>
      <c r="F3557" s="25" t="str">
        <f>IF($E3557="","",IFERROR(INDEX(科目表!$A$4:$A$81,MATCH($E3557,科目表!$B$4:$B$81,0)),""))</f>
        <v/>
      </c>
      <c r="G3557" s="26" t="str">
        <f>IF($E3557="","",IFERROR(INDEX(科目表!$E$4:$E$81,MATCH($E3557,科目表!$B$4:$B$81,0)),""))</f>
        <v/>
      </c>
      <c r="H3557" s="104"/>
      <c r="I3557" s="104"/>
      <c r="J3557" s="102"/>
      <c r="K3557" s="102"/>
      <c r="L3557" s="103"/>
      <c r="M3557" s="105"/>
      <c r="N3557" s="103"/>
      <c r="O3557" s="26" t="str">
        <f t="shared" si="169"/>
        <v/>
      </c>
      <c r="P3557" s="103"/>
    </row>
    <row r="3558" ht="18" customHeight="1" spans="1:16">
      <c r="A3558" s="32" t="str">
        <f t="shared" si="170"/>
        <v/>
      </c>
      <c r="B3558" s="101"/>
      <c r="C3558" s="102"/>
      <c r="D3558" s="103"/>
      <c r="E3558" s="102"/>
      <c r="F3558" s="25" t="str">
        <f>IF($E3558="","",IFERROR(INDEX(科目表!$A$4:$A$81,MATCH($E3558,科目表!$B$4:$B$81,0)),""))</f>
        <v/>
      </c>
      <c r="G3558" s="26" t="str">
        <f>IF($E3558="","",IFERROR(INDEX(科目表!$E$4:$E$81,MATCH($E3558,科目表!$B$4:$B$81,0)),""))</f>
        <v/>
      </c>
      <c r="H3558" s="104"/>
      <c r="I3558" s="104"/>
      <c r="J3558" s="102"/>
      <c r="K3558" s="102"/>
      <c r="L3558" s="103"/>
      <c r="M3558" s="105"/>
      <c r="N3558" s="103"/>
      <c r="O3558" s="26" t="str">
        <f t="shared" si="169"/>
        <v/>
      </c>
      <c r="P3558" s="103"/>
    </row>
    <row r="3559" ht="18" customHeight="1" spans="1:16">
      <c r="A3559" s="32" t="str">
        <f t="shared" si="170"/>
        <v/>
      </c>
      <c r="B3559" s="101"/>
      <c r="C3559" s="102"/>
      <c r="D3559" s="103"/>
      <c r="E3559" s="102"/>
      <c r="F3559" s="25" t="str">
        <f>IF($E3559="","",IFERROR(INDEX(科目表!$A$4:$A$81,MATCH($E3559,科目表!$B$4:$B$81,0)),""))</f>
        <v/>
      </c>
      <c r="G3559" s="26" t="str">
        <f>IF($E3559="","",IFERROR(INDEX(科目表!$E$4:$E$81,MATCH($E3559,科目表!$B$4:$B$81,0)),""))</f>
        <v/>
      </c>
      <c r="H3559" s="104"/>
      <c r="I3559" s="104"/>
      <c r="J3559" s="102"/>
      <c r="K3559" s="102"/>
      <c r="L3559" s="103"/>
      <c r="M3559" s="105"/>
      <c r="N3559" s="103"/>
      <c r="O3559" s="26" t="str">
        <f t="shared" si="169"/>
        <v/>
      </c>
      <c r="P3559" s="103"/>
    </row>
    <row r="3560" ht="18" customHeight="1" spans="1:16">
      <c r="A3560" s="32" t="str">
        <f t="shared" si="170"/>
        <v/>
      </c>
      <c r="B3560" s="101"/>
      <c r="C3560" s="102"/>
      <c r="D3560" s="103"/>
      <c r="E3560" s="102"/>
      <c r="F3560" s="25" t="str">
        <f>IF($E3560="","",IFERROR(INDEX(科目表!$A$4:$A$81,MATCH($E3560,科目表!$B$4:$B$81,0)),""))</f>
        <v/>
      </c>
      <c r="G3560" s="26" t="str">
        <f>IF($E3560="","",IFERROR(INDEX(科目表!$E$4:$E$81,MATCH($E3560,科目表!$B$4:$B$81,0)),""))</f>
        <v/>
      </c>
      <c r="H3560" s="104"/>
      <c r="I3560" s="104"/>
      <c r="J3560" s="102"/>
      <c r="K3560" s="102"/>
      <c r="L3560" s="103"/>
      <c r="M3560" s="105"/>
      <c r="N3560" s="103"/>
      <c r="O3560" s="26" t="str">
        <f t="shared" si="169"/>
        <v/>
      </c>
      <c r="P3560" s="103"/>
    </row>
    <row r="3561" ht="18" customHeight="1" spans="1:16">
      <c r="A3561" s="32" t="str">
        <f t="shared" si="170"/>
        <v/>
      </c>
      <c r="B3561" s="101"/>
      <c r="C3561" s="102"/>
      <c r="D3561" s="103"/>
      <c r="E3561" s="102"/>
      <c r="F3561" s="25" t="str">
        <f>IF($E3561="","",IFERROR(INDEX(科目表!$A$4:$A$81,MATCH($E3561,科目表!$B$4:$B$81,0)),""))</f>
        <v/>
      </c>
      <c r="G3561" s="26" t="str">
        <f>IF($E3561="","",IFERROR(INDEX(科目表!$E$4:$E$81,MATCH($E3561,科目表!$B$4:$B$81,0)),""))</f>
        <v/>
      </c>
      <c r="H3561" s="104"/>
      <c r="I3561" s="104"/>
      <c r="J3561" s="102"/>
      <c r="K3561" s="102"/>
      <c r="L3561" s="103"/>
      <c r="M3561" s="105"/>
      <c r="N3561" s="103"/>
      <c r="O3561" s="26" t="str">
        <f t="shared" si="169"/>
        <v/>
      </c>
      <c r="P3561" s="103"/>
    </row>
    <row r="3562" ht="18" customHeight="1" spans="1:16">
      <c r="A3562" s="32" t="str">
        <f t="shared" si="170"/>
        <v/>
      </c>
      <c r="B3562" s="101"/>
      <c r="C3562" s="102"/>
      <c r="D3562" s="103"/>
      <c r="E3562" s="102"/>
      <c r="F3562" s="25" t="str">
        <f>IF($E3562="","",IFERROR(INDEX(科目表!$A$4:$A$81,MATCH($E3562,科目表!$B$4:$B$81,0)),""))</f>
        <v/>
      </c>
      <c r="G3562" s="26" t="str">
        <f>IF($E3562="","",IFERROR(INDEX(科目表!$E$4:$E$81,MATCH($E3562,科目表!$B$4:$B$81,0)),""))</f>
        <v/>
      </c>
      <c r="H3562" s="104"/>
      <c r="I3562" s="104"/>
      <c r="J3562" s="102"/>
      <c r="K3562" s="102"/>
      <c r="L3562" s="103"/>
      <c r="M3562" s="105"/>
      <c r="N3562" s="103"/>
      <c r="O3562" s="26" t="str">
        <f t="shared" si="169"/>
        <v/>
      </c>
      <c r="P3562" s="103"/>
    </row>
    <row r="3563" ht="18" customHeight="1" spans="1:16">
      <c r="A3563" s="32" t="str">
        <f t="shared" si="170"/>
        <v/>
      </c>
      <c r="B3563" s="101"/>
      <c r="C3563" s="102"/>
      <c r="D3563" s="103"/>
      <c r="E3563" s="102"/>
      <c r="F3563" s="25" t="str">
        <f>IF($E3563="","",IFERROR(INDEX(科目表!$A$4:$A$81,MATCH($E3563,科目表!$B$4:$B$81,0)),""))</f>
        <v/>
      </c>
      <c r="G3563" s="26" t="str">
        <f>IF($E3563="","",IFERROR(INDEX(科目表!$E$4:$E$81,MATCH($E3563,科目表!$B$4:$B$81,0)),""))</f>
        <v/>
      </c>
      <c r="H3563" s="104"/>
      <c r="I3563" s="104"/>
      <c r="J3563" s="102"/>
      <c r="K3563" s="102"/>
      <c r="L3563" s="103"/>
      <c r="M3563" s="105"/>
      <c r="N3563" s="103"/>
      <c r="O3563" s="26" t="str">
        <f t="shared" si="169"/>
        <v/>
      </c>
      <c r="P3563" s="103"/>
    </row>
    <row r="3564" ht="18" customHeight="1" spans="1:16">
      <c r="A3564" s="32" t="str">
        <f t="shared" si="170"/>
        <v/>
      </c>
      <c r="B3564" s="101"/>
      <c r="C3564" s="102"/>
      <c r="D3564" s="103"/>
      <c r="E3564" s="102"/>
      <c r="F3564" s="25" t="str">
        <f>IF($E3564="","",IFERROR(INDEX(科目表!$A$4:$A$81,MATCH($E3564,科目表!$B$4:$B$81,0)),""))</f>
        <v/>
      </c>
      <c r="G3564" s="26" t="str">
        <f>IF($E3564="","",IFERROR(INDEX(科目表!$E$4:$E$81,MATCH($E3564,科目表!$B$4:$B$81,0)),""))</f>
        <v/>
      </c>
      <c r="H3564" s="104"/>
      <c r="I3564" s="104"/>
      <c r="J3564" s="102"/>
      <c r="K3564" s="102"/>
      <c r="L3564" s="103"/>
      <c r="M3564" s="105"/>
      <c r="N3564" s="103"/>
      <c r="O3564" s="26" t="str">
        <f t="shared" si="169"/>
        <v/>
      </c>
      <c r="P3564" s="103"/>
    </row>
    <row r="3565" ht="18" customHeight="1" spans="1:16">
      <c r="A3565" s="32" t="str">
        <f t="shared" si="170"/>
        <v/>
      </c>
      <c r="B3565" s="101"/>
      <c r="C3565" s="102"/>
      <c r="D3565" s="103"/>
      <c r="E3565" s="102"/>
      <c r="F3565" s="25" t="str">
        <f>IF($E3565="","",IFERROR(INDEX(科目表!$A$4:$A$81,MATCH($E3565,科目表!$B$4:$B$81,0)),""))</f>
        <v/>
      </c>
      <c r="G3565" s="26" t="str">
        <f>IF($E3565="","",IFERROR(INDEX(科目表!$E$4:$E$81,MATCH($E3565,科目表!$B$4:$B$81,0)),""))</f>
        <v/>
      </c>
      <c r="H3565" s="104"/>
      <c r="I3565" s="104"/>
      <c r="J3565" s="102"/>
      <c r="K3565" s="102"/>
      <c r="L3565" s="103"/>
      <c r="M3565" s="105"/>
      <c r="N3565" s="103"/>
      <c r="O3565" s="26" t="str">
        <f t="shared" si="169"/>
        <v/>
      </c>
      <c r="P3565" s="103"/>
    </row>
    <row r="3566" ht="18" customHeight="1" spans="1:16">
      <c r="A3566" s="32" t="str">
        <f t="shared" si="170"/>
        <v/>
      </c>
      <c r="B3566" s="101"/>
      <c r="C3566" s="102"/>
      <c r="D3566" s="103"/>
      <c r="E3566" s="102"/>
      <c r="F3566" s="25" t="str">
        <f>IF($E3566="","",IFERROR(INDEX(科目表!$A$4:$A$81,MATCH($E3566,科目表!$B$4:$B$81,0)),""))</f>
        <v/>
      </c>
      <c r="G3566" s="26" t="str">
        <f>IF($E3566="","",IFERROR(INDEX(科目表!$E$4:$E$81,MATCH($E3566,科目表!$B$4:$B$81,0)),""))</f>
        <v/>
      </c>
      <c r="H3566" s="104"/>
      <c r="I3566" s="104"/>
      <c r="J3566" s="102"/>
      <c r="K3566" s="102"/>
      <c r="L3566" s="103"/>
      <c r="M3566" s="105"/>
      <c r="N3566" s="103"/>
      <c r="O3566" s="26" t="str">
        <f t="shared" si="169"/>
        <v/>
      </c>
      <c r="P3566" s="103"/>
    </row>
    <row r="3567" ht="18" customHeight="1" spans="1:16">
      <c r="A3567" s="32" t="str">
        <f t="shared" si="170"/>
        <v/>
      </c>
      <c r="B3567" s="101"/>
      <c r="C3567" s="102"/>
      <c r="D3567" s="103"/>
      <c r="E3567" s="102"/>
      <c r="F3567" s="25" t="str">
        <f>IF($E3567="","",IFERROR(INDEX(科目表!$A$4:$A$81,MATCH($E3567,科目表!$B$4:$B$81,0)),""))</f>
        <v/>
      </c>
      <c r="G3567" s="26" t="str">
        <f>IF($E3567="","",IFERROR(INDEX(科目表!$E$4:$E$81,MATCH($E3567,科目表!$B$4:$B$81,0)),""))</f>
        <v/>
      </c>
      <c r="H3567" s="104"/>
      <c r="I3567" s="104"/>
      <c r="J3567" s="102"/>
      <c r="K3567" s="102"/>
      <c r="L3567" s="103"/>
      <c r="M3567" s="105"/>
      <c r="N3567" s="103"/>
      <c r="O3567" s="26" t="str">
        <f t="shared" si="169"/>
        <v/>
      </c>
      <c r="P3567" s="103"/>
    </row>
    <row r="3568" ht="18" customHeight="1" spans="1:16">
      <c r="A3568" s="32" t="str">
        <f t="shared" si="170"/>
        <v/>
      </c>
      <c r="B3568" s="101"/>
      <c r="C3568" s="102"/>
      <c r="D3568" s="103"/>
      <c r="E3568" s="102"/>
      <c r="F3568" s="25" t="str">
        <f>IF($E3568="","",IFERROR(INDEX(科目表!$A$4:$A$81,MATCH($E3568,科目表!$B$4:$B$81,0)),""))</f>
        <v/>
      </c>
      <c r="G3568" s="26" t="str">
        <f>IF($E3568="","",IFERROR(INDEX(科目表!$E$4:$E$81,MATCH($E3568,科目表!$B$4:$B$81,0)),""))</f>
        <v/>
      </c>
      <c r="H3568" s="104"/>
      <c r="I3568" s="104"/>
      <c r="J3568" s="102"/>
      <c r="K3568" s="102"/>
      <c r="L3568" s="103"/>
      <c r="M3568" s="105"/>
      <c r="N3568" s="103"/>
      <c r="O3568" s="26" t="str">
        <f t="shared" si="169"/>
        <v/>
      </c>
      <c r="P3568" s="103"/>
    </row>
    <row r="3569" ht="18" customHeight="1" spans="1:16">
      <c r="A3569" s="32" t="str">
        <f t="shared" si="170"/>
        <v/>
      </c>
      <c r="B3569" s="101"/>
      <c r="C3569" s="102"/>
      <c r="D3569" s="103"/>
      <c r="E3569" s="102"/>
      <c r="F3569" s="25" t="str">
        <f>IF($E3569="","",IFERROR(INDEX(科目表!$A$4:$A$81,MATCH($E3569,科目表!$B$4:$B$81,0)),""))</f>
        <v/>
      </c>
      <c r="G3569" s="26" t="str">
        <f>IF($E3569="","",IFERROR(INDEX(科目表!$E$4:$E$81,MATCH($E3569,科目表!$B$4:$B$81,0)),""))</f>
        <v/>
      </c>
      <c r="H3569" s="104"/>
      <c r="I3569" s="104"/>
      <c r="J3569" s="102"/>
      <c r="K3569" s="102"/>
      <c r="L3569" s="103"/>
      <c r="M3569" s="105"/>
      <c r="N3569" s="103"/>
      <c r="O3569" s="26" t="str">
        <f t="shared" si="169"/>
        <v/>
      </c>
      <c r="P3569" s="103"/>
    </row>
    <row r="3570" ht="18" customHeight="1" spans="1:16">
      <c r="A3570" s="32" t="str">
        <f t="shared" si="170"/>
        <v/>
      </c>
      <c r="B3570" s="101"/>
      <c r="C3570" s="102"/>
      <c r="D3570" s="103"/>
      <c r="E3570" s="102"/>
      <c r="F3570" s="25" t="str">
        <f>IF($E3570="","",IFERROR(INDEX(科目表!$A$4:$A$81,MATCH($E3570,科目表!$B$4:$B$81,0)),""))</f>
        <v/>
      </c>
      <c r="G3570" s="26" t="str">
        <f>IF($E3570="","",IFERROR(INDEX(科目表!$E$4:$E$81,MATCH($E3570,科目表!$B$4:$B$81,0)),""))</f>
        <v/>
      </c>
      <c r="H3570" s="104"/>
      <c r="I3570" s="104"/>
      <c r="J3570" s="102"/>
      <c r="K3570" s="102"/>
      <c r="L3570" s="103"/>
      <c r="M3570" s="105"/>
      <c r="N3570" s="103"/>
      <c r="O3570" s="26" t="str">
        <f t="shared" si="169"/>
        <v/>
      </c>
      <c r="P3570" s="103"/>
    </row>
    <row r="3571" ht="18" customHeight="1" spans="1:16">
      <c r="A3571" s="32" t="str">
        <f t="shared" si="170"/>
        <v/>
      </c>
      <c r="B3571" s="101"/>
      <c r="C3571" s="102"/>
      <c r="D3571" s="103"/>
      <c r="E3571" s="102"/>
      <c r="F3571" s="25" t="str">
        <f>IF($E3571="","",IFERROR(INDEX(科目表!$A$4:$A$81,MATCH($E3571,科目表!$B$4:$B$81,0)),""))</f>
        <v/>
      </c>
      <c r="G3571" s="26" t="str">
        <f>IF($E3571="","",IFERROR(INDEX(科目表!$E$4:$E$81,MATCH($E3571,科目表!$B$4:$B$81,0)),""))</f>
        <v/>
      </c>
      <c r="H3571" s="104"/>
      <c r="I3571" s="104"/>
      <c r="J3571" s="102"/>
      <c r="K3571" s="102"/>
      <c r="L3571" s="103"/>
      <c r="M3571" s="105"/>
      <c r="N3571" s="103"/>
      <c r="O3571" s="26" t="str">
        <f t="shared" si="169"/>
        <v/>
      </c>
      <c r="P3571" s="103"/>
    </row>
    <row r="3572" ht="18" customHeight="1" spans="1:16">
      <c r="A3572" s="32" t="str">
        <f t="shared" si="170"/>
        <v/>
      </c>
      <c r="B3572" s="101"/>
      <c r="C3572" s="102"/>
      <c r="D3572" s="103"/>
      <c r="E3572" s="102"/>
      <c r="F3572" s="25" t="str">
        <f>IF($E3572="","",IFERROR(INDEX(科目表!$A$4:$A$81,MATCH($E3572,科目表!$B$4:$B$81,0)),""))</f>
        <v/>
      </c>
      <c r="G3572" s="26" t="str">
        <f>IF($E3572="","",IFERROR(INDEX(科目表!$E$4:$E$81,MATCH($E3572,科目表!$B$4:$B$81,0)),""))</f>
        <v/>
      </c>
      <c r="H3572" s="104"/>
      <c r="I3572" s="104"/>
      <c r="J3572" s="102"/>
      <c r="K3572" s="102"/>
      <c r="L3572" s="103"/>
      <c r="M3572" s="105"/>
      <c r="N3572" s="103"/>
      <c r="O3572" s="26" t="str">
        <f t="shared" si="169"/>
        <v/>
      </c>
      <c r="P3572" s="103"/>
    </row>
    <row r="3573" ht="18" customHeight="1" spans="1:16">
      <c r="A3573" s="32" t="str">
        <f t="shared" si="170"/>
        <v/>
      </c>
      <c r="B3573" s="101"/>
      <c r="C3573" s="102"/>
      <c r="D3573" s="103"/>
      <c r="E3573" s="102"/>
      <c r="F3573" s="25" t="str">
        <f>IF($E3573="","",IFERROR(INDEX(科目表!$A$4:$A$81,MATCH($E3573,科目表!$B$4:$B$81,0)),""))</f>
        <v/>
      </c>
      <c r="G3573" s="26" t="str">
        <f>IF($E3573="","",IFERROR(INDEX(科目表!$E$4:$E$81,MATCH($E3573,科目表!$B$4:$B$81,0)),""))</f>
        <v/>
      </c>
      <c r="H3573" s="104"/>
      <c r="I3573" s="104"/>
      <c r="J3573" s="102"/>
      <c r="K3573" s="102"/>
      <c r="L3573" s="103"/>
      <c r="M3573" s="105"/>
      <c r="N3573" s="103"/>
      <c r="O3573" s="26" t="str">
        <f t="shared" si="169"/>
        <v/>
      </c>
      <c r="P3573" s="103"/>
    </row>
    <row r="3574" ht="18" customHeight="1" spans="1:16">
      <c r="A3574" s="32" t="str">
        <f t="shared" si="170"/>
        <v/>
      </c>
      <c r="B3574" s="101"/>
      <c r="C3574" s="102"/>
      <c r="D3574" s="103"/>
      <c r="E3574" s="102"/>
      <c r="F3574" s="25" t="str">
        <f>IF($E3574="","",IFERROR(INDEX(科目表!$A$4:$A$81,MATCH($E3574,科目表!$B$4:$B$81,0)),""))</f>
        <v/>
      </c>
      <c r="G3574" s="26" t="str">
        <f>IF($E3574="","",IFERROR(INDEX(科目表!$E$4:$E$81,MATCH($E3574,科目表!$B$4:$B$81,0)),""))</f>
        <v/>
      </c>
      <c r="H3574" s="104"/>
      <c r="I3574" s="104"/>
      <c r="J3574" s="102"/>
      <c r="K3574" s="102"/>
      <c r="L3574" s="103"/>
      <c r="M3574" s="105"/>
      <c r="N3574" s="103"/>
      <c r="O3574" s="26" t="str">
        <f t="shared" si="169"/>
        <v/>
      </c>
      <c r="P3574" s="103"/>
    </row>
    <row r="3575" ht="18" customHeight="1" spans="1:16">
      <c r="A3575" s="32" t="str">
        <f t="shared" si="170"/>
        <v/>
      </c>
      <c r="B3575" s="101"/>
      <c r="C3575" s="102"/>
      <c r="D3575" s="103"/>
      <c r="E3575" s="102"/>
      <c r="F3575" s="25" t="str">
        <f>IF($E3575="","",IFERROR(INDEX(科目表!$A$4:$A$81,MATCH($E3575,科目表!$B$4:$B$81,0)),""))</f>
        <v/>
      </c>
      <c r="G3575" s="26" t="str">
        <f>IF($E3575="","",IFERROR(INDEX(科目表!$E$4:$E$81,MATCH($E3575,科目表!$B$4:$B$81,0)),""))</f>
        <v/>
      </c>
      <c r="H3575" s="104"/>
      <c r="I3575" s="104"/>
      <c r="J3575" s="102"/>
      <c r="K3575" s="102"/>
      <c r="L3575" s="103"/>
      <c r="M3575" s="105"/>
      <c r="N3575" s="103"/>
      <c r="O3575" s="26" t="str">
        <f t="shared" si="169"/>
        <v/>
      </c>
      <c r="P3575" s="103"/>
    </row>
    <row r="3576" ht="18" customHeight="1" spans="1:16">
      <c r="A3576" s="32" t="str">
        <f t="shared" si="170"/>
        <v/>
      </c>
      <c r="B3576" s="101"/>
      <c r="C3576" s="102"/>
      <c r="D3576" s="103"/>
      <c r="E3576" s="102"/>
      <c r="F3576" s="25" t="str">
        <f>IF($E3576="","",IFERROR(INDEX(科目表!$A$4:$A$81,MATCH($E3576,科目表!$B$4:$B$81,0)),""))</f>
        <v/>
      </c>
      <c r="G3576" s="26" t="str">
        <f>IF($E3576="","",IFERROR(INDEX(科目表!$E$4:$E$81,MATCH($E3576,科目表!$B$4:$B$81,0)),""))</f>
        <v/>
      </c>
      <c r="H3576" s="104"/>
      <c r="I3576" s="104"/>
      <c r="J3576" s="102"/>
      <c r="K3576" s="102"/>
      <c r="L3576" s="103"/>
      <c r="M3576" s="105"/>
      <c r="N3576" s="103"/>
      <c r="O3576" s="26" t="str">
        <f t="shared" si="169"/>
        <v/>
      </c>
      <c r="P3576" s="103"/>
    </row>
    <row r="3577" ht="18" customHeight="1" spans="1:16">
      <c r="A3577" s="32" t="str">
        <f t="shared" si="170"/>
        <v/>
      </c>
      <c r="B3577" s="101"/>
      <c r="C3577" s="102"/>
      <c r="D3577" s="103"/>
      <c r="E3577" s="102"/>
      <c r="F3577" s="25" t="str">
        <f>IF($E3577="","",IFERROR(INDEX(科目表!$A$4:$A$81,MATCH($E3577,科目表!$B$4:$B$81,0)),""))</f>
        <v/>
      </c>
      <c r="G3577" s="26" t="str">
        <f>IF($E3577="","",IFERROR(INDEX(科目表!$E$4:$E$81,MATCH($E3577,科目表!$B$4:$B$81,0)),""))</f>
        <v/>
      </c>
      <c r="H3577" s="104"/>
      <c r="I3577" s="104"/>
      <c r="J3577" s="102"/>
      <c r="K3577" s="102"/>
      <c r="L3577" s="103"/>
      <c r="M3577" s="105"/>
      <c r="N3577" s="103"/>
      <c r="O3577" s="26" t="str">
        <f t="shared" si="169"/>
        <v/>
      </c>
      <c r="P3577" s="103"/>
    </row>
    <row r="3578" ht="18" customHeight="1" spans="1:16">
      <c r="A3578" s="32" t="str">
        <f t="shared" si="170"/>
        <v/>
      </c>
      <c r="B3578" s="101"/>
      <c r="C3578" s="102"/>
      <c r="D3578" s="103"/>
      <c r="E3578" s="102"/>
      <c r="F3578" s="25" t="str">
        <f>IF($E3578="","",IFERROR(INDEX(科目表!$A$4:$A$81,MATCH($E3578,科目表!$B$4:$B$81,0)),""))</f>
        <v/>
      </c>
      <c r="G3578" s="26" t="str">
        <f>IF($E3578="","",IFERROR(INDEX(科目表!$E$4:$E$81,MATCH($E3578,科目表!$B$4:$B$81,0)),""))</f>
        <v/>
      </c>
      <c r="H3578" s="104"/>
      <c r="I3578" s="104"/>
      <c r="J3578" s="102"/>
      <c r="K3578" s="102"/>
      <c r="L3578" s="103"/>
      <c r="M3578" s="105"/>
      <c r="N3578" s="103"/>
      <c r="O3578" s="26" t="str">
        <f t="shared" si="169"/>
        <v/>
      </c>
      <c r="P3578" s="103"/>
    </row>
    <row r="3579" ht="18" customHeight="1" spans="1:16">
      <c r="A3579" s="32" t="str">
        <f t="shared" si="170"/>
        <v/>
      </c>
      <c r="B3579" s="101"/>
      <c r="C3579" s="102"/>
      <c r="D3579" s="103"/>
      <c r="E3579" s="102"/>
      <c r="F3579" s="25" t="str">
        <f>IF($E3579="","",IFERROR(INDEX(科目表!$A$4:$A$81,MATCH($E3579,科目表!$B$4:$B$81,0)),""))</f>
        <v/>
      </c>
      <c r="G3579" s="26" t="str">
        <f>IF($E3579="","",IFERROR(INDEX(科目表!$E$4:$E$81,MATCH($E3579,科目表!$B$4:$B$81,0)),""))</f>
        <v/>
      </c>
      <c r="H3579" s="104"/>
      <c r="I3579" s="104"/>
      <c r="J3579" s="102"/>
      <c r="K3579" s="102"/>
      <c r="L3579" s="103"/>
      <c r="M3579" s="105"/>
      <c r="N3579" s="103"/>
      <c r="O3579" s="26" t="str">
        <f t="shared" si="169"/>
        <v/>
      </c>
      <c r="P3579" s="103"/>
    </row>
    <row r="3580" ht="18" customHeight="1" spans="1:16">
      <c r="A3580" s="32" t="str">
        <f t="shared" si="170"/>
        <v/>
      </c>
      <c r="B3580" s="101"/>
      <c r="C3580" s="102"/>
      <c r="D3580" s="103"/>
      <c r="E3580" s="102"/>
      <c r="F3580" s="25" t="str">
        <f>IF($E3580="","",IFERROR(INDEX(科目表!$A$4:$A$81,MATCH($E3580,科目表!$B$4:$B$81,0)),""))</f>
        <v/>
      </c>
      <c r="G3580" s="26" t="str">
        <f>IF($E3580="","",IFERROR(INDEX(科目表!$E$4:$E$81,MATCH($E3580,科目表!$B$4:$B$81,0)),""))</f>
        <v/>
      </c>
      <c r="H3580" s="104"/>
      <c r="I3580" s="104"/>
      <c r="J3580" s="102"/>
      <c r="K3580" s="102"/>
      <c r="L3580" s="103"/>
      <c r="M3580" s="105"/>
      <c r="N3580" s="103"/>
      <c r="O3580" s="26" t="str">
        <f t="shared" si="169"/>
        <v/>
      </c>
      <c r="P3580" s="103"/>
    </row>
    <row r="3581" ht="18" customHeight="1" spans="1:16">
      <c r="A3581" s="32" t="str">
        <f t="shared" si="170"/>
        <v/>
      </c>
      <c r="B3581" s="101"/>
      <c r="C3581" s="102"/>
      <c r="D3581" s="103"/>
      <c r="E3581" s="102"/>
      <c r="F3581" s="25" t="str">
        <f>IF($E3581="","",IFERROR(INDEX(科目表!$A$4:$A$81,MATCH($E3581,科目表!$B$4:$B$81,0)),""))</f>
        <v/>
      </c>
      <c r="G3581" s="26" t="str">
        <f>IF($E3581="","",IFERROR(INDEX(科目表!$E$4:$E$81,MATCH($E3581,科目表!$B$4:$B$81,0)),""))</f>
        <v/>
      </c>
      <c r="H3581" s="104"/>
      <c r="I3581" s="104"/>
      <c r="J3581" s="102"/>
      <c r="K3581" s="102"/>
      <c r="L3581" s="103"/>
      <c r="M3581" s="105"/>
      <c r="N3581" s="103"/>
      <c r="O3581" s="26" t="str">
        <f t="shared" si="169"/>
        <v/>
      </c>
      <c r="P3581" s="103"/>
    </row>
    <row r="3582" ht="18" customHeight="1" spans="1:16">
      <c r="A3582" s="32" t="str">
        <f t="shared" si="170"/>
        <v/>
      </c>
      <c r="B3582" s="101"/>
      <c r="C3582" s="102"/>
      <c r="D3582" s="103"/>
      <c r="E3582" s="102"/>
      <c r="F3582" s="25" t="str">
        <f>IF($E3582="","",IFERROR(INDEX(科目表!$A$4:$A$81,MATCH($E3582,科目表!$B$4:$B$81,0)),""))</f>
        <v/>
      </c>
      <c r="G3582" s="26" t="str">
        <f>IF($E3582="","",IFERROR(INDEX(科目表!$E$4:$E$81,MATCH($E3582,科目表!$B$4:$B$81,0)),""))</f>
        <v/>
      </c>
      <c r="H3582" s="104"/>
      <c r="I3582" s="104"/>
      <c r="J3582" s="102"/>
      <c r="K3582" s="102"/>
      <c r="L3582" s="103"/>
      <c r="M3582" s="105"/>
      <c r="N3582" s="103"/>
      <c r="O3582" s="26" t="str">
        <f t="shared" si="169"/>
        <v/>
      </c>
      <c r="P3582" s="103"/>
    </row>
    <row r="3583" ht="18" customHeight="1" spans="1:16">
      <c r="A3583" s="32" t="str">
        <f t="shared" si="170"/>
        <v/>
      </c>
      <c r="B3583" s="101"/>
      <c r="C3583" s="102"/>
      <c r="D3583" s="103"/>
      <c r="E3583" s="102"/>
      <c r="F3583" s="25" t="str">
        <f>IF($E3583="","",IFERROR(INDEX(科目表!$A$4:$A$81,MATCH($E3583,科目表!$B$4:$B$81,0)),""))</f>
        <v/>
      </c>
      <c r="G3583" s="26" t="str">
        <f>IF($E3583="","",IFERROR(INDEX(科目表!$E$4:$E$81,MATCH($E3583,科目表!$B$4:$B$81,0)),""))</f>
        <v/>
      </c>
      <c r="H3583" s="104"/>
      <c r="I3583" s="104"/>
      <c r="J3583" s="102"/>
      <c r="K3583" s="102"/>
      <c r="L3583" s="103"/>
      <c r="M3583" s="105"/>
      <c r="N3583" s="103"/>
      <c r="O3583" s="26" t="str">
        <f t="shared" si="169"/>
        <v/>
      </c>
      <c r="P3583" s="103"/>
    </row>
    <row r="3584" ht="18" customHeight="1" spans="1:16">
      <c r="A3584" s="32" t="str">
        <f t="shared" si="170"/>
        <v/>
      </c>
      <c r="B3584" s="101"/>
      <c r="C3584" s="102"/>
      <c r="D3584" s="103"/>
      <c r="E3584" s="102"/>
      <c r="F3584" s="25" t="str">
        <f>IF($E3584="","",IFERROR(INDEX(科目表!$A$4:$A$81,MATCH($E3584,科目表!$B$4:$B$81,0)),""))</f>
        <v/>
      </c>
      <c r="G3584" s="26" t="str">
        <f>IF($E3584="","",IFERROR(INDEX(科目表!$E$4:$E$81,MATCH($E3584,科目表!$B$4:$B$81,0)),""))</f>
        <v/>
      </c>
      <c r="H3584" s="104"/>
      <c r="I3584" s="104"/>
      <c r="J3584" s="102"/>
      <c r="K3584" s="102"/>
      <c r="L3584" s="103"/>
      <c r="M3584" s="105"/>
      <c r="N3584" s="103"/>
      <c r="O3584" s="26" t="str">
        <f t="shared" si="169"/>
        <v/>
      </c>
      <c r="P3584" s="103"/>
    </row>
    <row r="3585" ht="18" customHeight="1" spans="1:16">
      <c r="A3585" s="32" t="str">
        <f t="shared" si="170"/>
        <v/>
      </c>
      <c r="B3585" s="101"/>
      <c r="C3585" s="102"/>
      <c r="D3585" s="103"/>
      <c r="E3585" s="102"/>
      <c r="F3585" s="25" t="str">
        <f>IF($E3585="","",IFERROR(INDEX(科目表!$A$4:$A$81,MATCH($E3585,科目表!$B$4:$B$81,0)),""))</f>
        <v/>
      </c>
      <c r="G3585" s="26" t="str">
        <f>IF($E3585="","",IFERROR(INDEX(科目表!$E$4:$E$81,MATCH($E3585,科目表!$B$4:$B$81,0)),""))</f>
        <v/>
      </c>
      <c r="H3585" s="104"/>
      <c r="I3585" s="104"/>
      <c r="J3585" s="102"/>
      <c r="K3585" s="102"/>
      <c r="L3585" s="103"/>
      <c r="M3585" s="105"/>
      <c r="N3585" s="103"/>
      <c r="O3585" s="26" t="str">
        <f t="shared" si="169"/>
        <v/>
      </c>
      <c r="P3585" s="103"/>
    </row>
    <row r="3586" ht="18" customHeight="1" spans="1:16">
      <c r="A3586" s="32" t="str">
        <f t="shared" si="170"/>
        <v/>
      </c>
      <c r="B3586" s="101"/>
      <c r="C3586" s="102"/>
      <c r="D3586" s="103"/>
      <c r="E3586" s="102"/>
      <c r="F3586" s="25" t="str">
        <f>IF($E3586="","",IFERROR(INDEX(科目表!$A$4:$A$81,MATCH($E3586,科目表!$B$4:$B$81,0)),""))</f>
        <v/>
      </c>
      <c r="G3586" s="26" t="str">
        <f>IF($E3586="","",IFERROR(INDEX(科目表!$E$4:$E$81,MATCH($E3586,科目表!$B$4:$B$81,0)),""))</f>
        <v/>
      </c>
      <c r="H3586" s="104"/>
      <c r="I3586" s="104"/>
      <c r="J3586" s="102"/>
      <c r="K3586" s="102"/>
      <c r="L3586" s="103"/>
      <c r="M3586" s="105"/>
      <c r="N3586" s="103"/>
      <c r="O3586" s="26" t="str">
        <f t="shared" ref="O3586:O3609" si="171">IF($E3586="","","手工")</f>
        <v/>
      </c>
      <c r="P3586" s="103"/>
    </row>
    <row r="3587" ht="18" customHeight="1" spans="1:16">
      <c r="A3587" s="32" t="str">
        <f t="shared" si="170"/>
        <v/>
      </c>
      <c r="B3587" s="101"/>
      <c r="C3587" s="102"/>
      <c r="D3587" s="103"/>
      <c r="E3587" s="102"/>
      <c r="F3587" s="25" t="str">
        <f>IF($E3587="","",IFERROR(INDEX(科目表!$A$4:$A$81,MATCH($E3587,科目表!$B$4:$B$81,0)),""))</f>
        <v/>
      </c>
      <c r="G3587" s="26" t="str">
        <f>IF($E3587="","",IFERROR(INDEX(科目表!$E$4:$E$81,MATCH($E3587,科目表!$B$4:$B$81,0)),""))</f>
        <v/>
      </c>
      <c r="H3587" s="104"/>
      <c r="I3587" s="104"/>
      <c r="J3587" s="102"/>
      <c r="K3587" s="102"/>
      <c r="L3587" s="103"/>
      <c r="M3587" s="105"/>
      <c r="N3587" s="103"/>
      <c r="O3587" s="26" t="str">
        <f t="shared" si="171"/>
        <v/>
      </c>
      <c r="P3587" s="103"/>
    </row>
    <row r="3588" ht="18" customHeight="1" spans="1:16">
      <c r="A3588" s="32" t="str">
        <f t="shared" ref="A3588:A3609" si="172">IF($E3588="","",ROW()-3)</f>
        <v/>
      </c>
      <c r="B3588" s="101"/>
      <c r="C3588" s="102"/>
      <c r="D3588" s="103"/>
      <c r="E3588" s="102"/>
      <c r="F3588" s="25" t="str">
        <f>IF($E3588="","",IFERROR(INDEX(科目表!$A$4:$A$81,MATCH($E3588,科目表!$B$4:$B$81,0)),""))</f>
        <v/>
      </c>
      <c r="G3588" s="26" t="str">
        <f>IF($E3588="","",IFERROR(INDEX(科目表!$E$4:$E$81,MATCH($E3588,科目表!$B$4:$B$81,0)),""))</f>
        <v/>
      </c>
      <c r="H3588" s="104"/>
      <c r="I3588" s="104"/>
      <c r="J3588" s="102"/>
      <c r="K3588" s="102"/>
      <c r="L3588" s="103"/>
      <c r="M3588" s="105"/>
      <c r="N3588" s="103"/>
      <c r="O3588" s="26" t="str">
        <f t="shared" si="171"/>
        <v/>
      </c>
      <c r="P3588" s="103"/>
    </row>
    <row r="3589" ht="18" customHeight="1" spans="1:16">
      <c r="A3589" s="32" t="str">
        <f t="shared" si="172"/>
        <v/>
      </c>
      <c r="B3589" s="101"/>
      <c r="C3589" s="102"/>
      <c r="D3589" s="103"/>
      <c r="E3589" s="102"/>
      <c r="F3589" s="25" t="str">
        <f>IF($E3589="","",IFERROR(INDEX(科目表!$A$4:$A$81,MATCH($E3589,科目表!$B$4:$B$81,0)),""))</f>
        <v/>
      </c>
      <c r="G3589" s="26" t="str">
        <f>IF($E3589="","",IFERROR(INDEX(科目表!$E$4:$E$81,MATCH($E3589,科目表!$B$4:$B$81,0)),""))</f>
        <v/>
      </c>
      <c r="H3589" s="104"/>
      <c r="I3589" s="104"/>
      <c r="J3589" s="102"/>
      <c r="K3589" s="102"/>
      <c r="L3589" s="103"/>
      <c r="M3589" s="105"/>
      <c r="N3589" s="103"/>
      <c r="O3589" s="26" t="str">
        <f t="shared" si="171"/>
        <v/>
      </c>
      <c r="P3589" s="103"/>
    </row>
    <row r="3590" ht="18" customHeight="1" spans="1:16">
      <c r="A3590" s="32" t="str">
        <f t="shared" si="172"/>
        <v/>
      </c>
      <c r="B3590" s="101"/>
      <c r="C3590" s="102"/>
      <c r="D3590" s="103"/>
      <c r="E3590" s="102"/>
      <c r="F3590" s="25" t="str">
        <f>IF($E3590="","",IFERROR(INDEX(科目表!$A$4:$A$81,MATCH($E3590,科目表!$B$4:$B$81,0)),""))</f>
        <v/>
      </c>
      <c r="G3590" s="26" t="str">
        <f>IF($E3590="","",IFERROR(INDEX(科目表!$E$4:$E$81,MATCH($E3590,科目表!$B$4:$B$81,0)),""))</f>
        <v/>
      </c>
      <c r="H3590" s="104"/>
      <c r="I3590" s="104"/>
      <c r="J3590" s="102"/>
      <c r="K3590" s="102"/>
      <c r="L3590" s="103"/>
      <c r="M3590" s="105"/>
      <c r="N3590" s="103"/>
      <c r="O3590" s="26" t="str">
        <f t="shared" si="171"/>
        <v/>
      </c>
      <c r="P3590" s="103"/>
    </row>
    <row r="3591" ht="18" customHeight="1" spans="1:16">
      <c r="A3591" s="32" t="str">
        <f t="shared" si="172"/>
        <v/>
      </c>
      <c r="B3591" s="101"/>
      <c r="C3591" s="102"/>
      <c r="D3591" s="103"/>
      <c r="E3591" s="102"/>
      <c r="F3591" s="25" t="str">
        <f>IF($E3591="","",IFERROR(INDEX(科目表!$A$4:$A$81,MATCH($E3591,科目表!$B$4:$B$81,0)),""))</f>
        <v/>
      </c>
      <c r="G3591" s="26" t="str">
        <f>IF($E3591="","",IFERROR(INDEX(科目表!$E$4:$E$81,MATCH($E3591,科目表!$B$4:$B$81,0)),""))</f>
        <v/>
      </c>
      <c r="H3591" s="104"/>
      <c r="I3591" s="104"/>
      <c r="J3591" s="102"/>
      <c r="K3591" s="102"/>
      <c r="L3591" s="103"/>
      <c r="M3591" s="105"/>
      <c r="N3591" s="103"/>
      <c r="O3591" s="26" t="str">
        <f t="shared" si="171"/>
        <v/>
      </c>
      <c r="P3591" s="103"/>
    </row>
    <row r="3592" ht="18" customHeight="1" spans="1:16">
      <c r="A3592" s="32" t="str">
        <f t="shared" si="172"/>
        <v/>
      </c>
      <c r="B3592" s="101"/>
      <c r="C3592" s="102"/>
      <c r="D3592" s="103"/>
      <c r="E3592" s="102"/>
      <c r="F3592" s="25" t="str">
        <f>IF($E3592="","",IFERROR(INDEX(科目表!$A$4:$A$81,MATCH($E3592,科目表!$B$4:$B$81,0)),""))</f>
        <v/>
      </c>
      <c r="G3592" s="26" t="str">
        <f>IF($E3592="","",IFERROR(INDEX(科目表!$E$4:$E$81,MATCH($E3592,科目表!$B$4:$B$81,0)),""))</f>
        <v/>
      </c>
      <c r="H3592" s="104"/>
      <c r="I3592" s="104"/>
      <c r="J3592" s="102"/>
      <c r="K3592" s="102"/>
      <c r="L3592" s="103"/>
      <c r="M3592" s="105"/>
      <c r="N3592" s="103"/>
      <c r="O3592" s="26" t="str">
        <f t="shared" si="171"/>
        <v/>
      </c>
      <c r="P3592" s="103"/>
    </row>
    <row r="3593" ht="18" customHeight="1" spans="1:16">
      <c r="A3593" s="32" t="str">
        <f t="shared" si="172"/>
        <v/>
      </c>
      <c r="B3593" s="101"/>
      <c r="C3593" s="102"/>
      <c r="D3593" s="103"/>
      <c r="E3593" s="102"/>
      <c r="F3593" s="25" t="str">
        <f>IF($E3593="","",IFERROR(INDEX(科目表!$A$4:$A$81,MATCH($E3593,科目表!$B$4:$B$81,0)),""))</f>
        <v/>
      </c>
      <c r="G3593" s="26" t="str">
        <f>IF($E3593="","",IFERROR(INDEX(科目表!$E$4:$E$81,MATCH($E3593,科目表!$B$4:$B$81,0)),""))</f>
        <v/>
      </c>
      <c r="H3593" s="104"/>
      <c r="I3593" s="104"/>
      <c r="J3593" s="102"/>
      <c r="K3593" s="102"/>
      <c r="L3593" s="103"/>
      <c r="M3593" s="105"/>
      <c r="N3593" s="103"/>
      <c r="O3593" s="26" t="str">
        <f t="shared" si="171"/>
        <v/>
      </c>
      <c r="P3593" s="103"/>
    </row>
    <row r="3594" ht="18" customHeight="1" spans="1:16">
      <c r="A3594" s="32" t="str">
        <f t="shared" si="172"/>
        <v/>
      </c>
      <c r="B3594" s="101"/>
      <c r="C3594" s="102"/>
      <c r="D3594" s="103"/>
      <c r="E3594" s="102"/>
      <c r="F3594" s="25" t="str">
        <f>IF($E3594="","",IFERROR(INDEX(科目表!$A$4:$A$81,MATCH($E3594,科目表!$B$4:$B$81,0)),""))</f>
        <v/>
      </c>
      <c r="G3594" s="26" t="str">
        <f>IF($E3594="","",IFERROR(INDEX(科目表!$E$4:$E$81,MATCH($E3594,科目表!$B$4:$B$81,0)),""))</f>
        <v/>
      </c>
      <c r="H3594" s="104"/>
      <c r="I3594" s="104"/>
      <c r="J3594" s="102"/>
      <c r="K3594" s="102"/>
      <c r="L3594" s="103"/>
      <c r="M3594" s="105"/>
      <c r="N3594" s="103"/>
      <c r="O3594" s="26" t="str">
        <f t="shared" si="171"/>
        <v/>
      </c>
      <c r="P3594" s="103"/>
    </row>
    <row r="3595" ht="18" customHeight="1" spans="1:16">
      <c r="A3595" s="32" t="str">
        <f t="shared" si="172"/>
        <v/>
      </c>
      <c r="B3595" s="101"/>
      <c r="C3595" s="102"/>
      <c r="D3595" s="103"/>
      <c r="E3595" s="102"/>
      <c r="F3595" s="25" t="str">
        <f>IF($E3595="","",IFERROR(INDEX(科目表!$A$4:$A$81,MATCH($E3595,科目表!$B$4:$B$81,0)),""))</f>
        <v/>
      </c>
      <c r="G3595" s="26" t="str">
        <f>IF($E3595="","",IFERROR(INDEX(科目表!$E$4:$E$81,MATCH($E3595,科目表!$B$4:$B$81,0)),""))</f>
        <v/>
      </c>
      <c r="H3595" s="104"/>
      <c r="I3595" s="104"/>
      <c r="J3595" s="102"/>
      <c r="K3595" s="102"/>
      <c r="L3595" s="103"/>
      <c r="M3595" s="105"/>
      <c r="N3595" s="103"/>
      <c r="O3595" s="26" t="str">
        <f t="shared" si="171"/>
        <v/>
      </c>
      <c r="P3595" s="103"/>
    </row>
    <row r="3596" ht="18" customHeight="1" spans="1:16">
      <c r="A3596" s="32" t="str">
        <f t="shared" si="172"/>
        <v/>
      </c>
      <c r="B3596" s="101"/>
      <c r="C3596" s="102"/>
      <c r="D3596" s="103"/>
      <c r="E3596" s="102"/>
      <c r="F3596" s="25" t="str">
        <f>IF($E3596="","",IFERROR(INDEX(科目表!$A$4:$A$81,MATCH($E3596,科目表!$B$4:$B$81,0)),""))</f>
        <v/>
      </c>
      <c r="G3596" s="26" t="str">
        <f>IF($E3596="","",IFERROR(INDEX(科目表!$E$4:$E$81,MATCH($E3596,科目表!$B$4:$B$81,0)),""))</f>
        <v/>
      </c>
      <c r="H3596" s="104"/>
      <c r="I3596" s="104"/>
      <c r="J3596" s="102"/>
      <c r="K3596" s="102"/>
      <c r="L3596" s="103"/>
      <c r="M3596" s="105"/>
      <c r="N3596" s="103"/>
      <c r="O3596" s="26" t="str">
        <f t="shared" si="171"/>
        <v/>
      </c>
      <c r="P3596" s="103"/>
    </row>
    <row r="3597" ht="18" customHeight="1" spans="1:16">
      <c r="A3597" s="32" t="str">
        <f t="shared" si="172"/>
        <v/>
      </c>
      <c r="B3597" s="101"/>
      <c r="C3597" s="102"/>
      <c r="D3597" s="103"/>
      <c r="E3597" s="102"/>
      <c r="F3597" s="25" t="str">
        <f>IF($E3597="","",IFERROR(INDEX(科目表!$A$4:$A$81,MATCH($E3597,科目表!$B$4:$B$81,0)),""))</f>
        <v/>
      </c>
      <c r="G3597" s="26" t="str">
        <f>IF($E3597="","",IFERROR(INDEX(科目表!$E$4:$E$81,MATCH($E3597,科目表!$B$4:$B$81,0)),""))</f>
        <v/>
      </c>
      <c r="H3597" s="104"/>
      <c r="I3597" s="104"/>
      <c r="J3597" s="102"/>
      <c r="K3597" s="102"/>
      <c r="L3597" s="103"/>
      <c r="M3597" s="105"/>
      <c r="N3597" s="103"/>
      <c r="O3597" s="26" t="str">
        <f t="shared" si="171"/>
        <v/>
      </c>
      <c r="P3597" s="103"/>
    </row>
    <row r="3598" ht="18" customHeight="1" spans="1:16">
      <c r="A3598" s="32" t="str">
        <f t="shared" si="172"/>
        <v/>
      </c>
      <c r="B3598" s="101"/>
      <c r="C3598" s="102"/>
      <c r="D3598" s="103"/>
      <c r="E3598" s="102"/>
      <c r="F3598" s="25" t="str">
        <f>IF($E3598="","",IFERROR(INDEX(科目表!$A$4:$A$81,MATCH($E3598,科目表!$B$4:$B$81,0)),""))</f>
        <v/>
      </c>
      <c r="G3598" s="26" t="str">
        <f>IF($E3598="","",IFERROR(INDEX(科目表!$E$4:$E$81,MATCH($E3598,科目表!$B$4:$B$81,0)),""))</f>
        <v/>
      </c>
      <c r="H3598" s="104"/>
      <c r="I3598" s="104"/>
      <c r="J3598" s="102"/>
      <c r="K3598" s="102"/>
      <c r="L3598" s="103"/>
      <c r="M3598" s="105"/>
      <c r="N3598" s="103"/>
      <c r="O3598" s="26" t="str">
        <f t="shared" si="171"/>
        <v/>
      </c>
      <c r="P3598" s="103"/>
    </row>
    <row r="3599" ht="18" customHeight="1" spans="1:16">
      <c r="A3599" s="32" t="str">
        <f t="shared" si="172"/>
        <v/>
      </c>
      <c r="B3599" s="101"/>
      <c r="C3599" s="102"/>
      <c r="D3599" s="103"/>
      <c r="E3599" s="102"/>
      <c r="F3599" s="25" t="str">
        <f>IF($E3599="","",IFERROR(INDEX(科目表!$A$4:$A$81,MATCH($E3599,科目表!$B$4:$B$81,0)),""))</f>
        <v/>
      </c>
      <c r="G3599" s="26" t="str">
        <f>IF($E3599="","",IFERROR(INDEX(科目表!$E$4:$E$81,MATCH($E3599,科目表!$B$4:$B$81,0)),""))</f>
        <v/>
      </c>
      <c r="H3599" s="104"/>
      <c r="I3599" s="104"/>
      <c r="J3599" s="102"/>
      <c r="K3599" s="102"/>
      <c r="L3599" s="103"/>
      <c r="M3599" s="105"/>
      <c r="N3599" s="103"/>
      <c r="O3599" s="26" t="str">
        <f t="shared" si="171"/>
        <v/>
      </c>
      <c r="P3599" s="103"/>
    </row>
    <row r="3600" ht="18" customHeight="1" spans="1:16">
      <c r="A3600" s="32" t="str">
        <f t="shared" si="172"/>
        <v/>
      </c>
      <c r="B3600" s="101"/>
      <c r="C3600" s="102"/>
      <c r="D3600" s="103"/>
      <c r="E3600" s="102"/>
      <c r="F3600" s="25" t="str">
        <f>IF($E3600="","",IFERROR(INDEX(科目表!$A$4:$A$81,MATCH($E3600,科目表!$B$4:$B$81,0)),""))</f>
        <v/>
      </c>
      <c r="G3600" s="26" t="str">
        <f>IF($E3600="","",IFERROR(INDEX(科目表!$E$4:$E$81,MATCH($E3600,科目表!$B$4:$B$81,0)),""))</f>
        <v/>
      </c>
      <c r="H3600" s="104"/>
      <c r="I3600" s="104"/>
      <c r="J3600" s="102"/>
      <c r="K3600" s="102"/>
      <c r="L3600" s="103"/>
      <c r="M3600" s="105"/>
      <c r="N3600" s="103"/>
      <c r="O3600" s="26" t="str">
        <f t="shared" si="171"/>
        <v/>
      </c>
      <c r="P3600" s="103"/>
    </row>
    <row r="3601" ht="18" customHeight="1" spans="1:16">
      <c r="A3601" s="32" t="str">
        <f t="shared" si="172"/>
        <v/>
      </c>
      <c r="B3601" s="101"/>
      <c r="C3601" s="102"/>
      <c r="D3601" s="103"/>
      <c r="E3601" s="102"/>
      <c r="F3601" s="25" t="str">
        <f>IF($E3601="","",IFERROR(INDEX(科目表!$A$4:$A$81,MATCH($E3601,科目表!$B$4:$B$81,0)),""))</f>
        <v/>
      </c>
      <c r="G3601" s="26" t="str">
        <f>IF($E3601="","",IFERROR(INDEX(科目表!$E$4:$E$81,MATCH($E3601,科目表!$B$4:$B$81,0)),""))</f>
        <v/>
      </c>
      <c r="H3601" s="104"/>
      <c r="I3601" s="104"/>
      <c r="J3601" s="102"/>
      <c r="K3601" s="102"/>
      <c r="L3601" s="103"/>
      <c r="M3601" s="105"/>
      <c r="N3601" s="103"/>
      <c r="O3601" s="26" t="str">
        <f t="shared" si="171"/>
        <v/>
      </c>
      <c r="P3601" s="103"/>
    </row>
    <row r="3602" ht="18" customHeight="1" spans="1:16">
      <c r="A3602" s="32" t="str">
        <f t="shared" si="172"/>
        <v/>
      </c>
      <c r="B3602" s="101"/>
      <c r="C3602" s="102"/>
      <c r="D3602" s="103"/>
      <c r="E3602" s="102"/>
      <c r="F3602" s="25" t="str">
        <f>IF($E3602="","",IFERROR(INDEX(科目表!$A$4:$A$81,MATCH($E3602,科目表!$B$4:$B$81,0)),""))</f>
        <v/>
      </c>
      <c r="G3602" s="26" t="str">
        <f>IF($E3602="","",IFERROR(INDEX(科目表!$E$4:$E$81,MATCH($E3602,科目表!$B$4:$B$81,0)),""))</f>
        <v/>
      </c>
      <c r="H3602" s="104"/>
      <c r="I3602" s="104"/>
      <c r="J3602" s="102"/>
      <c r="K3602" s="102"/>
      <c r="L3602" s="103"/>
      <c r="M3602" s="105"/>
      <c r="N3602" s="103"/>
      <c r="O3602" s="26" t="str">
        <f t="shared" si="171"/>
        <v/>
      </c>
      <c r="P3602" s="103"/>
    </row>
    <row r="3603" ht="18" customHeight="1" spans="1:16">
      <c r="A3603" s="32" t="str">
        <f t="shared" si="172"/>
        <v/>
      </c>
      <c r="B3603" s="101"/>
      <c r="C3603" s="102"/>
      <c r="D3603" s="103"/>
      <c r="E3603" s="102"/>
      <c r="F3603" s="25" t="str">
        <f>IF($E3603="","",IFERROR(INDEX(科目表!$A$4:$A$81,MATCH($E3603,科目表!$B$4:$B$81,0)),""))</f>
        <v/>
      </c>
      <c r="G3603" s="26" t="str">
        <f>IF($E3603="","",IFERROR(INDEX(科目表!$E$4:$E$81,MATCH($E3603,科目表!$B$4:$B$81,0)),""))</f>
        <v/>
      </c>
      <c r="H3603" s="104"/>
      <c r="I3603" s="104"/>
      <c r="J3603" s="102"/>
      <c r="K3603" s="102"/>
      <c r="L3603" s="103"/>
      <c r="M3603" s="105"/>
      <c r="N3603" s="103"/>
      <c r="O3603" s="26" t="str">
        <f t="shared" si="171"/>
        <v/>
      </c>
      <c r="P3603" s="103"/>
    </row>
    <row r="3604" ht="18" customHeight="1" spans="1:16">
      <c r="A3604" s="32" t="str">
        <f t="shared" si="172"/>
        <v/>
      </c>
      <c r="B3604" s="101"/>
      <c r="C3604" s="102"/>
      <c r="D3604" s="103"/>
      <c r="E3604" s="102"/>
      <c r="F3604" s="25" t="str">
        <f>IF($E3604="","",IFERROR(INDEX(科目表!$A$4:$A$81,MATCH($E3604,科目表!$B$4:$B$81,0)),""))</f>
        <v/>
      </c>
      <c r="G3604" s="26" t="str">
        <f>IF($E3604="","",IFERROR(INDEX(科目表!$E$4:$E$81,MATCH($E3604,科目表!$B$4:$B$81,0)),""))</f>
        <v/>
      </c>
      <c r="H3604" s="104"/>
      <c r="I3604" s="104"/>
      <c r="J3604" s="102"/>
      <c r="K3604" s="102"/>
      <c r="L3604" s="103"/>
      <c r="M3604" s="105"/>
      <c r="N3604" s="103"/>
      <c r="O3604" s="26" t="str">
        <f t="shared" si="171"/>
        <v/>
      </c>
      <c r="P3604" s="103"/>
    </row>
    <row r="3605" ht="18" customHeight="1" spans="1:16">
      <c r="A3605" s="32" t="str">
        <f t="shared" si="172"/>
        <v/>
      </c>
      <c r="B3605" s="101"/>
      <c r="C3605" s="102"/>
      <c r="D3605" s="103"/>
      <c r="E3605" s="102"/>
      <c r="F3605" s="25" t="str">
        <f>IF($E3605="","",IFERROR(INDEX(科目表!$A$4:$A$81,MATCH($E3605,科目表!$B$4:$B$81,0)),""))</f>
        <v/>
      </c>
      <c r="G3605" s="26" t="str">
        <f>IF($E3605="","",IFERROR(INDEX(科目表!$E$4:$E$81,MATCH($E3605,科目表!$B$4:$B$81,0)),""))</f>
        <v/>
      </c>
      <c r="H3605" s="104"/>
      <c r="I3605" s="104"/>
      <c r="J3605" s="102"/>
      <c r="K3605" s="102"/>
      <c r="L3605" s="103"/>
      <c r="M3605" s="105"/>
      <c r="N3605" s="103"/>
      <c r="O3605" s="26" t="str">
        <f t="shared" si="171"/>
        <v/>
      </c>
      <c r="P3605" s="103"/>
    </row>
    <row r="3606" ht="18" customHeight="1" spans="1:16">
      <c r="A3606" s="32" t="str">
        <f t="shared" si="172"/>
        <v/>
      </c>
      <c r="B3606" s="101"/>
      <c r="C3606" s="102"/>
      <c r="D3606" s="103"/>
      <c r="E3606" s="102"/>
      <c r="F3606" s="25" t="str">
        <f>IF($E3606="","",IFERROR(INDEX(科目表!$A$4:$A$81,MATCH($E3606,科目表!$B$4:$B$81,0)),""))</f>
        <v/>
      </c>
      <c r="G3606" s="26" t="str">
        <f>IF($E3606="","",IFERROR(INDEX(科目表!$E$4:$E$81,MATCH($E3606,科目表!$B$4:$B$81,0)),""))</f>
        <v/>
      </c>
      <c r="H3606" s="104"/>
      <c r="I3606" s="104"/>
      <c r="J3606" s="102"/>
      <c r="K3606" s="102"/>
      <c r="L3606" s="103"/>
      <c r="M3606" s="105"/>
      <c r="N3606" s="103"/>
      <c r="O3606" s="26" t="str">
        <f t="shared" si="171"/>
        <v/>
      </c>
      <c r="P3606" s="103"/>
    </row>
    <row r="3607" ht="18" customHeight="1" spans="1:16">
      <c r="A3607" s="32" t="str">
        <f t="shared" si="172"/>
        <v/>
      </c>
      <c r="B3607" s="101"/>
      <c r="C3607" s="102"/>
      <c r="D3607" s="103"/>
      <c r="E3607" s="102"/>
      <c r="F3607" s="25" t="str">
        <f>IF($E3607="","",IFERROR(INDEX(科目表!$A$4:$A$81,MATCH($E3607,科目表!$B$4:$B$81,0)),""))</f>
        <v/>
      </c>
      <c r="G3607" s="26" t="str">
        <f>IF($E3607="","",IFERROR(INDEX(科目表!$E$4:$E$81,MATCH($E3607,科目表!$B$4:$B$81,0)),""))</f>
        <v/>
      </c>
      <c r="H3607" s="104"/>
      <c r="I3607" s="104"/>
      <c r="J3607" s="102"/>
      <c r="K3607" s="102"/>
      <c r="L3607" s="103"/>
      <c r="M3607" s="105"/>
      <c r="N3607" s="103"/>
      <c r="O3607" s="26" t="str">
        <f t="shared" si="171"/>
        <v/>
      </c>
      <c r="P3607" s="103"/>
    </row>
    <row r="3608" ht="18" customHeight="1" spans="1:16">
      <c r="A3608" s="32" t="str">
        <f t="shared" si="172"/>
        <v/>
      </c>
      <c r="B3608" s="101"/>
      <c r="C3608" s="102"/>
      <c r="D3608" s="103"/>
      <c r="E3608" s="102"/>
      <c r="F3608" s="25" t="str">
        <f>IF($E3608="","",IFERROR(INDEX(科目表!$A$4:$A$81,MATCH($E3608,科目表!$B$4:$B$81,0)),""))</f>
        <v/>
      </c>
      <c r="G3608" s="26" t="str">
        <f>IF($E3608="","",IFERROR(INDEX(科目表!$E$4:$E$81,MATCH($E3608,科目表!$B$4:$B$81,0)),""))</f>
        <v/>
      </c>
      <c r="H3608" s="104"/>
      <c r="I3608" s="104"/>
      <c r="J3608" s="102"/>
      <c r="K3608" s="102"/>
      <c r="L3608" s="103"/>
      <c r="M3608" s="105"/>
      <c r="N3608" s="103"/>
      <c r="O3608" s="26" t="str">
        <f t="shared" si="171"/>
        <v/>
      </c>
      <c r="P3608" s="103"/>
    </row>
    <row r="3609" ht="18" customHeight="1" spans="1:16">
      <c r="A3609" s="32" t="str">
        <f t="shared" si="172"/>
        <v/>
      </c>
      <c r="B3609" s="101"/>
      <c r="C3609" s="102"/>
      <c r="D3609" s="103"/>
      <c r="E3609" s="102"/>
      <c r="F3609" s="25" t="str">
        <f>IF($E3609="","",IFERROR(INDEX(科目表!$A$4:$A$81,MATCH($E3609,科目表!$B$4:$B$81,0)),""))</f>
        <v/>
      </c>
      <c r="G3609" s="26" t="str">
        <f>IF($E3609="","",IFERROR(INDEX(科目表!$E$4:$E$81,MATCH($E3609,科目表!$B$4:$B$81,0)),""))</f>
        <v/>
      </c>
      <c r="H3609" s="104"/>
      <c r="I3609" s="104"/>
      <c r="J3609" s="102"/>
      <c r="K3609" s="102"/>
      <c r="L3609" s="103"/>
      <c r="M3609" s="105"/>
      <c r="N3609" s="103"/>
      <c r="O3609" s="26" t="str">
        <f t="shared" si="171"/>
        <v/>
      </c>
      <c r="P3609" s="103"/>
    </row>
    <row r="3610" ht="16.5" customHeight="1" spans="1:16">
      <c r="A3610" s="28"/>
      <c r="B3610" s="28"/>
      <c r="C3610" s="28"/>
      <c r="D3610" s="29" t="s">
        <v>637</v>
      </c>
      <c r="E3610" s="28"/>
      <c r="F3610" s="28"/>
      <c r="G3610" s="28"/>
      <c r="H3610" s="30">
        <f>ROUND(SUM(H4:H3609),2)</f>
        <v>0</v>
      </c>
      <c r="I3610" s="30">
        <f>ROUND(SUM(I4:I3609),2)</f>
        <v>0</v>
      </c>
      <c r="J3610" s="28" t="str">
        <f>IF(ROUND(H3610-I3610,2)=0,"✔ 借贷平衡","✘ 差 "&amp;TEXT(H3610-I3610,"#,##0.00"))</f>
        <v>✔ 借贷平衡</v>
      </c>
      <c r="K3610" s="28"/>
      <c r="L3610" s="28"/>
      <c r="M3610" s="28"/>
      <c r="N3610" s="28"/>
      <c r="O3610" s="28"/>
      <c r="P3610" s="28"/>
    </row>
  </sheetData>
  <autoFilter xmlns:etc="http://www.wps.cn/officeDocument/2017/etCustomData" ref="A3:P3610" etc:filterBottomFollowUsedRange="0">
    <extLst/>
  </autoFilter>
  <mergeCells count="2">
    <mergeCell ref="A1:P1"/>
    <mergeCell ref="A2:P2"/>
  </mergeCells>
  <conditionalFormatting sqref="A2">
    <cfRule type="expression" dxfId="0" priority="1">
      <formula>OR(N(对接源_01水果!$T$1)+N(对接源_02物料!$T$1)=0,N(对接源_01水果!$T$4)*N(对接源_02物料!$T$4)=0)</formula>
    </cfRule>
  </conditionalFormatting>
  <dataValidations count="3">
    <dataValidation type="list" allowBlank="1" sqref="E3010:E3609">
      <formula1>科目表!$B$4:$B$81</formula1>
    </dataValidation>
    <dataValidation type="list" allowBlank="1" sqref="J3010:J3609">
      <formula1>科目表!$I$4:$I$140</formula1>
    </dataValidation>
    <dataValidation type="list" allowBlank="1" sqref="K3010:K3609">
      <formula1>科目表!$J$4:$J$140</formula1>
    </dataValidation>
  </dataValidations>
  <pageMargins left="0.3" right="0.3" top="0.4" bottom="0.4" header="0.5" footer="0.5"/>
  <pageSetup paperSize="9" fitToHeight="0" orientation="landscape"/>
  <headerFooter>
    <oddFooter>&amp;L&amp;A&amp;R第 &amp;P 页 / 共 &amp;N 页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26"/>
  <sheetViews>
    <sheetView showGridLines="0" workbookViewId="0">
      <pane xSplit="1" ySplit="4" topLeftCell="B14" activePane="bottomRight" state="frozen"/>
      <selection/>
      <selection pane="topRight"/>
      <selection pane="bottomLeft"/>
      <selection pane="bottomRight" activeCell="B6" sqref="B6"/>
    </sheetView>
  </sheetViews>
  <sheetFormatPr defaultColWidth="9" defaultRowHeight="13.5"/>
  <cols>
    <col min="1" max="1" width="20" customWidth="1"/>
    <col min="2" max="8" width="16" customWidth="1"/>
    <col min="9" max="9" width="26" customWidth="1"/>
  </cols>
  <sheetData>
    <row r="1" ht="30" customHeight="1" spans="1:9">
      <c r="A1" s="2" t="s">
        <v>638</v>
      </c>
    </row>
    <row r="2" ht="18" customHeight="1" spans="1:9">
      <c r="A2" s="31"/>
    </row>
    <row r="3" ht="16.5" customHeight="1" spans="1:9">
      <c r="A3" s="94" t="s">
        <v>639</v>
      </c>
    </row>
    <row r="4" ht="26" customHeight="1" spans="1:9">
      <c r="A4" s="9" t="s">
        <v>372</v>
      </c>
      <c r="B4" s="9" t="s">
        <v>27</v>
      </c>
      <c r="C4" s="9" t="s">
        <v>640</v>
      </c>
      <c r="D4" s="9" t="s">
        <v>641</v>
      </c>
      <c r="E4" s="9" t="s">
        <v>642</v>
      </c>
    </row>
    <row r="5" ht="18" customHeight="1" spans="1:9">
      <c r="A5" s="11" t="s">
        <v>380</v>
      </c>
      <c r="B5" s="27">
        <f>ROUND(IFERROR(INDEX(期初余额!$I$4:$I$9,MATCH($A5,期初余额!$H$4:$H$9,0)),0),2)</f>
        <v>0</v>
      </c>
      <c r="C5" s="27">
        <f>ROUND(SUMIFS(资金日记账!$H$4:$H$603,资金日记账!$C$4:$C$603,$A5),2)</f>
        <v>0</v>
      </c>
      <c r="D5" s="27">
        <f>ROUND(SUMIFS(资金日记账!$I$4:$I$603,资金日记账!$C$4:$C$603,$A5),2)</f>
        <v>0</v>
      </c>
      <c r="E5" s="27">
        <f t="shared" ref="E5:E10" si="0">ROUND($B5+$C5-$D5,2)</f>
        <v>0</v>
      </c>
    </row>
    <row r="6" ht="18" customHeight="1" spans="1:9">
      <c r="A6" s="11" t="s">
        <v>391</v>
      </c>
      <c r="B6" s="27">
        <f>ROUND(IFERROR(INDEX(期初余额!$I$4:$I$9,MATCH($A6,期初余额!$H$4:$H$9,0)),0),2)</f>
        <v>0</v>
      </c>
      <c r="C6" s="27">
        <f>ROUND(SUMIFS(资金日记账!$H$4:$H$603,资金日记账!$C$4:$C$603,$A6),2)</f>
        <v>0</v>
      </c>
      <c r="D6" s="27">
        <f>ROUND(SUMIFS(资金日记账!$I$4:$I$603,资金日记账!$C$4:$C$603,$A6),2)</f>
        <v>0</v>
      </c>
      <c r="E6" s="27">
        <f t="shared" si="0"/>
        <v>0</v>
      </c>
    </row>
    <row r="7" ht="18" customHeight="1" spans="1:9">
      <c r="A7" s="11" t="s">
        <v>399</v>
      </c>
      <c r="B7" s="27">
        <f>ROUND(IFERROR(INDEX(期初余额!$I$4:$I$9,MATCH($A7,期初余额!$H$4:$H$9,0)),0),2)</f>
        <v>0</v>
      </c>
      <c r="C7" s="27">
        <f>ROUND(SUMIFS(资金日记账!$H$4:$H$603,资金日记账!$C$4:$C$603,$A7),2)</f>
        <v>0</v>
      </c>
      <c r="D7" s="27">
        <f>ROUND(SUMIFS(资金日记账!$I$4:$I$603,资金日记账!$C$4:$C$603,$A7),2)</f>
        <v>0</v>
      </c>
      <c r="E7" s="27">
        <f t="shared" si="0"/>
        <v>0</v>
      </c>
    </row>
    <row r="8" ht="18" customHeight="1" spans="1:9">
      <c r="A8" s="11" t="s">
        <v>401</v>
      </c>
      <c r="B8" s="27">
        <f>ROUND(IFERROR(INDEX(期初余额!$I$4:$I$9,MATCH($A8,期初余额!$H$4:$H$9,0)),0),2)</f>
        <v>0</v>
      </c>
      <c r="C8" s="27">
        <f>ROUND(SUMIFS(资金日记账!$H$4:$H$603,资金日记账!$C$4:$C$603,$A8),2)</f>
        <v>0</v>
      </c>
      <c r="D8" s="27">
        <f>ROUND(SUMIFS(资金日记账!$I$4:$I$603,资金日记账!$C$4:$C$603,$A8),2)</f>
        <v>0</v>
      </c>
      <c r="E8" s="27">
        <f t="shared" si="0"/>
        <v>0</v>
      </c>
    </row>
    <row r="9" ht="18" customHeight="1" spans="1:9">
      <c r="A9" s="11" t="s">
        <v>406</v>
      </c>
      <c r="B9" s="27">
        <f>ROUND(IFERROR(INDEX(期初余额!$I$4:$I$9,MATCH($A9,期初余额!$H$4:$H$9,0)),0),2)</f>
        <v>0</v>
      </c>
      <c r="C9" s="27">
        <f>ROUND(SUMIFS(资金日记账!$H$4:$H$603,资金日记账!$C$4:$C$603,$A9),2)</f>
        <v>0</v>
      </c>
      <c r="D9" s="27">
        <f>ROUND(SUMIFS(资金日记账!$I$4:$I$603,资金日记账!$C$4:$C$603,$A9),2)</f>
        <v>0</v>
      </c>
      <c r="E9" s="27">
        <f t="shared" si="0"/>
        <v>0</v>
      </c>
    </row>
    <row r="10" ht="18" customHeight="1" spans="1:9">
      <c r="A10" s="11" t="s">
        <v>411</v>
      </c>
      <c r="B10" s="27">
        <f>ROUND(IFERROR(INDEX(期初余额!$I$4:$I$9,MATCH($A10,期初余额!$H$4:$H$9,0)),0),2)</f>
        <v>0</v>
      </c>
      <c r="C10" s="27">
        <f>ROUND(SUMIFS(资金日记账!$H$4:$H$603,资金日记账!$C$4:$C$603,$A10),2)</f>
        <v>0</v>
      </c>
      <c r="D10" s="27">
        <f>ROUND(SUMIFS(资金日记账!$I$4:$I$603,资金日记账!$C$4:$C$603,$A10),2)</f>
        <v>0</v>
      </c>
      <c r="E10" s="27">
        <f t="shared" si="0"/>
        <v>0</v>
      </c>
    </row>
    <row r="11" ht="16.5" customHeight="1" spans="1:9">
      <c r="A11" s="29" t="s">
        <v>220</v>
      </c>
      <c r="B11" s="30">
        <f>ROUND(SUM(B5:B10),2)</f>
        <v>0</v>
      </c>
      <c r="C11" s="30">
        <f>ROUND(SUM(C5:C10),2)</f>
        <v>0</v>
      </c>
      <c r="D11" s="30">
        <f>ROUND(SUM(D5:D10),2)</f>
        <v>0</v>
      </c>
      <c r="E11" s="30">
        <f>ROUND(SUM(E5:E10),2)</f>
        <v>0</v>
      </c>
    </row>
    <row r="12" ht="16.5" customHeight="1" spans="1:9">
      <c r="A12" s="95" t="s">
        <v>643</v>
      </c>
      <c r="B12" s="96"/>
      <c r="C12" s="96"/>
      <c r="D12" s="96"/>
      <c r="E12" s="97">
        <f>ROUND(SUMIFS(科目余额表!$I$4:$I$81,科目余额表!$D$4:$D$81,"货币资金")-SUMIFS(科目余额表!$J$4:$J$81,科目余额表!$D$4:$D$81,"货币资金"),2)</f>
        <v>0</v>
      </c>
      <c r="F12" s="98" t="str">
        <f>IF(ROUND($E12-$E11,2)=0,"✔ 与日记账一致","✘ 差额 "&amp;TEXT($E12-$E11,"#,##0.00"))</f>
        <v>✔ 与日记账一致</v>
      </c>
    </row>
    <row r="14" ht="16.5" customHeight="1" spans="1:9">
      <c r="A14" s="94" t="s">
        <v>644</v>
      </c>
    </row>
    <row r="15" ht="30" customHeight="1" spans="1:9">
      <c r="A15" s="9" t="s">
        <v>371</v>
      </c>
      <c r="B15" s="9" t="s">
        <v>645</v>
      </c>
      <c r="C15" s="9" t="s">
        <v>646</v>
      </c>
      <c r="D15" s="9" t="s">
        <v>647</v>
      </c>
      <c r="E15" s="9" t="s">
        <v>648</v>
      </c>
      <c r="F15" s="9" t="s">
        <v>649</v>
      </c>
      <c r="G15" s="9" t="s">
        <v>650</v>
      </c>
      <c r="H15" s="9" t="s">
        <v>651</v>
      </c>
      <c r="I15" s="9" t="s">
        <v>624</v>
      </c>
    </row>
    <row r="16" ht="18" customHeight="1" spans="1:9">
      <c r="A16" s="26" t="str">
        <f>IFERROR(INDEX(_自动清单!$E$4:$E$253,ROW()-15),"")</f>
        <v/>
      </c>
      <c r="B16" s="99"/>
      <c r="C16" s="27" t="str">
        <f>IF($A16="","",ROUND(SUMIFS(进销存对接!$G$4:$G$305,进销存对接!$D$4:$D$305,"客户应收",进销存对接!$C$4:$C$305,$A16),2))</f>
        <v/>
      </c>
      <c r="D16" s="27" t="str">
        <f>IF($A16="","",ROUND(SUMIFS(资金日记账!$H$4:$H$603,资金日记账!$E$4:$E$603,$A16,资金日记账!$K$4:$K$603,"应收账款"),2))</f>
        <v/>
      </c>
      <c r="E16" s="27" t="str">
        <f t="shared" ref="E16:E79" si="1">IF($A16="","",ROUND(N($B16)+$C16-$D16,2))</f>
        <v/>
      </c>
      <c r="F16" s="99"/>
      <c r="G16" s="27" t="str">
        <f>IF($A16="","",ROUND(SUMIFS(进销存对接!$F$4:$F$305,进销存对接!$D$4:$D$305,"客户应收",进销存对接!$C$4:$C$305,$A16)+SUMIFS(记账凭证!$I$4:$I$3609,记账凭证!$J$4:$J$3609,$A16,记账凭证!$E$4:$E$3609,"应付账款"),2))</f>
        <v/>
      </c>
      <c r="H16" s="27" t="str">
        <f>IF($A16="","",ROUND(SUMIFS(记账凭证!$H$4:$H$3609,记账凭证!$J$4:$J$3609,$A16,记账凭证!$E$4:$E$3609,"应付账款"),2))</f>
        <v/>
      </c>
      <c r="I16" s="27" t="str">
        <f t="shared" ref="I16:I79" si="2">IF($A16="","",ROUND(N($F16)+$G16-$H16,2))</f>
        <v/>
      </c>
    </row>
    <row r="17" ht="18" customHeight="1" spans="1:9">
      <c r="A17" s="26" t="str">
        <f>IFERROR(INDEX(_自动清单!$E$4:$E$253,ROW()-15),"")</f>
        <v/>
      </c>
      <c r="B17" s="99"/>
      <c r="C17" s="27" t="str">
        <f>IF($A17="","",ROUND(SUMIFS(进销存对接!$G$4:$G$305,进销存对接!$D$4:$D$305,"客户应收",进销存对接!$C$4:$C$305,$A17),2))</f>
        <v/>
      </c>
      <c r="D17" s="27" t="str">
        <f>IF($A17="","",ROUND(SUMIFS(资金日记账!$H$4:$H$603,资金日记账!$E$4:$E$603,$A17,资金日记账!$K$4:$K$603,"应收账款"),2))</f>
        <v/>
      </c>
      <c r="E17" s="27" t="str">
        <f t="shared" si="1"/>
        <v/>
      </c>
      <c r="F17" s="99"/>
      <c r="G17" s="27" t="str">
        <f>IF($A17="","",ROUND(SUMIFS(进销存对接!$F$4:$F$305,进销存对接!$D$4:$D$305,"客户应收",进销存对接!$C$4:$C$305,$A17)+SUMIFS(记账凭证!$I$4:$I$3609,记账凭证!$J$4:$J$3609,$A17,记账凭证!$E$4:$E$3609,"应付账款"),2))</f>
        <v/>
      </c>
      <c r="H17" s="27" t="str">
        <f>IF($A17="","",ROUND(SUMIFS(记账凭证!$H$4:$H$3609,记账凭证!$J$4:$J$3609,$A17,记账凭证!$E$4:$E$3609,"应付账款"),2))</f>
        <v/>
      </c>
      <c r="I17" s="27" t="str">
        <f t="shared" si="2"/>
        <v/>
      </c>
    </row>
    <row r="18" ht="18" customHeight="1" spans="1:9">
      <c r="A18" s="26" t="str">
        <f>IFERROR(INDEX(_自动清单!$E$4:$E$253,ROW()-15),"")</f>
        <v/>
      </c>
      <c r="B18" s="99"/>
      <c r="C18" s="27" t="str">
        <f>IF($A18="","",ROUND(SUMIFS(进销存对接!$G$4:$G$305,进销存对接!$D$4:$D$305,"客户应收",进销存对接!$C$4:$C$305,$A18),2))</f>
        <v/>
      </c>
      <c r="D18" s="27" t="str">
        <f>IF($A18="","",ROUND(SUMIFS(资金日记账!$H$4:$H$603,资金日记账!$E$4:$E$603,$A18,资金日记账!$K$4:$K$603,"应收账款"),2))</f>
        <v/>
      </c>
      <c r="E18" s="27" t="str">
        <f t="shared" si="1"/>
        <v/>
      </c>
      <c r="F18" s="99"/>
      <c r="G18" s="27" t="str">
        <f>IF($A18="","",ROUND(SUMIFS(进销存对接!$F$4:$F$305,进销存对接!$D$4:$D$305,"客户应收",进销存对接!$C$4:$C$305,$A18)+SUMIFS(记账凭证!$I$4:$I$3609,记账凭证!$J$4:$J$3609,$A18,记账凭证!$E$4:$E$3609,"应付账款"),2))</f>
        <v/>
      </c>
      <c r="H18" s="27" t="str">
        <f>IF($A18="","",ROUND(SUMIFS(记账凭证!$H$4:$H$3609,记账凭证!$J$4:$J$3609,$A18,记账凭证!$E$4:$E$3609,"应付账款"),2))</f>
        <v/>
      </c>
      <c r="I18" s="27" t="str">
        <f t="shared" si="2"/>
        <v/>
      </c>
    </row>
    <row r="19" ht="18" customHeight="1" spans="1:9">
      <c r="A19" s="26" t="str">
        <f>IFERROR(INDEX(_自动清单!$E$4:$E$253,ROW()-15),"")</f>
        <v/>
      </c>
      <c r="B19" s="99"/>
      <c r="C19" s="27" t="str">
        <f>IF($A19="","",ROUND(SUMIFS(进销存对接!$G$4:$G$305,进销存对接!$D$4:$D$305,"客户应收",进销存对接!$C$4:$C$305,$A19),2))</f>
        <v/>
      </c>
      <c r="D19" s="27" t="str">
        <f>IF($A19="","",ROUND(SUMIFS(资金日记账!$H$4:$H$603,资金日记账!$E$4:$E$603,$A19,资金日记账!$K$4:$K$603,"应收账款"),2))</f>
        <v/>
      </c>
      <c r="E19" s="27" t="str">
        <f t="shared" si="1"/>
        <v/>
      </c>
      <c r="F19" s="99"/>
      <c r="G19" s="27" t="str">
        <f>IF($A19="","",ROUND(SUMIFS(进销存对接!$F$4:$F$305,进销存对接!$D$4:$D$305,"客户应收",进销存对接!$C$4:$C$305,$A19)+SUMIFS(记账凭证!$I$4:$I$3609,记账凭证!$J$4:$J$3609,$A19,记账凭证!$E$4:$E$3609,"应付账款"),2))</f>
        <v/>
      </c>
      <c r="H19" s="27" t="str">
        <f>IF($A19="","",ROUND(SUMIFS(记账凭证!$H$4:$H$3609,记账凭证!$J$4:$J$3609,$A19,记账凭证!$E$4:$E$3609,"应付账款"),2))</f>
        <v/>
      </c>
      <c r="I19" s="27" t="str">
        <f t="shared" si="2"/>
        <v/>
      </c>
    </row>
    <row r="20" ht="18" customHeight="1" spans="1:9">
      <c r="A20" s="26" t="str">
        <f>IFERROR(INDEX(_自动清单!$E$4:$E$253,ROW()-15),"")</f>
        <v/>
      </c>
      <c r="B20" s="99"/>
      <c r="C20" s="27" t="str">
        <f>IF($A20="","",ROUND(SUMIFS(进销存对接!$G$4:$G$305,进销存对接!$D$4:$D$305,"客户应收",进销存对接!$C$4:$C$305,$A20),2))</f>
        <v/>
      </c>
      <c r="D20" s="27" t="str">
        <f>IF($A20="","",ROUND(SUMIFS(资金日记账!$H$4:$H$603,资金日记账!$E$4:$E$603,$A20,资金日记账!$K$4:$K$603,"应收账款"),2))</f>
        <v/>
      </c>
      <c r="E20" s="27" t="str">
        <f t="shared" si="1"/>
        <v/>
      </c>
      <c r="F20" s="99"/>
      <c r="G20" s="27" t="str">
        <f>IF($A20="","",ROUND(SUMIFS(进销存对接!$F$4:$F$305,进销存对接!$D$4:$D$305,"客户应收",进销存对接!$C$4:$C$305,$A20)+SUMIFS(记账凭证!$I$4:$I$3609,记账凭证!$J$4:$J$3609,$A20,记账凭证!$E$4:$E$3609,"应付账款"),2))</f>
        <v/>
      </c>
      <c r="H20" s="27" t="str">
        <f>IF($A20="","",ROUND(SUMIFS(记账凭证!$H$4:$H$3609,记账凭证!$J$4:$J$3609,$A20,记账凭证!$E$4:$E$3609,"应付账款"),2))</f>
        <v/>
      </c>
      <c r="I20" s="27" t="str">
        <f t="shared" si="2"/>
        <v/>
      </c>
    </row>
    <row r="21" ht="18" customHeight="1" spans="1:9">
      <c r="A21" s="26" t="str">
        <f>IFERROR(INDEX(_自动清单!$E$4:$E$253,ROW()-15),"")</f>
        <v/>
      </c>
      <c r="B21" s="99"/>
      <c r="C21" s="27" t="str">
        <f>IF($A21="","",ROUND(SUMIFS(进销存对接!$G$4:$G$305,进销存对接!$D$4:$D$305,"客户应收",进销存对接!$C$4:$C$305,$A21),2))</f>
        <v/>
      </c>
      <c r="D21" s="27" t="str">
        <f>IF($A21="","",ROUND(SUMIFS(资金日记账!$H$4:$H$603,资金日记账!$E$4:$E$603,$A21,资金日记账!$K$4:$K$603,"应收账款"),2))</f>
        <v/>
      </c>
      <c r="E21" s="27" t="str">
        <f t="shared" si="1"/>
        <v/>
      </c>
      <c r="F21" s="99"/>
      <c r="G21" s="27" t="str">
        <f>IF($A21="","",ROUND(SUMIFS(进销存对接!$F$4:$F$305,进销存对接!$D$4:$D$305,"客户应收",进销存对接!$C$4:$C$305,$A21)+SUMIFS(记账凭证!$I$4:$I$3609,记账凭证!$J$4:$J$3609,$A21,记账凭证!$E$4:$E$3609,"应付账款"),2))</f>
        <v/>
      </c>
      <c r="H21" s="27" t="str">
        <f>IF($A21="","",ROUND(SUMIFS(记账凭证!$H$4:$H$3609,记账凭证!$J$4:$J$3609,$A21,记账凭证!$E$4:$E$3609,"应付账款"),2))</f>
        <v/>
      </c>
      <c r="I21" s="27" t="str">
        <f t="shared" si="2"/>
        <v/>
      </c>
    </row>
    <row r="22" ht="18" customHeight="1" spans="1:9">
      <c r="A22" s="26" t="str">
        <f>IFERROR(INDEX(_自动清单!$E$4:$E$253,ROW()-15),"")</f>
        <v/>
      </c>
      <c r="B22" s="99"/>
      <c r="C22" s="27" t="str">
        <f>IF($A22="","",ROUND(SUMIFS(进销存对接!$G$4:$G$305,进销存对接!$D$4:$D$305,"客户应收",进销存对接!$C$4:$C$305,$A22),2))</f>
        <v/>
      </c>
      <c r="D22" s="27" t="str">
        <f>IF($A22="","",ROUND(SUMIFS(资金日记账!$H$4:$H$603,资金日记账!$E$4:$E$603,$A22,资金日记账!$K$4:$K$603,"应收账款"),2))</f>
        <v/>
      </c>
      <c r="E22" s="27" t="str">
        <f t="shared" si="1"/>
        <v/>
      </c>
      <c r="F22" s="99"/>
      <c r="G22" s="27" t="str">
        <f>IF($A22="","",ROUND(SUMIFS(进销存对接!$F$4:$F$305,进销存对接!$D$4:$D$305,"客户应收",进销存对接!$C$4:$C$305,$A22)+SUMIFS(记账凭证!$I$4:$I$3609,记账凭证!$J$4:$J$3609,$A22,记账凭证!$E$4:$E$3609,"应付账款"),2))</f>
        <v/>
      </c>
      <c r="H22" s="27" t="str">
        <f>IF($A22="","",ROUND(SUMIFS(记账凭证!$H$4:$H$3609,记账凭证!$J$4:$J$3609,$A22,记账凭证!$E$4:$E$3609,"应付账款"),2))</f>
        <v/>
      </c>
      <c r="I22" s="27" t="str">
        <f t="shared" si="2"/>
        <v/>
      </c>
    </row>
    <row r="23" ht="18" customHeight="1" spans="1:9">
      <c r="A23" s="26" t="str">
        <f>IFERROR(INDEX(_自动清单!$E$4:$E$253,ROW()-15),"")</f>
        <v/>
      </c>
      <c r="B23" s="99"/>
      <c r="C23" s="27" t="str">
        <f>IF($A23="","",ROUND(SUMIFS(进销存对接!$G$4:$G$305,进销存对接!$D$4:$D$305,"客户应收",进销存对接!$C$4:$C$305,$A23),2))</f>
        <v/>
      </c>
      <c r="D23" s="27" t="str">
        <f>IF($A23="","",ROUND(SUMIFS(资金日记账!$H$4:$H$603,资金日记账!$E$4:$E$603,$A23,资金日记账!$K$4:$K$603,"应收账款"),2))</f>
        <v/>
      </c>
      <c r="E23" s="27" t="str">
        <f t="shared" si="1"/>
        <v/>
      </c>
      <c r="F23" s="99"/>
      <c r="G23" s="27" t="str">
        <f>IF($A23="","",ROUND(SUMIFS(进销存对接!$F$4:$F$305,进销存对接!$D$4:$D$305,"客户应收",进销存对接!$C$4:$C$305,$A23)+SUMIFS(记账凭证!$I$4:$I$3609,记账凭证!$J$4:$J$3609,$A23,记账凭证!$E$4:$E$3609,"应付账款"),2))</f>
        <v/>
      </c>
      <c r="H23" s="27" t="str">
        <f>IF($A23="","",ROUND(SUMIFS(记账凭证!$H$4:$H$3609,记账凭证!$J$4:$J$3609,$A23,记账凭证!$E$4:$E$3609,"应付账款"),2))</f>
        <v/>
      </c>
      <c r="I23" s="27" t="str">
        <f t="shared" si="2"/>
        <v/>
      </c>
    </row>
    <row r="24" ht="18" customHeight="1" spans="1:9">
      <c r="A24" s="26" t="str">
        <f>IFERROR(INDEX(_自动清单!$E$4:$E$253,ROW()-15),"")</f>
        <v/>
      </c>
      <c r="B24" s="99"/>
      <c r="C24" s="27" t="str">
        <f>IF($A24="","",ROUND(SUMIFS(进销存对接!$G$4:$G$305,进销存对接!$D$4:$D$305,"客户应收",进销存对接!$C$4:$C$305,$A24),2))</f>
        <v/>
      </c>
      <c r="D24" s="27" t="str">
        <f>IF($A24="","",ROUND(SUMIFS(资金日记账!$H$4:$H$603,资金日记账!$E$4:$E$603,$A24,资金日记账!$K$4:$K$603,"应收账款"),2))</f>
        <v/>
      </c>
      <c r="E24" s="27" t="str">
        <f t="shared" si="1"/>
        <v/>
      </c>
      <c r="F24" s="99"/>
      <c r="G24" s="27" t="str">
        <f>IF($A24="","",ROUND(SUMIFS(进销存对接!$F$4:$F$305,进销存对接!$D$4:$D$305,"客户应收",进销存对接!$C$4:$C$305,$A24)+SUMIFS(记账凭证!$I$4:$I$3609,记账凭证!$J$4:$J$3609,$A24,记账凭证!$E$4:$E$3609,"应付账款"),2))</f>
        <v/>
      </c>
      <c r="H24" s="27" t="str">
        <f>IF($A24="","",ROUND(SUMIFS(记账凭证!$H$4:$H$3609,记账凭证!$J$4:$J$3609,$A24,记账凭证!$E$4:$E$3609,"应付账款"),2))</f>
        <v/>
      </c>
      <c r="I24" s="27" t="str">
        <f t="shared" si="2"/>
        <v/>
      </c>
    </row>
    <row r="25" ht="18" customHeight="1" spans="1:9">
      <c r="A25" s="26" t="str">
        <f>IFERROR(INDEX(_自动清单!$E$4:$E$253,ROW()-15),"")</f>
        <v/>
      </c>
      <c r="B25" s="99"/>
      <c r="C25" s="27" t="str">
        <f>IF($A25="","",ROUND(SUMIFS(进销存对接!$G$4:$G$305,进销存对接!$D$4:$D$305,"客户应收",进销存对接!$C$4:$C$305,$A25),2))</f>
        <v/>
      </c>
      <c r="D25" s="27" t="str">
        <f>IF($A25="","",ROUND(SUMIFS(资金日记账!$H$4:$H$603,资金日记账!$E$4:$E$603,$A25,资金日记账!$K$4:$K$603,"应收账款"),2))</f>
        <v/>
      </c>
      <c r="E25" s="27" t="str">
        <f t="shared" si="1"/>
        <v/>
      </c>
      <c r="F25" s="99"/>
      <c r="G25" s="27" t="str">
        <f>IF($A25="","",ROUND(SUMIFS(进销存对接!$F$4:$F$305,进销存对接!$D$4:$D$305,"客户应收",进销存对接!$C$4:$C$305,$A25)+SUMIFS(记账凭证!$I$4:$I$3609,记账凭证!$J$4:$J$3609,$A25,记账凭证!$E$4:$E$3609,"应付账款"),2))</f>
        <v/>
      </c>
      <c r="H25" s="27" t="str">
        <f>IF($A25="","",ROUND(SUMIFS(记账凭证!$H$4:$H$3609,记账凭证!$J$4:$J$3609,$A25,记账凭证!$E$4:$E$3609,"应付账款"),2))</f>
        <v/>
      </c>
      <c r="I25" s="27" t="str">
        <f t="shared" si="2"/>
        <v/>
      </c>
    </row>
    <row r="26" ht="18" customHeight="1" spans="1:9">
      <c r="A26" s="26" t="str">
        <f>IFERROR(INDEX(_自动清单!$E$4:$E$253,ROW()-15),"")</f>
        <v/>
      </c>
      <c r="B26" s="99"/>
      <c r="C26" s="27" t="str">
        <f>IF($A26="","",ROUND(SUMIFS(进销存对接!$G$4:$G$305,进销存对接!$D$4:$D$305,"客户应收",进销存对接!$C$4:$C$305,$A26),2))</f>
        <v/>
      </c>
      <c r="D26" s="27" t="str">
        <f>IF($A26="","",ROUND(SUMIFS(资金日记账!$H$4:$H$603,资金日记账!$E$4:$E$603,$A26,资金日记账!$K$4:$K$603,"应收账款"),2))</f>
        <v/>
      </c>
      <c r="E26" s="27" t="str">
        <f t="shared" si="1"/>
        <v/>
      </c>
      <c r="F26" s="99"/>
      <c r="G26" s="27" t="str">
        <f>IF($A26="","",ROUND(SUMIFS(进销存对接!$F$4:$F$305,进销存对接!$D$4:$D$305,"客户应收",进销存对接!$C$4:$C$305,$A26)+SUMIFS(记账凭证!$I$4:$I$3609,记账凭证!$J$4:$J$3609,$A26,记账凭证!$E$4:$E$3609,"应付账款"),2))</f>
        <v/>
      </c>
      <c r="H26" s="27" t="str">
        <f>IF($A26="","",ROUND(SUMIFS(记账凭证!$H$4:$H$3609,记账凭证!$J$4:$J$3609,$A26,记账凭证!$E$4:$E$3609,"应付账款"),2))</f>
        <v/>
      </c>
      <c r="I26" s="27" t="str">
        <f t="shared" si="2"/>
        <v/>
      </c>
    </row>
    <row r="27" ht="18" customHeight="1" spans="1:9">
      <c r="A27" s="26" t="str">
        <f>IFERROR(INDEX(_自动清单!$E$4:$E$253,ROW()-15),"")</f>
        <v/>
      </c>
      <c r="B27" s="99"/>
      <c r="C27" s="27" t="str">
        <f>IF($A27="","",ROUND(SUMIFS(进销存对接!$G$4:$G$305,进销存对接!$D$4:$D$305,"客户应收",进销存对接!$C$4:$C$305,$A27),2))</f>
        <v/>
      </c>
      <c r="D27" s="27" t="str">
        <f>IF($A27="","",ROUND(SUMIFS(资金日记账!$H$4:$H$603,资金日记账!$E$4:$E$603,$A27,资金日记账!$K$4:$K$603,"应收账款"),2))</f>
        <v/>
      </c>
      <c r="E27" s="27" t="str">
        <f t="shared" si="1"/>
        <v/>
      </c>
      <c r="F27" s="99"/>
      <c r="G27" s="27" t="str">
        <f>IF($A27="","",ROUND(SUMIFS(进销存对接!$F$4:$F$305,进销存对接!$D$4:$D$305,"客户应收",进销存对接!$C$4:$C$305,$A27)+SUMIFS(记账凭证!$I$4:$I$3609,记账凭证!$J$4:$J$3609,$A27,记账凭证!$E$4:$E$3609,"应付账款"),2))</f>
        <v/>
      </c>
      <c r="H27" s="27" t="str">
        <f>IF($A27="","",ROUND(SUMIFS(记账凭证!$H$4:$H$3609,记账凭证!$J$4:$J$3609,$A27,记账凭证!$E$4:$E$3609,"应付账款"),2))</f>
        <v/>
      </c>
      <c r="I27" s="27" t="str">
        <f t="shared" si="2"/>
        <v/>
      </c>
    </row>
    <row r="28" ht="18" customHeight="1" spans="1:9">
      <c r="A28" s="26" t="str">
        <f>IFERROR(INDEX(_自动清单!$E$4:$E$253,ROW()-15),"")</f>
        <v/>
      </c>
      <c r="B28" s="99"/>
      <c r="C28" s="27" t="str">
        <f>IF($A28="","",ROUND(SUMIFS(进销存对接!$G$4:$G$305,进销存对接!$D$4:$D$305,"客户应收",进销存对接!$C$4:$C$305,$A28),2))</f>
        <v/>
      </c>
      <c r="D28" s="27" t="str">
        <f>IF($A28="","",ROUND(SUMIFS(资金日记账!$H$4:$H$603,资金日记账!$E$4:$E$603,$A28,资金日记账!$K$4:$K$603,"应收账款"),2))</f>
        <v/>
      </c>
      <c r="E28" s="27" t="str">
        <f t="shared" si="1"/>
        <v/>
      </c>
      <c r="F28" s="99"/>
      <c r="G28" s="27" t="str">
        <f>IF($A28="","",ROUND(SUMIFS(进销存对接!$F$4:$F$305,进销存对接!$D$4:$D$305,"客户应收",进销存对接!$C$4:$C$305,$A28)+SUMIFS(记账凭证!$I$4:$I$3609,记账凭证!$J$4:$J$3609,$A28,记账凭证!$E$4:$E$3609,"应付账款"),2))</f>
        <v/>
      </c>
      <c r="H28" s="27" t="str">
        <f>IF($A28="","",ROUND(SUMIFS(记账凭证!$H$4:$H$3609,记账凭证!$J$4:$J$3609,$A28,记账凭证!$E$4:$E$3609,"应付账款"),2))</f>
        <v/>
      </c>
      <c r="I28" s="27" t="str">
        <f t="shared" si="2"/>
        <v/>
      </c>
    </row>
    <row r="29" ht="18" customHeight="1" spans="1:9">
      <c r="A29" s="26" t="str">
        <f>IFERROR(INDEX(_自动清单!$E$4:$E$253,ROW()-15),"")</f>
        <v/>
      </c>
      <c r="B29" s="99"/>
      <c r="C29" s="27" t="str">
        <f>IF($A29="","",ROUND(SUMIFS(进销存对接!$G$4:$G$305,进销存对接!$D$4:$D$305,"客户应收",进销存对接!$C$4:$C$305,$A29),2))</f>
        <v/>
      </c>
      <c r="D29" s="27" t="str">
        <f>IF($A29="","",ROUND(SUMIFS(资金日记账!$H$4:$H$603,资金日记账!$E$4:$E$603,$A29,资金日记账!$K$4:$K$603,"应收账款"),2))</f>
        <v/>
      </c>
      <c r="E29" s="27" t="str">
        <f t="shared" si="1"/>
        <v/>
      </c>
      <c r="F29" s="99"/>
      <c r="G29" s="27" t="str">
        <f>IF($A29="","",ROUND(SUMIFS(进销存对接!$F$4:$F$305,进销存对接!$D$4:$D$305,"客户应收",进销存对接!$C$4:$C$305,$A29)+SUMIFS(记账凭证!$I$4:$I$3609,记账凭证!$J$4:$J$3609,$A29,记账凭证!$E$4:$E$3609,"应付账款"),2))</f>
        <v/>
      </c>
      <c r="H29" s="27" t="str">
        <f>IF($A29="","",ROUND(SUMIFS(记账凭证!$H$4:$H$3609,记账凭证!$J$4:$J$3609,$A29,记账凭证!$E$4:$E$3609,"应付账款"),2))</f>
        <v/>
      </c>
      <c r="I29" s="27" t="str">
        <f t="shared" si="2"/>
        <v/>
      </c>
    </row>
    <row r="30" ht="18" customHeight="1" spans="1:9">
      <c r="A30" s="26" t="str">
        <f>IFERROR(INDEX(_自动清单!$E$4:$E$253,ROW()-15),"")</f>
        <v/>
      </c>
      <c r="B30" s="99"/>
      <c r="C30" s="27" t="str">
        <f>IF($A30="","",ROUND(SUMIFS(进销存对接!$G$4:$G$305,进销存对接!$D$4:$D$305,"客户应收",进销存对接!$C$4:$C$305,$A30),2))</f>
        <v/>
      </c>
      <c r="D30" s="27" t="str">
        <f>IF($A30="","",ROUND(SUMIFS(资金日记账!$H$4:$H$603,资金日记账!$E$4:$E$603,$A30,资金日记账!$K$4:$K$603,"应收账款"),2))</f>
        <v/>
      </c>
      <c r="E30" s="27" t="str">
        <f t="shared" si="1"/>
        <v/>
      </c>
      <c r="F30" s="99"/>
      <c r="G30" s="27" t="str">
        <f>IF($A30="","",ROUND(SUMIFS(进销存对接!$F$4:$F$305,进销存对接!$D$4:$D$305,"客户应收",进销存对接!$C$4:$C$305,$A30)+SUMIFS(记账凭证!$I$4:$I$3609,记账凭证!$J$4:$J$3609,$A30,记账凭证!$E$4:$E$3609,"应付账款"),2))</f>
        <v/>
      </c>
      <c r="H30" s="27" t="str">
        <f>IF($A30="","",ROUND(SUMIFS(记账凭证!$H$4:$H$3609,记账凭证!$J$4:$J$3609,$A30,记账凭证!$E$4:$E$3609,"应付账款"),2))</f>
        <v/>
      </c>
      <c r="I30" s="27" t="str">
        <f t="shared" si="2"/>
        <v/>
      </c>
    </row>
    <row r="31" ht="18" customHeight="1" spans="1:9">
      <c r="A31" s="26" t="str">
        <f>IFERROR(INDEX(_自动清单!$E$4:$E$253,ROW()-15),"")</f>
        <v/>
      </c>
      <c r="B31" s="99"/>
      <c r="C31" s="27" t="str">
        <f>IF($A31="","",ROUND(SUMIFS(进销存对接!$G$4:$G$305,进销存对接!$D$4:$D$305,"客户应收",进销存对接!$C$4:$C$305,$A31),2))</f>
        <v/>
      </c>
      <c r="D31" s="27" t="str">
        <f>IF($A31="","",ROUND(SUMIFS(资金日记账!$H$4:$H$603,资金日记账!$E$4:$E$603,$A31,资金日记账!$K$4:$K$603,"应收账款"),2))</f>
        <v/>
      </c>
      <c r="E31" s="27" t="str">
        <f t="shared" si="1"/>
        <v/>
      </c>
      <c r="F31" s="99"/>
      <c r="G31" s="27" t="str">
        <f>IF($A31="","",ROUND(SUMIFS(进销存对接!$F$4:$F$305,进销存对接!$D$4:$D$305,"客户应收",进销存对接!$C$4:$C$305,$A31)+SUMIFS(记账凭证!$I$4:$I$3609,记账凭证!$J$4:$J$3609,$A31,记账凭证!$E$4:$E$3609,"应付账款"),2))</f>
        <v/>
      </c>
      <c r="H31" s="27" t="str">
        <f>IF($A31="","",ROUND(SUMIFS(记账凭证!$H$4:$H$3609,记账凭证!$J$4:$J$3609,$A31,记账凭证!$E$4:$E$3609,"应付账款"),2))</f>
        <v/>
      </c>
      <c r="I31" s="27" t="str">
        <f t="shared" si="2"/>
        <v/>
      </c>
    </row>
    <row r="32" ht="18" customHeight="1" spans="1:9">
      <c r="A32" s="26" t="str">
        <f>IFERROR(INDEX(_自动清单!$E$4:$E$253,ROW()-15),"")</f>
        <v/>
      </c>
      <c r="B32" s="99"/>
      <c r="C32" s="27" t="str">
        <f>IF($A32="","",ROUND(SUMIFS(进销存对接!$G$4:$G$305,进销存对接!$D$4:$D$305,"客户应收",进销存对接!$C$4:$C$305,$A32),2))</f>
        <v/>
      </c>
      <c r="D32" s="27" t="str">
        <f>IF($A32="","",ROUND(SUMIFS(资金日记账!$H$4:$H$603,资金日记账!$E$4:$E$603,$A32,资金日记账!$K$4:$K$603,"应收账款"),2))</f>
        <v/>
      </c>
      <c r="E32" s="27" t="str">
        <f t="shared" si="1"/>
        <v/>
      </c>
      <c r="F32" s="99"/>
      <c r="G32" s="27" t="str">
        <f>IF($A32="","",ROUND(SUMIFS(进销存对接!$F$4:$F$305,进销存对接!$D$4:$D$305,"客户应收",进销存对接!$C$4:$C$305,$A32)+SUMIFS(记账凭证!$I$4:$I$3609,记账凭证!$J$4:$J$3609,$A32,记账凭证!$E$4:$E$3609,"应付账款"),2))</f>
        <v/>
      </c>
      <c r="H32" s="27" t="str">
        <f>IF($A32="","",ROUND(SUMIFS(记账凭证!$H$4:$H$3609,记账凭证!$J$4:$J$3609,$A32,记账凭证!$E$4:$E$3609,"应付账款"),2))</f>
        <v/>
      </c>
      <c r="I32" s="27" t="str">
        <f t="shared" si="2"/>
        <v/>
      </c>
    </row>
    <row r="33" ht="18" customHeight="1" spans="1:9">
      <c r="A33" s="26" t="str">
        <f>IFERROR(INDEX(_自动清单!$E$4:$E$253,ROW()-15),"")</f>
        <v/>
      </c>
      <c r="B33" s="99"/>
      <c r="C33" s="27" t="str">
        <f>IF($A33="","",ROUND(SUMIFS(进销存对接!$G$4:$G$305,进销存对接!$D$4:$D$305,"客户应收",进销存对接!$C$4:$C$305,$A33),2))</f>
        <v/>
      </c>
      <c r="D33" s="27" t="str">
        <f>IF($A33="","",ROUND(SUMIFS(资金日记账!$H$4:$H$603,资金日记账!$E$4:$E$603,$A33,资金日记账!$K$4:$K$603,"应收账款"),2))</f>
        <v/>
      </c>
      <c r="E33" s="27" t="str">
        <f t="shared" si="1"/>
        <v/>
      </c>
      <c r="F33" s="99"/>
      <c r="G33" s="27" t="str">
        <f>IF($A33="","",ROUND(SUMIFS(进销存对接!$F$4:$F$305,进销存对接!$D$4:$D$305,"客户应收",进销存对接!$C$4:$C$305,$A33)+SUMIFS(记账凭证!$I$4:$I$3609,记账凭证!$J$4:$J$3609,$A33,记账凭证!$E$4:$E$3609,"应付账款"),2))</f>
        <v/>
      </c>
      <c r="H33" s="27" t="str">
        <f>IF($A33="","",ROUND(SUMIFS(记账凭证!$H$4:$H$3609,记账凭证!$J$4:$J$3609,$A33,记账凭证!$E$4:$E$3609,"应付账款"),2))</f>
        <v/>
      </c>
      <c r="I33" s="27" t="str">
        <f t="shared" si="2"/>
        <v/>
      </c>
    </row>
    <row r="34" ht="18" customHeight="1" spans="1:9">
      <c r="A34" s="26" t="str">
        <f>IFERROR(INDEX(_自动清单!$E$4:$E$253,ROW()-15),"")</f>
        <v/>
      </c>
      <c r="B34" s="99"/>
      <c r="C34" s="27" t="str">
        <f>IF($A34="","",ROUND(SUMIFS(进销存对接!$G$4:$G$305,进销存对接!$D$4:$D$305,"客户应收",进销存对接!$C$4:$C$305,$A34),2))</f>
        <v/>
      </c>
      <c r="D34" s="27" t="str">
        <f>IF($A34="","",ROUND(SUMIFS(资金日记账!$H$4:$H$603,资金日记账!$E$4:$E$603,$A34,资金日记账!$K$4:$K$603,"应收账款"),2))</f>
        <v/>
      </c>
      <c r="E34" s="27" t="str">
        <f t="shared" si="1"/>
        <v/>
      </c>
      <c r="F34" s="99"/>
      <c r="G34" s="27" t="str">
        <f>IF($A34="","",ROUND(SUMIFS(进销存对接!$F$4:$F$305,进销存对接!$D$4:$D$305,"客户应收",进销存对接!$C$4:$C$305,$A34)+SUMIFS(记账凭证!$I$4:$I$3609,记账凭证!$J$4:$J$3609,$A34,记账凭证!$E$4:$E$3609,"应付账款"),2))</f>
        <v/>
      </c>
      <c r="H34" s="27" t="str">
        <f>IF($A34="","",ROUND(SUMIFS(记账凭证!$H$4:$H$3609,记账凭证!$J$4:$J$3609,$A34,记账凭证!$E$4:$E$3609,"应付账款"),2))</f>
        <v/>
      </c>
      <c r="I34" s="27" t="str">
        <f t="shared" si="2"/>
        <v/>
      </c>
    </row>
    <row r="35" ht="18" customHeight="1" spans="1:9">
      <c r="A35" s="26" t="str">
        <f>IFERROR(INDEX(_自动清单!$E$4:$E$253,ROW()-15),"")</f>
        <v/>
      </c>
      <c r="B35" s="99"/>
      <c r="C35" s="27" t="str">
        <f>IF($A35="","",ROUND(SUMIFS(进销存对接!$G$4:$G$305,进销存对接!$D$4:$D$305,"客户应收",进销存对接!$C$4:$C$305,$A35),2))</f>
        <v/>
      </c>
      <c r="D35" s="27" t="str">
        <f>IF($A35="","",ROUND(SUMIFS(资金日记账!$H$4:$H$603,资金日记账!$E$4:$E$603,$A35,资金日记账!$K$4:$K$603,"应收账款"),2))</f>
        <v/>
      </c>
      <c r="E35" s="27" t="str">
        <f t="shared" si="1"/>
        <v/>
      </c>
      <c r="F35" s="99"/>
      <c r="G35" s="27" t="str">
        <f>IF($A35="","",ROUND(SUMIFS(进销存对接!$F$4:$F$305,进销存对接!$D$4:$D$305,"客户应收",进销存对接!$C$4:$C$305,$A35)+SUMIFS(记账凭证!$I$4:$I$3609,记账凭证!$J$4:$J$3609,$A35,记账凭证!$E$4:$E$3609,"应付账款"),2))</f>
        <v/>
      </c>
      <c r="H35" s="27" t="str">
        <f>IF($A35="","",ROUND(SUMIFS(记账凭证!$H$4:$H$3609,记账凭证!$J$4:$J$3609,$A35,记账凭证!$E$4:$E$3609,"应付账款"),2))</f>
        <v/>
      </c>
      <c r="I35" s="27" t="str">
        <f t="shared" si="2"/>
        <v/>
      </c>
    </row>
    <row r="36" ht="18" customHeight="1" spans="1:9">
      <c r="A36" s="26" t="str">
        <f>IFERROR(INDEX(_自动清单!$E$4:$E$253,ROW()-15),"")</f>
        <v/>
      </c>
      <c r="B36" s="99"/>
      <c r="C36" s="27" t="str">
        <f>IF($A36="","",ROUND(SUMIFS(进销存对接!$G$4:$G$305,进销存对接!$D$4:$D$305,"客户应收",进销存对接!$C$4:$C$305,$A36),2))</f>
        <v/>
      </c>
      <c r="D36" s="27" t="str">
        <f>IF($A36="","",ROUND(SUMIFS(资金日记账!$H$4:$H$603,资金日记账!$E$4:$E$603,$A36,资金日记账!$K$4:$K$603,"应收账款"),2))</f>
        <v/>
      </c>
      <c r="E36" s="27" t="str">
        <f t="shared" si="1"/>
        <v/>
      </c>
      <c r="F36" s="99"/>
      <c r="G36" s="27" t="str">
        <f>IF($A36="","",ROUND(SUMIFS(进销存对接!$F$4:$F$305,进销存对接!$D$4:$D$305,"客户应收",进销存对接!$C$4:$C$305,$A36)+SUMIFS(记账凭证!$I$4:$I$3609,记账凭证!$J$4:$J$3609,$A36,记账凭证!$E$4:$E$3609,"应付账款"),2))</f>
        <v/>
      </c>
      <c r="H36" s="27" t="str">
        <f>IF($A36="","",ROUND(SUMIFS(记账凭证!$H$4:$H$3609,记账凭证!$J$4:$J$3609,$A36,记账凭证!$E$4:$E$3609,"应付账款"),2))</f>
        <v/>
      </c>
      <c r="I36" s="27" t="str">
        <f t="shared" si="2"/>
        <v/>
      </c>
    </row>
    <row r="37" ht="18" customHeight="1" spans="1:9">
      <c r="A37" s="26" t="str">
        <f>IFERROR(INDEX(_自动清单!$E$4:$E$253,ROW()-15),"")</f>
        <v/>
      </c>
      <c r="B37" s="99"/>
      <c r="C37" s="27" t="str">
        <f>IF($A37="","",ROUND(SUMIFS(进销存对接!$G$4:$G$305,进销存对接!$D$4:$D$305,"客户应收",进销存对接!$C$4:$C$305,$A37),2))</f>
        <v/>
      </c>
      <c r="D37" s="27" t="str">
        <f>IF($A37="","",ROUND(SUMIFS(资金日记账!$H$4:$H$603,资金日记账!$E$4:$E$603,$A37,资金日记账!$K$4:$K$603,"应收账款"),2))</f>
        <v/>
      </c>
      <c r="E37" s="27" t="str">
        <f t="shared" si="1"/>
        <v/>
      </c>
      <c r="F37" s="99"/>
      <c r="G37" s="27" t="str">
        <f>IF($A37="","",ROUND(SUMIFS(进销存对接!$F$4:$F$305,进销存对接!$D$4:$D$305,"客户应收",进销存对接!$C$4:$C$305,$A37)+SUMIFS(记账凭证!$I$4:$I$3609,记账凭证!$J$4:$J$3609,$A37,记账凭证!$E$4:$E$3609,"应付账款"),2))</f>
        <v/>
      </c>
      <c r="H37" s="27" t="str">
        <f>IF($A37="","",ROUND(SUMIFS(记账凭证!$H$4:$H$3609,记账凭证!$J$4:$J$3609,$A37,记账凭证!$E$4:$E$3609,"应付账款"),2))</f>
        <v/>
      </c>
      <c r="I37" s="27" t="str">
        <f t="shared" si="2"/>
        <v/>
      </c>
    </row>
    <row r="38" ht="18" customHeight="1" spans="1:9">
      <c r="A38" s="26" t="str">
        <f>IFERROR(INDEX(_自动清单!$E$4:$E$253,ROW()-15),"")</f>
        <v/>
      </c>
      <c r="B38" s="99"/>
      <c r="C38" s="27" t="str">
        <f>IF($A38="","",ROUND(SUMIFS(进销存对接!$G$4:$G$305,进销存对接!$D$4:$D$305,"客户应收",进销存对接!$C$4:$C$305,$A38),2))</f>
        <v/>
      </c>
      <c r="D38" s="27" t="str">
        <f>IF($A38="","",ROUND(SUMIFS(资金日记账!$H$4:$H$603,资金日记账!$E$4:$E$603,$A38,资金日记账!$K$4:$K$603,"应收账款"),2))</f>
        <v/>
      </c>
      <c r="E38" s="27" t="str">
        <f t="shared" si="1"/>
        <v/>
      </c>
      <c r="F38" s="99"/>
      <c r="G38" s="27" t="str">
        <f>IF($A38="","",ROUND(SUMIFS(进销存对接!$F$4:$F$305,进销存对接!$D$4:$D$305,"客户应收",进销存对接!$C$4:$C$305,$A38)+SUMIFS(记账凭证!$I$4:$I$3609,记账凭证!$J$4:$J$3609,$A38,记账凭证!$E$4:$E$3609,"应付账款"),2))</f>
        <v/>
      </c>
      <c r="H38" s="27" t="str">
        <f>IF($A38="","",ROUND(SUMIFS(记账凭证!$H$4:$H$3609,记账凭证!$J$4:$J$3609,$A38,记账凭证!$E$4:$E$3609,"应付账款"),2))</f>
        <v/>
      </c>
      <c r="I38" s="27" t="str">
        <f t="shared" si="2"/>
        <v/>
      </c>
    </row>
    <row r="39" ht="18" customHeight="1" spans="1:9">
      <c r="A39" s="26" t="str">
        <f>IFERROR(INDEX(_自动清单!$E$4:$E$253,ROW()-15),"")</f>
        <v/>
      </c>
      <c r="B39" s="99"/>
      <c r="C39" s="27" t="str">
        <f>IF($A39="","",ROUND(SUMIFS(进销存对接!$G$4:$G$305,进销存对接!$D$4:$D$305,"客户应收",进销存对接!$C$4:$C$305,$A39),2))</f>
        <v/>
      </c>
      <c r="D39" s="27" t="str">
        <f>IF($A39="","",ROUND(SUMIFS(资金日记账!$H$4:$H$603,资金日记账!$E$4:$E$603,$A39,资金日记账!$K$4:$K$603,"应收账款"),2))</f>
        <v/>
      </c>
      <c r="E39" s="27" t="str">
        <f t="shared" si="1"/>
        <v/>
      </c>
      <c r="F39" s="99"/>
      <c r="G39" s="27" t="str">
        <f>IF($A39="","",ROUND(SUMIFS(进销存对接!$F$4:$F$305,进销存对接!$D$4:$D$305,"客户应收",进销存对接!$C$4:$C$305,$A39)+SUMIFS(记账凭证!$I$4:$I$3609,记账凭证!$J$4:$J$3609,$A39,记账凭证!$E$4:$E$3609,"应付账款"),2))</f>
        <v/>
      </c>
      <c r="H39" s="27" t="str">
        <f>IF($A39="","",ROUND(SUMIFS(记账凭证!$H$4:$H$3609,记账凭证!$J$4:$J$3609,$A39,记账凭证!$E$4:$E$3609,"应付账款"),2))</f>
        <v/>
      </c>
      <c r="I39" s="27" t="str">
        <f t="shared" si="2"/>
        <v/>
      </c>
    </row>
    <row r="40" ht="18" customHeight="1" spans="1:9">
      <c r="A40" s="26" t="str">
        <f>IFERROR(INDEX(_自动清单!$E$4:$E$253,ROW()-15),"")</f>
        <v/>
      </c>
      <c r="B40" s="99"/>
      <c r="C40" s="27" t="str">
        <f>IF($A40="","",ROUND(SUMIFS(进销存对接!$G$4:$G$305,进销存对接!$D$4:$D$305,"客户应收",进销存对接!$C$4:$C$305,$A40),2))</f>
        <v/>
      </c>
      <c r="D40" s="27" t="str">
        <f>IF($A40="","",ROUND(SUMIFS(资金日记账!$H$4:$H$603,资金日记账!$E$4:$E$603,$A40,资金日记账!$K$4:$K$603,"应收账款"),2))</f>
        <v/>
      </c>
      <c r="E40" s="27" t="str">
        <f t="shared" si="1"/>
        <v/>
      </c>
      <c r="F40" s="99"/>
      <c r="G40" s="27" t="str">
        <f>IF($A40="","",ROUND(SUMIFS(进销存对接!$F$4:$F$305,进销存对接!$D$4:$D$305,"客户应收",进销存对接!$C$4:$C$305,$A40)+SUMIFS(记账凭证!$I$4:$I$3609,记账凭证!$J$4:$J$3609,$A40,记账凭证!$E$4:$E$3609,"应付账款"),2))</f>
        <v/>
      </c>
      <c r="H40" s="27" t="str">
        <f>IF($A40="","",ROUND(SUMIFS(记账凭证!$H$4:$H$3609,记账凭证!$J$4:$J$3609,$A40,记账凭证!$E$4:$E$3609,"应付账款"),2))</f>
        <v/>
      </c>
      <c r="I40" s="27" t="str">
        <f t="shared" si="2"/>
        <v/>
      </c>
    </row>
    <row r="41" ht="18" customHeight="1" spans="1:9">
      <c r="A41" s="26" t="str">
        <f>IFERROR(INDEX(_自动清单!$E$4:$E$253,ROW()-15),"")</f>
        <v/>
      </c>
      <c r="B41" s="99"/>
      <c r="C41" s="27" t="str">
        <f>IF($A41="","",ROUND(SUMIFS(进销存对接!$G$4:$G$305,进销存对接!$D$4:$D$305,"客户应收",进销存对接!$C$4:$C$305,$A41),2))</f>
        <v/>
      </c>
      <c r="D41" s="27" t="str">
        <f>IF($A41="","",ROUND(SUMIFS(资金日记账!$H$4:$H$603,资金日记账!$E$4:$E$603,$A41,资金日记账!$K$4:$K$603,"应收账款"),2))</f>
        <v/>
      </c>
      <c r="E41" s="27" t="str">
        <f t="shared" si="1"/>
        <v/>
      </c>
      <c r="F41" s="99"/>
      <c r="G41" s="27" t="str">
        <f>IF($A41="","",ROUND(SUMIFS(进销存对接!$F$4:$F$305,进销存对接!$D$4:$D$305,"客户应收",进销存对接!$C$4:$C$305,$A41)+SUMIFS(记账凭证!$I$4:$I$3609,记账凭证!$J$4:$J$3609,$A41,记账凭证!$E$4:$E$3609,"应付账款"),2))</f>
        <v/>
      </c>
      <c r="H41" s="27" t="str">
        <f>IF($A41="","",ROUND(SUMIFS(记账凭证!$H$4:$H$3609,记账凭证!$J$4:$J$3609,$A41,记账凭证!$E$4:$E$3609,"应付账款"),2))</f>
        <v/>
      </c>
      <c r="I41" s="27" t="str">
        <f t="shared" si="2"/>
        <v/>
      </c>
    </row>
    <row r="42" ht="18" customHeight="1" spans="1:9">
      <c r="A42" s="26" t="str">
        <f>IFERROR(INDEX(_自动清单!$E$4:$E$253,ROW()-15),"")</f>
        <v/>
      </c>
      <c r="B42" s="99"/>
      <c r="C42" s="27" t="str">
        <f>IF($A42="","",ROUND(SUMIFS(进销存对接!$G$4:$G$305,进销存对接!$D$4:$D$305,"客户应收",进销存对接!$C$4:$C$305,$A42),2))</f>
        <v/>
      </c>
      <c r="D42" s="27" t="str">
        <f>IF($A42="","",ROUND(SUMIFS(资金日记账!$H$4:$H$603,资金日记账!$E$4:$E$603,$A42,资金日记账!$K$4:$K$603,"应收账款"),2))</f>
        <v/>
      </c>
      <c r="E42" s="27" t="str">
        <f t="shared" si="1"/>
        <v/>
      </c>
      <c r="F42" s="99"/>
      <c r="G42" s="27" t="str">
        <f>IF($A42="","",ROUND(SUMIFS(进销存对接!$F$4:$F$305,进销存对接!$D$4:$D$305,"客户应收",进销存对接!$C$4:$C$305,$A42)+SUMIFS(记账凭证!$I$4:$I$3609,记账凭证!$J$4:$J$3609,$A42,记账凭证!$E$4:$E$3609,"应付账款"),2))</f>
        <v/>
      </c>
      <c r="H42" s="27" t="str">
        <f>IF($A42="","",ROUND(SUMIFS(记账凭证!$H$4:$H$3609,记账凭证!$J$4:$J$3609,$A42,记账凭证!$E$4:$E$3609,"应付账款"),2))</f>
        <v/>
      </c>
      <c r="I42" s="27" t="str">
        <f t="shared" si="2"/>
        <v/>
      </c>
    </row>
    <row r="43" ht="18" customHeight="1" spans="1:9">
      <c r="A43" s="26" t="str">
        <f>IFERROR(INDEX(_自动清单!$E$4:$E$253,ROW()-15),"")</f>
        <v/>
      </c>
      <c r="B43" s="99"/>
      <c r="C43" s="27" t="str">
        <f>IF($A43="","",ROUND(SUMIFS(进销存对接!$G$4:$G$305,进销存对接!$D$4:$D$305,"客户应收",进销存对接!$C$4:$C$305,$A43),2))</f>
        <v/>
      </c>
      <c r="D43" s="27" t="str">
        <f>IF($A43="","",ROUND(SUMIFS(资金日记账!$H$4:$H$603,资金日记账!$E$4:$E$603,$A43,资金日记账!$K$4:$K$603,"应收账款"),2))</f>
        <v/>
      </c>
      <c r="E43" s="27" t="str">
        <f t="shared" si="1"/>
        <v/>
      </c>
      <c r="F43" s="99"/>
      <c r="G43" s="27" t="str">
        <f>IF($A43="","",ROUND(SUMIFS(进销存对接!$F$4:$F$305,进销存对接!$D$4:$D$305,"客户应收",进销存对接!$C$4:$C$305,$A43)+SUMIFS(记账凭证!$I$4:$I$3609,记账凭证!$J$4:$J$3609,$A43,记账凭证!$E$4:$E$3609,"应付账款"),2))</f>
        <v/>
      </c>
      <c r="H43" s="27" t="str">
        <f>IF($A43="","",ROUND(SUMIFS(记账凭证!$H$4:$H$3609,记账凭证!$J$4:$J$3609,$A43,记账凭证!$E$4:$E$3609,"应付账款"),2))</f>
        <v/>
      </c>
      <c r="I43" s="27" t="str">
        <f t="shared" si="2"/>
        <v/>
      </c>
    </row>
    <row r="44" ht="18" customHeight="1" spans="1:9">
      <c r="A44" s="26" t="str">
        <f>IFERROR(INDEX(_自动清单!$E$4:$E$253,ROW()-15),"")</f>
        <v/>
      </c>
      <c r="B44" s="99"/>
      <c r="C44" s="27" t="str">
        <f>IF($A44="","",ROUND(SUMIFS(进销存对接!$G$4:$G$305,进销存对接!$D$4:$D$305,"客户应收",进销存对接!$C$4:$C$305,$A44),2))</f>
        <v/>
      </c>
      <c r="D44" s="27" t="str">
        <f>IF($A44="","",ROUND(SUMIFS(资金日记账!$H$4:$H$603,资金日记账!$E$4:$E$603,$A44,资金日记账!$K$4:$K$603,"应收账款"),2))</f>
        <v/>
      </c>
      <c r="E44" s="27" t="str">
        <f t="shared" si="1"/>
        <v/>
      </c>
      <c r="F44" s="99"/>
      <c r="G44" s="27" t="str">
        <f>IF($A44="","",ROUND(SUMIFS(进销存对接!$F$4:$F$305,进销存对接!$D$4:$D$305,"客户应收",进销存对接!$C$4:$C$305,$A44)+SUMIFS(记账凭证!$I$4:$I$3609,记账凭证!$J$4:$J$3609,$A44,记账凭证!$E$4:$E$3609,"应付账款"),2))</f>
        <v/>
      </c>
      <c r="H44" s="27" t="str">
        <f>IF($A44="","",ROUND(SUMIFS(记账凭证!$H$4:$H$3609,记账凭证!$J$4:$J$3609,$A44,记账凭证!$E$4:$E$3609,"应付账款"),2))</f>
        <v/>
      </c>
      <c r="I44" s="27" t="str">
        <f t="shared" si="2"/>
        <v/>
      </c>
    </row>
    <row r="45" ht="18" customHeight="1" spans="1:9">
      <c r="A45" s="26" t="str">
        <f>IFERROR(INDEX(_自动清单!$E$4:$E$253,ROW()-15),"")</f>
        <v/>
      </c>
      <c r="B45" s="99"/>
      <c r="C45" s="27" t="str">
        <f>IF($A45="","",ROUND(SUMIFS(进销存对接!$G$4:$G$305,进销存对接!$D$4:$D$305,"客户应收",进销存对接!$C$4:$C$305,$A45),2))</f>
        <v/>
      </c>
      <c r="D45" s="27" t="str">
        <f>IF($A45="","",ROUND(SUMIFS(资金日记账!$H$4:$H$603,资金日记账!$E$4:$E$603,$A45,资金日记账!$K$4:$K$603,"应收账款"),2))</f>
        <v/>
      </c>
      <c r="E45" s="27" t="str">
        <f t="shared" si="1"/>
        <v/>
      </c>
      <c r="F45" s="99"/>
      <c r="G45" s="27" t="str">
        <f>IF($A45="","",ROUND(SUMIFS(进销存对接!$F$4:$F$305,进销存对接!$D$4:$D$305,"客户应收",进销存对接!$C$4:$C$305,$A45)+SUMIFS(记账凭证!$I$4:$I$3609,记账凭证!$J$4:$J$3609,$A45,记账凭证!$E$4:$E$3609,"应付账款"),2))</f>
        <v/>
      </c>
      <c r="H45" s="27" t="str">
        <f>IF($A45="","",ROUND(SUMIFS(记账凭证!$H$4:$H$3609,记账凭证!$J$4:$J$3609,$A45,记账凭证!$E$4:$E$3609,"应付账款"),2))</f>
        <v/>
      </c>
      <c r="I45" s="27" t="str">
        <f t="shared" si="2"/>
        <v/>
      </c>
    </row>
    <row r="46" ht="18" customHeight="1" spans="1:9">
      <c r="A46" s="26" t="str">
        <f>IFERROR(INDEX(_自动清单!$E$4:$E$253,ROW()-15),"")</f>
        <v/>
      </c>
      <c r="B46" s="99"/>
      <c r="C46" s="27" t="str">
        <f>IF($A46="","",ROUND(SUMIFS(进销存对接!$G$4:$G$305,进销存对接!$D$4:$D$305,"客户应收",进销存对接!$C$4:$C$305,$A46),2))</f>
        <v/>
      </c>
      <c r="D46" s="27" t="str">
        <f>IF($A46="","",ROUND(SUMIFS(资金日记账!$H$4:$H$603,资金日记账!$E$4:$E$603,$A46,资金日记账!$K$4:$K$603,"应收账款"),2))</f>
        <v/>
      </c>
      <c r="E46" s="27" t="str">
        <f t="shared" si="1"/>
        <v/>
      </c>
      <c r="F46" s="99"/>
      <c r="G46" s="27" t="str">
        <f>IF($A46="","",ROUND(SUMIFS(进销存对接!$F$4:$F$305,进销存对接!$D$4:$D$305,"客户应收",进销存对接!$C$4:$C$305,$A46)+SUMIFS(记账凭证!$I$4:$I$3609,记账凭证!$J$4:$J$3609,$A46,记账凭证!$E$4:$E$3609,"应付账款"),2))</f>
        <v/>
      </c>
      <c r="H46" s="27" t="str">
        <f>IF($A46="","",ROUND(SUMIFS(记账凭证!$H$4:$H$3609,记账凭证!$J$4:$J$3609,$A46,记账凭证!$E$4:$E$3609,"应付账款"),2))</f>
        <v/>
      </c>
      <c r="I46" s="27" t="str">
        <f t="shared" si="2"/>
        <v/>
      </c>
    </row>
    <row r="47" ht="18" customHeight="1" spans="1:9">
      <c r="A47" s="26" t="str">
        <f>IFERROR(INDEX(_自动清单!$E$4:$E$253,ROW()-15),"")</f>
        <v/>
      </c>
      <c r="B47" s="99"/>
      <c r="C47" s="27" t="str">
        <f>IF($A47="","",ROUND(SUMIFS(进销存对接!$G$4:$G$305,进销存对接!$D$4:$D$305,"客户应收",进销存对接!$C$4:$C$305,$A47),2))</f>
        <v/>
      </c>
      <c r="D47" s="27" t="str">
        <f>IF($A47="","",ROUND(SUMIFS(资金日记账!$H$4:$H$603,资金日记账!$E$4:$E$603,$A47,资金日记账!$K$4:$K$603,"应收账款"),2))</f>
        <v/>
      </c>
      <c r="E47" s="27" t="str">
        <f t="shared" si="1"/>
        <v/>
      </c>
      <c r="F47" s="99"/>
      <c r="G47" s="27" t="str">
        <f>IF($A47="","",ROUND(SUMIFS(进销存对接!$F$4:$F$305,进销存对接!$D$4:$D$305,"客户应收",进销存对接!$C$4:$C$305,$A47)+SUMIFS(记账凭证!$I$4:$I$3609,记账凭证!$J$4:$J$3609,$A47,记账凭证!$E$4:$E$3609,"应付账款"),2))</f>
        <v/>
      </c>
      <c r="H47" s="27" t="str">
        <f>IF($A47="","",ROUND(SUMIFS(记账凭证!$H$4:$H$3609,记账凭证!$J$4:$J$3609,$A47,记账凭证!$E$4:$E$3609,"应付账款"),2))</f>
        <v/>
      </c>
      <c r="I47" s="27" t="str">
        <f t="shared" si="2"/>
        <v/>
      </c>
    </row>
    <row r="48" ht="18" customHeight="1" spans="1:9">
      <c r="A48" s="26" t="str">
        <f>IFERROR(INDEX(_自动清单!$E$4:$E$253,ROW()-15),"")</f>
        <v/>
      </c>
      <c r="B48" s="99"/>
      <c r="C48" s="27" t="str">
        <f>IF($A48="","",ROUND(SUMIFS(进销存对接!$G$4:$G$305,进销存对接!$D$4:$D$305,"客户应收",进销存对接!$C$4:$C$305,$A48),2))</f>
        <v/>
      </c>
      <c r="D48" s="27" t="str">
        <f>IF($A48="","",ROUND(SUMIFS(资金日记账!$H$4:$H$603,资金日记账!$E$4:$E$603,$A48,资金日记账!$K$4:$K$603,"应收账款"),2))</f>
        <v/>
      </c>
      <c r="E48" s="27" t="str">
        <f t="shared" si="1"/>
        <v/>
      </c>
      <c r="F48" s="99"/>
      <c r="G48" s="27" t="str">
        <f>IF($A48="","",ROUND(SUMIFS(进销存对接!$F$4:$F$305,进销存对接!$D$4:$D$305,"客户应收",进销存对接!$C$4:$C$305,$A48)+SUMIFS(记账凭证!$I$4:$I$3609,记账凭证!$J$4:$J$3609,$A48,记账凭证!$E$4:$E$3609,"应付账款"),2))</f>
        <v/>
      </c>
      <c r="H48" s="27" t="str">
        <f>IF($A48="","",ROUND(SUMIFS(记账凭证!$H$4:$H$3609,记账凭证!$J$4:$J$3609,$A48,记账凭证!$E$4:$E$3609,"应付账款"),2))</f>
        <v/>
      </c>
      <c r="I48" s="27" t="str">
        <f t="shared" si="2"/>
        <v/>
      </c>
    </row>
    <row r="49" ht="18" customHeight="1" spans="1:9">
      <c r="A49" s="26" t="str">
        <f>IFERROR(INDEX(_自动清单!$E$4:$E$253,ROW()-15),"")</f>
        <v/>
      </c>
      <c r="B49" s="99"/>
      <c r="C49" s="27" t="str">
        <f>IF($A49="","",ROUND(SUMIFS(进销存对接!$G$4:$G$305,进销存对接!$D$4:$D$305,"客户应收",进销存对接!$C$4:$C$305,$A49),2))</f>
        <v/>
      </c>
      <c r="D49" s="27" t="str">
        <f>IF($A49="","",ROUND(SUMIFS(资金日记账!$H$4:$H$603,资金日记账!$E$4:$E$603,$A49,资金日记账!$K$4:$K$603,"应收账款"),2))</f>
        <v/>
      </c>
      <c r="E49" s="27" t="str">
        <f t="shared" si="1"/>
        <v/>
      </c>
      <c r="F49" s="99"/>
      <c r="G49" s="27" t="str">
        <f>IF($A49="","",ROUND(SUMIFS(进销存对接!$F$4:$F$305,进销存对接!$D$4:$D$305,"客户应收",进销存对接!$C$4:$C$305,$A49)+SUMIFS(记账凭证!$I$4:$I$3609,记账凭证!$J$4:$J$3609,$A49,记账凭证!$E$4:$E$3609,"应付账款"),2))</f>
        <v/>
      </c>
      <c r="H49" s="27" t="str">
        <f>IF($A49="","",ROUND(SUMIFS(记账凭证!$H$4:$H$3609,记账凭证!$J$4:$J$3609,$A49,记账凭证!$E$4:$E$3609,"应付账款"),2))</f>
        <v/>
      </c>
      <c r="I49" s="27" t="str">
        <f t="shared" si="2"/>
        <v/>
      </c>
    </row>
    <row r="50" ht="18" customHeight="1" spans="1:9">
      <c r="A50" s="26" t="str">
        <f>IFERROR(INDEX(_自动清单!$E$4:$E$253,ROW()-15),"")</f>
        <v/>
      </c>
      <c r="B50" s="99"/>
      <c r="C50" s="27" t="str">
        <f>IF($A50="","",ROUND(SUMIFS(进销存对接!$G$4:$G$305,进销存对接!$D$4:$D$305,"客户应收",进销存对接!$C$4:$C$305,$A50),2))</f>
        <v/>
      </c>
      <c r="D50" s="27" t="str">
        <f>IF($A50="","",ROUND(SUMIFS(资金日记账!$H$4:$H$603,资金日记账!$E$4:$E$603,$A50,资金日记账!$K$4:$K$603,"应收账款"),2))</f>
        <v/>
      </c>
      <c r="E50" s="27" t="str">
        <f t="shared" si="1"/>
        <v/>
      </c>
      <c r="F50" s="99"/>
      <c r="G50" s="27" t="str">
        <f>IF($A50="","",ROUND(SUMIFS(进销存对接!$F$4:$F$305,进销存对接!$D$4:$D$305,"客户应收",进销存对接!$C$4:$C$305,$A50)+SUMIFS(记账凭证!$I$4:$I$3609,记账凭证!$J$4:$J$3609,$A50,记账凭证!$E$4:$E$3609,"应付账款"),2))</f>
        <v/>
      </c>
      <c r="H50" s="27" t="str">
        <f>IF($A50="","",ROUND(SUMIFS(记账凭证!$H$4:$H$3609,记账凭证!$J$4:$J$3609,$A50,记账凭证!$E$4:$E$3609,"应付账款"),2))</f>
        <v/>
      </c>
      <c r="I50" s="27" t="str">
        <f t="shared" si="2"/>
        <v/>
      </c>
    </row>
    <row r="51" ht="18" customHeight="1" spans="1:9">
      <c r="A51" s="26" t="str">
        <f>IFERROR(INDEX(_自动清单!$E$4:$E$253,ROW()-15),"")</f>
        <v/>
      </c>
      <c r="B51" s="99"/>
      <c r="C51" s="27" t="str">
        <f>IF($A51="","",ROUND(SUMIFS(进销存对接!$G$4:$G$305,进销存对接!$D$4:$D$305,"客户应收",进销存对接!$C$4:$C$305,$A51),2))</f>
        <v/>
      </c>
      <c r="D51" s="27" t="str">
        <f>IF($A51="","",ROUND(SUMIFS(资金日记账!$H$4:$H$603,资金日记账!$E$4:$E$603,$A51,资金日记账!$K$4:$K$603,"应收账款"),2))</f>
        <v/>
      </c>
      <c r="E51" s="27" t="str">
        <f t="shared" si="1"/>
        <v/>
      </c>
      <c r="F51" s="99"/>
      <c r="G51" s="27" t="str">
        <f>IF($A51="","",ROUND(SUMIFS(进销存对接!$F$4:$F$305,进销存对接!$D$4:$D$305,"客户应收",进销存对接!$C$4:$C$305,$A51)+SUMIFS(记账凭证!$I$4:$I$3609,记账凭证!$J$4:$J$3609,$A51,记账凭证!$E$4:$E$3609,"应付账款"),2))</f>
        <v/>
      </c>
      <c r="H51" s="27" t="str">
        <f>IF($A51="","",ROUND(SUMIFS(记账凭证!$H$4:$H$3609,记账凭证!$J$4:$J$3609,$A51,记账凭证!$E$4:$E$3609,"应付账款"),2))</f>
        <v/>
      </c>
      <c r="I51" s="27" t="str">
        <f t="shared" si="2"/>
        <v/>
      </c>
    </row>
    <row r="52" ht="18" customHeight="1" spans="1:9">
      <c r="A52" s="26" t="str">
        <f>IFERROR(INDEX(_自动清单!$E$4:$E$253,ROW()-15),"")</f>
        <v/>
      </c>
      <c r="B52" s="99"/>
      <c r="C52" s="27" t="str">
        <f>IF($A52="","",ROUND(SUMIFS(进销存对接!$G$4:$G$305,进销存对接!$D$4:$D$305,"客户应收",进销存对接!$C$4:$C$305,$A52),2))</f>
        <v/>
      </c>
      <c r="D52" s="27" t="str">
        <f>IF($A52="","",ROUND(SUMIFS(资金日记账!$H$4:$H$603,资金日记账!$E$4:$E$603,$A52,资金日记账!$K$4:$K$603,"应收账款"),2))</f>
        <v/>
      </c>
      <c r="E52" s="27" t="str">
        <f t="shared" si="1"/>
        <v/>
      </c>
      <c r="F52" s="99"/>
      <c r="G52" s="27" t="str">
        <f>IF($A52="","",ROUND(SUMIFS(进销存对接!$F$4:$F$305,进销存对接!$D$4:$D$305,"客户应收",进销存对接!$C$4:$C$305,$A52)+SUMIFS(记账凭证!$I$4:$I$3609,记账凭证!$J$4:$J$3609,$A52,记账凭证!$E$4:$E$3609,"应付账款"),2))</f>
        <v/>
      </c>
      <c r="H52" s="27" t="str">
        <f>IF($A52="","",ROUND(SUMIFS(记账凭证!$H$4:$H$3609,记账凭证!$J$4:$J$3609,$A52,记账凭证!$E$4:$E$3609,"应付账款"),2))</f>
        <v/>
      </c>
      <c r="I52" s="27" t="str">
        <f t="shared" si="2"/>
        <v/>
      </c>
    </row>
    <row r="53" ht="18" customHeight="1" spans="1:9">
      <c r="A53" s="26" t="str">
        <f>IFERROR(INDEX(_自动清单!$E$4:$E$253,ROW()-15),"")</f>
        <v/>
      </c>
      <c r="B53" s="99"/>
      <c r="C53" s="27" t="str">
        <f>IF($A53="","",ROUND(SUMIFS(进销存对接!$G$4:$G$305,进销存对接!$D$4:$D$305,"客户应收",进销存对接!$C$4:$C$305,$A53),2))</f>
        <v/>
      </c>
      <c r="D53" s="27" t="str">
        <f>IF($A53="","",ROUND(SUMIFS(资金日记账!$H$4:$H$603,资金日记账!$E$4:$E$603,$A53,资金日记账!$K$4:$K$603,"应收账款"),2))</f>
        <v/>
      </c>
      <c r="E53" s="27" t="str">
        <f t="shared" si="1"/>
        <v/>
      </c>
      <c r="F53" s="99"/>
      <c r="G53" s="27" t="str">
        <f>IF($A53="","",ROUND(SUMIFS(进销存对接!$F$4:$F$305,进销存对接!$D$4:$D$305,"客户应收",进销存对接!$C$4:$C$305,$A53)+SUMIFS(记账凭证!$I$4:$I$3609,记账凭证!$J$4:$J$3609,$A53,记账凭证!$E$4:$E$3609,"应付账款"),2))</f>
        <v/>
      </c>
      <c r="H53" s="27" t="str">
        <f>IF($A53="","",ROUND(SUMIFS(记账凭证!$H$4:$H$3609,记账凭证!$J$4:$J$3609,$A53,记账凭证!$E$4:$E$3609,"应付账款"),2))</f>
        <v/>
      </c>
      <c r="I53" s="27" t="str">
        <f t="shared" si="2"/>
        <v/>
      </c>
    </row>
    <row r="54" ht="18" customHeight="1" spans="1:9">
      <c r="A54" s="26" t="str">
        <f>IFERROR(INDEX(_自动清单!$E$4:$E$253,ROW()-15),"")</f>
        <v/>
      </c>
      <c r="B54" s="99"/>
      <c r="C54" s="27" t="str">
        <f>IF($A54="","",ROUND(SUMIFS(进销存对接!$G$4:$G$305,进销存对接!$D$4:$D$305,"客户应收",进销存对接!$C$4:$C$305,$A54),2))</f>
        <v/>
      </c>
      <c r="D54" s="27" t="str">
        <f>IF($A54="","",ROUND(SUMIFS(资金日记账!$H$4:$H$603,资金日记账!$E$4:$E$603,$A54,资金日记账!$K$4:$K$603,"应收账款"),2))</f>
        <v/>
      </c>
      <c r="E54" s="27" t="str">
        <f t="shared" si="1"/>
        <v/>
      </c>
      <c r="F54" s="99"/>
      <c r="G54" s="27" t="str">
        <f>IF($A54="","",ROUND(SUMIFS(进销存对接!$F$4:$F$305,进销存对接!$D$4:$D$305,"客户应收",进销存对接!$C$4:$C$305,$A54)+SUMIFS(记账凭证!$I$4:$I$3609,记账凭证!$J$4:$J$3609,$A54,记账凭证!$E$4:$E$3609,"应付账款"),2))</f>
        <v/>
      </c>
      <c r="H54" s="27" t="str">
        <f>IF($A54="","",ROUND(SUMIFS(记账凭证!$H$4:$H$3609,记账凭证!$J$4:$J$3609,$A54,记账凭证!$E$4:$E$3609,"应付账款"),2))</f>
        <v/>
      </c>
      <c r="I54" s="27" t="str">
        <f t="shared" si="2"/>
        <v/>
      </c>
    </row>
    <row r="55" ht="18" customHeight="1" spans="1:9">
      <c r="A55" s="26" t="str">
        <f>IFERROR(INDEX(_自动清单!$E$4:$E$253,ROW()-15),"")</f>
        <v/>
      </c>
      <c r="B55" s="99"/>
      <c r="C55" s="27" t="str">
        <f>IF($A55="","",ROUND(SUMIFS(进销存对接!$G$4:$G$305,进销存对接!$D$4:$D$305,"客户应收",进销存对接!$C$4:$C$305,$A55),2))</f>
        <v/>
      </c>
      <c r="D55" s="27" t="str">
        <f>IF($A55="","",ROUND(SUMIFS(资金日记账!$H$4:$H$603,资金日记账!$E$4:$E$603,$A55,资金日记账!$K$4:$K$603,"应收账款"),2))</f>
        <v/>
      </c>
      <c r="E55" s="27" t="str">
        <f t="shared" si="1"/>
        <v/>
      </c>
      <c r="F55" s="99"/>
      <c r="G55" s="27" t="str">
        <f>IF($A55="","",ROUND(SUMIFS(进销存对接!$F$4:$F$305,进销存对接!$D$4:$D$305,"客户应收",进销存对接!$C$4:$C$305,$A55)+SUMIFS(记账凭证!$I$4:$I$3609,记账凭证!$J$4:$J$3609,$A55,记账凭证!$E$4:$E$3609,"应付账款"),2))</f>
        <v/>
      </c>
      <c r="H55" s="27" t="str">
        <f>IF($A55="","",ROUND(SUMIFS(记账凭证!$H$4:$H$3609,记账凭证!$J$4:$J$3609,$A55,记账凭证!$E$4:$E$3609,"应付账款"),2))</f>
        <v/>
      </c>
      <c r="I55" s="27" t="str">
        <f t="shared" si="2"/>
        <v/>
      </c>
    </row>
    <row r="56" ht="18" customHeight="1" spans="1:9">
      <c r="A56" s="26" t="str">
        <f>IFERROR(INDEX(_自动清单!$E$4:$E$253,ROW()-15),"")</f>
        <v/>
      </c>
      <c r="B56" s="99"/>
      <c r="C56" s="27" t="str">
        <f>IF($A56="","",ROUND(SUMIFS(进销存对接!$G$4:$G$305,进销存对接!$D$4:$D$305,"客户应收",进销存对接!$C$4:$C$305,$A56),2))</f>
        <v/>
      </c>
      <c r="D56" s="27" t="str">
        <f>IF($A56="","",ROUND(SUMIFS(资金日记账!$H$4:$H$603,资金日记账!$E$4:$E$603,$A56,资金日记账!$K$4:$K$603,"应收账款"),2))</f>
        <v/>
      </c>
      <c r="E56" s="27" t="str">
        <f t="shared" si="1"/>
        <v/>
      </c>
      <c r="F56" s="99"/>
      <c r="G56" s="27" t="str">
        <f>IF($A56="","",ROUND(SUMIFS(进销存对接!$F$4:$F$305,进销存对接!$D$4:$D$305,"客户应收",进销存对接!$C$4:$C$305,$A56)+SUMIFS(记账凭证!$I$4:$I$3609,记账凭证!$J$4:$J$3609,$A56,记账凭证!$E$4:$E$3609,"应付账款"),2))</f>
        <v/>
      </c>
      <c r="H56" s="27" t="str">
        <f>IF($A56="","",ROUND(SUMIFS(记账凭证!$H$4:$H$3609,记账凭证!$J$4:$J$3609,$A56,记账凭证!$E$4:$E$3609,"应付账款"),2))</f>
        <v/>
      </c>
      <c r="I56" s="27" t="str">
        <f t="shared" si="2"/>
        <v/>
      </c>
    </row>
    <row r="57" ht="18" customHeight="1" spans="1:9">
      <c r="A57" s="26" t="str">
        <f>IFERROR(INDEX(_自动清单!$E$4:$E$253,ROW()-15),"")</f>
        <v/>
      </c>
      <c r="B57" s="99"/>
      <c r="C57" s="27" t="str">
        <f>IF($A57="","",ROUND(SUMIFS(进销存对接!$G$4:$G$305,进销存对接!$D$4:$D$305,"客户应收",进销存对接!$C$4:$C$305,$A57),2))</f>
        <v/>
      </c>
      <c r="D57" s="27" t="str">
        <f>IF($A57="","",ROUND(SUMIFS(资金日记账!$H$4:$H$603,资金日记账!$E$4:$E$603,$A57,资金日记账!$K$4:$K$603,"应收账款"),2))</f>
        <v/>
      </c>
      <c r="E57" s="27" t="str">
        <f t="shared" si="1"/>
        <v/>
      </c>
      <c r="F57" s="99"/>
      <c r="G57" s="27" t="str">
        <f>IF($A57="","",ROUND(SUMIFS(进销存对接!$F$4:$F$305,进销存对接!$D$4:$D$305,"客户应收",进销存对接!$C$4:$C$305,$A57)+SUMIFS(记账凭证!$I$4:$I$3609,记账凭证!$J$4:$J$3609,$A57,记账凭证!$E$4:$E$3609,"应付账款"),2))</f>
        <v/>
      </c>
      <c r="H57" s="27" t="str">
        <f>IF($A57="","",ROUND(SUMIFS(记账凭证!$H$4:$H$3609,记账凭证!$J$4:$J$3609,$A57,记账凭证!$E$4:$E$3609,"应付账款"),2))</f>
        <v/>
      </c>
      <c r="I57" s="27" t="str">
        <f t="shared" si="2"/>
        <v/>
      </c>
    </row>
    <row r="58" ht="18" customHeight="1" spans="1:9">
      <c r="A58" s="26" t="str">
        <f>IFERROR(INDEX(_自动清单!$E$4:$E$253,ROW()-15),"")</f>
        <v/>
      </c>
      <c r="B58" s="99"/>
      <c r="C58" s="27" t="str">
        <f>IF($A58="","",ROUND(SUMIFS(进销存对接!$G$4:$G$305,进销存对接!$D$4:$D$305,"客户应收",进销存对接!$C$4:$C$305,$A58),2))</f>
        <v/>
      </c>
      <c r="D58" s="27" t="str">
        <f>IF($A58="","",ROUND(SUMIFS(资金日记账!$H$4:$H$603,资金日记账!$E$4:$E$603,$A58,资金日记账!$K$4:$K$603,"应收账款"),2))</f>
        <v/>
      </c>
      <c r="E58" s="27" t="str">
        <f t="shared" si="1"/>
        <v/>
      </c>
      <c r="F58" s="99"/>
      <c r="G58" s="27" t="str">
        <f>IF($A58="","",ROUND(SUMIFS(进销存对接!$F$4:$F$305,进销存对接!$D$4:$D$305,"客户应收",进销存对接!$C$4:$C$305,$A58)+SUMIFS(记账凭证!$I$4:$I$3609,记账凭证!$J$4:$J$3609,$A58,记账凭证!$E$4:$E$3609,"应付账款"),2))</f>
        <v/>
      </c>
      <c r="H58" s="27" t="str">
        <f>IF($A58="","",ROUND(SUMIFS(记账凭证!$H$4:$H$3609,记账凭证!$J$4:$J$3609,$A58,记账凭证!$E$4:$E$3609,"应付账款"),2))</f>
        <v/>
      </c>
      <c r="I58" s="27" t="str">
        <f t="shared" si="2"/>
        <v/>
      </c>
    </row>
    <row r="59" ht="18" customHeight="1" spans="1:9">
      <c r="A59" s="26" t="str">
        <f>IFERROR(INDEX(_自动清单!$E$4:$E$253,ROW()-15),"")</f>
        <v/>
      </c>
      <c r="B59" s="99"/>
      <c r="C59" s="27" t="str">
        <f>IF($A59="","",ROUND(SUMIFS(进销存对接!$G$4:$G$305,进销存对接!$D$4:$D$305,"客户应收",进销存对接!$C$4:$C$305,$A59),2))</f>
        <v/>
      </c>
      <c r="D59" s="27" t="str">
        <f>IF($A59="","",ROUND(SUMIFS(资金日记账!$H$4:$H$603,资金日记账!$E$4:$E$603,$A59,资金日记账!$K$4:$K$603,"应收账款"),2))</f>
        <v/>
      </c>
      <c r="E59" s="27" t="str">
        <f t="shared" si="1"/>
        <v/>
      </c>
      <c r="F59" s="99"/>
      <c r="G59" s="27" t="str">
        <f>IF($A59="","",ROUND(SUMIFS(进销存对接!$F$4:$F$305,进销存对接!$D$4:$D$305,"客户应收",进销存对接!$C$4:$C$305,$A59)+SUMIFS(记账凭证!$I$4:$I$3609,记账凭证!$J$4:$J$3609,$A59,记账凭证!$E$4:$E$3609,"应付账款"),2))</f>
        <v/>
      </c>
      <c r="H59" s="27" t="str">
        <f>IF($A59="","",ROUND(SUMIFS(记账凭证!$H$4:$H$3609,记账凭证!$J$4:$J$3609,$A59,记账凭证!$E$4:$E$3609,"应付账款"),2))</f>
        <v/>
      </c>
      <c r="I59" s="27" t="str">
        <f t="shared" si="2"/>
        <v/>
      </c>
    </row>
    <row r="60" ht="18" customHeight="1" spans="1:9">
      <c r="A60" s="26" t="str">
        <f>IFERROR(INDEX(_自动清单!$E$4:$E$253,ROW()-15),"")</f>
        <v/>
      </c>
      <c r="B60" s="99"/>
      <c r="C60" s="27" t="str">
        <f>IF($A60="","",ROUND(SUMIFS(进销存对接!$G$4:$G$305,进销存对接!$D$4:$D$305,"客户应收",进销存对接!$C$4:$C$305,$A60),2))</f>
        <v/>
      </c>
      <c r="D60" s="27" t="str">
        <f>IF($A60="","",ROUND(SUMIFS(资金日记账!$H$4:$H$603,资金日记账!$E$4:$E$603,$A60,资金日记账!$K$4:$K$603,"应收账款"),2))</f>
        <v/>
      </c>
      <c r="E60" s="27" t="str">
        <f t="shared" si="1"/>
        <v/>
      </c>
      <c r="F60" s="99"/>
      <c r="G60" s="27" t="str">
        <f>IF($A60="","",ROUND(SUMIFS(进销存对接!$F$4:$F$305,进销存对接!$D$4:$D$305,"客户应收",进销存对接!$C$4:$C$305,$A60)+SUMIFS(记账凭证!$I$4:$I$3609,记账凭证!$J$4:$J$3609,$A60,记账凭证!$E$4:$E$3609,"应付账款"),2))</f>
        <v/>
      </c>
      <c r="H60" s="27" t="str">
        <f>IF($A60="","",ROUND(SUMIFS(记账凭证!$H$4:$H$3609,记账凭证!$J$4:$J$3609,$A60,记账凭证!$E$4:$E$3609,"应付账款"),2))</f>
        <v/>
      </c>
      <c r="I60" s="27" t="str">
        <f t="shared" si="2"/>
        <v/>
      </c>
    </row>
    <row r="61" ht="18" customHeight="1" spans="1:9">
      <c r="A61" s="26" t="str">
        <f>IFERROR(INDEX(_自动清单!$E$4:$E$253,ROW()-15),"")</f>
        <v/>
      </c>
      <c r="B61" s="99"/>
      <c r="C61" s="27" t="str">
        <f>IF($A61="","",ROUND(SUMIFS(进销存对接!$G$4:$G$305,进销存对接!$D$4:$D$305,"客户应收",进销存对接!$C$4:$C$305,$A61),2))</f>
        <v/>
      </c>
      <c r="D61" s="27" t="str">
        <f>IF($A61="","",ROUND(SUMIFS(资金日记账!$H$4:$H$603,资金日记账!$E$4:$E$603,$A61,资金日记账!$K$4:$K$603,"应收账款"),2))</f>
        <v/>
      </c>
      <c r="E61" s="27" t="str">
        <f t="shared" si="1"/>
        <v/>
      </c>
      <c r="F61" s="99"/>
      <c r="G61" s="27" t="str">
        <f>IF($A61="","",ROUND(SUMIFS(进销存对接!$F$4:$F$305,进销存对接!$D$4:$D$305,"客户应收",进销存对接!$C$4:$C$305,$A61)+SUMIFS(记账凭证!$I$4:$I$3609,记账凭证!$J$4:$J$3609,$A61,记账凭证!$E$4:$E$3609,"应付账款"),2))</f>
        <v/>
      </c>
      <c r="H61" s="27" t="str">
        <f>IF($A61="","",ROUND(SUMIFS(记账凭证!$H$4:$H$3609,记账凭证!$J$4:$J$3609,$A61,记账凭证!$E$4:$E$3609,"应付账款"),2))</f>
        <v/>
      </c>
      <c r="I61" s="27" t="str">
        <f t="shared" si="2"/>
        <v/>
      </c>
    </row>
    <row r="62" ht="18" customHeight="1" spans="1:9">
      <c r="A62" s="26" t="str">
        <f>IFERROR(INDEX(_自动清单!$E$4:$E$253,ROW()-15),"")</f>
        <v/>
      </c>
      <c r="B62" s="99"/>
      <c r="C62" s="27" t="str">
        <f>IF($A62="","",ROUND(SUMIFS(进销存对接!$G$4:$G$305,进销存对接!$D$4:$D$305,"客户应收",进销存对接!$C$4:$C$305,$A62),2))</f>
        <v/>
      </c>
      <c r="D62" s="27" t="str">
        <f>IF($A62="","",ROUND(SUMIFS(资金日记账!$H$4:$H$603,资金日记账!$E$4:$E$603,$A62,资金日记账!$K$4:$K$603,"应收账款"),2))</f>
        <v/>
      </c>
      <c r="E62" s="27" t="str">
        <f t="shared" si="1"/>
        <v/>
      </c>
      <c r="F62" s="99"/>
      <c r="G62" s="27" t="str">
        <f>IF($A62="","",ROUND(SUMIFS(进销存对接!$F$4:$F$305,进销存对接!$D$4:$D$305,"客户应收",进销存对接!$C$4:$C$305,$A62)+SUMIFS(记账凭证!$I$4:$I$3609,记账凭证!$J$4:$J$3609,$A62,记账凭证!$E$4:$E$3609,"应付账款"),2))</f>
        <v/>
      </c>
      <c r="H62" s="27" t="str">
        <f>IF($A62="","",ROUND(SUMIFS(记账凭证!$H$4:$H$3609,记账凭证!$J$4:$J$3609,$A62,记账凭证!$E$4:$E$3609,"应付账款"),2))</f>
        <v/>
      </c>
      <c r="I62" s="27" t="str">
        <f t="shared" si="2"/>
        <v/>
      </c>
    </row>
    <row r="63" ht="18" customHeight="1" spans="1:9">
      <c r="A63" s="26" t="str">
        <f>IFERROR(INDEX(_自动清单!$E$4:$E$253,ROW()-15),"")</f>
        <v/>
      </c>
      <c r="B63" s="99"/>
      <c r="C63" s="27" t="str">
        <f>IF($A63="","",ROUND(SUMIFS(进销存对接!$G$4:$G$305,进销存对接!$D$4:$D$305,"客户应收",进销存对接!$C$4:$C$305,$A63),2))</f>
        <v/>
      </c>
      <c r="D63" s="27" t="str">
        <f>IF($A63="","",ROUND(SUMIFS(资金日记账!$H$4:$H$603,资金日记账!$E$4:$E$603,$A63,资金日记账!$K$4:$K$603,"应收账款"),2))</f>
        <v/>
      </c>
      <c r="E63" s="27" t="str">
        <f t="shared" si="1"/>
        <v/>
      </c>
      <c r="F63" s="99"/>
      <c r="G63" s="27" t="str">
        <f>IF($A63="","",ROUND(SUMIFS(进销存对接!$F$4:$F$305,进销存对接!$D$4:$D$305,"客户应收",进销存对接!$C$4:$C$305,$A63)+SUMIFS(记账凭证!$I$4:$I$3609,记账凭证!$J$4:$J$3609,$A63,记账凭证!$E$4:$E$3609,"应付账款"),2))</f>
        <v/>
      </c>
      <c r="H63" s="27" t="str">
        <f>IF($A63="","",ROUND(SUMIFS(记账凭证!$H$4:$H$3609,记账凭证!$J$4:$J$3609,$A63,记账凭证!$E$4:$E$3609,"应付账款"),2))</f>
        <v/>
      </c>
      <c r="I63" s="27" t="str">
        <f t="shared" si="2"/>
        <v/>
      </c>
    </row>
    <row r="64" ht="18" customHeight="1" spans="1:9">
      <c r="A64" s="26" t="str">
        <f>IFERROR(INDEX(_自动清单!$E$4:$E$253,ROW()-15),"")</f>
        <v/>
      </c>
      <c r="B64" s="99"/>
      <c r="C64" s="27" t="str">
        <f>IF($A64="","",ROUND(SUMIFS(进销存对接!$G$4:$G$305,进销存对接!$D$4:$D$305,"客户应收",进销存对接!$C$4:$C$305,$A64),2))</f>
        <v/>
      </c>
      <c r="D64" s="27" t="str">
        <f>IF($A64="","",ROUND(SUMIFS(资金日记账!$H$4:$H$603,资金日记账!$E$4:$E$603,$A64,资金日记账!$K$4:$K$603,"应收账款"),2))</f>
        <v/>
      </c>
      <c r="E64" s="27" t="str">
        <f t="shared" si="1"/>
        <v/>
      </c>
      <c r="F64" s="99"/>
      <c r="G64" s="27" t="str">
        <f>IF($A64="","",ROUND(SUMIFS(进销存对接!$F$4:$F$305,进销存对接!$D$4:$D$305,"客户应收",进销存对接!$C$4:$C$305,$A64)+SUMIFS(记账凭证!$I$4:$I$3609,记账凭证!$J$4:$J$3609,$A64,记账凭证!$E$4:$E$3609,"应付账款"),2))</f>
        <v/>
      </c>
      <c r="H64" s="27" t="str">
        <f>IF($A64="","",ROUND(SUMIFS(记账凭证!$H$4:$H$3609,记账凭证!$J$4:$J$3609,$A64,记账凭证!$E$4:$E$3609,"应付账款"),2))</f>
        <v/>
      </c>
      <c r="I64" s="27" t="str">
        <f t="shared" si="2"/>
        <v/>
      </c>
    </row>
    <row r="65" ht="18" customHeight="1" spans="1:9">
      <c r="A65" s="26" t="str">
        <f>IFERROR(INDEX(_自动清单!$E$4:$E$253,ROW()-15),"")</f>
        <v/>
      </c>
      <c r="B65" s="99"/>
      <c r="C65" s="27" t="str">
        <f>IF($A65="","",ROUND(SUMIFS(进销存对接!$G$4:$G$305,进销存对接!$D$4:$D$305,"客户应收",进销存对接!$C$4:$C$305,$A65),2))</f>
        <v/>
      </c>
      <c r="D65" s="27" t="str">
        <f>IF($A65="","",ROUND(SUMIFS(资金日记账!$H$4:$H$603,资金日记账!$E$4:$E$603,$A65,资金日记账!$K$4:$K$603,"应收账款"),2))</f>
        <v/>
      </c>
      <c r="E65" s="27" t="str">
        <f t="shared" si="1"/>
        <v/>
      </c>
      <c r="F65" s="99"/>
      <c r="G65" s="27" t="str">
        <f>IF($A65="","",ROUND(SUMIFS(进销存对接!$F$4:$F$305,进销存对接!$D$4:$D$305,"客户应收",进销存对接!$C$4:$C$305,$A65)+SUMIFS(记账凭证!$I$4:$I$3609,记账凭证!$J$4:$J$3609,$A65,记账凭证!$E$4:$E$3609,"应付账款"),2))</f>
        <v/>
      </c>
      <c r="H65" s="27" t="str">
        <f>IF($A65="","",ROUND(SUMIFS(记账凭证!$H$4:$H$3609,记账凭证!$J$4:$J$3609,$A65,记账凭证!$E$4:$E$3609,"应付账款"),2))</f>
        <v/>
      </c>
      <c r="I65" s="27" t="str">
        <f t="shared" si="2"/>
        <v/>
      </c>
    </row>
    <row r="66" ht="18" customHeight="1" spans="1:9">
      <c r="A66" s="26" t="str">
        <f>IFERROR(INDEX(_自动清单!$E$4:$E$253,ROW()-15),"")</f>
        <v/>
      </c>
      <c r="B66" s="99"/>
      <c r="C66" s="27" t="str">
        <f>IF($A66="","",ROUND(SUMIFS(进销存对接!$G$4:$G$305,进销存对接!$D$4:$D$305,"客户应收",进销存对接!$C$4:$C$305,$A66),2))</f>
        <v/>
      </c>
      <c r="D66" s="27" t="str">
        <f>IF($A66="","",ROUND(SUMIFS(资金日记账!$H$4:$H$603,资金日记账!$E$4:$E$603,$A66,资金日记账!$K$4:$K$603,"应收账款"),2))</f>
        <v/>
      </c>
      <c r="E66" s="27" t="str">
        <f t="shared" si="1"/>
        <v/>
      </c>
      <c r="F66" s="99"/>
      <c r="G66" s="27" t="str">
        <f>IF($A66="","",ROUND(SUMIFS(进销存对接!$F$4:$F$305,进销存对接!$D$4:$D$305,"客户应收",进销存对接!$C$4:$C$305,$A66)+SUMIFS(记账凭证!$I$4:$I$3609,记账凭证!$J$4:$J$3609,$A66,记账凭证!$E$4:$E$3609,"应付账款"),2))</f>
        <v/>
      </c>
      <c r="H66" s="27" t="str">
        <f>IF($A66="","",ROUND(SUMIFS(记账凭证!$H$4:$H$3609,记账凭证!$J$4:$J$3609,$A66,记账凭证!$E$4:$E$3609,"应付账款"),2))</f>
        <v/>
      </c>
      <c r="I66" s="27" t="str">
        <f t="shared" si="2"/>
        <v/>
      </c>
    </row>
    <row r="67" ht="18" customHeight="1" spans="1:9">
      <c r="A67" s="26" t="str">
        <f>IFERROR(INDEX(_自动清单!$E$4:$E$253,ROW()-15),"")</f>
        <v/>
      </c>
      <c r="B67" s="99"/>
      <c r="C67" s="27" t="str">
        <f>IF($A67="","",ROUND(SUMIFS(进销存对接!$G$4:$G$305,进销存对接!$D$4:$D$305,"客户应收",进销存对接!$C$4:$C$305,$A67),2))</f>
        <v/>
      </c>
      <c r="D67" s="27" t="str">
        <f>IF($A67="","",ROUND(SUMIFS(资金日记账!$H$4:$H$603,资金日记账!$E$4:$E$603,$A67,资金日记账!$K$4:$K$603,"应收账款"),2))</f>
        <v/>
      </c>
      <c r="E67" s="27" t="str">
        <f t="shared" si="1"/>
        <v/>
      </c>
      <c r="F67" s="99"/>
      <c r="G67" s="27" t="str">
        <f>IF($A67="","",ROUND(SUMIFS(进销存对接!$F$4:$F$305,进销存对接!$D$4:$D$305,"客户应收",进销存对接!$C$4:$C$305,$A67)+SUMIFS(记账凭证!$I$4:$I$3609,记账凭证!$J$4:$J$3609,$A67,记账凭证!$E$4:$E$3609,"应付账款"),2))</f>
        <v/>
      </c>
      <c r="H67" s="27" t="str">
        <f>IF($A67="","",ROUND(SUMIFS(记账凭证!$H$4:$H$3609,记账凭证!$J$4:$J$3609,$A67,记账凭证!$E$4:$E$3609,"应付账款"),2))</f>
        <v/>
      </c>
      <c r="I67" s="27" t="str">
        <f t="shared" si="2"/>
        <v/>
      </c>
    </row>
    <row r="68" ht="18" customHeight="1" spans="1:9">
      <c r="A68" s="26" t="str">
        <f>IFERROR(INDEX(_自动清单!$E$4:$E$253,ROW()-15),"")</f>
        <v/>
      </c>
      <c r="B68" s="99"/>
      <c r="C68" s="27" t="str">
        <f>IF($A68="","",ROUND(SUMIFS(进销存对接!$G$4:$G$305,进销存对接!$D$4:$D$305,"客户应收",进销存对接!$C$4:$C$305,$A68),2))</f>
        <v/>
      </c>
      <c r="D68" s="27" t="str">
        <f>IF($A68="","",ROUND(SUMIFS(资金日记账!$H$4:$H$603,资金日记账!$E$4:$E$603,$A68,资金日记账!$K$4:$K$603,"应收账款"),2))</f>
        <v/>
      </c>
      <c r="E68" s="27" t="str">
        <f t="shared" si="1"/>
        <v/>
      </c>
      <c r="F68" s="99"/>
      <c r="G68" s="27" t="str">
        <f>IF($A68="","",ROUND(SUMIFS(进销存对接!$F$4:$F$305,进销存对接!$D$4:$D$305,"客户应收",进销存对接!$C$4:$C$305,$A68)+SUMIFS(记账凭证!$I$4:$I$3609,记账凭证!$J$4:$J$3609,$A68,记账凭证!$E$4:$E$3609,"应付账款"),2))</f>
        <v/>
      </c>
      <c r="H68" s="27" t="str">
        <f>IF($A68="","",ROUND(SUMIFS(记账凭证!$H$4:$H$3609,记账凭证!$J$4:$J$3609,$A68,记账凭证!$E$4:$E$3609,"应付账款"),2))</f>
        <v/>
      </c>
      <c r="I68" s="27" t="str">
        <f t="shared" si="2"/>
        <v/>
      </c>
    </row>
    <row r="69" ht="18" customHeight="1" spans="1:9">
      <c r="A69" s="26" t="str">
        <f>IFERROR(INDEX(_自动清单!$E$4:$E$253,ROW()-15),"")</f>
        <v/>
      </c>
      <c r="B69" s="99"/>
      <c r="C69" s="27" t="str">
        <f>IF($A69="","",ROUND(SUMIFS(进销存对接!$G$4:$G$305,进销存对接!$D$4:$D$305,"客户应收",进销存对接!$C$4:$C$305,$A69),2))</f>
        <v/>
      </c>
      <c r="D69" s="27" t="str">
        <f>IF($A69="","",ROUND(SUMIFS(资金日记账!$H$4:$H$603,资金日记账!$E$4:$E$603,$A69,资金日记账!$K$4:$K$603,"应收账款"),2))</f>
        <v/>
      </c>
      <c r="E69" s="27" t="str">
        <f t="shared" si="1"/>
        <v/>
      </c>
      <c r="F69" s="99"/>
      <c r="G69" s="27" t="str">
        <f>IF($A69="","",ROUND(SUMIFS(进销存对接!$F$4:$F$305,进销存对接!$D$4:$D$305,"客户应收",进销存对接!$C$4:$C$305,$A69)+SUMIFS(记账凭证!$I$4:$I$3609,记账凭证!$J$4:$J$3609,$A69,记账凭证!$E$4:$E$3609,"应付账款"),2))</f>
        <v/>
      </c>
      <c r="H69" s="27" t="str">
        <f>IF($A69="","",ROUND(SUMIFS(记账凭证!$H$4:$H$3609,记账凭证!$J$4:$J$3609,$A69,记账凭证!$E$4:$E$3609,"应付账款"),2))</f>
        <v/>
      </c>
      <c r="I69" s="27" t="str">
        <f t="shared" si="2"/>
        <v/>
      </c>
    </row>
    <row r="70" ht="18" customHeight="1" spans="1:9">
      <c r="A70" s="26" t="str">
        <f>IFERROR(INDEX(_自动清单!$E$4:$E$253,ROW()-15),"")</f>
        <v/>
      </c>
      <c r="B70" s="99"/>
      <c r="C70" s="27" t="str">
        <f>IF($A70="","",ROUND(SUMIFS(进销存对接!$G$4:$G$305,进销存对接!$D$4:$D$305,"客户应收",进销存对接!$C$4:$C$305,$A70),2))</f>
        <v/>
      </c>
      <c r="D70" s="27" t="str">
        <f>IF($A70="","",ROUND(SUMIFS(资金日记账!$H$4:$H$603,资金日记账!$E$4:$E$603,$A70,资金日记账!$K$4:$K$603,"应收账款"),2))</f>
        <v/>
      </c>
      <c r="E70" s="27" t="str">
        <f t="shared" si="1"/>
        <v/>
      </c>
      <c r="F70" s="99"/>
      <c r="G70" s="27" t="str">
        <f>IF($A70="","",ROUND(SUMIFS(进销存对接!$F$4:$F$305,进销存对接!$D$4:$D$305,"客户应收",进销存对接!$C$4:$C$305,$A70)+SUMIFS(记账凭证!$I$4:$I$3609,记账凭证!$J$4:$J$3609,$A70,记账凭证!$E$4:$E$3609,"应付账款"),2))</f>
        <v/>
      </c>
      <c r="H70" s="27" t="str">
        <f>IF($A70="","",ROUND(SUMIFS(记账凭证!$H$4:$H$3609,记账凭证!$J$4:$J$3609,$A70,记账凭证!$E$4:$E$3609,"应付账款"),2))</f>
        <v/>
      </c>
      <c r="I70" s="27" t="str">
        <f t="shared" si="2"/>
        <v/>
      </c>
    </row>
    <row r="71" ht="18" customHeight="1" spans="1:9">
      <c r="A71" s="26" t="str">
        <f>IFERROR(INDEX(_自动清单!$E$4:$E$253,ROW()-15),"")</f>
        <v/>
      </c>
      <c r="B71" s="99"/>
      <c r="C71" s="27" t="str">
        <f>IF($A71="","",ROUND(SUMIFS(进销存对接!$G$4:$G$305,进销存对接!$D$4:$D$305,"客户应收",进销存对接!$C$4:$C$305,$A71),2))</f>
        <v/>
      </c>
      <c r="D71" s="27" t="str">
        <f>IF($A71="","",ROUND(SUMIFS(资金日记账!$H$4:$H$603,资金日记账!$E$4:$E$603,$A71,资金日记账!$K$4:$K$603,"应收账款"),2))</f>
        <v/>
      </c>
      <c r="E71" s="27" t="str">
        <f t="shared" si="1"/>
        <v/>
      </c>
      <c r="F71" s="99"/>
      <c r="G71" s="27" t="str">
        <f>IF($A71="","",ROUND(SUMIFS(进销存对接!$F$4:$F$305,进销存对接!$D$4:$D$305,"客户应收",进销存对接!$C$4:$C$305,$A71)+SUMIFS(记账凭证!$I$4:$I$3609,记账凭证!$J$4:$J$3609,$A71,记账凭证!$E$4:$E$3609,"应付账款"),2))</f>
        <v/>
      </c>
      <c r="H71" s="27" t="str">
        <f>IF($A71="","",ROUND(SUMIFS(记账凭证!$H$4:$H$3609,记账凭证!$J$4:$J$3609,$A71,记账凭证!$E$4:$E$3609,"应付账款"),2))</f>
        <v/>
      </c>
      <c r="I71" s="27" t="str">
        <f t="shared" si="2"/>
        <v/>
      </c>
    </row>
    <row r="72" ht="18" customHeight="1" spans="1:9">
      <c r="A72" s="26" t="str">
        <f>IFERROR(INDEX(_自动清单!$E$4:$E$253,ROW()-15),"")</f>
        <v/>
      </c>
      <c r="B72" s="99"/>
      <c r="C72" s="27" t="str">
        <f>IF($A72="","",ROUND(SUMIFS(进销存对接!$G$4:$G$305,进销存对接!$D$4:$D$305,"客户应收",进销存对接!$C$4:$C$305,$A72),2))</f>
        <v/>
      </c>
      <c r="D72" s="27" t="str">
        <f>IF($A72="","",ROUND(SUMIFS(资金日记账!$H$4:$H$603,资金日记账!$E$4:$E$603,$A72,资金日记账!$K$4:$K$603,"应收账款"),2))</f>
        <v/>
      </c>
      <c r="E72" s="27" t="str">
        <f t="shared" si="1"/>
        <v/>
      </c>
      <c r="F72" s="99"/>
      <c r="G72" s="27" t="str">
        <f>IF($A72="","",ROUND(SUMIFS(进销存对接!$F$4:$F$305,进销存对接!$D$4:$D$305,"客户应收",进销存对接!$C$4:$C$305,$A72)+SUMIFS(记账凭证!$I$4:$I$3609,记账凭证!$J$4:$J$3609,$A72,记账凭证!$E$4:$E$3609,"应付账款"),2))</f>
        <v/>
      </c>
      <c r="H72" s="27" t="str">
        <f>IF($A72="","",ROUND(SUMIFS(记账凭证!$H$4:$H$3609,记账凭证!$J$4:$J$3609,$A72,记账凭证!$E$4:$E$3609,"应付账款"),2))</f>
        <v/>
      </c>
      <c r="I72" s="27" t="str">
        <f t="shared" si="2"/>
        <v/>
      </c>
    </row>
    <row r="73" ht="18" customHeight="1" spans="1:9">
      <c r="A73" s="26" t="str">
        <f>IFERROR(INDEX(_自动清单!$E$4:$E$253,ROW()-15),"")</f>
        <v/>
      </c>
      <c r="B73" s="99"/>
      <c r="C73" s="27" t="str">
        <f>IF($A73="","",ROUND(SUMIFS(进销存对接!$G$4:$G$305,进销存对接!$D$4:$D$305,"客户应收",进销存对接!$C$4:$C$305,$A73),2))</f>
        <v/>
      </c>
      <c r="D73" s="27" t="str">
        <f>IF($A73="","",ROUND(SUMIFS(资金日记账!$H$4:$H$603,资金日记账!$E$4:$E$603,$A73,资金日记账!$K$4:$K$603,"应收账款"),2))</f>
        <v/>
      </c>
      <c r="E73" s="27" t="str">
        <f t="shared" si="1"/>
        <v/>
      </c>
      <c r="F73" s="99"/>
      <c r="G73" s="27" t="str">
        <f>IF($A73="","",ROUND(SUMIFS(进销存对接!$F$4:$F$305,进销存对接!$D$4:$D$305,"客户应收",进销存对接!$C$4:$C$305,$A73)+SUMIFS(记账凭证!$I$4:$I$3609,记账凭证!$J$4:$J$3609,$A73,记账凭证!$E$4:$E$3609,"应付账款"),2))</f>
        <v/>
      </c>
      <c r="H73" s="27" t="str">
        <f>IF($A73="","",ROUND(SUMIFS(记账凭证!$H$4:$H$3609,记账凭证!$J$4:$J$3609,$A73,记账凭证!$E$4:$E$3609,"应付账款"),2))</f>
        <v/>
      </c>
      <c r="I73" s="27" t="str">
        <f t="shared" si="2"/>
        <v/>
      </c>
    </row>
    <row r="74" ht="18" customHeight="1" spans="1:9">
      <c r="A74" s="26" t="str">
        <f>IFERROR(INDEX(_自动清单!$E$4:$E$253,ROW()-15),"")</f>
        <v/>
      </c>
      <c r="B74" s="99"/>
      <c r="C74" s="27" t="str">
        <f>IF($A74="","",ROUND(SUMIFS(进销存对接!$G$4:$G$305,进销存对接!$D$4:$D$305,"客户应收",进销存对接!$C$4:$C$305,$A74),2))</f>
        <v/>
      </c>
      <c r="D74" s="27" t="str">
        <f>IF($A74="","",ROUND(SUMIFS(资金日记账!$H$4:$H$603,资金日记账!$E$4:$E$603,$A74,资金日记账!$K$4:$K$603,"应收账款"),2))</f>
        <v/>
      </c>
      <c r="E74" s="27" t="str">
        <f t="shared" si="1"/>
        <v/>
      </c>
      <c r="F74" s="99"/>
      <c r="G74" s="27" t="str">
        <f>IF($A74="","",ROUND(SUMIFS(进销存对接!$F$4:$F$305,进销存对接!$D$4:$D$305,"客户应收",进销存对接!$C$4:$C$305,$A74)+SUMIFS(记账凭证!$I$4:$I$3609,记账凭证!$J$4:$J$3609,$A74,记账凭证!$E$4:$E$3609,"应付账款"),2))</f>
        <v/>
      </c>
      <c r="H74" s="27" t="str">
        <f>IF($A74="","",ROUND(SUMIFS(记账凭证!$H$4:$H$3609,记账凭证!$J$4:$J$3609,$A74,记账凭证!$E$4:$E$3609,"应付账款"),2))</f>
        <v/>
      </c>
      <c r="I74" s="27" t="str">
        <f t="shared" si="2"/>
        <v/>
      </c>
    </row>
    <row r="75" ht="18" customHeight="1" spans="1:9">
      <c r="A75" s="26" t="str">
        <f>IFERROR(INDEX(_自动清单!$E$4:$E$253,ROW()-15),"")</f>
        <v/>
      </c>
      <c r="B75" s="99"/>
      <c r="C75" s="27" t="str">
        <f>IF($A75="","",ROUND(SUMIFS(进销存对接!$G$4:$G$305,进销存对接!$D$4:$D$305,"客户应收",进销存对接!$C$4:$C$305,$A75),2))</f>
        <v/>
      </c>
      <c r="D75" s="27" t="str">
        <f>IF($A75="","",ROUND(SUMIFS(资金日记账!$H$4:$H$603,资金日记账!$E$4:$E$603,$A75,资金日记账!$K$4:$K$603,"应收账款"),2))</f>
        <v/>
      </c>
      <c r="E75" s="27" t="str">
        <f t="shared" si="1"/>
        <v/>
      </c>
      <c r="F75" s="99"/>
      <c r="G75" s="27" t="str">
        <f>IF($A75="","",ROUND(SUMIFS(进销存对接!$F$4:$F$305,进销存对接!$D$4:$D$305,"客户应收",进销存对接!$C$4:$C$305,$A75)+SUMIFS(记账凭证!$I$4:$I$3609,记账凭证!$J$4:$J$3609,$A75,记账凭证!$E$4:$E$3609,"应付账款"),2))</f>
        <v/>
      </c>
      <c r="H75" s="27" t="str">
        <f>IF($A75="","",ROUND(SUMIFS(记账凭证!$H$4:$H$3609,记账凭证!$J$4:$J$3609,$A75,记账凭证!$E$4:$E$3609,"应付账款"),2))</f>
        <v/>
      </c>
      <c r="I75" s="27" t="str">
        <f t="shared" si="2"/>
        <v/>
      </c>
    </row>
    <row r="76" ht="18" customHeight="1" spans="1:9">
      <c r="A76" s="26" t="str">
        <f>IFERROR(INDEX(_自动清单!$E$4:$E$253,ROW()-15),"")</f>
        <v/>
      </c>
      <c r="B76" s="99"/>
      <c r="C76" s="27" t="str">
        <f>IF($A76="","",ROUND(SUMIFS(进销存对接!$G$4:$G$305,进销存对接!$D$4:$D$305,"客户应收",进销存对接!$C$4:$C$305,$A76),2))</f>
        <v/>
      </c>
      <c r="D76" s="27" t="str">
        <f>IF($A76="","",ROUND(SUMIFS(资金日记账!$H$4:$H$603,资金日记账!$E$4:$E$603,$A76,资金日记账!$K$4:$K$603,"应收账款"),2))</f>
        <v/>
      </c>
      <c r="E76" s="27" t="str">
        <f t="shared" si="1"/>
        <v/>
      </c>
      <c r="F76" s="99"/>
      <c r="G76" s="27" t="str">
        <f>IF($A76="","",ROUND(SUMIFS(进销存对接!$F$4:$F$305,进销存对接!$D$4:$D$305,"客户应收",进销存对接!$C$4:$C$305,$A76)+SUMIFS(记账凭证!$I$4:$I$3609,记账凭证!$J$4:$J$3609,$A76,记账凭证!$E$4:$E$3609,"应付账款"),2))</f>
        <v/>
      </c>
      <c r="H76" s="27" t="str">
        <f>IF($A76="","",ROUND(SUMIFS(记账凭证!$H$4:$H$3609,记账凭证!$J$4:$J$3609,$A76,记账凭证!$E$4:$E$3609,"应付账款"),2))</f>
        <v/>
      </c>
      <c r="I76" s="27" t="str">
        <f t="shared" si="2"/>
        <v/>
      </c>
    </row>
    <row r="77" ht="18" customHeight="1" spans="1:9">
      <c r="A77" s="26" t="str">
        <f>IFERROR(INDEX(_自动清单!$E$4:$E$253,ROW()-15),"")</f>
        <v/>
      </c>
      <c r="B77" s="99"/>
      <c r="C77" s="27" t="str">
        <f>IF($A77="","",ROUND(SUMIFS(进销存对接!$G$4:$G$305,进销存对接!$D$4:$D$305,"客户应收",进销存对接!$C$4:$C$305,$A77),2))</f>
        <v/>
      </c>
      <c r="D77" s="27" t="str">
        <f>IF($A77="","",ROUND(SUMIFS(资金日记账!$H$4:$H$603,资金日记账!$E$4:$E$603,$A77,资金日记账!$K$4:$K$603,"应收账款"),2))</f>
        <v/>
      </c>
      <c r="E77" s="27" t="str">
        <f t="shared" si="1"/>
        <v/>
      </c>
      <c r="F77" s="99"/>
      <c r="G77" s="27" t="str">
        <f>IF($A77="","",ROUND(SUMIFS(进销存对接!$F$4:$F$305,进销存对接!$D$4:$D$305,"客户应收",进销存对接!$C$4:$C$305,$A77)+SUMIFS(记账凭证!$I$4:$I$3609,记账凭证!$J$4:$J$3609,$A77,记账凭证!$E$4:$E$3609,"应付账款"),2))</f>
        <v/>
      </c>
      <c r="H77" s="27" t="str">
        <f>IF($A77="","",ROUND(SUMIFS(记账凭证!$H$4:$H$3609,记账凭证!$J$4:$J$3609,$A77,记账凭证!$E$4:$E$3609,"应付账款"),2))</f>
        <v/>
      </c>
      <c r="I77" s="27" t="str">
        <f t="shared" si="2"/>
        <v/>
      </c>
    </row>
    <row r="78" ht="18" customHeight="1" spans="1:9">
      <c r="A78" s="26" t="str">
        <f>IFERROR(INDEX(_自动清单!$E$4:$E$253,ROW()-15),"")</f>
        <v/>
      </c>
      <c r="B78" s="99"/>
      <c r="C78" s="27" t="str">
        <f>IF($A78="","",ROUND(SUMIFS(进销存对接!$G$4:$G$305,进销存对接!$D$4:$D$305,"客户应收",进销存对接!$C$4:$C$305,$A78),2))</f>
        <v/>
      </c>
      <c r="D78" s="27" t="str">
        <f>IF($A78="","",ROUND(SUMIFS(资金日记账!$H$4:$H$603,资金日记账!$E$4:$E$603,$A78,资金日记账!$K$4:$K$603,"应收账款"),2))</f>
        <v/>
      </c>
      <c r="E78" s="27" t="str">
        <f t="shared" si="1"/>
        <v/>
      </c>
      <c r="F78" s="99"/>
      <c r="G78" s="27" t="str">
        <f>IF($A78="","",ROUND(SUMIFS(进销存对接!$F$4:$F$305,进销存对接!$D$4:$D$305,"客户应收",进销存对接!$C$4:$C$305,$A78)+SUMIFS(记账凭证!$I$4:$I$3609,记账凭证!$J$4:$J$3609,$A78,记账凭证!$E$4:$E$3609,"应付账款"),2))</f>
        <v/>
      </c>
      <c r="H78" s="27" t="str">
        <f>IF($A78="","",ROUND(SUMIFS(记账凭证!$H$4:$H$3609,记账凭证!$J$4:$J$3609,$A78,记账凭证!$E$4:$E$3609,"应付账款"),2))</f>
        <v/>
      </c>
      <c r="I78" s="27" t="str">
        <f t="shared" si="2"/>
        <v/>
      </c>
    </row>
    <row r="79" ht="18" customHeight="1" spans="1:9">
      <c r="A79" s="26" t="str">
        <f>IFERROR(INDEX(_自动清单!$E$4:$E$253,ROW()-15),"")</f>
        <v/>
      </c>
      <c r="B79" s="99"/>
      <c r="C79" s="27" t="str">
        <f>IF($A79="","",ROUND(SUMIFS(进销存对接!$G$4:$G$305,进销存对接!$D$4:$D$305,"客户应收",进销存对接!$C$4:$C$305,$A79),2))</f>
        <v/>
      </c>
      <c r="D79" s="27" t="str">
        <f>IF($A79="","",ROUND(SUMIFS(资金日记账!$H$4:$H$603,资金日记账!$E$4:$E$603,$A79,资金日记账!$K$4:$K$603,"应收账款"),2))</f>
        <v/>
      </c>
      <c r="E79" s="27" t="str">
        <f t="shared" si="1"/>
        <v/>
      </c>
      <c r="F79" s="99"/>
      <c r="G79" s="27" t="str">
        <f>IF($A79="","",ROUND(SUMIFS(进销存对接!$F$4:$F$305,进销存对接!$D$4:$D$305,"客户应收",进销存对接!$C$4:$C$305,$A79)+SUMIFS(记账凭证!$I$4:$I$3609,记账凭证!$J$4:$J$3609,$A79,记账凭证!$E$4:$E$3609,"应付账款"),2))</f>
        <v/>
      </c>
      <c r="H79" s="27" t="str">
        <f>IF($A79="","",ROUND(SUMIFS(记账凭证!$H$4:$H$3609,记账凭证!$J$4:$J$3609,$A79,记账凭证!$E$4:$E$3609,"应付账款"),2))</f>
        <v/>
      </c>
      <c r="I79" s="27" t="str">
        <f t="shared" si="2"/>
        <v/>
      </c>
    </row>
    <row r="80" ht="18" customHeight="1" spans="1:9">
      <c r="A80" s="26" t="str">
        <f>IFERROR(INDEX(_自动清单!$E$4:$E$253,ROW()-15),"")</f>
        <v/>
      </c>
      <c r="B80" s="99"/>
      <c r="C80" s="27" t="str">
        <f>IF($A80="","",ROUND(SUMIFS(进销存对接!$G$4:$G$305,进销存对接!$D$4:$D$305,"客户应收",进销存对接!$C$4:$C$305,$A80),2))</f>
        <v/>
      </c>
      <c r="D80" s="27" t="str">
        <f>IF($A80="","",ROUND(SUMIFS(资金日记账!$H$4:$H$603,资金日记账!$E$4:$E$603,$A80,资金日记账!$K$4:$K$603,"应收账款"),2))</f>
        <v/>
      </c>
      <c r="E80" s="27" t="str">
        <f t="shared" ref="E80:E125" si="3">IF($A80="","",ROUND(N($B80)+$C80-$D80,2))</f>
        <v/>
      </c>
      <c r="F80" s="99"/>
      <c r="G80" s="27" t="str">
        <f>IF($A80="","",ROUND(SUMIFS(进销存对接!$F$4:$F$305,进销存对接!$D$4:$D$305,"客户应收",进销存对接!$C$4:$C$305,$A80)+SUMIFS(记账凭证!$I$4:$I$3609,记账凭证!$J$4:$J$3609,$A80,记账凭证!$E$4:$E$3609,"应付账款"),2))</f>
        <v/>
      </c>
      <c r="H80" s="27" t="str">
        <f>IF($A80="","",ROUND(SUMIFS(记账凭证!$H$4:$H$3609,记账凭证!$J$4:$J$3609,$A80,记账凭证!$E$4:$E$3609,"应付账款"),2))</f>
        <v/>
      </c>
      <c r="I80" s="27" t="str">
        <f t="shared" ref="I80:I125" si="4">IF($A80="","",ROUND(N($F80)+$G80-$H80,2))</f>
        <v/>
      </c>
    </row>
    <row r="81" ht="18" customHeight="1" spans="1:9">
      <c r="A81" s="26" t="str">
        <f>IFERROR(INDEX(_自动清单!$E$4:$E$253,ROW()-15),"")</f>
        <v/>
      </c>
      <c r="B81" s="99"/>
      <c r="C81" s="27" t="str">
        <f>IF($A81="","",ROUND(SUMIFS(进销存对接!$G$4:$G$305,进销存对接!$D$4:$D$305,"客户应收",进销存对接!$C$4:$C$305,$A81),2))</f>
        <v/>
      </c>
      <c r="D81" s="27" t="str">
        <f>IF($A81="","",ROUND(SUMIFS(资金日记账!$H$4:$H$603,资金日记账!$E$4:$E$603,$A81,资金日记账!$K$4:$K$603,"应收账款"),2))</f>
        <v/>
      </c>
      <c r="E81" s="27" t="str">
        <f t="shared" si="3"/>
        <v/>
      </c>
      <c r="F81" s="99"/>
      <c r="G81" s="27" t="str">
        <f>IF($A81="","",ROUND(SUMIFS(进销存对接!$F$4:$F$305,进销存对接!$D$4:$D$305,"客户应收",进销存对接!$C$4:$C$305,$A81)+SUMIFS(记账凭证!$I$4:$I$3609,记账凭证!$J$4:$J$3609,$A81,记账凭证!$E$4:$E$3609,"应付账款"),2))</f>
        <v/>
      </c>
      <c r="H81" s="27" t="str">
        <f>IF($A81="","",ROUND(SUMIFS(记账凭证!$H$4:$H$3609,记账凭证!$J$4:$J$3609,$A81,记账凭证!$E$4:$E$3609,"应付账款"),2))</f>
        <v/>
      </c>
      <c r="I81" s="27" t="str">
        <f t="shared" si="4"/>
        <v/>
      </c>
    </row>
    <row r="82" ht="18" customHeight="1" spans="1:9">
      <c r="A82" s="26" t="str">
        <f>IFERROR(INDEX(_自动清单!$E$4:$E$253,ROW()-15),"")</f>
        <v/>
      </c>
      <c r="B82" s="99"/>
      <c r="C82" s="27" t="str">
        <f>IF($A82="","",ROUND(SUMIFS(进销存对接!$G$4:$G$305,进销存对接!$D$4:$D$305,"客户应收",进销存对接!$C$4:$C$305,$A82),2))</f>
        <v/>
      </c>
      <c r="D82" s="27" t="str">
        <f>IF($A82="","",ROUND(SUMIFS(资金日记账!$H$4:$H$603,资金日记账!$E$4:$E$603,$A82,资金日记账!$K$4:$K$603,"应收账款"),2))</f>
        <v/>
      </c>
      <c r="E82" s="27" t="str">
        <f t="shared" si="3"/>
        <v/>
      </c>
      <c r="F82" s="99"/>
      <c r="G82" s="27" t="str">
        <f>IF($A82="","",ROUND(SUMIFS(进销存对接!$F$4:$F$305,进销存对接!$D$4:$D$305,"客户应收",进销存对接!$C$4:$C$305,$A82)+SUMIFS(记账凭证!$I$4:$I$3609,记账凭证!$J$4:$J$3609,$A82,记账凭证!$E$4:$E$3609,"应付账款"),2))</f>
        <v/>
      </c>
      <c r="H82" s="27" t="str">
        <f>IF($A82="","",ROUND(SUMIFS(记账凭证!$H$4:$H$3609,记账凭证!$J$4:$J$3609,$A82,记账凭证!$E$4:$E$3609,"应付账款"),2))</f>
        <v/>
      </c>
      <c r="I82" s="27" t="str">
        <f t="shared" si="4"/>
        <v/>
      </c>
    </row>
    <row r="83" ht="18" customHeight="1" spans="1:9">
      <c r="A83" s="26" t="str">
        <f>IFERROR(INDEX(_自动清单!$E$4:$E$253,ROW()-15),"")</f>
        <v/>
      </c>
      <c r="B83" s="99"/>
      <c r="C83" s="27" t="str">
        <f>IF($A83="","",ROUND(SUMIFS(进销存对接!$G$4:$G$305,进销存对接!$D$4:$D$305,"客户应收",进销存对接!$C$4:$C$305,$A83),2))</f>
        <v/>
      </c>
      <c r="D83" s="27" t="str">
        <f>IF($A83="","",ROUND(SUMIFS(资金日记账!$H$4:$H$603,资金日记账!$E$4:$E$603,$A83,资金日记账!$K$4:$K$603,"应收账款"),2))</f>
        <v/>
      </c>
      <c r="E83" s="27" t="str">
        <f t="shared" si="3"/>
        <v/>
      </c>
      <c r="F83" s="99"/>
      <c r="G83" s="27" t="str">
        <f>IF($A83="","",ROUND(SUMIFS(进销存对接!$F$4:$F$305,进销存对接!$D$4:$D$305,"客户应收",进销存对接!$C$4:$C$305,$A83)+SUMIFS(记账凭证!$I$4:$I$3609,记账凭证!$J$4:$J$3609,$A83,记账凭证!$E$4:$E$3609,"应付账款"),2))</f>
        <v/>
      </c>
      <c r="H83" s="27" t="str">
        <f>IF($A83="","",ROUND(SUMIFS(记账凭证!$H$4:$H$3609,记账凭证!$J$4:$J$3609,$A83,记账凭证!$E$4:$E$3609,"应付账款"),2))</f>
        <v/>
      </c>
      <c r="I83" s="27" t="str">
        <f t="shared" si="4"/>
        <v/>
      </c>
    </row>
    <row r="84" ht="18" customHeight="1" spans="1:9">
      <c r="A84" s="26" t="str">
        <f>IFERROR(INDEX(_自动清单!$E$4:$E$253,ROW()-15),"")</f>
        <v/>
      </c>
      <c r="B84" s="99"/>
      <c r="C84" s="27" t="str">
        <f>IF($A84="","",ROUND(SUMIFS(进销存对接!$G$4:$G$305,进销存对接!$D$4:$D$305,"客户应收",进销存对接!$C$4:$C$305,$A84),2))</f>
        <v/>
      </c>
      <c r="D84" s="27" t="str">
        <f>IF($A84="","",ROUND(SUMIFS(资金日记账!$H$4:$H$603,资金日记账!$E$4:$E$603,$A84,资金日记账!$K$4:$K$603,"应收账款"),2))</f>
        <v/>
      </c>
      <c r="E84" s="27" t="str">
        <f t="shared" si="3"/>
        <v/>
      </c>
      <c r="F84" s="99"/>
      <c r="G84" s="27" t="str">
        <f>IF($A84="","",ROUND(SUMIFS(进销存对接!$F$4:$F$305,进销存对接!$D$4:$D$305,"客户应收",进销存对接!$C$4:$C$305,$A84)+SUMIFS(记账凭证!$I$4:$I$3609,记账凭证!$J$4:$J$3609,$A84,记账凭证!$E$4:$E$3609,"应付账款"),2))</f>
        <v/>
      </c>
      <c r="H84" s="27" t="str">
        <f>IF($A84="","",ROUND(SUMIFS(记账凭证!$H$4:$H$3609,记账凭证!$J$4:$J$3609,$A84,记账凭证!$E$4:$E$3609,"应付账款"),2))</f>
        <v/>
      </c>
      <c r="I84" s="27" t="str">
        <f t="shared" si="4"/>
        <v/>
      </c>
    </row>
    <row r="85" ht="18" customHeight="1" spans="1:9">
      <c r="A85" s="26" t="str">
        <f>IFERROR(INDEX(_自动清单!$E$4:$E$253,ROW()-15),"")</f>
        <v/>
      </c>
      <c r="B85" s="99"/>
      <c r="C85" s="27" t="str">
        <f>IF($A85="","",ROUND(SUMIFS(进销存对接!$G$4:$G$305,进销存对接!$D$4:$D$305,"客户应收",进销存对接!$C$4:$C$305,$A85),2))</f>
        <v/>
      </c>
      <c r="D85" s="27" t="str">
        <f>IF($A85="","",ROUND(SUMIFS(资金日记账!$H$4:$H$603,资金日记账!$E$4:$E$603,$A85,资金日记账!$K$4:$K$603,"应收账款"),2))</f>
        <v/>
      </c>
      <c r="E85" s="27" t="str">
        <f t="shared" si="3"/>
        <v/>
      </c>
      <c r="F85" s="99"/>
      <c r="G85" s="27" t="str">
        <f>IF($A85="","",ROUND(SUMIFS(进销存对接!$F$4:$F$305,进销存对接!$D$4:$D$305,"客户应收",进销存对接!$C$4:$C$305,$A85)+SUMIFS(记账凭证!$I$4:$I$3609,记账凭证!$J$4:$J$3609,$A85,记账凭证!$E$4:$E$3609,"应付账款"),2))</f>
        <v/>
      </c>
      <c r="H85" s="27" t="str">
        <f>IF($A85="","",ROUND(SUMIFS(记账凭证!$H$4:$H$3609,记账凭证!$J$4:$J$3609,$A85,记账凭证!$E$4:$E$3609,"应付账款"),2))</f>
        <v/>
      </c>
      <c r="I85" s="27" t="str">
        <f t="shared" si="4"/>
        <v/>
      </c>
    </row>
    <row r="86" ht="18" customHeight="1" spans="1:9">
      <c r="A86" s="26" t="str">
        <f>IFERROR(INDEX(_自动清单!$E$4:$E$253,ROW()-15),"")</f>
        <v/>
      </c>
      <c r="B86" s="99"/>
      <c r="C86" s="27" t="str">
        <f>IF($A86="","",ROUND(SUMIFS(进销存对接!$G$4:$G$305,进销存对接!$D$4:$D$305,"客户应收",进销存对接!$C$4:$C$305,$A86),2))</f>
        <v/>
      </c>
      <c r="D86" s="27" t="str">
        <f>IF($A86="","",ROUND(SUMIFS(资金日记账!$H$4:$H$603,资金日记账!$E$4:$E$603,$A86,资金日记账!$K$4:$K$603,"应收账款"),2))</f>
        <v/>
      </c>
      <c r="E86" s="27" t="str">
        <f t="shared" si="3"/>
        <v/>
      </c>
      <c r="F86" s="99"/>
      <c r="G86" s="27" t="str">
        <f>IF($A86="","",ROUND(SUMIFS(进销存对接!$F$4:$F$305,进销存对接!$D$4:$D$305,"客户应收",进销存对接!$C$4:$C$305,$A86)+SUMIFS(记账凭证!$I$4:$I$3609,记账凭证!$J$4:$J$3609,$A86,记账凭证!$E$4:$E$3609,"应付账款"),2))</f>
        <v/>
      </c>
      <c r="H86" s="27" t="str">
        <f>IF($A86="","",ROUND(SUMIFS(记账凭证!$H$4:$H$3609,记账凭证!$J$4:$J$3609,$A86,记账凭证!$E$4:$E$3609,"应付账款"),2))</f>
        <v/>
      </c>
      <c r="I86" s="27" t="str">
        <f t="shared" si="4"/>
        <v/>
      </c>
    </row>
    <row r="87" ht="18" customHeight="1" spans="1:9">
      <c r="A87" s="26" t="str">
        <f>IFERROR(INDEX(_自动清单!$E$4:$E$253,ROW()-15),"")</f>
        <v/>
      </c>
      <c r="B87" s="99"/>
      <c r="C87" s="27" t="str">
        <f>IF($A87="","",ROUND(SUMIFS(进销存对接!$G$4:$G$305,进销存对接!$D$4:$D$305,"客户应收",进销存对接!$C$4:$C$305,$A87),2))</f>
        <v/>
      </c>
      <c r="D87" s="27" t="str">
        <f>IF($A87="","",ROUND(SUMIFS(资金日记账!$H$4:$H$603,资金日记账!$E$4:$E$603,$A87,资金日记账!$K$4:$K$603,"应收账款"),2))</f>
        <v/>
      </c>
      <c r="E87" s="27" t="str">
        <f t="shared" si="3"/>
        <v/>
      </c>
      <c r="F87" s="99"/>
      <c r="G87" s="27" t="str">
        <f>IF($A87="","",ROUND(SUMIFS(进销存对接!$F$4:$F$305,进销存对接!$D$4:$D$305,"客户应收",进销存对接!$C$4:$C$305,$A87)+SUMIFS(记账凭证!$I$4:$I$3609,记账凭证!$J$4:$J$3609,$A87,记账凭证!$E$4:$E$3609,"应付账款"),2))</f>
        <v/>
      </c>
      <c r="H87" s="27" t="str">
        <f>IF($A87="","",ROUND(SUMIFS(记账凭证!$H$4:$H$3609,记账凭证!$J$4:$J$3609,$A87,记账凭证!$E$4:$E$3609,"应付账款"),2))</f>
        <v/>
      </c>
      <c r="I87" s="27" t="str">
        <f t="shared" si="4"/>
        <v/>
      </c>
    </row>
    <row r="88" ht="18" customHeight="1" spans="1:9">
      <c r="A88" s="26" t="str">
        <f>IFERROR(INDEX(_自动清单!$E$4:$E$253,ROW()-15),"")</f>
        <v/>
      </c>
      <c r="B88" s="99"/>
      <c r="C88" s="27" t="str">
        <f>IF($A88="","",ROUND(SUMIFS(进销存对接!$G$4:$G$305,进销存对接!$D$4:$D$305,"客户应收",进销存对接!$C$4:$C$305,$A88),2))</f>
        <v/>
      </c>
      <c r="D88" s="27" t="str">
        <f>IF($A88="","",ROUND(SUMIFS(资金日记账!$H$4:$H$603,资金日记账!$E$4:$E$603,$A88,资金日记账!$K$4:$K$603,"应收账款"),2))</f>
        <v/>
      </c>
      <c r="E88" s="27" t="str">
        <f t="shared" si="3"/>
        <v/>
      </c>
      <c r="F88" s="99"/>
      <c r="G88" s="27" t="str">
        <f>IF($A88="","",ROUND(SUMIFS(进销存对接!$F$4:$F$305,进销存对接!$D$4:$D$305,"客户应收",进销存对接!$C$4:$C$305,$A88)+SUMIFS(记账凭证!$I$4:$I$3609,记账凭证!$J$4:$J$3609,$A88,记账凭证!$E$4:$E$3609,"应付账款"),2))</f>
        <v/>
      </c>
      <c r="H88" s="27" t="str">
        <f>IF($A88="","",ROUND(SUMIFS(记账凭证!$H$4:$H$3609,记账凭证!$J$4:$J$3609,$A88,记账凭证!$E$4:$E$3609,"应付账款"),2))</f>
        <v/>
      </c>
      <c r="I88" s="27" t="str">
        <f t="shared" si="4"/>
        <v/>
      </c>
    </row>
    <row r="89" ht="18" customHeight="1" spans="1:9">
      <c r="A89" s="26" t="str">
        <f>IFERROR(INDEX(_自动清单!$E$4:$E$253,ROW()-15),"")</f>
        <v/>
      </c>
      <c r="B89" s="99"/>
      <c r="C89" s="27" t="str">
        <f>IF($A89="","",ROUND(SUMIFS(进销存对接!$G$4:$G$305,进销存对接!$D$4:$D$305,"客户应收",进销存对接!$C$4:$C$305,$A89),2))</f>
        <v/>
      </c>
      <c r="D89" s="27" t="str">
        <f>IF($A89="","",ROUND(SUMIFS(资金日记账!$H$4:$H$603,资金日记账!$E$4:$E$603,$A89,资金日记账!$K$4:$K$603,"应收账款"),2))</f>
        <v/>
      </c>
      <c r="E89" s="27" t="str">
        <f t="shared" si="3"/>
        <v/>
      </c>
      <c r="F89" s="99"/>
      <c r="G89" s="27" t="str">
        <f>IF($A89="","",ROUND(SUMIFS(进销存对接!$F$4:$F$305,进销存对接!$D$4:$D$305,"客户应收",进销存对接!$C$4:$C$305,$A89)+SUMIFS(记账凭证!$I$4:$I$3609,记账凭证!$J$4:$J$3609,$A89,记账凭证!$E$4:$E$3609,"应付账款"),2))</f>
        <v/>
      </c>
      <c r="H89" s="27" t="str">
        <f>IF($A89="","",ROUND(SUMIFS(记账凭证!$H$4:$H$3609,记账凭证!$J$4:$J$3609,$A89,记账凭证!$E$4:$E$3609,"应付账款"),2))</f>
        <v/>
      </c>
      <c r="I89" s="27" t="str">
        <f t="shared" si="4"/>
        <v/>
      </c>
    </row>
    <row r="90" ht="18" customHeight="1" spans="1:9">
      <c r="A90" s="26" t="str">
        <f>IFERROR(INDEX(_自动清单!$E$4:$E$253,ROW()-15),"")</f>
        <v/>
      </c>
      <c r="B90" s="99"/>
      <c r="C90" s="27" t="str">
        <f>IF($A90="","",ROUND(SUMIFS(进销存对接!$G$4:$G$305,进销存对接!$D$4:$D$305,"客户应收",进销存对接!$C$4:$C$305,$A90),2))</f>
        <v/>
      </c>
      <c r="D90" s="27" t="str">
        <f>IF($A90="","",ROUND(SUMIFS(资金日记账!$H$4:$H$603,资金日记账!$E$4:$E$603,$A90,资金日记账!$K$4:$K$603,"应收账款"),2))</f>
        <v/>
      </c>
      <c r="E90" s="27" t="str">
        <f t="shared" si="3"/>
        <v/>
      </c>
      <c r="F90" s="99"/>
      <c r="G90" s="27" t="str">
        <f>IF($A90="","",ROUND(SUMIFS(进销存对接!$F$4:$F$305,进销存对接!$D$4:$D$305,"客户应收",进销存对接!$C$4:$C$305,$A90)+SUMIFS(记账凭证!$I$4:$I$3609,记账凭证!$J$4:$J$3609,$A90,记账凭证!$E$4:$E$3609,"应付账款"),2))</f>
        <v/>
      </c>
      <c r="H90" s="27" t="str">
        <f>IF($A90="","",ROUND(SUMIFS(记账凭证!$H$4:$H$3609,记账凭证!$J$4:$J$3609,$A90,记账凭证!$E$4:$E$3609,"应付账款"),2))</f>
        <v/>
      </c>
      <c r="I90" s="27" t="str">
        <f t="shared" si="4"/>
        <v/>
      </c>
    </row>
    <row r="91" ht="18" customHeight="1" spans="1:9">
      <c r="A91" s="26" t="str">
        <f>IFERROR(INDEX(_自动清单!$E$4:$E$253,ROW()-15),"")</f>
        <v/>
      </c>
      <c r="B91" s="99"/>
      <c r="C91" s="27" t="str">
        <f>IF($A91="","",ROUND(SUMIFS(进销存对接!$G$4:$G$305,进销存对接!$D$4:$D$305,"客户应收",进销存对接!$C$4:$C$305,$A91),2))</f>
        <v/>
      </c>
      <c r="D91" s="27" t="str">
        <f>IF($A91="","",ROUND(SUMIFS(资金日记账!$H$4:$H$603,资金日记账!$E$4:$E$603,$A91,资金日记账!$K$4:$K$603,"应收账款"),2))</f>
        <v/>
      </c>
      <c r="E91" s="27" t="str">
        <f t="shared" si="3"/>
        <v/>
      </c>
      <c r="F91" s="99"/>
      <c r="G91" s="27" t="str">
        <f>IF($A91="","",ROUND(SUMIFS(进销存对接!$F$4:$F$305,进销存对接!$D$4:$D$305,"客户应收",进销存对接!$C$4:$C$305,$A91)+SUMIFS(记账凭证!$I$4:$I$3609,记账凭证!$J$4:$J$3609,$A91,记账凭证!$E$4:$E$3609,"应付账款"),2))</f>
        <v/>
      </c>
      <c r="H91" s="27" t="str">
        <f>IF($A91="","",ROUND(SUMIFS(记账凭证!$H$4:$H$3609,记账凭证!$J$4:$J$3609,$A91,记账凭证!$E$4:$E$3609,"应付账款"),2))</f>
        <v/>
      </c>
      <c r="I91" s="27" t="str">
        <f t="shared" si="4"/>
        <v/>
      </c>
    </row>
    <row r="92" ht="18" customHeight="1" spans="1:9">
      <c r="A92" s="26" t="str">
        <f>IFERROR(INDEX(_自动清单!$E$4:$E$253,ROW()-15),"")</f>
        <v/>
      </c>
      <c r="B92" s="99"/>
      <c r="C92" s="27" t="str">
        <f>IF($A92="","",ROUND(SUMIFS(进销存对接!$G$4:$G$305,进销存对接!$D$4:$D$305,"客户应收",进销存对接!$C$4:$C$305,$A92),2))</f>
        <v/>
      </c>
      <c r="D92" s="27" t="str">
        <f>IF($A92="","",ROUND(SUMIFS(资金日记账!$H$4:$H$603,资金日记账!$E$4:$E$603,$A92,资金日记账!$K$4:$K$603,"应收账款"),2))</f>
        <v/>
      </c>
      <c r="E92" s="27" t="str">
        <f t="shared" si="3"/>
        <v/>
      </c>
      <c r="F92" s="99"/>
      <c r="G92" s="27" t="str">
        <f>IF($A92="","",ROUND(SUMIFS(进销存对接!$F$4:$F$305,进销存对接!$D$4:$D$305,"客户应收",进销存对接!$C$4:$C$305,$A92)+SUMIFS(记账凭证!$I$4:$I$3609,记账凭证!$J$4:$J$3609,$A92,记账凭证!$E$4:$E$3609,"应付账款"),2))</f>
        <v/>
      </c>
      <c r="H92" s="27" t="str">
        <f>IF($A92="","",ROUND(SUMIFS(记账凭证!$H$4:$H$3609,记账凭证!$J$4:$J$3609,$A92,记账凭证!$E$4:$E$3609,"应付账款"),2))</f>
        <v/>
      </c>
      <c r="I92" s="27" t="str">
        <f t="shared" si="4"/>
        <v/>
      </c>
    </row>
    <row r="93" ht="18" customHeight="1" spans="1:9">
      <c r="A93" s="26" t="str">
        <f>IFERROR(INDEX(_自动清单!$E$4:$E$253,ROW()-15),"")</f>
        <v/>
      </c>
      <c r="B93" s="99"/>
      <c r="C93" s="27" t="str">
        <f>IF($A93="","",ROUND(SUMIFS(进销存对接!$G$4:$G$305,进销存对接!$D$4:$D$305,"客户应收",进销存对接!$C$4:$C$305,$A93),2))</f>
        <v/>
      </c>
      <c r="D93" s="27" t="str">
        <f>IF($A93="","",ROUND(SUMIFS(资金日记账!$H$4:$H$603,资金日记账!$E$4:$E$603,$A93,资金日记账!$K$4:$K$603,"应收账款"),2))</f>
        <v/>
      </c>
      <c r="E93" s="27" t="str">
        <f t="shared" si="3"/>
        <v/>
      </c>
      <c r="F93" s="99"/>
      <c r="G93" s="27" t="str">
        <f>IF($A93="","",ROUND(SUMIFS(进销存对接!$F$4:$F$305,进销存对接!$D$4:$D$305,"客户应收",进销存对接!$C$4:$C$305,$A93)+SUMIFS(记账凭证!$I$4:$I$3609,记账凭证!$J$4:$J$3609,$A93,记账凭证!$E$4:$E$3609,"应付账款"),2))</f>
        <v/>
      </c>
      <c r="H93" s="27" t="str">
        <f>IF($A93="","",ROUND(SUMIFS(记账凭证!$H$4:$H$3609,记账凭证!$J$4:$J$3609,$A93,记账凭证!$E$4:$E$3609,"应付账款"),2))</f>
        <v/>
      </c>
      <c r="I93" s="27" t="str">
        <f t="shared" si="4"/>
        <v/>
      </c>
    </row>
    <row r="94" ht="18" customHeight="1" spans="1:9">
      <c r="A94" s="26" t="str">
        <f>IFERROR(INDEX(_自动清单!$E$4:$E$253,ROW()-15),"")</f>
        <v/>
      </c>
      <c r="B94" s="99"/>
      <c r="C94" s="27" t="str">
        <f>IF($A94="","",ROUND(SUMIFS(进销存对接!$G$4:$G$305,进销存对接!$D$4:$D$305,"客户应收",进销存对接!$C$4:$C$305,$A94),2))</f>
        <v/>
      </c>
      <c r="D94" s="27" t="str">
        <f>IF($A94="","",ROUND(SUMIFS(资金日记账!$H$4:$H$603,资金日记账!$E$4:$E$603,$A94,资金日记账!$K$4:$K$603,"应收账款"),2))</f>
        <v/>
      </c>
      <c r="E94" s="27" t="str">
        <f t="shared" si="3"/>
        <v/>
      </c>
      <c r="F94" s="99"/>
      <c r="G94" s="27" t="str">
        <f>IF($A94="","",ROUND(SUMIFS(进销存对接!$F$4:$F$305,进销存对接!$D$4:$D$305,"客户应收",进销存对接!$C$4:$C$305,$A94)+SUMIFS(记账凭证!$I$4:$I$3609,记账凭证!$J$4:$J$3609,$A94,记账凭证!$E$4:$E$3609,"应付账款"),2))</f>
        <v/>
      </c>
      <c r="H94" s="27" t="str">
        <f>IF($A94="","",ROUND(SUMIFS(记账凭证!$H$4:$H$3609,记账凭证!$J$4:$J$3609,$A94,记账凭证!$E$4:$E$3609,"应付账款"),2))</f>
        <v/>
      </c>
      <c r="I94" s="27" t="str">
        <f t="shared" si="4"/>
        <v/>
      </c>
    </row>
    <row r="95" ht="18" customHeight="1" spans="1:9">
      <c r="A95" s="26" t="str">
        <f>IFERROR(INDEX(_自动清单!$E$4:$E$253,ROW()-15),"")</f>
        <v/>
      </c>
      <c r="B95" s="99"/>
      <c r="C95" s="27" t="str">
        <f>IF($A95="","",ROUND(SUMIFS(进销存对接!$G$4:$G$305,进销存对接!$D$4:$D$305,"客户应收",进销存对接!$C$4:$C$305,$A95),2))</f>
        <v/>
      </c>
      <c r="D95" s="27" t="str">
        <f>IF($A95="","",ROUND(SUMIFS(资金日记账!$H$4:$H$603,资金日记账!$E$4:$E$603,$A95,资金日记账!$K$4:$K$603,"应收账款"),2))</f>
        <v/>
      </c>
      <c r="E95" s="27" t="str">
        <f t="shared" si="3"/>
        <v/>
      </c>
      <c r="F95" s="99"/>
      <c r="G95" s="27" t="str">
        <f>IF($A95="","",ROUND(SUMIFS(进销存对接!$F$4:$F$305,进销存对接!$D$4:$D$305,"客户应收",进销存对接!$C$4:$C$305,$A95)+SUMIFS(记账凭证!$I$4:$I$3609,记账凭证!$J$4:$J$3609,$A95,记账凭证!$E$4:$E$3609,"应付账款"),2))</f>
        <v/>
      </c>
      <c r="H95" s="27" t="str">
        <f>IF($A95="","",ROUND(SUMIFS(记账凭证!$H$4:$H$3609,记账凭证!$J$4:$J$3609,$A95,记账凭证!$E$4:$E$3609,"应付账款"),2))</f>
        <v/>
      </c>
      <c r="I95" s="27" t="str">
        <f t="shared" si="4"/>
        <v/>
      </c>
    </row>
    <row r="96" ht="18" customHeight="1" spans="1:9">
      <c r="A96" s="26" t="str">
        <f>IFERROR(INDEX(_自动清单!$E$4:$E$253,ROW()-15),"")</f>
        <v/>
      </c>
      <c r="B96" s="99"/>
      <c r="C96" s="27" t="str">
        <f>IF($A96="","",ROUND(SUMIFS(进销存对接!$G$4:$G$305,进销存对接!$D$4:$D$305,"客户应收",进销存对接!$C$4:$C$305,$A96),2))</f>
        <v/>
      </c>
      <c r="D96" s="27" t="str">
        <f>IF($A96="","",ROUND(SUMIFS(资金日记账!$H$4:$H$603,资金日记账!$E$4:$E$603,$A96,资金日记账!$K$4:$K$603,"应收账款"),2))</f>
        <v/>
      </c>
      <c r="E96" s="27" t="str">
        <f t="shared" si="3"/>
        <v/>
      </c>
      <c r="F96" s="99"/>
      <c r="G96" s="27" t="str">
        <f>IF($A96="","",ROUND(SUMIFS(进销存对接!$F$4:$F$305,进销存对接!$D$4:$D$305,"客户应收",进销存对接!$C$4:$C$305,$A96)+SUMIFS(记账凭证!$I$4:$I$3609,记账凭证!$J$4:$J$3609,$A96,记账凭证!$E$4:$E$3609,"应付账款"),2))</f>
        <v/>
      </c>
      <c r="H96" s="27" t="str">
        <f>IF($A96="","",ROUND(SUMIFS(记账凭证!$H$4:$H$3609,记账凭证!$J$4:$J$3609,$A96,记账凭证!$E$4:$E$3609,"应付账款"),2))</f>
        <v/>
      </c>
      <c r="I96" s="27" t="str">
        <f t="shared" si="4"/>
        <v/>
      </c>
    </row>
    <row r="97" ht="18" customHeight="1" spans="1:9">
      <c r="A97" s="26" t="str">
        <f>IFERROR(INDEX(_自动清单!$E$4:$E$253,ROW()-15),"")</f>
        <v/>
      </c>
      <c r="B97" s="99"/>
      <c r="C97" s="27" t="str">
        <f>IF($A97="","",ROUND(SUMIFS(进销存对接!$G$4:$G$305,进销存对接!$D$4:$D$305,"客户应收",进销存对接!$C$4:$C$305,$A97),2))</f>
        <v/>
      </c>
      <c r="D97" s="27" t="str">
        <f>IF($A97="","",ROUND(SUMIFS(资金日记账!$H$4:$H$603,资金日记账!$E$4:$E$603,$A97,资金日记账!$K$4:$K$603,"应收账款"),2))</f>
        <v/>
      </c>
      <c r="E97" s="27" t="str">
        <f t="shared" si="3"/>
        <v/>
      </c>
      <c r="F97" s="99"/>
      <c r="G97" s="27" t="str">
        <f>IF($A97="","",ROUND(SUMIFS(进销存对接!$F$4:$F$305,进销存对接!$D$4:$D$305,"客户应收",进销存对接!$C$4:$C$305,$A97)+SUMIFS(记账凭证!$I$4:$I$3609,记账凭证!$J$4:$J$3609,$A97,记账凭证!$E$4:$E$3609,"应付账款"),2))</f>
        <v/>
      </c>
      <c r="H97" s="27" t="str">
        <f>IF($A97="","",ROUND(SUMIFS(记账凭证!$H$4:$H$3609,记账凭证!$J$4:$J$3609,$A97,记账凭证!$E$4:$E$3609,"应付账款"),2))</f>
        <v/>
      </c>
      <c r="I97" s="27" t="str">
        <f t="shared" si="4"/>
        <v/>
      </c>
    </row>
    <row r="98" ht="18" customHeight="1" spans="1:9">
      <c r="A98" s="26" t="str">
        <f>IFERROR(INDEX(_自动清单!$E$4:$E$253,ROW()-15),"")</f>
        <v/>
      </c>
      <c r="B98" s="99"/>
      <c r="C98" s="27" t="str">
        <f>IF($A98="","",ROUND(SUMIFS(进销存对接!$G$4:$G$305,进销存对接!$D$4:$D$305,"客户应收",进销存对接!$C$4:$C$305,$A98),2))</f>
        <v/>
      </c>
      <c r="D98" s="27" t="str">
        <f>IF($A98="","",ROUND(SUMIFS(资金日记账!$H$4:$H$603,资金日记账!$E$4:$E$603,$A98,资金日记账!$K$4:$K$603,"应收账款"),2))</f>
        <v/>
      </c>
      <c r="E98" s="27" t="str">
        <f t="shared" si="3"/>
        <v/>
      </c>
      <c r="F98" s="99"/>
      <c r="G98" s="27" t="str">
        <f>IF($A98="","",ROUND(SUMIFS(进销存对接!$F$4:$F$305,进销存对接!$D$4:$D$305,"客户应收",进销存对接!$C$4:$C$305,$A98)+SUMIFS(记账凭证!$I$4:$I$3609,记账凭证!$J$4:$J$3609,$A98,记账凭证!$E$4:$E$3609,"应付账款"),2))</f>
        <v/>
      </c>
      <c r="H98" s="27" t="str">
        <f>IF($A98="","",ROUND(SUMIFS(记账凭证!$H$4:$H$3609,记账凭证!$J$4:$J$3609,$A98,记账凭证!$E$4:$E$3609,"应付账款"),2))</f>
        <v/>
      </c>
      <c r="I98" s="27" t="str">
        <f t="shared" si="4"/>
        <v/>
      </c>
    </row>
    <row r="99" ht="18" customHeight="1" spans="1:9">
      <c r="A99" s="26" t="str">
        <f>IFERROR(INDEX(_自动清单!$E$4:$E$253,ROW()-15),"")</f>
        <v/>
      </c>
      <c r="B99" s="99"/>
      <c r="C99" s="27" t="str">
        <f>IF($A99="","",ROUND(SUMIFS(进销存对接!$G$4:$G$305,进销存对接!$D$4:$D$305,"客户应收",进销存对接!$C$4:$C$305,$A99),2))</f>
        <v/>
      </c>
      <c r="D99" s="27" t="str">
        <f>IF($A99="","",ROUND(SUMIFS(资金日记账!$H$4:$H$603,资金日记账!$E$4:$E$603,$A99,资金日记账!$K$4:$K$603,"应收账款"),2))</f>
        <v/>
      </c>
      <c r="E99" s="27" t="str">
        <f t="shared" si="3"/>
        <v/>
      </c>
      <c r="F99" s="99"/>
      <c r="G99" s="27" t="str">
        <f>IF($A99="","",ROUND(SUMIFS(进销存对接!$F$4:$F$305,进销存对接!$D$4:$D$305,"客户应收",进销存对接!$C$4:$C$305,$A99)+SUMIFS(记账凭证!$I$4:$I$3609,记账凭证!$J$4:$J$3609,$A99,记账凭证!$E$4:$E$3609,"应付账款"),2))</f>
        <v/>
      </c>
      <c r="H99" s="27" t="str">
        <f>IF($A99="","",ROUND(SUMIFS(记账凭证!$H$4:$H$3609,记账凭证!$J$4:$J$3609,$A99,记账凭证!$E$4:$E$3609,"应付账款"),2))</f>
        <v/>
      </c>
      <c r="I99" s="27" t="str">
        <f t="shared" si="4"/>
        <v/>
      </c>
    </row>
    <row r="100" ht="18" customHeight="1" spans="1:9">
      <c r="A100" s="26" t="str">
        <f>IFERROR(INDEX(_自动清单!$E$4:$E$253,ROW()-15),"")</f>
        <v/>
      </c>
      <c r="B100" s="99"/>
      <c r="C100" s="27" t="str">
        <f>IF($A100="","",ROUND(SUMIFS(进销存对接!$G$4:$G$305,进销存对接!$D$4:$D$305,"客户应收",进销存对接!$C$4:$C$305,$A100),2))</f>
        <v/>
      </c>
      <c r="D100" s="27" t="str">
        <f>IF($A100="","",ROUND(SUMIFS(资金日记账!$H$4:$H$603,资金日记账!$E$4:$E$603,$A100,资金日记账!$K$4:$K$603,"应收账款"),2))</f>
        <v/>
      </c>
      <c r="E100" s="27" t="str">
        <f t="shared" si="3"/>
        <v/>
      </c>
      <c r="F100" s="99"/>
      <c r="G100" s="27" t="str">
        <f>IF($A100="","",ROUND(SUMIFS(进销存对接!$F$4:$F$305,进销存对接!$D$4:$D$305,"客户应收",进销存对接!$C$4:$C$305,$A100)+SUMIFS(记账凭证!$I$4:$I$3609,记账凭证!$J$4:$J$3609,$A100,记账凭证!$E$4:$E$3609,"应付账款"),2))</f>
        <v/>
      </c>
      <c r="H100" s="27" t="str">
        <f>IF($A100="","",ROUND(SUMIFS(记账凭证!$H$4:$H$3609,记账凭证!$J$4:$J$3609,$A100,记账凭证!$E$4:$E$3609,"应付账款"),2))</f>
        <v/>
      </c>
      <c r="I100" s="27" t="str">
        <f t="shared" si="4"/>
        <v/>
      </c>
    </row>
    <row r="101" ht="18" customHeight="1" spans="1:9">
      <c r="A101" s="26" t="str">
        <f>IFERROR(INDEX(_自动清单!$E$4:$E$253,ROW()-15),"")</f>
        <v/>
      </c>
      <c r="B101" s="99"/>
      <c r="C101" s="27" t="str">
        <f>IF($A101="","",ROUND(SUMIFS(进销存对接!$G$4:$G$305,进销存对接!$D$4:$D$305,"客户应收",进销存对接!$C$4:$C$305,$A101),2))</f>
        <v/>
      </c>
      <c r="D101" s="27" t="str">
        <f>IF($A101="","",ROUND(SUMIFS(资金日记账!$H$4:$H$603,资金日记账!$E$4:$E$603,$A101,资金日记账!$K$4:$K$603,"应收账款"),2))</f>
        <v/>
      </c>
      <c r="E101" s="27" t="str">
        <f t="shared" si="3"/>
        <v/>
      </c>
      <c r="F101" s="99"/>
      <c r="G101" s="27" t="str">
        <f>IF($A101="","",ROUND(SUMIFS(进销存对接!$F$4:$F$305,进销存对接!$D$4:$D$305,"客户应收",进销存对接!$C$4:$C$305,$A101)+SUMIFS(记账凭证!$I$4:$I$3609,记账凭证!$J$4:$J$3609,$A101,记账凭证!$E$4:$E$3609,"应付账款"),2))</f>
        <v/>
      </c>
      <c r="H101" s="27" t="str">
        <f>IF($A101="","",ROUND(SUMIFS(记账凭证!$H$4:$H$3609,记账凭证!$J$4:$J$3609,$A101,记账凭证!$E$4:$E$3609,"应付账款"),2))</f>
        <v/>
      </c>
      <c r="I101" s="27" t="str">
        <f t="shared" si="4"/>
        <v/>
      </c>
    </row>
    <row r="102" ht="18" customHeight="1" spans="1:9">
      <c r="A102" s="26" t="str">
        <f>IFERROR(INDEX(_自动清单!$E$4:$E$253,ROW()-15),"")</f>
        <v/>
      </c>
      <c r="B102" s="99"/>
      <c r="C102" s="27" t="str">
        <f>IF($A102="","",ROUND(SUMIFS(进销存对接!$G$4:$G$305,进销存对接!$D$4:$D$305,"客户应收",进销存对接!$C$4:$C$305,$A102),2))</f>
        <v/>
      </c>
      <c r="D102" s="27" t="str">
        <f>IF($A102="","",ROUND(SUMIFS(资金日记账!$H$4:$H$603,资金日记账!$E$4:$E$603,$A102,资金日记账!$K$4:$K$603,"应收账款"),2))</f>
        <v/>
      </c>
      <c r="E102" s="27" t="str">
        <f t="shared" si="3"/>
        <v/>
      </c>
      <c r="F102" s="99"/>
      <c r="G102" s="27" t="str">
        <f>IF($A102="","",ROUND(SUMIFS(进销存对接!$F$4:$F$305,进销存对接!$D$4:$D$305,"客户应收",进销存对接!$C$4:$C$305,$A102)+SUMIFS(记账凭证!$I$4:$I$3609,记账凭证!$J$4:$J$3609,$A102,记账凭证!$E$4:$E$3609,"应付账款"),2))</f>
        <v/>
      </c>
      <c r="H102" s="27" t="str">
        <f>IF($A102="","",ROUND(SUMIFS(记账凭证!$H$4:$H$3609,记账凭证!$J$4:$J$3609,$A102,记账凭证!$E$4:$E$3609,"应付账款"),2))</f>
        <v/>
      </c>
      <c r="I102" s="27" t="str">
        <f t="shared" si="4"/>
        <v/>
      </c>
    </row>
    <row r="103" ht="18" customHeight="1" spans="1:9">
      <c r="A103" s="26" t="str">
        <f>IFERROR(INDEX(_自动清单!$E$4:$E$253,ROW()-15),"")</f>
        <v/>
      </c>
      <c r="B103" s="99"/>
      <c r="C103" s="27" t="str">
        <f>IF($A103="","",ROUND(SUMIFS(进销存对接!$G$4:$G$305,进销存对接!$D$4:$D$305,"客户应收",进销存对接!$C$4:$C$305,$A103),2))</f>
        <v/>
      </c>
      <c r="D103" s="27" t="str">
        <f>IF($A103="","",ROUND(SUMIFS(资金日记账!$H$4:$H$603,资金日记账!$E$4:$E$603,$A103,资金日记账!$K$4:$K$603,"应收账款"),2))</f>
        <v/>
      </c>
      <c r="E103" s="27" t="str">
        <f t="shared" si="3"/>
        <v/>
      </c>
      <c r="F103" s="99"/>
      <c r="G103" s="27" t="str">
        <f>IF($A103="","",ROUND(SUMIFS(进销存对接!$F$4:$F$305,进销存对接!$D$4:$D$305,"客户应收",进销存对接!$C$4:$C$305,$A103)+SUMIFS(记账凭证!$I$4:$I$3609,记账凭证!$J$4:$J$3609,$A103,记账凭证!$E$4:$E$3609,"应付账款"),2))</f>
        <v/>
      </c>
      <c r="H103" s="27" t="str">
        <f>IF($A103="","",ROUND(SUMIFS(记账凭证!$H$4:$H$3609,记账凭证!$J$4:$J$3609,$A103,记账凭证!$E$4:$E$3609,"应付账款"),2))</f>
        <v/>
      </c>
      <c r="I103" s="27" t="str">
        <f t="shared" si="4"/>
        <v/>
      </c>
    </row>
    <row r="104" ht="18" customHeight="1" spans="1:9">
      <c r="A104" s="26" t="str">
        <f>IFERROR(INDEX(_自动清单!$E$4:$E$253,ROW()-15),"")</f>
        <v/>
      </c>
      <c r="B104" s="99"/>
      <c r="C104" s="27" t="str">
        <f>IF($A104="","",ROUND(SUMIFS(进销存对接!$G$4:$G$305,进销存对接!$D$4:$D$305,"客户应收",进销存对接!$C$4:$C$305,$A104),2))</f>
        <v/>
      </c>
      <c r="D104" s="27" t="str">
        <f>IF($A104="","",ROUND(SUMIFS(资金日记账!$H$4:$H$603,资金日记账!$E$4:$E$603,$A104,资金日记账!$K$4:$K$603,"应收账款"),2))</f>
        <v/>
      </c>
      <c r="E104" s="27" t="str">
        <f t="shared" si="3"/>
        <v/>
      </c>
      <c r="F104" s="99"/>
      <c r="G104" s="27" t="str">
        <f>IF($A104="","",ROUND(SUMIFS(进销存对接!$F$4:$F$305,进销存对接!$D$4:$D$305,"客户应收",进销存对接!$C$4:$C$305,$A104)+SUMIFS(记账凭证!$I$4:$I$3609,记账凭证!$J$4:$J$3609,$A104,记账凭证!$E$4:$E$3609,"应付账款"),2))</f>
        <v/>
      </c>
      <c r="H104" s="27" t="str">
        <f>IF($A104="","",ROUND(SUMIFS(记账凭证!$H$4:$H$3609,记账凭证!$J$4:$J$3609,$A104,记账凭证!$E$4:$E$3609,"应付账款"),2))</f>
        <v/>
      </c>
      <c r="I104" s="27" t="str">
        <f t="shared" si="4"/>
        <v/>
      </c>
    </row>
    <row r="105" ht="18" customHeight="1" spans="1:9">
      <c r="A105" s="26" t="str">
        <f>IFERROR(INDEX(_自动清单!$E$4:$E$253,ROW()-15),"")</f>
        <v/>
      </c>
      <c r="B105" s="99"/>
      <c r="C105" s="27" t="str">
        <f>IF($A105="","",ROUND(SUMIFS(进销存对接!$G$4:$G$305,进销存对接!$D$4:$D$305,"客户应收",进销存对接!$C$4:$C$305,$A105),2))</f>
        <v/>
      </c>
      <c r="D105" s="27" t="str">
        <f>IF($A105="","",ROUND(SUMIFS(资金日记账!$H$4:$H$603,资金日记账!$E$4:$E$603,$A105,资金日记账!$K$4:$K$603,"应收账款"),2))</f>
        <v/>
      </c>
      <c r="E105" s="27" t="str">
        <f t="shared" si="3"/>
        <v/>
      </c>
      <c r="F105" s="99"/>
      <c r="G105" s="27" t="str">
        <f>IF($A105="","",ROUND(SUMIFS(进销存对接!$F$4:$F$305,进销存对接!$D$4:$D$305,"客户应收",进销存对接!$C$4:$C$305,$A105)+SUMIFS(记账凭证!$I$4:$I$3609,记账凭证!$J$4:$J$3609,$A105,记账凭证!$E$4:$E$3609,"应付账款"),2))</f>
        <v/>
      </c>
      <c r="H105" s="27" t="str">
        <f>IF($A105="","",ROUND(SUMIFS(记账凭证!$H$4:$H$3609,记账凭证!$J$4:$J$3609,$A105,记账凭证!$E$4:$E$3609,"应付账款"),2))</f>
        <v/>
      </c>
      <c r="I105" s="27" t="str">
        <f t="shared" si="4"/>
        <v/>
      </c>
    </row>
    <row r="106" ht="18" customHeight="1" spans="1:9">
      <c r="A106" s="26" t="str">
        <f>IFERROR(INDEX(_自动清单!$E$4:$E$253,ROW()-15),"")</f>
        <v/>
      </c>
      <c r="B106" s="99"/>
      <c r="C106" s="27" t="str">
        <f>IF($A106="","",ROUND(SUMIFS(进销存对接!$G$4:$G$305,进销存对接!$D$4:$D$305,"客户应收",进销存对接!$C$4:$C$305,$A106),2))</f>
        <v/>
      </c>
      <c r="D106" s="27" t="str">
        <f>IF($A106="","",ROUND(SUMIFS(资金日记账!$H$4:$H$603,资金日记账!$E$4:$E$603,$A106,资金日记账!$K$4:$K$603,"应收账款"),2))</f>
        <v/>
      </c>
      <c r="E106" s="27" t="str">
        <f t="shared" si="3"/>
        <v/>
      </c>
      <c r="F106" s="99"/>
      <c r="G106" s="27" t="str">
        <f>IF($A106="","",ROUND(SUMIFS(进销存对接!$F$4:$F$305,进销存对接!$D$4:$D$305,"客户应收",进销存对接!$C$4:$C$305,$A106)+SUMIFS(记账凭证!$I$4:$I$3609,记账凭证!$J$4:$J$3609,$A106,记账凭证!$E$4:$E$3609,"应付账款"),2))</f>
        <v/>
      </c>
      <c r="H106" s="27" t="str">
        <f>IF($A106="","",ROUND(SUMIFS(记账凭证!$H$4:$H$3609,记账凭证!$J$4:$J$3609,$A106,记账凭证!$E$4:$E$3609,"应付账款"),2))</f>
        <v/>
      </c>
      <c r="I106" s="27" t="str">
        <f t="shared" si="4"/>
        <v/>
      </c>
    </row>
    <row r="107" ht="18" customHeight="1" spans="1:9">
      <c r="A107" s="26" t="str">
        <f>IFERROR(INDEX(_自动清单!$E$4:$E$253,ROW()-15),"")</f>
        <v/>
      </c>
      <c r="B107" s="99"/>
      <c r="C107" s="27" t="str">
        <f>IF($A107="","",ROUND(SUMIFS(进销存对接!$G$4:$G$305,进销存对接!$D$4:$D$305,"客户应收",进销存对接!$C$4:$C$305,$A107),2))</f>
        <v/>
      </c>
      <c r="D107" s="27" t="str">
        <f>IF($A107="","",ROUND(SUMIFS(资金日记账!$H$4:$H$603,资金日记账!$E$4:$E$603,$A107,资金日记账!$K$4:$K$603,"应收账款"),2))</f>
        <v/>
      </c>
      <c r="E107" s="27" t="str">
        <f t="shared" si="3"/>
        <v/>
      </c>
      <c r="F107" s="99"/>
      <c r="G107" s="27" t="str">
        <f>IF($A107="","",ROUND(SUMIFS(进销存对接!$F$4:$F$305,进销存对接!$D$4:$D$305,"客户应收",进销存对接!$C$4:$C$305,$A107)+SUMIFS(记账凭证!$I$4:$I$3609,记账凭证!$J$4:$J$3609,$A107,记账凭证!$E$4:$E$3609,"应付账款"),2))</f>
        <v/>
      </c>
      <c r="H107" s="27" t="str">
        <f>IF($A107="","",ROUND(SUMIFS(记账凭证!$H$4:$H$3609,记账凭证!$J$4:$J$3609,$A107,记账凭证!$E$4:$E$3609,"应付账款"),2))</f>
        <v/>
      </c>
      <c r="I107" s="27" t="str">
        <f t="shared" si="4"/>
        <v/>
      </c>
    </row>
    <row r="108" ht="18" customHeight="1" spans="1:9">
      <c r="A108" s="26" t="str">
        <f>IFERROR(INDEX(_自动清单!$E$4:$E$253,ROW()-15),"")</f>
        <v/>
      </c>
      <c r="B108" s="99"/>
      <c r="C108" s="27" t="str">
        <f>IF($A108="","",ROUND(SUMIFS(进销存对接!$G$4:$G$305,进销存对接!$D$4:$D$305,"客户应收",进销存对接!$C$4:$C$305,$A108),2))</f>
        <v/>
      </c>
      <c r="D108" s="27" t="str">
        <f>IF($A108="","",ROUND(SUMIFS(资金日记账!$H$4:$H$603,资金日记账!$E$4:$E$603,$A108,资金日记账!$K$4:$K$603,"应收账款"),2))</f>
        <v/>
      </c>
      <c r="E108" s="27" t="str">
        <f t="shared" si="3"/>
        <v/>
      </c>
      <c r="F108" s="99"/>
      <c r="G108" s="27" t="str">
        <f>IF($A108="","",ROUND(SUMIFS(进销存对接!$F$4:$F$305,进销存对接!$D$4:$D$305,"客户应收",进销存对接!$C$4:$C$305,$A108)+SUMIFS(记账凭证!$I$4:$I$3609,记账凭证!$J$4:$J$3609,$A108,记账凭证!$E$4:$E$3609,"应付账款"),2))</f>
        <v/>
      </c>
      <c r="H108" s="27" t="str">
        <f>IF($A108="","",ROUND(SUMIFS(记账凭证!$H$4:$H$3609,记账凭证!$J$4:$J$3609,$A108,记账凭证!$E$4:$E$3609,"应付账款"),2))</f>
        <v/>
      </c>
      <c r="I108" s="27" t="str">
        <f t="shared" si="4"/>
        <v/>
      </c>
    </row>
    <row r="109" ht="18" customHeight="1" spans="1:9">
      <c r="A109" s="26" t="str">
        <f>IFERROR(INDEX(_自动清单!$E$4:$E$253,ROW()-15),"")</f>
        <v/>
      </c>
      <c r="B109" s="99"/>
      <c r="C109" s="27" t="str">
        <f>IF($A109="","",ROUND(SUMIFS(进销存对接!$G$4:$G$305,进销存对接!$D$4:$D$305,"客户应收",进销存对接!$C$4:$C$305,$A109),2))</f>
        <v/>
      </c>
      <c r="D109" s="27" t="str">
        <f>IF($A109="","",ROUND(SUMIFS(资金日记账!$H$4:$H$603,资金日记账!$E$4:$E$603,$A109,资金日记账!$K$4:$K$603,"应收账款"),2))</f>
        <v/>
      </c>
      <c r="E109" s="27" t="str">
        <f t="shared" si="3"/>
        <v/>
      </c>
      <c r="F109" s="99"/>
      <c r="G109" s="27" t="str">
        <f>IF($A109="","",ROUND(SUMIFS(进销存对接!$F$4:$F$305,进销存对接!$D$4:$D$305,"客户应收",进销存对接!$C$4:$C$305,$A109)+SUMIFS(记账凭证!$I$4:$I$3609,记账凭证!$J$4:$J$3609,$A109,记账凭证!$E$4:$E$3609,"应付账款"),2))</f>
        <v/>
      </c>
      <c r="H109" s="27" t="str">
        <f>IF($A109="","",ROUND(SUMIFS(记账凭证!$H$4:$H$3609,记账凭证!$J$4:$J$3609,$A109,记账凭证!$E$4:$E$3609,"应付账款"),2))</f>
        <v/>
      </c>
      <c r="I109" s="27" t="str">
        <f t="shared" si="4"/>
        <v/>
      </c>
    </row>
    <row r="110" ht="18" customHeight="1" spans="1:9">
      <c r="A110" s="26" t="str">
        <f>IFERROR(INDEX(_自动清单!$E$4:$E$253,ROW()-15),"")</f>
        <v/>
      </c>
      <c r="B110" s="99"/>
      <c r="C110" s="27" t="str">
        <f>IF($A110="","",ROUND(SUMIFS(进销存对接!$G$4:$G$305,进销存对接!$D$4:$D$305,"客户应收",进销存对接!$C$4:$C$305,$A110),2))</f>
        <v/>
      </c>
      <c r="D110" s="27" t="str">
        <f>IF($A110="","",ROUND(SUMIFS(资金日记账!$H$4:$H$603,资金日记账!$E$4:$E$603,$A110,资金日记账!$K$4:$K$603,"应收账款"),2))</f>
        <v/>
      </c>
      <c r="E110" s="27" t="str">
        <f t="shared" si="3"/>
        <v/>
      </c>
      <c r="F110" s="99"/>
      <c r="G110" s="27" t="str">
        <f>IF($A110="","",ROUND(SUMIFS(进销存对接!$F$4:$F$305,进销存对接!$D$4:$D$305,"客户应收",进销存对接!$C$4:$C$305,$A110)+SUMIFS(记账凭证!$I$4:$I$3609,记账凭证!$J$4:$J$3609,$A110,记账凭证!$E$4:$E$3609,"应付账款"),2))</f>
        <v/>
      </c>
      <c r="H110" s="27" t="str">
        <f>IF($A110="","",ROUND(SUMIFS(记账凭证!$H$4:$H$3609,记账凭证!$J$4:$J$3609,$A110,记账凭证!$E$4:$E$3609,"应付账款"),2))</f>
        <v/>
      </c>
      <c r="I110" s="27" t="str">
        <f t="shared" si="4"/>
        <v/>
      </c>
    </row>
    <row r="111" ht="18" customHeight="1" spans="1:9">
      <c r="A111" s="26" t="str">
        <f>IFERROR(INDEX(_自动清单!$E$4:$E$253,ROW()-15),"")</f>
        <v/>
      </c>
      <c r="B111" s="99"/>
      <c r="C111" s="27" t="str">
        <f>IF($A111="","",ROUND(SUMIFS(进销存对接!$G$4:$G$305,进销存对接!$D$4:$D$305,"客户应收",进销存对接!$C$4:$C$305,$A111),2))</f>
        <v/>
      </c>
      <c r="D111" s="27" t="str">
        <f>IF($A111="","",ROUND(SUMIFS(资金日记账!$H$4:$H$603,资金日记账!$E$4:$E$603,$A111,资金日记账!$K$4:$K$603,"应收账款"),2))</f>
        <v/>
      </c>
      <c r="E111" s="27" t="str">
        <f t="shared" si="3"/>
        <v/>
      </c>
      <c r="F111" s="99"/>
      <c r="G111" s="27" t="str">
        <f>IF($A111="","",ROUND(SUMIFS(进销存对接!$F$4:$F$305,进销存对接!$D$4:$D$305,"客户应收",进销存对接!$C$4:$C$305,$A111)+SUMIFS(记账凭证!$I$4:$I$3609,记账凭证!$J$4:$J$3609,$A111,记账凭证!$E$4:$E$3609,"应付账款"),2))</f>
        <v/>
      </c>
      <c r="H111" s="27" t="str">
        <f>IF($A111="","",ROUND(SUMIFS(记账凭证!$H$4:$H$3609,记账凭证!$J$4:$J$3609,$A111,记账凭证!$E$4:$E$3609,"应付账款"),2))</f>
        <v/>
      </c>
      <c r="I111" s="27" t="str">
        <f t="shared" si="4"/>
        <v/>
      </c>
    </row>
    <row r="112" ht="18" customHeight="1" spans="1:9">
      <c r="A112" s="26" t="str">
        <f>IFERROR(INDEX(_自动清单!$E$4:$E$253,ROW()-15),"")</f>
        <v/>
      </c>
      <c r="B112" s="99"/>
      <c r="C112" s="27" t="str">
        <f>IF($A112="","",ROUND(SUMIFS(进销存对接!$G$4:$G$305,进销存对接!$D$4:$D$305,"客户应收",进销存对接!$C$4:$C$305,$A112),2))</f>
        <v/>
      </c>
      <c r="D112" s="27" t="str">
        <f>IF($A112="","",ROUND(SUMIFS(资金日记账!$H$4:$H$603,资金日记账!$E$4:$E$603,$A112,资金日记账!$K$4:$K$603,"应收账款"),2))</f>
        <v/>
      </c>
      <c r="E112" s="27" t="str">
        <f t="shared" si="3"/>
        <v/>
      </c>
      <c r="F112" s="99"/>
      <c r="G112" s="27" t="str">
        <f>IF($A112="","",ROUND(SUMIFS(进销存对接!$F$4:$F$305,进销存对接!$D$4:$D$305,"客户应收",进销存对接!$C$4:$C$305,$A112)+SUMIFS(记账凭证!$I$4:$I$3609,记账凭证!$J$4:$J$3609,$A112,记账凭证!$E$4:$E$3609,"应付账款"),2))</f>
        <v/>
      </c>
      <c r="H112" s="27" t="str">
        <f>IF($A112="","",ROUND(SUMIFS(记账凭证!$H$4:$H$3609,记账凭证!$J$4:$J$3609,$A112,记账凭证!$E$4:$E$3609,"应付账款"),2))</f>
        <v/>
      </c>
      <c r="I112" s="27" t="str">
        <f t="shared" si="4"/>
        <v/>
      </c>
    </row>
    <row r="113" ht="18" customHeight="1" spans="1:9">
      <c r="A113" s="26" t="str">
        <f>IFERROR(INDEX(_自动清单!$E$4:$E$253,ROW()-15),"")</f>
        <v/>
      </c>
      <c r="B113" s="99"/>
      <c r="C113" s="27" t="str">
        <f>IF($A113="","",ROUND(SUMIFS(进销存对接!$G$4:$G$305,进销存对接!$D$4:$D$305,"客户应收",进销存对接!$C$4:$C$305,$A113),2))</f>
        <v/>
      </c>
      <c r="D113" s="27" t="str">
        <f>IF($A113="","",ROUND(SUMIFS(资金日记账!$H$4:$H$603,资金日记账!$E$4:$E$603,$A113,资金日记账!$K$4:$K$603,"应收账款"),2))</f>
        <v/>
      </c>
      <c r="E113" s="27" t="str">
        <f t="shared" si="3"/>
        <v/>
      </c>
      <c r="F113" s="99"/>
      <c r="G113" s="27" t="str">
        <f>IF($A113="","",ROUND(SUMIFS(进销存对接!$F$4:$F$305,进销存对接!$D$4:$D$305,"客户应收",进销存对接!$C$4:$C$305,$A113)+SUMIFS(记账凭证!$I$4:$I$3609,记账凭证!$J$4:$J$3609,$A113,记账凭证!$E$4:$E$3609,"应付账款"),2))</f>
        <v/>
      </c>
      <c r="H113" s="27" t="str">
        <f>IF($A113="","",ROUND(SUMIFS(记账凭证!$H$4:$H$3609,记账凭证!$J$4:$J$3609,$A113,记账凭证!$E$4:$E$3609,"应付账款"),2))</f>
        <v/>
      </c>
      <c r="I113" s="27" t="str">
        <f t="shared" si="4"/>
        <v/>
      </c>
    </row>
    <row r="114" ht="18" customHeight="1" spans="1:9">
      <c r="A114" s="26" t="str">
        <f>IFERROR(INDEX(_自动清单!$E$4:$E$253,ROW()-15),"")</f>
        <v/>
      </c>
      <c r="B114" s="99"/>
      <c r="C114" s="27" t="str">
        <f>IF($A114="","",ROUND(SUMIFS(进销存对接!$G$4:$G$305,进销存对接!$D$4:$D$305,"客户应收",进销存对接!$C$4:$C$305,$A114),2))</f>
        <v/>
      </c>
      <c r="D114" s="27" t="str">
        <f>IF($A114="","",ROUND(SUMIFS(资金日记账!$H$4:$H$603,资金日记账!$E$4:$E$603,$A114,资金日记账!$K$4:$K$603,"应收账款"),2))</f>
        <v/>
      </c>
      <c r="E114" s="27" t="str">
        <f t="shared" si="3"/>
        <v/>
      </c>
      <c r="F114" s="99"/>
      <c r="G114" s="27" t="str">
        <f>IF($A114="","",ROUND(SUMIFS(进销存对接!$F$4:$F$305,进销存对接!$D$4:$D$305,"客户应收",进销存对接!$C$4:$C$305,$A114)+SUMIFS(记账凭证!$I$4:$I$3609,记账凭证!$J$4:$J$3609,$A114,记账凭证!$E$4:$E$3609,"应付账款"),2))</f>
        <v/>
      </c>
      <c r="H114" s="27" t="str">
        <f>IF($A114="","",ROUND(SUMIFS(记账凭证!$H$4:$H$3609,记账凭证!$J$4:$J$3609,$A114,记账凭证!$E$4:$E$3609,"应付账款"),2))</f>
        <v/>
      </c>
      <c r="I114" s="27" t="str">
        <f t="shared" si="4"/>
        <v/>
      </c>
    </row>
    <row r="115" ht="18" customHeight="1" spans="1:9">
      <c r="A115" s="26" t="str">
        <f>IFERROR(INDEX(_自动清单!$E$4:$E$253,ROW()-15),"")</f>
        <v/>
      </c>
      <c r="B115" s="99"/>
      <c r="C115" s="27" t="str">
        <f>IF($A115="","",ROUND(SUMIFS(进销存对接!$G$4:$G$305,进销存对接!$D$4:$D$305,"客户应收",进销存对接!$C$4:$C$305,$A115),2))</f>
        <v/>
      </c>
      <c r="D115" s="27" t="str">
        <f>IF($A115="","",ROUND(SUMIFS(资金日记账!$H$4:$H$603,资金日记账!$E$4:$E$603,$A115,资金日记账!$K$4:$K$603,"应收账款"),2))</f>
        <v/>
      </c>
      <c r="E115" s="27" t="str">
        <f t="shared" si="3"/>
        <v/>
      </c>
      <c r="F115" s="99"/>
      <c r="G115" s="27" t="str">
        <f>IF($A115="","",ROUND(SUMIFS(进销存对接!$F$4:$F$305,进销存对接!$D$4:$D$305,"客户应收",进销存对接!$C$4:$C$305,$A115)+SUMIFS(记账凭证!$I$4:$I$3609,记账凭证!$J$4:$J$3609,$A115,记账凭证!$E$4:$E$3609,"应付账款"),2))</f>
        <v/>
      </c>
      <c r="H115" s="27" t="str">
        <f>IF($A115="","",ROUND(SUMIFS(记账凭证!$H$4:$H$3609,记账凭证!$J$4:$J$3609,$A115,记账凭证!$E$4:$E$3609,"应付账款"),2))</f>
        <v/>
      </c>
      <c r="I115" s="27" t="str">
        <f t="shared" si="4"/>
        <v/>
      </c>
    </row>
    <row r="116" ht="18" customHeight="1" spans="1:9">
      <c r="A116" s="26" t="str">
        <f>IFERROR(INDEX(_自动清单!$E$4:$E$253,ROW()-15),"")</f>
        <v/>
      </c>
      <c r="B116" s="99"/>
      <c r="C116" s="27" t="str">
        <f>IF($A116="","",ROUND(SUMIFS(进销存对接!$G$4:$G$305,进销存对接!$D$4:$D$305,"客户应收",进销存对接!$C$4:$C$305,$A116),2))</f>
        <v/>
      </c>
      <c r="D116" s="27" t="str">
        <f>IF($A116="","",ROUND(SUMIFS(资金日记账!$H$4:$H$603,资金日记账!$E$4:$E$603,$A116,资金日记账!$K$4:$K$603,"应收账款"),2))</f>
        <v/>
      </c>
      <c r="E116" s="27" t="str">
        <f t="shared" si="3"/>
        <v/>
      </c>
      <c r="F116" s="99"/>
      <c r="G116" s="27" t="str">
        <f>IF($A116="","",ROUND(SUMIFS(进销存对接!$F$4:$F$305,进销存对接!$D$4:$D$305,"客户应收",进销存对接!$C$4:$C$305,$A116)+SUMIFS(记账凭证!$I$4:$I$3609,记账凭证!$J$4:$J$3609,$A116,记账凭证!$E$4:$E$3609,"应付账款"),2))</f>
        <v/>
      </c>
      <c r="H116" s="27" t="str">
        <f>IF($A116="","",ROUND(SUMIFS(记账凭证!$H$4:$H$3609,记账凭证!$J$4:$J$3609,$A116,记账凭证!$E$4:$E$3609,"应付账款"),2))</f>
        <v/>
      </c>
      <c r="I116" s="27" t="str">
        <f t="shared" si="4"/>
        <v/>
      </c>
    </row>
    <row r="117" ht="18" customHeight="1" spans="1:9">
      <c r="A117" s="26" t="str">
        <f>IFERROR(INDEX(_自动清单!$E$4:$E$253,ROW()-15),"")</f>
        <v/>
      </c>
      <c r="B117" s="99"/>
      <c r="C117" s="27" t="str">
        <f>IF($A117="","",ROUND(SUMIFS(进销存对接!$G$4:$G$305,进销存对接!$D$4:$D$305,"客户应收",进销存对接!$C$4:$C$305,$A117),2))</f>
        <v/>
      </c>
      <c r="D117" s="27" t="str">
        <f>IF($A117="","",ROUND(SUMIFS(资金日记账!$H$4:$H$603,资金日记账!$E$4:$E$603,$A117,资金日记账!$K$4:$K$603,"应收账款"),2))</f>
        <v/>
      </c>
      <c r="E117" s="27" t="str">
        <f t="shared" si="3"/>
        <v/>
      </c>
      <c r="F117" s="99"/>
      <c r="G117" s="27" t="str">
        <f>IF($A117="","",ROUND(SUMIFS(进销存对接!$F$4:$F$305,进销存对接!$D$4:$D$305,"客户应收",进销存对接!$C$4:$C$305,$A117)+SUMIFS(记账凭证!$I$4:$I$3609,记账凭证!$J$4:$J$3609,$A117,记账凭证!$E$4:$E$3609,"应付账款"),2))</f>
        <v/>
      </c>
      <c r="H117" s="27" t="str">
        <f>IF($A117="","",ROUND(SUMIFS(记账凭证!$H$4:$H$3609,记账凭证!$J$4:$J$3609,$A117,记账凭证!$E$4:$E$3609,"应付账款"),2))</f>
        <v/>
      </c>
      <c r="I117" s="27" t="str">
        <f t="shared" si="4"/>
        <v/>
      </c>
    </row>
    <row r="118" ht="18" customHeight="1" spans="1:9">
      <c r="A118" s="26" t="str">
        <f>IFERROR(INDEX(_自动清单!$E$4:$E$253,ROW()-15),"")</f>
        <v/>
      </c>
      <c r="B118" s="99"/>
      <c r="C118" s="27" t="str">
        <f>IF($A118="","",ROUND(SUMIFS(进销存对接!$G$4:$G$305,进销存对接!$D$4:$D$305,"客户应收",进销存对接!$C$4:$C$305,$A118),2))</f>
        <v/>
      </c>
      <c r="D118" s="27" t="str">
        <f>IF($A118="","",ROUND(SUMIFS(资金日记账!$H$4:$H$603,资金日记账!$E$4:$E$603,$A118,资金日记账!$K$4:$K$603,"应收账款"),2))</f>
        <v/>
      </c>
      <c r="E118" s="27" t="str">
        <f t="shared" si="3"/>
        <v/>
      </c>
      <c r="F118" s="99"/>
      <c r="G118" s="27" t="str">
        <f>IF($A118="","",ROUND(SUMIFS(进销存对接!$F$4:$F$305,进销存对接!$D$4:$D$305,"客户应收",进销存对接!$C$4:$C$305,$A118)+SUMIFS(记账凭证!$I$4:$I$3609,记账凭证!$J$4:$J$3609,$A118,记账凭证!$E$4:$E$3609,"应付账款"),2))</f>
        <v/>
      </c>
      <c r="H118" s="27" t="str">
        <f>IF($A118="","",ROUND(SUMIFS(记账凭证!$H$4:$H$3609,记账凭证!$J$4:$J$3609,$A118,记账凭证!$E$4:$E$3609,"应付账款"),2))</f>
        <v/>
      </c>
      <c r="I118" s="27" t="str">
        <f t="shared" si="4"/>
        <v/>
      </c>
    </row>
    <row r="119" ht="18" customHeight="1" spans="1:9">
      <c r="A119" s="26" t="str">
        <f>IFERROR(INDEX(_自动清单!$E$4:$E$253,ROW()-15),"")</f>
        <v/>
      </c>
      <c r="B119" s="99"/>
      <c r="C119" s="27" t="str">
        <f>IF($A119="","",ROUND(SUMIFS(进销存对接!$G$4:$G$305,进销存对接!$D$4:$D$305,"客户应收",进销存对接!$C$4:$C$305,$A119),2))</f>
        <v/>
      </c>
      <c r="D119" s="27" t="str">
        <f>IF($A119="","",ROUND(SUMIFS(资金日记账!$H$4:$H$603,资金日记账!$E$4:$E$603,$A119,资金日记账!$K$4:$K$603,"应收账款"),2))</f>
        <v/>
      </c>
      <c r="E119" s="27" t="str">
        <f t="shared" si="3"/>
        <v/>
      </c>
      <c r="F119" s="99"/>
      <c r="G119" s="27" t="str">
        <f>IF($A119="","",ROUND(SUMIFS(进销存对接!$F$4:$F$305,进销存对接!$D$4:$D$305,"客户应收",进销存对接!$C$4:$C$305,$A119)+SUMIFS(记账凭证!$I$4:$I$3609,记账凭证!$J$4:$J$3609,$A119,记账凭证!$E$4:$E$3609,"应付账款"),2))</f>
        <v/>
      </c>
      <c r="H119" s="27" t="str">
        <f>IF($A119="","",ROUND(SUMIFS(记账凭证!$H$4:$H$3609,记账凭证!$J$4:$J$3609,$A119,记账凭证!$E$4:$E$3609,"应付账款"),2))</f>
        <v/>
      </c>
      <c r="I119" s="27" t="str">
        <f t="shared" si="4"/>
        <v/>
      </c>
    </row>
    <row r="120" ht="18" customHeight="1" spans="1:9">
      <c r="A120" s="26" t="str">
        <f>IFERROR(INDEX(_自动清单!$E$4:$E$253,ROW()-15),"")</f>
        <v/>
      </c>
      <c r="B120" s="99"/>
      <c r="C120" s="27" t="str">
        <f>IF($A120="","",ROUND(SUMIFS(进销存对接!$G$4:$G$305,进销存对接!$D$4:$D$305,"客户应收",进销存对接!$C$4:$C$305,$A120),2))</f>
        <v/>
      </c>
      <c r="D120" s="27" t="str">
        <f>IF($A120="","",ROUND(SUMIFS(资金日记账!$H$4:$H$603,资金日记账!$E$4:$E$603,$A120,资金日记账!$K$4:$K$603,"应收账款"),2))</f>
        <v/>
      </c>
      <c r="E120" s="27" t="str">
        <f t="shared" si="3"/>
        <v/>
      </c>
      <c r="F120" s="99"/>
      <c r="G120" s="27" t="str">
        <f>IF($A120="","",ROUND(SUMIFS(进销存对接!$F$4:$F$305,进销存对接!$D$4:$D$305,"客户应收",进销存对接!$C$4:$C$305,$A120)+SUMIFS(记账凭证!$I$4:$I$3609,记账凭证!$J$4:$J$3609,$A120,记账凭证!$E$4:$E$3609,"应付账款"),2))</f>
        <v/>
      </c>
      <c r="H120" s="27" t="str">
        <f>IF($A120="","",ROUND(SUMIFS(记账凭证!$H$4:$H$3609,记账凭证!$J$4:$J$3609,$A120,记账凭证!$E$4:$E$3609,"应付账款"),2))</f>
        <v/>
      </c>
      <c r="I120" s="27" t="str">
        <f t="shared" si="4"/>
        <v/>
      </c>
    </row>
    <row r="121" ht="18" customHeight="1" spans="1:9">
      <c r="A121" s="26" t="str">
        <f>IFERROR(INDEX(_自动清单!$E$4:$E$253,ROW()-15),"")</f>
        <v/>
      </c>
      <c r="B121" s="99"/>
      <c r="C121" s="27" t="str">
        <f>IF($A121="","",ROUND(SUMIFS(进销存对接!$G$4:$G$305,进销存对接!$D$4:$D$305,"客户应收",进销存对接!$C$4:$C$305,$A121),2))</f>
        <v/>
      </c>
      <c r="D121" s="27" t="str">
        <f>IF($A121="","",ROUND(SUMIFS(资金日记账!$H$4:$H$603,资金日记账!$E$4:$E$603,$A121,资金日记账!$K$4:$K$603,"应收账款"),2))</f>
        <v/>
      </c>
      <c r="E121" s="27" t="str">
        <f t="shared" si="3"/>
        <v/>
      </c>
      <c r="F121" s="99"/>
      <c r="G121" s="27" t="str">
        <f>IF($A121="","",ROUND(SUMIFS(进销存对接!$F$4:$F$305,进销存对接!$D$4:$D$305,"客户应收",进销存对接!$C$4:$C$305,$A121)+SUMIFS(记账凭证!$I$4:$I$3609,记账凭证!$J$4:$J$3609,$A121,记账凭证!$E$4:$E$3609,"应付账款"),2))</f>
        <v/>
      </c>
      <c r="H121" s="27" t="str">
        <f>IF($A121="","",ROUND(SUMIFS(记账凭证!$H$4:$H$3609,记账凭证!$J$4:$J$3609,$A121,记账凭证!$E$4:$E$3609,"应付账款"),2))</f>
        <v/>
      </c>
      <c r="I121" s="27" t="str">
        <f t="shared" si="4"/>
        <v/>
      </c>
    </row>
    <row r="122" ht="18" customHeight="1" spans="1:9">
      <c r="A122" s="26" t="str">
        <f>IFERROR(INDEX(_自动清单!$E$4:$E$253,ROW()-15),"")</f>
        <v/>
      </c>
      <c r="B122" s="99"/>
      <c r="C122" s="27" t="str">
        <f>IF($A122="","",ROUND(SUMIFS(进销存对接!$G$4:$G$305,进销存对接!$D$4:$D$305,"客户应收",进销存对接!$C$4:$C$305,$A122),2))</f>
        <v/>
      </c>
      <c r="D122" s="27" t="str">
        <f>IF($A122="","",ROUND(SUMIFS(资金日记账!$H$4:$H$603,资金日记账!$E$4:$E$603,$A122,资金日记账!$K$4:$K$603,"应收账款"),2))</f>
        <v/>
      </c>
      <c r="E122" s="27" t="str">
        <f t="shared" si="3"/>
        <v/>
      </c>
      <c r="F122" s="99"/>
      <c r="G122" s="27" t="str">
        <f>IF($A122="","",ROUND(SUMIFS(进销存对接!$F$4:$F$305,进销存对接!$D$4:$D$305,"客户应收",进销存对接!$C$4:$C$305,$A122)+SUMIFS(记账凭证!$I$4:$I$3609,记账凭证!$J$4:$J$3609,$A122,记账凭证!$E$4:$E$3609,"应付账款"),2))</f>
        <v/>
      </c>
      <c r="H122" s="27" t="str">
        <f>IF($A122="","",ROUND(SUMIFS(记账凭证!$H$4:$H$3609,记账凭证!$J$4:$J$3609,$A122,记账凭证!$E$4:$E$3609,"应付账款"),2))</f>
        <v/>
      </c>
      <c r="I122" s="27" t="str">
        <f t="shared" si="4"/>
        <v/>
      </c>
    </row>
    <row r="123" ht="18" customHeight="1" spans="1:9">
      <c r="A123" s="26" t="str">
        <f>IFERROR(INDEX(_自动清单!$E$4:$E$253,ROW()-15),"")</f>
        <v/>
      </c>
      <c r="B123" s="99"/>
      <c r="C123" s="27" t="str">
        <f>IF($A123="","",ROUND(SUMIFS(进销存对接!$G$4:$G$305,进销存对接!$D$4:$D$305,"客户应收",进销存对接!$C$4:$C$305,$A123),2))</f>
        <v/>
      </c>
      <c r="D123" s="27" t="str">
        <f>IF($A123="","",ROUND(SUMIFS(资金日记账!$H$4:$H$603,资金日记账!$E$4:$E$603,$A123,资金日记账!$K$4:$K$603,"应收账款"),2))</f>
        <v/>
      </c>
      <c r="E123" s="27" t="str">
        <f t="shared" si="3"/>
        <v/>
      </c>
      <c r="F123" s="99"/>
      <c r="G123" s="27" t="str">
        <f>IF($A123="","",ROUND(SUMIFS(进销存对接!$F$4:$F$305,进销存对接!$D$4:$D$305,"客户应收",进销存对接!$C$4:$C$305,$A123)+SUMIFS(记账凭证!$I$4:$I$3609,记账凭证!$J$4:$J$3609,$A123,记账凭证!$E$4:$E$3609,"应付账款"),2))</f>
        <v/>
      </c>
      <c r="H123" s="27" t="str">
        <f>IF($A123="","",ROUND(SUMIFS(记账凭证!$H$4:$H$3609,记账凭证!$J$4:$J$3609,$A123,记账凭证!$E$4:$E$3609,"应付账款"),2))</f>
        <v/>
      </c>
      <c r="I123" s="27" t="str">
        <f t="shared" si="4"/>
        <v/>
      </c>
    </row>
    <row r="124" ht="18" customHeight="1" spans="1:9">
      <c r="A124" s="26" t="str">
        <f>IFERROR(INDEX(_自动清单!$E$4:$E$253,ROW()-15),"")</f>
        <v/>
      </c>
      <c r="B124" s="99"/>
      <c r="C124" s="27" t="str">
        <f>IF($A124="","",ROUND(SUMIFS(进销存对接!$G$4:$G$305,进销存对接!$D$4:$D$305,"客户应收",进销存对接!$C$4:$C$305,$A124),2))</f>
        <v/>
      </c>
      <c r="D124" s="27" t="str">
        <f>IF($A124="","",ROUND(SUMIFS(资金日记账!$H$4:$H$603,资金日记账!$E$4:$E$603,$A124,资金日记账!$K$4:$K$603,"应收账款"),2))</f>
        <v/>
      </c>
      <c r="E124" s="27" t="str">
        <f t="shared" si="3"/>
        <v/>
      </c>
      <c r="F124" s="99"/>
      <c r="G124" s="27" t="str">
        <f>IF($A124="","",ROUND(SUMIFS(进销存对接!$F$4:$F$305,进销存对接!$D$4:$D$305,"客户应收",进销存对接!$C$4:$C$305,$A124)+SUMIFS(记账凭证!$I$4:$I$3609,记账凭证!$J$4:$J$3609,$A124,记账凭证!$E$4:$E$3609,"应付账款"),2))</f>
        <v/>
      </c>
      <c r="H124" s="27" t="str">
        <f>IF($A124="","",ROUND(SUMIFS(记账凭证!$H$4:$H$3609,记账凭证!$J$4:$J$3609,$A124,记账凭证!$E$4:$E$3609,"应付账款"),2))</f>
        <v/>
      </c>
      <c r="I124" s="27" t="str">
        <f t="shared" si="4"/>
        <v/>
      </c>
    </row>
    <row r="125" ht="18" customHeight="1" spans="1:9">
      <c r="A125" s="26" t="str">
        <f>IFERROR(INDEX(_自动清单!$E$4:$E$253,ROW()-15),"")</f>
        <v/>
      </c>
      <c r="B125" s="99"/>
      <c r="C125" s="27" t="str">
        <f>IF($A125="","",ROUND(SUMIFS(进销存对接!$G$4:$G$305,进销存对接!$D$4:$D$305,"客户应收",进销存对接!$C$4:$C$305,$A125),2))</f>
        <v/>
      </c>
      <c r="D125" s="27" t="str">
        <f>IF($A125="","",ROUND(SUMIFS(资金日记账!$H$4:$H$603,资金日记账!$E$4:$E$603,$A125,资金日记账!$K$4:$K$603,"应收账款"),2))</f>
        <v/>
      </c>
      <c r="E125" s="27" t="str">
        <f t="shared" si="3"/>
        <v/>
      </c>
      <c r="F125" s="99"/>
      <c r="G125" s="27" t="str">
        <f>IF($A125="","",ROUND(SUMIFS(进销存对接!$F$4:$F$305,进销存对接!$D$4:$D$305,"客户应收",进销存对接!$C$4:$C$305,$A125)+SUMIFS(记账凭证!$I$4:$I$3609,记账凭证!$J$4:$J$3609,$A125,记账凭证!$E$4:$E$3609,"应付账款"),2))</f>
        <v/>
      </c>
      <c r="H125" s="27" t="str">
        <f>IF($A125="","",ROUND(SUMIFS(记账凭证!$H$4:$H$3609,记账凭证!$J$4:$J$3609,$A125,记账凭证!$E$4:$E$3609,"应付账款"),2))</f>
        <v/>
      </c>
      <c r="I125" s="27" t="str">
        <f t="shared" si="4"/>
        <v/>
      </c>
    </row>
    <row r="126" ht="16.5" customHeight="1" spans="1:9">
      <c r="A126" s="29" t="s">
        <v>220</v>
      </c>
      <c r="B126" s="30">
        <f t="shared" ref="B126:I126" si="5">ROUND(SUM(B16:B125),2)</f>
        <v>0</v>
      </c>
      <c r="C126" s="30">
        <f t="shared" si="5"/>
        <v>0</v>
      </c>
      <c r="D126" s="30">
        <f t="shared" si="5"/>
        <v>0</v>
      </c>
      <c r="E126" s="30">
        <f t="shared" si="5"/>
        <v>0</v>
      </c>
      <c r="F126" s="30">
        <f t="shared" si="5"/>
        <v>0</v>
      </c>
      <c r="G126" s="30">
        <f t="shared" si="5"/>
        <v>0</v>
      </c>
      <c r="H126" s="30">
        <f t="shared" si="5"/>
        <v>0</v>
      </c>
      <c r="I126" s="30">
        <f t="shared" si="5"/>
        <v>0</v>
      </c>
    </row>
  </sheetData>
  <mergeCells count="4">
    <mergeCell ref="A1:I1"/>
    <mergeCell ref="A2:I2"/>
    <mergeCell ref="A3:I3"/>
    <mergeCell ref="A14:I14"/>
  </mergeCells>
  <conditionalFormatting sqref="A2">
    <cfRule type="expression" dxfId="0" priority="1">
      <formula>(N(_自动清单!$A$1)&gt;110)</formula>
    </cfRule>
    <cfRule type="expression" dxfId="0" priority="2">
      <formula>OR(N(对接源_01水果!$T$1)+N(对接源_02物料!$T$1)=0,N(对接源_01水果!$T$4)*N(对接源_02物料!$T$4)=0)</formula>
    </cfRule>
  </conditionalFormatting>
  <pageMargins left="0.3" right="0.3" top="0.4" bottom="0.4" header="0.5" footer="0.5"/>
  <pageSetup paperSize="9" fitToHeight="0" orientation="landscape"/>
  <headerFooter>
    <oddFooter>&amp;L&amp;A&amp;R第 &amp;P 页 / 共 &amp;N 页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M205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I26" sqref="I26"/>
    </sheetView>
  </sheetViews>
  <sheetFormatPr defaultColWidth="9" defaultRowHeight="13.5"/>
  <cols>
    <col min="1" max="1" width="5" customWidth="1"/>
    <col min="2" max="2" width="16" customWidth="1"/>
    <col min="3" max="3" width="12" customWidth="1"/>
    <col min="4" max="4" width="14" customWidth="1"/>
    <col min="5" max="5" width="12" customWidth="1"/>
    <col min="6" max="6" width="13" customWidth="1"/>
    <col min="7" max="7" width="12" customWidth="1"/>
    <col min="8" max="8" width="14" customWidth="1"/>
    <col min="9" max="9" width="12" customWidth="1"/>
    <col min="10" max="10" width="13" customWidth="1"/>
    <col min="11" max="11" width="14" customWidth="1"/>
    <col min="12" max="12" width="10" customWidth="1"/>
    <col min="13" max="13" width="16" customWidth="1"/>
  </cols>
  <sheetData>
    <row r="1" ht="30" customHeight="1" spans="1:13">
      <c r="A1" s="71" t="s">
        <v>652</v>
      </c>
    </row>
    <row r="2" ht="18" customHeight="1" spans="1:13">
      <c r="A2" s="72"/>
    </row>
    <row r="3" ht="20" customHeight="1" spans="1:13">
      <c r="A3" s="88" t="s">
        <v>653</v>
      </c>
    </row>
    <row r="4" ht="30" customHeight="1" spans="1:13">
      <c r="A4" s="73" t="s">
        <v>3</v>
      </c>
      <c r="B4" s="73" t="s">
        <v>371</v>
      </c>
      <c r="C4" s="73" t="s">
        <v>645</v>
      </c>
      <c r="D4" s="73" t="s">
        <v>646</v>
      </c>
      <c r="E4" s="73" t="s">
        <v>647</v>
      </c>
      <c r="F4" s="73" t="s">
        <v>648</v>
      </c>
      <c r="G4" s="73" t="s">
        <v>649</v>
      </c>
      <c r="H4" s="73" t="s">
        <v>650</v>
      </c>
      <c r="I4" s="73" t="s">
        <v>651</v>
      </c>
      <c r="J4" s="73" t="s">
        <v>624</v>
      </c>
      <c r="K4" s="73" t="s">
        <v>654</v>
      </c>
      <c r="L4" s="73" t="s">
        <v>163</v>
      </c>
      <c r="M4" s="73" t="s">
        <v>172</v>
      </c>
    </row>
    <row r="5" spans="1:13">
      <c r="A5" s="89" t="str">
        <f t="shared" ref="A5:A68" si="0">IF($B5="","",ROW()-4)</f>
        <v/>
      </c>
      <c r="B5" s="86" t="str">
        <f>IFERROR(INDEX(_自动清单!$E$4:$E$253,ROW()-4),"")</f>
        <v/>
      </c>
      <c r="C5" s="90"/>
      <c r="D5" s="27" t="str">
        <f>IF($B5="","",ROUND(SUMIFS(进销存对接!$G$4:$G$305,进销存对接!$D$4:$D$305,"客户应收",进销存对接!$C$4:$C$305,$B5),2))</f>
        <v/>
      </c>
      <c r="E5" s="27" t="str">
        <f>IF($B5="","",ROUND(SUMIFS(资金日记账!$H$4:$H$603,资金日记账!$E$4:$E$603,$B5,资金日记账!$K$4:$K$603,"应收账款"),2))</f>
        <v/>
      </c>
      <c r="F5" s="27" t="str">
        <f t="shared" ref="F5:F68" si="1">IF($B5="","",ROUND(N($C5)+N($D5)-N($E5),2))</f>
        <v/>
      </c>
      <c r="G5" s="90"/>
      <c r="H5" s="27" t="str">
        <f>IF($B5="","",ROUND(SUMIFS(进销存对接!$F$4:$F$305,进销存对接!$D$4:$D$305,"客户应收",进销存对接!$C$4:$C$305,$B5)+SUMIFS(记账凭证!$I$4:$I$3609,记账凭证!$J$4:$J$3609,$B5,记账凭证!$E$4:$E$3609,"应付账款"),2))</f>
        <v/>
      </c>
      <c r="I5" s="27" t="str">
        <f>IF($B5="","",ROUND(SUMIFS(记账凭证!$H$4:$H$3609,记账凭证!$J$4:$J$3609,$B5,记账凭证!$E$4:$E$3609,"应付账款"),2))</f>
        <v/>
      </c>
      <c r="J5" s="27" t="str">
        <f t="shared" ref="J5:J68" si="2">IF($B5="","",ROUND(N($G5)+N($H5)-N($I5),2))</f>
        <v/>
      </c>
      <c r="K5" s="27" t="str">
        <f t="shared" ref="K5:K68" si="3">IF($B5="","",ROUND(N($F5)-N($J5),2))</f>
        <v/>
      </c>
      <c r="L5" s="89" t="str">
        <f t="shared" ref="L5:L68" si="4">IF($B5="","",IF(ROUND(N($K5),2)&gt;0,"对方欠款",IF(ROUND(N($K5),2)&lt;0,"我方欠款","已两清")))</f>
        <v/>
      </c>
      <c r="M5" s="91"/>
    </row>
    <row r="6" spans="1:13">
      <c r="A6" s="89" t="str">
        <f t="shared" si="0"/>
        <v/>
      </c>
      <c r="B6" s="86" t="str">
        <f>IFERROR(INDEX(_自动清单!$E$4:$E$253,ROW()-4),"")</f>
        <v/>
      </c>
      <c r="C6" s="90"/>
      <c r="D6" s="27" t="str">
        <f>IF($B6="","",ROUND(SUMIFS(进销存对接!$G$4:$G$305,进销存对接!$D$4:$D$305,"客户应收",进销存对接!$C$4:$C$305,$B6),2))</f>
        <v/>
      </c>
      <c r="E6" s="27" t="str">
        <f>IF($B6="","",ROUND(SUMIFS(资金日记账!$H$4:$H$603,资金日记账!$E$4:$E$603,$B6,资金日记账!$K$4:$K$603,"应收账款"),2))</f>
        <v/>
      </c>
      <c r="F6" s="27" t="str">
        <f t="shared" si="1"/>
        <v/>
      </c>
      <c r="G6" s="90"/>
      <c r="H6" s="27" t="str">
        <f>IF($B6="","",ROUND(SUMIFS(进销存对接!$F$4:$F$305,进销存对接!$D$4:$D$305,"客户应收",进销存对接!$C$4:$C$305,$B6)+SUMIFS(记账凭证!$I$4:$I$3609,记账凭证!$J$4:$J$3609,$B6,记账凭证!$E$4:$E$3609,"应付账款"),2))</f>
        <v/>
      </c>
      <c r="I6" s="27" t="str">
        <f>IF($B6="","",ROUND(SUMIFS(记账凭证!$H$4:$H$3609,记账凭证!$J$4:$J$3609,$B6,记账凭证!$E$4:$E$3609,"应付账款"),2))</f>
        <v/>
      </c>
      <c r="J6" s="27" t="str">
        <f t="shared" si="2"/>
        <v/>
      </c>
      <c r="K6" s="27" t="str">
        <f t="shared" si="3"/>
        <v/>
      </c>
      <c r="L6" s="89" t="str">
        <f t="shared" si="4"/>
        <v/>
      </c>
      <c r="M6" s="91"/>
    </row>
    <row r="7" spans="1:13">
      <c r="A7" s="89" t="str">
        <f t="shared" si="0"/>
        <v/>
      </c>
      <c r="B7" s="86" t="str">
        <f>IFERROR(INDEX(_自动清单!$E$4:$E$253,ROW()-4),"")</f>
        <v/>
      </c>
      <c r="C7" s="90"/>
      <c r="D7" s="27" t="str">
        <f>IF($B7="","",ROUND(SUMIFS(进销存对接!$G$4:$G$305,进销存对接!$D$4:$D$305,"客户应收",进销存对接!$C$4:$C$305,$B7),2))</f>
        <v/>
      </c>
      <c r="E7" s="27" t="str">
        <f>IF($B7="","",ROUND(SUMIFS(资金日记账!$H$4:$H$603,资金日记账!$E$4:$E$603,$B7,资金日记账!$K$4:$K$603,"应收账款"),2))</f>
        <v/>
      </c>
      <c r="F7" s="27" t="str">
        <f t="shared" si="1"/>
        <v/>
      </c>
      <c r="G7" s="90"/>
      <c r="H7" s="27" t="str">
        <f>IF($B7="","",ROUND(SUMIFS(进销存对接!$F$4:$F$305,进销存对接!$D$4:$D$305,"客户应收",进销存对接!$C$4:$C$305,$B7)+SUMIFS(记账凭证!$I$4:$I$3609,记账凭证!$J$4:$J$3609,$B7,记账凭证!$E$4:$E$3609,"应付账款"),2))</f>
        <v/>
      </c>
      <c r="I7" s="27" t="str">
        <f>IF($B7="","",ROUND(SUMIFS(记账凭证!$H$4:$H$3609,记账凭证!$J$4:$J$3609,$B7,记账凭证!$E$4:$E$3609,"应付账款"),2))</f>
        <v/>
      </c>
      <c r="J7" s="27" t="str">
        <f t="shared" si="2"/>
        <v/>
      </c>
      <c r="K7" s="27" t="str">
        <f t="shared" si="3"/>
        <v/>
      </c>
      <c r="L7" s="89" t="str">
        <f t="shared" si="4"/>
        <v/>
      </c>
      <c r="M7" s="91"/>
    </row>
    <row r="8" spans="1:13">
      <c r="A8" s="89" t="str">
        <f t="shared" si="0"/>
        <v/>
      </c>
      <c r="B8" s="86" t="str">
        <f>IFERROR(INDEX(_自动清单!$E$4:$E$253,ROW()-4),"")</f>
        <v/>
      </c>
      <c r="C8" s="90"/>
      <c r="D8" s="27" t="str">
        <f>IF($B8="","",ROUND(SUMIFS(进销存对接!$G$4:$G$305,进销存对接!$D$4:$D$305,"客户应收",进销存对接!$C$4:$C$305,$B8),2))</f>
        <v/>
      </c>
      <c r="E8" s="27" t="str">
        <f>IF($B8="","",ROUND(SUMIFS(资金日记账!$H$4:$H$603,资金日记账!$E$4:$E$603,$B8,资金日记账!$K$4:$K$603,"应收账款"),2))</f>
        <v/>
      </c>
      <c r="F8" s="27" t="str">
        <f t="shared" si="1"/>
        <v/>
      </c>
      <c r="G8" s="90"/>
      <c r="H8" s="27" t="str">
        <f>IF($B8="","",ROUND(SUMIFS(进销存对接!$F$4:$F$305,进销存对接!$D$4:$D$305,"客户应收",进销存对接!$C$4:$C$305,$B8)+SUMIFS(记账凭证!$I$4:$I$3609,记账凭证!$J$4:$J$3609,$B8,记账凭证!$E$4:$E$3609,"应付账款"),2))</f>
        <v/>
      </c>
      <c r="I8" s="27" t="str">
        <f>IF($B8="","",ROUND(SUMIFS(记账凭证!$H$4:$H$3609,记账凭证!$J$4:$J$3609,$B8,记账凭证!$E$4:$E$3609,"应付账款"),2))</f>
        <v/>
      </c>
      <c r="J8" s="27" t="str">
        <f t="shared" si="2"/>
        <v/>
      </c>
      <c r="K8" s="27" t="str">
        <f t="shared" si="3"/>
        <v/>
      </c>
      <c r="L8" s="89" t="str">
        <f t="shared" si="4"/>
        <v/>
      </c>
      <c r="M8" s="91"/>
    </row>
    <row r="9" spans="1:13">
      <c r="A9" s="89" t="str">
        <f t="shared" si="0"/>
        <v/>
      </c>
      <c r="B9" s="86" t="str">
        <f>IFERROR(INDEX(_自动清单!$E$4:$E$253,ROW()-4),"")</f>
        <v/>
      </c>
      <c r="C9" s="90"/>
      <c r="D9" s="27" t="str">
        <f>IF($B9="","",ROUND(SUMIFS(进销存对接!$G$4:$G$305,进销存对接!$D$4:$D$305,"客户应收",进销存对接!$C$4:$C$305,$B9),2))</f>
        <v/>
      </c>
      <c r="E9" s="27" t="str">
        <f>IF($B9="","",ROUND(SUMIFS(资金日记账!$H$4:$H$603,资金日记账!$E$4:$E$603,$B9,资金日记账!$K$4:$K$603,"应收账款"),2))</f>
        <v/>
      </c>
      <c r="F9" s="27" t="str">
        <f t="shared" si="1"/>
        <v/>
      </c>
      <c r="G9" s="90"/>
      <c r="H9" s="27" t="str">
        <f>IF($B9="","",ROUND(SUMIFS(进销存对接!$F$4:$F$305,进销存对接!$D$4:$D$305,"客户应收",进销存对接!$C$4:$C$305,$B9)+SUMIFS(记账凭证!$I$4:$I$3609,记账凭证!$J$4:$J$3609,$B9,记账凭证!$E$4:$E$3609,"应付账款"),2))</f>
        <v/>
      </c>
      <c r="I9" s="27" t="str">
        <f>IF($B9="","",ROUND(SUMIFS(记账凭证!$H$4:$H$3609,记账凭证!$J$4:$J$3609,$B9,记账凭证!$E$4:$E$3609,"应付账款"),2))</f>
        <v/>
      </c>
      <c r="J9" s="27" t="str">
        <f t="shared" si="2"/>
        <v/>
      </c>
      <c r="K9" s="27" t="str">
        <f t="shared" si="3"/>
        <v/>
      </c>
      <c r="L9" s="89" t="str">
        <f t="shared" si="4"/>
        <v/>
      </c>
      <c r="M9" s="91"/>
    </row>
    <row r="10" spans="1:13">
      <c r="A10" s="89" t="str">
        <f t="shared" si="0"/>
        <v/>
      </c>
      <c r="B10" s="86" t="str">
        <f>IFERROR(INDEX(_自动清单!$E$4:$E$253,ROW()-4),"")</f>
        <v/>
      </c>
      <c r="C10" s="90"/>
      <c r="D10" s="27" t="str">
        <f>IF($B10="","",ROUND(SUMIFS(进销存对接!$G$4:$G$305,进销存对接!$D$4:$D$305,"客户应收",进销存对接!$C$4:$C$305,$B10),2))</f>
        <v/>
      </c>
      <c r="E10" s="27" t="str">
        <f>IF($B10="","",ROUND(SUMIFS(资金日记账!$H$4:$H$603,资金日记账!$E$4:$E$603,$B10,资金日记账!$K$4:$K$603,"应收账款"),2))</f>
        <v/>
      </c>
      <c r="F10" s="27" t="str">
        <f t="shared" si="1"/>
        <v/>
      </c>
      <c r="G10" s="90"/>
      <c r="H10" s="27" t="str">
        <f>IF($B10="","",ROUND(SUMIFS(进销存对接!$F$4:$F$305,进销存对接!$D$4:$D$305,"客户应收",进销存对接!$C$4:$C$305,$B10)+SUMIFS(记账凭证!$I$4:$I$3609,记账凭证!$J$4:$J$3609,$B10,记账凭证!$E$4:$E$3609,"应付账款"),2))</f>
        <v/>
      </c>
      <c r="I10" s="27" t="str">
        <f>IF($B10="","",ROUND(SUMIFS(记账凭证!$H$4:$H$3609,记账凭证!$J$4:$J$3609,$B10,记账凭证!$E$4:$E$3609,"应付账款"),2))</f>
        <v/>
      </c>
      <c r="J10" s="27" t="str">
        <f t="shared" si="2"/>
        <v/>
      </c>
      <c r="K10" s="27" t="str">
        <f t="shared" si="3"/>
        <v/>
      </c>
      <c r="L10" s="89" t="str">
        <f t="shared" si="4"/>
        <v/>
      </c>
      <c r="M10" s="91"/>
    </row>
    <row r="11" spans="1:13">
      <c r="A11" s="89" t="str">
        <f t="shared" si="0"/>
        <v/>
      </c>
      <c r="B11" s="86" t="str">
        <f>IFERROR(INDEX(_自动清单!$E$4:$E$253,ROW()-4),"")</f>
        <v/>
      </c>
      <c r="C11" s="90"/>
      <c r="D11" s="27" t="str">
        <f>IF($B11="","",ROUND(SUMIFS(进销存对接!$G$4:$G$305,进销存对接!$D$4:$D$305,"客户应收",进销存对接!$C$4:$C$305,$B11),2))</f>
        <v/>
      </c>
      <c r="E11" s="27" t="str">
        <f>IF($B11="","",ROUND(SUMIFS(资金日记账!$H$4:$H$603,资金日记账!$E$4:$E$603,$B11,资金日记账!$K$4:$K$603,"应收账款"),2))</f>
        <v/>
      </c>
      <c r="F11" s="27" t="str">
        <f t="shared" si="1"/>
        <v/>
      </c>
      <c r="G11" s="90"/>
      <c r="H11" s="27" t="str">
        <f>IF($B11="","",ROUND(SUMIFS(进销存对接!$F$4:$F$305,进销存对接!$D$4:$D$305,"客户应收",进销存对接!$C$4:$C$305,$B11)+SUMIFS(记账凭证!$I$4:$I$3609,记账凭证!$J$4:$J$3609,$B11,记账凭证!$E$4:$E$3609,"应付账款"),2))</f>
        <v/>
      </c>
      <c r="I11" s="27" t="str">
        <f>IF($B11="","",ROUND(SUMIFS(记账凭证!$H$4:$H$3609,记账凭证!$J$4:$J$3609,$B11,记账凭证!$E$4:$E$3609,"应付账款"),2))</f>
        <v/>
      </c>
      <c r="J11" s="27" t="str">
        <f t="shared" si="2"/>
        <v/>
      </c>
      <c r="K11" s="27" t="str">
        <f t="shared" si="3"/>
        <v/>
      </c>
      <c r="L11" s="89" t="str">
        <f t="shared" si="4"/>
        <v/>
      </c>
      <c r="M11" s="91"/>
    </row>
    <row r="12" spans="1:13">
      <c r="A12" s="89" t="str">
        <f t="shared" si="0"/>
        <v/>
      </c>
      <c r="B12" s="86" t="str">
        <f>IFERROR(INDEX(_自动清单!$E$4:$E$253,ROW()-4),"")</f>
        <v/>
      </c>
      <c r="C12" s="90"/>
      <c r="D12" s="27" t="str">
        <f>IF($B12="","",ROUND(SUMIFS(进销存对接!$G$4:$G$305,进销存对接!$D$4:$D$305,"客户应收",进销存对接!$C$4:$C$305,$B12),2))</f>
        <v/>
      </c>
      <c r="E12" s="27" t="str">
        <f>IF($B12="","",ROUND(SUMIFS(资金日记账!$H$4:$H$603,资金日记账!$E$4:$E$603,$B12,资金日记账!$K$4:$K$603,"应收账款"),2))</f>
        <v/>
      </c>
      <c r="F12" s="27" t="str">
        <f t="shared" si="1"/>
        <v/>
      </c>
      <c r="G12" s="90"/>
      <c r="H12" s="27" t="str">
        <f>IF($B12="","",ROUND(SUMIFS(进销存对接!$F$4:$F$305,进销存对接!$D$4:$D$305,"客户应收",进销存对接!$C$4:$C$305,$B12)+SUMIFS(记账凭证!$I$4:$I$3609,记账凭证!$J$4:$J$3609,$B12,记账凭证!$E$4:$E$3609,"应付账款"),2))</f>
        <v/>
      </c>
      <c r="I12" s="27" t="str">
        <f>IF($B12="","",ROUND(SUMIFS(记账凭证!$H$4:$H$3609,记账凭证!$J$4:$J$3609,$B12,记账凭证!$E$4:$E$3609,"应付账款"),2))</f>
        <v/>
      </c>
      <c r="J12" s="27" t="str">
        <f t="shared" si="2"/>
        <v/>
      </c>
      <c r="K12" s="27" t="str">
        <f t="shared" si="3"/>
        <v/>
      </c>
      <c r="L12" s="89" t="str">
        <f t="shared" si="4"/>
        <v/>
      </c>
      <c r="M12" s="91"/>
    </row>
    <row r="13" spans="1:13">
      <c r="A13" s="89" t="str">
        <f t="shared" si="0"/>
        <v/>
      </c>
      <c r="B13" s="86" t="str">
        <f>IFERROR(INDEX(_自动清单!$E$4:$E$253,ROW()-4),"")</f>
        <v/>
      </c>
      <c r="C13" s="90"/>
      <c r="D13" s="27" t="str">
        <f>IF($B13="","",ROUND(SUMIFS(进销存对接!$G$4:$G$305,进销存对接!$D$4:$D$305,"客户应收",进销存对接!$C$4:$C$305,$B13),2))</f>
        <v/>
      </c>
      <c r="E13" s="27" t="str">
        <f>IF($B13="","",ROUND(SUMIFS(资金日记账!$H$4:$H$603,资金日记账!$E$4:$E$603,$B13,资金日记账!$K$4:$K$603,"应收账款"),2))</f>
        <v/>
      </c>
      <c r="F13" s="27" t="str">
        <f t="shared" si="1"/>
        <v/>
      </c>
      <c r="G13" s="90"/>
      <c r="H13" s="27" t="str">
        <f>IF($B13="","",ROUND(SUMIFS(进销存对接!$F$4:$F$305,进销存对接!$D$4:$D$305,"客户应收",进销存对接!$C$4:$C$305,$B13)+SUMIFS(记账凭证!$I$4:$I$3609,记账凭证!$J$4:$J$3609,$B13,记账凭证!$E$4:$E$3609,"应付账款"),2))</f>
        <v/>
      </c>
      <c r="I13" s="27" t="str">
        <f>IF($B13="","",ROUND(SUMIFS(记账凭证!$H$4:$H$3609,记账凭证!$J$4:$J$3609,$B13,记账凭证!$E$4:$E$3609,"应付账款"),2))</f>
        <v/>
      </c>
      <c r="J13" s="27" t="str">
        <f t="shared" si="2"/>
        <v/>
      </c>
      <c r="K13" s="27" t="str">
        <f t="shared" si="3"/>
        <v/>
      </c>
      <c r="L13" s="89" t="str">
        <f t="shared" si="4"/>
        <v/>
      </c>
      <c r="M13" s="91"/>
    </row>
    <row r="14" spans="1:13">
      <c r="A14" s="89" t="str">
        <f t="shared" si="0"/>
        <v/>
      </c>
      <c r="B14" s="86" t="str">
        <f>IFERROR(INDEX(_自动清单!$E$4:$E$253,ROW()-4),"")</f>
        <v/>
      </c>
      <c r="C14" s="90"/>
      <c r="D14" s="27" t="str">
        <f>IF($B14="","",ROUND(SUMIFS(进销存对接!$G$4:$G$305,进销存对接!$D$4:$D$305,"客户应收",进销存对接!$C$4:$C$305,$B14),2))</f>
        <v/>
      </c>
      <c r="E14" s="27" t="str">
        <f>IF($B14="","",ROUND(SUMIFS(资金日记账!$H$4:$H$603,资金日记账!$E$4:$E$603,$B14,资金日记账!$K$4:$K$603,"应收账款"),2))</f>
        <v/>
      </c>
      <c r="F14" s="27" t="str">
        <f t="shared" si="1"/>
        <v/>
      </c>
      <c r="G14" s="90"/>
      <c r="H14" s="27" t="str">
        <f>IF($B14="","",ROUND(SUMIFS(进销存对接!$F$4:$F$305,进销存对接!$D$4:$D$305,"客户应收",进销存对接!$C$4:$C$305,$B14)+SUMIFS(记账凭证!$I$4:$I$3609,记账凭证!$J$4:$J$3609,$B14,记账凭证!$E$4:$E$3609,"应付账款"),2))</f>
        <v/>
      </c>
      <c r="I14" s="27" t="str">
        <f>IF($B14="","",ROUND(SUMIFS(记账凭证!$H$4:$H$3609,记账凭证!$J$4:$J$3609,$B14,记账凭证!$E$4:$E$3609,"应付账款"),2))</f>
        <v/>
      </c>
      <c r="J14" s="27" t="str">
        <f t="shared" si="2"/>
        <v/>
      </c>
      <c r="K14" s="27" t="str">
        <f t="shared" si="3"/>
        <v/>
      </c>
      <c r="L14" s="89" t="str">
        <f t="shared" si="4"/>
        <v/>
      </c>
      <c r="M14" s="91"/>
    </row>
    <row r="15" spans="1:13">
      <c r="A15" s="89" t="str">
        <f t="shared" si="0"/>
        <v/>
      </c>
      <c r="B15" s="86" t="str">
        <f>IFERROR(INDEX(_自动清单!$E$4:$E$253,ROW()-4),"")</f>
        <v/>
      </c>
      <c r="C15" s="90"/>
      <c r="D15" s="27" t="str">
        <f>IF($B15="","",ROUND(SUMIFS(进销存对接!$G$4:$G$305,进销存对接!$D$4:$D$305,"客户应收",进销存对接!$C$4:$C$305,$B15),2))</f>
        <v/>
      </c>
      <c r="E15" s="27" t="str">
        <f>IF($B15="","",ROUND(SUMIFS(资金日记账!$H$4:$H$603,资金日记账!$E$4:$E$603,$B15,资金日记账!$K$4:$K$603,"应收账款"),2))</f>
        <v/>
      </c>
      <c r="F15" s="27" t="str">
        <f t="shared" si="1"/>
        <v/>
      </c>
      <c r="G15" s="90"/>
      <c r="H15" s="27" t="str">
        <f>IF($B15="","",ROUND(SUMIFS(进销存对接!$F$4:$F$305,进销存对接!$D$4:$D$305,"客户应收",进销存对接!$C$4:$C$305,$B15)+SUMIFS(记账凭证!$I$4:$I$3609,记账凭证!$J$4:$J$3609,$B15,记账凭证!$E$4:$E$3609,"应付账款"),2))</f>
        <v/>
      </c>
      <c r="I15" s="27" t="str">
        <f>IF($B15="","",ROUND(SUMIFS(记账凭证!$H$4:$H$3609,记账凭证!$J$4:$J$3609,$B15,记账凭证!$E$4:$E$3609,"应付账款"),2))</f>
        <v/>
      </c>
      <c r="J15" s="27" t="str">
        <f t="shared" si="2"/>
        <v/>
      </c>
      <c r="K15" s="27" t="str">
        <f t="shared" si="3"/>
        <v/>
      </c>
      <c r="L15" s="89" t="str">
        <f t="shared" si="4"/>
        <v/>
      </c>
      <c r="M15" s="91"/>
    </row>
    <row r="16" spans="1:13">
      <c r="A16" s="89" t="str">
        <f t="shared" si="0"/>
        <v/>
      </c>
      <c r="B16" s="86" t="str">
        <f>IFERROR(INDEX(_自动清单!$E$4:$E$253,ROW()-4),"")</f>
        <v/>
      </c>
      <c r="C16" s="90"/>
      <c r="D16" s="27" t="str">
        <f>IF($B16="","",ROUND(SUMIFS(进销存对接!$G$4:$G$305,进销存对接!$D$4:$D$305,"客户应收",进销存对接!$C$4:$C$305,$B16),2))</f>
        <v/>
      </c>
      <c r="E16" s="27" t="str">
        <f>IF($B16="","",ROUND(SUMIFS(资金日记账!$H$4:$H$603,资金日记账!$E$4:$E$603,$B16,资金日记账!$K$4:$K$603,"应收账款"),2))</f>
        <v/>
      </c>
      <c r="F16" s="27" t="str">
        <f t="shared" si="1"/>
        <v/>
      </c>
      <c r="G16" s="90"/>
      <c r="H16" s="27" t="str">
        <f>IF($B16="","",ROUND(SUMIFS(进销存对接!$F$4:$F$305,进销存对接!$D$4:$D$305,"客户应收",进销存对接!$C$4:$C$305,$B16)+SUMIFS(记账凭证!$I$4:$I$3609,记账凭证!$J$4:$J$3609,$B16,记账凭证!$E$4:$E$3609,"应付账款"),2))</f>
        <v/>
      </c>
      <c r="I16" s="27" t="str">
        <f>IF($B16="","",ROUND(SUMIFS(记账凭证!$H$4:$H$3609,记账凭证!$J$4:$J$3609,$B16,记账凭证!$E$4:$E$3609,"应付账款"),2))</f>
        <v/>
      </c>
      <c r="J16" s="27" t="str">
        <f t="shared" si="2"/>
        <v/>
      </c>
      <c r="K16" s="27" t="str">
        <f t="shared" si="3"/>
        <v/>
      </c>
      <c r="L16" s="89" t="str">
        <f t="shared" si="4"/>
        <v/>
      </c>
      <c r="M16" s="91"/>
    </row>
    <row r="17" spans="1:13">
      <c r="A17" s="89" t="str">
        <f t="shared" si="0"/>
        <v/>
      </c>
      <c r="B17" s="86" t="str">
        <f>IFERROR(INDEX(_自动清单!$E$4:$E$253,ROW()-4),"")</f>
        <v/>
      </c>
      <c r="C17" s="90"/>
      <c r="D17" s="27" t="str">
        <f>IF($B17="","",ROUND(SUMIFS(进销存对接!$G$4:$G$305,进销存对接!$D$4:$D$305,"客户应收",进销存对接!$C$4:$C$305,$B17),2))</f>
        <v/>
      </c>
      <c r="E17" s="27" t="str">
        <f>IF($B17="","",ROUND(SUMIFS(资金日记账!$H$4:$H$603,资金日记账!$E$4:$E$603,$B17,资金日记账!$K$4:$K$603,"应收账款"),2))</f>
        <v/>
      </c>
      <c r="F17" s="27" t="str">
        <f t="shared" si="1"/>
        <v/>
      </c>
      <c r="G17" s="90"/>
      <c r="H17" s="27" t="str">
        <f>IF($B17="","",ROUND(SUMIFS(进销存对接!$F$4:$F$305,进销存对接!$D$4:$D$305,"客户应收",进销存对接!$C$4:$C$305,$B17)+SUMIFS(记账凭证!$I$4:$I$3609,记账凭证!$J$4:$J$3609,$B17,记账凭证!$E$4:$E$3609,"应付账款"),2))</f>
        <v/>
      </c>
      <c r="I17" s="27" t="str">
        <f>IF($B17="","",ROUND(SUMIFS(记账凭证!$H$4:$H$3609,记账凭证!$J$4:$J$3609,$B17,记账凭证!$E$4:$E$3609,"应付账款"),2))</f>
        <v/>
      </c>
      <c r="J17" s="27" t="str">
        <f t="shared" si="2"/>
        <v/>
      </c>
      <c r="K17" s="27" t="str">
        <f t="shared" si="3"/>
        <v/>
      </c>
      <c r="L17" s="89" t="str">
        <f t="shared" si="4"/>
        <v/>
      </c>
      <c r="M17" s="91"/>
    </row>
    <row r="18" spans="1:13">
      <c r="A18" s="89" t="str">
        <f t="shared" si="0"/>
        <v/>
      </c>
      <c r="B18" s="86" t="str">
        <f>IFERROR(INDEX(_自动清单!$E$4:$E$253,ROW()-4),"")</f>
        <v/>
      </c>
      <c r="C18" s="90"/>
      <c r="D18" s="27" t="str">
        <f>IF($B18="","",ROUND(SUMIFS(进销存对接!$G$4:$G$305,进销存对接!$D$4:$D$305,"客户应收",进销存对接!$C$4:$C$305,$B18),2))</f>
        <v/>
      </c>
      <c r="E18" s="27" t="str">
        <f>IF($B18="","",ROUND(SUMIFS(资金日记账!$H$4:$H$603,资金日记账!$E$4:$E$603,$B18,资金日记账!$K$4:$K$603,"应收账款"),2))</f>
        <v/>
      </c>
      <c r="F18" s="27" t="str">
        <f t="shared" si="1"/>
        <v/>
      </c>
      <c r="G18" s="90"/>
      <c r="H18" s="27" t="str">
        <f>IF($B18="","",ROUND(SUMIFS(进销存对接!$F$4:$F$305,进销存对接!$D$4:$D$305,"客户应收",进销存对接!$C$4:$C$305,$B18)+SUMIFS(记账凭证!$I$4:$I$3609,记账凭证!$J$4:$J$3609,$B18,记账凭证!$E$4:$E$3609,"应付账款"),2))</f>
        <v/>
      </c>
      <c r="I18" s="27" t="str">
        <f>IF($B18="","",ROUND(SUMIFS(记账凭证!$H$4:$H$3609,记账凭证!$J$4:$J$3609,$B18,记账凭证!$E$4:$E$3609,"应付账款"),2))</f>
        <v/>
      </c>
      <c r="J18" s="27" t="str">
        <f t="shared" si="2"/>
        <v/>
      </c>
      <c r="K18" s="27" t="str">
        <f t="shared" si="3"/>
        <v/>
      </c>
      <c r="L18" s="89" t="str">
        <f t="shared" si="4"/>
        <v/>
      </c>
      <c r="M18" s="91"/>
    </row>
    <row r="19" spans="1:13">
      <c r="A19" s="89" t="str">
        <f t="shared" si="0"/>
        <v/>
      </c>
      <c r="B19" s="86" t="str">
        <f>IFERROR(INDEX(_自动清单!$E$4:$E$253,ROW()-4),"")</f>
        <v/>
      </c>
      <c r="C19" s="90"/>
      <c r="D19" s="27" t="str">
        <f>IF($B19="","",ROUND(SUMIFS(进销存对接!$G$4:$G$305,进销存对接!$D$4:$D$305,"客户应收",进销存对接!$C$4:$C$305,$B19),2))</f>
        <v/>
      </c>
      <c r="E19" s="27" t="str">
        <f>IF($B19="","",ROUND(SUMIFS(资金日记账!$H$4:$H$603,资金日记账!$E$4:$E$603,$B19,资金日记账!$K$4:$K$603,"应收账款"),2))</f>
        <v/>
      </c>
      <c r="F19" s="27" t="str">
        <f t="shared" si="1"/>
        <v/>
      </c>
      <c r="G19" s="90"/>
      <c r="H19" s="27" t="str">
        <f>IF($B19="","",ROUND(SUMIFS(进销存对接!$F$4:$F$305,进销存对接!$D$4:$D$305,"客户应收",进销存对接!$C$4:$C$305,$B19)+SUMIFS(记账凭证!$I$4:$I$3609,记账凭证!$J$4:$J$3609,$B19,记账凭证!$E$4:$E$3609,"应付账款"),2))</f>
        <v/>
      </c>
      <c r="I19" s="27" t="str">
        <f>IF($B19="","",ROUND(SUMIFS(记账凭证!$H$4:$H$3609,记账凭证!$J$4:$J$3609,$B19,记账凭证!$E$4:$E$3609,"应付账款"),2))</f>
        <v/>
      </c>
      <c r="J19" s="27" t="str">
        <f t="shared" si="2"/>
        <v/>
      </c>
      <c r="K19" s="27" t="str">
        <f t="shared" si="3"/>
        <v/>
      </c>
      <c r="L19" s="89" t="str">
        <f t="shared" si="4"/>
        <v/>
      </c>
      <c r="M19" s="91"/>
    </row>
    <row r="20" spans="1:13">
      <c r="A20" s="89" t="str">
        <f t="shared" si="0"/>
        <v/>
      </c>
      <c r="B20" s="86" t="str">
        <f>IFERROR(INDEX(_自动清单!$E$4:$E$253,ROW()-4),"")</f>
        <v/>
      </c>
      <c r="C20" s="90"/>
      <c r="D20" s="27" t="str">
        <f>IF($B20="","",ROUND(SUMIFS(进销存对接!$G$4:$G$305,进销存对接!$D$4:$D$305,"客户应收",进销存对接!$C$4:$C$305,$B20),2))</f>
        <v/>
      </c>
      <c r="E20" s="27" t="str">
        <f>IF($B20="","",ROUND(SUMIFS(资金日记账!$H$4:$H$603,资金日记账!$E$4:$E$603,$B20,资金日记账!$K$4:$K$603,"应收账款"),2))</f>
        <v/>
      </c>
      <c r="F20" s="27" t="str">
        <f t="shared" si="1"/>
        <v/>
      </c>
      <c r="G20" s="90"/>
      <c r="H20" s="27" t="str">
        <f>IF($B20="","",ROUND(SUMIFS(进销存对接!$F$4:$F$305,进销存对接!$D$4:$D$305,"客户应收",进销存对接!$C$4:$C$305,$B20)+SUMIFS(记账凭证!$I$4:$I$3609,记账凭证!$J$4:$J$3609,$B20,记账凭证!$E$4:$E$3609,"应付账款"),2))</f>
        <v/>
      </c>
      <c r="I20" s="27" t="str">
        <f>IF($B20="","",ROUND(SUMIFS(记账凭证!$H$4:$H$3609,记账凭证!$J$4:$J$3609,$B20,记账凭证!$E$4:$E$3609,"应付账款"),2))</f>
        <v/>
      </c>
      <c r="J20" s="27" t="str">
        <f t="shared" si="2"/>
        <v/>
      </c>
      <c r="K20" s="27" t="str">
        <f t="shared" si="3"/>
        <v/>
      </c>
      <c r="L20" s="89" t="str">
        <f t="shared" si="4"/>
        <v/>
      </c>
      <c r="M20" s="91"/>
    </row>
    <row r="21" spans="1:13">
      <c r="A21" s="89" t="str">
        <f t="shared" si="0"/>
        <v/>
      </c>
      <c r="B21" s="86" t="str">
        <f>IFERROR(INDEX(_自动清单!$E$4:$E$253,ROW()-4),"")</f>
        <v/>
      </c>
      <c r="C21" s="90"/>
      <c r="D21" s="27" t="str">
        <f>IF($B21="","",ROUND(SUMIFS(进销存对接!$G$4:$G$305,进销存对接!$D$4:$D$305,"客户应收",进销存对接!$C$4:$C$305,$B21),2))</f>
        <v/>
      </c>
      <c r="E21" s="27" t="str">
        <f>IF($B21="","",ROUND(SUMIFS(资金日记账!$H$4:$H$603,资金日记账!$E$4:$E$603,$B21,资金日记账!$K$4:$K$603,"应收账款"),2))</f>
        <v/>
      </c>
      <c r="F21" s="27" t="str">
        <f t="shared" si="1"/>
        <v/>
      </c>
      <c r="G21" s="90"/>
      <c r="H21" s="27" t="str">
        <f>IF($B21="","",ROUND(SUMIFS(进销存对接!$F$4:$F$305,进销存对接!$D$4:$D$305,"客户应收",进销存对接!$C$4:$C$305,$B21)+SUMIFS(记账凭证!$I$4:$I$3609,记账凭证!$J$4:$J$3609,$B21,记账凭证!$E$4:$E$3609,"应付账款"),2))</f>
        <v/>
      </c>
      <c r="I21" s="27" t="str">
        <f>IF($B21="","",ROUND(SUMIFS(记账凭证!$H$4:$H$3609,记账凭证!$J$4:$J$3609,$B21,记账凭证!$E$4:$E$3609,"应付账款"),2))</f>
        <v/>
      </c>
      <c r="J21" s="27" t="str">
        <f t="shared" si="2"/>
        <v/>
      </c>
      <c r="K21" s="27" t="str">
        <f t="shared" si="3"/>
        <v/>
      </c>
      <c r="L21" s="89" t="str">
        <f t="shared" si="4"/>
        <v/>
      </c>
      <c r="M21" s="91"/>
    </row>
    <row r="22" spans="1:13">
      <c r="A22" s="89" t="str">
        <f t="shared" si="0"/>
        <v/>
      </c>
      <c r="B22" s="86" t="str">
        <f>IFERROR(INDEX(_自动清单!$E$4:$E$253,ROW()-4),"")</f>
        <v/>
      </c>
      <c r="C22" s="90"/>
      <c r="D22" s="27" t="str">
        <f>IF($B22="","",ROUND(SUMIFS(进销存对接!$G$4:$G$305,进销存对接!$D$4:$D$305,"客户应收",进销存对接!$C$4:$C$305,$B22),2))</f>
        <v/>
      </c>
      <c r="E22" s="27" t="str">
        <f>IF($B22="","",ROUND(SUMIFS(资金日记账!$H$4:$H$603,资金日记账!$E$4:$E$603,$B22,资金日记账!$K$4:$K$603,"应收账款"),2))</f>
        <v/>
      </c>
      <c r="F22" s="27" t="str">
        <f t="shared" si="1"/>
        <v/>
      </c>
      <c r="G22" s="90"/>
      <c r="H22" s="27" t="str">
        <f>IF($B22="","",ROUND(SUMIFS(进销存对接!$F$4:$F$305,进销存对接!$D$4:$D$305,"客户应收",进销存对接!$C$4:$C$305,$B22)+SUMIFS(记账凭证!$I$4:$I$3609,记账凭证!$J$4:$J$3609,$B22,记账凭证!$E$4:$E$3609,"应付账款"),2))</f>
        <v/>
      </c>
      <c r="I22" s="27" t="str">
        <f>IF($B22="","",ROUND(SUMIFS(记账凭证!$H$4:$H$3609,记账凭证!$J$4:$J$3609,$B22,记账凭证!$E$4:$E$3609,"应付账款"),2))</f>
        <v/>
      </c>
      <c r="J22" s="27" t="str">
        <f t="shared" si="2"/>
        <v/>
      </c>
      <c r="K22" s="27" t="str">
        <f t="shared" si="3"/>
        <v/>
      </c>
      <c r="L22" s="89" t="str">
        <f t="shared" si="4"/>
        <v/>
      </c>
      <c r="M22" s="91"/>
    </row>
    <row r="23" spans="1:13">
      <c r="A23" s="89" t="str">
        <f t="shared" si="0"/>
        <v/>
      </c>
      <c r="B23" s="86" t="str">
        <f>IFERROR(INDEX(_自动清单!$E$4:$E$253,ROW()-4),"")</f>
        <v/>
      </c>
      <c r="C23" s="90"/>
      <c r="D23" s="27" t="str">
        <f>IF($B23="","",ROUND(SUMIFS(进销存对接!$G$4:$G$305,进销存对接!$D$4:$D$305,"客户应收",进销存对接!$C$4:$C$305,$B23),2))</f>
        <v/>
      </c>
      <c r="E23" s="27" t="str">
        <f>IF($B23="","",ROUND(SUMIFS(资金日记账!$H$4:$H$603,资金日记账!$E$4:$E$603,$B23,资金日记账!$K$4:$K$603,"应收账款"),2))</f>
        <v/>
      </c>
      <c r="F23" s="27" t="str">
        <f t="shared" si="1"/>
        <v/>
      </c>
      <c r="G23" s="90"/>
      <c r="H23" s="27" t="str">
        <f>IF($B23="","",ROUND(SUMIFS(进销存对接!$F$4:$F$305,进销存对接!$D$4:$D$305,"客户应收",进销存对接!$C$4:$C$305,$B23)+SUMIFS(记账凭证!$I$4:$I$3609,记账凭证!$J$4:$J$3609,$B23,记账凭证!$E$4:$E$3609,"应付账款"),2))</f>
        <v/>
      </c>
      <c r="I23" s="27" t="str">
        <f>IF($B23="","",ROUND(SUMIFS(记账凭证!$H$4:$H$3609,记账凭证!$J$4:$J$3609,$B23,记账凭证!$E$4:$E$3609,"应付账款"),2))</f>
        <v/>
      </c>
      <c r="J23" s="27" t="str">
        <f t="shared" si="2"/>
        <v/>
      </c>
      <c r="K23" s="27" t="str">
        <f t="shared" si="3"/>
        <v/>
      </c>
      <c r="L23" s="89" t="str">
        <f t="shared" si="4"/>
        <v/>
      </c>
      <c r="M23" s="91"/>
    </row>
    <row r="24" spans="1:13">
      <c r="A24" s="89" t="str">
        <f t="shared" si="0"/>
        <v/>
      </c>
      <c r="B24" s="86" t="str">
        <f>IFERROR(INDEX(_自动清单!$E$4:$E$253,ROW()-4),"")</f>
        <v/>
      </c>
      <c r="C24" s="90"/>
      <c r="D24" s="27" t="str">
        <f>IF($B24="","",ROUND(SUMIFS(进销存对接!$G$4:$G$305,进销存对接!$D$4:$D$305,"客户应收",进销存对接!$C$4:$C$305,$B24),2))</f>
        <v/>
      </c>
      <c r="E24" s="27" t="str">
        <f>IF($B24="","",ROUND(SUMIFS(资金日记账!$H$4:$H$603,资金日记账!$E$4:$E$603,$B24,资金日记账!$K$4:$K$603,"应收账款"),2))</f>
        <v/>
      </c>
      <c r="F24" s="27" t="str">
        <f t="shared" si="1"/>
        <v/>
      </c>
      <c r="G24" s="90"/>
      <c r="H24" s="27" t="str">
        <f>IF($B24="","",ROUND(SUMIFS(进销存对接!$F$4:$F$305,进销存对接!$D$4:$D$305,"客户应收",进销存对接!$C$4:$C$305,$B24)+SUMIFS(记账凭证!$I$4:$I$3609,记账凭证!$J$4:$J$3609,$B24,记账凭证!$E$4:$E$3609,"应付账款"),2))</f>
        <v/>
      </c>
      <c r="I24" s="27" t="str">
        <f>IF($B24="","",ROUND(SUMIFS(记账凭证!$H$4:$H$3609,记账凭证!$J$4:$J$3609,$B24,记账凭证!$E$4:$E$3609,"应付账款"),2))</f>
        <v/>
      </c>
      <c r="J24" s="27" t="str">
        <f t="shared" si="2"/>
        <v/>
      </c>
      <c r="K24" s="27" t="str">
        <f t="shared" si="3"/>
        <v/>
      </c>
      <c r="L24" s="89" t="str">
        <f t="shared" si="4"/>
        <v/>
      </c>
      <c r="M24" s="91"/>
    </row>
    <row r="25" spans="1:13">
      <c r="A25" s="89" t="str">
        <f t="shared" si="0"/>
        <v/>
      </c>
      <c r="B25" s="86" t="str">
        <f>IFERROR(INDEX(_自动清单!$E$4:$E$253,ROW()-4),"")</f>
        <v/>
      </c>
      <c r="C25" s="90"/>
      <c r="D25" s="27" t="str">
        <f>IF($B25="","",ROUND(SUMIFS(进销存对接!$G$4:$G$305,进销存对接!$D$4:$D$305,"客户应收",进销存对接!$C$4:$C$305,$B25),2))</f>
        <v/>
      </c>
      <c r="E25" s="27" t="str">
        <f>IF($B25="","",ROUND(SUMIFS(资金日记账!$H$4:$H$603,资金日记账!$E$4:$E$603,$B25,资金日记账!$K$4:$K$603,"应收账款"),2))</f>
        <v/>
      </c>
      <c r="F25" s="27" t="str">
        <f t="shared" si="1"/>
        <v/>
      </c>
      <c r="G25" s="90"/>
      <c r="H25" s="27" t="str">
        <f>IF($B25="","",ROUND(SUMIFS(进销存对接!$F$4:$F$305,进销存对接!$D$4:$D$305,"客户应收",进销存对接!$C$4:$C$305,$B25)+SUMIFS(记账凭证!$I$4:$I$3609,记账凭证!$J$4:$J$3609,$B25,记账凭证!$E$4:$E$3609,"应付账款"),2))</f>
        <v/>
      </c>
      <c r="I25" s="27" t="str">
        <f>IF($B25="","",ROUND(SUMIFS(记账凭证!$H$4:$H$3609,记账凭证!$J$4:$J$3609,$B25,记账凭证!$E$4:$E$3609,"应付账款"),2))</f>
        <v/>
      </c>
      <c r="J25" s="27" t="str">
        <f t="shared" si="2"/>
        <v/>
      </c>
      <c r="K25" s="27" t="str">
        <f t="shared" si="3"/>
        <v/>
      </c>
      <c r="L25" s="89" t="str">
        <f t="shared" si="4"/>
        <v/>
      </c>
      <c r="M25" s="91"/>
    </row>
    <row r="26" spans="1:13">
      <c r="A26" s="89" t="str">
        <f t="shared" si="0"/>
        <v/>
      </c>
      <c r="B26" s="86" t="str">
        <f>IFERROR(INDEX(_自动清单!$E$4:$E$253,ROW()-4),"")</f>
        <v/>
      </c>
      <c r="C26" s="90"/>
      <c r="D26" s="27" t="str">
        <f>IF($B26="","",ROUND(SUMIFS(进销存对接!$G$4:$G$305,进销存对接!$D$4:$D$305,"客户应收",进销存对接!$C$4:$C$305,$B26),2))</f>
        <v/>
      </c>
      <c r="E26" s="27" t="str">
        <f>IF($B26="","",ROUND(SUMIFS(资金日记账!$H$4:$H$603,资金日记账!$E$4:$E$603,$B26,资金日记账!$K$4:$K$603,"应收账款"),2))</f>
        <v/>
      </c>
      <c r="F26" s="27" t="str">
        <f t="shared" si="1"/>
        <v/>
      </c>
      <c r="G26" s="90"/>
      <c r="H26" s="27" t="str">
        <f>IF($B26="","",ROUND(SUMIFS(进销存对接!$F$4:$F$305,进销存对接!$D$4:$D$305,"客户应收",进销存对接!$C$4:$C$305,$B26)+SUMIFS(记账凭证!$I$4:$I$3609,记账凭证!$J$4:$J$3609,$B26,记账凭证!$E$4:$E$3609,"应付账款"),2))</f>
        <v/>
      </c>
      <c r="I26" s="27" t="str">
        <f>IF($B26="","",ROUND(SUMIFS(记账凭证!$H$4:$H$3609,记账凭证!$J$4:$J$3609,$B26,记账凭证!$E$4:$E$3609,"应付账款"),2))</f>
        <v/>
      </c>
      <c r="J26" s="27" t="str">
        <f t="shared" si="2"/>
        <v/>
      </c>
      <c r="K26" s="27" t="str">
        <f t="shared" si="3"/>
        <v/>
      </c>
      <c r="L26" s="89" t="str">
        <f t="shared" si="4"/>
        <v/>
      </c>
      <c r="M26" s="91"/>
    </row>
    <row r="27" spans="1:13">
      <c r="A27" s="89" t="str">
        <f t="shared" si="0"/>
        <v/>
      </c>
      <c r="B27" s="86" t="str">
        <f>IFERROR(INDEX(_自动清单!$E$4:$E$253,ROW()-4),"")</f>
        <v/>
      </c>
      <c r="C27" s="90"/>
      <c r="D27" s="27" t="str">
        <f>IF($B27="","",ROUND(SUMIFS(进销存对接!$G$4:$G$305,进销存对接!$D$4:$D$305,"客户应收",进销存对接!$C$4:$C$305,$B27),2))</f>
        <v/>
      </c>
      <c r="E27" s="27" t="str">
        <f>IF($B27="","",ROUND(SUMIFS(资金日记账!$H$4:$H$603,资金日记账!$E$4:$E$603,$B27,资金日记账!$K$4:$K$603,"应收账款"),2))</f>
        <v/>
      </c>
      <c r="F27" s="27" t="str">
        <f t="shared" si="1"/>
        <v/>
      </c>
      <c r="G27" s="90"/>
      <c r="H27" s="27" t="str">
        <f>IF($B27="","",ROUND(SUMIFS(进销存对接!$F$4:$F$305,进销存对接!$D$4:$D$305,"客户应收",进销存对接!$C$4:$C$305,$B27)+SUMIFS(记账凭证!$I$4:$I$3609,记账凭证!$J$4:$J$3609,$B27,记账凭证!$E$4:$E$3609,"应付账款"),2))</f>
        <v/>
      </c>
      <c r="I27" s="27" t="str">
        <f>IF($B27="","",ROUND(SUMIFS(记账凭证!$H$4:$H$3609,记账凭证!$J$4:$J$3609,$B27,记账凭证!$E$4:$E$3609,"应付账款"),2))</f>
        <v/>
      </c>
      <c r="J27" s="27" t="str">
        <f t="shared" si="2"/>
        <v/>
      </c>
      <c r="K27" s="27" t="str">
        <f t="shared" si="3"/>
        <v/>
      </c>
      <c r="L27" s="89" t="str">
        <f t="shared" si="4"/>
        <v/>
      </c>
      <c r="M27" s="91"/>
    </row>
    <row r="28" spans="1:13">
      <c r="A28" s="89" t="str">
        <f t="shared" si="0"/>
        <v/>
      </c>
      <c r="B28" s="86" t="str">
        <f>IFERROR(INDEX(_自动清单!$E$4:$E$253,ROW()-4),"")</f>
        <v/>
      </c>
      <c r="C28" s="90"/>
      <c r="D28" s="27" t="str">
        <f>IF($B28="","",ROUND(SUMIFS(进销存对接!$G$4:$G$305,进销存对接!$D$4:$D$305,"客户应收",进销存对接!$C$4:$C$305,$B28),2))</f>
        <v/>
      </c>
      <c r="E28" s="27" t="str">
        <f>IF($B28="","",ROUND(SUMIFS(资金日记账!$H$4:$H$603,资金日记账!$E$4:$E$603,$B28,资金日记账!$K$4:$K$603,"应收账款"),2))</f>
        <v/>
      </c>
      <c r="F28" s="27" t="str">
        <f t="shared" si="1"/>
        <v/>
      </c>
      <c r="G28" s="90"/>
      <c r="H28" s="27" t="str">
        <f>IF($B28="","",ROUND(SUMIFS(进销存对接!$F$4:$F$305,进销存对接!$D$4:$D$305,"客户应收",进销存对接!$C$4:$C$305,$B28)+SUMIFS(记账凭证!$I$4:$I$3609,记账凭证!$J$4:$J$3609,$B28,记账凭证!$E$4:$E$3609,"应付账款"),2))</f>
        <v/>
      </c>
      <c r="I28" s="27" t="str">
        <f>IF($B28="","",ROUND(SUMIFS(记账凭证!$H$4:$H$3609,记账凭证!$J$4:$J$3609,$B28,记账凭证!$E$4:$E$3609,"应付账款"),2))</f>
        <v/>
      </c>
      <c r="J28" s="27" t="str">
        <f t="shared" si="2"/>
        <v/>
      </c>
      <c r="K28" s="27" t="str">
        <f t="shared" si="3"/>
        <v/>
      </c>
      <c r="L28" s="89" t="str">
        <f t="shared" si="4"/>
        <v/>
      </c>
      <c r="M28" s="91"/>
    </row>
    <row r="29" spans="1:13">
      <c r="A29" s="89" t="str">
        <f t="shared" si="0"/>
        <v/>
      </c>
      <c r="B29" s="86" t="str">
        <f>IFERROR(INDEX(_自动清单!$E$4:$E$253,ROW()-4),"")</f>
        <v/>
      </c>
      <c r="C29" s="90"/>
      <c r="D29" s="27" t="str">
        <f>IF($B29="","",ROUND(SUMIFS(进销存对接!$G$4:$G$305,进销存对接!$D$4:$D$305,"客户应收",进销存对接!$C$4:$C$305,$B29),2))</f>
        <v/>
      </c>
      <c r="E29" s="27" t="str">
        <f>IF($B29="","",ROUND(SUMIFS(资金日记账!$H$4:$H$603,资金日记账!$E$4:$E$603,$B29,资金日记账!$K$4:$K$603,"应收账款"),2))</f>
        <v/>
      </c>
      <c r="F29" s="27" t="str">
        <f t="shared" si="1"/>
        <v/>
      </c>
      <c r="G29" s="90"/>
      <c r="H29" s="27" t="str">
        <f>IF($B29="","",ROUND(SUMIFS(进销存对接!$F$4:$F$305,进销存对接!$D$4:$D$305,"客户应收",进销存对接!$C$4:$C$305,$B29)+SUMIFS(记账凭证!$I$4:$I$3609,记账凭证!$J$4:$J$3609,$B29,记账凭证!$E$4:$E$3609,"应付账款"),2))</f>
        <v/>
      </c>
      <c r="I29" s="27" t="str">
        <f>IF($B29="","",ROUND(SUMIFS(记账凭证!$H$4:$H$3609,记账凭证!$J$4:$J$3609,$B29,记账凭证!$E$4:$E$3609,"应付账款"),2))</f>
        <v/>
      </c>
      <c r="J29" s="27" t="str">
        <f t="shared" si="2"/>
        <v/>
      </c>
      <c r="K29" s="27" t="str">
        <f t="shared" si="3"/>
        <v/>
      </c>
      <c r="L29" s="89" t="str">
        <f t="shared" si="4"/>
        <v/>
      </c>
      <c r="M29" s="91"/>
    </row>
    <row r="30" spans="1:13">
      <c r="A30" s="89" t="str">
        <f t="shared" si="0"/>
        <v/>
      </c>
      <c r="B30" s="86" t="str">
        <f>IFERROR(INDEX(_自动清单!$E$4:$E$253,ROW()-4),"")</f>
        <v/>
      </c>
      <c r="C30" s="90"/>
      <c r="D30" s="27" t="str">
        <f>IF($B30="","",ROUND(SUMIFS(进销存对接!$G$4:$G$305,进销存对接!$D$4:$D$305,"客户应收",进销存对接!$C$4:$C$305,$B30),2))</f>
        <v/>
      </c>
      <c r="E30" s="27" t="str">
        <f>IF($B30="","",ROUND(SUMIFS(资金日记账!$H$4:$H$603,资金日记账!$E$4:$E$603,$B30,资金日记账!$K$4:$K$603,"应收账款"),2))</f>
        <v/>
      </c>
      <c r="F30" s="27" t="str">
        <f t="shared" si="1"/>
        <v/>
      </c>
      <c r="G30" s="90"/>
      <c r="H30" s="27" t="str">
        <f>IF($B30="","",ROUND(SUMIFS(进销存对接!$F$4:$F$305,进销存对接!$D$4:$D$305,"客户应收",进销存对接!$C$4:$C$305,$B30)+SUMIFS(记账凭证!$I$4:$I$3609,记账凭证!$J$4:$J$3609,$B30,记账凭证!$E$4:$E$3609,"应付账款"),2))</f>
        <v/>
      </c>
      <c r="I30" s="27" t="str">
        <f>IF($B30="","",ROUND(SUMIFS(记账凭证!$H$4:$H$3609,记账凭证!$J$4:$J$3609,$B30,记账凭证!$E$4:$E$3609,"应付账款"),2))</f>
        <v/>
      </c>
      <c r="J30" s="27" t="str">
        <f t="shared" si="2"/>
        <v/>
      </c>
      <c r="K30" s="27" t="str">
        <f t="shared" si="3"/>
        <v/>
      </c>
      <c r="L30" s="89" t="str">
        <f t="shared" si="4"/>
        <v/>
      </c>
      <c r="M30" s="91"/>
    </row>
    <row r="31" spans="1:13">
      <c r="A31" s="89" t="str">
        <f t="shared" si="0"/>
        <v/>
      </c>
      <c r="B31" s="86" t="str">
        <f>IFERROR(INDEX(_自动清单!$E$4:$E$253,ROW()-4),"")</f>
        <v/>
      </c>
      <c r="C31" s="90"/>
      <c r="D31" s="27" t="str">
        <f>IF($B31="","",ROUND(SUMIFS(进销存对接!$G$4:$G$305,进销存对接!$D$4:$D$305,"客户应收",进销存对接!$C$4:$C$305,$B31),2))</f>
        <v/>
      </c>
      <c r="E31" s="27" t="str">
        <f>IF($B31="","",ROUND(SUMIFS(资金日记账!$H$4:$H$603,资金日记账!$E$4:$E$603,$B31,资金日记账!$K$4:$K$603,"应收账款"),2))</f>
        <v/>
      </c>
      <c r="F31" s="27" t="str">
        <f t="shared" si="1"/>
        <v/>
      </c>
      <c r="G31" s="90"/>
      <c r="H31" s="27" t="str">
        <f>IF($B31="","",ROUND(SUMIFS(进销存对接!$F$4:$F$305,进销存对接!$D$4:$D$305,"客户应收",进销存对接!$C$4:$C$305,$B31)+SUMIFS(记账凭证!$I$4:$I$3609,记账凭证!$J$4:$J$3609,$B31,记账凭证!$E$4:$E$3609,"应付账款"),2))</f>
        <v/>
      </c>
      <c r="I31" s="27" t="str">
        <f>IF($B31="","",ROUND(SUMIFS(记账凭证!$H$4:$H$3609,记账凭证!$J$4:$J$3609,$B31,记账凭证!$E$4:$E$3609,"应付账款"),2))</f>
        <v/>
      </c>
      <c r="J31" s="27" t="str">
        <f t="shared" si="2"/>
        <v/>
      </c>
      <c r="K31" s="27" t="str">
        <f t="shared" si="3"/>
        <v/>
      </c>
      <c r="L31" s="89" t="str">
        <f t="shared" si="4"/>
        <v/>
      </c>
      <c r="M31" s="91"/>
    </row>
    <row r="32" spans="1:13">
      <c r="A32" s="89" t="str">
        <f t="shared" si="0"/>
        <v/>
      </c>
      <c r="B32" s="86" t="str">
        <f>IFERROR(INDEX(_自动清单!$E$4:$E$253,ROW()-4),"")</f>
        <v/>
      </c>
      <c r="C32" s="90"/>
      <c r="D32" s="27" t="str">
        <f>IF($B32="","",ROUND(SUMIFS(进销存对接!$G$4:$G$305,进销存对接!$D$4:$D$305,"客户应收",进销存对接!$C$4:$C$305,$B32),2))</f>
        <v/>
      </c>
      <c r="E32" s="27" t="str">
        <f>IF($B32="","",ROUND(SUMIFS(资金日记账!$H$4:$H$603,资金日记账!$E$4:$E$603,$B32,资金日记账!$K$4:$K$603,"应收账款"),2))</f>
        <v/>
      </c>
      <c r="F32" s="27" t="str">
        <f t="shared" si="1"/>
        <v/>
      </c>
      <c r="G32" s="90"/>
      <c r="H32" s="27" t="str">
        <f>IF($B32="","",ROUND(SUMIFS(进销存对接!$F$4:$F$305,进销存对接!$D$4:$D$305,"客户应收",进销存对接!$C$4:$C$305,$B32)+SUMIFS(记账凭证!$I$4:$I$3609,记账凭证!$J$4:$J$3609,$B32,记账凭证!$E$4:$E$3609,"应付账款"),2))</f>
        <v/>
      </c>
      <c r="I32" s="27" t="str">
        <f>IF($B32="","",ROUND(SUMIFS(记账凭证!$H$4:$H$3609,记账凭证!$J$4:$J$3609,$B32,记账凭证!$E$4:$E$3609,"应付账款"),2))</f>
        <v/>
      </c>
      <c r="J32" s="27" t="str">
        <f t="shared" si="2"/>
        <v/>
      </c>
      <c r="K32" s="27" t="str">
        <f t="shared" si="3"/>
        <v/>
      </c>
      <c r="L32" s="89" t="str">
        <f t="shared" si="4"/>
        <v/>
      </c>
      <c r="M32" s="91"/>
    </row>
    <row r="33" spans="1:13">
      <c r="A33" s="89" t="str">
        <f t="shared" si="0"/>
        <v/>
      </c>
      <c r="B33" s="86" t="str">
        <f>IFERROR(INDEX(_自动清单!$E$4:$E$253,ROW()-4),"")</f>
        <v/>
      </c>
      <c r="C33" s="90"/>
      <c r="D33" s="27" t="str">
        <f>IF($B33="","",ROUND(SUMIFS(进销存对接!$G$4:$G$305,进销存对接!$D$4:$D$305,"客户应收",进销存对接!$C$4:$C$305,$B33),2))</f>
        <v/>
      </c>
      <c r="E33" s="27" t="str">
        <f>IF($B33="","",ROUND(SUMIFS(资金日记账!$H$4:$H$603,资金日记账!$E$4:$E$603,$B33,资金日记账!$K$4:$K$603,"应收账款"),2))</f>
        <v/>
      </c>
      <c r="F33" s="27" t="str">
        <f t="shared" si="1"/>
        <v/>
      </c>
      <c r="G33" s="90"/>
      <c r="H33" s="27" t="str">
        <f>IF($B33="","",ROUND(SUMIFS(进销存对接!$F$4:$F$305,进销存对接!$D$4:$D$305,"客户应收",进销存对接!$C$4:$C$305,$B33)+SUMIFS(记账凭证!$I$4:$I$3609,记账凭证!$J$4:$J$3609,$B33,记账凭证!$E$4:$E$3609,"应付账款"),2))</f>
        <v/>
      </c>
      <c r="I33" s="27" t="str">
        <f>IF($B33="","",ROUND(SUMIFS(记账凭证!$H$4:$H$3609,记账凭证!$J$4:$J$3609,$B33,记账凭证!$E$4:$E$3609,"应付账款"),2))</f>
        <v/>
      </c>
      <c r="J33" s="27" t="str">
        <f t="shared" si="2"/>
        <v/>
      </c>
      <c r="K33" s="27" t="str">
        <f t="shared" si="3"/>
        <v/>
      </c>
      <c r="L33" s="89" t="str">
        <f t="shared" si="4"/>
        <v/>
      </c>
      <c r="M33" s="91"/>
    </row>
    <row r="34" spans="1:13">
      <c r="A34" s="89" t="str">
        <f t="shared" si="0"/>
        <v/>
      </c>
      <c r="B34" s="86" t="str">
        <f>IFERROR(INDEX(_自动清单!$E$4:$E$253,ROW()-4),"")</f>
        <v/>
      </c>
      <c r="C34" s="90"/>
      <c r="D34" s="27" t="str">
        <f>IF($B34="","",ROUND(SUMIFS(进销存对接!$G$4:$G$305,进销存对接!$D$4:$D$305,"客户应收",进销存对接!$C$4:$C$305,$B34),2))</f>
        <v/>
      </c>
      <c r="E34" s="27" t="str">
        <f>IF($B34="","",ROUND(SUMIFS(资金日记账!$H$4:$H$603,资金日记账!$E$4:$E$603,$B34,资金日记账!$K$4:$K$603,"应收账款"),2))</f>
        <v/>
      </c>
      <c r="F34" s="27" t="str">
        <f t="shared" si="1"/>
        <v/>
      </c>
      <c r="G34" s="90"/>
      <c r="H34" s="27" t="str">
        <f>IF($B34="","",ROUND(SUMIFS(进销存对接!$F$4:$F$305,进销存对接!$D$4:$D$305,"客户应收",进销存对接!$C$4:$C$305,$B34)+SUMIFS(记账凭证!$I$4:$I$3609,记账凭证!$J$4:$J$3609,$B34,记账凭证!$E$4:$E$3609,"应付账款"),2))</f>
        <v/>
      </c>
      <c r="I34" s="27" t="str">
        <f>IF($B34="","",ROUND(SUMIFS(记账凭证!$H$4:$H$3609,记账凭证!$J$4:$J$3609,$B34,记账凭证!$E$4:$E$3609,"应付账款"),2))</f>
        <v/>
      </c>
      <c r="J34" s="27" t="str">
        <f t="shared" si="2"/>
        <v/>
      </c>
      <c r="K34" s="27" t="str">
        <f t="shared" si="3"/>
        <v/>
      </c>
      <c r="L34" s="89" t="str">
        <f t="shared" si="4"/>
        <v/>
      </c>
      <c r="M34" s="91"/>
    </row>
    <row r="35" spans="1:13">
      <c r="A35" s="89" t="str">
        <f t="shared" si="0"/>
        <v/>
      </c>
      <c r="B35" s="86" t="str">
        <f>IFERROR(INDEX(_自动清单!$E$4:$E$253,ROW()-4),"")</f>
        <v/>
      </c>
      <c r="C35" s="90"/>
      <c r="D35" s="27" t="str">
        <f>IF($B35="","",ROUND(SUMIFS(进销存对接!$G$4:$G$305,进销存对接!$D$4:$D$305,"客户应收",进销存对接!$C$4:$C$305,$B35),2))</f>
        <v/>
      </c>
      <c r="E35" s="27" t="str">
        <f>IF($B35="","",ROUND(SUMIFS(资金日记账!$H$4:$H$603,资金日记账!$E$4:$E$603,$B35,资金日记账!$K$4:$K$603,"应收账款"),2))</f>
        <v/>
      </c>
      <c r="F35" s="27" t="str">
        <f t="shared" si="1"/>
        <v/>
      </c>
      <c r="G35" s="90"/>
      <c r="H35" s="27" t="str">
        <f>IF($B35="","",ROUND(SUMIFS(进销存对接!$F$4:$F$305,进销存对接!$D$4:$D$305,"客户应收",进销存对接!$C$4:$C$305,$B35)+SUMIFS(记账凭证!$I$4:$I$3609,记账凭证!$J$4:$J$3609,$B35,记账凭证!$E$4:$E$3609,"应付账款"),2))</f>
        <v/>
      </c>
      <c r="I35" s="27" t="str">
        <f>IF($B35="","",ROUND(SUMIFS(记账凭证!$H$4:$H$3609,记账凭证!$J$4:$J$3609,$B35,记账凭证!$E$4:$E$3609,"应付账款"),2))</f>
        <v/>
      </c>
      <c r="J35" s="27" t="str">
        <f t="shared" si="2"/>
        <v/>
      </c>
      <c r="K35" s="27" t="str">
        <f t="shared" si="3"/>
        <v/>
      </c>
      <c r="L35" s="89" t="str">
        <f t="shared" si="4"/>
        <v/>
      </c>
      <c r="M35" s="91"/>
    </row>
    <row r="36" spans="1:13">
      <c r="A36" s="89" t="str">
        <f t="shared" si="0"/>
        <v/>
      </c>
      <c r="B36" s="86" t="str">
        <f>IFERROR(INDEX(_自动清单!$E$4:$E$253,ROW()-4),"")</f>
        <v/>
      </c>
      <c r="C36" s="90"/>
      <c r="D36" s="27" t="str">
        <f>IF($B36="","",ROUND(SUMIFS(进销存对接!$G$4:$G$305,进销存对接!$D$4:$D$305,"客户应收",进销存对接!$C$4:$C$305,$B36),2))</f>
        <v/>
      </c>
      <c r="E36" s="27" t="str">
        <f>IF($B36="","",ROUND(SUMIFS(资金日记账!$H$4:$H$603,资金日记账!$E$4:$E$603,$B36,资金日记账!$K$4:$K$603,"应收账款"),2))</f>
        <v/>
      </c>
      <c r="F36" s="27" t="str">
        <f t="shared" si="1"/>
        <v/>
      </c>
      <c r="G36" s="90"/>
      <c r="H36" s="27" t="str">
        <f>IF($B36="","",ROUND(SUMIFS(进销存对接!$F$4:$F$305,进销存对接!$D$4:$D$305,"客户应收",进销存对接!$C$4:$C$305,$B36)+SUMIFS(记账凭证!$I$4:$I$3609,记账凭证!$J$4:$J$3609,$B36,记账凭证!$E$4:$E$3609,"应付账款"),2))</f>
        <v/>
      </c>
      <c r="I36" s="27" t="str">
        <f>IF($B36="","",ROUND(SUMIFS(记账凭证!$H$4:$H$3609,记账凭证!$J$4:$J$3609,$B36,记账凭证!$E$4:$E$3609,"应付账款"),2))</f>
        <v/>
      </c>
      <c r="J36" s="27" t="str">
        <f t="shared" si="2"/>
        <v/>
      </c>
      <c r="K36" s="27" t="str">
        <f t="shared" si="3"/>
        <v/>
      </c>
      <c r="L36" s="89" t="str">
        <f t="shared" si="4"/>
        <v/>
      </c>
      <c r="M36" s="91"/>
    </row>
    <row r="37" spans="1:13">
      <c r="A37" s="89" t="str">
        <f t="shared" si="0"/>
        <v/>
      </c>
      <c r="B37" s="86" t="str">
        <f>IFERROR(INDEX(_自动清单!$E$4:$E$253,ROW()-4),"")</f>
        <v/>
      </c>
      <c r="C37" s="90"/>
      <c r="D37" s="27" t="str">
        <f>IF($B37="","",ROUND(SUMIFS(进销存对接!$G$4:$G$305,进销存对接!$D$4:$D$305,"客户应收",进销存对接!$C$4:$C$305,$B37),2))</f>
        <v/>
      </c>
      <c r="E37" s="27" t="str">
        <f>IF($B37="","",ROUND(SUMIFS(资金日记账!$H$4:$H$603,资金日记账!$E$4:$E$603,$B37,资金日记账!$K$4:$K$603,"应收账款"),2))</f>
        <v/>
      </c>
      <c r="F37" s="27" t="str">
        <f t="shared" si="1"/>
        <v/>
      </c>
      <c r="G37" s="90"/>
      <c r="H37" s="27" t="str">
        <f>IF($B37="","",ROUND(SUMIFS(进销存对接!$F$4:$F$305,进销存对接!$D$4:$D$305,"客户应收",进销存对接!$C$4:$C$305,$B37)+SUMIFS(记账凭证!$I$4:$I$3609,记账凭证!$J$4:$J$3609,$B37,记账凭证!$E$4:$E$3609,"应付账款"),2))</f>
        <v/>
      </c>
      <c r="I37" s="27" t="str">
        <f>IF($B37="","",ROUND(SUMIFS(记账凭证!$H$4:$H$3609,记账凭证!$J$4:$J$3609,$B37,记账凭证!$E$4:$E$3609,"应付账款"),2))</f>
        <v/>
      </c>
      <c r="J37" s="27" t="str">
        <f t="shared" si="2"/>
        <v/>
      </c>
      <c r="K37" s="27" t="str">
        <f t="shared" si="3"/>
        <v/>
      </c>
      <c r="L37" s="89" t="str">
        <f t="shared" si="4"/>
        <v/>
      </c>
      <c r="M37" s="91"/>
    </row>
    <row r="38" spans="1:13">
      <c r="A38" s="89" t="str">
        <f t="shared" si="0"/>
        <v/>
      </c>
      <c r="B38" s="86" t="str">
        <f>IFERROR(INDEX(_自动清单!$E$4:$E$253,ROW()-4),"")</f>
        <v/>
      </c>
      <c r="C38" s="90"/>
      <c r="D38" s="27" t="str">
        <f>IF($B38="","",ROUND(SUMIFS(进销存对接!$G$4:$G$305,进销存对接!$D$4:$D$305,"客户应收",进销存对接!$C$4:$C$305,$B38),2))</f>
        <v/>
      </c>
      <c r="E38" s="27" t="str">
        <f>IF($B38="","",ROUND(SUMIFS(资金日记账!$H$4:$H$603,资金日记账!$E$4:$E$603,$B38,资金日记账!$K$4:$K$603,"应收账款"),2))</f>
        <v/>
      </c>
      <c r="F38" s="27" t="str">
        <f t="shared" si="1"/>
        <v/>
      </c>
      <c r="G38" s="90"/>
      <c r="H38" s="27" t="str">
        <f>IF($B38="","",ROUND(SUMIFS(进销存对接!$F$4:$F$305,进销存对接!$D$4:$D$305,"客户应收",进销存对接!$C$4:$C$305,$B38)+SUMIFS(记账凭证!$I$4:$I$3609,记账凭证!$J$4:$J$3609,$B38,记账凭证!$E$4:$E$3609,"应付账款"),2))</f>
        <v/>
      </c>
      <c r="I38" s="27" t="str">
        <f>IF($B38="","",ROUND(SUMIFS(记账凭证!$H$4:$H$3609,记账凭证!$J$4:$J$3609,$B38,记账凭证!$E$4:$E$3609,"应付账款"),2))</f>
        <v/>
      </c>
      <c r="J38" s="27" t="str">
        <f t="shared" si="2"/>
        <v/>
      </c>
      <c r="K38" s="27" t="str">
        <f t="shared" si="3"/>
        <v/>
      </c>
      <c r="L38" s="89" t="str">
        <f t="shared" si="4"/>
        <v/>
      </c>
      <c r="M38" s="91"/>
    </row>
    <row r="39" spans="1:13">
      <c r="A39" s="89" t="str">
        <f t="shared" si="0"/>
        <v/>
      </c>
      <c r="B39" s="86" t="str">
        <f>IFERROR(INDEX(_自动清单!$E$4:$E$253,ROW()-4),"")</f>
        <v/>
      </c>
      <c r="C39" s="90"/>
      <c r="D39" s="27" t="str">
        <f>IF($B39="","",ROUND(SUMIFS(进销存对接!$G$4:$G$305,进销存对接!$D$4:$D$305,"客户应收",进销存对接!$C$4:$C$305,$B39),2))</f>
        <v/>
      </c>
      <c r="E39" s="27" t="str">
        <f>IF($B39="","",ROUND(SUMIFS(资金日记账!$H$4:$H$603,资金日记账!$E$4:$E$603,$B39,资金日记账!$K$4:$K$603,"应收账款"),2))</f>
        <v/>
      </c>
      <c r="F39" s="27" t="str">
        <f t="shared" si="1"/>
        <v/>
      </c>
      <c r="G39" s="90"/>
      <c r="H39" s="27" t="str">
        <f>IF($B39="","",ROUND(SUMIFS(进销存对接!$F$4:$F$305,进销存对接!$D$4:$D$305,"客户应收",进销存对接!$C$4:$C$305,$B39)+SUMIFS(记账凭证!$I$4:$I$3609,记账凭证!$J$4:$J$3609,$B39,记账凭证!$E$4:$E$3609,"应付账款"),2))</f>
        <v/>
      </c>
      <c r="I39" s="27" t="str">
        <f>IF($B39="","",ROUND(SUMIFS(记账凭证!$H$4:$H$3609,记账凭证!$J$4:$J$3609,$B39,记账凭证!$E$4:$E$3609,"应付账款"),2))</f>
        <v/>
      </c>
      <c r="J39" s="27" t="str">
        <f t="shared" si="2"/>
        <v/>
      </c>
      <c r="K39" s="27" t="str">
        <f t="shared" si="3"/>
        <v/>
      </c>
      <c r="L39" s="89" t="str">
        <f t="shared" si="4"/>
        <v/>
      </c>
      <c r="M39" s="91"/>
    </row>
    <row r="40" spans="1:13">
      <c r="A40" s="89" t="str">
        <f t="shared" si="0"/>
        <v/>
      </c>
      <c r="B40" s="86" t="str">
        <f>IFERROR(INDEX(_自动清单!$E$4:$E$253,ROW()-4),"")</f>
        <v/>
      </c>
      <c r="C40" s="90"/>
      <c r="D40" s="27" t="str">
        <f>IF($B40="","",ROUND(SUMIFS(进销存对接!$G$4:$G$305,进销存对接!$D$4:$D$305,"客户应收",进销存对接!$C$4:$C$305,$B40),2))</f>
        <v/>
      </c>
      <c r="E40" s="27" t="str">
        <f>IF($B40="","",ROUND(SUMIFS(资金日记账!$H$4:$H$603,资金日记账!$E$4:$E$603,$B40,资金日记账!$K$4:$K$603,"应收账款"),2))</f>
        <v/>
      </c>
      <c r="F40" s="27" t="str">
        <f t="shared" si="1"/>
        <v/>
      </c>
      <c r="G40" s="90"/>
      <c r="H40" s="27" t="str">
        <f>IF($B40="","",ROUND(SUMIFS(进销存对接!$F$4:$F$305,进销存对接!$D$4:$D$305,"客户应收",进销存对接!$C$4:$C$305,$B40)+SUMIFS(记账凭证!$I$4:$I$3609,记账凭证!$J$4:$J$3609,$B40,记账凭证!$E$4:$E$3609,"应付账款"),2))</f>
        <v/>
      </c>
      <c r="I40" s="27" t="str">
        <f>IF($B40="","",ROUND(SUMIFS(记账凭证!$H$4:$H$3609,记账凭证!$J$4:$J$3609,$B40,记账凭证!$E$4:$E$3609,"应付账款"),2))</f>
        <v/>
      </c>
      <c r="J40" s="27" t="str">
        <f t="shared" si="2"/>
        <v/>
      </c>
      <c r="K40" s="27" t="str">
        <f t="shared" si="3"/>
        <v/>
      </c>
      <c r="L40" s="89" t="str">
        <f t="shared" si="4"/>
        <v/>
      </c>
      <c r="M40" s="91"/>
    </row>
    <row r="41" spans="1:13">
      <c r="A41" s="89" t="str">
        <f t="shared" si="0"/>
        <v/>
      </c>
      <c r="B41" s="86" t="str">
        <f>IFERROR(INDEX(_自动清单!$E$4:$E$253,ROW()-4),"")</f>
        <v/>
      </c>
      <c r="C41" s="90"/>
      <c r="D41" s="27" t="str">
        <f>IF($B41="","",ROUND(SUMIFS(进销存对接!$G$4:$G$305,进销存对接!$D$4:$D$305,"客户应收",进销存对接!$C$4:$C$305,$B41),2))</f>
        <v/>
      </c>
      <c r="E41" s="27" t="str">
        <f>IF($B41="","",ROUND(SUMIFS(资金日记账!$H$4:$H$603,资金日记账!$E$4:$E$603,$B41,资金日记账!$K$4:$K$603,"应收账款"),2))</f>
        <v/>
      </c>
      <c r="F41" s="27" t="str">
        <f t="shared" si="1"/>
        <v/>
      </c>
      <c r="G41" s="90"/>
      <c r="H41" s="27" t="str">
        <f>IF($B41="","",ROUND(SUMIFS(进销存对接!$F$4:$F$305,进销存对接!$D$4:$D$305,"客户应收",进销存对接!$C$4:$C$305,$B41)+SUMIFS(记账凭证!$I$4:$I$3609,记账凭证!$J$4:$J$3609,$B41,记账凭证!$E$4:$E$3609,"应付账款"),2))</f>
        <v/>
      </c>
      <c r="I41" s="27" t="str">
        <f>IF($B41="","",ROUND(SUMIFS(记账凭证!$H$4:$H$3609,记账凭证!$J$4:$J$3609,$B41,记账凭证!$E$4:$E$3609,"应付账款"),2))</f>
        <v/>
      </c>
      <c r="J41" s="27" t="str">
        <f t="shared" si="2"/>
        <v/>
      </c>
      <c r="K41" s="27" t="str">
        <f t="shared" si="3"/>
        <v/>
      </c>
      <c r="L41" s="89" t="str">
        <f t="shared" si="4"/>
        <v/>
      </c>
      <c r="M41" s="91"/>
    </row>
    <row r="42" spans="1:13">
      <c r="A42" s="89" t="str">
        <f t="shared" si="0"/>
        <v/>
      </c>
      <c r="B42" s="86" t="str">
        <f>IFERROR(INDEX(_自动清单!$E$4:$E$253,ROW()-4),"")</f>
        <v/>
      </c>
      <c r="C42" s="90"/>
      <c r="D42" s="27" t="str">
        <f>IF($B42="","",ROUND(SUMIFS(进销存对接!$G$4:$G$305,进销存对接!$D$4:$D$305,"客户应收",进销存对接!$C$4:$C$305,$B42),2))</f>
        <v/>
      </c>
      <c r="E42" s="27" t="str">
        <f>IF($B42="","",ROUND(SUMIFS(资金日记账!$H$4:$H$603,资金日记账!$E$4:$E$603,$B42,资金日记账!$K$4:$K$603,"应收账款"),2))</f>
        <v/>
      </c>
      <c r="F42" s="27" t="str">
        <f t="shared" si="1"/>
        <v/>
      </c>
      <c r="G42" s="90"/>
      <c r="H42" s="27" t="str">
        <f>IF($B42="","",ROUND(SUMIFS(进销存对接!$F$4:$F$305,进销存对接!$D$4:$D$305,"客户应收",进销存对接!$C$4:$C$305,$B42)+SUMIFS(记账凭证!$I$4:$I$3609,记账凭证!$J$4:$J$3609,$B42,记账凭证!$E$4:$E$3609,"应付账款"),2))</f>
        <v/>
      </c>
      <c r="I42" s="27" t="str">
        <f>IF($B42="","",ROUND(SUMIFS(记账凭证!$H$4:$H$3609,记账凭证!$J$4:$J$3609,$B42,记账凭证!$E$4:$E$3609,"应付账款"),2))</f>
        <v/>
      </c>
      <c r="J42" s="27" t="str">
        <f t="shared" si="2"/>
        <v/>
      </c>
      <c r="K42" s="27" t="str">
        <f t="shared" si="3"/>
        <v/>
      </c>
      <c r="L42" s="89" t="str">
        <f t="shared" si="4"/>
        <v/>
      </c>
      <c r="M42" s="91"/>
    </row>
    <row r="43" spans="1:13">
      <c r="A43" s="89" t="str">
        <f t="shared" si="0"/>
        <v/>
      </c>
      <c r="B43" s="86" t="str">
        <f>IFERROR(INDEX(_自动清单!$E$4:$E$253,ROW()-4),"")</f>
        <v/>
      </c>
      <c r="C43" s="90"/>
      <c r="D43" s="27" t="str">
        <f>IF($B43="","",ROUND(SUMIFS(进销存对接!$G$4:$G$305,进销存对接!$D$4:$D$305,"客户应收",进销存对接!$C$4:$C$305,$B43),2))</f>
        <v/>
      </c>
      <c r="E43" s="27" t="str">
        <f>IF($B43="","",ROUND(SUMIFS(资金日记账!$H$4:$H$603,资金日记账!$E$4:$E$603,$B43,资金日记账!$K$4:$K$603,"应收账款"),2))</f>
        <v/>
      </c>
      <c r="F43" s="27" t="str">
        <f t="shared" si="1"/>
        <v/>
      </c>
      <c r="G43" s="90"/>
      <c r="H43" s="27" t="str">
        <f>IF($B43="","",ROUND(SUMIFS(进销存对接!$F$4:$F$305,进销存对接!$D$4:$D$305,"客户应收",进销存对接!$C$4:$C$305,$B43)+SUMIFS(记账凭证!$I$4:$I$3609,记账凭证!$J$4:$J$3609,$B43,记账凭证!$E$4:$E$3609,"应付账款"),2))</f>
        <v/>
      </c>
      <c r="I43" s="27" t="str">
        <f>IF($B43="","",ROUND(SUMIFS(记账凭证!$H$4:$H$3609,记账凭证!$J$4:$J$3609,$B43,记账凭证!$E$4:$E$3609,"应付账款"),2))</f>
        <v/>
      </c>
      <c r="J43" s="27" t="str">
        <f t="shared" si="2"/>
        <v/>
      </c>
      <c r="K43" s="27" t="str">
        <f t="shared" si="3"/>
        <v/>
      </c>
      <c r="L43" s="89" t="str">
        <f t="shared" si="4"/>
        <v/>
      </c>
      <c r="M43" s="91"/>
    </row>
    <row r="44" spans="1:13">
      <c r="A44" s="89" t="str">
        <f t="shared" si="0"/>
        <v/>
      </c>
      <c r="B44" s="86" t="str">
        <f>IFERROR(INDEX(_自动清单!$E$4:$E$253,ROW()-4),"")</f>
        <v/>
      </c>
      <c r="C44" s="90"/>
      <c r="D44" s="27" t="str">
        <f>IF($B44="","",ROUND(SUMIFS(进销存对接!$G$4:$G$305,进销存对接!$D$4:$D$305,"客户应收",进销存对接!$C$4:$C$305,$B44),2))</f>
        <v/>
      </c>
      <c r="E44" s="27" t="str">
        <f>IF($B44="","",ROUND(SUMIFS(资金日记账!$H$4:$H$603,资金日记账!$E$4:$E$603,$B44,资金日记账!$K$4:$K$603,"应收账款"),2))</f>
        <v/>
      </c>
      <c r="F44" s="27" t="str">
        <f t="shared" si="1"/>
        <v/>
      </c>
      <c r="G44" s="90"/>
      <c r="H44" s="27" t="str">
        <f>IF($B44="","",ROUND(SUMIFS(进销存对接!$F$4:$F$305,进销存对接!$D$4:$D$305,"客户应收",进销存对接!$C$4:$C$305,$B44)+SUMIFS(记账凭证!$I$4:$I$3609,记账凭证!$J$4:$J$3609,$B44,记账凭证!$E$4:$E$3609,"应付账款"),2))</f>
        <v/>
      </c>
      <c r="I44" s="27" t="str">
        <f>IF($B44="","",ROUND(SUMIFS(记账凭证!$H$4:$H$3609,记账凭证!$J$4:$J$3609,$B44,记账凭证!$E$4:$E$3609,"应付账款"),2))</f>
        <v/>
      </c>
      <c r="J44" s="27" t="str">
        <f t="shared" si="2"/>
        <v/>
      </c>
      <c r="K44" s="27" t="str">
        <f t="shared" si="3"/>
        <v/>
      </c>
      <c r="L44" s="89" t="str">
        <f t="shared" si="4"/>
        <v/>
      </c>
      <c r="M44" s="91"/>
    </row>
    <row r="45" spans="1:13">
      <c r="A45" s="89" t="str">
        <f t="shared" si="0"/>
        <v/>
      </c>
      <c r="B45" s="86" t="str">
        <f>IFERROR(INDEX(_自动清单!$E$4:$E$253,ROW()-4),"")</f>
        <v/>
      </c>
      <c r="C45" s="90"/>
      <c r="D45" s="27" t="str">
        <f>IF($B45="","",ROUND(SUMIFS(进销存对接!$G$4:$G$305,进销存对接!$D$4:$D$305,"客户应收",进销存对接!$C$4:$C$305,$B45),2))</f>
        <v/>
      </c>
      <c r="E45" s="27" t="str">
        <f>IF($B45="","",ROUND(SUMIFS(资金日记账!$H$4:$H$603,资金日记账!$E$4:$E$603,$B45,资金日记账!$K$4:$K$603,"应收账款"),2))</f>
        <v/>
      </c>
      <c r="F45" s="27" t="str">
        <f t="shared" si="1"/>
        <v/>
      </c>
      <c r="G45" s="90"/>
      <c r="H45" s="27" t="str">
        <f>IF($B45="","",ROUND(SUMIFS(进销存对接!$F$4:$F$305,进销存对接!$D$4:$D$305,"客户应收",进销存对接!$C$4:$C$305,$B45)+SUMIFS(记账凭证!$I$4:$I$3609,记账凭证!$J$4:$J$3609,$B45,记账凭证!$E$4:$E$3609,"应付账款"),2))</f>
        <v/>
      </c>
      <c r="I45" s="27" t="str">
        <f>IF($B45="","",ROUND(SUMIFS(记账凭证!$H$4:$H$3609,记账凭证!$J$4:$J$3609,$B45,记账凭证!$E$4:$E$3609,"应付账款"),2))</f>
        <v/>
      </c>
      <c r="J45" s="27" t="str">
        <f t="shared" si="2"/>
        <v/>
      </c>
      <c r="K45" s="27" t="str">
        <f t="shared" si="3"/>
        <v/>
      </c>
      <c r="L45" s="89" t="str">
        <f t="shared" si="4"/>
        <v/>
      </c>
      <c r="M45" s="91"/>
    </row>
    <row r="46" spans="1:13">
      <c r="A46" s="89" t="str">
        <f t="shared" si="0"/>
        <v/>
      </c>
      <c r="B46" s="86" t="str">
        <f>IFERROR(INDEX(_自动清单!$E$4:$E$253,ROW()-4),"")</f>
        <v/>
      </c>
      <c r="C46" s="90"/>
      <c r="D46" s="27" t="str">
        <f>IF($B46="","",ROUND(SUMIFS(进销存对接!$G$4:$G$305,进销存对接!$D$4:$D$305,"客户应收",进销存对接!$C$4:$C$305,$B46),2))</f>
        <v/>
      </c>
      <c r="E46" s="27" t="str">
        <f>IF($B46="","",ROUND(SUMIFS(资金日记账!$H$4:$H$603,资金日记账!$E$4:$E$603,$B46,资金日记账!$K$4:$K$603,"应收账款"),2))</f>
        <v/>
      </c>
      <c r="F46" s="27" t="str">
        <f t="shared" si="1"/>
        <v/>
      </c>
      <c r="G46" s="90"/>
      <c r="H46" s="27" t="str">
        <f>IF($B46="","",ROUND(SUMIFS(进销存对接!$F$4:$F$305,进销存对接!$D$4:$D$305,"客户应收",进销存对接!$C$4:$C$305,$B46)+SUMIFS(记账凭证!$I$4:$I$3609,记账凭证!$J$4:$J$3609,$B46,记账凭证!$E$4:$E$3609,"应付账款"),2))</f>
        <v/>
      </c>
      <c r="I46" s="27" t="str">
        <f>IF($B46="","",ROUND(SUMIFS(记账凭证!$H$4:$H$3609,记账凭证!$J$4:$J$3609,$B46,记账凭证!$E$4:$E$3609,"应付账款"),2))</f>
        <v/>
      </c>
      <c r="J46" s="27" t="str">
        <f t="shared" si="2"/>
        <v/>
      </c>
      <c r="K46" s="27" t="str">
        <f t="shared" si="3"/>
        <v/>
      </c>
      <c r="L46" s="89" t="str">
        <f t="shared" si="4"/>
        <v/>
      </c>
      <c r="M46" s="91"/>
    </row>
    <row r="47" spans="1:13">
      <c r="A47" s="89" t="str">
        <f t="shared" si="0"/>
        <v/>
      </c>
      <c r="B47" s="86" t="str">
        <f>IFERROR(INDEX(_自动清单!$E$4:$E$253,ROW()-4),"")</f>
        <v/>
      </c>
      <c r="C47" s="90"/>
      <c r="D47" s="27" t="str">
        <f>IF($B47="","",ROUND(SUMIFS(进销存对接!$G$4:$G$305,进销存对接!$D$4:$D$305,"客户应收",进销存对接!$C$4:$C$305,$B47),2))</f>
        <v/>
      </c>
      <c r="E47" s="27" t="str">
        <f>IF($B47="","",ROUND(SUMIFS(资金日记账!$H$4:$H$603,资金日记账!$E$4:$E$603,$B47,资金日记账!$K$4:$K$603,"应收账款"),2))</f>
        <v/>
      </c>
      <c r="F47" s="27" t="str">
        <f t="shared" si="1"/>
        <v/>
      </c>
      <c r="G47" s="90"/>
      <c r="H47" s="27" t="str">
        <f>IF($B47="","",ROUND(SUMIFS(进销存对接!$F$4:$F$305,进销存对接!$D$4:$D$305,"客户应收",进销存对接!$C$4:$C$305,$B47)+SUMIFS(记账凭证!$I$4:$I$3609,记账凭证!$J$4:$J$3609,$B47,记账凭证!$E$4:$E$3609,"应付账款"),2))</f>
        <v/>
      </c>
      <c r="I47" s="27" t="str">
        <f>IF($B47="","",ROUND(SUMIFS(记账凭证!$H$4:$H$3609,记账凭证!$J$4:$J$3609,$B47,记账凭证!$E$4:$E$3609,"应付账款"),2))</f>
        <v/>
      </c>
      <c r="J47" s="27" t="str">
        <f t="shared" si="2"/>
        <v/>
      </c>
      <c r="K47" s="27" t="str">
        <f t="shared" si="3"/>
        <v/>
      </c>
      <c r="L47" s="89" t="str">
        <f t="shared" si="4"/>
        <v/>
      </c>
      <c r="M47" s="91"/>
    </row>
    <row r="48" spans="1:13">
      <c r="A48" s="89" t="str">
        <f t="shared" si="0"/>
        <v/>
      </c>
      <c r="B48" s="86" t="str">
        <f>IFERROR(INDEX(_自动清单!$E$4:$E$253,ROW()-4),"")</f>
        <v/>
      </c>
      <c r="C48" s="90"/>
      <c r="D48" s="27" t="str">
        <f>IF($B48="","",ROUND(SUMIFS(进销存对接!$G$4:$G$305,进销存对接!$D$4:$D$305,"客户应收",进销存对接!$C$4:$C$305,$B48),2))</f>
        <v/>
      </c>
      <c r="E48" s="27" t="str">
        <f>IF($B48="","",ROUND(SUMIFS(资金日记账!$H$4:$H$603,资金日记账!$E$4:$E$603,$B48,资金日记账!$K$4:$K$603,"应收账款"),2))</f>
        <v/>
      </c>
      <c r="F48" s="27" t="str">
        <f t="shared" si="1"/>
        <v/>
      </c>
      <c r="G48" s="90"/>
      <c r="H48" s="27" t="str">
        <f>IF($B48="","",ROUND(SUMIFS(进销存对接!$F$4:$F$305,进销存对接!$D$4:$D$305,"客户应收",进销存对接!$C$4:$C$305,$B48)+SUMIFS(记账凭证!$I$4:$I$3609,记账凭证!$J$4:$J$3609,$B48,记账凭证!$E$4:$E$3609,"应付账款"),2))</f>
        <v/>
      </c>
      <c r="I48" s="27" t="str">
        <f>IF($B48="","",ROUND(SUMIFS(记账凭证!$H$4:$H$3609,记账凭证!$J$4:$J$3609,$B48,记账凭证!$E$4:$E$3609,"应付账款"),2))</f>
        <v/>
      </c>
      <c r="J48" s="27" t="str">
        <f t="shared" si="2"/>
        <v/>
      </c>
      <c r="K48" s="27" t="str">
        <f t="shared" si="3"/>
        <v/>
      </c>
      <c r="L48" s="89" t="str">
        <f t="shared" si="4"/>
        <v/>
      </c>
      <c r="M48" s="91"/>
    </row>
    <row r="49" spans="1:13">
      <c r="A49" s="89" t="str">
        <f t="shared" si="0"/>
        <v/>
      </c>
      <c r="B49" s="86" t="str">
        <f>IFERROR(INDEX(_自动清单!$E$4:$E$253,ROW()-4),"")</f>
        <v/>
      </c>
      <c r="C49" s="90"/>
      <c r="D49" s="27" t="str">
        <f>IF($B49="","",ROUND(SUMIFS(进销存对接!$G$4:$G$305,进销存对接!$D$4:$D$305,"客户应收",进销存对接!$C$4:$C$305,$B49),2))</f>
        <v/>
      </c>
      <c r="E49" s="27" t="str">
        <f>IF($B49="","",ROUND(SUMIFS(资金日记账!$H$4:$H$603,资金日记账!$E$4:$E$603,$B49,资金日记账!$K$4:$K$603,"应收账款"),2))</f>
        <v/>
      </c>
      <c r="F49" s="27" t="str">
        <f t="shared" si="1"/>
        <v/>
      </c>
      <c r="G49" s="90"/>
      <c r="H49" s="27" t="str">
        <f>IF($B49="","",ROUND(SUMIFS(进销存对接!$F$4:$F$305,进销存对接!$D$4:$D$305,"客户应收",进销存对接!$C$4:$C$305,$B49)+SUMIFS(记账凭证!$I$4:$I$3609,记账凭证!$J$4:$J$3609,$B49,记账凭证!$E$4:$E$3609,"应付账款"),2))</f>
        <v/>
      </c>
      <c r="I49" s="27" t="str">
        <f>IF($B49="","",ROUND(SUMIFS(记账凭证!$H$4:$H$3609,记账凭证!$J$4:$J$3609,$B49,记账凭证!$E$4:$E$3609,"应付账款"),2))</f>
        <v/>
      </c>
      <c r="J49" s="27" t="str">
        <f t="shared" si="2"/>
        <v/>
      </c>
      <c r="K49" s="27" t="str">
        <f t="shared" si="3"/>
        <v/>
      </c>
      <c r="L49" s="89" t="str">
        <f t="shared" si="4"/>
        <v/>
      </c>
      <c r="M49" s="91"/>
    </row>
    <row r="50" spans="1:13">
      <c r="A50" s="89" t="str">
        <f t="shared" si="0"/>
        <v/>
      </c>
      <c r="B50" s="86" t="str">
        <f>IFERROR(INDEX(_自动清单!$E$4:$E$253,ROW()-4),"")</f>
        <v/>
      </c>
      <c r="C50" s="90"/>
      <c r="D50" s="27" t="str">
        <f>IF($B50="","",ROUND(SUMIFS(进销存对接!$G$4:$G$305,进销存对接!$D$4:$D$305,"客户应收",进销存对接!$C$4:$C$305,$B50),2))</f>
        <v/>
      </c>
      <c r="E50" s="27" t="str">
        <f>IF($B50="","",ROUND(SUMIFS(资金日记账!$H$4:$H$603,资金日记账!$E$4:$E$603,$B50,资金日记账!$K$4:$K$603,"应收账款"),2))</f>
        <v/>
      </c>
      <c r="F50" s="27" t="str">
        <f t="shared" si="1"/>
        <v/>
      </c>
      <c r="G50" s="90"/>
      <c r="H50" s="27" t="str">
        <f>IF($B50="","",ROUND(SUMIFS(进销存对接!$F$4:$F$305,进销存对接!$D$4:$D$305,"客户应收",进销存对接!$C$4:$C$305,$B50)+SUMIFS(记账凭证!$I$4:$I$3609,记账凭证!$J$4:$J$3609,$B50,记账凭证!$E$4:$E$3609,"应付账款"),2))</f>
        <v/>
      </c>
      <c r="I50" s="27" t="str">
        <f>IF($B50="","",ROUND(SUMIFS(记账凭证!$H$4:$H$3609,记账凭证!$J$4:$J$3609,$B50,记账凭证!$E$4:$E$3609,"应付账款"),2))</f>
        <v/>
      </c>
      <c r="J50" s="27" t="str">
        <f t="shared" si="2"/>
        <v/>
      </c>
      <c r="K50" s="27" t="str">
        <f t="shared" si="3"/>
        <v/>
      </c>
      <c r="L50" s="89" t="str">
        <f t="shared" si="4"/>
        <v/>
      </c>
      <c r="M50" s="91"/>
    </row>
    <row r="51" spans="1:13">
      <c r="A51" s="89" t="str">
        <f t="shared" si="0"/>
        <v/>
      </c>
      <c r="B51" s="86" t="str">
        <f>IFERROR(INDEX(_自动清单!$E$4:$E$253,ROW()-4),"")</f>
        <v/>
      </c>
      <c r="C51" s="90"/>
      <c r="D51" s="27" t="str">
        <f>IF($B51="","",ROUND(SUMIFS(进销存对接!$G$4:$G$305,进销存对接!$D$4:$D$305,"客户应收",进销存对接!$C$4:$C$305,$B51),2))</f>
        <v/>
      </c>
      <c r="E51" s="27" t="str">
        <f>IF($B51="","",ROUND(SUMIFS(资金日记账!$H$4:$H$603,资金日记账!$E$4:$E$603,$B51,资金日记账!$K$4:$K$603,"应收账款"),2))</f>
        <v/>
      </c>
      <c r="F51" s="27" t="str">
        <f t="shared" si="1"/>
        <v/>
      </c>
      <c r="G51" s="90"/>
      <c r="H51" s="27" t="str">
        <f>IF($B51="","",ROUND(SUMIFS(进销存对接!$F$4:$F$305,进销存对接!$D$4:$D$305,"客户应收",进销存对接!$C$4:$C$305,$B51)+SUMIFS(记账凭证!$I$4:$I$3609,记账凭证!$J$4:$J$3609,$B51,记账凭证!$E$4:$E$3609,"应付账款"),2))</f>
        <v/>
      </c>
      <c r="I51" s="27" t="str">
        <f>IF($B51="","",ROUND(SUMIFS(记账凭证!$H$4:$H$3609,记账凭证!$J$4:$J$3609,$B51,记账凭证!$E$4:$E$3609,"应付账款"),2))</f>
        <v/>
      </c>
      <c r="J51" s="27" t="str">
        <f t="shared" si="2"/>
        <v/>
      </c>
      <c r="K51" s="27" t="str">
        <f t="shared" si="3"/>
        <v/>
      </c>
      <c r="L51" s="89" t="str">
        <f t="shared" si="4"/>
        <v/>
      </c>
      <c r="M51" s="91"/>
    </row>
    <row r="52" spans="1:13">
      <c r="A52" s="89" t="str">
        <f t="shared" si="0"/>
        <v/>
      </c>
      <c r="B52" s="86" t="str">
        <f>IFERROR(INDEX(_自动清单!$E$4:$E$253,ROW()-4),"")</f>
        <v/>
      </c>
      <c r="C52" s="90"/>
      <c r="D52" s="27" t="str">
        <f>IF($B52="","",ROUND(SUMIFS(进销存对接!$G$4:$G$305,进销存对接!$D$4:$D$305,"客户应收",进销存对接!$C$4:$C$305,$B52),2))</f>
        <v/>
      </c>
      <c r="E52" s="27" t="str">
        <f>IF($B52="","",ROUND(SUMIFS(资金日记账!$H$4:$H$603,资金日记账!$E$4:$E$603,$B52,资金日记账!$K$4:$K$603,"应收账款"),2))</f>
        <v/>
      </c>
      <c r="F52" s="27" t="str">
        <f t="shared" si="1"/>
        <v/>
      </c>
      <c r="G52" s="90"/>
      <c r="H52" s="27" t="str">
        <f>IF($B52="","",ROUND(SUMIFS(进销存对接!$F$4:$F$305,进销存对接!$D$4:$D$305,"客户应收",进销存对接!$C$4:$C$305,$B52)+SUMIFS(记账凭证!$I$4:$I$3609,记账凭证!$J$4:$J$3609,$B52,记账凭证!$E$4:$E$3609,"应付账款"),2))</f>
        <v/>
      </c>
      <c r="I52" s="27" t="str">
        <f>IF($B52="","",ROUND(SUMIFS(记账凭证!$H$4:$H$3609,记账凭证!$J$4:$J$3609,$B52,记账凭证!$E$4:$E$3609,"应付账款"),2))</f>
        <v/>
      </c>
      <c r="J52" s="27" t="str">
        <f t="shared" si="2"/>
        <v/>
      </c>
      <c r="K52" s="27" t="str">
        <f t="shared" si="3"/>
        <v/>
      </c>
      <c r="L52" s="89" t="str">
        <f t="shared" si="4"/>
        <v/>
      </c>
      <c r="M52" s="91"/>
    </row>
    <row r="53" spans="1:13">
      <c r="A53" s="89" t="str">
        <f t="shared" si="0"/>
        <v/>
      </c>
      <c r="B53" s="86" t="str">
        <f>IFERROR(INDEX(_自动清单!$E$4:$E$253,ROW()-4),"")</f>
        <v/>
      </c>
      <c r="C53" s="90"/>
      <c r="D53" s="27" t="str">
        <f>IF($B53="","",ROUND(SUMIFS(进销存对接!$G$4:$G$305,进销存对接!$D$4:$D$305,"客户应收",进销存对接!$C$4:$C$305,$B53),2))</f>
        <v/>
      </c>
      <c r="E53" s="27" t="str">
        <f>IF($B53="","",ROUND(SUMIFS(资金日记账!$H$4:$H$603,资金日记账!$E$4:$E$603,$B53,资金日记账!$K$4:$K$603,"应收账款"),2))</f>
        <v/>
      </c>
      <c r="F53" s="27" t="str">
        <f t="shared" si="1"/>
        <v/>
      </c>
      <c r="G53" s="90"/>
      <c r="H53" s="27" t="str">
        <f>IF($B53="","",ROUND(SUMIFS(进销存对接!$F$4:$F$305,进销存对接!$D$4:$D$305,"客户应收",进销存对接!$C$4:$C$305,$B53)+SUMIFS(记账凭证!$I$4:$I$3609,记账凭证!$J$4:$J$3609,$B53,记账凭证!$E$4:$E$3609,"应付账款"),2))</f>
        <v/>
      </c>
      <c r="I53" s="27" t="str">
        <f>IF($B53="","",ROUND(SUMIFS(记账凭证!$H$4:$H$3609,记账凭证!$J$4:$J$3609,$B53,记账凭证!$E$4:$E$3609,"应付账款"),2))</f>
        <v/>
      </c>
      <c r="J53" s="27" t="str">
        <f t="shared" si="2"/>
        <v/>
      </c>
      <c r="K53" s="27" t="str">
        <f t="shared" si="3"/>
        <v/>
      </c>
      <c r="L53" s="89" t="str">
        <f t="shared" si="4"/>
        <v/>
      </c>
      <c r="M53" s="91"/>
    </row>
    <row r="54" spans="1:13">
      <c r="A54" s="89" t="str">
        <f t="shared" si="0"/>
        <v/>
      </c>
      <c r="B54" s="86" t="str">
        <f>IFERROR(INDEX(_自动清单!$E$4:$E$253,ROW()-4),"")</f>
        <v/>
      </c>
      <c r="C54" s="90"/>
      <c r="D54" s="27" t="str">
        <f>IF($B54="","",ROUND(SUMIFS(进销存对接!$G$4:$G$305,进销存对接!$D$4:$D$305,"客户应收",进销存对接!$C$4:$C$305,$B54),2))</f>
        <v/>
      </c>
      <c r="E54" s="27" t="str">
        <f>IF($B54="","",ROUND(SUMIFS(资金日记账!$H$4:$H$603,资金日记账!$E$4:$E$603,$B54,资金日记账!$K$4:$K$603,"应收账款"),2))</f>
        <v/>
      </c>
      <c r="F54" s="27" t="str">
        <f t="shared" si="1"/>
        <v/>
      </c>
      <c r="G54" s="90"/>
      <c r="H54" s="27" t="str">
        <f>IF($B54="","",ROUND(SUMIFS(进销存对接!$F$4:$F$305,进销存对接!$D$4:$D$305,"客户应收",进销存对接!$C$4:$C$305,$B54)+SUMIFS(记账凭证!$I$4:$I$3609,记账凭证!$J$4:$J$3609,$B54,记账凭证!$E$4:$E$3609,"应付账款"),2))</f>
        <v/>
      </c>
      <c r="I54" s="27" t="str">
        <f>IF($B54="","",ROUND(SUMIFS(记账凭证!$H$4:$H$3609,记账凭证!$J$4:$J$3609,$B54,记账凭证!$E$4:$E$3609,"应付账款"),2))</f>
        <v/>
      </c>
      <c r="J54" s="27" t="str">
        <f t="shared" si="2"/>
        <v/>
      </c>
      <c r="K54" s="27" t="str">
        <f t="shared" si="3"/>
        <v/>
      </c>
      <c r="L54" s="89" t="str">
        <f t="shared" si="4"/>
        <v/>
      </c>
      <c r="M54" s="91"/>
    </row>
    <row r="55" spans="1:13">
      <c r="A55" s="89" t="str">
        <f t="shared" si="0"/>
        <v/>
      </c>
      <c r="B55" s="86" t="str">
        <f>IFERROR(INDEX(_自动清单!$E$4:$E$253,ROW()-4),"")</f>
        <v/>
      </c>
      <c r="C55" s="90"/>
      <c r="D55" s="27" t="str">
        <f>IF($B55="","",ROUND(SUMIFS(进销存对接!$G$4:$G$305,进销存对接!$D$4:$D$305,"客户应收",进销存对接!$C$4:$C$305,$B55),2))</f>
        <v/>
      </c>
      <c r="E55" s="27" t="str">
        <f>IF($B55="","",ROUND(SUMIFS(资金日记账!$H$4:$H$603,资金日记账!$E$4:$E$603,$B55,资金日记账!$K$4:$K$603,"应收账款"),2))</f>
        <v/>
      </c>
      <c r="F55" s="27" t="str">
        <f t="shared" si="1"/>
        <v/>
      </c>
      <c r="G55" s="90"/>
      <c r="H55" s="27" t="str">
        <f>IF($B55="","",ROUND(SUMIFS(进销存对接!$F$4:$F$305,进销存对接!$D$4:$D$305,"客户应收",进销存对接!$C$4:$C$305,$B55)+SUMIFS(记账凭证!$I$4:$I$3609,记账凭证!$J$4:$J$3609,$B55,记账凭证!$E$4:$E$3609,"应付账款"),2))</f>
        <v/>
      </c>
      <c r="I55" s="27" t="str">
        <f>IF($B55="","",ROUND(SUMIFS(记账凭证!$H$4:$H$3609,记账凭证!$J$4:$J$3609,$B55,记账凭证!$E$4:$E$3609,"应付账款"),2))</f>
        <v/>
      </c>
      <c r="J55" s="27" t="str">
        <f t="shared" si="2"/>
        <v/>
      </c>
      <c r="K55" s="27" t="str">
        <f t="shared" si="3"/>
        <v/>
      </c>
      <c r="L55" s="89" t="str">
        <f t="shared" si="4"/>
        <v/>
      </c>
      <c r="M55" s="91"/>
    </row>
    <row r="56" spans="1:13">
      <c r="A56" s="89" t="str">
        <f t="shared" si="0"/>
        <v/>
      </c>
      <c r="B56" s="86" t="str">
        <f>IFERROR(INDEX(_自动清单!$E$4:$E$253,ROW()-4),"")</f>
        <v/>
      </c>
      <c r="C56" s="90"/>
      <c r="D56" s="27" t="str">
        <f>IF($B56="","",ROUND(SUMIFS(进销存对接!$G$4:$G$305,进销存对接!$D$4:$D$305,"客户应收",进销存对接!$C$4:$C$305,$B56),2))</f>
        <v/>
      </c>
      <c r="E56" s="27" t="str">
        <f>IF($B56="","",ROUND(SUMIFS(资金日记账!$H$4:$H$603,资金日记账!$E$4:$E$603,$B56,资金日记账!$K$4:$K$603,"应收账款"),2))</f>
        <v/>
      </c>
      <c r="F56" s="27" t="str">
        <f t="shared" si="1"/>
        <v/>
      </c>
      <c r="G56" s="90"/>
      <c r="H56" s="27" t="str">
        <f>IF($B56="","",ROUND(SUMIFS(进销存对接!$F$4:$F$305,进销存对接!$D$4:$D$305,"客户应收",进销存对接!$C$4:$C$305,$B56)+SUMIFS(记账凭证!$I$4:$I$3609,记账凭证!$J$4:$J$3609,$B56,记账凭证!$E$4:$E$3609,"应付账款"),2))</f>
        <v/>
      </c>
      <c r="I56" s="27" t="str">
        <f>IF($B56="","",ROUND(SUMIFS(记账凭证!$H$4:$H$3609,记账凭证!$J$4:$J$3609,$B56,记账凭证!$E$4:$E$3609,"应付账款"),2))</f>
        <v/>
      </c>
      <c r="J56" s="27" t="str">
        <f t="shared" si="2"/>
        <v/>
      </c>
      <c r="K56" s="27" t="str">
        <f t="shared" si="3"/>
        <v/>
      </c>
      <c r="L56" s="89" t="str">
        <f t="shared" si="4"/>
        <v/>
      </c>
      <c r="M56" s="91"/>
    </row>
    <row r="57" spans="1:13">
      <c r="A57" s="89" t="str">
        <f t="shared" si="0"/>
        <v/>
      </c>
      <c r="B57" s="86" t="str">
        <f>IFERROR(INDEX(_自动清单!$E$4:$E$253,ROW()-4),"")</f>
        <v/>
      </c>
      <c r="C57" s="90"/>
      <c r="D57" s="27" t="str">
        <f>IF($B57="","",ROUND(SUMIFS(进销存对接!$G$4:$G$305,进销存对接!$D$4:$D$305,"客户应收",进销存对接!$C$4:$C$305,$B57),2))</f>
        <v/>
      </c>
      <c r="E57" s="27" t="str">
        <f>IF($B57="","",ROUND(SUMIFS(资金日记账!$H$4:$H$603,资金日记账!$E$4:$E$603,$B57,资金日记账!$K$4:$K$603,"应收账款"),2))</f>
        <v/>
      </c>
      <c r="F57" s="27" t="str">
        <f t="shared" si="1"/>
        <v/>
      </c>
      <c r="G57" s="90"/>
      <c r="H57" s="27" t="str">
        <f>IF($B57="","",ROUND(SUMIFS(进销存对接!$F$4:$F$305,进销存对接!$D$4:$D$305,"客户应收",进销存对接!$C$4:$C$305,$B57)+SUMIFS(记账凭证!$I$4:$I$3609,记账凭证!$J$4:$J$3609,$B57,记账凭证!$E$4:$E$3609,"应付账款"),2))</f>
        <v/>
      </c>
      <c r="I57" s="27" t="str">
        <f>IF($B57="","",ROUND(SUMIFS(记账凭证!$H$4:$H$3609,记账凭证!$J$4:$J$3609,$B57,记账凭证!$E$4:$E$3609,"应付账款"),2))</f>
        <v/>
      </c>
      <c r="J57" s="27" t="str">
        <f t="shared" si="2"/>
        <v/>
      </c>
      <c r="K57" s="27" t="str">
        <f t="shared" si="3"/>
        <v/>
      </c>
      <c r="L57" s="89" t="str">
        <f t="shared" si="4"/>
        <v/>
      </c>
      <c r="M57" s="91"/>
    </row>
    <row r="58" spans="1:13">
      <c r="A58" s="89" t="str">
        <f t="shared" si="0"/>
        <v/>
      </c>
      <c r="B58" s="86" t="str">
        <f>IFERROR(INDEX(_自动清单!$E$4:$E$253,ROW()-4),"")</f>
        <v/>
      </c>
      <c r="C58" s="90"/>
      <c r="D58" s="27" t="str">
        <f>IF($B58="","",ROUND(SUMIFS(进销存对接!$G$4:$G$305,进销存对接!$D$4:$D$305,"客户应收",进销存对接!$C$4:$C$305,$B58),2))</f>
        <v/>
      </c>
      <c r="E58" s="27" t="str">
        <f>IF($B58="","",ROUND(SUMIFS(资金日记账!$H$4:$H$603,资金日记账!$E$4:$E$603,$B58,资金日记账!$K$4:$K$603,"应收账款"),2))</f>
        <v/>
      </c>
      <c r="F58" s="27" t="str">
        <f t="shared" si="1"/>
        <v/>
      </c>
      <c r="G58" s="90"/>
      <c r="H58" s="27" t="str">
        <f>IF($B58="","",ROUND(SUMIFS(进销存对接!$F$4:$F$305,进销存对接!$D$4:$D$305,"客户应收",进销存对接!$C$4:$C$305,$B58)+SUMIFS(记账凭证!$I$4:$I$3609,记账凭证!$J$4:$J$3609,$B58,记账凭证!$E$4:$E$3609,"应付账款"),2))</f>
        <v/>
      </c>
      <c r="I58" s="27" t="str">
        <f>IF($B58="","",ROUND(SUMIFS(记账凭证!$H$4:$H$3609,记账凭证!$J$4:$J$3609,$B58,记账凭证!$E$4:$E$3609,"应付账款"),2))</f>
        <v/>
      </c>
      <c r="J58" s="27" t="str">
        <f t="shared" si="2"/>
        <v/>
      </c>
      <c r="K58" s="27" t="str">
        <f t="shared" si="3"/>
        <v/>
      </c>
      <c r="L58" s="89" t="str">
        <f t="shared" si="4"/>
        <v/>
      </c>
      <c r="M58" s="91"/>
    </row>
    <row r="59" spans="1:13">
      <c r="A59" s="89" t="str">
        <f t="shared" si="0"/>
        <v/>
      </c>
      <c r="B59" s="86" t="str">
        <f>IFERROR(INDEX(_自动清单!$E$4:$E$253,ROW()-4),"")</f>
        <v/>
      </c>
      <c r="C59" s="90"/>
      <c r="D59" s="27" t="str">
        <f>IF($B59="","",ROUND(SUMIFS(进销存对接!$G$4:$G$305,进销存对接!$D$4:$D$305,"客户应收",进销存对接!$C$4:$C$305,$B59),2))</f>
        <v/>
      </c>
      <c r="E59" s="27" t="str">
        <f>IF($B59="","",ROUND(SUMIFS(资金日记账!$H$4:$H$603,资金日记账!$E$4:$E$603,$B59,资金日记账!$K$4:$K$603,"应收账款"),2))</f>
        <v/>
      </c>
      <c r="F59" s="27" t="str">
        <f t="shared" si="1"/>
        <v/>
      </c>
      <c r="G59" s="90"/>
      <c r="H59" s="27" t="str">
        <f>IF($B59="","",ROUND(SUMIFS(进销存对接!$F$4:$F$305,进销存对接!$D$4:$D$305,"客户应收",进销存对接!$C$4:$C$305,$B59)+SUMIFS(记账凭证!$I$4:$I$3609,记账凭证!$J$4:$J$3609,$B59,记账凭证!$E$4:$E$3609,"应付账款"),2))</f>
        <v/>
      </c>
      <c r="I59" s="27" t="str">
        <f>IF($B59="","",ROUND(SUMIFS(记账凭证!$H$4:$H$3609,记账凭证!$J$4:$J$3609,$B59,记账凭证!$E$4:$E$3609,"应付账款"),2))</f>
        <v/>
      </c>
      <c r="J59" s="27" t="str">
        <f t="shared" si="2"/>
        <v/>
      </c>
      <c r="K59" s="27" t="str">
        <f t="shared" si="3"/>
        <v/>
      </c>
      <c r="L59" s="89" t="str">
        <f t="shared" si="4"/>
        <v/>
      </c>
      <c r="M59" s="91"/>
    </row>
    <row r="60" spans="1:13">
      <c r="A60" s="89" t="str">
        <f t="shared" si="0"/>
        <v/>
      </c>
      <c r="B60" s="86" t="str">
        <f>IFERROR(INDEX(_自动清单!$E$4:$E$253,ROW()-4),"")</f>
        <v/>
      </c>
      <c r="C60" s="90"/>
      <c r="D60" s="27" t="str">
        <f>IF($B60="","",ROUND(SUMIFS(进销存对接!$G$4:$G$305,进销存对接!$D$4:$D$305,"客户应收",进销存对接!$C$4:$C$305,$B60),2))</f>
        <v/>
      </c>
      <c r="E60" s="27" t="str">
        <f>IF($B60="","",ROUND(SUMIFS(资金日记账!$H$4:$H$603,资金日记账!$E$4:$E$603,$B60,资金日记账!$K$4:$K$603,"应收账款"),2))</f>
        <v/>
      </c>
      <c r="F60" s="27" t="str">
        <f t="shared" si="1"/>
        <v/>
      </c>
      <c r="G60" s="90"/>
      <c r="H60" s="27" t="str">
        <f>IF($B60="","",ROUND(SUMIFS(进销存对接!$F$4:$F$305,进销存对接!$D$4:$D$305,"客户应收",进销存对接!$C$4:$C$305,$B60)+SUMIFS(记账凭证!$I$4:$I$3609,记账凭证!$J$4:$J$3609,$B60,记账凭证!$E$4:$E$3609,"应付账款"),2))</f>
        <v/>
      </c>
      <c r="I60" s="27" t="str">
        <f>IF($B60="","",ROUND(SUMIFS(记账凭证!$H$4:$H$3609,记账凭证!$J$4:$J$3609,$B60,记账凭证!$E$4:$E$3609,"应付账款"),2))</f>
        <v/>
      </c>
      <c r="J60" s="27" t="str">
        <f t="shared" si="2"/>
        <v/>
      </c>
      <c r="K60" s="27" t="str">
        <f t="shared" si="3"/>
        <v/>
      </c>
      <c r="L60" s="89" t="str">
        <f t="shared" si="4"/>
        <v/>
      </c>
      <c r="M60" s="91"/>
    </row>
    <row r="61" spans="1:13">
      <c r="A61" s="89" t="str">
        <f t="shared" si="0"/>
        <v/>
      </c>
      <c r="B61" s="86" t="str">
        <f>IFERROR(INDEX(_自动清单!$E$4:$E$253,ROW()-4),"")</f>
        <v/>
      </c>
      <c r="C61" s="90"/>
      <c r="D61" s="27" t="str">
        <f>IF($B61="","",ROUND(SUMIFS(进销存对接!$G$4:$G$305,进销存对接!$D$4:$D$305,"客户应收",进销存对接!$C$4:$C$305,$B61),2))</f>
        <v/>
      </c>
      <c r="E61" s="27" t="str">
        <f>IF($B61="","",ROUND(SUMIFS(资金日记账!$H$4:$H$603,资金日记账!$E$4:$E$603,$B61,资金日记账!$K$4:$K$603,"应收账款"),2))</f>
        <v/>
      </c>
      <c r="F61" s="27" t="str">
        <f t="shared" si="1"/>
        <v/>
      </c>
      <c r="G61" s="90"/>
      <c r="H61" s="27" t="str">
        <f>IF($B61="","",ROUND(SUMIFS(进销存对接!$F$4:$F$305,进销存对接!$D$4:$D$305,"客户应收",进销存对接!$C$4:$C$305,$B61)+SUMIFS(记账凭证!$I$4:$I$3609,记账凭证!$J$4:$J$3609,$B61,记账凭证!$E$4:$E$3609,"应付账款"),2))</f>
        <v/>
      </c>
      <c r="I61" s="27" t="str">
        <f>IF($B61="","",ROUND(SUMIFS(记账凭证!$H$4:$H$3609,记账凭证!$J$4:$J$3609,$B61,记账凭证!$E$4:$E$3609,"应付账款"),2))</f>
        <v/>
      </c>
      <c r="J61" s="27" t="str">
        <f t="shared" si="2"/>
        <v/>
      </c>
      <c r="K61" s="27" t="str">
        <f t="shared" si="3"/>
        <v/>
      </c>
      <c r="L61" s="89" t="str">
        <f t="shared" si="4"/>
        <v/>
      </c>
      <c r="M61" s="91"/>
    </row>
    <row r="62" spans="1:13">
      <c r="A62" s="89" t="str">
        <f t="shared" si="0"/>
        <v/>
      </c>
      <c r="B62" s="86" t="str">
        <f>IFERROR(INDEX(_自动清单!$E$4:$E$253,ROW()-4),"")</f>
        <v/>
      </c>
      <c r="C62" s="90"/>
      <c r="D62" s="27" t="str">
        <f>IF($B62="","",ROUND(SUMIFS(进销存对接!$G$4:$G$305,进销存对接!$D$4:$D$305,"客户应收",进销存对接!$C$4:$C$305,$B62),2))</f>
        <v/>
      </c>
      <c r="E62" s="27" t="str">
        <f>IF($B62="","",ROUND(SUMIFS(资金日记账!$H$4:$H$603,资金日记账!$E$4:$E$603,$B62,资金日记账!$K$4:$K$603,"应收账款"),2))</f>
        <v/>
      </c>
      <c r="F62" s="27" t="str">
        <f t="shared" si="1"/>
        <v/>
      </c>
      <c r="G62" s="90"/>
      <c r="H62" s="27" t="str">
        <f>IF($B62="","",ROUND(SUMIFS(进销存对接!$F$4:$F$305,进销存对接!$D$4:$D$305,"客户应收",进销存对接!$C$4:$C$305,$B62)+SUMIFS(记账凭证!$I$4:$I$3609,记账凭证!$J$4:$J$3609,$B62,记账凭证!$E$4:$E$3609,"应付账款"),2))</f>
        <v/>
      </c>
      <c r="I62" s="27" t="str">
        <f>IF($B62="","",ROUND(SUMIFS(记账凭证!$H$4:$H$3609,记账凭证!$J$4:$J$3609,$B62,记账凭证!$E$4:$E$3609,"应付账款"),2))</f>
        <v/>
      </c>
      <c r="J62" s="27" t="str">
        <f t="shared" si="2"/>
        <v/>
      </c>
      <c r="K62" s="27" t="str">
        <f t="shared" si="3"/>
        <v/>
      </c>
      <c r="L62" s="89" t="str">
        <f t="shared" si="4"/>
        <v/>
      </c>
      <c r="M62" s="91"/>
    </row>
    <row r="63" spans="1:13">
      <c r="A63" s="89" t="str">
        <f t="shared" si="0"/>
        <v/>
      </c>
      <c r="B63" s="86" t="str">
        <f>IFERROR(INDEX(_自动清单!$E$4:$E$253,ROW()-4),"")</f>
        <v/>
      </c>
      <c r="C63" s="90"/>
      <c r="D63" s="27" t="str">
        <f>IF($B63="","",ROUND(SUMIFS(进销存对接!$G$4:$G$305,进销存对接!$D$4:$D$305,"客户应收",进销存对接!$C$4:$C$305,$B63),2))</f>
        <v/>
      </c>
      <c r="E63" s="27" t="str">
        <f>IF($B63="","",ROUND(SUMIFS(资金日记账!$H$4:$H$603,资金日记账!$E$4:$E$603,$B63,资金日记账!$K$4:$K$603,"应收账款"),2))</f>
        <v/>
      </c>
      <c r="F63" s="27" t="str">
        <f t="shared" si="1"/>
        <v/>
      </c>
      <c r="G63" s="90"/>
      <c r="H63" s="27" t="str">
        <f>IF($B63="","",ROUND(SUMIFS(进销存对接!$F$4:$F$305,进销存对接!$D$4:$D$305,"客户应收",进销存对接!$C$4:$C$305,$B63)+SUMIFS(记账凭证!$I$4:$I$3609,记账凭证!$J$4:$J$3609,$B63,记账凭证!$E$4:$E$3609,"应付账款"),2))</f>
        <v/>
      </c>
      <c r="I63" s="27" t="str">
        <f>IF($B63="","",ROUND(SUMIFS(记账凭证!$H$4:$H$3609,记账凭证!$J$4:$J$3609,$B63,记账凭证!$E$4:$E$3609,"应付账款"),2))</f>
        <v/>
      </c>
      <c r="J63" s="27" t="str">
        <f t="shared" si="2"/>
        <v/>
      </c>
      <c r="K63" s="27" t="str">
        <f t="shared" si="3"/>
        <v/>
      </c>
      <c r="L63" s="89" t="str">
        <f t="shared" si="4"/>
        <v/>
      </c>
      <c r="M63" s="91"/>
    </row>
    <row r="64" spans="1:13">
      <c r="A64" s="89" t="str">
        <f t="shared" si="0"/>
        <v/>
      </c>
      <c r="B64" s="86" t="str">
        <f>IFERROR(INDEX(_自动清单!$E$4:$E$253,ROW()-4),"")</f>
        <v/>
      </c>
      <c r="C64" s="90"/>
      <c r="D64" s="27" t="str">
        <f>IF($B64="","",ROUND(SUMIFS(进销存对接!$G$4:$G$305,进销存对接!$D$4:$D$305,"客户应收",进销存对接!$C$4:$C$305,$B64),2))</f>
        <v/>
      </c>
      <c r="E64" s="27" t="str">
        <f>IF($B64="","",ROUND(SUMIFS(资金日记账!$H$4:$H$603,资金日记账!$E$4:$E$603,$B64,资金日记账!$K$4:$K$603,"应收账款"),2))</f>
        <v/>
      </c>
      <c r="F64" s="27" t="str">
        <f t="shared" si="1"/>
        <v/>
      </c>
      <c r="G64" s="90"/>
      <c r="H64" s="27" t="str">
        <f>IF($B64="","",ROUND(SUMIFS(进销存对接!$F$4:$F$305,进销存对接!$D$4:$D$305,"客户应收",进销存对接!$C$4:$C$305,$B64)+SUMIFS(记账凭证!$I$4:$I$3609,记账凭证!$J$4:$J$3609,$B64,记账凭证!$E$4:$E$3609,"应付账款"),2))</f>
        <v/>
      </c>
      <c r="I64" s="27" t="str">
        <f>IF($B64="","",ROUND(SUMIFS(记账凭证!$H$4:$H$3609,记账凭证!$J$4:$J$3609,$B64,记账凭证!$E$4:$E$3609,"应付账款"),2))</f>
        <v/>
      </c>
      <c r="J64" s="27" t="str">
        <f t="shared" si="2"/>
        <v/>
      </c>
      <c r="K64" s="27" t="str">
        <f t="shared" si="3"/>
        <v/>
      </c>
      <c r="L64" s="89" t="str">
        <f t="shared" si="4"/>
        <v/>
      </c>
      <c r="M64" s="91"/>
    </row>
    <row r="65" spans="1:13">
      <c r="A65" s="89" t="str">
        <f t="shared" si="0"/>
        <v/>
      </c>
      <c r="B65" s="86" t="str">
        <f>IFERROR(INDEX(_自动清单!$E$4:$E$253,ROW()-4),"")</f>
        <v/>
      </c>
      <c r="C65" s="90"/>
      <c r="D65" s="27" t="str">
        <f>IF($B65="","",ROUND(SUMIFS(进销存对接!$G$4:$G$305,进销存对接!$D$4:$D$305,"客户应收",进销存对接!$C$4:$C$305,$B65),2))</f>
        <v/>
      </c>
      <c r="E65" s="27" t="str">
        <f>IF($B65="","",ROUND(SUMIFS(资金日记账!$H$4:$H$603,资金日记账!$E$4:$E$603,$B65,资金日记账!$K$4:$K$603,"应收账款"),2))</f>
        <v/>
      </c>
      <c r="F65" s="27" t="str">
        <f t="shared" si="1"/>
        <v/>
      </c>
      <c r="G65" s="90"/>
      <c r="H65" s="27" t="str">
        <f>IF($B65="","",ROUND(SUMIFS(进销存对接!$F$4:$F$305,进销存对接!$D$4:$D$305,"客户应收",进销存对接!$C$4:$C$305,$B65)+SUMIFS(记账凭证!$I$4:$I$3609,记账凭证!$J$4:$J$3609,$B65,记账凭证!$E$4:$E$3609,"应付账款"),2))</f>
        <v/>
      </c>
      <c r="I65" s="27" t="str">
        <f>IF($B65="","",ROUND(SUMIFS(记账凭证!$H$4:$H$3609,记账凭证!$J$4:$J$3609,$B65,记账凭证!$E$4:$E$3609,"应付账款"),2))</f>
        <v/>
      </c>
      <c r="J65" s="27" t="str">
        <f t="shared" si="2"/>
        <v/>
      </c>
      <c r="K65" s="27" t="str">
        <f t="shared" si="3"/>
        <v/>
      </c>
      <c r="L65" s="89" t="str">
        <f t="shared" si="4"/>
        <v/>
      </c>
      <c r="M65" s="91"/>
    </row>
    <row r="66" spans="1:13">
      <c r="A66" s="89" t="str">
        <f t="shared" si="0"/>
        <v/>
      </c>
      <c r="B66" s="86" t="str">
        <f>IFERROR(INDEX(_自动清单!$E$4:$E$253,ROW()-4),"")</f>
        <v/>
      </c>
      <c r="C66" s="90"/>
      <c r="D66" s="27" t="str">
        <f>IF($B66="","",ROUND(SUMIFS(进销存对接!$G$4:$G$305,进销存对接!$D$4:$D$305,"客户应收",进销存对接!$C$4:$C$305,$B66),2))</f>
        <v/>
      </c>
      <c r="E66" s="27" t="str">
        <f>IF($B66="","",ROUND(SUMIFS(资金日记账!$H$4:$H$603,资金日记账!$E$4:$E$603,$B66,资金日记账!$K$4:$K$603,"应收账款"),2))</f>
        <v/>
      </c>
      <c r="F66" s="27" t="str">
        <f t="shared" si="1"/>
        <v/>
      </c>
      <c r="G66" s="90"/>
      <c r="H66" s="27" t="str">
        <f>IF($B66="","",ROUND(SUMIFS(进销存对接!$F$4:$F$305,进销存对接!$D$4:$D$305,"客户应收",进销存对接!$C$4:$C$305,$B66)+SUMIFS(记账凭证!$I$4:$I$3609,记账凭证!$J$4:$J$3609,$B66,记账凭证!$E$4:$E$3609,"应付账款"),2))</f>
        <v/>
      </c>
      <c r="I66" s="27" t="str">
        <f>IF($B66="","",ROUND(SUMIFS(记账凭证!$H$4:$H$3609,记账凭证!$J$4:$J$3609,$B66,记账凭证!$E$4:$E$3609,"应付账款"),2))</f>
        <v/>
      </c>
      <c r="J66" s="27" t="str">
        <f t="shared" si="2"/>
        <v/>
      </c>
      <c r="K66" s="27" t="str">
        <f t="shared" si="3"/>
        <v/>
      </c>
      <c r="L66" s="89" t="str">
        <f t="shared" si="4"/>
        <v/>
      </c>
      <c r="M66" s="91"/>
    </row>
    <row r="67" spans="1:13">
      <c r="A67" s="89" t="str">
        <f t="shared" si="0"/>
        <v/>
      </c>
      <c r="B67" s="86" t="str">
        <f>IFERROR(INDEX(_自动清单!$E$4:$E$253,ROW()-4),"")</f>
        <v/>
      </c>
      <c r="C67" s="90"/>
      <c r="D67" s="27" t="str">
        <f>IF($B67="","",ROUND(SUMIFS(进销存对接!$G$4:$G$305,进销存对接!$D$4:$D$305,"客户应收",进销存对接!$C$4:$C$305,$B67),2))</f>
        <v/>
      </c>
      <c r="E67" s="27" t="str">
        <f>IF($B67="","",ROUND(SUMIFS(资金日记账!$H$4:$H$603,资金日记账!$E$4:$E$603,$B67,资金日记账!$K$4:$K$603,"应收账款"),2))</f>
        <v/>
      </c>
      <c r="F67" s="27" t="str">
        <f t="shared" si="1"/>
        <v/>
      </c>
      <c r="G67" s="90"/>
      <c r="H67" s="27" t="str">
        <f>IF($B67="","",ROUND(SUMIFS(进销存对接!$F$4:$F$305,进销存对接!$D$4:$D$305,"客户应收",进销存对接!$C$4:$C$305,$B67)+SUMIFS(记账凭证!$I$4:$I$3609,记账凭证!$J$4:$J$3609,$B67,记账凭证!$E$4:$E$3609,"应付账款"),2))</f>
        <v/>
      </c>
      <c r="I67" s="27" t="str">
        <f>IF($B67="","",ROUND(SUMIFS(记账凭证!$H$4:$H$3609,记账凭证!$J$4:$J$3609,$B67,记账凭证!$E$4:$E$3609,"应付账款"),2))</f>
        <v/>
      </c>
      <c r="J67" s="27" t="str">
        <f t="shared" si="2"/>
        <v/>
      </c>
      <c r="K67" s="27" t="str">
        <f t="shared" si="3"/>
        <v/>
      </c>
      <c r="L67" s="89" t="str">
        <f t="shared" si="4"/>
        <v/>
      </c>
      <c r="M67" s="91"/>
    </row>
    <row r="68" spans="1:13">
      <c r="A68" s="89" t="str">
        <f t="shared" si="0"/>
        <v/>
      </c>
      <c r="B68" s="86" t="str">
        <f>IFERROR(INDEX(_自动清单!$E$4:$E$253,ROW()-4),"")</f>
        <v/>
      </c>
      <c r="C68" s="90"/>
      <c r="D68" s="27" t="str">
        <f>IF($B68="","",ROUND(SUMIFS(进销存对接!$G$4:$G$305,进销存对接!$D$4:$D$305,"客户应收",进销存对接!$C$4:$C$305,$B68),2))</f>
        <v/>
      </c>
      <c r="E68" s="27" t="str">
        <f>IF($B68="","",ROUND(SUMIFS(资金日记账!$H$4:$H$603,资金日记账!$E$4:$E$603,$B68,资金日记账!$K$4:$K$603,"应收账款"),2))</f>
        <v/>
      </c>
      <c r="F68" s="27" t="str">
        <f t="shared" si="1"/>
        <v/>
      </c>
      <c r="G68" s="90"/>
      <c r="H68" s="27" t="str">
        <f>IF($B68="","",ROUND(SUMIFS(进销存对接!$F$4:$F$305,进销存对接!$D$4:$D$305,"客户应收",进销存对接!$C$4:$C$305,$B68)+SUMIFS(记账凭证!$I$4:$I$3609,记账凭证!$J$4:$J$3609,$B68,记账凭证!$E$4:$E$3609,"应付账款"),2))</f>
        <v/>
      </c>
      <c r="I68" s="27" t="str">
        <f>IF($B68="","",ROUND(SUMIFS(记账凭证!$H$4:$H$3609,记账凭证!$J$4:$J$3609,$B68,记账凭证!$E$4:$E$3609,"应付账款"),2))</f>
        <v/>
      </c>
      <c r="J68" s="27" t="str">
        <f t="shared" si="2"/>
        <v/>
      </c>
      <c r="K68" s="27" t="str">
        <f t="shared" si="3"/>
        <v/>
      </c>
      <c r="L68" s="89" t="str">
        <f t="shared" si="4"/>
        <v/>
      </c>
      <c r="M68" s="91"/>
    </row>
    <row r="69" spans="1:13">
      <c r="A69" s="89" t="str">
        <f t="shared" ref="A69:A132" si="5">IF($B69="","",ROW()-4)</f>
        <v/>
      </c>
      <c r="B69" s="86" t="str">
        <f>IFERROR(INDEX(_自动清单!$E$4:$E$253,ROW()-4),"")</f>
        <v/>
      </c>
      <c r="C69" s="90"/>
      <c r="D69" s="27" t="str">
        <f>IF($B69="","",ROUND(SUMIFS(进销存对接!$G$4:$G$305,进销存对接!$D$4:$D$305,"客户应收",进销存对接!$C$4:$C$305,$B69),2))</f>
        <v/>
      </c>
      <c r="E69" s="27" t="str">
        <f>IF($B69="","",ROUND(SUMIFS(资金日记账!$H$4:$H$603,资金日记账!$E$4:$E$603,$B69,资金日记账!$K$4:$K$603,"应收账款"),2))</f>
        <v/>
      </c>
      <c r="F69" s="27" t="str">
        <f t="shared" ref="F69:F132" si="6">IF($B69="","",ROUND(N($C69)+N($D69)-N($E69),2))</f>
        <v/>
      </c>
      <c r="G69" s="90"/>
      <c r="H69" s="27" t="str">
        <f>IF($B69="","",ROUND(SUMIFS(进销存对接!$F$4:$F$305,进销存对接!$D$4:$D$305,"客户应收",进销存对接!$C$4:$C$305,$B69)+SUMIFS(记账凭证!$I$4:$I$3609,记账凭证!$J$4:$J$3609,$B69,记账凭证!$E$4:$E$3609,"应付账款"),2))</f>
        <v/>
      </c>
      <c r="I69" s="27" t="str">
        <f>IF($B69="","",ROUND(SUMIFS(记账凭证!$H$4:$H$3609,记账凭证!$J$4:$J$3609,$B69,记账凭证!$E$4:$E$3609,"应付账款"),2))</f>
        <v/>
      </c>
      <c r="J69" s="27" t="str">
        <f t="shared" ref="J69:J132" si="7">IF($B69="","",ROUND(N($G69)+N($H69)-N($I69),2))</f>
        <v/>
      </c>
      <c r="K69" s="27" t="str">
        <f t="shared" ref="K69:K132" si="8">IF($B69="","",ROUND(N($F69)-N($J69),2))</f>
        <v/>
      </c>
      <c r="L69" s="89" t="str">
        <f t="shared" ref="L69:L132" si="9">IF($B69="","",IF(ROUND(N($K69),2)&gt;0,"对方欠款",IF(ROUND(N($K69),2)&lt;0,"我方欠款","已两清")))</f>
        <v/>
      </c>
      <c r="M69" s="91"/>
    </row>
    <row r="70" spans="1:13">
      <c r="A70" s="89" t="str">
        <f t="shared" si="5"/>
        <v/>
      </c>
      <c r="B70" s="86" t="str">
        <f>IFERROR(INDEX(_自动清单!$E$4:$E$253,ROW()-4),"")</f>
        <v/>
      </c>
      <c r="C70" s="90"/>
      <c r="D70" s="27" t="str">
        <f>IF($B70="","",ROUND(SUMIFS(进销存对接!$G$4:$G$305,进销存对接!$D$4:$D$305,"客户应收",进销存对接!$C$4:$C$305,$B70),2))</f>
        <v/>
      </c>
      <c r="E70" s="27" t="str">
        <f>IF($B70="","",ROUND(SUMIFS(资金日记账!$H$4:$H$603,资金日记账!$E$4:$E$603,$B70,资金日记账!$K$4:$K$603,"应收账款"),2))</f>
        <v/>
      </c>
      <c r="F70" s="27" t="str">
        <f t="shared" si="6"/>
        <v/>
      </c>
      <c r="G70" s="90"/>
      <c r="H70" s="27" t="str">
        <f>IF($B70="","",ROUND(SUMIFS(进销存对接!$F$4:$F$305,进销存对接!$D$4:$D$305,"客户应收",进销存对接!$C$4:$C$305,$B70)+SUMIFS(记账凭证!$I$4:$I$3609,记账凭证!$J$4:$J$3609,$B70,记账凭证!$E$4:$E$3609,"应付账款"),2))</f>
        <v/>
      </c>
      <c r="I70" s="27" t="str">
        <f>IF($B70="","",ROUND(SUMIFS(记账凭证!$H$4:$H$3609,记账凭证!$J$4:$J$3609,$B70,记账凭证!$E$4:$E$3609,"应付账款"),2))</f>
        <v/>
      </c>
      <c r="J70" s="27" t="str">
        <f t="shared" si="7"/>
        <v/>
      </c>
      <c r="K70" s="27" t="str">
        <f t="shared" si="8"/>
        <v/>
      </c>
      <c r="L70" s="89" t="str">
        <f t="shared" si="9"/>
        <v/>
      </c>
      <c r="M70" s="91"/>
    </row>
    <row r="71" spans="1:13">
      <c r="A71" s="89" t="str">
        <f t="shared" si="5"/>
        <v/>
      </c>
      <c r="B71" s="86" t="str">
        <f>IFERROR(INDEX(_自动清单!$E$4:$E$253,ROW()-4),"")</f>
        <v/>
      </c>
      <c r="C71" s="90"/>
      <c r="D71" s="27" t="str">
        <f>IF($B71="","",ROUND(SUMIFS(进销存对接!$G$4:$G$305,进销存对接!$D$4:$D$305,"客户应收",进销存对接!$C$4:$C$305,$B71),2))</f>
        <v/>
      </c>
      <c r="E71" s="27" t="str">
        <f>IF($B71="","",ROUND(SUMIFS(资金日记账!$H$4:$H$603,资金日记账!$E$4:$E$603,$B71,资金日记账!$K$4:$K$603,"应收账款"),2))</f>
        <v/>
      </c>
      <c r="F71" s="27" t="str">
        <f t="shared" si="6"/>
        <v/>
      </c>
      <c r="G71" s="90"/>
      <c r="H71" s="27" t="str">
        <f>IF($B71="","",ROUND(SUMIFS(进销存对接!$F$4:$F$305,进销存对接!$D$4:$D$305,"客户应收",进销存对接!$C$4:$C$305,$B71)+SUMIFS(记账凭证!$I$4:$I$3609,记账凭证!$J$4:$J$3609,$B71,记账凭证!$E$4:$E$3609,"应付账款"),2))</f>
        <v/>
      </c>
      <c r="I71" s="27" t="str">
        <f>IF($B71="","",ROUND(SUMIFS(记账凭证!$H$4:$H$3609,记账凭证!$J$4:$J$3609,$B71,记账凭证!$E$4:$E$3609,"应付账款"),2))</f>
        <v/>
      </c>
      <c r="J71" s="27" t="str">
        <f t="shared" si="7"/>
        <v/>
      </c>
      <c r="K71" s="27" t="str">
        <f t="shared" si="8"/>
        <v/>
      </c>
      <c r="L71" s="89" t="str">
        <f t="shared" si="9"/>
        <v/>
      </c>
      <c r="M71" s="91"/>
    </row>
    <row r="72" spans="1:13">
      <c r="A72" s="89" t="str">
        <f t="shared" si="5"/>
        <v/>
      </c>
      <c r="B72" s="86" t="str">
        <f>IFERROR(INDEX(_自动清单!$E$4:$E$253,ROW()-4),"")</f>
        <v/>
      </c>
      <c r="C72" s="90"/>
      <c r="D72" s="27" t="str">
        <f>IF($B72="","",ROUND(SUMIFS(进销存对接!$G$4:$G$305,进销存对接!$D$4:$D$305,"客户应收",进销存对接!$C$4:$C$305,$B72),2))</f>
        <v/>
      </c>
      <c r="E72" s="27" t="str">
        <f>IF($B72="","",ROUND(SUMIFS(资金日记账!$H$4:$H$603,资金日记账!$E$4:$E$603,$B72,资金日记账!$K$4:$K$603,"应收账款"),2))</f>
        <v/>
      </c>
      <c r="F72" s="27" t="str">
        <f t="shared" si="6"/>
        <v/>
      </c>
      <c r="G72" s="90"/>
      <c r="H72" s="27" t="str">
        <f>IF($B72="","",ROUND(SUMIFS(进销存对接!$F$4:$F$305,进销存对接!$D$4:$D$305,"客户应收",进销存对接!$C$4:$C$305,$B72)+SUMIFS(记账凭证!$I$4:$I$3609,记账凭证!$J$4:$J$3609,$B72,记账凭证!$E$4:$E$3609,"应付账款"),2))</f>
        <v/>
      </c>
      <c r="I72" s="27" t="str">
        <f>IF($B72="","",ROUND(SUMIFS(记账凭证!$H$4:$H$3609,记账凭证!$J$4:$J$3609,$B72,记账凭证!$E$4:$E$3609,"应付账款"),2))</f>
        <v/>
      </c>
      <c r="J72" s="27" t="str">
        <f t="shared" si="7"/>
        <v/>
      </c>
      <c r="K72" s="27" t="str">
        <f t="shared" si="8"/>
        <v/>
      </c>
      <c r="L72" s="89" t="str">
        <f t="shared" si="9"/>
        <v/>
      </c>
      <c r="M72" s="91"/>
    </row>
    <row r="73" spans="1:13">
      <c r="A73" s="89" t="str">
        <f t="shared" si="5"/>
        <v/>
      </c>
      <c r="B73" s="86" t="str">
        <f>IFERROR(INDEX(_自动清单!$E$4:$E$253,ROW()-4),"")</f>
        <v/>
      </c>
      <c r="C73" s="90"/>
      <c r="D73" s="27" t="str">
        <f>IF($B73="","",ROUND(SUMIFS(进销存对接!$G$4:$G$305,进销存对接!$D$4:$D$305,"客户应收",进销存对接!$C$4:$C$305,$B73),2))</f>
        <v/>
      </c>
      <c r="E73" s="27" t="str">
        <f>IF($B73="","",ROUND(SUMIFS(资金日记账!$H$4:$H$603,资金日记账!$E$4:$E$603,$B73,资金日记账!$K$4:$K$603,"应收账款"),2))</f>
        <v/>
      </c>
      <c r="F73" s="27" t="str">
        <f t="shared" si="6"/>
        <v/>
      </c>
      <c r="G73" s="90"/>
      <c r="H73" s="27" t="str">
        <f>IF($B73="","",ROUND(SUMIFS(进销存对接!$F$4:$F$305,进销存对接!$D$4:$D$305,"客户应收",进销存对接!$C$4:$C$305,$B73)+SUMIFS(记账凭证!$I$4:$I$3609,记账凭证!$J$4:$J$3609,$B73,记账凭证!$E$4:$E$3609,"应付账款"),2))</f>
        <v/>
      </c>
      <c r="I73" s="27" t="str">
        <f>IF($B73="","",ROUND(SUMIFS(记账凭证!$H$4:$H$3609,记账凭证!$J$4:$J$3609,$B73,记账凭证!$E$4:$E$3609,"应付账款"),2))</f>
        <v/>
      </c>
      <c r="J73" s="27" t="str">
        <f t="shared" si="7"/>
        <v/>
      </c>
      <c r="K73" s="27" t="str">
        <f t="shared" si="8"/>
        <v/>
      </c>
      <c r="L73" s="89" t="str">
        <f t="shared" si="9"/>
        <v/>
      </c>
      <c r="M73" s="91"/>
    </row>
    <row r="74" spans="1:13">
      <c r="A74" s="89" t="str">
        <f t="shared" si="5"/>
        <v/>
      </c>
      <c r="B74" s="86" t="str">
        <f>IFERROR(INDEX(_自动清单!$E$4:$E$253,ROW()-4),"")</f>
        <v/>
      </c>
      <c r="C74" s="90"/>
      <c r="D74" s="27" t="str">
        <f>IF($B74="","",ROUND(SUMIFS(进销存对接!$G$4:$G$305,进销存对接!$D$4:$D$305,"客户应收",进销存对接!$C$4:$C$305,$B74),2))</f>
        <v/>
      </c>
      <c r="E74" s="27" t="str">
        <f>IF($B74="","",ROUND(SUMIFS(资金日记账!$H$4:$H$603,资金日记账!$E$4:$E$603,$B74,资金日记账!$K$4:$K$603,"应收账款"),2))</f>
        <v/>
      </c>
      <c r="F74" s="27" t="str">
        <f t="shared" si="6"/>
        <v/>
      </c>
      <c r="G74" s="90"/>
      <c r="H74" s="27" t="str">
        <f>IF($B74="","",ROUND(SUMIFS(进销存对接!$F$4:$F$305,进销存对接!$D$4:$D$305,"客户应收",进销存对接!$C$4:$C$305,$B74)+SUMIFS(记账凭证!$I$4:$I$3609,记账凭证!$J$4:$J$3609,$B74,记账凭证!$E$4:$E$3609,"应付账款"),2))</f>
        <v/>
      </c>
      <c r="I74" s="27" t="str">
        <f>IF($B74="","",ROUND(SUMIFS(记账凭证!$H$4:$H$3609,记账凭证!$J$4:$J$3609,$B74,记账凭证!$E$4:$E$3609,"应付账款"),2))</f>
        <v/>
      </c>
      <c r="J74" s="27" t="str">
        <f t="shared" si="7"/>
        <v/>
      </c>
      <c r="K74" s="27" t="str">
        <f t="shared" si="8"/>
        <v/>
      </c>
      <c r="L74" s="89" t="str">
        <f t="shared" si="9"/>
        <v/>
      </c>
      <c r="M74" s="91"/>
    </row>
    <row r="75" spans="1:13">
      <c r="A75" s="89" t="str">
        <f t="shared" si="5"/>
        <v/>
      </c>
      <c r="B75" s="86" t="str">
        <f>IFERROR(INDEX(_自动清单!$E$4:$E$253,ROW()-4),"")</f>
        <v/>
      </c>
      <c r="C75" s="90"/>
      <c r="D75" s="27" t="str">
        <f>IF($B75="","",ROUND(SUMIFS(进销存对接!$G$4:$G$305,进销存对接!$D$4:$D$305,"客户应收",进销存对接!$C$4:$C$305,$B75),2))</f>
        <v/>
      </c>
      <c r="E75" s="27" t="str">
        <f>IF($B75="","",ROUND(SUMIFS(资金日记账!$H$4:$H$603,资金日记账!$E$4:$E$603,$B75,资金日记账!$K$4:$K$603,"应收账款"),2))</f>
        <v/>
      </c>
      <c r="F75" s="27" t="str">
        <f t="shared" si="6"/>
        <v/>
      </c>
      <c r="G75" s="90"/>
      <c r="H75" s="27" t="str">
        <f>IF($B75="","",ROUND(SUMIFS(进销存对接!$F$4:$F$305,进销存对接!$D$4:$D$305,"客户应收",进销存对接!$C$4:$C$305,$B75)+SUMIFS(记账凭证!$I$4:$I$3609,记账凭证!$J$4:$J$3609,$B75,记账凭证!$E$4:$E$3609,"应付账款"),2))</f>
        <v/>
      </c>
      <c r="I75" s="27" t="str">
        <f>IF($B75="","",ROUND(SUMIFS(记账凭证!$H$4:$H$3609,记账凭证!$J$4:$J$3609,$B75,记账凭证!$E$4:$E$3609,"应付账款"),2))</f>
        <v/>
      </c>
      <c r="J75" s="27" t="str">
        <f t="shared" si="7"/>
        <v/>
      </c>
      <c r="K75" s="27" t="str">
        <f t="shared" si="8"/>
        <v/>
      </c>
      <c r="L75" s="89" t="str">
        <f t="shared" si="9"/>
        <v/>
      </c>
      <c r="M75" s="91"/>
    </row>
    <row r="76" spans="1:13">
      <c r="A76" s="89" t="str">
        <f t="shared" si="5"/>
        <v/>
      </c>
      <c r="B76" s="86" t="str">
        <f>IFERROR(INDEX(_自动清单!$E$4:$E$253,ROW()-4),"")</f>
        <v/>
      </c>
      <c r="C76" s="90"/>
      <c r="D76" s="27" t="str">
        <f>IF($B76="","",ROUND(SUMIFS(进销存对接!$G$4:$G$305,进销存对接!$D$4:$D$305,"客户应收",进销存对接!$C$4:$C$305,$B76),2))</f>
        <v/>
      </c>
      <c r="E76" s="27" t="str">
        <f>IF($B76="","",ROUND(SUMIFS(资金日记账!$H$4:$H$603,资金日记账!$E$4:$E$603,$B76,资金日记账!$K$4:$K$603,"应收账款"),2))</f>
        <v/>
      </c>
      <c r="F76" s="27" t="str">
        <f t="shared" si="6"/>
        <v/>
      </c>
      <c r="G76" s="90"/>
      <c r="H76" s="27" t="str">
        <f>IF($B76="","",ROUND(SUMIFS(进销存对接!$F$4:$F$305,进销存对接!$D$4:$D$305,"客户应收",进销存对接!$C$4:$C$305,$B76)+SUMIFS(记账凭证!$I$4:$I$3609,记账凭证!$J$4:$J$3609,$B76,记账凭证!$E$4:$E$3609,"应付账款"),2))</f>
        <v/>
      </c>
      <c r="I76" s="27" t="str">
        <f>IF($B76="","",ROUND(SUMIFS(记账凭证!$H$4:$H$3609,记账凭证!$J$4:$J$3609,$B76,记账凭证!$E$4:$E$3609,"应付账款"),2))</f>
        <v/>
      </c>
      <c r="J76" s="27" t="str">
        <f t="shared" si="7"/>
        <v/>
      </c>
      <c r="K76" s="27" t="str">
        <f t="shared" si="8"/>
        <v/>
      </c>
      <c r="L76" s="89" t="str">
        <f t="shared" si="9"/>
        <v/>
      </c>
      <c r="M76" s="91"/>
    </row>
    <row r="77" spans="1:13">
      <c r="A77" s="89" t="str">
        <f t="shared" si="5"/>
        <v/>
      </c>
      <c r="B77" s="86" t="str">
        <f>IFERROR(INDEX(_自动清单!$E$4:$E$253,ROW()-4),"")</f>
        <v/>
      </c>
      <c r="C77" s="90"/>
      <c r="D77" s="27" t="str">
        <f>IF($B77="","",ROUND(SUMIFS(进销存对接!$G$4:$G$305,进销存对接!$D$4:$D$305,"客户应收",进销存对接!$C$4:$C$305,$B77),2))</f>
        <v/>
      </c>
      <c r="E77" s="27" t="str">
        <f>IF($B77="","",ROUND(SUMIFS(资金日记账!$H$4:$H$603,资金日记账!$E$4:$E$603,$B77,资金日记账!$K$4:$K$603,"应收账款"),2))</f>
        <v/>
      </c>
      <c r="F77" s="27" t="str">
        <f t="shared" si="6"/>
        <v/>
      </c>
      <c r="G77" s="90"/>
      <c r="H77" s="27" t="str">
        <f>IF($B77="","",ROUND(SUMIFS(进销存对接!$F$4:$F$305,进销存对接!$D$4:$D$305,"客户应收",进销存对接!$C$4:$C$305,$B77)+SUMIFS(记账凭证!$I$4:$I$3609,记账凭证!$J$4:$J$3609,$B77,记账凭证!$E$4:$E$3609,"应付账款"),2))</f>
        <v/>
      </c>
      <c r="I77" s="27" t="str">
        <f>IF($B77="","",ROUND(SUMIFS(记账凭证!$H$4:$H$3609,记账凭证!$J$4:$J$3609,$B77,记账凭证!$E$4:$E$3609,"应付账款"),2))</f>
        <v/>
      </c>
      <c r="J77" s="27" t="str">
        <f t="shared" si="7"/>
        <v/>
      </c>
      <c r="K77" s="27" t="str">
        <f t="shared" si="8"/>
        <v/>
      </c>
      <c r="L77" s="89" t="str">
        <f t="shared" si="9"/>
        <v/>
      </c>
      <c r="M77" s="91"/>
    </row>
    <row r="78" spans="1:13">
      <c r="A78" s="89" t="str">
        <f t="shared" si="5"/>
        <v/>
      </c>
      <c r="B78" s="86" t="str">
        <f>IFERROR(INDEX(_自动清单!$E$4:$E$253,ROW()-4),"")</f>
        <v/>
      </c>
      <c r="C78" s="90"/>
      <c r="D78" s="27" t="str">
        <f>IF($B78="","",ROUND(SUMIFS(进销存对接!$G$4:$G$305,进销存对接!$D$4:$D$305,"客户应收",进销存对接!$C$4:$C$305,$B78),2))</f>
        <v/>
      </c>
      <c r="E78" s="27" t="str">
        <f>IF($B78="","",ROUND(SUMIFS(资金日记账!$H$4:$H$603,资金日记账!$E$4:$E$603,$B78,资金日记账!$K$4:$K$603,"应收账款"),2))</f>
        <v/>
      </c>
      <c r="F78" s="27" t="str">
        <f t="shared" si="6"/>
        <v/>
      </c>
      <c r="G78" s="90"/>
      <c r="H78" s="27" t="str">
        <f>IF($B78="","",ROUND(SUMIFS(进销存对接!$F$4:$F$305,进销存对接!$D$4:$D$305,"客户应收",进销存对接!$C$4:$C$305,$B78)+SUMIFS(记账凭证!$I$4:$I$3609,记账凭证!$J$4:$J$3609,$B78,记账凭证!$E$4:$E$3609,"应付账款"),2))</f>
        <v/>
      </c>
      <c r="I78" s="27" t="str">
        <f>IF($B78="","",ROUND(SUMIFS(记账凭证!$H$4:$H$3609,记账凭证!$J$4:$J$3609,$B78,记账凭证!$E$4:$E$3609,"应付账款"),2))</f>
        <v/>
      </c>
      <c r="J78" s="27" t="str">
        <f t="shared" si="7"/>
        <v/>
      </c>
      <c r="K78" s="27" t="str">
        <f t="shared" si="8"/>
        <v/>
      </c>
      <c r="L78" s="89" t="str">
        <f t="shared" si="9"/>
        <v/>
      </c>
      <c r="M78" s="91"/>
    </row>
    <row r="79" spans="1:13">
      <c r="A79" s="89" t="str">
        <f t="shared" si="5"/>
        <v/>
      </c>
      <c r="B79" s="86" t="str">
        <f>IFERROR(INDEX(_自动清单!$E$4:$E$253,ROW()-4),"")</f>
        <v/>
      </c>
      <c r="C79" s="90"/>
      <c r="D79" s="27" t="str">
        <f>IF($B79="","",ROUND(SUMIFS(进销存对接!$G$4:$G$305,进销存对接!$D$4:$D$305,"客户应收",进销存对接!$C$4:$C$305,$B79),2))</f>
        <v/>
      </c>
      <c r="E79" s="27" t="str">
        <f>IF($B79="","",ROUND(SUMIFS(资金日记账!$H$4:$H$603,资金日记账!$E$4:$E$603,$B79,资金日记账!$K$4:$K$603,"应收账款"),2))</f>
        <v/>
      </c>
      <c r="F79" s="27" t="str">
        <f t="shared" si="6"/>
        <v/>
      </c>
      <c r="G79" s="90"/>
      <c r="H79" s="27" t="str">
        <f>IF($B79="","",ROUND(SUMIFS(进销存对接!$F$4:$F$305,进销存对接!$D$4:$D$305,"客户应收",进销存对接!$C$4:$C$305,$B79)+SUMIFS(记账凭证!$I$4:$I$3609,记账凭证!$J$4:$J$3609,$B79,记账凭证!$E$4:$E$3609,"应付账款"),2))</f>
        <v/>
      </c>
      <c r="I79" s="27" t="str">
        <f>IF($B79="","",ROUND(SUMIFS(记账凭证!$H$4:$H$3609,记账凭证!$J$4:$J$3609,$B79,记账凭证!$E$4:$E$3609,"应付账款"),2))</f>
        <v/>
      </c>
      <c r="J79" s="27" t="str">
        <f t="shared" si="7"/>
        <v/>
      </c>
      <c r="K79" s="27" t="str">
        <f t="shared" si="8"/>
        <v/>
      </c>
      <c r="L79" s="89" t="str">
        <f t="shared" si="9"/>
        <v/>
      </c>
      <c r="M79" s="91"/>
    </row>
    <row r="80" spans="1:13">
      <c r="A80" s="89" t="str">
        <f t="shared" si="5"/>
        <v/>
      </c>
      <c r="B80" s="86" t="str">
        <f>IFERROR(INDEX(_自动清单!$E$4:$E$253,ROW()-4),"")</f>
        <v/>
      </c>
      <c r="C80" s="90"/>
      <c r="D80" s="27" t="str">
        <f>IF($B80="","",ROUND(SUMIFS(进销存对接!$G$4:$G$305,进销存对接!$D$4:$D$305,"客户应收",进销存对接!$C$4:$C$305,$B80),2))</f>
        <v/>
      </c>
      <c r="E80" s="27" t="str">
        <f>IF($B80="","",ROUND(SUMIFS(资金日记账!$H$4:$H$603,资金日记账!$E$4:$E$603,$B80,资金日记账!$K$4:$K$603,"应收账款"),2))</f>
        <v/>
      </c>
      <c r="F80" s="27" t="str">
        <f t="shared" si="6"/>
        <v/>
      </c>
      <c r="G80" s="90"/>
      <c r="H80" s="27" t="str">
        <f>IF($B80="","",ROUND(SUMIFS(进销存对接!$F$4:$F$305,进销存对接!$D$4:$D$305,"客户应收",进销存对接!$C$4:$C$305,$B80)+SUMIFS(记账凭证!$I$4:$I$3609,记账凭证!$J$4:$J$3609,$B80,记账凭证!$E$4:$E$3609,"应付账款"),2))</f>
        <v/>
      </c>
      <c r="I80" s="27" t="str">
        <f>IF($B80="","",ROUND(SUMIFS(记账凭证!$H$4:$H$3609,记账凭证!$J$4:$J$3609,$B80,记账凭证!$E$4:$E$3609,"应付账款"),2))</f>
        <v/>
      </c>
      <c r="J80" s="27" t="str">
        <f t="shared" si="7"/>
        <v/>
      </c>
      <c r="K80" s="27" t="str">
        <f t="shared" si="8"/>
        <v/>
      </c>
      <c r="L80" s="89" t="str">
        <f t="shared" si="9"/>
        <v/>
      </c>
      <c r="M80" s="91"/>
    </row>
    <row r="81" spans="1:13">
      <c r="A81" s="89" t="str">
        <f t="shared" si="5"/>
        <v/>
      </c>
      <c r="B81" s="86" t="str">
        <f>IFERROR(INDEX(_自动清单!$E$4:$E$253,ROW()-4),"")</f>
        <v/>
      </c>
      <c r="C81" s="90"/>
      <c r="D81" s="27" t="str">
        <f>IF($B81="","",ROUND(SUMIFS(进销存对接!$G$4:$G$305,进销存对接!$D$4:$D$305,"客户应收",进销存对接!$C$4:$C$305,$B81),2))</f>
        <v/>
      </c>
      <c r="E81" s="27" t="str">
        <f>IF($B81="","",ROUND(SUMIFS(资金日记账!$H$4:$H$603,资金日记账!$E$4:$E$603,$B81,资金日记账!$K$4:$K$603,"应收账款"),2))</f>
        <v/>
      </c>
      <c r="F81" s="27" t="str">
        <f t="shared" si="6"/>
        <v/>
      </c>
      <c r="G81" s="90"/>
      <c r="H81" s="27" t="str">
        <f>IF($B81="","",ROUND(SUMIFS(进销存对接!$F$4:$F$305,进销存对接!$D$4:$D$305,"客户应收",进销存对接!$C$4:$C$305,$B81)+SUMIFS(记账凭证!$I$4:$I$3609,记账凭证!$J$4:$J$3609,$B81,记账凭证!$E$4:$E$3609,"应付账款"),2))</f>
        <v/>
      </c>
      <c r="I81" s="27" t="str">
        <f>IF($B81="","",ROUND(SUMIFS(记账凭证!$H$4:$H$3609,记账凭证!$J$4:$J$3609,$B81,记账凭证!$E$4:$E$3609,"应付账款"),2))</f>
        <v/>
      </c>
      <c r="J81" s="27" t="str">
        <f t="shared" si="7"/>
        <v/>
      </c>
      <c r="K81" s="27" t="str">
        <f t="shared" si="8"/>
        <v/>
      </c>
      <c r="L81" s="89" t="str">
        <f t="shared" si="9"/>
        <v/>
      </c>
      <c r="M81" s="91"/>
    </row>
    <row r="82" spans="1:13">
      <c r="A82" s="89" t="str">
        <f t="shared" si="5"/>
        <v/>
      </c>
      <c r="B82" s="86" t="str">
        <f>IFERROR(INDEX(_自动清单!$E$4:$E$253,ROW()-4),"")</f>
        <v/>
      </c>
      <c r="C82" s="90"/>
      <c r="D82" s="27" t="str">
        <f>IF($B82="","",ROUND(SUMIFS(进销存对接!$G$4:$G$305,进销存对接!$D$4:$D$305,"客户应收",进销存对接!$C$4:$C$305,$B82),2))</f>
        <v/>
      </c>
      <c r="E82" s="27" t="str">
        <f>IF($B82="","",ROUND(SUMIFS(资金日记账!$H$4:$H$603,资金日记账!$E$4:$E$603,$B82,资金日记账!$K$4:$K$603,"应收账款"),2))</f>
        <v/>
      </c>
      <c r="F82" s="27" t="str">
        <f t="shared" si="6"/>
        <v/>
      </c>
      <c r="G82" s="90"/>
      <c r="H82" s="27" t="str">
        <f>IF($B82="","",ROUND(SUMIFS(进销存对接!$F$4:$F$305,进销存对接!$D$4:$D$305,"客户应收",进销存对接!$C$4:$C$305,$B82)+SUMIFS(记账凭证!$I$4:$I$3609,记账凭证!$J$4:$J$3609,$B82,记账凭证!$E$4:$E$3609,"应付账款"),2))</f>
        <v/>
      </c>
      <c r="I82" s="27" t="str">
        <f>IF($B82="","",ROUND(SUMIFS(记账凭证!$H$4:$H$3609,记账凭证!$J$4:$J$3609,$B82,记账凭证!$E$4:$E$3609,"应付账款"),2))</f>
        <v/>
      </c>
      <c r="J82" s="27" t="str">
        <f t="shared" si="7"/>
        <v/>
      </c>
      <c r="K82" s="27" t="str">
        <f t="shared" si="8"/>
        <v/>
      </c>
      <c r="L82" s="89" t="str">
        <f t="shared" si="9"/>
        <v/>
      </c>
      <c r="M82" s="91"/>
    </row>
    <row r="83" spans="1:13">
      <c r="A83" s="89" t="str">
        <f t="shared" si="5"/>
        <v/>
      </c>
      <c r="B83" s="86" t="str">
        <f>IFERROR(INDEX(_自动清单!$E$4:$E$253,ROW()-4),"")</f>
        <v/>
      </c>
      <c r="C83" s="90"/>
      <c r="D83" s="27" t="str">
        <f>IF($B83="","",ROUND(SUMIFS(进销存对接!$G$4:$G$305,进销存对接!$D$4:$D$305,"客户应收",进销存对接!$C$4:$C$305,$B83),2))</f>
        <v/>
      </c>
      <c r="E83" s="27" t="str">
        <f>IF($B83="","",ROUND(SUMIFS(资金日记账!$H$4:$H$603,资金日记账!$E$4:$E$603,$B83,资金日记账!$K$4:$K$603,"应收账款"),2))</f>
        <v/>
      </c>
      <c r="F83" s="27" t="str">
        <f t="shared" si="6"/>
        <v/>
      </c>
      <c r="G83" s="90"/>
      <c r="H83" s="27" t="str">
        <f>IF($B83="","",ROUND(SUMIFS(进销存对接!$F$4:$F$305,进销存对接!$D$4:$D$305,"客户应收",进销存对接!$C$4:$C$305,$B83)+SUMIFS(记账凭证!$I$4:$I$3609,记账凭证!$J$4:$J$3609,$B83,记账凭证!$E$4:$E$3609,"应付账款"),2))</f>
        <v/>
      </c>
      <c r="I83" s="27" t="str">
        <f>IF($B83="","",ROUND(SUMIFS(记账凭证!$H$4:$H$3609,记账凭证!$J$4:$J$3609,$B83,记账凭证!$E$4:$E$3609,"应付账款"),2))</f>
        <v/>
      </c>
      <c r="J83" s="27" t="str">
        <f t="shared" si="7"/>
        <v/>
      </c>
      <c r="K83" s="27" t="str">
        <f t="shared" si="8"/>
        <v/>
      </c>
      <c r="L83" s="89" t="str">
        <f t="shared" si="9"/>
        <v/>
      </c>
      <c r="M83" s="91"/>
    </row>
    <row r="84" spans="1:13">
      <c r="A84" s="89" t="str">
        <f t="shared" si="5"/>
        <v/>
      </c>
      <c r="B84" s="86" t="str">
        <f>IFERROR(INDEX(_自动清单!$E$4:$E$253,ROW()-4),"")</f>
        <v/>
      </c>
      <c r="C84" s="90"/>
      <c r="D84" s="27" t="str">
        <f>IF($B84="","",ROUND(SUMIFS(进销存对接!$G$4:$G$305,进销存对接!$D$4:$D$305,"客户应收",进销存对接!$C$4:$C$305,$B84),2))</f>
        <v/>
      </c>
      <c r="E84" s="27" t="str">
        <f>IF($B84="","",ROUND(SUMIFS(资金日记账!$H$4:$H$603,资金日记账!$E$4:$E$603,$B84,资金日记账!$K$4:$K$603,"应收账款"),2))</f>
        <v/>
      </c>
      <c r="F84" s="27" t="str">
        <f t="shared" si="6"/>
        <v/>
      </c>
      <c r="G84" s="90"/>
      <c r="H84" s="27" t="str">
        <f>IF($B84="","",ROUND(SUMIFS(进销存对接!$F$4:$F$305,进销存对接!$D$4:$D$305,"客户应收",进销存对接!$C$4:$C$305,$B84)+SUMIFS(记账凭证!$I$4:$I$3609,记账凭证!$J$4:$J$3609,$B84,记账凭证!$E$4:$E$3609,"应付账款"),2))</f>
        <v/>
      </c>
      <c r="I84" s="27" t="str">
        <f>IF($B84="","",ROUND(SUMIFS(记账凭证!$H$4:$H$3609,记账凭证!$J$4:$J$3609,$B84,记账凭证!$E$4:$E$3609,"应付账款"),2))</f>
        <v/>
      </c>
      <c r="J84" s="27" t="str">
        <f t="shared" si="7"/>
        <v/>
      </c>
      <c r="K84" s="27" t="str">
        <f t="shared" si="8"/>
        <v/>
      </c>
      <c r="L84" s="89" t="str">
        <f t="shared" si="9"/>
        <v/>
      </c>
      <c r="M84" s="91"/>
    </row>
    <row r="85" spans="1:13">
      <c r="A85" s="89" t="str">
        <f t="shared" si="5"/>
        <v/>
      </c>
      <c r="B85" s="86" t="str">
        <f>IFERROR(INDEX(_自动清单!$E$4:$E$253,ROW()-4),"")</f>
        <v/>
      </c>
      <c r="C85" s="90"/>
      <c r="D85" s="27" t="str">
        <f>IF($B85="","",ROUND(SUMIFS(进销存对接!$G$4:$G$305,进销存对接!$D$4:$D$305,"客户应收",进销存对接!$C$4:$C$305,$B85),2))</f>
        <v/>
      </c>
      <c r="E85" s="27" t="str">
        <f>IF($B85="","",ROUND(SUMIFS(资金日记账!$H$4:$H$603,资金日记账!$E$4:$E$603,$B85,资金日记账!$K$4:$K$603,"应收账款"),2))</f>
        <v/>
      </c>
      <c r="F85" s="27" t="str">
        <f t="shared" si="6"/>
        <v/>
      </c>
      <c r="G85" s="90"/>
      <c r="H85" s="27" t="str">
        <f>IF($B85="","",ROUND(SUMIFS(进销存对接!$F$4:$F$305,进销存对接!$D$4:$D$305,"客户应收",进销存对接!$C$4:$C$305,$B85)+SUMIFS(记账凭证!$I$4:$I$3609,记账凭证!$J$4:$J$3609,$B85,记账凭证!$E$4:$E$3609,"应付账款"),2))</f>
        <v/>
      </c>
      <c r="I85" s="27" t="str">
        <f>IF($B85="","",ROUND(SUMIFS(记账凭证!$H$4:$H$3609,记账凭证!$J$4:$J$3609,$B85,记账凭证!$E$4:$E$3609,"应付账款"),2))</f>
        <v/>
      </c>
      <c r="J85" s="27" t="str">
        <f t="shared" si="7"/>
        <v/>
      </c>
      <c r="K85" s="27" t="str">
        <f t="shared" si="8"/>
        <v/>
      </c>
      <c r="L85" s="89" t="str">
        <f t="shared" si="9"/>
        <v/>
      </c>
      <c r="M85" s="91"/>
    </row>
    <row r="86" spans="1:13">
      <c r="A86" s="89" t="str">
        <f t="shared" si="5"/>
        <v/>
      </c>
      <c r="B86" s="86" t="str">
        <f>IFERROR(INDEX(_自动清单!$E$4:$E$253,ROW()-4),"")</f>
        <v/>
      </c>
      <c r="C86" s="90"/>
      <c r="D86" s="27" t="str">
        <f>IF($B86="","",ROUND(SUMIFS(进销存对接!$G$4:$G$305,进销存对接!$D$4:$D$305,"客户应收",进销存对接!$C$4:$C$305,$B86),2))</f>
        <v/>
      </c>
      <c r="E86" s="27" t="str">
        <f>IF($B86="","",ROUND(SUMIFS(资金日记账!$H$4:$H$603,资金日记账!$E$4:$E$603,$B86,资金日记账!$K$4:$K$603,"应收账款"),2))</f>
        <v/>
      </c>
      <c r="F86" s="27" t="str">
        <f t="shared" si="6"/>
        <v/>
      </c>
      <c r="G86" s="90"/>
      <c r="H86" s="27" t="str">
        <f>IF($B86="","",ROUND(SUMIFS(进销存对接!$F$4:$F$305,进销存对接!$D$4:$D$305,"客户应收",进销存对接!$C$4:$C$305,$B86)+SUMIFS(记账凭证!$I$4:$I$3609,记账凭证!$J$4:$J$3609,$B86,记账凭证!$E$4:$E$3609,"应付账款"),2))</f>
        <v/>
      </c>
      <c r="I86" s="27" t="str">
        <f>IF($B86="","",ROUND(SUMIFS(记账凭证!$H$4:$H$3609,记账凭证!$J$4:$J$3609,$B86,记账凭证!$E$4:$E$3609,"应付账款"),2))</f>
        <v/>
      </c>
      <c r="J86" s="27" t="str">
        <f t="shared" si="7"/>
        <v/>
      </c>
      <c r="K86" s="27" t="str">
        <f t="shared" si="8"/>
        <v/>
      </c>
      <c r="L86" s="89" t="str">
        <f t="shared" si="9"/>
        <v/>
      </c>
      <c r="M86" s="91"/>
    </row>
    <row r="87" spans="1:13">
      <c r="A87" s="89" t="str">
        <f t="shared" si="5"/>
        <v/>
      </c>
      <c r="B87" s="86" t="str">
        <f>IFERROR(INDEX(_自动清单!$E$4:$E$253,ROW()-4),"")</f>
        <v/>
      </c>
      <c r="C87" s="90"/>
      <c r="D87" s="27" t="str">
        <f>IF($B87="","",ROUND(SUMIFS(进销存对接!$G$4:$G$305,进销存对接!$D$4:$D$305,"客户应收",进销存对接!$C$4:$C$305,$B87),2))</f>
        <v/>
      </c>
      <c r="E87" s="27" t="str">
        <f>IF($B87="","",ROUND(SUMIFS(资金日记账!$H$4:$H$603,资金日记账!$E$4:$E$603,$B87,资金日记账!$K$4:$K$603,"应收账款"),2))</f>
        <v/>
      </c>
      <c r="F87" s="27" t="str">
        <f t="shared" si="6"/>
        <v/>
      </c>
      <c r="G87" s="90"/>
      <c r="H87" s="27" t="str">
        <f>IF($B87="","",ROUND(SUMIFS(进销存对接!$F$4:$F$305,进销存对接!$D$4:$D$305,"客户应收",进销存对接!$C$4:$C$305,$B87)+SUMIFS(记账凭证!$I$4:$I$3609,记账凭证!$J$4:$J$3609,$B87,记账凭证!$E$4:$E$3609,"应付账款"),2))</f>
        <v/>
      </c>
      <c r="I87" s="27" t="str">
        <f>IF($B87="","",ROUND(SUMIFS(记账凭证!$H$4:$H$3609,记账凭证!$J$4:$J$3609,$B87,记账凭证!$E$4:$E$3609,"应付账款"),2))</f>
        <v/>
      </c>
      <c r="J87" s="27" t="str">
        <f t="shared" si="7"/>
        <v/>
      </c>
      <c r="K87" s="27" t="str">
        <f t="shared" si="8"/>
        <v/>
      </c>
      <c r="L87" s="89" t="str">
        <f t="shared" si="9"/>
        <v/>
      </c>
      <c r="M87" s="91"/>
    </row>
    <row r="88" spans="1:13">
      <c r="A88" s="89" t="str">
        <f t="shared" si="5"/>
        <v/>
      </c>
      <c r="B88" s="86" t="str">
        <f>IFERROR(INDEX(_自动清单!$E$4:$E$253,ROW()-4),"")</f>
        <v/>
      </c>
      <c r="C88" s="90"/>
      <c r="D88" s="27" t="str">
        <f>IF($B88="","",ROUND(SUMIFS(进销存对接!$G$4:$G$305,进销存对接!$D$4:$D$305,"客户应收",进销存对接!$C$4:$C$305,$B88),2))</f>
        <v/>
      </c>
      <c r="E88" s="27" t="str">
        <f>IF($B88="","",ROUND(SUMIFS(资金日记账!$H$4:$H$603,资金日记账!$E$4:$E$603,$B88,资金日记账!$K$4:$K$603,"应收账款"),2))</f>
        <v/>
      </c>
      <c r="F88" s="27" t="str">
        <f t="shared" si="6"/>
        <v/>
      </c>
      <c r="G88" s="90"/>
      <c r="H88" s="27" t="str">
        <f>IF($B88="","",ROUND(SUMIFS(进销存对接!$F$4:$F$305,进销存对接!$D$4:$D$305,"客户应收",进销存对接!$C$4:$C$305,$B88)+SUMIFS(记账凭证!$I$4:$I$3609,记账凭证!$J$4:$J$3609,$B88,记账凭证!$E$4:$E$3609,"应付账款"),2))</f>
        <v/>
      </c>
      <c r="I88" s="27" t="str">
        <f>IF($B88="","",ROUND(SUMIFS(记账凭证!$H$4:$H$3609,记账凭证!$J$4:$J$3609,$B88,记账凭证!$E$4:$E$3609,"应付账款"),2))</f>
        <v/>
      </c>
      <c r="J88" s="27" t="str">
        <f t="shared" si="7"/>
        <v/>
      </c>
      <c r="K88" s="27" t="str">
        <f t="shared" si="8"/>
        <v/>
      </c>
      <c r="L88" s="89" t="str">
        <f t="shared" si="9"/>
        <v/>
      </c>
      <c r="M88" s="91"/>
    </row>
    <row r="89" spans="1:13">
      <c r="A89" s="89" t="str">
        <f t="shared" si="5"/>
        <v/>
      </c>
      <c r="B89" s="86" t="str">
        <f>IFERROR(INDEX(_自动清单!$E$4:$E$253,ROW()-4),"")</f>
        <v/>
      </c>
      <c r="C89" s="90"/>
      <c r="D89" s="27" t="str">
        <f>IF($B89="","",ROUND(SUMIFS(进销存对接!$G$4:$G$305,进销存对接!$D$4:$D$305,"客户应收",进销存对接!$C$4:$C$305,$B89),2))</f>
        <v/>
      </c>
      <c r="E89" s="27" t="str">
        <f>IF($B89="","",ROUND(SUMIFS(资金日记账!$H$4:$H$603,资金日记账!$E$4:$E$603,$B89,资金日记账!$K$4:$K$603,"应收账款"),2))</f>
        <v/>
      </c>
      <c r="F89" s="27" t="str">
        <f t="shared" si="6"/>
        <v/>
      </c>
      <c r="G89" s="90"/>
      <c r="H89" s="27" t="str">
        <f>IF($B89="","",ROUND(SUMIFS(进销存对接!$F$4:$F$305,进销存对接!$D$4:$D$305,"客户应收",进销存对接!$C$4:$C$305,$B89)+SUMIFS(记账凭证!$I$4:$I$3609,记账凭证!$J$4:$J$3609,$B89,记账凭证!$E$4:$E$3609,"应付账款"),2))</f>
        <v/>
      </c>
      <c r="I89" s="27" t="str">
        <f>IF($B89="","",ROUND(SUMIFS(记账凭证!$H$4:$H$3609,记账凭证!$J$4:$J$3609,$B89,记账凭证!$E$4:$E$3609,"应付账款"),2))</f>
        <v/>
      </c>
      <c r="J89" s="27" t="str">
        <f t="shared" si="7"/>
        <v/>
      </c>
      <c r="K89" s="27" t="str">
        <f t="shared" si="8"/>
        <v/>
      </c>
      <c r="L89" s="89" t="str">
        <f t="shared" si="9"/>
        <v/>
      </c>
      <c r="M89" s="91"/>
    </row>
    <row r="90" spans="1:13">
      <c r="A90" s="89" t="str">
        <f t="shared" si="5"/>
        <v/>
      </c>
      <c r="B90" s="86" t="str">
        <f>IFERROR(INDEX(_自动清单!$E$4:$E$253,ROW()-4),"")</f>
        <v/>
      </c>
      <c r="C90" s="90"/>
      <c r="D90" s="27" t="str">
        <f>IF($B90="","",ROUND(SUMIFS(进销存对接!$G$4:$G$305,进销存对接!$D$4:$D$305,"客户应收",进销存对接!$C$4:$C$305,$B90),2))</f>
        <v/>
      </c>
      <c r="E90" s="27" t="str">
        <f>IF($B90="","",ROUND(SUMIFS(资金日记账!$H$4:$H$603,资金日记账!$E$4:$E$603,$B90,资金日记账!$K$4:$K$603,"应收账款"),2))</f>
        <v/>
      </c>
      <c r="F90" s="27" t="str">
        <f t="shared" si="6"/>
        <v/>
      </c>
      <c r="G90" s="90"/>
      <c r="H90" s="27" t="str">
        <f>IF($B90="","",ROUND(SUMIFS(进销存对接!$F$4:$F$305,进销存对接!$D$4:$D$305,"客户应收",进销存对接!$C$4:$C$305,$B90)+SUMIFS(记账凭证!$I$4:$I$3609,记账凭证!$J$4:$J$3609,$B90,记账凭证!$E$4:$E$3609,"应付账款"),2))</f>
        <v/>
      </c>
      <c r="I90" s="27" t="str">
        <f>IF($B90="","",ROUND(SUMIFS(记账凭证!$H$4:$H$3609,记账凭证!$J$4:$J$3609,$B90,记账凭证!$E$4:$E$3609,"应付账款"),2))</f>
        <v/>
      </c>
      <c r="J90" s="27" t="str">
        <f t="shared" si="7"/>
        <v/>
      </c>
      <c r="K90" s="27" t="str">
        <f t="shared" si="8"/>
        <v/>
      </c>
      <c r="L90" s="89" t="str">
        <f t="shared" si="9"/>
        <v/>
      </c>
      <c r="M90" s="91"/>
    </row>
    <row r="91" spans="1:13">
      <c r="A91" s="89" t="str">
        <f t="shared" si="5"/>
        <v/>
      </c>
      <c r="B91" s="86" t="str">
        <f>IFERROR(INDEX(_自动清单!$E$4:$E$253,ROW()-4),"")</f>
        <v/>
      </c>
      <c r="C91" s="90"/>
      <c r="D91" s="27" t="str">
        <f>IF($B91="","",ROUND(SUMIFS(进销存对接!$G$4:$G$305,进销存对接!$D$4:$D$305,"客户应收",进销存对接!$C$4:$C$305,$B91),2))</f>
        <v/>
      </c>
      <c r="E91" s="27" t="str">
        <f>IF($B91="","",ROUND(SUMIFS(资金日记账!$H$4:$H$603,资金日记账!$E$4:$E$603,$B91,资金日记账!$K$4:$K$603,"应收账款"),2))</f>
        <v/>
      </c>
      <c r="F91" s="27" t="str">
        <f t="shared" si="6"/>
        <v/>
      </c>
      <c r="G91" s="90"/>
      <c r="H91" s="27" t="str">
        <f>IF($B91="","",ROUND(SUMIFS(进销存对接!$F$4:$F$305,进销存对接!$D$4:$D$305,"客户应收",进销存对接!$C$4:$C$305,$B91)+SUMIFS(记账凭证!$I$4:$I$3609,记账凭证!$J$4:$J$3609,$B91,记账凭证!$E$4:$E$3609,"应付账款"),2))</f>
        <v/>
      </c>
      <c r="I91" s="27" t="str">
        <f>IF($B91="","",ROUND(SUMIFS(记账凭证!$H$4:$H$3609,记账凭证!$J$4:$J$3609,$B91,记账凭证!$E$4:$E$3609,"应付账款"),2))</f>
        <v/>
      </c>
      <c r="J91" s="27" t="str">
        <f t="shared" si="7"/>
        <v/>
      </c>
      <c r="K91" s="27" t="str">
        <f t="shared" si="8"/>
        <v/>
      </c>
      <c r="L91" s="89" t="str">
        <f t="shared" si="9"/>
        <v/>
      </c>
      <c r="M91" s="91"/>
    </row>
    <row r="92" spans="1:13">
      <c r="A92" s="89" t="str">
        <f t="shared" si="5"/>
        <v/>
      </c>
      <c r="B92" s="86" t="str">
        <f>IFERROR(INDEX(_自动清单!$E$4:$E$253,ROW()-4),"")</f>
        <v/>
      </c>
      <c r="C92" s="90"/>
      <c r="D92" s="27" t="str">
        <f>IF($B92="","",ROUND(SUMIFS(进销存对接!$G$4:$G$305,进销存对接!$D$4:$D$305,"客户应收",进销存对接!$C$4:$C$305,$B92),2))</f>
        <v/>
      </c>
      <c r="E92" s="27" t="str">
        <f>IF($B92="","",ROUND(SUMIFS(资金日记账!$H$4:$H$603,资金日记账!$E$4:$E$603,$B92,资金日记账!$K$4:$K$603,"应收账款"),2))</f>
        <v/>
      </c>
      <c r="F92" s="27" t="str">
        <f t="shared" si="6"/>
        <v/>
      </c>
      <c r="G92" s="90"/>
      <c r="H92" s="27" t="str">
        <f>IF($B92="","",ROUND(SUMIFS(进销存对接!$F$4:$F$305,进销存对接!$D$4:$D$305,"客户应收",进销存对接!$C$4:$C$305,$B92)+SUMIFS(记账凭证!$I$4:$I$3609,记账凭证!$J$4:$J$3609,$B92,记账凭证!$E$4:$E$3609,"应付账款"),2))</f>
        <v/>
      </c>
      <c r="I92" s="27" t="str">
        <f>IF($B92="","",ROUND(SUMIFS(记账凭证!$H$4:$H$3609,记账凭证!$J$4:$J$3609,$B92,记账凭证!$E$4:$E$3609,"应付账款"),2))</f>
        <v/>
      </c>
      <c r="J92" s="27" t="str">
        <f t="shared" si="7"/>
        <v/>
      </c>
      <c r="K92" s="27" t="str">
        <f t="shared" si="8"/>
        <v/>
      </c>
      <c r="L92" s="89" t="str">
        <f t="shared" si="9"/>
        <v/>
      </c>
      <c r="M92" s="91"/>
    </row>
    <row r="93" spans="1:13">
      <c r="A93" s="89" t="str">
        <f t="shared" si="5"/>
        <v/>
      </c>
      <c r="B93" s="86" t="str">
        <f>IFERROR(INDEX(_自动清单!$E$4:$E$253,ROW()-4),"")</f>
        <v/>
      </c>
      <c r="C93" s="90"/>
      <c r="D93" s="27" t="str">
        <f>IF($B93="","",ROUND(SUMIFS(进销存对接!$G$4:$G$305,进销存对接!$D$4:$D$305,"客户应收",进销存对接!$C$4:$C$305,$B93),2))</f>
        <v/>
      </c>
      <c r="E93" s="27" t="str">
        <f>IF($B93="","",ROUND(SUMIFS(资金日记账!$H$4:$H$603,资金日记账!$E$4:$E$603,$B93,资金日记账!$K$4:$K$603,"应收账款"),2))</f>
        <v/>
      </c>
      <c r="F93" s="27" t="str">
        <f t="shared" si="6"/>
        <v/>
      </c>
      <c r="G93" s="90"/>
      <c r="H93" s="27" t="str">
        <f>IF($B93="","",ROUND(SUMIFS(进销存对接!$F$4:$F$305,进销存对接!$D$4:$D$305,"客户应收",进销存对接!$C$4:$C$305,$B93)+SUMIFS(记账凭证!$I$4:$I$3609,记账凭证!$J$4:$J$3609,$B93,记账凭证!$E$4:$E$3609,"应付账款"),2))</f>
        <v/>
      </c>
      <c r="I93" s="27" t="str">
        <f>IF($B93="","",ROUND(SUMIFS(记账凭证!$H$4:$H$3609,记账凭证!$J$4:$J$3609,$B93,记账凭证!$E$4:$E$3609,"应付账款"),2))</f>
        <v/>
      </c>
      <c r="J93" s="27" t="str">
        <f t="shared" si="7"/>
        <v/>
      </c>
      <c r="K93" s="27" t="str">
        <f t="shared" si="8"/>
        <v/>
      </c>
      <c r="L93" s="89" t="str">
        <f t="shared" si="9"/>
        <v/>
      </c>
      <c r="M93" s="91"/>
    </row>
    <row r="94" spans="1:13">
      <c r="A94" s="89" t="str">
        <f t="shared" si="5"/>
        <v/>
      </c>
      <c r="B94" s="86" t="str">
        <f>IFERROR(INDEX(_自动清单!$E$4:$E$253,ROW()-4),"")</f>
        <v/>
      </c>
      <c r="C94" s="90"/>
      <c r="D94" s="27" t="str">
        <f>IF($B94="","",ROUND(SUMIFS(进销存对接!$G$4:$G$305,进销存对接!$D$4:$D$305,"客户应收",进销存对接!$C$4:$C$305,$B94),2))</f>
        <v/>
      </c>
      <c r="E94" s="27" t="str">
        <f>IF($B94="","",ROUND(SUMIFS(资金日记账!$H$4:$H$603,资金日记账!$E$4:$E$603,$B94,资金日记账!$K$4:$K$603,"应收账款"),2))</f>
        <v/>
      </c>
      <c r="F94" s="27" t="str">
        <f t="shared" si="6"/>
        <v/>
      </c>
      <c r="G94" s="90"/>
      <c r="H94" s="27" t="str">
        <f>IF($B94="","",ROUND(SUMIFS(进销存对接!$F$4:$F$305,进销存对接!$D$4:$D$305,"客户应收",进销存对接!$C$4:$C$305,$B94)+SUMIFS(记账凭证!$I$4:$I$3609,记账凭证!$J$4:$J$3609,$B94,记账凭证!$E$4:$E$3609,"应付账款"),2))</f>
        <v/>
      </c>
      <c r="I94" s="27" t="str">
        <f>IF($B94="","",ROUND(SUMIFS(记账凭证!$H$4:$H$3609,记账凭证!$J$4:$J$3609,$B94,记账凭证!$E$4:$E$3609,"应付账款"),2))</f>
        <v/>
      </c>
      <c r="J94" s="27" t="str">
        <f t="shared" si="7"/>
        <v/>
      </c>
      <c r="K94" s="27" t="str">
        <f t="shared" si="8"/>
        <v/>
      </c>
      <c r="L94" s="89" t="str">
        <f t="shared" si="9"/>
        <v/>
      </c>
      <c r="M94" s="91"/>
    </row>
    <row r="95" spans="1:13">
      <c r="A95" s="89" t="str">
        <f t="shared" si="5"/>
        <v/>
      </c>
      <c r="B95" s="86" t="str">
        <f>IFERROR(INDEX(_自动清单!$E$4:$E$253,ROW()-4),"")</f>
        <v/>
      </c>
      <c r="C95" s="90"/>
      <c r="D95" s="27" t="str">
        <f>IF($B95="","",ROUND(SUMIFS(进销存对接!$G$4:$G$305,进销存对接!$D$4:$D$305,"客户应收",进销存对接!$C$4:$C$305,$B95),2))</f>
        <v/>
      </c>
      <c r="E95" s="27" t="str">
        <f>IF($B95="","",ROUND(SUMIFS(资金日记账!$H$4:$H$603,资金日记账!$E$4:$E$603,$B95,资金日记账!$K$4:$K$603,"应收账款"),2))</f>
        <v/>
      </c>
      <c r="F95" s="27" t="str">
        <f t="shared" si="6"/>
        <v/>
      </c>
      <c r="G95" s="90"/>
      <c r="H95" s="27" t="str">
        <f>IF($B95="","",ROUND(SUMIFS(进销存对接!$F$4:$F$305,进销存对接!$D$4:$D$305,"客户应收",进销存对接!$C$4:$C$305,$B95)+SUMIFS(记账凭证!$I$4:$I$3609,记账凭证!$J$4:$J$3609,$B95,记账凭证!$E$4:$E$3609,"应付账款"),2))</f>
        <v/>
      </c>
      <c r="I95" s="27" t="str">
        <f>IF($B95="","",ROUND(SUMIFS(记账凭证!$H$4:$H$3609,记账凭证!$J$4:$J$3609,$B95,记账凭证!$E$4:$E$3609,"应付账款"),2))</f>
        <v/>
      </c>
      <c r="J95" s="27" t="str">
        <f t="shared" si="7"/>
        <v/>
      </c>
      <c r="K95" s="27" t="str">
        <f t="shared" si="8"/>
        <v/>
      </c>
      <c r="L95" s="89" t="str">
        <f t="shared" si="9"/>
        <v/>
      </c>
      <c r="M95" s="91"/>
    </row>
    <row r="96" spans="1:13">
      <c r="A96" s="89" t="str">
        <f t="shared" si="5"/>
        <v/>
      </c>
      <c r="B96" s="86" t="str">
        <f>IFERROR(INDEX(_自动清单!$E$4:$E$253,ROW()-4),"")</f>
        <v/>
      </c>
      <c r="C96" s="90"/>
      <c r="D96" s="27" t="str">
        <f>IF($B96="","",ROUND(SUMIFS(进销存对接!$G$4:$G$305,进销存对接!$D$4:$D$305,"客户应收",进销存对接!$C$4:$C$305,$B96),2))</f>
        <v/>
      </c>
      <c r="E96" s="27" t="str">
        <f>IF($B96="","",ROUND(SUMIFS(资金日记账!$H$4:$H$603,资金日记账!$E$4:$E$603,$B96,资金日记账!$K$4:$K$603,"应收账款"),2))</f>
        <v/>
      </c>
      <c r="F96" s="27" t="str">
        <f t="shared" si="6"/>
        <v/>
      </c>
      <c r="G96" s="90"/>
      <c r="H96" s="27" t="str">
        <f>IF($B96="","",ROUND(SUMIFS(进销存对接!$F$4:$F$305,进销存对接!$D$4:$D$305,"客户应收",进销存对接!$C$4:$C$305,$B96)+SUMIFS(记账凭证!$I$4:$I$3609,记账凭证!$J$4:$J$3609,$B96,记账凭证!$E$4:$E$3609,"应付账款"),2))</f>
        <v/>
      </c>
      <c r="I96" s="27" t="str">
        <f>IF($B96="","",ROUND(SUMIFS(记账凭证!$H$4:$H$3609,记账凭证!$J$4:$J$3609,$B96,记账凭证!$E$4:$E$3609,"应付账款"),2))</f>
        <v/>
      </c>
      <c r="J96" s="27" t="str">
        <f t="shared" si="7"/>
        <v/>
      </c>
      <c r="K96" s="27" t="str">
        <f t="shared" si="8"/>
        <v/>
      </c>
      <c r="L96" s="89" t="str">
        <f t="shared" si="9"/>
        <v/>
      </c>
      <c r="M96" s="91"/>
    </row>
    <row r="97" spans="1:13">
      <c r="A97" s="89" t="str">
        <f t="shared" si="5"/>
        <v/>
      </c>
      <c r="B97" s="86" t="str">
        <f>IFERROR(INDEX(_自动清单!$E$4:$E$253,ROW()-4),"")</f>
        <v/>
      </c>
      <c r="C97" s="90"/>
      <c r="D97" s="27" t="str">
        <f>IF($B97="","",ROUND(SUMIFS(进销存对接!$G$4:$G$305,进销存对接!$D$4:$D$305,"客户应收",进销存对接!$C$4:$C$305,$B97),2))</f>
        <v/>
      </c>
      <c r="E97" s="27" t="str">
        <f>IF($B97="","",ROUND(SUMIFS(资金日记账!$H$4:$H$603,资金日记账!$E$4:$E$603,$B97,资金日记账!$K$4:$K$603,"应收账款"),2))</f>
        <v/>
      </c>
      <c r="F97" s="27" t="str">
        <f t="shared" si="6"/>
        <v/>
      </c>
      <c r="G97" s="90"/>
      <c r="H97" s="27" t="str">
        <f>IF($B97="","",ROUND(SUMIFS(进销存对接!$F$4:$F$305,进销存对接!$D$4:$D$305,"客户应收",进销存对接!$C$4:$C$305,$B97)+SUMIFS(记账凭证!$I$4:$I$3609,记账凭证!$J$4:$J$3609,$B97,记账凭证!$E$4:$E$3609,"应付账款"),2))</f>
        <v/>
      </c>
      <c r="I97" s="27" t="str">
        <f>IF($B97="","",ROUND(SUMIFS(记账凭证!$H$4:$H$3609,记账凭证!$J$4:$J$3609,$B97,记账凭证!$E$4:$E$3609,"应付账款"),2))</f>
        <v/>
      </c>
      <c r="J97" s="27" t="str">
        <f t="shared" si="7"/>
        <v/>
      </c>
      <c r="K97" s="27" t="str">
        <f t="shared" si="8"/>
        <v/>
      </c>
      <c r="L97" s="89" t="str">
        <f t="shared" si="9"/>
        <v/>
      </c>
      <c r="M97" s="91"/>
    </row>
    <row r="98" spans="1:13">
      <c r="A98" s="89" t="str">
        <f t="shared" si="5"/>
        <v/>
      </c>
      <c r="B98" s="86" t="str">
        <f>IFERROR(INDEX(_自动清单!$E$4:$E$253,ROW()-4),"")</f>
        <v/>
      </c>
      <c r="C98" s="90"/>
      <c r="D98" s="27" t="str">
        <f>IF($B98="","",ROUND(SUMIFS(进销存对接!$G$4:$G$305,进销存对接!$D$4:$D$305,"客户应收",进销存对接!$C$4:$C$305,$B98),2))</f>
        <v/>
      </c>
      <c r="E98" s="27" t="str">
        <f>IF($B98="","",ROUND(SUMIFS(资金日记账!$H$4:$H$603,资金日记账!$E$4:$E$603,$B98,资金日记账!$K$4:$K$603,"应收账款"),2))</f>
        <v/>
      </c>
      <c r="F98" s="27" t="str">
        <f t="shared" si="6"/>
        <v/>
      </c>
      <c r="G98" s="90"/>
      <c r="H98" s="27" t="str">
        <f>IF($B98="","",ROUND(SUMIFS(进销存对接!$F$4:$F$305,进销存对接!$D$4:$D$305,"客户应收",进销存对接!$C$4:$C$305,$B98)+SUMIFS(记账凭证!$I$4:$I$3609,记账凭证!$J$4:$J$3609,$B98,记账凭证!$E$4:$E$3609,"应付账款"),2))</f>
        <v/>
      </c>
      <c r="I98" s="27" t="str">
        <f>IF($B98="","",ROUND(SUMIFS(记账凭证!$H$4:$H$3609,记账凭证!$J$4:$J$3609,$B98,记账凭证!$E$4:$E$3609,"应付账款"),2))</f>
        <v/>
      </c>
      <c r="J98" s="27" t="str">
        <f t="shared" si="7"/>
        <v/>
      </c>
      <c r="K98" s="27" t="str">
        <f t="shared" si="8"/>
        <v/>
      </c>
      <c r="L98" s="89" t="str">
        <f t="shared" si="9"/>
        <v/>
      </c>
      <c r="M98" s="91"/>
    </row>
    <row r="99" spans="1:13">
      <c r="A99" s="89" t="str">
        <f t="shared" si="5"/>
        <v/>
      </c>
      <c r="B99" s="86" t="str">
        <f>IFERROR(INDEX(_自动清单!$E$4:$E$253,ROW()-4),"")</f>
        <v/>
      </c>
      <c r="C99" s="90"/>
      <c r="D99" s="27" t="str">
        <f>IF($B99="","",ROUND(SUMIFS(进销存对接!$G$4:$G$305,进销存对接!$D$4:$D$305,"客户应收",进销存对接!$C$4:$C$305,$B99),2))</f>
        <v/>
      </c>
      <c r="E99" s="27" t="str">
        <f>IF($B99="","",ROUND(SUMIFS(资金日记账!$H$4:$H$603,资金日记账!$E$4:$E$603,$B99,资金日记账!$K$4:$K$603,"应收账款"),2))</f>
        <v/>
      </c>
      <c r="F99" s="27" t="str">
        <f t="shared" si="6"/>
        <v/>
      </c>
      <c r="G99" s="90"/>
      <c r="H99" s="27" t="str">
        <f>IF($B99="","",ROUND(SUMIFS(进销存对接!$F$4:$F$305,进销存对接!$D$4:$D$305,"客户应收",进销存对接!$C$4:$C$305,$B99)+SUMIFS(记账凭证!$I$4:$I$3609,记账凭证!$J$4:$J$3609,$B99,记账凭证!$E$4:$E$3609,"应付账款"),2))</f>
        <v/>
      </c>
      <c r="I99" s="27" t="str">
        <f>IF($B99="","",ROUND(SUMIFS(记账凭证!$H$4:$H$3609,记账凭证!$J$4:$J$3609,$B99,记账凭证!$E$4:$E$3609,"应付账款"),2))</f>
        <v/>
      </c>
      <c r="J99" s="27" t="str">
        <f t="shared" si="7"/>
        <v/>
      </c>
      <c r="K99" s="27" t="str">
        <f t="shared" si="8"/>
        <v/>
      </c>
      <c r="L99" s="89" t="str">
        <f t="shared" si="9"/>
        <v/>
      </c>
      <c r="M99" s="91"/>
    </row>
    <row r="100" spans="1:13">
      <c r="A100" s="89" t="str">
        <f t="shared" si="5"/>
        <v/>
      </c>
      <c r="B100" s="86" t="str">
        <f>IFERROR(INDEX(_自动清单!$E$4:$E$253,ROW()-4),"")</f>
        <v/>
      </c>
      <c r="C100" s="90"/>
      <c r="D100" s="27" t="str">
        <f>IF($B100="","",ROUND(SUMIFS(进销存对接!$G$4:$G$305,进销存对接!$D$4:$D$305,"客户应收",进销存对接!$C$4:$C$305,$B100),2))</f>
        <v/>
      </c>
      <c r="E100" s="27" t="str">
        <f>IF($B100="","",ROUND(SUMIFS(资金日记账!$H$4:$H$603,资金日记账!$E$4:$E$603,$B100,资金日记账!$K$4:$K$603,"应收账款"),2))</f>
        <v/>
      </c>
      <c r="F100" s="27" t="str">
        <f t="shared" si="6"/>
        <v/>
      </c>
      <c r="G100" s="90"/>
      <c r="H100" s="27" t="str">
        <f>IF($B100="","",ROUND(SUMIFS(进销存对接!$F$4:$F$305,进销存对接!$D$4:$D$305,"客户应收",进销存对接!$C$4:$C$305,$B100)+SUMIFS(记账凭证!$I$4:$I$3609,记账凭证!$J$4:$J$3609,$B100,记账凭证!$E$4:$E$3609,"应付账款"),2))</f>
        <v/>
      </c>
      <c r="I100" s="27" t="str">
        <f>IF($B100="","",ROUND(SUMIFS(记账凭证!$H$4:$H$3609,记账凭证!$J$4:$J$3609,$B100,记账凭证!$E$4:$E$3609,"应付账款"),2))</f>
        <v/>
      </c>
      <c r="J100" s="27" t="str">
        <f t="shared" si="7"/>
        <v/>
      </c>
      <c r="K100" s="27" t="str">
        <f t="shared" si="8"/>
        <v/>
      </c>
      <c r="L100" s="89" t="str">
        <f t="shared" si="9"/>
        <v/>
      </c>
      <c r="M100" s="91"/>
    </row>
    <row r="101" spans="1:13">
      <c r="A101" s="89" t="str">
        <f t="shared" si="5"/>
        <v/>
      </c>
      <c r="B101" s="86" t="str">
        <f>IFERROR(INDEX(_自动清单!$E$4:$E$253,ROW()-4),"")</f>
        <v/>
      </c>
      <c r="C101" s="90"/>
      <c r="D101" s="27" t="str">
        <f>IF($B101="","",ROUND(SUMIFS(进销存对接!$G$4:$G$305,进销存对接!$D$4:$D$305,"客户应收",进销存对接!$C$4:$C$305,$B101),2))</f>
        <v/>
      </c>
      <c r="E101" s="27" t="str">
        <f>IF($B101="","",ROUND(SUMIFS(资金日记账!$H$4:$H$603,资金日记账!$E$4:$E$603,$B101,资金日记账!$K$4:$K$603,"应收账款"),2))</f>
        <v/>
      </c>
      <c r="F101" s="27" t="str">
        <f t="shared" si="6"/>
        <v/>
      </c>
      <c r="G101" s="90"/>
      <c r="H101" s="27" t="str">
        <f>IF($B101="","",ROUND(SUMIFS(进销存对接!$F$4:$F$305,进销存对接!$D$4:$D$305,"客户应收",进销存对接!$C$4:$C$305,$B101)+SUMIFS(记账凭证!$I$4:$I$3609,记账凭证!$J$4:$J$3609,$B101,记账凭证!$E$4:$E$3609,"应付账款"),2))</f>
        <v/>
      </c>
      <c r="I101" s="27" t="str">
        <f>IF($B101="","",ROUND(SUMIFS(记账凭证!$H$4:$H$3609,记账凭证!$J$4:$J$3609,$B101,记账凭证!$E$4:$E$3609,"应付账款"),2))</f>
        <v/>
      </c>
      <c r="J101" s="27" t="str">
        <f t="shared" si="7"/>
        <v/>
      </c>
      <c r="K101" s="27" t="str">
        <f t="shared" si="8"/>
        <v/>
      </c>
      <c r="L101" s="89" t="str">
        <f t="shared" si="9"/>
        <v/>
      </c>
      <c r="M101" s="91"/>
    </row>
    <row r="102" spans="1:13">
      <c r="A102" s="89" t="str">
        <f t="shared" si="5"/>
        <v/>
      </c>
      <c r="B102" s="86" t="str">
        <f>IFERROR(INDEX(_自动清单!$E$4:$E$253,ROW()-4),"")</f>
        <v/>
      </c>
      <c r="C102" s="90"/>
      <c r="D102" s="27" t="str">
        <f>IF($B102="","",ROUND(SUMIFS(进销存对接!$G$4:$G$305,进销存对接!$D$4:$D$305,"客户应收",进销存对接!$C$4:$C$305,$B102),2))</f>
        <v/>
      </c>
      <c r="E102" s="27" t="str">
        <f>IF($B102="","",ROUND(SUMIFS(资金日记账!$H$4:$H$603,资金日记账!$E$4:$E$603,$B102,资金日记账!$K$4:$K$603,"应收账款"),2))</f>
        <v/>
      </c>
      <c r="F102" s="27" t="str">
        <f t="shared" si="6"/>
        <v/>
      </c>
      <c r="G102" s="90"/>
      <c r="H102" s="27" t="str">
        <f>IF($B102="","",ROUND(SUMIFS(进销存对接!$F$4:$F$305,进销存对接!$D$4:$D$305,"客户应收",进销存对接!$C$4:$C$305,$B102)+SUMIFS(记账凭证!$I$4:$I$3609,记账凭证!$J$4:$J$3609,$B102,记账凭证!$E$4:$E$3609,"应付账款"),2))</f>
        <v/>
      </c>
      <c r="I102" s="27" t="str">
        <f>IF($B102="","",ROUND(SUMIFS(记账凭证!$H$4:$H$3609,记账凭证!$J$4:$J$3609,$B102,记账凭证!$E$4:$E$3609,"应付账款"),2))</f>
        <v/>
      </c>
      <c r="J102" s="27" t="str">
        <f t="shared" si="7"/>
        <v/>
      </c>
      <c r="K102" s="27" t="str">
        <f t="shared" si="8"/>
        <v/>
      </c>
      <c r="L102" s="89" t="str">
        <f t="shared" si="9"/>
        <v/>
      </c>
      <c r="M102" s="91"/>
    </row>
    <row r="103" spans="1:13">
      <c r="A103" s="89" t="str">
        <f t="shared" si="5"/>
        <v/>
      </c>
      <c r="B103" s="86" t="str">
        <f>IFERROR(INDEX(_自动清单!$E$4:$E$253,ROW()-4),"")</f>
        <v/>
      </c>
      <c r="C103" s="90"/>
      <c r="D103" s="27" t="str">
        <f>IF($B103="","",ROUND(SUMIFS(进销存对接!$G$4:$G$305,进销存对接!$D$4:$D$305,"客户应收",进销存对接!$C$4:$C$305,$B103),2))</f>
        <v/>
      </c>
      <c r="E103" s="27" t="str">
        <f>IF($B103="","",ROUND(SUMIFS(资金日记账!$H$4:$H$603,资金日记账!$E$4:$E$603,$B103,资金日记账!$K$4:$K$603,"应收账款"),2))</f>
        <v/>
      </c>
      <c r="F103" s="27" t="str">
        <f t="shared" si="6"/>
        <v/>
      </c>
      <c r="G103" s="90"/>
      <c r="H103" s="27" t="str">
        <f>IF($B103="","",ROUND(SUMIFS(进销存对接!$F$4:$F$305,进销存对接!$D$4:$D$305,"客户应收",进销存对接!$C$4:$C$305,$B103)+SUMIFS(记账凭证!$I$4:$I$3609,记账凭证!$J$4:$J$3609,$B103,记账凭证!$E$4:$E$3609,"应付账款"),2))</f>
        <v/>
      </c>
      <c r="I103" s="27" t="str">
        <f>IF($B103="","",ROUND(SUMIFS(记账凭证!$H$4:$H$3609,记账凭证!$J$4:$J$3609,$B103,记账凭证!$E$4:$E$3609,"应付账款"),2))</f>
        <v/>
      </c>
      <c r="J103" s="27" t="str">
        <f t="shared" si="7"/>
        <v/>
      </c>
      <c r="K103" s="27" t="str">
        <f t="shared" si="8"/>
        <v/>
      </c>
      <c r="L103" s="89" t="str">
        <f t="shared" si="9"/>
        <v/>
      </c>
      <c r="M103" s="91"/>
    </row>
    <row r="104" spans="1:13">
      <c r="A104" s="89" t="str">
        <f t="shared" si="5"/>
        <v/>
      </c>
      <c r="B104" s="86" t="str">
        <f>IFERROR(INDEX(_自动清单!$E$4:$E$253,ROW()-4),"")</f>
        <v/>
      </c>
      <c r="C104" s="90"/>
      <c r="D104" s="27" t="str">
        <f>IF($B104="","",ROUND(SUMIFS(进销存对接!$G$4:$G$305,进销存对接!$D$4:$D$305,"客户应收",进销存对接!$C$4:$C$305,$B104),2))</f>
        <v/>
      </c>
      <c r="E104" s="27" t="str">
        <f>IF($B104="","",ROUND(SUMIFS(资金日记账!$H$4:$H$603,资金日记账!$E$4:$E$603,$B104,资金日记账!$K$4:$K$603,"应收账款"),2))</f>
        <v/>
      </c>
      <c r="F104" s="27" t="str">
        <f t="shared" si="6"/>
        <v/>
      </c>
      <c r="G104" s="90"/>
      <c r="H104" s="27" t="str">
        <f>IF($B104="","",ROUND(SUMIFS(进销存对接!$F$4:$F$305,进销存对接!$D$4:$D$305,"客户应收",进销存对接!$C$4:$C$305,$B104)+SUMIFS(记账凭证!$I$4:$I$3609,记账凭证!$J$4:$J$3609,$B104,记账凭证!$E$4:$E$3609,"应付账款"),2))</f>
        <v/>
      </c>
      <c r="I104" s="27" t="str">
        <f>IF($B104="","",ROUND(SUMIFS(记账凭证!$H$4:$H$3609,记账凭证!$J$4:$J$3609,$B104,记账凭证!$E$4:$E$3609,"应付账款"),2))</f>
        <v/>
      </c>
      <c r="J104" s="27" t="str">
        <f t="shared" si="7"/>
        <v/>
      </c>
      <c r="K104" s="27" t="str">
        <f t="shared" si="8"/>
        <v/>
      </c>
      <c r="L104" s="89" t="str">
        <f t="shared" si="9"/>
        <v/>
      </c>
      <c r="M104" s="91"/>
    </row>
    <row r="105" spans="1:13">
      <c r="A105" s="89" t="str">
        <f t="shared" si="5"/>
        <v/>
      </c>
      <c r="B105" s="86" t="str">
        <f>IFERROR(INDEX(_自动清单!$E$4:$E$253,ROW()-4),"")</f>
        <v/>
      </c>
      <c r="C105" s="90"/>
      <c r="D105" s="27" t="str">
        <f>IF($B105="","",ROUND(SUMIFS(进销存对接!$G$4:$G$305,进销存对接!$D$4:$D$305,"客户应收",进销存对接!$C$4:$C$305,$B105),2))</f>
        <v/>
      </c>
      <c r="E105" s="27" t="str">
        <f>IF($B105="","",ROUND(SUMIFS(资金日记账!$H$4:$H$603,资金日记账!$E$4:$E$603,$B105,资金日记账!$K$4:$K$603,"应收账款"),2))</f>
        <v/>
      </c>
      <c r="F105" s="27" t="str">
        <f t="shared" si="6"/>
        <v/>
      </c>
      <c r="G105" s="90"/>
      <c r="H105" s="27" t="str">
        <f>IF($B105="","",ROUND(SUMIFS(进销存对接!$F$4:$F$305,进销存对接!$D$4:$D$305,"客户应收",进销存对接!$C$4:$C$305,$B105)+SUMIFS(记账凭证!$I$4:$I$3609,记账凭证!$J$4:$J$3609,$B105,记账凭证!$E$4:$E$3609,"应付账款"),2))</f>
        <v/>
      </c>
      <c r="I105" s="27" t="str">
        <f>IF($B105="","",ROUND(SUMIFS(记账凭证!$H$4:$H$3609,记账凭证!$J$4:$J$3609,$B105,记账凭证!$E$4:$E$3609,"应付账款"),2))</f>
        <v/>
      </c>
      <c r="J105" s="27" t="str">
        <f t="shared" si="7"/>
        <v/>
      </c>
      <c r="K105" s="27" t="str">
        <f t="shared" si="8"/>
        <v/>
      </c>
      <c r="L105" s="89" t="str">
        <f t="shared" si="9"/>
        <v/>
      </c>
      <c r="M105" s="91"/>
    </row>
    <row r="106" spans="1:13">
      <c r="A106" s="89" t="str">
        <f t="shared" si="5"/>
        <v/>
      </c>
      <c r="B106" s="86" t="str">
        <f>IFERROR(INDEX(_自动清单!$E$4:$E$253,ROW()-4),"")</f>
        <v/>
      </c>
      <c r="C106" s="90"/>
      <c r="D106" s="27" t="str">
        <f>IF($B106="","",ROUND(SUMIFS(进销存对接!$G$4:$G$305,进销存对接!$D$4:$D$305,"客户应收",进销存对接!$C$4:$C$305,$B106),2))</f>
        <v/>
      </c>
      <c r="E106" s="27" t="str">
        <f>IF($B106="","",ROUND(SUMIFS(资金日记账!$H$4:$H$603,资金日记账!$E$4:$E$603,$B106,资金日记账!$K$4:$K$603,"应收账款"),2))</f>
        <v/>
      </c>
      <c r="F106" s="27" t="str">
        <f t="shared" si="6"/>
        <v/>
      </c>
      <c r="G106" s="90"/>
      <c r="H106" s="27" t="str">
        <f>IF($B106="","",ROUND(SUMIFS(进销存对接!$F$4:$F$305,进销存对接!$D$4:$D$305,"客户应收",进销存对接!$C$4:$C$305,$B106)+SUMIFS(记账凭证!$I$4:$I$3609,记账凭证!$J$4:$J$3609,$B106,记账凭证!$E$4:$E$3609,"应付账款"),2))</f>
        <v/>
      </c>
      <c r="I106" s="27" t="str">
        <f>IF($B106="","",ROUND(SUMIFS(记账凭证!$H$4:$H$3609,记账凭证!$J$4:$J$3609,$B106,记账凭证!$E$4:$E$3609,"应付账款"),2))</f>
        <v/>
      </c>
      <c r="J106" s="27" t="str">
        <f t="shared" si="7"/>
        <v/>
      </c>
      <c r="K106" s="27" t="str">
        <f t="shared" si="8"/>
        <v/>
      </c>
      <c r="L106" s="89" t="str">
        <f t="shared" si="9"/>
        <v/>
      </c>
      <c r="M106" s="91"/>
    </row>
    <row r="107" spans="1:13">
      <c r="A107" s="89" t="str">
        <f t="shared" si="5"/>
        <v/>
      </c>
      <c r="B107" s="86" t="str">
        <f>IFERROR(INDEX(_自动清单!$E$4:$E$253,ROW()-4),"")</f>
        <v/>
      </c>
      <c r="C107" s="90"/>
      <c r="D107" s="27" t="str">
        <f>IF($B107="","",ROUND(SUMIFS(进销存对接!$G$4:$G$305,进销存对接!$D$4:$D$305,"客户应收",进销存对接!$C$4:$C$305,$B107),2))</f>
        <v/>
      </c>
      <c r="E107" s="27" t="str">
        <f>IF($B107="","",ROUND(SUMIFS(资金日记账!$H$4:$H$603,资金日记账!$E$4:$E$603,$B107,资金日记账!$K$4:$K$603,"应收账款"),2))</f>
        <v/>
      </c>
      <c r="F107" s="27" t="str">
        <f t="shared" si="6"/>
        <v/>
      </c>
      <c r="G107" s="90"/>
      <c r="H107" s="27" t="str">
        <f>IF($B107="","",ROUND(SUMIFS(进销存对接!$F$4:$F$305,进销存对接!$D$4:$D$305,"客户应收",进销存对接!$C$4:$C$305,$B107)+SUMIFS(记账凭证!$I$4:$I$3609,记账凭证!$J$4:$J$3609,$B107,记账凭证!$E$4:$E$3609,"应付账款"),2))</f>
        <v/>
      </c>
      <c r="I107" s="27" t="str">
        <f>IF($B107="","",ROUND(SUMIFS(记账凭证!$H$4:$H$3609,记账凭证!$J$4:$J$3609,$B107,记账凭证!$E$4:$E$3609,"应付账款"),2))</f>
        <v/>
      </c>
      <c r="J107" s="27" t="str">
        <f t="shared" si="7"/>
        <v/>
      </c>
      <c r="K107" s="27" t="str">
        <f t="shared" si="8"/>
        <v/>
      </c>
      <c r="L107" s="89" t="str">
        <f t="shared" si="9"/>
        <v/>
      </c>
      <c r="M107" s="91"/>
    </row>
    <row r="108" spans="1:13">
      <c r="A108" s="89" t="str">
        <f t="shared" si="5"/>
        <v/>
      </c>
      <c r="B108" s="86" t="str">
        <f>IFERROR(INDEX(_自动清单!$E$4:$E$253,ROW()-4),"")</f>
        <v/>
      </c>
      <c r="C108" s="90"/>
      <c r="D108" s="27" t="str">
        <f>IF($B108="","",ROUND(SUMIFS(进销存对接!$G$4:$G$305,进销存对接!$D$4:$D$305,"客户应收",进销存对接!$C$4:$C$305,$B108),2))</f>
        <v/>
      </c>
      <c r="E108" s="27" t="str">
        <f>IF($B108="","",ROUND(SUMIFS(资金日记账!$H$4:$H$603,资金日记账!$E$4:$E$603,$B108,资金日记账!$K$4:$K$603,"应收账款"),2))</f>
        <v/>
      </c>
      <c r="F108" s="27" t="str">
        <f t="shared" si="6"/>
        <v/>
      </c>
      <c r="G108" s="90"/>
      <c r="H108" s="27" t="str">
        <f>IF($B108="","",ROUND(SUMIFS(进销存对接!$F$4:$F$305,进销存对接!$D$4:$D$305,"客户应收",进销存对接!$C$4:$C$305,$B108)+SUMIFS(记账凭证!$I$4:$I$3609,记账凭证!$J$4:$J$3609,$B108,记账凭证!$E$4:$E$3609,"应付账款"),2))</f>
        <v/>
      </c>
      <c r="I108" s="27" t="str">
        <f>IF($B108="","",ROUND(SUMIFS(记账凭证!$H$4:$H$3609,记账凭证!$J$4:$J$3609,$B108,记账凭证!$E$4:$E$3609,"应付账款"),2))</f>
        <v/>
      </c>
      <c r="J108" s="27" t="str">
        <f t="shared" si="7"/>
        <v/>
      </c>
      <c r="K108" s="27" t="str">
        <f t="shared" si="8"/>
        <v/>
      </c>
      <c r="L108" s="89" t="str">
        <f t="shared" si="9"/>
        <v/>
      </c>
      <c r="M108" s="91"/>
    </row>
    <row r="109" spans="1:13">
      <c r="A109" s="89" t="str">
        <f t="shared" si="5"/>
        <v/>
      </c>
      <c r="B109" s="86" t="str">
        <f>IFERROR(INDEX(_自动清单!$E$4:$E$253,ROW()-4),"")</f>
        <v/>
      </c>
      <c r="C109" s="90"/>
      <c r="D109" s="27" t="str">
        <f>IF($B109="","",ROUND(SUMIFS(进销存对接!$G$4:$G$305,进销存对接!$D$4:$D$305,"客户应收",进销存对接!$C$4:$C$305,$B109),2))</f>
        <v/>
      </c>
      <c r="E109" s="27" t="str">
        <f>IF($B109="","",ROUND(SUMIFS(资金日记账!$H$4:$H$603,资金日记账!$E$4:$E$603,$B109,资金日记账!$K$4:$K$603,"应收账款"),2))</f>
        <v/>
      </c>
      <c r="F109" s="27" t="str">
        <f t="shared" si="6"/>
        <v/>
      </c>
      <c r="G109" s="90"/>
      <c r="H109" s="27" t="str">
        <f>IF($B109="","",ROUND(SUMIFS(进销存对接!$F$4:$F$305,进销存对接!$D$4:$D$305,"客户应收",进销存对接!$C$4:$C$305,$B109)+SUMIFS(记账凭证!$I$4:$I$3609,记账凭证!$J$4:$J$3609,$B109,记账凭证!$E$4:$E$3609,"应付账款"),2))</f>
        <v/>
      </c>
      <c r="I109" s="27" t="str">
        <f>IF($B109="","",ROUND(SUMIFS(记账凭证!$H$4:$H$3609,记账凭证!$J$4:$J$3609,$B109,记账凭证!$E$4:$E$3609,"应付账款"),2))</f>
        <v/>
      </c>
      <c r="J109" s="27" t="str">
        <f t="shared" si="7"/>
        <v/>
      </c>
      <c r="K109" s="27" t="str">
        <f t="shared" si="8"/>
        <v/>
      </c>
      <c r="L109" s="89" t="str">
        <f t="shared" si="9"/>
        <v/>
      </c>
      <c r="M109" s="91"/>
    </row>
    <row r="110" spans="1:13">
      <c r="A110" s="89" t="str">
        <f t="shared" si="5"/>
        <v/>
      </c>
      <c r="B110" s="86" t="str">
        <f>IFERROR(INDEX(_自动清单!$E$4:$E$253,ROW()-4),"")</f>
        <v/>
      </c>
      <c r="C110" s="90"/>
      <c r="D110" s="27" t="str">
        <f>IF($B110="","",ROUND(SUMIFS(进销存对接!$G$4:$G$305,进销存对接!$D$4:$D$305,"客户应收",进销存对接!$C$4:$C$305,$B110),2))</f>
        <v/>
      </c>
      <c r="E110" s="27" t="str">
        <f>IF($B110="","",ROUND(SUMIFS(资金日记账!$H$4:$H$603,资金日记账!$E$4:$E$603,$B110,资金日记账!$K$4:$K$603,"应收账款"),2))</f>
        <v/>
      </c>
      <c r="F110" s="27" t="str">
        <f t="shared" si="6"/>
        <v/>
      </c>
      <c r="G110" s="90"/>
      <c r="H110" s="27" t="str">
        <f>IF($B110="","",ROUND(SUMIFS(进销存对接!$F$4:$F$305,进销存对接!$D$4:$D$305,"客户应收",进销存对接!$C$4:$C$305,$B110)+SUMIFS(记账凭证!$I$4:$I$3609,记账凭证!$J$4:$J$3609,$B110,记账凭证!$E$4:$E$3609,"应付账款"),2))</f>
        <v/>
      </c>
      <c r="I110" s="27" t="str">
        <f>IF($B110="","",ROUND(SUMIFS(记账凭证!$H$4:$H$3609,记账凭证!$J$4:$J$3609,$B110,记账凭证!$E$4:$E$3609,"应付账款"),2))</f>
        <v/>
      </c>
      <c r="J110" s="27" t="str">
        <f t="shared" si="7"/>
        <v/>
      </c>
      <c r="K110" s="27" t="str">
        <f t="shared" si="8"/>
        <v/>
      </c>
      <c r="L110" s="89" t="str">
        <f t="shared" si="9"/>
        <v/>
      </c>
      <c r="M110" s="91"/>
    </row>
    <row r="111" spans="1:13">
      <c r="A111" s="89" t="str">
        <f t="shared" si="5"/>
        <v/>
      </c>
      <c r="B111" s="86" t="str">
        <f>IFERROR(INDEX(_自动清单!$E$4:$E$253,ROW()-4),"")</f>
        <v/>
      </c>
      <c r="C111" s="90"/>
      <c r="D111" s="27" t="str">
        <f>IF($B111="","",ROUND(SUMIFS(进销存对接!$G$4:$G$305,进销存对接!$D$4:$D$305,"客户应收",进销存对接!$C$4:$C$305,$B111),2))</f>
        <v/>
      </c>
      <c r="E111" s="27" t="str">
        <f>IF($B111="","",ROUND(SUMIFS(资金日记账!$H$4:$H$603,资金日记账!$E$4:$E$603,$B111,资金日记账!$K$4:$K$603,"应收账款"),2))</f>
        <v/>
      </c>
      <c r="F111" s="27" t="str">
        <f t="shared" si="6"/>
        <v/>
      </c>
      <c r="G111" s="90"/>
      <c r="H111" s="27" t="str">
        <f>IF($B111="","",ROUND(SUMIFS(进销存对接!$F$4:$F$305,进销存对接!$D$4:$D$305,"客户应收",进销存对接!$C$4:$C$305,$B111)+SUMIFS(记账凭证!$I$4:$I$3609,记账凭证!$J$4:$J$3609,$B111,记账凭证!$E$4:$E$3609,"应付账款"),2))</f>
        <v/>
      </c>
      <c r="I111" s="27" t="str">
        <f>IF($B111="","",ROUND(SUMIFS(记账凭证!$H$4:$H$3609,记账凭证!$J$4:$J$3609,$B111,记账凭证!$E$4:$E$3609,"应付账款"),2))</f>
        <v/>
      </c>
      <c r="J111" s="27" t="str">
        <f t="shared" si="7"/>
        <v/>
      </c>
      <c r="K111" s="27" t="str">
        <f t="shared" si="8"/>
        <v/>
      </c>
      <c r="L111" s="89" t="str">
        <f t="shared" si="9"/>
        <v/>
      </c>
      <c r="M111" s="91"/>
    </row>
    <row r="112" spans="1:13">
      <c r="A112" s="89" t="str">
        <f t="shared" si="5"/>
        <v/>
      </c>
      <c r="B112" s="86" t="str">
        <f>IFERROR(INDEX(_自动清单!$E$4:$E$253,ROW()-4),"")</f>
        <v/>
      </c>
      <c r="C112" s="90"/>
      <c r="D112" s="27" t="str">
        <f>IF($B112="","",ROUND(SUMIFS(进销存对接!$G$4:$G$305,进销存对接!$D$4:$D$305,"客户应收",进销存对接!$C$4:$C$305,$B112),2))</f>
        <v/>
      </c>
      <c r="E112" s="27" t="str">
        <f>IF($B112="","",ROUND(SUMIFS(资金日记账!$H$4:$H$603,资金日记账!$E$4:$E$603,$B112,资金日记账!$K$4:$K$603,"应收账款"),2))</f>
        <v/>
      </c>
      <c r="F112" s="27" t="str">
        <f t="shared" si="6"/>
        <v/>
      </c>
      <c r="G112" s="90"/>
      <c r="H112" s="27" t="str">
        <f>IF($B112="","",ROUND(SUMIFS(进销存对接!$F$4:$F$305,进销存对接!$D$4:$D$305,"客户应收",进销存对接!$C$4:$C$305,$B112)+SUMIFS(记账凭证!$I$4:$I$3609,记账凭证!$J$4:$J$3609,$B112,记账凭证!$E$4:$E$3609,"应付账款"),2))</f>
        <v/>
      </c>
      <c r="I112" s="27" t="str">
        <f>IF($B112="","",ROUND(SUMIFS(记账凭证!$H$4:$H$3609,记账凭证!$J$4:$J$3609,$B112,记账凭证!$E$4:$E$3609,"应付账款"),2))</f>
        <v/>
      </c>
      <c r="J112" s="27" t="str">
        <f t="shared" si="7"/>
        <v/>
      </c>
      <c r="K112" s="27" t="str">
        <f t="shared" si="8"/>
        <v/>
      </c>
      <c r="L112" s="89" t="str">
        <f t="shared" si="9"/>
        <v/>
      </c>
      <c r="M112" s="91"/>
    </row>
    <row r="113" spans="1:13">
      <c r="A113" s="89" t="str">
        <f t="shared" si="5"/>
        <v/>
      </c>
      <c r="B113" s="86" t="str">
        <f>IFERROR(INDEX(_自动清单!$E$4:$E$253,ROW()-4),"")</f>
        <v/>
      </c>
      <c r="C113" s="90"/>
      <c r="D113" s="27" t="str">
        <f>IF($B113="","",ROUND(SUMIFS(进销存对接!$G$4:$G$305,进销存对接!$D$4:$D$305,"客户应收",进销存对接!$C$4:$C$305,$B113),2))</f>
        <v/>
      </c>
      <c r="E113" s="27" t="str">
        <f>IF($B113="","",ROUND(SUMIFS(资金日记账!$H$4:$H$603,资金日记账!$E$4:$E$603,$B113,资金日记账!$K$4:$K$603,"应收账款"),2))</f>
        <v/>
      </c>
      <c r="F113" s="27" t="str">
        <f t="shared" si="6"/>
        <v/>
      </c>
      <c r="G113" s="90"/>
      <c r="H113" s="27" t="str">
        <f>IF($B113="","",ROUND(SUMIFS(进销存对接!$F$4:$F$305,进销存对接!$D$4:$D$305,"客户应收",进销存对接!$C$4:$C$305,$B113)+SUMIFS(记账凭证!$I$4:$I$3609,记账凭证!$J$4:$J$3609,$B113,记账凭证!$E$4:$E$3609,"应付账款"),2))</f>
        <v/>
      </c>
      <c r="I113" s="27" t="str">
        <f>IF($B113="","",ROUND(SUMIFS(记账凭证!$H$4:$H$3609,记账凭证!$J$4:$J$3609,$B113,记账凭证!$E$4:$E$3609,"应付账款"),2))</f>
        <v/>
      </c>
      <c r="J113" s="27" t="str">
        <f t="shared" si="7"/>
        <v/>
      </c>
      <c r="K113" s="27" t="str">
        <f t="shared" si="8"/>
        <v/>
      </c>
      <c r="L113" s="89" t="str">
        <f t="shared" si="9"/>
        <v/>
      </c>
      <c r="M113" s="91"/>
    </row>
    <row r="114" spans="1:13">
      <c r="A114" s="89" t="str">
        <f t="shared" si="5"/>
        <v/>
      </c>
      <c r="B114" s="86" t="str">
        <f>IFERROR(INDEX(_自动清单!$E$4:$E$253,ROW()-4),"")</f>
        <v/>
      </c>
      <c r="C114" s="90"/>
      <c r="D114" s="27" t="str">
        <f>IF($B114="","",ROUND(SUMIFS(进销存对接!$G$4:$G$305,进销存对接!$D$4:$D$305,"客户应收",进销存对接!$C$4:$C$305,$B114),2))</f>
        <v/>
      </c>
      <c r="E114" s="27" t="str">
        <f>IF($B114="","",ROUND(SUMIFS(资金日记账!$H$4:$H$603,资金日记账!$E$4:$E$603,$B114,资金日记账!$K$4:$K$603,"应收账款"),2))</f>
        <v/>
      </c>
      <c r="F114" s="27" t="str">
        <f t="shared" si="6"/>
        <v/>
      </c>
      <c r="G114" s="90"/>
      <c r="H114" s="27" t="str">
        <f>IF($B114="","",ROUND(SUMIFS(进销存对接!$F$4:$F$305,进销存对接!$D$4:$D$305,"客户应收",进销存对接!$C$4:$C$305,$B114)+SUMIFS(记账凭证!$I$4:$I$3609,记账凭证!$J$4:$J$3609,$B114,记账凭证!$E$4:$E$3609,"应付账款"),2))</f>
        <v/>
      </c>
      <c r="I114" s="27" t="str">
        <f>IF($B114="","",ROUND(SUMIFS(记账凭证!$H$4:$H$3609,记账凭证!$J$4:$J$3609,$B114,记账凭证!$E$4:$E$3609,"应付账款"),2))</f>
        <v/>
      </c>
      <c r="J114" s="27" t="str">
        <f t="shared" si="7"/>
        <v/>
      </c>
      <c r="K114" s="27" t="str">
        <f t="shared" si="8"/>
        <v/>
      </c>
      <c r="L114" s="89" t="str">
        <f t="shared" si="9"/>
        <v/>
      </c>
      <c r="M114" s="91"/>
    </row>
    <row r="115" spans="1:13">
      <c r="A115" s="89" t="str">
        <f t="shared" si="5"/>
        <v/>
      </c>
      <c r="B115" s="86" t="str">
        <f>IFERROR(INDEX(_自动清单!$E$4:$E$253,ROW()-4),"")</f>
        <v/>
      </c>
      <c r="C115" s="90"/>
      <c r="D115" s="27" t="str">
        <f>IF($B115="","",ROUND(SUMIFS(进销存对接!$G$4:$G$305,进销存对接!$D$4:$D$305,"客户应收",进销存对接!$C$4:$C$305,$B115),2))</f>
        <v/>
      </c>
      <c r="E115" s="27" t="str">
        <f>IF($B115="","",ROUND(SUMIFS(资金日记账!$H$4:$H$603,资金日记账!$E$4:$E$603,$B115,资金日记账!$K$4:$K$603,"应收账款"),2))</f>
        <v/>
      </c>
      <c r="F115" s="27" t="str">
        <f t="shared" si="6"/>
        <v/>
      </c>
      <c r="G115" s="90"/>
      <c r="H115" s="27" t="str">
        <f>IF($B115="","",ROUND(SUMIFS(进销存对接!$F$4:$F$305,进销存对接!$D$4:$D$305,"客户应收",进销存对接!$C$4:$C$305,$B115)+SUMIFS(记账凭证!$I$4:$I$3609,记账凭证!$J$4:$J$3609,$B115,记账凭证!$E$4:$E$3609,"应付账款"),2))</f>
        <v/>
      </c>
      <c r="I115" s="27" t="str">
        <f>IF($B115="","",ROUND(SUMIFS(记账凭证!$H$4:$H$3609,记账凭证!$J$4:$J$3609,$B115,记账凭证!$E$4:$E$3609,"应付账款"),2))</f>
        <v/>
      </c>
      <c r="J115" s="27" t="str">
        <f t="shared" si="7"/>
        <v/>
      </c>
      <c r="K115" s="27" t="str">
        <f t="shared" si="8"/>
        <v/>
      </c>
      <c r="L115" s="89" t="str">
        <f t="shared" si="9"/>
        <v/>
      </c>
      <c r="M115" s="91"/>
    </row>
    <row r="116" spans="1:13">
      <c r="A116" s="89" t="str">
        <f t="shared" si="5"/>
        <v/>
      </c>
      <c r="B116" s="86" t="str">
        <f>IFERROR(INDEX(_自动清单!$E$4:$E$253,ROW()-4),"")</f>
        <v/>
      </c>
      <c r="C116" s="90"/>
      <c r="D116" s="27" t="str">
        <f>IF($B116="","",ROUND(SUMIFS(进销存对接!$G$4:$G$305,进销存对接!$D$4:$D$305,"客户应收",进销存对接!$C$4:$C$305,$B116),2))</f>
        <v/>
      </c>
      <c r="E116" s="27" t="str">
        <f>IF($B116="","",ROUND(SUMIFS(资金日记账!$H$4:$H$603,资金日记账!$E$4:$E$603,$B116,资金日记账!$K$4:$K$603,"应收账款"),2))</f>
        <v/>
      </c>
      <c r="F116" s="27" t="str">
        <f t="shared" si="6"/>
        <v/>
      </c>
      <c r="G116" s="90"/>
      <c r="H116" s="27" t="str">
        <f>IF($B116="","",ROUND(SUMIFS(进销存对接!$F$4:$F$305,进销存对接!$D$4:$D$305,"客户应收",进销存对接!$C$4:$C$305,$B116)+SUMIFS(记账凭证!$I$4:$I$3609,记账凭证!$J$4:$J$3609,$B116,记账凭证!$E$4:$E$3609,"应付账款"),2))</f>
        <v/>
      </c>
      <c r="I116" s="27" t="str">
        <f>IF($B116="","",ROUND(SUMIFS(记账凭证!$H$4:$H$3609,记账凭证!$J$4:$J$3609,$B116,记账凭证!$E$4:$E$3609,"应付账款"),2))</f>
        <v/>
      </c>
      <c r="J116" s="27" t="str">
        <f t="shared" si="7"/>
        <v/>
      </c>
      <c r="K116" s="27" t="str">
        <f t="shared" si="8"/>
        <v/>
      </c>
      <c r="L116" s="89" t="str">
        <f t="shared" si="9"/>
        <v/>
      </c>
      <c r="M116" s="91"/>
    </row>
    <row r="117" spans="1:13">
      <c r="A117" s="89" t="str">
        <f t="shared" si="5"/>
        <v/>
      </c>
      <c r="B117" s="86" t="str">
        <f>IFERROR(INDEX(_自动清单!$E$4:$E$253,ROW()-4),"")</f>
        <v/>
      </c>
      <c r="C117" s="90"/>
      <c r="D117" s="27" t="str">
        <f>IF($B117="","",ROUND(SUMIFS(进销存对接!$G$4:$G$305,进销存对接!$D$4:$D$305,"客户应收",进销存对接!$C$4:$C$305,$B117),2))</f>
        <v/>
      </c>
      <c r="E117" s="27" t="str">
        <f>IF($B117="","",ROUND(SUMIFS(资金日记账!$H$4:$H$603,资金日记账!$E$4:$E$603,$B117,资金日记账!$K$4:$K$603,"应收账款"),2))</f>
        <v/>
      </c>
      <c r="F117" s="27" t="str">
        <f t="shared" si="6"/>
        <v/>
      </c>
      <c r="G117" s="90"/>
      <c r="H117" s="27" t="str">
        <f>IF($B117="","",ROUND(SUMIFS(进销存对接!$F$4:$F$305,进销存对接!$D$4:$D$305,"客户应收",进销存对接!$C$4:$C$305,$B117)+SUMIFS(记账凭证!$I$4:$I$3609,记账凭证!$J$4:$J$3609,$B117,记账凭证!$E$4:$E$3609,"应付账款"),2))</f>
        <v/>
      </c>
      <c r="I117" s="27" t="str">
        <f>IF($B117="","",ROUND(SUMIFS(记账凭证!$H$4:$H$3609,记账凭证!$J$4:$J$3609,$B117,记账凭证!$E$4:$E$3609,"应付账款"),2))</f>
        <v/>
      </c>
      <c r="J117" s="27" t="str">
        <f t="shared" si="7"/>
        <v/>
      </c>
      <c r="K117" s="27" t="str">
        <f t="shared" si="8"/>
        <v/>
      </c>
      <c r="L117" s="89" t="str">
        <f t="shared" si="9"/>
        <v/>
      </c>
      <c r="M117" s="91"/>
    </row>
    <row r="118" spans="1:13">
      <c r="A118" s="89" t="str">
        <f t="shared" si="5"/>
        <v/>
      </c>
      <c r="B118" s="86" t="str">
        <f>IFERROR(INDEX(_自动清单!$E$4:$E$253,ROW()-4),"")</f>
        <v/>
      </c>
      <c r="C118" s="90"/>
      <c r="D118" s="27" t="str">
        <f>IF($B118="","",ROUND(SUMIFS(进销存对接!$G$4:$G$305,进销存对接!$D$4:$D$305,"客户应收",进销存对接!$C$4:$C$305,$B118),2))</f>
        <v/>
      </c>
      <c r="E118" s="27" t="str">
        <f>IF($B118="","",ROUND(SUMIFS(资金日记账!$H$4:$H$603,资金日记账!$E$4:$E$603,$B118,资金日记账!$K$4:$K$603,"应收账款"),2))</f>
        <v/>
      </c>
      <c r="F118" s="27" t="str">
        <f t="shared" si="6"/>
        <v/>
      </c>
      <c r="G118" s="90"/>
      <c r="H118" s="27" t="str">
        <f>IF($B118="","",ROUND(SUMIFS(进销存对接!$F$4:$F$305,进销存对接!$D$4:$D$305,"客户应收",进销存对接!$C$4:$C$305,$B118)+SUMIFS(记账凭证!$I$4:$I$3609,记账凭证!$J$4:$J$3609,$B118,记账凭证!$E$4:$E$3609,"应付账款"),2))</f>
        <v/>
      </c>
      <c r="I118" s="27" t="str">
        <f>IF($B118="","",ROUND(SUMIFS(记账凭证!$H$4:$H$3609,记账凭证!$J$4:$J$3609,$B118,记账凭证!$E$4:$E$3609,"应付账款"),2))</f>
        <v/>
      </c>
      <c r="J118" s="27" t="str">
        <f t="shared" si="7"/>
        <v/>
      </c>
      <c r="K118" s="27" t="str">
        <f t="shared" si="8"/>
        <v/>
      </c>
      <c r="L118" s="89" t="str">
        <f t="shared" si="9"/>
        <v/>
      </c>
      <c r="M118" s="91"/>
    </row>
    <row r="119" spans="1:13">
      <c r="A119" s="89" t="str">
        <f t="shared" si="5"/>
        <v/>
      </c>
      <c r="B119" s="86" t="str">
        <f>IFERROR(INDEX(_自动清单!$E$4:$E$253,ROW()-4),"")</f>
        <v/>
      </c>
      <c r="C119" s="90"/>
      <c r="D119" s="27" t="str">
        <f>IF($B119="","",ROUND(SUMIFS(进销存对接!$G$4:$G$305,进销存对接!$D$4:$D$305,"客户应收",进销存对接!$C$4:$C$305,$B119),2))</f>
        <v/>
      </c>
      <c r="E119" s="27" t="str">
        <f>IF($B119="","",ROUND(SUMIFS(资金日记账!$H$4:$H$603,资金日记账!$E$4:$E$603,$B119,资金日记账!$K$4:$K$603,"应收账款"),2))</f>
        <v/>
      </c>
      <c r="F119" s="27" t="str">
        <f t="shared" si="6"/>
        <v/>
      </c>
      <c r="G119" s="90"/>
      <c r="H119" s="27" t="str">
        <f>IF($B119="","",ROUND(SUMIFS(进销存对接!$F$4:$F$305,进销存对接!$D$4:$D$305,"客户应收",进销存对接!$C$4:$C$305,$B119)+SUMIFS(记账凭证!$I$4:$I$3609,记账凭证!$J$4:$J$3609,$B119,记账凭证!$E$4:$E$3609,"应付账款"),2))</f>
        <v/>
      </c>
      <c r="I119" s="27" t="str">
        <f>IF($B119="","",ROUND(SUMIFS(记账凭证!$H$4:$H$3609,记账凭证!$J$4:$J$3609,$B119,记账凭证!$E$4:$E$3609,"应付账款"),2))</f>
        <v/>
      </c>
      <c r="J119" s="27" t="str">
        <f t="shared" si="7"/>
        <v/>
      </c>
      <c r="K119" s="27" t="str">
        <f t="shared" si="8"/>
        <v/>
      </c>
      <c r="L119" s="89" t="str">
        <f t="shared" si="9"/>
        <v/>
      </c>
      <c r="M119" s="91"/>
    </row>
    <row r="120" spans="1:13">
      <c r="A120" s="89" t="str">
        <f t="shared" si="5"/>
        <v/>
      </c>
      <c r="B120" s="86" t="str">
        <f>IFERROR(INDEX(_自动清单!$E$4:$E$253,ROW()-4),"")</f>
        <v/>
      </c>
      <c r="C120" s="90"/>
      <c r="D120" s="27" t="str">
        <f>IF($B120="","",ROUND(SUMIFS(进销存对接!$G$4:$G$305,进销存对接!$D$4:$D$305,"客户应收",进销存对接!$C$4:$C$305,$B120),2))</f>
        <v/>
      </c>
      <c r="E120" s="27" t="str">
        <f>IF($B120="","",ROUND(SUMIFS(资金日记账!$H$4:$H$603,资金日记账!$E$4:$E$603,$B120,资金日记账!$K$4:$K$603,"应收账款"),2))</f>
        <v/>
      </c>
      <c r="F120" s="27" t="str">
        <f t="shared" si="6"/>
        <v/>
      </c>
      <c r="G120" s="90"/>
      <c r="H120" s="27" t="str">
        <f>IF($B120="","",ROUND(SUMIFS(进销存对接!$F$4:$F$305,进销存对接!$D$4:$D$305,"客户应收",进销存对接!$C$4:$C$305,$B120)+SUMIFS(记账凭证!$I$4:$I$3609,记账凭证!$J$4:$J$3609,$B120,记账凭证!$E$4:$E$3609,"应付账款"),2))</f>
        <v/>
      </c>
      <c r="I120" s="27" t="str">
        <f>IF($B120="","",ROUND(SUMIFS(记账凭证!$H$4:$H$3609,记账凭证!$J$4:$J$3609,$B120,记账凭证!$E$4:$E$3609,"应付账款"),2))</f>
        <v/>
      </c>
      <c r="J120" s="27" t="str">
        <f t="shared" si="7"/>
        <v/>
      </c>
      <c r="K120" s="27" t="str">
        <f t="shared" si="8"/>
        <v/>
      </c>
      <c r="L120" s="89" t="str">
        <f t="shared" si="9"/>
        <v/>
      </c>
      <c r="M120" s="91"/>
    </row>
    <row r="121" spans="1:13">
      <c r="A121" s="89" t="str">
        <f t="shared" si="5"/>
        <v/>
      </c>
      <c r="B121" s="86" t="str">
        <f>IFERROR(INDEX(_自动清单!$E$4:$E$253,ROW()-4),"")</f>
        <v/>
      </c>
      <c r="C121" s="90"/>
      <c r="D121" s="27" t="str">
        <f>IF($B121="","",ROUND(SUMIFS(进销存对接!$G$4:$G$305,进销存对接!$D$4:$D$305,"客户应收",进销存对接!$C$4:$C$305,$B121),2))</f>
        <v/>
      </c>
      <c r="E121" s="27" t="str">
        <f>IF($B121="","",ROUND(SUMIFS(资金日记账!$H$4:$H$603,资金日记账!$E$4:$E$603,$B121,资金日记账!$K$4:$K$603,"应收账款"),2))</f>
        <v/>
      </c>
      <c r="F121" s="27" t="str">
        <f t="shared" si="6"/>
        <v/>
      </c>
      <c r="G121" s="90"/>
      <c r="H121" s="27" t="str">
        <f>IF($B121="","",ROUND(SUMIFS(进销存对接!$F$4:$F$305,进销存对接!$D$4:$D$305,"客户应收",进销存对接!$C$4:$C$305,$B121)+SUMIFS(记账凭证!$I$4:$I$3609,记账凭证!$J$4:$J$3609,$B121,记账凭证!$E$4:$E$3609,"应付账款"),2))</f>
        <v/>
      </c>
      <c r="I121" s="27" t="str">
        <f>IF($B121="","",ROUND(SUMIFS(记账凭证!$H$4:$H$3609,记账凭证!$J$4:$J$3609,$B121,记账凭证!$E$4:$E$3609,"应付账款"),2))</f>
        <v/>
      </c>
      <c r="J121" s="27" t="str">
        <f t="shared" si="7"/>
        <v/>
      </c>
      <c r="K121" s="27" t="str">
        <f t="shared" si="8"/>
        <v/>
      </c>
      <c r="L121" s="89" t="str">
        <f t="shared" si="9"/>
        <v/>
      </c>
      <c r="M121" s="91"/>
    </row>
    <row r="122" spans="1:13">
      <c r="A122" s="89" t="str">
        <f t="shared" si="5"/>
        <v/>
      </c>
      <c r="B122" s="86" t="str">
        <f>IFERROR(INDEX(_自动清单!$E$4:$E$253,ROW()-4),"")</f>
        <v/>
      </c>
      <c r="C122" s="90"/>
      <c r="D122" s="27" t="str">
        <f>IF($B122="","",ROUND(SUMIFS(进销存对接!$G$4:$G$305,进销存对接!$D$4:$D$305,"客户应收",进销存对接!$C$4:$C$305,$B122),2))</f>
        <v/>
      </c>
      <c r="E122" s="27" t="str">
        <f>IF($B122="","",ROUND(SUMIFS(资金日记账!$H$4:$H$603,资金日记账!$E$4:$E$603,$B122,资金日记账!$K$4:$K$603,"应收账款"),2))</f>
        <v/>
      </c>
      <c r="F122" s="27" t="str">
        <f t="shared" si="6"/>
        <v/>
      </c>
      <c r="G122" s="90"/>
      <c r="H122" s="27" t="str">
        <f>IF($B122="","",ROUND(SUMIFS(进销存对接!$F$4:$F$305,进销存对接!$D$4:$D$305,"客户应收",进销存对接!$C$4:$C$305,$B122)+SUMIFS(记账凭证!$I$4:$I$3609,记账凭证!$J$4:$J$3609,$B122,记账凭证!$E$4:$E$3609,"应付账款"),2))</f>
        <v/>
      </c>
      <c r="I122" s="27" t="str">
        <f>IF($B122="","",ROUND(SUMIFS(记账凭证!$H$4:$H$3609,记账凭证!$J$4:$J$3609,$B122,记账凭证!$E$4:$E$3609,"应付账款"),2))</f>
        <v/>
      </c>
      <c r="J122" s="27" t="str">
        <f t="shared" si="7"/>
        <v/>
      </c>
      <c r="K122" s="27" t="str">
        <f t="shared" si="8"/>
        <v/>
      </c>
      <c r="L122" s="89" t="str">
        <f t="shared" si="9"/>
        <v/>
      </c>
      <c r="M122" s="91"/>
    </row>
    <row r="123" spans="1:13">
      <c r="A123" s="89" t="str">
        <f t="shared" si="5"/>
        <v/>
      </c>
      <c r="B123" s="86" t="str">
        <f>IFERROR(INDEX(_自动清单!$E$4:$E$253,ROW()-4),"")</f>
        <v/>
      </c>
      <c r="C123" s="90"/>
      <c r="D123" s="27" t="str">
        <f>IF($B123="","",ROUND(SUMIFS(进销存对接!$G$4:$G$305,进销存对接!$D$4:$D$305,"客户应收",进销存对接!$C$4:$C$305,$B123),2))</f>
        <v/>
      </c>
      <c r="E123" s="27" t="str">
        <f>IF($B123="","",ROUND(SUMIFS(资金日记账!$H$4:$H$603,资金日记账!$E$4:$E$603,$B123,资金日记账!$K$4:$K$603,"应收账款"),2))</f>
        <v/>
      </c>
      <c r="F123" s="27" t="str">
        <f t="shared" si="6"/>
        <v/>
      </c>
      <c r="G123" s="90"/>
      <c r="H123" s="27" t="str">
        <f>IF($B123="","",ROUND(SUMIFS(进销存对接!$F$4:$F$305,进销存对接!$D$4:$D$305,"客户应收",进销存对接!$C$4:$C$305,$B123)+SUMIFS(记账凭证!$I$4:$I$3609,记账凭证!$J$4:$J$3609,$B123,记账凭证!$E$4:$E$3609,"应付账款"),2))</f>
        <v/>
      </c>
      <c r="I123" s="27" t="str">
        <f>IF($B123="","",ROUND(SUMIFS(记账凭证!$H$4:$H$3609,记账凭证!$J$4:$J$3609,$B123,记账凭证!$E$4:$E$3609,"应付账款"),2))</f>
        <v/>
      </c>
      <c r="J123" s="27" t="str">
        <f t="shared" si="7"/>
        <v/>
      </c>
      <c r="K123" s="27" t="str">
        <f t="shared" si="8"/>
        <v/>
      </c>
      <c r="L123" s="89" t="str">
        <f t="shared" si="9"/>
        <v/>
      </c>
      <c r="M123" s="91"/>
    </row>
    <row r="124" spans="1:13">
      <c r="A124" s="89" t="str">
        <f t="shared" si="5"/>
        <v/>
      </c>
      <c r="B124" s="86" t="str">
        <f>IFERROR(INDEX(_自动清单!$E$4:$E$253,ROW()-4),"")</f>
        <v/>
      </c>
      <c r="C124" s="90"/>
      <c r="D124" s="27" t="str">
        <f>IF($B124="","",ROUND(SUMIFS(进销存对接!$G$4:$G$305,进销存对接!$D$4:$D$305,"客户应收",进销存对接!$C$4:$C$305,$B124),2))</f>
        <v/>
      </c>
      <c r="E124" s="27" t="str">
        <f>IF($B124="","",ROUND(SUMIFS(资金日记账!$H$4:$H$603,资金日记账!$E$4:$E$603,$B124,资金日记账!$K$4:$K$603,"应收账款"),2))</f>
        <v/>
      </c>
      <c r="F124" s="27" t="str">
        <f t="shared" si="6"/>
        <v/>
      </c>
      <c r="G124" s="90"/>
      <c r="H124" s="27" t="str">
        <f>IF($B124="","",ROUND(SUMIFS(进销存对接!$F$4:$F$305,进销存对接!$D$4:$D$305,"客户应收",进销存对接!$C$4:$C$305,$B124)+SUMIFS(记账凭证!$I$4:$I$3609,记账凭证!$J$4:$J$3609,$B124,记账凭证!$E$4:$E$3609,"应付账款"),2))</f>
        <v/>
      </c>
      <c r="I124" s="27" t="str">
        <f>IF($B124="","",ROUND(SUMIFS(记账凭证!$H$4:$H$3609,记账凭证!$J$4:$J$3609,$B124,记账凭证!$E$4:$E$3609,"应付账款"),2))</f>
        <v/>
      </c>
      <c r="J124" s="27" t="str">
        <f t="shared" si="7"/>
        <v/>
      </c>
      <c r="K124" s="27" t="str">
        <f t="shared" si="8"/>
        <v/>
      </c>
      <c r="L124" s="89" t="str">
        <f t="shared" si="9"/>
        <v/>
      </c>
      <c r="M124" s="91"/>
    </row>
    <row r="125" spans="1:13">
      <c r="A125" s="89" t="str">
        <f t="shared" si="5"/>
        <v/>
      </c>
      <c r="B125" s="86" t="str">
        <f>IFERROR(INDEX(_自动清单!$E$4:$E$253,ROW()-4),"")</f>
        <v/>
      </c>
      <c r="C125" s="90"/>
      <c r="D125" s="27" t="str">
        <f>IF($B125="","",ROUND(SUMIFS(进销存对接!$G$4:$G$305,进销存对接!$D$4:$D$305,"客户应收",进销存对接!$C$4:$C$305,$B125),2))</f>
        <v/>
      </c>
      <c r="E125" s="27" t="str">
        <f>IF($B125="","",ROUND(SUMIFS(资金日记账!$H$4:$H$603,资金日记账!$E$4:$E$603,$B125,资金日记账!$K$4:$K$603,"应收账款"),2))</f>
        <v/>
      </c>
      <c r="F125" s="27" t="str">
        <f t="shared" si="6"/>
        <v/>
      </c>
      <c r="G125" s="90"/>
      <c r="H125" s="27" t="str">
        <f>IF($B125="","",ROUND(SUMIFS(进销存对接!$F$4:$F$305,进销存对接!$D$4:$D$305,"客户应收",进销存对接!$C$4:$C$305,$B125)+SUMIFS(记账凭证!$I$4:$I$3609,记账凭证!$J$4:$J$3609,$B125,记账凭证!$E$4:$E$3609,"应付账款"),2))</f>
        <v/>
      </c>
      <c r="I125" s="27" t="str">
        <f>IF($B125="","",ROUND(SUMIFS(记账凭证!$H$4:$H$3609,记账凭证!$J$4:$J$3609,$B125,记账凭证!$E$4:$E$3609,"应付账款"),2))</f>
        <v/>
      </c>
      <c r="J125" s="27" t="str">
        <f t="shared" si="7"/>
        <v/>
      </c>
      <c r="K125" s="27" t="str">
        <f t="shared" si="8"/>
        <v/>
      </c>
      <c r="L125" s="89" t="str">
        <f t="shared" si="9"/>
        <v/>
      </c>
      <c r="M125" s="91"/>
    </row>
    <row r="126" spans="1:13">
      <c r="A126" s="89" t="str">
        <f t="shared" si="5"/>
        <v/>
      </c>
      <c r="B126" s="86" t="str">
        <f>IFERROR(INDEX(_自动清单!$E$4:$E$253,ROW()-4),"")</f>
        <v/>
      </c>
      <c r="C126" s="90"/>
      <c r="D126" s="27" t="str">
        <f>IF($B126="","",ROUND(SUMIFS(进销存对接!$G$4:$G$305,进销存对接!$D$4:$D$305,"客户应收",进销存对接!$C$4:$C$305,$B126),2))</f>
        <v/>
      </c>
      <c r="E126" s="27" t="str">
        <f>IF($B126="","",ROUND(SUMIFS(资金日记账!$H$4:$H$603,资金日记账!$E$4:$E$603,$B126,资金日记账!$K$4:$K$603,"应收账款"),2))</f>
        <v/>
      </c>
      <c r="F126" s="27" t="str">
        <f t="shared" si="6"/>
        <v/>
      </c>
      <c r="G126" s="90"/>
      <c r="H126" s="27" t="str">
        <f>IF($B126="","",ROUND(SUMIFS(进销存对接!$F$4:$F$305,进销存对接!$D$4:$D$305,"客户应收",进销存对接!$C$4:$C$305,$B126)+SUMIFS(记账凭证!$I$4:$I$3609,记账凭证!$J$4:$J$3609,$B126,记账凭证!$E$4:$E$3609,"应付账款"),2))</f>
        <v/>
      </c>
      <c r="I126" s="27" t="str">
        <f>IF($B126="","",ROUND(SUMIFS(记账凭证!$H$4:$H$3609,记账凭证!$J$4:$J$3609,$B126,记账凭证!$E$4:$E$3609,"应付账款"),2))</f>
        <v/>
      </c>
      <c r="J126" s="27" t="str">
        <f t="shared" si="7"/>
        <v/>
      </c>
      <c r="K126" s="27" t="str">
        <f t="shared" si="8"/>
        <v/>
      </c>
      <c r="L126" s="89" t="str">
        <f t="shared" si="9"/>
        <v/>
      </c>
      <c r="M126" s="91"/>
    </row>
    <row r="127" spans="1:13">
      <c r="A127" s="89" t="str">
        <f t="shared" si="5"/>
        <v/>
      </c>
      <c r="B127" s="86" t="str">
        <f>IFERROR(INDEX(_自动清单!$E$4:$E$253,ROW()-4),"")</f>
        <v/>
      </c>
      <c r="C127" s="90"/>
      <c r="D127" s="27" t="str">
        <f>IF($B127="","",ROUND(SUMIFS(进销存对接!$G$4:$G$305,进销存对接!$D$4:$D$305,"客户应收",进销存对接!$C$4:$C$305,$B127),2))</f>
        <v/>
      </c>
      <c r="E127" s="27" t="str">
        <f>IF($B127="","",ROUND(SUMIFS(资金日记账!$H$4:$H$603,资金日记账!$E$4:$E$603,$B127,资金日记账!$K$4:$K$603,"应收账款"),2))</f>
        <v/>
      </c>
      <c r="F127" s="27" t="str">
        <f t="shared" si="6"/>
        <v/>
      </c>
      <c r="G127" s="90"/>
      <c r="H127" s="27" t="str">
        <f>IF($B127="","",ROUND(SUMIFS(进销存对接!$F$4:$F$305,进销存对接!$D$4:$D$305,"客户应收",进销存对接!$C$4:$C$305,$B127)+SUMIFS(记账凭证!$I$4:$I$3609,记账凭证!$J$4:$J$3609,$B127,记账凭证!$E$4:$E$3609,"应付账款"),2))</f>
        <v/>
      </c>
      <c r="I127" s="27" t="str">
        <f>IF($B127="","",ROUND(SUMIFS(记账凭证!$H$4:$H$3609,记账凭证!$J$4:$J$3609,$B127,记账凭证!$E$4:$E$3609,"应付账款"),2))</f>
        <v/>
      </c>
      <c r="J127" s="27" t="str">
        <f t="shared" si="7"/>
        <v/>
      </c>
      <c r="K127" s="27" t="str">
        <f t="shared" si="8"/>
        <v/>
      </c>
      <c r="L127" s="89" t="str">
        <f t="shared" si="9"/>
        <v/>
      </c>
      <c r="M127" s="91"/>
    </row>
    <row r="128" spans="1:13">
      <c r="A128" s="89" t="str">
        <f t="shared" si="5"/>
        <v/>
      </c>
      <c r="B128" s="86" t="str">
        <f>IFERROR(INDEX(_自动清单!$E$4:$E$253,ROW()-4),"")</f>
        <v/>
      </c>
      <c r="C128" s="90"/>
      <c r="D128" s="27" t="str">
        <f>IF($B128="","",ROUND(SUMIFS(进销存对接!$G$4:$G$305,进销存对接!$D$4:$D$305,"客户应收",进销存对接!$C$4:$C$305,$B128),2))</f>
        <v/>
      </c>
      <c r="E128" s="27" t="str">
        <f>IF($B128="","",ROUND(SUMIFS(资金日记账!$H$4:$H$603,资金日记账!$E$4:$E$603,$B128,资金日记账!$K$4:$K$603,"应收账款"),2))</f>
        <v/>
      </c>
      <c r="F128" s="27" t="str">
        <f t="shared" si="6"/>
        <v/>
      </c>
      <c r="G128" s="90"/>
      <c r="H128" s="27" t="str">
        <f>IF($B128="","",ROUND(SUMIFS(进销存对接!$F$4:$F$305,进销存对接!$D$4:$D$305,"客户应收",进销存对接!$C$4:$C$305,$B128)+SUMIFS(记账凭证!$I$4:$I$3609,记账凭证!$J$4:$J$3609,$B128,记账凭证!$E$4:$E$3609,"应付账款"),2))</f>
        <v/>
      </c>
      <c r="I128" s="27" t="str">
        <f>IF($B128="","",ROUND(SUMIFS(记账凭证!$H$4:$H$3609,记账凭证!$J$4:$J$3609,$B128,记账凭证!$E$4:$E$3609,"应付账款"),2))</f>
        <v/>
      </c>
      <c r="J128" s="27" t="str">
        <f t="shared" si="7"/>
        <v/>
      </c>
      <c r="K128" s="27" t="str">
        <f t="shared" si="8"/>
        <v/>
      </c>
      <c r="L128" s="89" t="str">
        <f t="shared" si="9"/>
        <v/>
      </c>
      <c r="M128" s="91"/>
    </row>
    <row r="129" spans="1:13">
      <c r="A129" s="89" t="str">
        <f t="shared" si="5"/>
        <v/>
      </c>
      <c r="B129" s="86" t="str">
        <f>IFERROR(INDEX(_自动清单!$E$4:$E$253,ROW()-4),"")</f>
        <v/>
      </c>
      <c r="C129" s="90"/>
      <c r="D129" s="27" t="str">
        <f>IF($B129="","",ROUND(SUMIFS(进销存对接!$G$4:$G$305,进销存对接!$D$4:$D$305,"客户应收",进销存对接!$C$4:$C$305,$B129),2))</f>
        <v/>
      </c>
      <c r="E129" s="27" t="str">
        <f>IF($B129="","",ROUND(SUMIFS(资金日记账!$H$4:$H$603,资金日记账!$E$4:$E$603,$B129,资金日记账!$K$4:$K$603,"应收账款"),2))</f>
        <v/>
      </c>
      <c r="F129" s="27" t="str">
        <f t="shared" si="6"/>
        <v/>
      </c>
      <c r="G129" s="90"/>
      <c r="H129" s="27" t="str">
        <f>IF($B129="","",ROUND(SUMIFS(进销存对接!$F$4:$F$305,进销存对接!$D$4:$D$305,"客户应收",进销存对接!$C$4:$C$305,$B129)+SUMIFS(记账凭证!$I$4:$I$3609,记账凭证!$J$4:$J$3609,$B129,记账凭证!$E$4:$E$3609,"应付账款"),2))</f>
        <v/>
      </c>
      <c r="I129" s="27" t="str">
        <f>IF($B129="","",ROUND(SUMIFS(记账凭证!$H$4:$H$3609,记账凭证!$J$4:$J$3609,$B129,记账凭证!$E$4:$E$3609,"应付账款"),2))</f>
        <v/>
      </c>
      <c r="J129" s="27" t="str">
        <f t="shared" si="7"/>
        <v/>
      </c>
      <c r="K129" s="27" t="str">
        <f t="shared" si="8"/>
        <v/>
      </c>
      <c r="L129" s="89" t="str">
        <f t="shared" si="9"/>
        <v/>
      </c>
      <c r="M129" s="91"/>
    </row>
    <row r="130" spans="1:13">
      <c r="A130" s="89" t="str">
        <f t="shared" si="5"/>
        <v/>
      </c>
      <c r="B130" s="86" t="str">
        <f>IFERROR(INDEX(_自动清单!$E$4:$E$253,ROW()-4),"")</f>
        <v/>
      </c>
      <c r="C130" s="90"/>
      <c r="D130" s="27" t="str">
        <f>IF($B130="","",ROUND(SUMIFS(进销存对接!$G$4:$G$305,进销存对接!$D$4:$D$305,"客户应收",进销存对接!$C$4:$C$305,$B130),2))</f>
        <v/>
      </c>
      <c r="E130" s="27" t="str">
        <f>IF($B130="","",ROUND(SUMIFS(资金日记账!$H$4:$H$603,资金日记账!$E$4:$E$603,$B130,资金日记账!$K$4:$K$603,"应收账款"),2))</f>
        <v/>
      </c>
      <c r="F130" s="27" t="str">
        <f t="shared" si="6"/>
        <v/>
      </c>
      <c r="G130" s="90"/>
      <c r="H130" s="27" t="str">
        <f>IF($B130="","",ROUND(SUMIFS(进销存对接!$F$4:$F$305,进销存对接!$D$4:$D$305,"客户应收",进销存对接!$C$4:$C$305,$B130)+SUMIFS(记账凭证!$I$4:$I$3609,记账凭证!$J$4:$J$3609,$B130,记账凭证!$E$4:$E$3609,"应付账款"),2))</f>
        <v/>
      </c>
      <c r="I130" s="27" t="str">
        <f>IF($B130="","",ROUND(SUMIFS(记账凭证!$H$4:$H$3609,记账凭证!$J$4:$J$3609,$B130,记账凭证!$E$4:$E$3609,"应付账款"),2))</f>
        <v/>
      </c>
      <c r="J130" s="27" t="str">
        <f t="shared" si="7"/>
        <v/>
      </c>
      <c r="K130" s="27" t="str">
        <f t="shared" si="8"/>
        <v/>
      </c>
      <c r="L130" s="89" t="str">
        <f t="shared" si="9"/>
        <v/>
      </c>
      <c r="M130" s="91"/>
    </row>
    <row r="131" spans="1:13">
      <c r="A131" s="89" t="str">
        <f t="shared" si="5"/>
        <v/>
      </c>
      <c r="B131" s="86" t="str">
        <f>IFERROR(INDEX(_自动清单!$E$4:$E$253,ROW()-4),"")</f>
        <v/>
      </c>
      <c r="C131" s="90"/>
      <c r="D131" s="27" t="str">
        <f>IF($B131="","",ROUND(SUMIFS(进销存对接!$G$4:$G$305,进销存对接!$D$4:$D$305,"客户应收",进销存对接!$C$4:$C$305,$B131),2))</f>
        <v/>
      </c>
      <c r="E131" s="27" t="str">
        <f>IF($B131="","",ROUND(SUMIFS(资金日记账!$H$4:$H$603,资金日记账!$E$4:$E$603,$B131,资金日记账!$K$4:$K$603,"应收账款"),2))</f>
        <v/>
      </c>
      <c r="F131" s="27" t="str">
        <f t="shared" si="6"/>
        <v/>
      </c>
      <c r="G131" s="90"/>
      <c r="H131" s="27" t="str">
        <f>IF($B131="","",ROUND(SUMIFS(进销存对接!$F$4:$F$305,进销存对接!$D$4:$D$305,"客户应收",进销存对接!$C$4:$C$305,$B131)+SUMIFS(记账凭证!$I$4:$I$3609,记账凭证!$J$4:$J$3609,$B131,记账凭证!$E$4:$E$3609,"应付账款"),2))</f>
        <v/>
      </c>
      <c r="I131" s="27" t="str">
        <f>IF($B131="","",ROUND(SUMIFS(记账凭证!$H$4:$H$3609,记账凭证!$J$4:$J$3609,$B131,记账凭证!$E$4:$E$3609,"应付账款"),2))</f>
        <v/>
      </c>
      <c r="J131" s="27" t="str">
        <f t="shared" si="7"/>
        <v/>
      </c>
      <c r="K131" s="27" t="str">
        <f t="shared" si="8"/>
        <v/>
      </c>
      <c r="L131" s="89" t="str">
        <f t="shared" si="9"/>
        <v/>
      </c>
      <c r="M131" s="91"/>
    </row>
    <row r="132" spans="1:13">
      <c r="A132" s="89" t="str">
        <f t="shared" si="5"/>
        <v/>
      </c>
      <c r="B132" s="86" t="str">
        <f>IFERROR(INDEX(_自动清单!$E$4:$E$253,ROW()-4),"")</f>
        <v/>
      </c>
      <c r="C132" s="90"/>
      <c r="D132" s="27" t="str">
        <f>IF($B132="","",ROUND(SUMIFS(进销存对接!$G$4:$G$305,进销存对接!$D$4:$D$305,"客户应收",进销存对接!$C$4:$C$305,$B132),2))</f>
        <v/>
      </c>
      <c r="E132" s="27" t="str">
        <f>IF($B132="","",ROUND(SUMIFS(资金日记账!$H$4:$H$603,资金日记账!$E$4:$E$603,$B132,资金日记账!$K$4:$K$603,"应收账款"),2))</f>
        <v/>
      </c>
      <c r="F132" s="27" t="str">
        <f t="shared" si="6"/>
        <v/>
      </c>
      <c r="G132" s="90"/>
      <c r="H132" s="27" t="str">
        <f>IF($B132="","",ROUND(SUMIFS(进销存对接!$F$4:$F$305,进销存对接!$D$4:$D$305,"客户应收",进销存对接!$C$4:$C$305,$B132)+SUMIFS(记账凭证!$I$4:$I$3609,记账凭证!$J$4:$J$3609,$B132,记账凭证!$E$4:$E$3609,"应付账款"),2))</f>
        <v/>
      </c>
      <c r="I132" s="27" t="str">
        <f>IF($B132="","",ROUND(SUMIFS(记账凭证!$H$4:$H$3609,记账凭证!$J$4:$J$3609,$B132,记账凭证!$E$4:$E$3609,"应付账款"),2))</f>
        <v/>
      </c>
      <c r="J132" s="27" t="str">
        <f t="shared" si="7"/>
        <v/>
      </c>
      <c r="K132" s="27" t="str">
        <f t="shared" si="8"/>
        <v/>
      </c>
      <c r="L132" s="89" t="str">
        <f t="shared" si="9"/>
        <v/>
      </c>
      <c r="M132" s="91"/>
    </row>
    <row r="133" spans="1:13">
      <c r="A133" s="89" t="str">
        <f t="shared" ref="A133:A196" si="10">IF($B133="","",ROW()-4)</f>
        <v/>
      </c>
      <c r="B133" s="86" t="str">
        <f>IFERROR(INDEX(_自动清单!$E$4:$E$253,ROW()-4),"")</f>
        <v/>
      </c>
      <c r="C133" s="90"/>
      <c r="D133" s="27" t="str">
        <f>IF($B133="","",ROUND(SUMIFS(进销存对接!$G$4:$G$305,进销存对接!$D$4:$D$305,"客户应收",进销存对接!$C$4:$C$305,$B133),2))</f>
        <v/>
      </c>
      <c r="E133" s="27" t="str">
        <f>IF($B133="","",ROUND(SUMIFS(资金日记账!$H$4:$H$603,资金日记账!$E$4:$E$603,$B133,资金日记账!$K$4:$K$603,"应收账款"),2))</f>
        <v/>
      </c>
      <c r="F133" s="27" t="str">
        <f t="shared" ref="F133:F196" si="11">IF($B133="","",ROUND(N($C133)+N($D133)-N($E133),2))</f>
        <v/>
      </c>
      <c r="G133" s="90"/>
      <c r="H133" s="27" t="str">
        <f>IF($B133="","",ROUND(SUMIFS(进销存对接!$F$4:$F$305,进销存对接!$D$4:$D$305,"客户应收",进销存对接!$C$4:$C$305,$B133)+SUMIFS(记账凭证!$I$4:$I$3609,记账凭证!$J$4:$J$3609,$B133,记账凭证!$E$4:$E$3609,"应付账款"),2))</f>
        <v/>
      </c>
      <c r="I133" s="27" t="str">
        <f>IF($B133="","",ROUND(SUMIFS(记账凭证!$H$4:$H$3609,记账凭证!$J$4:$J$3609,$B133,记账凭证!$E$4:$E$3609,"应付账款"),2))</f>
        <v/>
      </c>
      <c r="J133" s="27" t="str">
        <f t="shared" ref="J133:J196" si="12">IF($B133="","",ROUND(N($G133)+N($H133)-N($I133),2))</f>
        <v/>
      </c>
      <c r="K133" s="27" t="str">
        <f t="shared" ref="K133:K196" si="13">IF($B133="","",ROUND(N($F133)-N($J133),2))</f>
        <v/>
      </c>
      <c r="L133" s="89" t="str">
        <f t="shared" ref="L133:L196" si="14">IF($B133="","",IF(ROUND(N($K133),2)&gt;0,"对方欠款",IF(ROUND(N($K133),2)&lt;0,"我方欠款","已两清")))</f>
        <v/>
      </c>
      <c r="M133" s="91"/>
    </row>
    <row r="134" spans="1:13">
      <c r="A134" s="89" t="str">
        <f t="shared" si="10"/>
        <v/>
      </c>
      <c r="B134" s="86" t="str">
        <f>IFERROR(INDEX(_自动清单!$E$4:$E$253,ROW()-4),"")</f>
        <v/>
      </c>
      <c r="C134" s="90"/>
      <c r="D134" s="27" t="str">
        <f>IF($B134="","",ROUND(SUMIFS(进销存对接!$G$4:$G$305,进销存对接!$D$4:$D$305,"客户应收",进销存对接!$C$4:$C$305,$B134),2))</f>
        <v/>
      </c>
      <c r="E134" s="27" t="str">
        <f>IF($B134="","",ROUND(SUMIFS(资金日记账!$H$4:$H$603,资金日记账!$E$4:$E$603,$B134,资金日记账!$K$4:$K$603,"应收账款"),2))</f>
        <v/>
      </c>
      <c r="F134" s="27" t="str">
        <f t="shared" si="11"/>
        <v/>
      </c>
      <c r="G134" s="90"/>
      <c r="H134" s="27" t="str">
        <f>IF($B134="","",ROUND(SUMIFS(进销存对接!$F$4:$F$305,进销存对接!$D$4:$D$305,"客户应收",进销存对接!$C$4:$C$305,$B134)+SUMIFS(记账凭证!$I$4:$I$3609,记账凭证!$J$4:$J$3609,$B134,记账凭证!$E$4:$E$3609,"应付账款"),2))</f>
        <v/>
      </c>
      <c r="I134" s="27" t="str">
        <f>IF($B134="","",ROUND(SUMIFS(记账凭证!$H$4:$H$3609,记账凭证!$J$4:$J$3609,$B134,记账凭证!$E$4:$E$3609,"应付账款"),2))</f>
        <v/>
      </c>
      <c r="J134" s="27" t="str">
        <f t="shared" si="12"/>
        <v/>
      </c>
      <c r="K134" s="27" t="str">
        <f t="shared" si="13"/>
        <v/>
      </c>
      <c r="L134" s="89" t="str">
        <f t="shared" si="14"/>
        <v/>
      </c>
      <c r="M134" s="91"/>
    </row>
    <row r="135" spans="1:13">
      <c r="A135" s="89" t="str">
        <f t="shared" si="10"/>
        <v/>
      </c>
      <c r="B135" s="86" t="str">
        <f>IFERROR(INDEX(_自动清单!$E$4:$E$253,ROW()-4),"")</f>
        <v/>
      </c>
      <c r="C135" s="90"/>
      <c r="D135" s="27" t="str">
        <f>IF($B135="","",ROUND(SUMIFS(进销存对接!$G$4:$G$305,进销存对接!$D$4:$D$305,"客户应收",进销存对接!$C$4:$C$305,$B135),2))</f>
        <v/>
      </c>
      <c r="E135" s="27" t="str">
        <f>IF($B135="","",ROUND(SUMIFS(资金日记账!$H$4:$H$603,资金日记账!$E$4:$E$603,$B135,资金日记账!$K$4:$K$603,"应收账款"),2))</f>
        <v/>
      </c>
      <c r="F135" s="27" t="str">
        <f t="shared" si="11"/>
        <v/>
      </c>
      <c r="G135" s="90"/>
      <c r="H135" s="27" t="str">
        <f>IF($B135="","",ROUND(SUMIFS(进销存对接!$F$4:$F$305,进销存对接!$D$4:$D$305,"客户应收",进销存对接!$C$4:$C$305,$B135)+SUMIFS(记账凭证!$I$4:$I$3609,记账凭证!$J$4:$J$3609,$B135,记账凭证!$E$4:$E$3609,"应付账款"),2))</f>
        <v/>
      </c>
      <c r="I135" s="27" t="str">
        <f>IF($B135="","",ROUND(SUMIFS(记账凭证!$H$4:$H$3609,记账凭证!$J$4:$J$3609,$B135,记账凭证!$E$4:$E$3609,"应付账款"),2))</f>
        <v/>
      </c>
      <c r="J135" s="27" t="str">
        <f t="shared" si="12"/>
        <v/>
      </c>
      <c r="K135" s="27" t="str">
        <f t="shared" si="13"/>
        <v/>
      </c>
      <c r="L135" s="89" t="str">
        <f t="shared" si="14"/>
        <v/>
      </c>
      <c r="M135" s="91"/>
    </row>
    <row r="136" spans="1:13">
      <c r="A136" s="89" t="str">
        <f t="shared" si="10"/>
        <v/>
      </c>
      <c r="B136" s="86" t="str">
        <f>IFERROR(INDEX(_自动清单!$E$4:$E$253,ROW()-4),"")</f>
        <v/>
      </c>
      <c r="C136" s="90"/>
      <c r="D136" s="27" t="str">
        <f>IF($B136="","",ROUND(SUMIFS(进销存对接!$G$4:$G$305,进销存对接!$D$4:$D$305,"客户应收",进销存对接!$C$4:$C$305,$B136),2))</f>
        <v/>
      </c>
      <c r="E136" s="27" t="str">
        <f>IF($B136="","",ROUND(SUMIFS(资金日记账!$H$4:$H$603,资金日记账!$E$4:$E$603,$B136,资金日记账!$K$4:$K$603,"应收账款"),2))</f>
        <v/>
      </c>
      <c r="F136" s="27" t="str">
        <f t="shared" si="11"/>
        <v/>
      </c>
      <c r="G136" s="90"/>
      <c r="H136" s="27" t="str">
        <f>IF($B136="","",ROUND(SUMIFS(进销存对接!$F$4:$F$305,进销存对接!$D$4:$D$305,"客户应收",进销存对接!$C$4:$C$305,$B136)+SUMIFS(记账凭证!$I$4:$I$3609,记账凭证!$J$4:$J$3609,$B136,记账凭证!$E$4:$E$3609,"应付账款"),2))</f>
        <v/>
      </c>
      <c r="I136" s="27" t="str">
        <f>IF($B136="","",ROUND(SUMIFS(记账凭证!$H$4:$H$3609,记账凭证!$J$4:$J$3609,$B136,记账凭证!$E$4:$E$3609,"应付账款"),2))</f>
        <v/>
      </c>
      <c r="J136" s="27" t="str">
        <f t="shared" si="12"/>
        <v/>
      </c>
      <c r="K136" s="27" t="str">
        <f t="shared" si="13"/>
        <v/>
      </c>
      <c r="L136" s="89" t="str">
        <f t="shared" si="14"/>
        <v/>
      </c>
      <c r="M136" s="91"/>
    </row>
    <row r="137" spans="1:13">
      <c r="A137" s="89" t="str">
        <f t="shared" si="10"/>
        <v/>
      </c>
      <c r="B137" s="86" t="str">
        <f>IFERROR(INDEX(_自动清单!$E$4:$E$253,ROW()-4),"")</f>
        <v/>
      </c>
      <c r="C137" s="90"/>
      <c r="D137" s="27" t="str">
        <f>IF($B137="","",ROUND(SUMIFS(进销存对接!$G$4:$G$305,进销存对接!$D$4:$D$305,"客户应收",进销存对接!$C$4:$C$305,$B137),2))</f>
        <v/>
      </c>
      <c r="E137" s="27" t="str">
        <f>IF($B137="","",ROUND(SUMIFS(资金日记账!$H$4:$H$603,资金日记账!$E$4:$E$603,$B137,资金日记账!$K$4:$K$603,"应收账款"),2))</f>
        <v/>
      </c>
      <c r="F137" s="27" t="str">
        <f t="shared" si="11"/>
        <v/>
      </c>
      <c r="G137" s="90"/>
      <c r="H137" s="27" t="str">
        <f>IF($B137="","",ROUND(SUMIFS(进销存对接!$F$4:$F$305,进销存对接!$D$4:$D$305,"客户应收",进销存对接!$C$4:$C$305,$B137)+SUMIFS(记账凭证!$I$4:$I$3609,记账凭证!$J$4:$J$3609,$B137,记账凭证!$E$4:$E$3609,"应付账款"),2))</f>
        <v/>
      </c>
      <c r="I137" s="27" t="str">
        <f>IF($B137="","",ROUND(SUMIFS(记账凭证!$H$4:$H$3609,记账凭证!$J$4:$J$3609,$B137,记账凭证!$E$4:$E$3609,"应付账款"),2))</f>
        <v/>
      </c>
      <c r="J137" s="27" t="str">
        <f t="shared" si="12"/>
        <v/>
      </c>
      <c r="K137" s="27" t="str">
        <f t="shared" si="13"/>
        <v/>
      </c>
      <c r="L137" s="89" t="str">
        <f t="shared" si="14"/>
        <v/>
      </c>
      <c r="M137" s="91"/>
    </row>
    <row r="138" spans="1:13">
      <c r="A138" s="89" t="str">
        <f t="shared" si="10"/>
        <v/>
      </c>
      <c r="B138" s="86" t="str">
        <f>IFERROR(INDEX(_自动清单!$E$4:$E$253,ROW()-4),"")</f>
        <v/>
      </c>
      <c r="C138" s="90"/>
      <c r="D138" s="27" t="str">
        <f>IF($B138="","",ROUND(SUMIFS(进销存对接!$G$4:$G$305,进销存对接!$D$4:$D$305,"客户应收",进销存对接!$C$4:$C$305,$B138),2))</f>
        <v/>
      </c>
      <c r="E138" s="27" t="str">
        <f>IF($B138="","",ROUND(SUMIFS(资金日记账!$H$4:$H$603,资金日记账!$E$4:$E$603,$B138,资金日记账!$K$4:$K$603,"应收账款"),2))</f>
        <v/>
      </c>
      <c r="F138" s="27" t="str">
        <f t="shared" si="11"/>
        <v/>
      </c>
      <c r="G138" s="90"/>
      <c r="H138" s="27" t="str">
        <f>IF($B138="","",ROUND(SUMIFS(进销存对接!$F$4:$F$305,进销存对接!$D$4:$D$305,"客户应收",进销存对接!$C$4:$C$305,$B138)+SUMIFS(记账凭证!$I$4:$I$3609,记账凭证!$J$4:$J$3609,$B138,记账凭证!$E$4:$E$3609,"应付账款"),2))</f>
        <v/>
      </c>
      <c r="I138" s="27" t="str">
        <f>IF($B138="","",ROUND(SUMIFS(记账凭证!$H$4:$H$3609,记账凭证!$J$4:$J$3609,$B138,记账凭证!$E$4:$E$3609,"应付账款"),2))</f>
        <v/>
      </c>
      <c r="J138" s="27" t="str">
        <f t="shared" si="12"/>
        <v/>
      </c>
      <c r="K138" s="27" t="str">
        <f t="shared" si="13"/>
        <v/>
      </c>
      <c r="L138" s="89" t="str">
        <f t="shared" si="14"/>
        <v/>
      </c>
      <c r="M138" s="91"/>
    </row>
    <row r="139" spans="1:13">
      <c r="A139" s="89" t="str">
        <f t="shared" si="10"/>
        <v/>
      </c>
      <c r="B139" s="86" t="str">
        <f>IFERROR(INDEX(_自动清单!$E$4:$E$253,ROW()-4),"")</f>
        <v/>
      </c>
      <c r="C139" s="90"/>
      <c r="D139" s="27" t="str">
        <f>IF($B139="","",ROUND(SUMIFS(进销存对接!$G$4:$G$305,进销存对接!$D$4:$D$305,"客户应收",进销存对接!$C$4:$C$305,$B139),2))</f>
        <v/>
      </c>
      <c r="E139" s="27" t="str">
        <f>IF($B139="","",ROUND(SUMIFS(资金日记账!$H$4:$H$603,资金日记账!$E$4:$E$603,$B139,资金日记账!$K$4:$K$603,"应收账款"),2))</f>
        <v/>
      </c>
      <c r="F139" s="27" t="str">
        <f t="shared" si="11"/>
        <v/>
      </c>
      <c r="G139" s="90"/>
      <c r="H139" s="27" t="str">
        <f>IF($B139="","",ROUND(SUMIFS(进销存对接!$F$4:$F$305,进销存对接!$D$4:$D$305,"客户应收",进销存对接!$C$4:$C$305,$B139)+SUMIFS(记账凭证!$I$4:$I$3609,记账凭证!$J$4:$J$3609,$B139,记账凭证!$E$4:$E$3609,"应付账款"),2))</f>
        <v/>
      </c>
      <c r="I139" s="27" t="str">
        <f>IF($B139="","",ROUND(SUMIFS(记账凭证!$H$4:$H$3609,记账凭证!$J$4:$J$3609,$B139,记账凭证!$E$4:$E$3609,"应付账款"),2))</f>
        <v/>
      </c>
      <c r="J139" s="27" t="str">
        <f t="shared" si="12"/>
        <v/>
      </c>
      <c r="K139" s="27" t="str">
        <f t="shared" si="13"/>
        <v/>
      </c>
      <c r="L139" s="89" t="str">
        <f t="shared" si="14"/>
        <v/>
      </c>
      <c r="M139" s="91"/>
    </row>
    <row r="140" spans="1:13">
      <c r="A140" s="89" t="str">
        <f t="shared" si="10"/>
        <v/>
      </c>
      <c r="B140" s="86" t="str">
        <f>IFERROR(INDEX(_自动清单!$E$4:$E$253,ROW()-4),"")</f>
        <v/>
      </c>
      <c r="C140" s="90"/>
      <c r="D140" s="27" t="str">
        <f>IF($B140="","",ROUND(SUMIFS(进销存对接!$G$4:$G$305,进销存对接!$D$4:$D$305,"客户应收",进销存对接!$C$4:$C$305,$B140),2))</f>
        <v/>
      </c>
      <c r="E140" s="27" t="str">
        <f>IF($B140="","",ROUND(SUMIFS(资金日记账!$H$4:$H$603,资金日记账!$E$4:$E$603,$B140,资金日记账!$K$4:$K$603,"应收账款"),2))</f>
        <v/>
      </c>
      <c r="F140" s="27" t="str">
        <f t="shared" si="11"/>
        <v/>
      </c>
      <c r="G140" s="90"/>
      <c r="H140" s="27" t="str">
        <f>IF($B140="","",ROUND(SUMIFS(进销存对接!$F$4:$F$305,进销存对接!$D$4:$D$305,"客户应收",进销存对接!$C$4:$C$305,$B140)+SUMIFS(记账凭证!$I$4:$I$3609,记账凭证!$J$4:$J$3609,$B140,记账凭证!$E$4:$E$3609,"应付账款"),2))</f>
        <v/>
      </c>
      <c r="I140" s="27" t="str">
        <f>IF($B140="","",ROUND(SUMIFS(记账凭证!$H$4:$H$3609,记账凭证!$J$4:$J$3609,$B140,记账凭证!$E$4:$E$3609,"应付账款"),2))</f>
        <v/>
      </c>
      <c r="J140" s="27" t="str">
        <f t="shared" si="12"/>
        <v/>
      </c>
      <c r="K140" s="27" t="str">
        <f t="shared" si="13"/>
        <v/>
      </c>
      <c r="L140" s="89" t="str">
        <f t="shared" si="14"/>
        <v/>
      </c>
      <c r="M140" s="91"/>
    </row>
    <row r="141" spans="1:13">
      <c r="A141" s="89" t="str">
        <f t="shared" si="10"/>
        <v/>
      </c>
      <c r="B141" s="86" t="str">
        <f>IFERROR(INDEX(_自动清单!$E$4:$E$253,ROW()-4),"")</f>
        <v/>
      </c>
      <c r="C141" s="90"/>
      <c r="D141" s="27" t="str">
        <f>IF($B141="","",ROUND(SUMIFS(进销存对接!$G$4:$G$305,进销存对接!$D$4:$D$305,"客户应收",进销存对接!$C$4:$C$305,$B141),2))</f>
        <v/>
      </c>
      <c r="E141" s="27" t="str">
        <f>IF($B141="","",ROUND(SUMIFS(资金日记账!$H$4:$H$603,资金日记账!$E$4:$E$603,$B141,资金日记账!$K$4:$K$603,"应收账款"),2))</f>
        <v/>
      </c>
      <c r="F141" s="27" t="str">
        <f t="shared" si="11"/>
        <v/>
      </c>
      <c r="G141" s="90"/>
      <c r="H141" s="27" t="str">
        <f>IF($B141="","",ROUND(SUMIFS(进销存对接!$F$4:$F$305,进销存对接!$D$4:$D$305,"客户应收",进销存对接!$C$4:$C$305,$B141)+SUMIFS(记账凭证!$I$4:$I$3609,记账凭证!$J$4:$J$3609,$B141,记账凭证!$E$4:$E$3609,"应付账款"),2))</f>
        <v/>
      </c>
      <c r="I141" s="27" t="str">
        <f>IF($B141="","",ROUND(SUMIFS(记账凭证!$H$4:$H$3609,记账凭证!$J$4:$J$3609,$B141,记账凭证!$E$4:$E$3609,"应付账款"),2))</f>
        <v/>
      </c>
      <c r="J141" s="27" t="str">
        <f t="shared" si="12"/>
        <v/>
      </c>
      <c r="K141" s="27" t="str">
        <f t="shared" si="13"/>
        <v/>
      </c>
      <c r="L141" s="89" t="str">
        <f t="shared" si="14"/>
        <v/>
      </c>
      <c r="M141" s="91"/>
    </row>
    <row r="142" spans="1:13">
      <c r="A142" s="89" t="str">
        <f t="shared" si="10"/>
        <v/>
      </c>
      <c r="B142" s="86" t="str">
        <f>IFERROR(INDEX(_自动清单!$E$4:$E$253,ROW()-4),"")</f>
        <v/>
      </c>
      <c r="C142" s="90"/>
      <c r="D142" s="27" t="str">
        <f>IF($B142="","",ROUND(SUMIFS(进销存对接!$G$4:$G$305,进销存对接!$D$4:$D$305,"客户应收",进销存对接!$C$4:$C$305,$B142),2))</f>
        <v/>
      </c>
      <c r="E142" s="27" t="str">
        <f>IF($B142="","",ROUND(SUMIFS(资金日记账!$H$4:$H$603,资金日记账!$E$4:$E$603,$B142,资金日记账!$K$4:$K$603,"应收账款"),2))</f>
        <v/>
      </c>
      <c r="F142" s="27" t="str">
        <f t="shared" si="11"/>
        <v/>
      </c>
      <c r="G142" s="90"/>
      <c r="H142" s="27" t="str">
        <f>IF($B142="","",ROUND(SUMIFS(进销存对接!$F$4:$F$305,进销存对接!$D$4:$D$305,"客户应收",进销存对接!$C$4:$C$305,$B142)+SUMIFS(记账凭证!$I$4:$I$3609,记账凭证!$J$4:$J$3609,$B142,记账凭证!$E$4:$E$3609,"应付账款"),2))</f>
        <v/>
      </c>
      <c r="I142" s="27" t="str">
        <f>IF($B142="","",ROUND(SUMIFS(记账凭证!$H$4:$H$3609,记账凭证!$J$4:$J$3609,$B142,记账凭证!$E$4:$E$3609,"应付账款"),2))</f>
        <v/>
      </c>
      <c r="J142" s="27" t="str">
        <f t="shared" si="12"/>
        <v/>
      </c>
      <c r="K142" s="27" t="str">
        <f t="shared" si="13"/>
        <v/>
      </c>
      <c r="L142" s="89" t="str">
        <f t="shared" si="14"/>
        <v/>
      </c>
      <c r="M142" s="91"/>
    </row>
    <row r="143" spans="1:13">
      <c r="A143" s="89" t="str">
        <f t="shared" si="10"/>
        <v/>
      </c>
      <c r="B143" s="86" t="str">
        <f>IFERROR(INDEX(_自动清单!$E$4:$E$253,ROW()-4),"")</f>
        <v/>
      </c>
      <c r="C143" s="90"/>
      <c r="D143" s="27" t="str">
        <f>IF($B143="","",ROUND(SUMIFS(进销存对接!$G$4:$G$305,进销存对接!$D$4:$D$305,"客户应收",进销存对接!$C$4:$C$305,$B143),2))</f>
        <v/>
      </c>
      <c r="E143" s="27" t="str">
        <f>IF($B143="","",ROUND(SUMIFS(资金日记账!$H$4:$H$603,资金日记账!$E$4:$E$603,$B143,资金日记账!$K$4:$K$603,"应收账款"),2))</f>
        <v/>
      </c>
      <c r="F143" s="27" t="str">
        <f t="shared" si="11"/>
        <v/>
      </c>
      <c r="G143" s="90"/>
      <c r="H143" s="27" t="str">
        <f>IF($B143="","",ROUND(SUMIFS(进销存对接!$F$4:$F$305,进销存对接!$D$4:$D$305,"客户应收",进销存对接!$C$4:$C$305,$B143)+SUMIFS(记账凭证!$I$4:$I$3609,记账凭证!$J$4:$J$3609,$B143,记账凭证!$E$4:$E$3609,"应付账款"),2))</f>
        <v/>
      </c>
      <c r="I143" s="27" t="str">
        <f>IF($B143="","",ROUND(SUMIFS(记账凭证!$H$4:$H$3609,记账凭证!$J$4:$J$3609,$B143,记账凭证!$E$4:$E$3609,"应付账款"),2))</f>
        <v/>
      </c>
      <c r="J143" s="27" t="str">
        <f t="shared" si="12"/>
        <v/>
      </c>
      <c r="K143" s="27" t="str">
        <f t="shared" si="13"/>
        <v/>
      </c>
      <c r="L143" s="89" t="str">
        <f t="shared" si="14"/>
        <v/>
      </c>
      <c r="M143" s="91"/>
    </row>
    <row r="144" spans="1:13">
      <c r="A144" s="89" t="str">
        <f t="shared" si="10"/>
        <v/>
      </c>
      <c r="B144" s="86" t="str">
        <f>IFERROR(INDEX(_自动清单!$E$4:$E$253,ROW()-4),"")</f>
        <v/>
      </c>
      <c r="C144" s="90"/>
      <c r="D144" s="27" t="str">
        <f>IF($B144="","",ROUND(SUMIFS(进销存对接!$G$4:$G$305,进销存对接!$D$4:$D$305,"客户应收",进销存对接!$C$4:$C$305,$B144),2))</f>
        <v/>
      </c>
      <c r="E144" s="27" t="str">
        <f>IF($B144="","",ROUND(SUMIFS(资金日记账!$H$4:$H$603,资金日记账!$E$4:$E$603,$B144,资金日记账!$K$4:$K$603,"应收账款"),2))</f>
        <v/>
      </c>
      <c r="F144" s="27" t="str">
        <f t="shared" si="11"/>
        <v/>
      </c>
      <c r="G144" s="90"/>
      <c r="H144" s="27" t="str">
        <f>IF($B144="","",ROUND(SUMIFS(进销存对接!$F$4:$F$305,进销存对接!$D$4:$D$305,"客户应收",进销存对接!$C$4:$C$305,$B144)+SUMIFS(记账凭证!$I$4:$I$3609,记账凭证!$J$4:$J$3609,$B144,记账凭证!$E$4:$E$3609,"应付账款"),2))</f>
        <v/>
      </c>
      <c r="I144" s="27" t="str">
        <f>IF($B144="","",ROUND(SUMIFS(记账凭证!$H$4:$H$3609,记账凭证!$J$4:$J$3609,$B144,记账凭证!$E$4:$E$3609,"应付账款"),2))</f>
        <v/>
      </c>
      <c r="J144" s="27" t="str">
        <f t="shared" si="12"/>
        <v/>
      </c>
      <c r="K144" s="27" t="str">
        <f t="shared" si="13"/>
        <v/>
      </c>
      <c r="L144" s="89" t="str">
        <f t="shared" si="14"/>
        <v/>
      </c>
      <c r="M144" s="91"/>
    </row>
    <row r="145" spans="1:13">
      <c r="A145" s="89" t="str">
        <f t="shared" si="10"/>
        <v/>
      </c>
      <c r="B145" s="86" t="str">
        <f>IFERROR(INDEX(_自动清单!$E$4:$E$253,ROW()-4),"")</f>
        <v/>
      </c>
      <c r="C145" s="90"/>
      <c r="D145" s="27" t="str">
        <f>IF($B145="","",ROUND(SUMIFS(进销存对接!$G$4:$G$305,进销存对接!$D$4:$D$305,"客户应收",进销存对接!$C$4:$C$305,$B145),2))</f>
        <v/>
      </c>
      <c r="E145" s="27" t="str">
        <f>IF($B145="","",ROUND(SUMIFS(资金日记账!$H$4:$H$603,资金日记账!$E$4:$E$603,$B145,资金日记账!$K$4:$K$603,"应收账款"),2))</f>
        <v/>
      </c>
      <c r="F145" s="27" t="str">
        <f t="shared" si="11"/>
        <v/>
      </c>
      <c r="G145" s="90"/>
      <c r="H145" s="27" t="str">
        <f>IF($B145="","",ROUND(SUMIFS(进销存对接!$F$4:$F$305,进销存对接!$D$4:$D$305,"客户应收",进销存对接!$C$4:$C$305,$B145)+SUMIFS(记账凭证!$I$4:$I$3609,记账凭证!$J$4:$J$3609,$B145,记账凭证!$E$4:$E$3609,"应付账款"),2))</f>
        <v/>
      </c>
      <c r="I145" s="27" t="str">
        <f>IF($B145="","",ROUND(SUMIFS(记账凭证!$H$4:$H$3609,记账凭证!$J$4:$J$3609,$B145,记账凭证!$E$4:$E$3609,"应付账款"),2))</f>
        <v/>
      </c>
      <c r="J145" s="27" t="str">
        <f t="shared" si="12"/>
        <v/>
      </c>
      <c r="K145" s="27" t="str">
        <f t="shared" si="13"/>
        <v/>
      </c>
      <c r="L145" s="89" t="str">
        <f t="shared" si="14"/>
        <v/>
      </c>
      <c r="M145" s="91"/>
    </row>
    <row r="146" spans="1:13">
      <c r="A146" s="89" t="str">
        <f t="shared" si="10"/>
        <v/>
      </c>
      <c r="B146" s="86" t="str">
        <f>IFERROR(INDEX(_自动清单!$E$4:$E$253,ROW()-4),"")</f>
        <v/>
      </c>
      <c r="C146" s="90"/>
      <c r="D146" s="27" t="str">
        <f>IF($B146="","",ROUND(SUMIFS(进销存对接!$G$4:$G$305,进销存对接!$D$4:$D$305,"客户应收",进销存对接!$C$4:$C$305,$B146),2))</f>
        <v/>
      </c>
      <c r="E146" s="27" t="str">
        <f>IF($B146="","",ROUND(SUMIFS(资金日记账!$H$4:$H$603,资金日记账!$E$4:$E$603,$B146,资金日记账!$K$4:$K$603,"应收账款"),2))</f>
        <v/>
      </c>
      <c r="F146" s="27" t="str">
        <f t="shared" si="11"/>
        <v/>
      </c>
      <c r="G146" s="90"/>
      <c r="H146" s="27" t="str">
        <f>IF($B146="","",ROUND(SUMIFS(进销存对接!$F$4:$F$305,进销存对接!$D$4:$D$305,"客户应收",进销存对接!$C$4:$C$305,$B146)+SUMIFS(记账凭证!$I$4:$I$3609,记账凭证!$J$4:$J$3609,$B146,记账凭证!$E$4:$E$3609,"应付账款"),2))</f>
        <v/>
      </c>
      <c r="I146" s="27" t="str">
        <f>IF($B146="","",ROUND(SUMIFS(记账凭证!$H$4:$H$3609,记账凭证!$J$4:$J$3609,$B146,记账凭证!$E$4:$E$3609,"应付账款"),2))</f>
        <v/>
      </c>
      <c r="J146" s="27" t="str">
        <f t="shared" si="12"/>
        <v/>
      </c>
      <c r="K146" s="27" t="str">
        <f t="shared" si="13"/>
        <v/>
      </c>
      <c r="L146" s="89" t="str">
        <f t="shared" si="14"/>
        <v/>
      </c>
      <c r="M146" s="91"/>
    </row>
    <row r="147" spans="1:13">
      <c r="A147" s="89" t="str">
        <f t="shared" si="10"/>
        <v/>
      </c>
      <c r="B147" s="86" t="str">
        <f>IFERROR(INDEX(_自动清单!$E$4:$E$253,ROW()-4),"")</f>
        <v/>
      </c>
      <c r="C147" s="90"/>
      <c r="D147" s="27" t="str">
        <f>IF($B147="","",ROUND(SUMIFS(进销存对接!$G$4:$G$305,进销存对接!$D$4:$D$305,"客户应收",进销存对接!$C$4:$C$305,$B147),2))</f>
        <v/>
      </c>
      <c r="E147" s="27" t="str">
        <f>IF($B147="","",ROUND(SUMIFS(资金日记账!$H$4:$H$603,资金日记账!$E$4:$E$603,$B147,资金日记账!$K$4:$K$603,"应收账款"),2))</f>
        <v/>
      </c>
      <c r="F147" s="27" t="str">
        <f t="shared" si="11"/>
        <v/>
      </c>
      <c r="G147" s="90"/>
      <c r="H147" s="27" t="str">
        <f>IF($B147="","",ROUND(SUMIFS(进销存对接!$F$4:$F$305,进销存对接!$D$4:$D$305,"客户应收",进销存对接!$C$4:$C$305,$B147)+SUMIFS(记账凭证!$I$4:$I$3609,记账凭证!$J$4:$J$3609,$B147,记账凭证!$E$4:$E$3609,"应付账款"),2))</f>
        <v/>
      </c>
      <c r="I147" s="27" t="str">
        <f>IF($B147="","",ROUND(SUMIFS(记账凭证!$H$4:$H$3609,记账凭证!$J$4:$J$3609,$B147,记账凭证!$E$4:$E$3609,"应付账款"),2))</f>
        <v/>
      </c>
      <c r="J147" s="27" t="str">
        <f t="shared" si="12"/>
        <v/>
      </c>
      <c r="K147" s="27" t="str">
        <f t="shared" si="13"/>
        <v/>
      </c>
      <c r="L147" s="89" t="str">
        <f t="shared" si="14"/>
        <v/>
      </c>
      <c r="M147" s="91"/>
    </row>
    <row r="148" spans="1:13">
      <c r="A148" s="89" t="str">
        <f t="shared" si="10"/>
        <v/>
      </c>
      <c r="B148" s="86" t="str">
        <f>IFERROR(INDEX(_自动清单!$E$4:$E$253,ROW()-4),"")</f>
        <v/>
      </c>
      <c r="C148" s="90"/>
      <c r="D148" s="27" t="str">
        <f>IF($B148="","",ROUND(SUMIFS(进销存对接!$G$4:$G$305,进销存对接!$D$4:$D$305,"客户应收",进销存对接!$C$4:$C$305,$B148),2))</f>
        <v/>
      </c>
      <c r="E148" s="27" t="str">
        <f>IF($B148="","",ROUND(SUMIFS(资金日记账!$H$4:$H$603,资金日记账!$E$4:$E$603,$B148,资金日记账!$K$4:$K$603,"应收账款"),2))</f>
        <v/>
      </c>
      <c r="F148" s="27" t="str">
        <f t="shared" si="11"/>
        <v/>
      </c>
      <c r="G148" s="90"/>
      <c r="H148" s="27" t="str">
        <f>IF($B148="","",ROUND(SUMIFS(进销存对接!$F$4:$F$305,进销存对接!$D$4:$D$305,"客户应收",进销存对接!$C$4:$C$305,$B148)+SUMIFS(记账凭证!$I$4:$I$3609,记账凭证!$J$4:$J$3609,$B148,记账凭证!$E$4:$E$3609,"应付账款"),2))</f>
        <v/>
      </c>
      <c r="I148" s="27" t="str">
        <f>IF($B148="","",ROUND(SUMIFS(记账凭证!$H$4:$H$3609,记账凭证!$J$4:$J$3609,$B148,记账凭证!$E$4:$E$3609,"应付账款"),2))</f>
        <v/>
      </c>
      <c r="J148" s="27" t="str">
        <f t="shared" si="12"/>
        <v/>
      </c>
      <c r="K148" s="27" t="str">
        <f t="shared" si="13"/>
        <v/>
      </c>
      <c r="L148" s="89" t="str">
        <f t="shared" si="14"/>
        <v/>
      </c>
      <c r="M148" s="91"/>
    </row>
    <row r="149" spans="1:13">
      <c r="A149" s="89" t="str">
        <f t="shared" si="10"/>
        <v/>
      </c>
      <c r="B149" s="86" t="str">
        <f>IFERROR(INDEX(_自动清单!$E$4:$E$253,ROW()-4),"")</f>
        <v/>
      </c>
      <c r="C149" s="90"/>
      <c r="D149" s="27" t="str">
        <f>IF($B149="","",ROUND(SUMIFS(进销存对接!$G$4:$G$305,进销存对接!$D$4:$D$305,"客户应收",进销存对接!$C$4:$C$305,$B149),2))</f>
        <v/>
      </c>
      <c r="E149" s="27" t="str">
        <f>IF($B149="","",ROUND(SUMIFS(资金日记账!$H$4:$H$603,资金日记账!$E$4:$E$603,$B149,资金日记账!$K$4:$K$603,"应收账款"),2))</f>
        <v/>
      </c>
      <c r="F149" s="27" t="str">
        <f t="shared" si="11"/>
        <v/>
      </c>
      <c r="G149" s="90"/>
      <c r="H149" s="27" t="str">
        <f>IF($B149="","",ROUND(SUMIFS(进销存对接!$F$4:$F$305,进销存对接!$D$4:$D$305,"客户应收",进销存对接!$C$4:$C$305,$B149)+SUMIFS(记账凭证!$I$4:$I$3609,记账凭证!$J$4:$J$3609,$B149,记账凭证!$E$4:$E$3609,"应付账款"),2))</f>
        <v/>
      </c>
      <c r="I149" s="27" t="str">
        <f>IF($B149="","",ROUND(SUMIFS(记账凭证!$H$4:$H$3609,记账凭证!$J$4:$J$3609,$B149,记账凭证!$E$4:$E$3609,"应付账款"),2))</f>
        <v/>
      </c>
      <c r="J149" s="27" t="str">
        <f t="shared" si="12"/>
        <v/>
      </c>
      <c r="K149" s="27" t="str">
        <f t="shared" si="13"/>
        <v/>
      </c>
      <c r="L149" s="89" t="str">
        <f t="shared" si="14"/>
        <v/>
      </c>
      <c r="M149" s="91"/>
    </row>
    <row r="150" spans="1:13">
      <c r="A150" s="89" t="str">
        <f t="shared" si="10"/>
        <v/>
      </c>
      <c r="B150" s="86" t="str">
        <f>IFERROR(INDEX(_自动清单!$E$4:$E$253,ROW()-4),"")</f>
        <v/>
      </c>
      <c r="C150" s="90"/>
      <c r="D150" s="27" t="str">
        <f>IF($B150="","",ROUND(SUMIFS(进销存对接!$G$4:$G$305,进销存对接!$D$4:$D$305,"客户应收",进销存对接!$C$4:$C$305,$B150),2))</f>
        <v/>
      </c>
      <c r="E150" s="27" t="str">
        <f>IF($B150="","",ROUND(SUMIFS(资金日记账!$H$4:$H$603,资金日记账!$E$4:$E$603,$B150,资金日记账!$K$4:$K$603,"应收账款"),2))</f>
        <v/>
      </c>
      <c r="F150" s="27" t="str">
        <f t="shared" si="11"/>
        <v/>
      </c>
      <c r="G150" s="90"/>
      <c r="H150" s="27" t="str">
        <f>IF($B150="","",ROUND(SUMIFS(进销存对接!$F$4:$F$305,进销存对接!$D$4:$D$305,"客户应收",进销存对接!$C$4:$C$305,$B150)+SUMIFS(记账凭证!$I$4:$I$3609,记账凭证!$J$4:$J$3609,$B150,记账凭证!$E$4:$E$3609,"应付账款"),2))</f>
        <v/>
      </c>
      <c r="I150" s="27" t="str">
        <f>IF($B150="","",ROUND(SUMIFS(记账凭证!$H$4:$H$3609,记账凭证!$J$4:$J$3609,$B150,记账凭证!$E$4:$E$3609,"应付账款"),2))</f>
        <v/>
      </c>
      <c r="J150" s="27" t="str">
        <f t="shared" si="12"/>
        <v/>
      </c>
      <c r="K150" s="27" t="str">
        <f t="shared" si="13"/>
        <v/>
      </c>
      <c r="L150" s="89" t="str">
        <f t="shared" si="14"/>
        <v/>
      </c>
      <c r="M150" s="91"/>
    </row>
    <row r="151" spans="1:13">
      <c r="A151" s="89" t="str">
        <f t="shared" si="10"/>
        <v/>
      </c>
      <c r="B151" s="86" t="str">
        <f>IFERROR(INDEX(_自动清单!$E$4:$E$253,ROW()-4),"")</f>
        <v/>
      </c>
      <c r="C151" s="90"/>
      <c r="D151" s="27" t="str">
        <f>IF($B151="","",ROUND(SUMIFS(进销存对接!$G$4:$G$305,进销存对接!$D$4:$D$305,"客户应收",进销存对接!$C$4:$C$305,$B151),2))</f>
        <v/>
      </c>
      <c r="E151" s="27" t="str">
        <f>IF($B151="","",ROUND(SUMIFS(资金日记账!$H$4:$H$603,资金日记账!$E$4:$E$603,$B151,资金日记账!$K$4:$K$603,"应收账款"),2))</f>
        <v/>
      </c>
      <c r="F151" s="27" t="str">
        <f t="shared" si="11"/>
        <v/>
      </c>
      <c r="G151" s="90"/>
      <c r="H151" s="27" t="str">
        <f>IF($B151="","",ROUND(SUMIFS(进销存对接!$F$4:$F$305,进销存对接!$D$4:$D$305,"客户应收",进销存对接!$C$4:$C$305,$B151)+SUMIFS(记账凭证!$I$4:$I$3609,记账凭证!$J$4:$J$3609,$B151,记账凭证!$E$4:$E$3609,"应付账款"),2))</f>
        <v/>
      </c>
      <c r="I151" s="27" t="str">
        <f>IF($B151="","",ROUND(SUMIFS(记账凭证!$H$4:$H$3609,记账凭证!$J$4:$J$3609,$B151,记账凭证!$E$4:$E$3609,"应付账款"),2))</f>
        <v/>
      </c>
      <c r="J151" s="27" t="str">
        <f t="shared" si="12"/>
        <v/>
      </c>
      <c r="K151" s="27" t="str">
        <f t="shared" si="13"/>
        <v/>
      </c>
      <c r="L151" s="89" t="str">
        <f t="shared" si="14"/>
        <v/>
      </c>
      <c r="M151" s="91"/>
    </row>
    <row r="152" spans="1:13">
      <c r="A152" s="89" t="str">
        <f t="shared" si="10"/>
        <v/>
      </c>
      <c r="B152" s="86" t="str">
        <f>IFERROR(INDEX(_自动清单!$E$4:$E$253,ROW()-4),"")</f>
        <v/>
      </c>
      <c r="C152" s="90"/>
      <c r="D152" s="27" t="str">
        <f>IF($B152="","",ROUND(SUMIFS(进销存对接!$G$4:$G$305,进销存对接!$D$4:$D$305,"客户应收",进销存对接!$C$4:$C$305,$B152),2))</f>
        <v/>
      </c>
      <c r="E152" s="27" t="str">
        <f>IF($B152="","",ROUND(SUMIFS(资金日记账!$H$4:$H$603,资金日记账!$E$4:$E$603,$B152,资金日记账!$K$4:$K$603,"应收账款"),2))</f>
        <v/>
      </c>
      <c r="F152" s="27" t="str">
        <f t="shared" si="11"/>
        <v/>
      </c>
      <c r="G152" s="90"/>
      <c r="H152" s="27" t="str">
        <f>IF($B152="","",ROUND(SUMIFS(进销存对接!$F$4:$F$305,进销存对接!$D$4:$D$305,"客户应收",进销存对接!$C$4:$C$305,$B152)+SUMIFS(记账凭证!$I$4:$I$3609,记账凭证!$J$4:$J$3609,$B152,记账凭证!$E$4:$E$3609,"应付账款"),2))</f>
        <v/>
      </c>
      <c r="I152" s="27" t="str">
        <f>IF($B152="","",ROUND(SUMIFS(记账凭证!$H$4:$H$3609,记账凭证!$J$4:$J$3609,$B152,记账凭证!$E$4:$E$3609,"应付账款"),2))</f>
        <v/>
      </c>
      <c r="J152" s="27" t="str">
        <f t="shared" si="12"/>
        <v/>
      </c>
      <c r="K152" s="27" t="str">
        <f t="shared" si="13"/>
        <v/>
      </c>
      <c r="L152" s="89" t="str">
        <f t="shared" si="14"/>
        <v/>
      </c>
      <c r="M152" s="91"/>
    </row>
    <row r="153" spans="1:13">
      <c r="A153" s="89" t="str">
        <f t="shared" si="10"/>
        <v/>
      </c>
      <c r="B153" s="86" t="str">
        <f>IFERROR(INDEX(_自动清单!$E$4:$E$253,ROW()-4),"")</f>
        <v/>
      </c>
      <c r="C153" s="90"/>
      <c r="D153" s="27" t="str">
        <f>IF($B153="","",ROUND(SUMIFS(进销存对接!$G$4:$G$305,进销存对接!$D$4:$D$305,"客户应收",进销存对接!$C$4:$C$305,$B153),2))</f>
        <v/>
      </c>
      <c r="E153" s="27" t="str">
        <f>IF($B153="","",ROUND(SUMIFS(资金日记账!$H$4:$H$603,资金日记账!$E$4:$E$603,$B153,资金日记账!$K$4:$K$603,"应收账款"),2))</f>
        <v/>
      </c>
      <c r="F153" s="27" t="str">
        <f t="shared" si="11"/>
        <v/>
      </c>
      <c r="G153" s="90"/>
      <c r="H153" s="27" t="str">
        <f>IF($B153="","",ROUND(SUMIFS(进销存对接!$F$4:$F$305,进销存对接!$D$4:$D$305,"客户应收",进销存对接!$C$4:$C$305,$B153)+SUMIFS(记账凭证!$I$4:$I$3609,记账凭证!$J$4:$J$3609,$B153,记账凭证!$E$4:$E$3609,"应付账款"),2))</f>
        <v/>
      </c>
      <c r="I153" s="27" t="str">
        <f>IF($B153="","",ROUND(SUMIFS(记账凭证!$H$4:$H$3609,记账凭证!$J$4:$J$3609,$B153,记账凭证!$E$4:$E$3609,"应付账款"),2))</f>
        <v/>
      </c>
      <c r="J153" s="27" t="str">
        <f t="shared" si="12"/>
        <v/>
      </c>
      <c r="K153" s="27" t="str">
        <f t="shared" si="13"/>
        <v/>
      </c>
      <c r="L153" s="89" t="str">
        <f t="shared" si="14"/>
        <v/>
      </c>
      <c r="M153" s="91"/>
    </row>
    <row r="154" spans="1:13">
      <c r="A154" s="89" t="str">
        <f t="shared" si="10"/>
        <v/>
      </c>
      <c r="B154" s="86" t="str">
        <f>IFERROR(INDEX(_自动清单!$E$4:$E$253,ROW()-4),"")</f>
        <v/>
      </c>
      <c r="C154" s="90"/>
      <c r="D154" s="27" t="str">
        <f>IF($B154="","",ROUND(SUMIFS(进销存对接!$G$4:$G$305,进销存对接!$D$4:$D$305,"客户应收",进销存对接!$C$4:$C$305,$B154),2))</f>
        <v/>
      </c>
      <c r="E154" s="27" t="str">
        <f>IF($B154="","",ROUND(SUMIFS(资金日记账!$H$4:$H$603,资金日记账!$E$4:$E$603,$B154,资金日记账!$K$4:$K$603,"应收账款"),2))</f>
        <v/>
      </c>
      <c r="F154" s="27" t="str">
        <f t="shared" si="11"/>
        <v/>
      </c>
      <c r="G154" s="90"/>
      <c r="H154" s="27" t="str">
        <f>IF($B154="","",ROUND(SUMIFS(进销存对接!$F$4:$F$305,进销存对接!$D$4:$D$305,"客户应收",进销存对接!$C$4:$C$305,$B154)+SUMIFS(记账凭证!$I$4:$I$3609,记账凭证!$J$4:$J$3609,$B154,记账凭证!$E$4:$E$3609,"应付账款"),2))</f>
        <v/>
      </c>
      <c r="I154" s="27" t="str">
        <f>IF($B154="","",ROUND(SUMIFS(记账凭证!$H$4:$H$3609,记账凭证!$J$4:$J$3609,$B154,记账凭证!$E$4:$E$3609,"应付账款"),2))</f>
        <v/>
      </c>
      <c r="J154" s="27" t="str">
        <f t="shared" si="12"/>
        <v/>
      </c>
      <c r="K154" s="27" t="str">
        <f t="shared" si="13"/>
        <v/>
      </c>
      <c r="L154" s="89" t="str">
        <f t="shared" si="14"/>
        <v/>
      </c>
      <c r="M154" s="91"/>
    </row>
    <row r="155" spans="1:13">
      <c r="A155" s="89" t="str">
        <f t="shared" si="10"/>
        <v/>
      </c>
      <c r="B155" s="86" t="str">
        <f>IFERROR(INDEX(_自动清单!$E$4:$E$253,ROW()-4),"")</f>
        <v/>
      </c>
      <c r="C155" s="90"/>
      <c r="D155" s="27" t="str">
        <f>IF($B155="","",ROUND(SUMIFS(进销存对接!$G$4:$G$305,进销存对接!$D$4:$D$305,"客户应收",进销存对接!$C$4:$C$305,$B155),2))</f>
        <v/>
      </c>
      <c r="E155" s="27" t="str">
        <f>IF($B155="","",ROUND(SUMIFS(资金日记账!$H$4:$H$603,资金日记账!$E$4:$E$603,$B155,资金日记账!$K$4:$K$603,"应收账款"),2))</f>
        <v/>
      </c>
      <c r="F155" s="27" t="str">
        <f t="shared" si="11"/>
        <v/>
      </c>
      <c r="G155" s="90"/>
      <c r="H155" s="27" t="str">
        <f>IF($B155="","",ROUND(SUMIFS(进销存对接!$F$4:$F$305,进销存对接!$D$4:$D$305,"客户应收",进销存对接!$C$4:$C$305,$B155)+SUMIFS(记账凭证!$I$4:$I$3609,记账凭证!$J$4:$J$3609,$B155,记账凭证!$E$4:$E$3609,"应付账款"),2))</f>
        <v/>
      </c>
      <c r="I155" s="27" t="str">
        <f>IF($B155="","",ROUND(SUMIFS(记账凭证!$H$4:$H$3609,记账凭证!$J$4:$J$3609,$B155,记账凭证!$E$4:$E$3609,"应付账款"),2))</f>
        <v/>
      </c>
      <c r="J155" s="27" t="str">
        <f t="shared" si="12"/>
        <v/>
      </c>
      <c r="K155" s="27" t="str">
        <f t="shared" si="13"/>
        <v/>
      </c>
      <c r="L155" s="89" t="str">
        <f t="shared" si="14"/>
        <v/>
      </c>
      <c r="M155" s="91"/>
    </row>
    <row r="156" spans="1:13">
      <c r="A156" s="89" t="str">
        <f t="shared" si="10"/>
        <v/>
      </c>
      <c r="B156" s="86" t="str">
        <f>IFERROR(INDEX(_自动清单!$E$4:$E$253,ROW()-4),"")</f>
        <v/>
      </c>
      <c r="C156" s="90"/>
      <c r="D156" s="27" t="str">
        <f>IF($B156="","",ROUND(SUMIFS(进销存对接!$G$4:$G$305,进销存对接!$D$4:$D$305,"客户应收",进销存对接!$C$4:$C$305,$B156),2))</f>
        <v/>
      </c>
      <c r="E156" s="27" t="str">
        <f>IF($B156="","",ROUND(SUMIFS(资金日记账!$H$4:$H$603,资金日记账!$E$4:$E$603,$B156,资金日记账!$K$4:$K$603,"应收账款"),2))</f>
        <v/>
      </c>
      <c r="F156" s="27" t="str">
        <f t="shared" si="11"/>
        <v/>
      </c>
      <c r="G156" s="90"/>
      <c r="H156" s="27" t="str">
        <f>IF($B156="","",ROUND(SUMIFS(进销存对接!$F$4:$F$305,进销存对接!$D$4:$D$305,"客户应收",进销存对接!$C$4:$C$305,$B156)+SUMIFS(记账凭证!$I$4:$I$3609,记账凭证!$J$4:$J$3609,$B156,记账凭证!$E$4:$E$3609,"应付账款"),2))</f>
        <v/>
      </c>
      <c r="I156" s="27" t="str">
        <f>IF($B156="","",ROUND(SUMIFS(记账凭证!$H$4:$H$3609,记账凭证!$J$4:$J$3609,$B156,记账凭证!$E$4:$E$3609,"应付账款"),2))</f>
        <v/>
      </c>
      <c r="J156" s="27" t="str">
        <f t="shared" si="12"/>
        <v/>
      </c>
      <c r="K156" s="27" t="str">
        <f t="shared" si="13"/>
        <v/>
      </c>
      <c r="L156" s="89" t="str">
        <f t="shared" si="14"/>
        <v/>
      </c>
      <c r="M156" s="91"/>
    </row>
    <row r="157" spans="1:13">
      <c r="A157" s="89" t="str">
        <f t="shared" si="10"/>
        <v/>
      </c>
      <c r="B157" s="86" t="str">
        <f>IFERROR(INDEX(_自动清单!$E$4:$E$253,ROW()-4),"")</f>
        <v/>
      </c>
      <c r="C157" s="90"/>
      <c r="D157" s="27" t="str">
        <f>IF($B157="","",ROUND(SUMIFS(进销存对接!$G$4:$G$305,进销存对接!$D$4:$D$305,"客户应收",进销存对接!$C$4:$C$305,$B157),2))</f>
        <v/>
      </c>
      <c r="E157" s="27" t="str">
        <f>IF($B157="","",ROUND(SUMIFS(资金日记账!$H$4:$H$603,资金日记账!$E$4:$E$603,$B157,资金日记账!$K$4:$K$603,"应收账款"),2))</f>
        <v/>
      </c>
      <c r="F157" s="27" t="str">
        <f t="shared" si="11"/>
        <v/>
      </c>
      <c r="G157" s="90"/>
      <c r="H157" s="27" t="str">
        <f>IF($B157="","",ROUND(SUMIFS(进销存对接!$F$4:$F$305,进销存对接!$D$4:$D$305,"客户应收",进销存对接!$C$4:$C$305,$B157)+SUMIFS(记账凭证!$I$4:$I$3609,记账凭证!$J$4:$J$3609,$B157,记账凭证!$E$4:$E$3609,"应付账款"),2))</f>
        <v/>
      </c>
      <c r="I157" s="27" t="str">
        <f>IF($B157="","",ROUND(SUMIFS(记账凭证!$H$4:$H$3609,记账凭证!$J$4:$J$3609,$B157,记账凭证!$E$4:$E$3609,"应付账款"),2))</f>
        <v/>
      </c>
      <c r="J157" s="27" t="str">
        <f t="shared" si="12"/>
        <v/>
      </c>
      <c r="K157" s="27" t="str">
        <f t="shared" si="13"/>
        <v/>
      </c>
      <c r="L157" s="89" t="str">
        <f t="shared" si="14"/>
        <v/>
      </c>
      <c r="M157" s="91"/>
    </row>
    <row r="158" spans="1:13">
      <c r="A158" s="89" t="str">
        <f t="shared" si="10"/>
        <v/>
      </c>
      <c r="B158" s="86" t="str">
        <f>IFERROR(INDEX(_自动清单!$E$4:$E$253,ROW()-4),"")</f>
        <v/>
      </c>
      <c r="C158" s="90"/>
      <c r="D158" s="27" t="str">
        <f>IF($B158="","",ROUND(SUMIFS(进销存对接!$G$4:$G$305,进销存对接!$D$4:$D$305,"客户应收",进销存对接!$C$4:$C$305,$B158),2))</f>
        <v/>
      </c>
      <c r="E158" s="27" t="str">
        <f>IF($B158="","",ROUND(SUMIFS(资金日记账!$H$4:$H$603,资金日记账!$E$4:$E$603,$B158,资金日记账!$K$4:$K$603,"应收账款"),2))</f>
        <v/>
      </c>
      <c r="F158" s="27" t="str">
        <f t="shared" si="11"/>
        <v/>
      </c>
      <c r="G158" s="90"/>
      <c r="H158" s="27" t="str">
        <f>IF($B158="","",ROUND(SUMIFS(进销存对接!$F$4:$F$305,进销存对接!$D$4:$D$305,"客户应收",进销存对接!$C$4:$C$305,$B158)+SUMIFS(记账凭证!$I$4:$I$3609,记账凭证!$J$4:$J$3609,$B158,记账凭证!$E$4:$E$3609,"应付账款"),2))</f>
        <v/>
      </c>
      <c r="I158" s="27" t="str">
        <f>IF($B158="","",ROUND(SUMIFS(记账凭证!$H$4:$H$3609,记账凭证!$J$4:$J$3609,$B158,记账凭证!$E$4:$E$3609,"应付账款"),2))</f>
        <v/>
      </c>
      <c r="J158" s="27" t="str">
        <f t="shared" si="12"/>
        <v/>
      </c>
      <c r="K158" s="27" t="str">
        <f t="shared" si="13"/>
        <v/>
      </c>
      <c r="L158" s="89" t="str">
        <f t="shared" si="14"/>
        <v/>
      </c>
      <c r="M158" s="91"/>
    </row>
    <row r="159" spans="1:13">
      <c r="A159" s="89" t="str">
        <f t="shared" si="10"/>
        <v/>
      </c>
      <c r="B159" s="86" t="str">
        <f>IFERROR(INDEX(_自动清单!$E$4:$E$253,ROW()-4),"")</f>
        <v/>
      </c>
      <c r="C159" s="90"/>
      <c r="D159" s="27" t="str">
        <f>IF($B159="","",ROUND(SUMIFS(进销存对接!$G$4:$G$305,进销存对接!$D$4:$D$305,"客户应收",进销存对接!$C$4:$C$305,$B159),2))</f>
        <v/>
      </c>
      <c r="E159" s="27" t="str">
        <f>IF($B159="","",ROUND(SUMIFS(资金日记账!$H$4:$H$603,资金日记账!$E$4:$E$603,$B159,资金日记账!$K$4:$K$603,"应收账款"),2))</f>
        <v/>
      </c>
      <c r="F159" s="27" t="str">
        <f t="shared" si="11"/>
        <v/>
      </c>
      <c r="G159" s="90"/>
      <c r="H159" s="27" t="str">
        <f>IF($B159="","",ROUND(SUMIFS(进销存对接!$F$4:$F$305,进销存对接!$D$4:$D$305,"客户应收",进销存对接!$C$4:$C$305,$B159)+SUMIFS(记账凭证!$I$4:$I$3609,记账凭证!$J$4:$J$3609,$B159,记账凭证!$E$4:$E$3609,"应付账款"),2))</f>
        <v/>
      </c>
      <c r="I159" s="27" t="str">
        <f>IF($B159="","",ROUND(SUMIFS(记账凭证!$H$4:$H$3609,记账凭证!$J$4:$J$3609,$B159,记账凭证!$E$4:$E$3609,"应付账款"),2))</f>
        <v/>
      </c>
      <c r="J159" s="27" t="str">
        <f t="shared" si="12"/>
        <v/>
      </c>
      <c r="K159" s="27" t="str">
        <f t="shared" si="13"/>
        <v/>
      </c>
      <c r="L159" s="89" t="str">
        <f t="shared" si="14"/>
        <v/>
      </c>
      <c r="M159" s="91"/>
    </row>
    <row r="160" spans="1:13">
      <c r="A160" s="89" t="str">
        <f t="shared" si="10"/>
        <v/>
      </c>
      <c r="B160" s="86" t="str">
        <f>IFERROR(INDEX(_自动清单!$E$4:$E$253,ROW()-4),"")</f>
        <v/>
      </c>
      <c r="C160" s="90"/>
      <c r="D160" s="27" t="str">
        <f>IF($B160="","",ROUND(SUMIFS(进销存对接!$G$4:$G$305,进销存对接!$D$4:$D$305,"客户应收",进销存对接!$C$4:$C$305,$B160),2))</f>
        <v/>
      </c>
      <c r="E160" s="27" t="str">
        <f>IF($B160="","",ROUND(SUMIFS(资金日记账!$H$4:$H$603,资金日记账!$E$4:$E$603,$B160,资金日记账!$K$4:$K$603,"应收账款"),2))</f>
        <v/>
      </c>
      <c r="F160" s="27" t="str">
        <f t="shared" si="11"/>
        <v/>
      </c>
      <c r="G160" s="90"/>
      <c r="H160" s="27" t="str">
        <f>IF($B160="","",ROUND(SUMIFS(进销存对接!$F$4:$F$305,进销存对接!$D$4:$D$305,"客户应收",进销存对接!$C$4:$C$305,$B160)+SUMIFS(记账凭证!$I$4:$I$3609,记账凭证!$J$4:$J$3609,$B160,记账凭证!$E$4:$E$3609,"应付账款"),2))</f>
        <v/>
      </c>
      <c r="I160" s="27" t="str">
        <f>IF($B160="","",ROUND(SUMIFS(记账凭证!$H$4:$H$3609,记账凭证!$J$4:$J$3609,$B160,记账凭证!$E$4:$E$3609,"应付账款"),2))</f>
        <v/>
      </c>
      <c r="J160" s="27" t="str">
        <f t="shared" si="12"/>
        <v/>
      </c>
      <c r="K160" s="27" t="str">
        <f t="shared" si="13"/>
        <v/>
      </c>
      <c r="L160" s="89" t="str">
        <f t="shared" si="14"/>
        <v/>
      </c>
      <c r="M160" s="91"/>
    </row>
    <row r="161" spans="1:13">
      <c r="A161" s="89" t="str">
        <f t="shared" si="10"/>
        <v/>
      </c>
      <c r="B161" s="86" t="str">
        <f>IFERROR(INDEX(_自动清单!$E$4:$E$253,ROW()-4),"")</f>
        <v/>
      </c>
      <c r="C161" s="90"/>
      <c r="D161" s="27" t="str">
        <f>IF($B161="","",ROUND(SUMIFS(进销存对接!$G$4:$G$305,进销存对接!$D$4:$D$305,"客户应收",进销存对接!$C$4:$C$305,$B161),2))</f>
        <v/>
      </c>
      <c r="E161" s="27" t="str">
        <f>IF($B161="","",ROUND(SUMIFS(资金日记账!$H$4:$H$603,资金日记账!$E$4:$E$603,$B161,资金日记账!$K$4:$K$603,"应收账款"),2))</f>
        <v/>
      </c>
      <c r="F161" s="27" t="str">
        <f t="shared" si="11"/>
        <v/>
      </c>
      <c r="G161" s="90"/>
      <c r="H161" s="27" t="str">
        <f>IF($B161="","",ROUND(SUMIFS(进销存对接!$F$4:$F$305,进销存对接!$D$4:$D$305,"客户应收",进销存对接!$C$4:$C$305,$B161)+SUMIFS(记账凭证!$I$4:$I$3609,记账凭证!$J$4:$J$3609,$B161,记账凭证!$E$4:$E$3609,"应付账款"),2))</f>
        <v/>
      </c>
      <c r="I161" s="27" t="str">
        <f>IF($B161="","",ROUND(SUMIFS(记账凭证!$H$4:$H$3609,记账凭证!$J$4:$J$3609,$B161,记账凭证!$E$4:$E$3609,"应付账款"),2))</f>
        <v/>
      </c>
      <c r="J161" s="27" t="str">
        <f t="shared" si="12"/>
        <v/>
      </c>
      <c r="K161" s="27" t="str">
        <f t="shared" si="13"/>
        <v/>
      </c>
      <c r="L161" s="89" t="str">
        <f t="shared" si="14"/>
        <v/>
      </c>
      <c r="M161" s="91"/>
    </row>
    <row r="162" spans="1:13">
      <c r="A162" s="89" t="str">
        <f t="shared" si="10"/>
        <v/>
      </c>
      <c r="B162" s="86" t="str">
        <f>IFERROR(INDEX(_自动清单!$E$4:$E$253,ROW()-4),"")</f>
        <v/>
      </c>
      <c r="C162" s="90"/>
      <c r="D162" s="27" t="str">
        <f>IF($B162="","",ROUND(SUMIFS(进销存对接!$G$4:$G$305,进销存对接!$D$4:$D$305,"客户应收",进销存对接!$C$4:$C$305,$B162),2))</f>
        <v/>
      </c>
      <c r="E162" s="27" t="str">
        <f>IF($B162="","",ROUND(SUMIFS(资金日记账!$H$4:$H$603,资金日记账!$E$4:$E$603,$B162,资金日记账!$K$4:$K$603,"应收账款"),2))</f>
        <v/>
      </c>
      <c r="F162" s="27" t="str">
        <f t="shared" si="11"/>
        <v/>
      </c>
      <c r="G162" s="90"/>
      <c r="H162" s="27" t="str">
        <f>IF($B162="","",ROUND(SUMIFS(进销存对接!$F$4:$F$305,进销存对接!$D$4:$D$305,"客户应收",进销存对接!$C$4:$C$305,$B162)+SUMIFS(记账凭证!$I$4:$I$3609,记账凭证!$J$4:$J$3609,$B162,记账凭证!$E$4:$E$3609,"应付账款"),2))</f>
        <v/>
      </c>
      <c r="I162" s="27" t="str">
        <f>IF($B162="","",ROUND(SUMIFS(记账凭证!$H$4:$H$3609,记账凭证!$J$4:$J$3609,$B162,记账凭证!$E$4:$E$3609,"应付账款"),2))</f>
        <v/>
      </c>
      <c r="J162" s="27" t="str">
        <f t="shared" si="12"/>
        <v/>
      </c>
      <c r="K162" s="27" t="str">
        <f t="shared" si="13"/>
        <v/>
      </c>
      <c r="L162" s="89" t="str">
        <f t="shared" si="14"/>
        <v/>
      </c>
      <c r="M162" s="91"/>
    </row>
    <row r="163" spans="1:13">
      <c r="A163" s="89" t="str">
        <f t="shared" si="10"/>
        <v/>
      </c>
      <c r="B163" s="86" t="str">
        <f>IFERROR(INDEX(_自动清单!$E$4:$E$253,ROW()-4),"")</f>
        <v/>
      </c>
      <c r="C163" s="90"/>
      <c r="D163" s="27" t="str">
        <f>IF($B163="","",ROUND(SUMIFS(进销存对接!$G$4:$G$305,进销存对接!$D$4:$D$305,"客户应收",进销存对接!$C$4:$C$305,$B163),2))</f>
        <v/>
      </c>
      <c r="E163" s="27" t="str">
        <f>IF($B163="","",ROUND(SUMIFS(资金日记账!$H$4:$H$603,资金日记账!$E$4:$E$603,$B163,资金日记账!$K$4:$K$603,"应收账款"),2))</f>
        <v/>
      </c>
      <c r="F163" s="27" t="str">
        <f t="shared" si="11"/>
        <v/>
      </c>
      <c r="G163" s="90"/>
      <c r="H163" s="27" t="str">
        <f>IF($B163="","",ROUND(SUMIFS(进销存对接!$F$4:$F$305,进销存对接!$D$4:$D$305,"客户应收",进销存对接!$C$4:$C$305,$B163)+SUMIFS(记账凭证!$I$4:$I$3609,记账凭证!$J$4:$J$3609,$B163,记账凭证!$E$4:$E$3609,"应付账款"),2))</f>
        <v/>
      </c>
      <c r="I163" s="27" t="str">
        <f>IF($B163="","",ROUND(SUMIFS(记账凭证!$H$4:$H$3609,记账凭证!$J$4:$J$3609,$B163,记账凭证!$E$4:$E$3609,"应付账款"),2))</f>
        <v/>
      </c>
      <c r="J163" s="27" t="str">
        <f t="shared" si="12"/>
        <v/>
      </c>
      <c r="K163" s="27" t="str">
        <f t="shared" si="13"/>
        <v/>
      </c>
      <c r="L163" s="89" t="str">
        <f t="shared" si="14"/>
        <v/>
      </c>
      <c r="M163" s="91"/>
    </row>
    <row r="164" spans="1:13">
      <c r="A164" s="89" t="str">
        <f t="shared" si="10"/>
        <v/>
      </c>
      <c r="B164" s="86" t="str">
        <f>IFERROR(INDEX(_自动清单!$E$4:$E$253,ROW()-4),"")</f>
        <v/>
      </c>
      <c r="C164" s="90"/>
      <c r="D164" s="27" t="str">
        <f>IF($B164="","",ROUND(SUMIFS(进销存对接!$G$4:$G$305,进销存对接!$D$4:$D$305,"客户应收",进销存对接!$C$4:$C$305,$B164),2))</f>
        <v/>
      </c>
      <c r="E164" s="27" t="str">
        <f>IF($B164="","",ROUND(SUMIFS(资金日记账!$H$4:$H$603,资金日记账!$E$4:$E$603,$B164,资金日记账!$K$4:$K$603,"应收账款"),2))</f>
        <v/>
      </c>
      <c r="F164" s="27" t="str">
        <f t="shared" si="11"/>
        <v/>
      </c>
      <c r="G164" s="90"/>
      <c r="H164" s="27" t="str">
        <f>IF($B164="","",ROUND(SUMIFS(进销存对接!$F$4:$F$305,进销存对接!$D$4:$D$305,"客户应收",进销存对接!$C$4:$C$305,$B164)+SUMIFS(记账凭证!$I$4:$I$3609,记账凭证!$J$4:$J$3609,$B164,记账凭证!$E$4:$E$3609,"应付账款"),2))</f>
        <v/>
      </c>
      <c r="I164" s="27" t="str">
        <f>IF($B164="","",ROUND(SUMIFS(记账凭证!$H$4:$H$3609,记账凭证!$J$4:$J$3609,$B164,记账凭证!$E$4:$E$3609,"应付账款"),2))</f>
        <v/>
      </c>
      <c r="J164" s="27" t="str">
        <f t="shared" si="12"/>
        <v/>
      </c>
      <c r="K164" s="27" t="str">
        <f t="shared" si="13"/>
        <v/>
      </c>
      <c r="L164" s="89" t="str">
        <f t="shared" si="14"/>
        <v/>
      </c>
      <c r="M164" s="91"/>
    </row>
    <row r="165" spans="1:13">
      <c r="A165" s="89" t="str">
        <f t="shared" si="10"/>
        <v/>
      </c>
      <c r="B165" s="86" t="str">
        <f>IFERROR(INDEX(_自动清单!$E$4:$E$253,ROW()-4),"")</f>
        <v/>
      </c>
      <c r="C165" s="90"/>
      <c r="D165" s="27" t="str">
        <f>IF($B165="","",ROUND(SUMIFS(进销存对接!$G$4:$G$305,进销存对接!$D$4:$D$305,"客户应收",进销存对接!$C$4:$C$305,$B165),2))</f>
        <v/>
      </c>
      <c r="E165" s="27" t="str">
        <f>IF($B165="","",ROUND(SUMIFS(资金日记账!$H$4:$H$603,资金日记账!$E$4:$E$603,$B165,资金日记账!$K$4:$K$603,"应收账款"),2))</f>
        <v/>
      </c>
      <c r="F165" s="27" t="str">
        <f t="shared" si="11"/>
        <v/>
      </c>
      <c r="G165" s="90"/>
      <c r="H165" s="27" t="str">
        <f>IF($B165="","",ROUND(SUMIFS(进销存对接!$F$4:$F$305,进销存对接!$D$4:$D$305,"客户应收",进销存对接!$C$4:$C$305,$B165)+SUMIFS(记账凭证!$I$4:$I$3609,记账凭证!$J$4:$J$3609,$B165,记账凭证!$E$4:$E$3609,"应付账款"),2))</f>
        <v/>
      </c>
      <c r="I165" s="27" t="str">
        <f>IF($B165="","",ROUND(SUMIFS(记账凭证!$H$4:$H$3609,记账凭证!$J$4:$J$3609,$B165,记账凭证!$E$4:$E$3609,"应付账款"),2))</f>
        <v/>
      </c>
      <c r="J165" s="27" t="str">
        <f t="shared" si="12"/>
        <v/>
      </c>
      <c r="K165" s="27" t="str">
        <f t="shared" si="13"/>
        <v/>
      </c>
      <c r="L165" s="89" t="str">
        <f t="shared" si="14"/>
        <v/>
      </c>
      <c r="M165" s="91"/>
    </row>
    <row r="166" spans="1:13">
      <c r="A166" s="89" t="str">
        <f t="shared" si="10"/>
        <v/>
      </c>
      <c r="B166" s="86" t="str">
        <f>IFERROR(INDEX(_自动清单!$E$4:$E$253,ROW()-4),"")</f>
        <v/>
      </c>
      <c r="C166" s="90"/>
      <c r="D166" s="27" t="str">
        <f>IF($B166="","",ROUND(SUMIFS(进销存对接!$G$4:$G$305,进销存对接!$D$4:$D$305,"客户应收",进销存对接!$C$4:$C$305,$B166),2))</f>
        <v/>
      </c>
      <c r="E166" s="27" t="str">
        <f>IF($B166="","",ROUND(SUMIFS(资金日记账!$H$4:$H$603,资金日记账!$E$4:$E$603,$B166,资金日记账!$K$4:$K$603,"应收账款"),2))</f>
        <v/>
      </c>
      <c r="F166" s="27" t="str">
        <f t="shared" si="11"/>
        <v/>
      </c>
      <c r="G166" s="90"/>
      <c r="H166" s="27" t="str">
        <f>IF($B166="","",ROUND(SUMIFS(进销存对接!$F$4:$F$305,进销存对接!$D$4:$D$305,"客户应收",进销存对接!$C$4:$C$305,$B166)+SUMIFS(记账凭证!$I$4:$I$3609,记账凭证!$J$4:$J$3609,$B166,记账凭证!$E$4:$E$3609,"应付账款"),2))</f>
        <v/>
      </c>
      <c r="I166" s="27" t="str">
        <f>IF($B166="","",ROUND(SUMIFS(记账凭证!$H$4:$H$3609,记账凭证!$J$4:$J$3609,$B166,记账凭证!$E$4:$E$3609,"应付账款"),2))</f>
        <v/>
      </c>
      <c r="J166" s="27" t="str">
        <f t="shared" si="12"/>
        <v/>
      </c>
      <c r="K166" s="27" t="str">
        <f t="shared" si="13"/>
        <v/>
      </c>
      <c r="L166" s="89" t="str">
        <f t="shared" si="14"/>
        <v/>
      </c>
      <c r="M166" s="91"/>
    </row>
    <row r="167" spans="1:13">
      <c r="A167" s="89" t="str">
        <f t="shared" si="10"/>
        <v/>
      </c>
      <c r="B167" s="86" t="str">
        <f>IFERROR(INDEX(_自动清单!$E$4:$E$253,ROW()-4),"")</f>
        <v/>
      </c>
      <c r="C167" s="90"/>
      <c r="D167" s="27" t="str">
        <f>IF($B167="","",ROUND(SUMIFS(进销存对接!$G$4:$G$305,进销存对接!$D$4:$D$305,"客户应收",进销存对接!$C$4:$C$305,$B167),2))</f>
        <v/>
      </c>
      <c r="E167" s="27" t="str">
        <f>IF($B167="","",ROUND(SUMIFS(资金日记账!$H$4:$H$603,资金日记账!$E$4:$E$603,$B167,资金日记账!$K$4:$K$603,"应收账款"),2))</f>
        <v/>
      </c>
      <c r="F167" s="27" t="str">
        <f t="shared" si="11"/>
        <v/>
      </c>
      <c r="G167" s="90"/>
      <c r="H167" s="27" t="str">
        <f>IF($B167="","",ROUND(SUMIFS(进销存对接!$F$4:$F$305,进销存对接!$D$4:$D$305,"客户应收",进销存对接!$C$4:$C$305,$B167)+SUMIFS(记账凭证!$I$4:$I$3609,记账凭证!$J$4:$J$3609,$B167,记账凭证!$E$4:$E$3609,"应付账款"),2))</f>
        <v/>
      </c>
      <c r="I167" s="27" t="str">
        <f>IF($B167="","",ROUND(SUMIFS(记账凭证!$H$4:$H$3609,记账凭证!$J$4:$J$3609,$B167,记账凭证!$E$4:$E$3609,"应付账款"),2))</f>
        <v/>
      </c>
      <c r="J167" s="27" t="str">
        <f t="shared" si="12"/>
        <v/>
      </c>
      <c r="K167" s="27" t="str">
        <f t="shared" si="13"/>
        <v/>
      </c>
      <c r="L167" s="89" t="str">
        <f t="shared" si="14"/>
        <v/>
      </c>
      <c r="M167" s="91"/>
    </row>
    <row r="168" spans="1:13">
      <c r="A168" s="89" t="str">
        <f t="shared" si="10"/>
        <v/>
      </c>
      <c r="B168" s="86" t="str">
        <f>IFERROR(INDEX(_自动清单!$E$4:$E$253,ROW()-4),"")</f>
        <v/>
      </c>
      <c r="C168" s="90"/>
      <c r="D168" s="27" t="str">
        <f>IF($B168="","",ROUND(SUMIFS(进销存对接!$G$4:$G$305,进销存对接!$D$4:$D$305,"客户应收",进销存对接!$C$4:$C$305,$B168),2))</f>
        <v/>
      </c>
      <c r="E168" s="27" t="str">
        <f>IF($B168="","",ROUND(SUMIFS(资金日记账!$H$4:$H$603,资金日记账!$E$4:$E$603,$B168,资金日记账!$K$4:$K$603,"应收账款"),2))</f>
        <v/>
      </c>
      <c r="F168" s="27" t="str">
        <f t="shared" si="11"/>
        <v/>
      </c>
      <c r="G168" s="90"/>
      <c r="H168" s="27" t="str">
        <f>IF($B168="","",ROUND(SUMIFS(进销存对接!$F$4:$F$305,进销存对接!$D$4:$D$305,"客户应收",进销存对接!$C$4:$C$305,$B168)+SUMIFS(记账凭证!$I$4:$I$3609,记账凭证!$J$4:$J$3609,$B168,记账凭证!$E$4:$E$3609,"应付账款"),2))</f>
        <v/>
      </c>
      <c r="I168" s="27" t="str">
        <f>IF($B168="","",ROUND(SUMIFS(记账凭证!$H$4:$H$3609,记账凭证!$J$4:$J$3609,$B168,记账凭证!$E$4:$E$3609,"应付账款"),2))</f>
        <v/>
      </c>
      <c r="J168" s="27" t="str">
        <f t="shared" si="12"/>
        <v/>
      </c>
      <c r="K168" s="27" t="str">
        <f t="shared" si="13"/>
        <v/>
      </c>
      <c r="L168" s="89" t="str">
        <f t="shared" si="14"/>
        <v/>
      </c>
      <c r="M168" s="91"/>
    </row>
    <row r="169" spans="1:13">
      <c r="A169" s="89" t="str">
        <f t="shared" si="10"/>
        <v/>
      </c>
      <c r="B169" s="86" t="str">
        <f>IFERROR(INDEX(_自动清单!$E$4:$E$253,ROW()-4),"")</f>
        <v/>
      </c>
      <c r="C169" s="90"/>
      <c r="D169" s="27" t="str">
        <f>IF($B169="","",ROUND(SUMIFS(进销存对接!$G$4:$G$305,进销存对接!$D$4:$D$305,"客户应收",进销存对接!$C$4:$C$305,$B169),2))</f>
        <v/>
      </c>
      <c r="E169" s="27" t="str">
        <f>IF($B169="","",ROUND(SUMIFS(资金日记账!$H$4:$H$603,资金日记账!$E$4:$E$603,$B169,资金日记账!$K$4:$K$603,"应收账款"),2))</f>
        <v/>
      </c>
      <c r="F169" s="27" t="str">
        <f t="shared" si="11"/>
        <v/>
      </c>
      <c r="G169" s="90"/>
      <c r="H169" s="27" t="str">
        <f>IF($B169="","",ROUND(SUMIFS(进销存对接!$F$4:$F$305,进销存对接!$D$4:$D$305,"客户应收",进销存对接!$C$4:$C$305,$B169)+SUMIFS(记账凭证!$I$4:$I$3609,记账凭证!$J$4:$J$3609,$B169,记账凭证!$E$4:$E$3609,"应付账款"),2))</f>
        <v/>
      </c>
      <c r="I169" s="27" t="str">
        <f>IF($B169="","",ROUND(SUMIFS(记账凭证!$H$4:$H$3609,记账凭证!$J$4:$J$3609,$B169,记账凭证!$E$4:$E$3609,"应付账款"),2))</f>
        <v/>
      </c>
      <c r="J169" s="27" t="str">
        <f t="shared" si="12"/>
        <v/>
      </c>
      <c r="K169" s="27" t="str">
        <f t="shared" si="13"/>
        <v/>
      </c>
      <c r="L169" s="89" t="str">
        <f t="shared" si="14"/>
        <v/>
      </c>
      <c r="M169" s="91"/>
    </row>
    <row r="170" spans="1:13">
      <c r="A170" s="89" t="str">
        <f t="shared" si="10"/>
        <v/>
      </c>
      <c r="B170" s="86" t="str">
        <f>IFERROR(INDEX(_自动清单!$E$4:$E$253,ROW()-4),"")</f>
        <v/>
      </c>
      <c r="C170" s="90"/>
      <c r="D170" s="27" t="str">
        <f>IF($B170="","",ROUND(SUMIFS(进销存对接!$G$4:$G$305,进销存对接!$D$4:$D$305,"客户应收",进销存对接!$C$4:$C$305,$B170),2))</f>
        <v/>
      </c>
      <c r="E170" s="27" t="str">
        <f>IF($B170="","",ROUND(SUMIFS(资金日记账!$H$4:$H$603,资金日记账!$E$4:$E$603,$B170,资金日记账!$K$4:$K$603,"应收账款"),2))</f>
        <v/>
      </c>
      <c r="F170" s="27" t="str">
        <f t="shared" si="11"/>
        <v/>
      </c>
      <c r="G170" s="90"/>
      <c r="H170" s="27" t="str">
        <f>IF($B170="","",ROUND(SUMIFS(进销存对接!$F$4:$F$305,进销存对接!$D$4:$D$305,"客户应收",进销存对接!$C$4:$C$305,$B170)+SUMIFS(记账凭证!$I$4:$I$3609,记账凭证!$J$4:$J$3609,$B170,记账凭证!$E$4:$E$3609,"应付账款"),2))</f>
        <v/>
      </c>
      <c r="I170" s="27" t="str">
        <f>IF($B170="","",ROUND(SUMIFS(记账凭证!$H$4:$H$3609,记账凭证!$J$4:$J$3609,$B170,记账凭证!$E$4:$E$3609,"应付账款"),2))</f>
        <v/>
      </c>
      <c r="J170" s="27" t="str">
        <f t="shared" si="12"/>
        <v/>
      </c>
      <c r="K170" s="27" t="str">
        <f t="shared" si="13"/>
        <v/>
      </c>
      <c r="L170" s="89" t="str">
        <f t="shared" si="14"/>
        <v/>
      </c>
      <c r="M170" s="91"/>
    </row>
    <row r="171" spans="1:13">
      <c r="A171" s="89" t="str">
        <f t="shared" si="10"/>
        <v/>
      </c>
      <c r="B171" s="86" t="str">
        <f>IFERROR(INDEX(_自动清单!$E$4:$E$253,ROW()-4),"")</f>
        <v/>
      </c>
      <c r="C171" s="90"/>
      <c r="D171" s="27" t="str">
        <f>IF($B171="","",ROUND(SUMIFS(进销存对接!$G$4:$G$305,进销存对接!$D$4:$D$305,"客户应收",进销存对接!$C$4:$C$305,$B171),2))</f>
        <v/>
      </c>
      <c r="E171" s="27" t="str">
        <f>IF($B171="","",ROUND(SUMIFS(资金日记账!$H$4:$H$603,资金日记账!$E$4:$E$603,$B171,资金日记账!$K$4:$K$603,"应收账款"),2))</f>
        <v/>
      </c>
      <c r="F171" s="27" t="str">
        <f t="shared" si="11"/>
        <v/>
      </c>
      <c r="G171" s="90"/>
      <c r="H171" s="27" t="str">
        <f>IF($B171="","",ROUND(SUMIFS(进销存对接!$F$4:$F$305,进销存对接!$D$4:$D$305,"客户应收",进销存对接!$C$4:$C$305,$B171)+SUMIFS(记账凭证!$I$4:$I$3609,记账凭证!$J$4:$J$3609,$B171,记账凭证!$E$4:$E$3609,"应付账款"),2))</f>
        <v/>
      </c>
      <c r="I171" s="27" t="str">
        <f>IF($B171="","",ROUND(SUMIFS(记账凭证!$H$4:$H$3609,记账凭证!$J$4:$J$3609,$B171,记账凭证!$E$4:$E$3609,"应付账款"),2))</f>
        <v/>
      </c>
      <c r="J171" s="27" t="str">
        <f t="shared" si="12"/>
        <v/>
      </c>
      <c r="K171" s="27" t="str">
        <f t="shared" si="13"/>
        <v/>
      </c>
      <c r="L171" s="89" t="str">
        <f t="shared" si="14"/>
        <v/>
      </c>
      <c r="M171" s="91"/>
    </row>
    <row r="172" spans="1:13">
      <c r="A172" s="89" t="str">
        <f t="shared" si="10"/>
        <v/>
      </c>
      <c r="B172" s="86" t="str">
        <f>IFERROR(INDEX(_自动清单!$E$4:$E$253,ROW()-4),"")</f>
        <v/>
      </c>
      <c r="C172" s="90"/>
      <c r="D172" s="27" t="str">
        <f>IF($B172="","",ROUND(SUMIFS(进销存对接!$G$4:$G$305,进销存对接!$D$4:$D$305,"客户应收",进销存对接!$C$4:$C$305,$B172),2))</f>
        <v/>
      </c>
      <c r="E172" s="27" t="str">
        <f>IF($B172="","",ROUND(SUMIFS(资金日记账!$H$4:$H$603,资金日记账!$E$4:$E$603,$B172,资金日记账!$K$4:$K$603,"应收账款"),2))</f>
        <v/>
      </c>
      <c r="F172" s="27" t="str">
        <f t="shared" si="11"/>
        <v/>
      </c>
      <c r="G172" s="90"/>
      <c r="H172" s="27" t="str">
        <f>IF($B172="","",ROUND(SUMIFS(进销存对接!$F$4:$F$305,进销存对接!$D$4:$D$305,"客户应收",进销存对接!$C$4:$C$305,$B172)+SUMIFS(记账凭证!$I$4:$I$3609,记账凭证!$J$4:$J$3609,$B172,记账凭证!$E$4:$E$3609,"应付账款"),2))</f>
        <v/>
      </c>
      <c r="I172" s="27" t="str">
        <f>IF($B172="","",ROUND(SUMIFS(记账凭证!$H$4:$H$3609,记账凭证!$J$4:$J$3609,$B172,记账凭证!$E$4:$E$3609,"应付账款"),2))</f>
        <v/>
      </c>
      <c r="J172" s="27" t="str">
        <f t="shared" si="12"/>
        <v/>
      </c>
      <c r="K172" s="27" t="str">
        <f t="shared" si="13"/>
        <v/>
      </c>
      <c r="L172" s="89" t="str">
        <f t="shared" si="14"/>
        <v/>
      </c>
      <c r="M172" s="91"/>
    </row>
    <row r="173" spans="1:13">
      <c r="A173" s="89" t="str">
        <f t="shared" si="10"/>
        <v/>
      </c>
      <c r="B173" s="86" t="str">
        <f>IFERROR(INDEX(_自动清单!$E$4:$E$253,ROW()-4),"")</f>
        <v/>
      </c>
      <c r="C173" s="90"/>
      <c r="D173" s="27" t="str">
        <f>IF($B173="","",ROUND(SUMIFS(进销存对接!$G$4:$G$305,进销存对接!$D$4:$D$305,"客户应收",进销存对接!$C$4:$C$305,$B173),2))</f>
        <v/>
      </c>
      <c r="E173" s="27" t="str">
        <f>IF($B173="","",ROUND(SUMIFS(资金日记账!$H$4:$H$603,资金日记账!$E$4:$E$603,$B173,资金日记账!$K$4:$K$603,"应收账款"),2))</f>
        <v/>
      </c>
      <c r="F173" s="27" t="str">
        <f t="shared" si="11"/>
        <v/>
      </c>
      <c r="G173" s="90"/>
      <c r="H173" s="27" t="str">
        <f>IF($B173="","",ROUND(SUMIFS(进销存对接!$F$4:$F$305,进销存对接!$D$4:$D$305,"客户应收",进销存对接!$C$4:$C$305,$B173)+SUMIFS(记账凭证!$I$4:$I$3609,记账凭证!$J$4:$J$3609,$B173,记账凭证!$E$4:$E$3609,"应付账款"),2))</f>
        <v/>
      </c>
      <c r="I173" s="27" t="str">
        <f>IF($B173="","",ROUND(SUMIFS(记账凭证!$H$4:$H$3609,记账凭证!$J$4:$J$3609,$B173,记账凭证!$E$4:$E$3609,"应付账款"),2))</f>
        <v/>
      </c>
      <c r="J173" s="27" t="str">
        <f t="shared" si="12"/>
        <v/>
      </c>
      <c r="K173" s="27" t="str">
        <f t="shared" si="13"/>
        <v/>
      </c>
      <c r="L173" s="89" t="str">
        <f t="shared" si="14"/>
        <v/>
      </c>
      <c r="M173" s="91"/>
    </row>
    <row r="174" spans="1:13">
      <c r="A174" s="89" t="str">
        <f t="shared" si="10"/>
        <v/>
      </c>
      <c r="B174" s="86" t="str">
        <f>IFERROR(INDEX(_自动清单!$E$4:$E$253,ROW()-4),"")</f>
        <v/>
      </c>
      <c r="C174" s="90"/>
      <c r="D174" s="27" t="str">
        <f>IF($B174="","",ROUND(SUMIFS(进销存对接!$G$4:$G$305,进销存对接!$D$4:$D$305,"客户应收",进销存对接!$C$4:$C$305,$B174),2))</f>
        <v/>
      </c>
      <c r="E174" s="27" t="str">
        <f>IF($B174="","",ROUND(SUMIFS(资金日记账!$H$4:$H$603,资金日记账!$E$4:$E$603,$B174,资金日记账!$K$4:$K$603,"应收账款"),2))</f>
        <v/>
      </c>
      <c r="F174" s="27" t="str">
        <f t="shared" si="11"/>
        <v/>
      </c>
      <c r="G174" s="90"/>
      <c r="H174" s="27" t="str">
        <f>IF($B174="","",ROUND(SUMIFS(进销存对接!$F$4:$F$305,进销存对接!$D$4:$D$305,"客户应收",进销存对接!$C$4:$C$305,$B174)+SUMIFS(记账凭证!$I$4:$I$3609,记账凭证!$J$4:$J$3609,$B174,记账凭证!$E$4:$E$3609,"应付账款"),2))</f>
        <v/>
      </c>
      <c r="I174" s="27" t="str">
        <f>IF($B174="","",ROUND(SUMIFS(记账凭证!$H$4:$H$3609,记账凭证!$J$4:$J$3609,$B174,记账凭证!$E$4:$E$3609,"应付账款"),2))</f>
        <v/>
      </c>
      <c r="J174" s="27" t="str">
        <f t="shared" si="12"/>
        <v/>
      </c>
      <c r="K174" s="27" t="str">
        <f t="shared" si="13"/>
        <v/>
      </c>
      <c r="L174" s="89" t="str">
        <f t="shared" si="14"/>
        <v/>
      </c>
      <c r="M174" s="91"/>
    </row>
    <row r="175" spans="1:13">
      <c r="A175" s="89" t="str">
        <f t="shared" si="10"/>
        <v/>
      </c>
      <c r="B175" s="86" t="str">
        <f>IFERROR(INDEX(_自动清单!$E$4:$E$253,ROW()-4),"")</f>
        <v/>
      </c>
      <c r="C175" s="90"/>
      <c r="D175" s="27" t="str">
        <f>IF($B175="","",ROUND(SUMIFS(进销存对接!$G$4:$G$305,进销存对接!$D$4:$D$305,"客户应收",进销存对接!$C$4:$C$305,$B175),2))</f>
        <v/>
      </c>
      <c r="E175" s="27" t="str">
        <f>IF($B175="","",ROUND(SUMIFS(资金日记账!$H$4:$H$603,资金日记账!$E$4:$E$603,$B175,资金日记账!$K$4:$K$603,"应收账款"),2))</f>
        <v/>
      </c>
      <c r="F175" s="27" t="str">
        <f t="shared" si="11"/>
        <v/>
      </c>
      <c r="G175" s="90"/>
      <c r="H175" s="27" t="str">
        <f>IF($B175="","",ROUND(SUMIFS(进销存对接!$F$4:$F$305,进销存对接!$D$4:$D$305,"客户应收",进销存对接!$C$4:$C$305,$B175)+SUMIFS(记账凭证!$I$4:$I$3609,记账凭证!$J$4:$J$3609,$B175,记账凭证!$E$4:$E$3609,"应付账款"),2))</f>
        <v/>
      </c>
      <c r="I175" s="27" t="str">
        <f>IF($B175="","",ROUND(SUMIFS(记账凭证!$H$4:$H$3609,记账凭证!$J$4:$J$3609,$B175,记账凭证!$E$4:$E$3609,"应付账款"),2))</f>
        <v/>
      </c>
      <c r="J175" s="27" t="str">
        <f t="shared" si="12"/>
        <v/>
      </c>
      <c r="K175" s="27" t="str">
        <f t="shared" si="13"/>
        <v/>
      </c>
      <c r="L175" s="89" t="str">
        <f t="shared" si="14"/>
        <v/>
      </c>
      <c r="M175" s="91"/>
    </row>
    <row r="176" spans="1:13">
      <c r="A176" s="89" t="str">
        <f t="shared" si="10"/>
        <v/>
      </c>
      <c r="B176" s="86" t="str">
        <f>IFERROR(INDEX(_自动清单!$E$4:$E$253,ROW()-4),"")</f>
        <v/>
      </c>
      <c r="C176" s="90"/>
      <c r="D176" s="27" t="str">
        <f>IF($B176="","",ROUND(SUMIFS(进销存对接!$G$4:$G$305,进销存对接!$D$4:$D$305,"客户应收",进销存对接!$C$4:$C$305,$B176),2))</f>
        <v/>
      </c>
      <c r="E176" s="27" t="str">
        <f>IF($B176="","",ROUND(SUMIFS(资金日记账!$H$4:$H$603,资金日记账!$E$4:$E$603,$B176,资金日记账!$K$4:$K$603,"应收账款"),2))</f>
        <v/>
      </c>
      <c r="F176" s="27" t="str">
        <f t="shared" si="11"/>
        <v/>
      </c>
      <c r="G176" s="90"/>
      <c r="H176" s="27" t="str">
        <f>IF($B176="","",ROUND(SUMIFS(进销存对接!$F$4:$F$305,进销存对接!$D$4:$D$305,"客户应收",进销存对接!$C$4:$C$305,$B176)+SUMIFS(记账凭证!$I$4:$I$3609,记账凭证!$J$4:$J$3609,$B176,记账凭证!$E$4:$E$3609,"应付账款"),2))</f>
        <v/>
      </c>
      <c r="I176" s="27" t="str">
        <f>IF($B176="","",ROUND(SUMIFS(记账凭证!$H$4:$H$3609,记账凭证!$J$4:$J$3609,$B176,记账凭证!$E$4:$E$3609,"应付账款"),2))</f>
        <v/>
      </c>
      <c r="J176" s="27" t="str">
        <f t="shared" si="12"/>
        <v/>
      </c>
      <c r="K176" s="27" t="str">
        <f t="shared" si="13"/>
        <v/>
      </c>
      <c r="L176" s="89" t="str">
        <f t="shared" si="14"/>
        <v/>
      </c>
      <c r="M176" s="91"/>
    </row>
    <row r="177" spans="1:13">
      <c r="A177" s="89" t="str">
        <f t="shared" si="10"/>
        <v/>
      </c>
      <c r="B177" s="86" t="str">
        <f>IFERROR(INDEX(_自动清单!$E$4:$E$253,ROW()-4),"")</f>
        <v/>
      </c>
      <c r="C177" s="90"/>
      <c r="D177" s="27" t="str">
        <f>IF($B177="","",ROUND(SUMIFS(进销存对接!$G$4:$G$305,进销存对接!$D$4:$D$305,"客户应收",进销存对接!$C$4:$C$305,$B177),2))</f>
        <v/>
      </c>
      <c r="E177" s="27" t="str">
        <f>IF($B177="","",ROUND(SUMIFS(资金日记账!$H$4:$H$603,资金日记账!$E$4:$E$603,$B177,资金日记账!$K$4:$K$603,"应收账款"),2))</f>
        <v/>
      </c>
      <c r="F177" s="27" t="str">
        <f t="shared" si="11"/>
        <v/>
      </c>
      <c r="G177" s="90"/>
      <c r="H177" s="27" t="str">
        <f>IF($B177="","",ROUND(SUMIFS(进销存对接!$F$4:$F$305,进销存对接!$D$4:$D$305,"客户应收",进销存对接!$C$4:$C$305,$B177)+SUMIFS(记账凭证!$I$4:$I$3609,记账凭证!$J$4:$J$3609,$B177,记账凭证!$E$4:$E$3609,"应付账款"),2))</f>
        <v/>
      </c>
      <c r="I177" s="27" t="str">
        <f>IF($B177="","",ROUND(SUMIFS(记账凭证!$H$4:$H$3609,记账凭证!$J$4:$J$3609,$B177,记账凭证!$E$4:$E$3609,"应付账款"),2))</f>
        <v/>
      </c>
      <c r="J177" s="27" t="str">
        <f t="shared" si="12"/>
        <v/>
      </c>
      <c r="K177" s="27" t="str">
        <f t="shared" si="13"/>
        <v/>
      </c>
      <c r="L177" s="89" t="str">
        <f t="shared" si="14"/>
        <v/>
      </c>
      <c r="M177" s="91"/>
    </row>
    <row r="178" spans="1:13">
      <c r="A178" s="89" t="str">
        <f t="shared" si="10"/>
        <v/>
      </c>
      <c r="B178" s="86" t="str">
        <f>IFERROR(INDEX(_自动清单!$E$4:$E$253,ROW()-4),"")</f>
        <v/>
      </c>
      <c r="C178" s="90"/>
      <c r="D178" s="27" t="str">
        <f>IF($B178="","",ROUND(SUMIFS(进销存对接!$G$4:$G$305,进销存对接!$D$4:$D$305,"客户应收",进销存对接!$C$4:$C$305,$B178),2))</f>
        <v/>
      </c>
      <c r="E178" s="27" t="str">
        <f>IF($B178="","",ROUND(SUMIFS(资金日记账!$H$4:$H$603,资金日记账!$E$4:$E$603,$B178,资金日记账!$K$4:$K$603,"应收账款"),2))</f>
        <v/>
      </c>
      <c r="F178" s="27" t="str">
        <f t="shared" si="11"/>
        <v/>
      </c>
      <c r="G178" s="90"/>
      <c r="H178" s="27" t="str">
        <f>IF($B178="","",ROUND(SUMIFS(进销存对接!$F$4:$F$305,进销存对接!$D$4:$D$305,"客户应收",进销存对接!$C$4:$C$305,$B178)+SUMIFS(记账凭证!$I$4:$I$3609,记账凭证!$J$4:$J$3609,$B178,记账凭证!$E$4:$E$3609,"应付账款"),2))</f>
        <v/>
      </c>
      <c r="I178" s="27" t="str">
        <f>IF($B178="","",ROUND(SUMIFS(记账凭证!$H$4:$H$3609,记账凭证!$J$4:$J$3609,$B178,记账凭证!$E$4:$E$3609,"应付账款"),2))</f>
        <v/>
      </c>
      <c r="J178" s="27" t="str">
        <f t="shared" si="12"/>
        <v/>
      </c>
      <c r="K178" s="27" t="str">
        <f t="shared" si="13"/>
        <v/>
      </c>
      <c r="L178" s="89" t="str">
        <f t="shared" si="14"/>
        <v/>
      </c>
      <c r="M178" s="91"/>
    </row>
    <row r="179" spans="1:13">
      <c r="A179" s="89" t="str">
        <f t="shared" si="10"/>
        <v/>
      </c>
      <c r="B179" s="86" t="str">
        <f>IFERROR(INDEX(_自动清单!$E$4:$E$253,ROW()-4),"")</f>
        <v/>
      </c>
      <c r="C179" s="90"/>
      <c r="D179" s="27" t="str">
        <f>IF($B179="","",ROUND(SUMIFS(进销存对接!$G$4:$G$305,进销存对接!$D$4:$D$305,"客户应收",进销存对接!$C$4:$C$305,$B179),2))</f>
        <v/>
      </c>
      <c r="E179" s="27" t="str">
        <f>IF($B179="","",ROUND(SUMIFS(资金日记账!$H$4:$H$603,资金日记账!$E$4:$E$603,$B179,资金日记账!$K$4:$K$603,"应收账款"),2))</f>
        <v/>
      </c>
      <c r="F179" s="27" t="str">
        <f t="shared" si="11"/>
        <v/>
      </c>
      <c r="G179" s="90"/>
      <c r="H179" s="27" t="str">
        <f>IF($B179="","",ROUND(SUMIFS(进销存对接!$F$4:$F$305,进销存对接!$D$4:$D$305,"客户应收",进销存对接!$C$4:$C$305,$B179)+SUMIFS(记账凭证!$I$4:$I$3609,记账凭证!$J$4:$J$3609,$B179,记账凭证!$E$4:$E$3609,"应付账款"),2))</f>
        <v/>
      </c>
      <c r="I179" s="27" t="str">
        <f>IF($B179="","",ROUND(SUMIFS(记账凭证!$H$4:$H$3609,记账凭证!$J$4:$J$3609,$B179,记账凭证!$E$4:$E$3609,"应付账款"),2))</f>
        <v/>
      </c>
      <c r="J179" s="27" t="str">
        <f t="shared" si="12"/>
        <v/>
      </c>
      <c r="K179" s="27" t="str">
        <f t="shared" si="13"/>
        <v/>
      </c>
      <c r="L179" s="89" t="str">
        <f t="shared" si="14"/>
        <v/>
      </c>
      <c r="M179" s="91"/>
    </row>
    <row r="180" spans="1:13">
      <c r="A180" s="89" t="str">
        <f t="shared" si="10"/>
        <v/>
      </c>
      <c r="B180" s="86" t="str">
        <f>IFERROR(INDEX(_自动清单!$E$4:$E$253,ROW()-4),"")</f>
        <v/>
      </c>
      <c r="C180" s="90"/>
      <c r="D180" s="27" t="str">
        <f>IF($B180="","",ROUND(SUMIFS(进销存对接!$G$4:$G$305,进销存对接!$D$4:$D$305,"客户应收",进销存对接!$C$4:$C$305,$B180),2))</f>
        <v/>
      </c>
      <c r="E180" s="27" t="str">
        <f>IF($B180="","",ROUND(SUMIFS(资金日记账!$H$4:$H$603,资金日记账!$E$4:$E$603,$B180,资金日记账!$K$4:$K$603,"应收账款"),2))</f>
        <v/>
      </c>
      <c r="F180" s="27" t="str">
        <f t="shared" si="11"/>
        <v/>
      </c>
      <c r="G180" s="90"/>
      <c r="H180" s="27" t="str">
        <f>IF($B180="","",ROUND(SUMIFS(进销存对接!$F$4:$F$305,进销存对接!$D$4:$D$305,"客户应收",进销存对接!$C$4:$C$305,$B180)+SUMIFS(记账凭证!$I$4:$I$3609,记账凭证!$J$4:$J$3609,$B180,记账凭证!$E$4:$E$3609,"应付账款"),2))</f>
        <v/>
      </c>
      <c r="I180" s="27" t="str">
        <f>IF($B180="","",ROUND(SUMIFS(记账凭证!$H$4:$H$3609,记账凭证!$J$4:$J$3609,$B180,记账凭证!$E$4:$E$3609,"应付账款"),2))</f>
        <v/>
      </c>
      <c r="J180" s="27" t="str">
        <f t="shared" si="12"/>
        <v/>
      </c>
      <c r="K180" s="27" t="str">
        <f t="shared" si="13"/>
        <v/>
      </c>
      <c r="L180" s="89" t="str">
        <f t="shared" si="14"/>
        <v/>
      </c>
      <c r="M180" s="91"/>
    </row>
    <row r="181" spans="1:13">
      <c r="A181" s="89" t="str">
        <f t="shared" si="10"/>
        <v/>
      </c>
      <c r="B181" s="86" t="str">
        <f>IFERROR(INDEX(_自动清单!$E$4:$E$253,ROW()-4),"")</f>
        <v/>
      </c>
      <c r="C181" s="90"/>
      <c r="D181" s="27" t="str">
        <f>IF($B181="","",ROUND(SUMIFS(进销存对接!$G$4:$G$305,进销存对接!$D$4:$D$305,"客户应收",进销存对接!$C$4:$C$305,$B181),2))</f>
        <v/>
      </c>
      <c r="E181" s="27" t="str">
        <f>IF($B181="","",ROUND(SUMIFS(资金日记账!$H$4:$H$603,资金日记账!$E$4:$E$603,$B181,资金日记账!$K$4:$K$603,"应收账款"),2))</f>
        <v/>
      </c>
      <c r="F181" s="27" t="str">
        <f t="shared" si="11"/>
        <v/>
      </c>
      <c r="G181" s="90"/>
      <c r="H181" s="27" t="str">
        <f>IF($B181="","",ROUND(SUMIFS(进销存对接!$F$4:$F$305,进销存对接!$D$4:$D$305,"客户应收",进销存对接!$C$4:$C$305,$B181)+SUMIFS(记账凭证!$I$4:$I$3609,记账凭证!$J$4:$J$3609,$B181,记账凭证!$E$4:$E$3609,"应付账款"),2))</f>
        <v/>
      </c>
      <c r="I181" s="27" t="str">
        <f>IF($B181="","",ROUND(SUMIFS(记账凭证!$H$4:$H$3609,记账凭证!$J$4:$J$3609,$B181,记账凭证!$E$4:$E$3609,"应付账款"),2))</f>
        <v/>
      </c>
      <c r="J181" s="27" t="str">
        <f t="shared" si="12"/>
        <v/>
      </c>
      <c r="K181" s="27" t="str">
        <f t="shared" si="13"/>
        <v/>
      </c>
      <c r="L181" s="89" t="str">
        <f t="shared" si="14"/>
        <v/>
      </c>
      <c r="M181" s="91"/>
    </row>
    <row r="182" spans="1:13">
      <c r="A182" s="89" t="str">
        <f t="shared" si="10"/>
        <v/>
      </c>
      <c r="B182" s="86" t="str">
        <f>IFERROR(INDEX(_自动清单!$E$4:$E$253,ROW()-4),"")</f>
        <v/>
      </c>
      <c r="C182" s="90"/>
      <c r="D182" s="27" t="str">
        <f>IF($B182="","",ROUND(SUMIFS(进销存对接!$G$4:$G$305,进销存对接!$D$4:$D$305,"客户应收",进销存对接!$C$4:$C$305,$B182),2))</f>
        <v/>
      </c>
      <c r="E182" s="27" t="str">
        <f>IF($B182="","",ROUND(SUMIFS(资金日记账!$H$4:$H$603,资金日记账!$E$4:$E$603,$B182,资金日记账!$K$4:$K$603,"应收账款"),2))</f>
        <v/>
      </c>
      <c r="F182" s="27" t="str">
        <f t="shared" si="11"/>
        <v/>
      </c>
      <c r="G182" s="90"/>
      <c r="H182" s="27" t="str">
        <f>IF($B182="","",ROUND(SUMIFS(进销存对接!$F$4:$F$305,进销存对接!$D$4:$D$305,"客户应收",进销存对接!$C$4:$C$305,$B182)+SUMIFS(记账凭证!$I$4:$I$3609,记账凭证!$J$4:$J$3609,$B182,记账凭证!$E$4:$E$3609,"应付账款"),2))</f>
        <v/>
      </c>
      <c r="I182" s="27" t="str">
        <f>IF($B182="","",ROUND(SUMIFS(记账凭证!$H$4:$H$3609,记账凭证!$J$4:$J$3609,$B182,记账凭证!$E$4:$E$3609,"应付账款"),2))</f>
        <v/>
      </c>
      <c r="J182" s="27" t="str">
        <f t="shared" si="12"/>
        <v/>
      </c>
      <c r="K182" s="27" t="str">
        <f t="shared" si="13"/>
        <v/>
      </c>
      <c r="L182" s="89" t="str">
        <f t="shared" si="14"/>
        <v/>
      </c>
      <c r="M182" s="91"/>
    </row>
    <row r="183" spans="1:13">
      <c r="A183" s="89" t="str">
        <f t="shared" si="10"/>
        <v/>
      </c>
      <c r="B183" s="86" t="str">
        <f>IFERROR(INDEX(_自动清单!$E$4:$E$253,ROW()-4),"")</f>
        <v/>
      </c>
      <c r="C183" s="90"/>
      <c r="D183" s="27" t="str">
        <f>IF($B183="","",ROUND(SUMIFS(进销存对接!$G$4:$G$305,进销存对接!$D$4:$D$305,"客户应收",进销存对接!$C$4:$C$305,$B183),2))</f>
        <v/>
      </c>
      <c r="E183" s="27" t="str">
        <f>IF($B183="","",ROUND(SUMIFS(资金日记账!$H$4:$H$603,资金日记账!$E$4:$E$603,$B183,资金日记账!$K$4:$K$603,"应收账款"),2))</f>
        <v/>
      </c>
      <c r="F183" s="27" t="str">
        <f t="shared" si="11"/>
        <v/>
      </c>
      <c r="G183" s="90"/>
      <c r="H183" s="27" t="str">
        <f>IF($B183="","",ROUND(SUMIFS(进销存对接!$F$4:$F$305,进销存对接!$D$4:$D$305,"客户应收",进销存对接!$C$4:$C$305,$B183)+SUMIFS(记账凭证!$I$4:$I$3609,记账凭证!$J$4:$J$3609,$B183,记账凭证!$E$4:$E$3609,"应付账款"),2))</f>
        <v/>
      </c>
      <c r="I183" s="27" t="str">
        <f>IF($B183="","",ROUND(SUMIFS(记账凭证!$H$4:$H$3609,记账凭证!$J$4:$J$3609,$B183,记账凭证!$E$4:$E$3609,"应付账款"),2))</f>
        <v/>
      </c>
      <c r="J183" s="27" t="str">
        <f t="shared" si="12"/>
        <v/>
      </c>
      <c r="K183" s="27" t="str">
        <f t="shared" si="13"/>
        <v/>
      </c>
      <c r="L183" s="89" t="str">
        <f t="shared" si="14"/>
        <v/>
      </c>
      <c r="M183" s="91"/>
    </row>
    <row r="184" spans="1:13">
      <c r="A184" s="89" t="str">
        <f t="shared" si="10"/>
        <v/>
      </c>
      <c r="B184" s="86" t="str">
        <f>IFERROR(INDEX(_自动清单!$E$4:$E$253,ROW()-4),"")</f>
        <v/>
      </c>
      <c r="C184" s="90"/>
      <c r="D184" s="27" t="str">
        <f>IF($B184="","",ROUND(SUMIFS(进销存对接!$G$4:$G$305,进销存对接!$D$4:$D$305,"客户应收",进销存对接!$C$4:$C$305,$B184),2))</f>
        <v/>
      </c>
      <c r="E184" s="27" t="str">
        <f>IF($B184="","",ROUND(SUMIFS(资金日记账!$H$4:$H$603,资金日记账!$E$4:$E$603,$B184,资金日记账!$K$4:$K$603,"应收账款"),2))</f>
        <v/>
      </c>
      <c r="F184" s="27" t="str">
        <f t="shared" si="11"/>
        <v/>
      </c>
      <c r="G184" s="90"/>
      <c r="H184" s="27" t="str">
        <f>IF($B184="","",ROUND(SUMIFS(进销存对接!$F$4:$F$305,进销存对接!$D$4:$D$305,"客户应收",进销存对接!$C$4:$C$305,$B184)+SUMIFS(记账凭证!$I$4:$I$3609,记账凭证!$J$4:$J$3609,$B184,记账凭证!$E$4:$E$3609,"应付账款"),2))</f>
        <v/>
      </c>
      <c r="I184" s="27" t="str">
        <f>IF($B184="","",ROUND(SUMIFS(记账凭证!$H$4:$H$3609,记账凭证!$J$4:$J$3609,$B184,记账凭证!$E$4:$E$3609,"应付账款"),2))</f>
        <v/>
      </c>
      <c r="J184" s="27" t="str">
        <f t="shared" si="12"/>
        <v/>
      </c>
      <c r="K184" s="27" t="str">
        <f t="shared" si="13"/>
        <v/>
      </c>
      <c r="L184" s="89" t="str">
        <f t="shared" si="14"/>
        <v/>
      </c>
      <c r="M184" s="91"/>
    </row>
    <row r="185" spans="1:13">
      <c r="A185" s="89" t="str">
        <f t="shared" si="10"/>
        <v/>
      </c>
      <c r="B185" s="86" t="str">
        <f>IFERROR(INDEX(_自动清单!$E$4:$E$253,ROW()-4),"")</f>
        <v/>
      </c>
      <c r="C185" s="90"/>
      <c r="D185" s="27" t="str">
        <f>IF($B185="","",ROUND(SUMIFS(进销存对接!$G$4:$G$305,进销存对接!$D$4:$D$305,"客户应收",进销存对接!$C$4:$C$305,$B185),2))</f>
        <v/>
      </c>
      <c r="E185" s="27" t="str">
        <f>IF($B185="","",ROUND(SUMIFS(资金日记账!$H$4:$H$603,资金日记账!$E$4:$E$603,$B185,资金日记账!$K$4:$K$603,"应收账款"),2))</f>
        <v/>
      </c>
      <c r="F185" s="27" t="str">
        <f t="shared" si="11"/>
        <v/>
      </c>
      <c r="G185" s="90"/>
      <c r="H185" s="27" t="str">
        <f>IF($B185="","",ROUND(SUMIFS(进销存对接!$F$4:$F$305,进销存对接!$D$4:$D$305,"客户应收",进销存对接!$C$4:$C$305,$B185)+SUMIFS(记账凭证!$I$4:$I$3609,记账凭证!$J$4:$J$3609,$B185,记账凭证!$E$4:$E$3609,"应付账款"),2))</f>
        <v/>
      </c>
      <c r="I185" s="27" t="str">
        <f>IF($B185="","",ROUND(SUMIFS(记账凭证!$H$4:$H$3609,记账凭证!$J$4:$J$3609,$B185,记账凭证!$E$4:$E$3609,"应付账款"),2))</f>
        <v/>
      </c>
      <c r="J185" s="27" t="str">
        <f t="shared" si="12"/>
        <v/>
      </c>
      <c r="K185" s="27" t="str">
        <f t="shared" si="13"/>
        <v/>
      </c>
      <c r="L185" s="89" t="str">
        <f t="shared" si="14"/>
        <v/>
      </c>
      <c r="M185" s="91"/>
    </row>
    <row r="186" spans="1:13">
      <c r="A186" s="89" t="str">
        <f t="shared" si="10"/>
        <v/>
      </c>
      <c r="B186" s="86" t="str">
        <f>IFERROR(INDEX(_自动清单!$E$4:$E$253,ROW()-4),"")</f>
        <v/>
      </c>
      <c r="C186" s="90"/>
      <c r="D186" s="27" t="str">
        <f>IF($B186="","",ROUND(SUMIFS(进销存对接!$G$4:$G$305,进销存对接!$D$4:$D$305,"客户应收",进销存对接!$C$4:$C$305,$B186),2))</f>
        <v/>
      </c>
      <c r="E186" s="27" t="str">
        <f>IF($B186="","",ROUND(SUMIFS(资金日记账!$H$4:$H$603,资金日记账!$E$4:$E$603,$B186,资金日记账!$K$4:$K$603,"应收账款"),2))</f>
        <v/>
      </c>
      <c r="F186" s="27" t="str">
        <f t="shared" si="11"/>
        <v/>
      </c>
      <c r="G186" s="90"/>
      <c r="H186" s="27" t="str">
        <f>IF($B186="","",ROUND(SUMIFS(进销存对接!$F$4:$F$305,进销存对接!$D$4:$D$305,"客户应收",进销存对接!$C$4:$C$305,$B186)+SUMIFS(记账凭证!$I$4:$I$3609,记账凭证!$J$4:$J$3609,$B186,记账凭证!$E$4:$E$3609,"应付账款"),2))</f>
        <v/>
      </c>
      <c r="I186" s="27" t="str">
        <f>IF($B186="","",ROUND(SUMIFS(记账凭证!$H$4:$H$3609,记账凭证!$J$4:$J$3609,$B186,记账凭证!$E$4:$E$3609,"应付账款"),2))</f>
        <v/>
      </c>
      <c r="J186" s="27" t="str">
        <f t="shared" si="12"/>
        <v/>
      </c>
      <c r="K186" s="27" t="str">
        <f t="shared" si="13"/>
        <v/>
      </c>
      <c r="L186" s="89" t="str">
        <f t="shared" si="14"/>
        <v/>
      </c>
      <c r="M186" s="91"/>
    </row>
    <row r="187" spans="1:13">
      <c r="A187" s="89" t="str">
        <f t="shared" si="10"/>
        <v/>
      </c>
      <c r="B187" s="86" t="str">
        <f>IFERROR(INDEX(_自动清单!$E$4:$E$253,ROW()-4),"")</f>
        <v/>
      </c>
      <c r="C187" s="90"/>
      <c r="D187" s="27" t="str">
        <f>IF($B187="","",ROUND(SUMIFS(进销存对接!$G$4:$G$305,进销存对接!$D$4:$D$305,"客户应收",进销存对接!$C$4:$C$305,$B187),2))</f>
        <v/>
      </c>
      <c r="E187" s="27" t="str">
        <f>IF($B187="","",ROUND(SUMIFS(资金日记账!$H$4:$H$603,资金日记账!$E$4:$E$603,$B187,资金日记账!$K$4:$K$603,"应收账款"),2))</f>
        <v/>
      </c>
      <c r="F187" s="27" t="str">
        <f t="shared" si="11"/>
        <v/>
      </c>
      <c r="G187" s="90"/>
      <c r="H187" s="27" t="str">
        <f>IF($B187="","",ROUND(SUMIFS(进销存对接!$F$4:$F$305,进销存对接!$D$4:$D$305,"客户应收",进销存对接!$C$4:$C$305,$B187)+SUMIFS(记账凭证!$I$4:$I$3609,记账凭证!$J$4:$J$3609,$B187,记账凭证!$E$4:$E$3609,"应付账款"),2))</f>
        <v/>
      </c>
      <c r="I187" s="27" t="str">
        <f>IF($B187="","",ROUND(SUMIFS(记账凭证!$H$4:$H$3609,记账凭证!$J$4:$J$3609,$B187,记账凭证!$E$4:$E$3609,"应付账款"),2))</f>
        <v/>
      </c>
      <c r="J187" s="27" t="str">
        <f t="shared" si="12"/>
        <v/>
      </c>
      <c r="K187" s="27" t="str">
        <f t="shared" si="13"/>
        <v/>
      </c>
      <c r="L187" s="89" t="str">
        <f t="shared" si="14"/>
        <v/>
      </c>
      <c r="M187" s="91"/>
    </row>
    <row r="188" spans="1:13">
      <c r="A188" s="89" t="str">
        <f t="shared" si="10"/>
        <v/>
      </c>
      <c r="B188" s="86" t="str">
        <f>IFERROR(INDEX(_自动清单!$E$4:$E$253,ROW()-4),"")</f>
        <v/>
      </c>
      <c r="C188" s="90"/>
      <c r="D188" s="27" t="str">
        <f>IF($B188="","",ROUND(SUMIFS(进销存对接!$G$4:$G$305,进销存对接!$D$4:$D$305,"客户应收",进销存对接!$C$4:$C$305,$B188),2))</f>
        <v/>
      </c>
      <c r="E188" s="27" t="str">
        <f>IF($B188="","",ROUND(SUMIFS(资金日记账!$H$4:$H$603,资金日记账!$E$4:$E$603,$B188,资金日记账!$K$4:$K$603,"应收账款"),2))</f>
        <v/>
      </c>
      <c r="F188" s="27" t="str">
        <f t="shared" si="11"/>
        <v/>
      </c>
      <c r="G188" s="90"/>
      <c r="H188" s="27" t="str">
        <f>IF($B188="","",ROUND(SUMIFS(进销存对接!$F$4:$F$305,进销存对接!$D$4:$D$305,"客户应收",进销存对接!$C$4:$C$305,$B188)+SUMIFS(记账凭证!$I$4:$I$3609,记账凭证!$J$4:$J$3609,$B188,记账凭证!$E$4:$E$3609,"应付账款"),2))</f>
        <v/>
      </c>
      <c r="I188" s="27" t="str">
        <f>IF($B188="","",ROUND(SUMIFS(记账凭证!$H$4:$H$3609,记账凭证!$J$4:$J$3609,$B188,记账凭证!$E$4:$E$3609,"应付账款"),2))</f>
        <v/>
      </c>
      <c r="J188" s="27" t="str">
        <f t="shared" si="12"/>
        <v/>
      </c>
      <c r="K188" s="27" t="str">
        <f t="shared" si="13"/>
        <v/>
      </c>
      <c r="L188" s="89" t="str">
        <f t="shared" si="14"/>
        <v/>
      </c>
      <c r="M188" s="91"/>
    </row>
    <row r="189" spans="1:13">
      <c r="A189" s="89" t="str">
        <f t="shared" si="10"/>
        <v/>
      </c>
      <c r="B189" s="86" t="str">
        <f>IFERROR(INDEX(_自动清单!$E$4:$E$253,ROW()-4),"")</f>
        <v/>
      </c>
      <c r="C189" s="90"/>
      <c r="D189" s="27" t="str">
        <f>IF($B189="","",ROUND(SUMIFS(进销存对接!$G$4:$G$305,进销存对接!$D$4:$D$305,"客户应收",进销存对接!$C$4:$C$305,$B189),2))</f>
        <v/>
      </c>
      <c r="E189" s="27" t="str">
        <f>IF($B189="","",ROUND(SUMIFS(资金日记账!$H$4:$H$603,资金日记账!$E$4:$E$603,$B189,资金日记账!$K$4:$K$603,"应收账款"),2))</f>
        <v/>
      </c>
      <c r="F189" s="27" t="str">
        <f t="shared" si="11"/>
        <v/>
      </c>
      <c r="G189" s="90"/>
      <c r="H189" s="27" t="str">
        <f>IF($B189="","",ROUND(SUMIFS(进销存对接!$F$4:$F$305,进销存对接!$D$4:$D$305,"客户应收",进销存对接!$C$4:$C$305,$B189)+SUMIFS(记账凭证!$I$4:$I$3609,记账凭证!$J$4:$J$3609,$B189,记账凭证!$E$4:$E$3609,"应付账款"),2))</f>
        <v/>
      </c>
      <c r="I189" s="27" t="str">
        <f>IF($B189="","",ROUND(SUMIFS(记账凭证!$H$4:$H$3609,记账凭证!$J$4:$J$3609,$B189,记账凭证!$E$4:$E$3609,"应付账款"),2))</f>
        <v/>
      </c>
      <c r="J189" s="27" t="str">
        <f t="shared" si="12"/>
        <v/>
      </c>
      <c r="K189" s="27" t="str">
        <f t="shared" si="13"/>
        <v/>
      </c>
      <c r="L189" s="89" t="str">
        <f t="shared" si="14"/>
        <v/>
      </c>
      <c r="M189" s="91"/>
    </row>
    <row r="190" spans="1:13">
      <c r="A190" s="89" t="str">
        <f t="shared" si="10"/>
        <v/>
      </c>
      <c r="B190" s="86" t="str">
        <f>IFERROR(INDEX(_自动清单!$E$4:$E$253,ROW()-4),"")</f>
        <v/>
      </c>
      <c r="C190" s="90"/>
      <c r="D190" s="27" t="str">
        <f>IF($B190="","",ROUND(SUMIFS(进销存对接!$G$4:$G$305,进销存对接!$D$4:$D$305,"客户应收",进销存对接!$C$4:$C$305,$B190),2))</f>
        <v/>
      </c>
      <c r="E190" s="27" t="str">
        <f>IF($B190="","",ROUND(SUMIFS(资金日记账!$H$4:$H$603,资金日记账!$E$4:$E$603,$B190,资金日记账!$K$4:$K$603,"应收账款"),2))</f>
        <v/>
      </c>
      <c r="F190" s="27" t="str">
        <f t="shared" si="11"/>
        <v/>
      </c>
      <c r="G190" s="90"/>
      <c r="H190" s="27" t="str">
        <f>IF($B190="","",ROUND(SUMIFS(进销存对接!$F$4:$F$305,进销存对接!$D$4:$D$305,"客户应收",进销存对接!$C$4:$C$305,$B190)+SUMIFS(记账凭证!$I$4:$I$3609,记账凭证!$J$4:$J$3609,$B190,记账凭证!$E$4:$E$3609,"应付账款"),2))</f>
        <v/>
      </c>
      <c r="I190" s="27" t="str">
        <f>IF($B190="","",ROUND(SUMIFS(记账凭证!$H$4:$H$3609,记账凭证!$J$4:$J$3609,$B190,记账凭证!$E$4:$E$3609,"应付账款"),2))</f>
        <v/>
      </c>
      <c r="J190" s="27" t="str">
        <f t="shared" si="12"/>
        <v/>
      </c>
      <c r="K190" s="27" t="str">
        <f t="shared" si="13"/>
        <v/>
      </c>
      <c r="L190" s="89" t="str">
        <f t="shared" si="14"/>
        <v/>
      </c>
      <c r="M190" s="91"/>
    </row>
    <row r="191" spans="1:13">
      <c r="A191" s="89" t="str">
        <f t="shared" si="10"/>
        <v/>
      </c>
      <c r="B191" s="86" t="str">
        <f>IFERROR(INDEX(_自动清单!$E$4:$E$253,ROW()-4),"")</f>
        <v/>
      </c>
      <c r="C191" s="90"/>
      <c r="D191" s="27" t="str">
        <f>IF($B191="","",ROUND(SUMIFS(进销存对接!$G$4:$G$305,进销存对接!$D$4:$D$305,"客户应收",进销存对接!$C$4:$C$305,$B191),2))</f>
        <v/>
      </c>
      <c r="E191" s="27" t="str">
        <f>IF($B191="","",ROUND(SUMIFS(资金日记账!$H$4:$H$603,资金日记账!$E$4:$E$603,$B191,资金日记账!$K$4:$K$603,"应收账款"),2))</f>
        <v/>
      </c>
      <c r="F191" s="27" t="str">
        <f t="shared" si="11"/>
        <v/>
      </c>
      <c r="G191" s="90"/>
      <c r="H191" s="27" t="str">
        <f>IF($B191="","",ROUND(SUMIFS(进销存对接!$F$4:$F$305,进销存对接!$D$4:$D$305,"客户应收",进销存对接!$C$4:$C$305,$B191)+SUMIFS(记账凭证!$I$4:$I$3609,记账凭证!$J$4:$J$3609,$B191,记账凭证!$E$4:$E$3609,"应付账款"),2))</f>
        <v/>
      </c>
      <c r="I191" s="27" t="str">
        <f>IF($B191="","",ROUND(SUMIFS(记账凭证!$H$4:$H$3609,记账凭证!$J$4:$J$3609,$B191,记账凭证!$E$4:$E$3609,"应付账款"),2))</f>
        <v/>
      </c>
      <c r="J191" s="27" t="str">
        <f t="shared" si="12"/>
        <v/>
      </c>
      <c r="K191" s="27" t="str">
        <f t="shared" si="13"/>
        <v/>
      </c>
      <c r="L191" s="89" t="str">
        <f t="shared" si="14"/>
        <v/>
      </c>
      <c r="M191" s="91"/>
    </row>
    <row r="192" spans="1:13">
      <c r="A192" s="89" t="str">
        <f t="shared" si="10"/>
        <v/>
      </c>
      <c r="B192" s="86" t="str">
        <f>IFERROR(INDEX(_自动清单!$E$4:$E$253,ROW()-4),"")</f>
        <v/>
      </c>
      <c r="C192" s="90"/>
      <c r="D192" s="27" t="str">
        <f>IF($B192="","",ROUND(SUMIFS(进销存对接!$G$4:$G$305,进销存对接!$D$4:$D$305,"客户应收",进销存对接!$C$4:$C$305,$B192),2))</f>
        <v/>
      </c>
      <c r="E192" s="27" t="str">
        <f>IF($B192="","",ROUND(SUMIFS(资金日记账!$H$4:$H$603,资金日记账!$E$4:$E$603,$B192,资金日记账!$K$4:$K$603,"应收账款"),2))</f>
        <v/>
      </c>
      <c r="F192" s="27" t="str">
        <f t="shared" si="11"/>
        <v/>
      </c>
      <c r="G192" s="90"/>
      <c r="H192" s="27" t="str">
        <f>IF($B192="","",ROUND(SUMIFS(进销存对接!$F$4:$F$305,进销存对接!$D$4:$D$305,"客户应收",进销存对接!$C$4:$C$305,$B192)+SUMIFS(记账凭证!$I$4:$I$3609,记账凭证!$J$4:$J$3609,$B192,记账凭证!$E$4:$E$3609,"应付账款"),2))</f>
        <v/>
      </c>
      <c r="I192" s="27" t="str">
        <f>IF($B192="","",ROUND(SUMIFS(记账凭证!$H$4:$H$3609,记账凭证!$J$4:$J$3609,$B192,记账凭证!$E$4:$E$3609,"应付账款"),2))</f>
        <v/>
      </c>
      <c r="J192" s="27" t="str">
        <f t="shared" si="12"/>
        <v/>
      </c>
      <c r="K192" s="27" t="str">
        <f t="shared" si="13"/>
        <v/>
      </c>
      <c r="L192" s="89" t="str">
        <f t="shared" si="14"/>
        <v/>
      </c>
      <c r="M192" s="91"/>
    </row>
    <row r="193" spans="1:13">
      <c r="A193" s="89" t="str">
        <f t="shared" si="10"/>
        <v/>
      </c>
      <c r="B193" s="86" t="str">
        <f>IFERROR(INDEX(_自动清单!$E$4:$E$253,ROW()-4),"")</f>
        <v/>
      </c>
      <c r="C193" s="90"/>
      <c r="D193" s="27" t="str">
        <f>IF($B193="","",ROUND(SUMIFS(进销存对接!$G$4:$G$305,进销存对接!$D$4:$D$305,"客户应收",进销存对接!$C$4:$C$305,$B193),2))</f>
        <v/>
      </c>
      <c r="E193" s="27" t="str">
        <f>IF($B193="","",ROUND(SUMIFS(资金日记账!$H$4:$H$603,资金日记账!$E$4:$E$603,$B193,资金日记账!$K$4:$K$603,"应收账款"),2))</f>
        <v/>
      </c>
      <c r="F193" s="27" t="str">
        <f t="shared" si="11"/>
        <v/>
      </c>
      <c r="G193" s="90"/>
      <c r="H193" s="27" t="str">
        <f>IF($B193="","",ROUND(SUMIFS(进销存对接!$F$4:$F$305,进销存对接!$D$4:$D$305,"客户应收",进销存对接!$C$4:$C$305,$B193)+SUMIFS(记账凭证!$I$4:$I$3609,记账凭证!$J$4:$J$3609,$B193,记账凭证!$E$4:$E$3609,"应付账款"),2))</f>
        <v/>
      </c>
      <c r="I193" s="27" t="str">
        <f>IF($B193="","",ROUND(SUMIFS(记账凭证!$H$4:$H$3609,记账凭证!$J$4:$J$3609,$B193,记账凭证!$E$4:$E$3609,"应付账款"),2))</f>
        <v/>
      </c>
      <c r="J193" s="27" t="str">
        <f t="shared" si="12"/>
        <v/>
      </c>
      <c r="K193" s="27" t="str">
        <f t="shared" si="13"/>
        <v/>
      </c>
      <c r="L193" s="89" t="str">
        <f t="shared" si="14"/>
        <v/>
      </c>
      <c r="M193" s="91"/>
    </row>
    <row r="194" spans="1:13">
      <c r="A194" s="89" t="str">
        <f t="shared" si="10"/>
        <v/>
      </c>
      <c r="B194" s="86" t="str">
        <f>IFERROR(INDEX(_自动清单!$E$4:$E$253,ROW()-4),"")</f>
        <v/>
      </c>
      <c r="C194" s="90"/>
      <c r="D194" s="27" t="str">
        <f>IF($B194="","",ROUND(SUMIFS(进销存对接!$G$4:$G$305,进销存对接!$D$4:$D$305,"客户应收",进销存对接!$C$4:$C$305,$B194),2))</f>
        <v/>
      </c>
      <c r="E194" s="27" t="str">
        <f>IF($B194="","",ROUND(SUMIFS(资金日记账!$H$4:$H$603,资金日记账!$E$4:$E$603,$B194,资金日记账!$K$4:$K$603,"应收账款"),2))</f>
        <v/>
      </c>
      <c r="F194" s="27" t="str">
        <f t="shared" si="11"/>
        <v/>
      </c>
      <c r="G194" s="90"/>
      <c r="H194" s="27" t="str">
        <f>IF($B194="","",ROUND(SUMIFS(进销存对接!$F$4:$F$305,进销存对接!$D$4:$D$305,"客户应收",进销存对接!$C$4:$C$305,$B194)+SUMIFS(记账凭证!$I$4:$I$3609,记账凭证!$J$4:$J$3609,$B194,记账凭证!$E$4:$E$3609,"应付账款"),2))</f>
        <v/>
      </c>
      <c r="I194" s="27" t="str">
        <f>IF($B194="","",ROUND(SUMIFS(记账凭证!$H$4:$H$3609,记账凭证!$J$4:$J$3609,$B194,记账凭证!$E$4:$E$3609,"应付账款"),2))</f>
        <v/>
      </c>
      <c r="J194" s="27" t="str">
        <f t="shared" si="12"/>
        <v/>
      </c>
      <c r="K194" s="27" t="str">
        <f t="shared" si="13"/>
        <v/>
      </c>
      <c r="L194" s="89" t="str">
        <f t="shared" si="14"/>
        <v/>
      </c>
      <c r="M194" s="91"/>
    </row>
    <row r="195" spans="1:13">
      <c r="A195" s="89" t="str">
        <f t="shared" si="10"/>
        <v/>
      </c>
      <c r="B195" s="86" t="str">
        <f>IFERROR(INDEX(_自动清单!$E$4:$E$253,ROW()-4),"")</f>
        <v/>
      </c>
      <c r="C195" s="90"/>
      <c r="D195" s="27" t="str">
        <f>IF($B195="","",ROUND(SUMIFS(进销存对接!$G$4:$G$305,进销存对接!$D$4:$D$305,"客户应收",进销存对接!$C$4:$C$305,$B195),2))</f>
        <v/>
      </c>
      <c r="E195" s="27" t="str">
        <f>IF($B195="","",ROUND(SUMIFS(资金日记账!$H$4:$H$603,资金日记账!$E$4:$E$603,$B195,资金日记账!$K$4:$K$603,"应收账款"),2))</f>
        <v/>
      </c>
      <c r="F195" s="27" t="str">
        <f t="shared" si="11"/>
        <v/>
      </c>
      <c r="G195" s="90"/>
      <c r="H195" s="27" t="str">
        <f>IF($B195="","",ROUND(SUMIFS(进销存对接!$F$4:$F$305,进销存对接!$D$4:$D$305,"客户应收",进销存对接!$C$4:$C$305,$B195)+SUMIFS(记账凭证!$I$4:$I$3609,记账凭证!$J$4:$J$3609,$B195,记账凭证!$E$4:$E$3609,"应付账款"),2))</f>
        <v/>
      </c>
      <c r="I195" s="27" t="str">
        <f>IF($B195="","",ROUND(SUMIFS(记账凭证!$H$4:$H$3609,记账凭证!$J$4:$J$3609,$B195,记账凭证!$E$4:$E$3609,"应付账款"),2))</f>
        <v/>
      </c>
      <c r="J195" s="27" t="str">
        <f t="shared" si="12"/>
        <v/>
      </c>
      <c r="K195" s="27" t="str">
        <f t="shared" si="13"/>
        <v/>
      </c>
      <c r="L195" s="89" t="str">
        <f t="shared" si="14"/>
        <v/>
      </c>
      <c r="M195" s="91"/>
    </row>
    <row r="196" spans="1:13">
      <c r="A196" s="89" t="str">
        <f t="shared" si="10"/>
        <v/>
      </c>
      <c r="B196" s="86" t="str">
        <f>IFERROR(INDEX(_自动清单!$E$4:$E$253,ROW()-4),"")</f>
        <v/>
      </c>
      <c r="C196" s="90"/>
      <c r="D196" s="27" t="str">
        <f>IF($B196="","",ROUND(SUMIFS(进销存对接!$G$4:$G$305,进销存对接!$D$4:$D$305,"客户应收",进销存对接!$C$4:$C$305,$B196),2))</f>
        <v/>
      </c>
      <c r="E196" s="27" t="str">
        <f>IF($B196="","",ROUND(SUMIFS(资金日记账!$H$4:$H$603,资金日记账!$E$4:$E$603,$B196,资金日记账!$K$4:$K$603,"应收账款"),2))</f>
        <v/>
      </c>
      <c r="F196" s="27" t="str">
        <f t="shared" si="11"/>
        <v/>
      </c>
      <c r="G196" s="90"/>
      <c r="H196" s="27" t="str">
        <f>IF($B196="","",ROUND(SUMIFS(进销存对接!$F$4:$F$305,进销存对接!$D$4:$D$305,"客户应收",进销存对接!$C$4:$C$305,$B196)+SUMIFS(记账凭证!$I$4:$I$3609,记账凭证!$J$4:$J$3609,$B196,记账凭证!$E$4:$E$3609,"应付账款"),2))</f>
        <v/>
      </c>
      <c r="I196" s="27" t="str">
        <f>IF($B196="","",ROUND(SUMIFS(记账凭证!$H$4:$H$3609,记账凭证!$J$4:$J$3609,$B196,记账凭证!$E$4:$E$3609,"应付账款"),2))</f>
        <v/>
      </c>
      <c r="J196" s="27" t="str">
        <f t="shared" si="12"/>
        <v/>
      </c>
      <c r="K196" s="27" t="str">
        <f t="shared" si="13"/>
        <v/>
      </c>
      <c r="L196" s="89" t="str">
        <f t="shared" si="14"/>
        <v/>
      </c>
      <c r="M196" s="91"/>
    </row>
    <row r="197" spans="1:13">
      <c r="A197" s="89" t="str">
        <f t="shared" ref="A197:A204" si="15">IF($B197="","",ROW()-4)</f>
        <v/>
      </c>
      <c r="B197" s="86" t="str">
        <f>IFERROR(INDEX(_自动清单!$E$4:$E$253,ROW()-4),"")</f>
        <v/>
      </c>
      <c r="C197" s="90"/>
      <c r="D197" s="27" t="str">
        <f>IF($B197="","",ROUND(SUMIFS(进销存对接!$G$4:$G$305,进销存对接!$D$4:$D$305,"客户应收",进销存对接!$C$4:$C$305,$B197),2))</f>
        <v/>
      </c>
      <c r="E197" s="27" t="str">
        <f>IF($B197="","",ROUND(SUMIFS(资金日记账!$H$4:$H$603,资金日记账!$E$4:$E$603,$B197,资金日记账!$K$4:$K$603,"应收账款"),2))</f>
        <v/>
      </c>
      <c r="F197" s="27" t="str">
        <f t="shared" ref="F197:F204" si="16">IF($B197="","",ROUND(N($C197)+N($D197)-N($E197),2))</f>
        <v/>
      </c>
      <c r="G197" s="90"/>
      <c r="H197" s="27" t="str">
        <f>IF($B197="","",ROUND(SUMIFS(进销存对接!$F$4:$F$305,进销存对接!$D$4:$D$305,"客户应收",进销存对接!$C$4:$C$305,$B197)+SUMIFS(记账凭证!$I$4:$I$3609,记账凭证!$J$4:$J$3609,$B197,记账凭证!$E$4:$E$3609,"应付账款"),2))</f>
        <v/>
      </c>
      <c r="I197" s="27" t="str">
        <f>IF($B197="","",ROUND(SUMIFS(记账凭证!$H$4:$H$3609,记账凭证!$J$4:$J$3609,$B197,记账凭证!$E$4:$E$3609,"应付账款"),2))</f>
        <v/>
      </c>
      <c r="J197" s="27" t="str">
        <f t="shared" ref="J197:J204" si="17">IF($B197="","",ROUND(N($G197)+N($H197)-N($I197),2))</f>
        <v/>
      </c>
      <c r="K197" s="27" t="str">
        <f t="shared" ref="K197:K204" si="18">IF($B197="","",ROUND(N($F197)-N($J197),2))</f>
        <v/>
      </c>
      <c r="L197" s="89" t="str">
        <f t="shared" ref="L197:L204" si="19">IF($B197="","",IF(ROUND(N($K197),2)&gt;0,"对方欠款",IF(ROUND(N($K197),2)&lt;0,"我方欠款","已两清")))</f>
        <v/>
      </c>
      <c r="M197" s="91"/>
    </row>
    <row r="198" spans="1:13">
      <c r="A198" s="89" t="str">
        <f t="shared" si="15"/>
        <v/>
      </c>
      <c r="B198" s="86" t="str">
        <f>IFERROR(INDEX(_自动清单!$E$4:$E$253,ROW()-4),"")</f>
        <v/>
      </c>
      <c r="C198" s="90"/>
      <c r="D198" s="27" t="str">
        <f>IF($B198="","",ROUND(SUMIFS(进销存对接!$G$4:$G$305,进销存对接!$D$4:$D$305,"客户应收",进销存对接!$C$4:$C$305,$B198),2))</f>
        <v/>
      </c>
      <c r="E198" s="27" t="str">
        <f>IF($B198="","",ROUND(SUMIFS(资金日记账!$H$4:$H$603,资金日记账!$E$4:$E$603,$B198,资金日记账!$K$4:$K$603,"应收账款"),2))</f>
        <v/>
      </c>
      <c r="F198" s="27" t="str">
        <f t="shared" si="16"/>
        <v/>
      </c>
      <c r="G198" s="90"/>
      <c r="H198" s="27" t="str">
        <f>IF($B198="","",ROUND(SUMIFS(进销存对接!$F$4:$F$305,进销存对接!$D$4:$D$305,"客户应收",进销存对接!$C$4:$C$305,$B198)+SUMIFS(记账凭证!$I$4:$I$3609,记账凭证!$J$4:$J$3609,$B198,记账凭证!$E$4:$E$3609,"应付账款"),2))</f>
        <v/>
      </c>
      <c r="I198" s="27" t="str">
        <f>IF($B198="","",ROUND(SUMIFS(记账凭证!$H$4:$H$3609,记账凭证!$J$4:$J$3609,$B198,记账凭证!$E$4:$E$3609,"应付账款"),2))</f>
        <v/>
      </c>
      <c r="J198" s="27" t="str">
        <f t="shared" si="17"/>
        <v/>
      </c>
      <c r="K198" s="27" t="str">
        <f t="shared" si="18"/>
        <v/>
      </c>
      <c r="L198" s="89" t="str">
        <f t="shared" si="19"/>
        <v/>
      </c>
      <c r="M198" s="91"/>
    </row>
    <row r="199" spans="1:13">
      <c r="A199" s="89" t="str">
        <f t="shared" si="15"/>
        <v/>
      </c>
      <c r="B199" s="86" t="str">
        <f>IFERROR(INDEX(_自动清单!$E$4:$E$253,ROW()-4),"")</f>
        <v/>
      </c>
      <c r="C199" s="90"/>
      <c r="D199" s="27" t="str">
        <f>IF($B199="","",ROUND(SUMIFS(进销存对接!$G$4:$G$305,进销存对接!$D$4:$D$305,"客户应收",进销存对接!$C$4:$C$305,$B199),2))</f>
        <v/>
      </c>
      <c r="E199" s="27" t="str">
        <f>IF($B199="","",ROUND(SUMIFS(资金日记账!$H$4:$H$603,资金日记账!$E$4:$E$603,$B199,资金日记账!$K$4:$K$603,"应收账款"),2))</f>
        <v/>
      </c>
      <c r="F199" s="27" t="str">
        <f t="shared" si="16"/>
        <v/>
      </c>
      <c r="G199" s="90"/>
      <c r="H199" s="27" t="str">
        <f>IF($B199="","",ROUND(SUMIFS(进销存对接!$F$4:$F$305,进销存对接!$D$4:$D$305,"客户应收",进销存对接!$C$4:$C$305,$B199)+SUMIFS(记账凭证!$I$4:$I$3609,记账凭证!$J$4:$J$3609,$B199,记账凭证!$E$4:$E$3609,"应付账款"),2))</f>
        <v/>
      </c>
      <c r="I199" s="27" t="str">
        <f>IF($B199="","",ROUND(SUMIFS(记账凭证!$H$4:$H$3609,记账凭证!$J$4:$J$3609,$B199,记账凭证!$E$4:$E$3609,"应付账款"),2))</f>
        <v/>
      </c>
      <c r="J199" s="27" t="str">
        <f t="shared" si="17"/>
        <v/>
      </c>
      <c r="K199" s="27" t="str">
        <f t="shared" si="18"/>
        <v/>
      </c>
      <c r="L199" s="89" t="str">
        <f t="shared" si="19"/>
        <v/>
      </c>
      <c r="M199" s="91"/>
    </row>
    <row r="200" spans="1:13">
      <c r="A200" s="89" t="str">
        <f t="shared" si="15"/>
        <v/>
      </c>
      <c r="B200" s="86" t="str">
        <f>IFERROR(INDEX(_自动清单!$E$4:$E$253,ROW()-4),"")</f>
        <v/>
      </c>
      <c r="C200" s="90"/>
      <c r="D200" s="27" t="str">
        <f>IF($B200="","",ROUND(SUMIFS(进销存对接!$G$4:$G$305,进销存对接!$D$4:$D$305,"客户应收",进销存对接!$C$4:$C$305,$B200),2))</f>
        <v/>
      </c>
      <c r="E200" s="27" t="str">
        <f>IF($B200="","",ROUND(SUMIFS(资金日记账!$H$4:$H$603,资金日记账!$E$4:$E$603,$B200,资金日记账!$K$4:$K$603,"应收账款"),2))</f>
        <v/>
      </c>
      <c r="F200" s="27" t="str">
        <f t="shared" si="16"/>
        <v/>
      </c>
      <c r="G200" s="90"/>
      <c r="H200" s="27" t="str">
        <f>IF($B200="","",ROUND(SUMIFS(进销存对接!$F$4:$F$305,进销存对接!$D$4:$D$305,"客户应收",进销存对接!$C$4:$C$305,$B200)+SUMIFS(记账凭证!$I$4:$I$3609,记账凭证!$J$4:$J$3609,$B200,记账凭证!$E$4:$E$3609,"应付账款"),2))</f>
        <v/>
      </c>
      <c r="I200" s="27" t="str">
        <f>IF($B200="","",ROUND(SUMIFS(记账凭证!$H$4:$H$3609,记账凭证!$J$4:$J$3609,$B200,记账凭证!$E$4:$E$3609,"应付账款"),2))</f>
        <v/>
      </c>
      <c r="J200" s="27" t="str">
        <f t="shared" si="17"/>
        <v/>
      </c>
      <c r="K200" s="27" t="str">
        <f t="shared" si="18"/>
        <v/>
      </c>
      <c r="L200" s="89" t="str">
        <f t="shared" si="19"/>
        <v/>
      </c>
      <c r="M200" s="91"/>
    </row>
    <row r="201" spans="1:13">
      <c r="A201" s="89" t="str">
        <f t="shared" si="15"/>
        <v/>
      </c>
      <c r="B201" s="86" t="str">
        <f>IFERROR(INDEX(_自动清单!$E$4:$E$253,ROW()-4),"")</f>
        <v/>
      </c>
      <c r="C201" s="90"/>
      <c r="D201" s="27" t="str">
        <f>IF($B201="","",ROUND(SUMIFS(进销存对接!$G$4:$G$305,进销存对接!$D$4:$D$305,"客户应收",进销存对接!$C$4:$C$305,$B201),2))</f>
        <v/>
      </c>
      <c r="E201" s="27" t="str">
        <f>IF($B201="","",ROUND(SUMIFS(资金日记账!$H$4:$H$603,资金日记账!$E$4:$E$603,$B201,资金日记账!$K$4:$K$603,"应收账款"),2))</f>
        <v/>
      </c>
      <c r="F201" s="27" t="str">
        <f t="shared" si="16"/>
        <v/>
      </c>
      <c r="G201" s="90"/>
      <c r="H201" s="27" t="str">
        <f>IF($B201="","",ROUND(SUMIFS(进销存对接!$F$4:$F$305,进销存对接!$D$4:$D$305,"客户应收",进销存对接!$C$4:$C$305,$B201)+SUMIFS(记账凭证!$I$4:$I$3609,记账凭证!$J$4:$J$3609,$B201,记账凭证!$E$4:$E$3609,"应付账款"),2))</f>
        <v/>
      </c>
      <c r="I201" s="27" t="str">
        <f>IF($B201="","",ROUND(SUMIFS(记账凭证!$H$4:$H$3609,记账凭证!$J$4:$J$3609,$B201,记账凭证!$E$4:$E$3609,"应付账款"),2))</f>
        <v/>
      </c>
      <c r="J201" s="27" t="str">
        <f t="shared" si="17"/>
        <v/>
      </c>
      <c r="K201" s="27" t="str">
        <f t="shared" si="18"/>
        <v/>
      </c>
      <c r="L201" s="89" t="str">
        <f t="shared" si="19"/>
        <v/>
      </c>
      <c r="M201" s="91"/>
    </row>
    <row r="202" spans="1:13">
      <c r="A202" s="89" t="str">
        <f t="shared" si="15"/>
        <v/>
      </c>
      <c r="B202" s="86" t="str">
        <f>IFERROR(INDEX(_自动清单!$E$4:$E$253,ROW()-4),"")</f>
        <v/>
      </c>
      <c r="C202" s="90"/>
      <c r="D202" s="27" t="str">
        <f>IF($B202="","",ROUND(SUMIFS(进销存对接!$G$4:$G$305,进销存对接!$D$4:$D$305,"客户应收",进销存对接!$C$4:$C$305,$B202),2))</f>
        <v/>
      </c>
      <c r="E202" s="27" t="str">
        <f>IF($B202="","",ROUND(SUMIFS(资金日记账!$H$4:$H$603,资金日记账!$E$4:$E$603,$B202,资金日记账!$K$4:$K$603,"应收账款"),2))</f>
        <v/>
      </c>
      <c r="F202" s="27" t="str">
        <f t="shared" si="16"/>
        <v/>
      </c>
      <c r="G202" s="90"/>
      <c r="H202" s="27" t="str">
        <f>IF($B202="","",ROUND(SUMIFS(进销存对接!$F$4:$F$305,进销存对接!$D$4:$D$305,"客户应收",进销存对接!$C$4:$C$305,$B202)+SUMIFS(记账凭证!$I$4:$I$3609,记账凭证!$J$4:$J$3609,$B202,记账凭证!$E$4:$E$3609,"应付账款"),2))</f>
        <v/>
      </c>
      <c r="I202" s="27" t="str">
        <f>IF($B202="","",ROUND(SUMIFS(记账凭证!$H$4:$H$3609,记账凭证!$J$4:$J$3609,$B202,记账凭证!$E$4:$E$3609,"应付账款"),2))</f>
        <v/>
      </c>
      <c r="J202" s="27" t="str">
        <f t="shared" si="17"/>
        <v/>
      </c>
      <c r="K202" s="27" t="str">
        <f t="shared" si="18"/>
        <v/>
      </c>
      <c r="L202" s="89" t="str">
        <f t="shared" si="19"/>
        <v/>
      </c>
      <c r="M202" s="91"/>
    </row>
    <row r="203" spans="1:13">
      <c r="A203" s="89" t="str">
        <f t="shared" si="15"/>
        <v/>
      </c>
      <c r="B203" s="86" t="str">
        <f>IFERROR(INDEX(_自动清单!$E$4:$E$253,ROW()-4),"")</f>
        <v/>
      </c>
      <c r="C203" s="90"/>
      <c r="D203" s="27" t="str">
        <f>IF($B203="","",ROUND(SUMIFS(进销存对接!$G$4:$G$305,进销存对接!$D$4:$D$305,"客户应收",进销存对接!$C$4:$C$305,$B203),2))</f>
        <v/>
      </c>
      <c r="E203" s="27" t="str">
        <f>IF($B203="","",ROUND(SUMIFS(资金日记账!$H$4:$H$603,资金日记账!$E$4:$E$603,$B203,资金日记账!$K$4:$K$603,"应收账款"),2))</f>
        <v/>
      </c>
      <c r="F203" s="27" t="str">
        <f t="shared" si="16"/>
        <v/>
      </c>
      <c r="G203" s="90"/>
      <c r="H203" s="27" t="str">
        <f>IF($B203="","",ROUND(SUMIFS(进销存对接!$F$4:$F$305,进销存对接!$D$4:$D$305,"客户应收",进销存对接!$C$4:$C$305,$B203)+SUMIFS(记账凭证!$I$4:$I$3609,记账凭证!$J$4:$J$3609,$B203,记账凭证!$E$4:$E$3609,"应付账款"),2))</f>
        <v/>
      </c>
      <c r="I203" s="27" t="str">
        <f>IF($B203="","",ROUND(SUMIFS(记账凭证!$H$4:$H$3609,记账凭证!$J$4:$J$3609,$B203,记账凭证!$E$4:$E$3609,"应付账款"),2))</f>
        <v/>
      </c>
      <c r="J203" s="27" t="str">
        <f t="shared" si="17"/>
        <v/>
      </c>
      <c r="K203" s="27" t="str">
        <f t="shared" si="18"/>
        <v/>
      </c>
      <c r="L203" s="89" t="str">
        <f t="shared" si="19"/>
        <v/>
      </c>
      <c r="M203" s="91"/>
    </row>
    <row r="204" spans="1:13">
      <c r="A204" s="89" t="str">
        <f t="shared" si="15"/>
        <v/>
      </c>
      <c r="B204" s="86" t="str">
        <f>IFERROR(INDEX(_自动清单!$E$4:$E$253,ROW()-4),"")</f>
        <v/>
      </c>
      <c r="C204" s="90"/>
      <c r="D204" s="27" t="str">
        <f>IF($B204="","",ROUND(SUMIFS(进销存对接!$G$4:$G$305,进销存对接!$D$4:$D$305,"客户应收",进销存对接!$C$4:$C$305,$B204),2))</f>
        <v/>
      </c>
      <c r="E204" s="27" t="str">
        <f>IF($B204="","",ROUND(SUMIFS(资金日记账!$H$4:$H$603,资金日记账!$E$4:$E$603,$B204,资金日记账!$K$4:$K$603,"应收账款"),2))</f>
        <v/>
      </c>
      <c r="F204" s="27" t="str">
        <f t="shared" si="16"/>
        <v/>
      </c>
      <c r="G204" s="90"/>
      <c r="H204" s="27" t="str">
        <f>IF($B204="","",ROUND(SUMIFS(进销存对接!$F$4:$F$305,进销存对接!$D$4:$D$305,"客户应收",进销存对接!$C$4:$C$305,$B204)+SUMIFS(记账凭证!$I$4:$I$3609,记账凭证!$J$4:$J$3609,$B204,记账凭证!$E$4:$E$3609,"应付账款"),2))</f>
        <v/>
      </c>
      <c r="I204" s="27" t="str">
        <f>IF($B204="","",ROUND(SUMIFS(记账凭证!$H$4:$H$3609,记账凭证!$J$4:$J$3609,$B204,记账凭证!$E$4:$E$3609,"应付账款"),2))</f>
        <v/>
      </c>
      <c r="J204" s="27" t="str">
        <f t="shared" si="17"/>
        <v/>
      </c>
      <c r="K204" s="27" t="str">
        <f t="shared" si="18"/>
        <v/>
      </c>
      <c r="L204" s="89" t="str">
        <f t="shared" si="19"/>
        <v/>
      </c>
      <c r="M204" s="91"/>
    </row>
    <row r="205" spans="1:13">
      <c r="A205" s="92"/>
      <c r="B205" s="92" t="s">
        <v>220</v>
      </c>
      <c r="C205" s="93">
        <f t="shared" ref="C205:K205" si="20">ROUND(SUM(C5:C204),2)</f>
        <v>0</v>
      </c>
      <c r="D205" s="93">
        <f t="shared" si="20"/>
        <v>0</v>
      </c>
      <c r="E205" s="93">
        <f t="shared" si="20"/>
        <v>0</v>
      </c>
      <c r="F205" s="93">
        <f t="shared" si="20"/>
        <v>0</v>
      </c>
      <c r="G205" s="93">
        <f t="shared" si="20"/>
        <v>0</v>
      </c>
      <c r="H205" s="93">
        <f t="shared" si="20"/>
        <v>0</v>
      </c>
      <c r="I205" s="93">
        <f t="shared" si="20"/>
        <v>0</v>
      </c>
      <c r="J205" s="93">
        <f t="shared" si="20"/>
        <v>0</v>
      </c>
      <c r="K205" s="93">
        <f t="shared" si="20"/>
        <v>0</v>
      </c>
      <c r="L205" s="92" t="str">
        <f>COUNTIF($L$5:$L$204,"对方欠款")&amp;"家欠款 / "&amp;COUNTIF($L$5:$L$204,"我方欠款")&amp;"家应付"</f>
        <v>0家欠款 / 0家应付</v>
      </c>
      <c r="M205" s="92"/>
    </row>
  </sheetData>
  <mergeCells count="3">
    <mergeCell ref="A1:M1"/>
    <mergeCell ref="A2:M2"/>
    <mergeCell ref="A3:M3"/>
  </mergeCells>
  <conditionalFormatting sqref="A2">
    <cfRule type="expression" dxfId="0" priority="1">
      <formula>(N(_自动清单!$A$1)&gt;200)</formula>
    </cfRule>
    <cfRule type="expression" dxfId="0" priority="2">
      <formula>OR(N(对接源_01水果!$T$1)+N(对接源_02物料!$T$1)=0,N(对接源_01水果!$T$4)*N(对接源_02物料!$T$4)=0)</formula>
    </cfRule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AA65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A1" sqref="A1:AA1"/>
    </sheetView>
  </sheetViews>
  <sheetFormatPr defaultColWidth="9" defaultRowHeight="13.5"/>
  <cols>
    <col min="1" max="1" width="20" customWidth="1"/>
    <col min="2" max="25" width="12" customWidth="1"/>
    <col min="26" max="26" width="14" customWidth="1"/>
  </cols>
  <sheetData>
    <row r="1" ht="30" customHeight="1" spans="1:27">
      <c r="A1" s="71" t="s">
        <v>655</v>
      </c>
    </row>
    <row r="2" spans="1:27">
      <c r="A2" s="72" t="s">
        <v>656</v>
      </c>
      <c r="E2" s="8" t="s">
        <v>657</v>
      </c>
      <c r="F2" s="82">
        <v>46235</v>
      </c>
      <c r="G2" s="83" t="str">
        <f>IF($F$2="","（请填 F2，例如 2026-8-1）",TEXT($F$2,"yyyy年m月")&amp;"　—　"&amp;TEXT(DATE(YEAR($F$2),MONTH($F$2)+23,1),"yyyy年m月"))</f>
        <v>2026年8月　—　2028年7月</v>
      </c>
      <c r="H2" s="46"/>
      <c r="I2" s="46"/>
      <c r="J2" s="46"/>
      <c r="K2" s="46"/>
      <c r="L2" s="38"/>
    </row>
    <row r="3" spans="1:27">
      <c r="A3" s="84" t="s">
        <v>658</v>
      </c>
      <c r="B3" s="85">
        <f ca="1" t="shared" ref="B3:AA3" si="0">ROUND(SUM(B$5:B$64),2)</f>
        <v>0</v>
      </c>
      <c r="C3" s="85">
        <f ca="1" t="shared" si="0"/>
        <v>0</v>
      </c>
      <c r="D3" s="85">
        <f ca="1" t="shared" si="0"/>
        <v>0</v>
      </c>
      <c r="E3" s="85">
        <f ca="1" t="shared" si="0"/>
        <v>0</v>
      </c>
      <c r="F3" s="85">
        <f ca="1" t="shared" si="0"/>
        <v>0</v>
      </c>
      <c r="G3" s="85">
        <f ca="1" t="shared" si="0"/>
        <v>0</v>
      </c>
      <c r="H3" s="85">
        <f ca="1" t="shared" si="0"/>
        <v>0</v>
      </c>
      <c r="I3" s="85">
        <f ca="1" t="shared" si="0"/>
        <v>0</v>
      </c>
      <c r="J3" s="85">
        <f ca="1" t="shared" si="0"/>
        <v>0</v>
      </c>
      <c r="K3" s="85">
        <f ca="1" t="shared" si="0"/>
        <v>0</v>
      </c>
      <c r="L3" s="85">
        <f ca="1" t="shared" si="0"/>
        <v>0</v>
      </c>
      <c r="M3" s="85">
        <f ca="1" t="shared" si="0"/>
        <v>0</v>
      </c>
      <c r="N3" s="85">
        <f ca="1" t="shared" si="0"/>
        <v>0</v>
      </c>
      <c r="O3" s="85">
        <f ca="1" t="shared" si="0"/>
        <v>0</v>
      </c>
      <c r="P3" s="85">
        <f ca="1" t="shared" si="0"/>
        <v>0</v>
      </c>
      <c r="Q3" s="85">
        <f ca="1" t="shared" si="0"/>
        <v>0</v>
      </c>
      <c r="R3" s="85">
        <f ca="1" t="shared" si="0"/>
        <v>0</v>
      </c>
      <c r="S3" s="85">
        <f ca="1" t="shared" si="0"/>
        <v>0</v>
      </c>
      <c r="T3" s="85">
        <f ca="1" t="shared" si="0"/>
        <v>0</v>
      </c>
      <c r="U3" s="85">
        <f ca="1" t="shared" si="0"/>
        <v>0</v>
      </c>
      <c r="V3" s="85">
        <f ca="1" t="shared" si="0"/>
        <v>0</v>
      </c>
      <c r="W3" s="85">
        <f ca="1" t="shared" si="0"/>
        <v>0</v>
      </c>
      <c r="X3" s="85">
        <f ca="1" t="shared" si="0"/>
        <v>0</v>
      </c>
      <c r="Y3" s="85">
        <f ca="1" t="shared" si="0"/>
        <v>0</v>
      </c>
      <c r="Z3" s="85">
        <f ca="1" t="shared" si="0"/>
        <v>0</v>
      </c>
      <c r="AA3" s="85">
        <f t="shared" si="0"/>
        <v>0</v>
      </c>
    </row>
    <row r="4" ht="30" customHeight="1" spans="1:27">
      <c r="A4" s="73" t="s">
        <v>659</v>
      </c>
      <c r="B4" s="73" t="str">
        <f ca="1">IF($F$2="",TEXT(DATE(YEAR(TODAY()),MONTH(TODAY())+0,1),"yyyy年m月"),TEXT(DATE(YEAR($F$2),MONTH($F$2)+0,1),"yyyy年m月"))</f>
        <v>2026年8月</v>
      </c>
      <c r="C4" s="73" t="str">
        <f ca="1">IF($F$2="",TEXT(DATE(YEAR(TODAY()),MONTH(TODAY())+1,1),"yyyy年m月"),TEXT(DATE(YEAR($F$2),MONTH($F$2)+1,1),"yyyy年m月"))</f>
        <v>2026年9月</v>
      </c>
      <c r="D4" s="73" t="str">
        <f ca="1">IF($F$2="",TEXT(DATE(YEAR(TODAY()),MONTH(TODAY())+2,1),"yyyy年m月"),TEXT(DATE(YEAR($F$2),MONTH($F$2)+2,1),"yyyy年m月"))</f>
        <v>2026年10月</v>
      </c>
      <c r="E4" s="73" t="str">
        <f ca="1">IF($F$2="",TEXT(DATE(YEAR(TODAY()),MONTH(TODAY())+3,1),"yyyy年m月"),TEXT(DATE(YEAR($F$2),MONTH($F$2)+3,1),"yyyy年m月"))</f>
        <v>2026年11月</v>
      </c>
      <c r="F4" s="73" t="str">
        <f ca="1">IF($F$2="",TEXT(DATE(YEAR(TODAY()),MONTH(TODAY())+4,1),"yyyy年m月"),TEXT(DATE(YEAR($F$2),MONTH($F$2)+4,1),"yyyy年m月"))</f>
        <v>2026年12月</v>
      </c>
      <c r="G4" s="73" t="str">
        <f ca="1">IF($F$2="",TEXT(DATE(YEAR(TODAY()),MONTH(TODAY())+5,1),"yyyy年m月"),TEXT(DATE(YEAR($F$2),MONTH($F$2)+5,1),"yyyy年m月"))</f>
        <v>2027年1月</v>
      </c>
      <c r="H4" s="73" t="str">
        <f ca="1">IF($F$2="",TEXT(DATE(YEAR(TODAY()),MONTH(TODAY())+6,1),"yyyy年m月"),TEXT(DATE(YEAR($F$2),MONTH($F$2)+6,1),"yyyy年m月"))</f>
        <v>2027年2月</v>
      </c>
      <c r="I4" s="73" t="str">
        <f ca="1">IF($F$2="",TEXT(DATE(YEAR(TODAY()),MONTH(TODAY())+7,1),"yyyy年m月"),TEXT(DATE(YEAR($F$2),MONTH($F$2)+7,1),"yyyy年m月"))</f>
        <v>2027年3月</v>
      </c>
      <c r="J4" s="73" t="str">
        <f ca="1">IF($F$2="",TEXT(DATE(YEAR(TODAY()),MONTH(TODAY())+8,1),"yyyy年m月"),TEXT(DATE(YEAR($F$2),MONTH($F$2)+8,1),"yyyy年m月"))</f>
        <v>2027年4月</v>
      </c>
      <c r="K4" s="73" t="str">
        <f ca="1">IF($F$2="",TEXT(DATE(YEAR(TODAY()),MONTH(TODAY())+9,1),"yyyy年m月"),TEXT(DATE(YEAR($F$2),MONTH($F$2)+9,1),"yyyy年m月"))</f>
        <v>2027年5月</v>
      </c>
      <c r="L4" s="73" t="str">
        <f ca="1">IF($F$2="",TEXT(DATE(YEAR(TODAY()),MONTH(TODAY())+10,1),"yyyy年m月"),TEXT(DATE(YEAR($F$2),MONTH($F$2)+10,1),"yyyy年m月"))</f>
        <v>2027年6月</v>
      </c>
      <c r="M4" s="73" t="str">
        <f ca="1">IF($F$2="",TEXT(DATE(YEAR(TODAY()),MONTH(TODAY())+11,1),"yyyy年m月"),TEXT(DATE(YEAR($F$2),MONTH($F$2)+11,1),"yyyy年m月"))</f>
        <v>2027年7月</v>
      </c>
      <c r="N4" s="73" t="str">
        <f ca="1">IF($F$2="",TEXT(DATE(YEAR(TODAY()),MONTH(TODAY())+12,1),"yyyy年m月"),TEXT(DATE(YEAR($F$2),MONTH($F$2)+12,1),"yyyy年m月"))</f>
        <v>2027年8月</v>
      </c>
      <c r="O4" s="73" t="str">
        <f ca="1">IF($F$2="",TEXT(DATE(YEAR(TODAY()),MONTH(TODAY())+13,1),"yyyy年m月"),TEXT(DATE(YEAR($F$2),MONTH($F$2)+13,1),"yyyy年m月"))</f>
        <v>2027年9月</v>
      </c>
      <c r="P4" s="73" t="str">
        <f ca="1">IF($F$2="",TEXT(DATE(YEAR(TODAY()),MONTH(TODAY())+14,1),"yyyy年m月"),TEXT(DATE(YEAR($F$2),MONTH($F$2)+14,1),"yyyy年m月"))</f>
        <v>2027年10月</v>
      </c>
      <c r="Q4" s="73" t="str">
        <f ca="1">IF($F$2="",TEXT(DATE(YEAR(TODAY()),MONTH(TODAY())+15,1),"yyyy年m月"),TEXT(DATE(YEAR($F$2),MONTH($F$2)+15,1),"yyyy年m月"))</f>
        <v>2027年11月</v>
      </c>
      <c r="R4" s="73" t="str">
        <f ca="1">IF($F$2="",TEXT(DATE(YEAR(TODAY()),MONTH(TODAY())+16,1),"yyyy年m月"),TEXT(DATE(YEAR($F$2),MONTH($F$2)+16,1),"yyyy年m月"))</f>
        <v>2027年12月</v>
      </c>
      <c r="S4" s="73" t="str">
        <f ca="1">IF($F$2="",TEXT(DATE(YEAR(TODAY()),MONTH(TODAY())+17,1),"yyyy年m月"),TEXT(DATE(YEAR($F$2),MONTH($F$2)+17,1),"yyyy年m月"))</f>
        <v>2028年1月</v>
      </c>
      <c r="T4" s="73" t="str">
        <f ca="1">IF($F$2="",TEXT(DATE(YEAR(TODAY()),MONTH(TODAY())+18,1),"yyyy年m月"),TEXT(DATE(YEAR($F$2),MONTH($F$2)+18,1),"yyyy年m月"))</f>
        <v>2028年2月</v>
      </c>
      <c r="U4" s="73" t="str">
        <f ca="1">IF($F$2="",TEXT(DATE(YEAR(TODAY()),MONTH(TODAY())+19,1),"yyyy年m月"),TEXT(DATE(YEAR($F$2),MONTH($F$2)+19,1),"yyyy年m月"))</f>
        <v>2028年3月</v>
      </c>
      <c r="V4" s="73" t="str">
        <f ca="1">IF($F$2="",TEXT(DATE(YEAR(TODAY()),MONTH(TODAY())+20,1),"yyyy年m月"),TEXT(DATE(YEAR($F$2),MONTH($F$2)+20,1),"yyyy年m月"))</f>
        <v>2028年4月</v>
      </c>
      <c r="W4" s="73" t="str">
        <f ca="1">IF($F$2="",TEXT(DATE(YEAR(TODAY()),MONTH(TODAY())+21,1),"yyyy年m月"),TEXT(DATE(YEAR($F$2),MONTH($F$2)+21,1),"yyyy年m月"))</f>
        <v>2028年5月</v>
      </c>
      <c r="X4" s="73" t="str">
        <f ca="1">IF($F$2="",TEXT(DATE(YEAR(TODAY()),MONTH(TODAY())+22,1),"yyyy年m月"),TEXT(DATE(YEAR($F$2),MONTH($F$2)+22,1),"yyyy年m月"))</f>
        <v>2028年6月</v>
      </c>
      <c r="Y4" s="73" t="str">
        <f ca="1">IF($F$2="",TEXT(DATE(YEAR(TODAY()),MONTH(TODAY())+23,1),"yyyy年m月"),TEXT(DATE(YEAR($F$2),MONTH($F$2)+23,1),"yyyy年m月"))</f>
        <v>2028年7月</v>
      </c>
      <c r="Z4" s="73" t="s">
        <v>660</v>
      </c>
    </row>
    <row r="5" spans="1:27">
      <c r="A5" s="86" t="str">
        <f>IFERROR(INDEX(_自动清单!$AJ$4:$AJ$63,1),"")</f>
        <v/>
      </c>
      <c r="B5" s="76" t="str">
        <f ca="1">IF($A5="","",ROUND(SUMIFS(资金日记账!$H$4:$H$603,资金日记账!$E$4:$E$603,$A5,资金日记账!$V$4:$V$603,B$4),2))</f>
        <v/>
      </c>
      <c r="C5" s="76" t="str">
        <f ca="1">IF($A5="","",ROUND(SUMIFS(资金日记账!$H$4:$H$603,资金日记账!$E$4:$E$603,$A5,资金日记账!$V$4:$V$603,C$4),2))</f>
        <v/>
      </c>
      <c r="D5" s="76" t="str">
        <f ca="1">IF($A5="","",ROUND(SUMIFS(资金日记账!$H$4:$H$603,资金日记账!$E$4:$E$603,$A5,资金日记账!$V$4:$V$603,D$4),2))</f>
        <v/>
      </c>
      <c r="E5" s="76" t="str">
        <f ca="1">IF($A5="","",ROUND(SUMIFS(资金日记账!$H$4:$H$603,资金日记账!$E$4:$E$603,$A5,资金日记账!$V$4:$V$603,E$4),2))</f>
        <v/>
      </c>
      <c r="F5" s="76" t="str">
        <f ca="1">IF($A5="","",ROUND(SUMIFS(资金日记账!$H$4:$H$603,资金日记账!$E$4:$E$603,$A5,资金日记账!$V$4:$V$603,F$4),2))</f>
        <v/>
      </c>
      <c r="G5" s="76" t="str">
        <f ca="1">IF($A5="","",ROUND(SUMIFS(资金日记账!$H$4:$H$603,资金日记账!$E$4:$E$603,$A5,资金日记账!$V$4:$V$603,G$4),2))</f>
        <v/>
      </c>
      <c r="H5" s="76" t="str">
        <f ca="1">IF($A5="","",ROUND(SUMIFS(资金日记账!$H$4:$H$603,资金日记账!$E$4:$E$603,$A5,资金日记账!$V$4:$V$603,H$4),2))</f>
        <v/>
      </c>
      <c r="I5" s="76" t="str">
        <f ca="1">IF($A5="","",ROUND(SUMIFS(资金日记账!$H$4:$H$603,资金日记账!$E$4:$E$603,$A5,资金日记账!$V$4:$V$603,I$4),2))</f>
        <v/>
      </c>
      <c r="J5" s="76" t="str">
        <f ca="1">IF($A5="","",ROUND(SUMIFS(资金日记账!$H$4:$H$603,资金日记账!$E$4:$E$603,$A5,资金日记账!$V$4:$V$603,J$4),2))</f>
        <v/>
      </c>
      <c r="K5" s="76" t="str">
        <f ca="1">IF($A5="","",ROUND(SUMIFS(资金日记账!$H$4:$H$603,资金日记账!$E$4:$E$603,$A5,资金日记账!$V$4:$V$603,K$4),2))</f>
        <v/>
      </c>
      <c r="L5" s="76" t="str">
        <f ca="1">IF($A5="","",ROUND(SUMIFS(资金日记账!$H$4:$H$603,资金日记账!$E$4:$E$603,$A5,资金日记账!$V$4:$V$603,L$4),2))</f>
        <v/>
      </c>
      <c r="M5" s="76" t="str">
        <f ca="1">IF($A5="","",ROUND(SUMIFS(资金日记账!$H$4:$H$603,资金日记账!$E$4:$E$603,$A5,资金日记账!$V$4:$V$603,M$4),2))</f>
        <v/>
      </c>
      <c r="N5" s="76" t="str">
        <f ca="1">IF($A5="","",ROUND(SUMIFS(资金日记账!$H$4:$H$603,资金日记账!$E$4:$E$603,$A5,资金日记账!$V$4:$V$603,N$4),2))</f>
        <v/>
      </c>
      <c r="O5" s="76" t="str">
        <f ca="1">IF($A5="","",ROUND(SUMIFS(资金日记账!$H$4:$H$603,资金日记账!$E$4:$E$603,$A5,资金日记账!$V$4:$V$603,O$4),2))</f>
        <v/>
      </c>
      <c r="P5" s="76" t="str">
        <f ca="1">IF($A5="","",ROUND(SUMIFS(资金日记账!$H$4:$H$603,资金日记账!$E$4:$E$603,$A5,资金日记账!$V$4:$V$603,P$4),2))</f>
        <v/>
      </c>
      <c r="Q5" s="76" t="str">
        <f ca="1">IF($A5="","",ROUND(SUMIFS(资金日记账!$H$4:$H$603,资金日记账!$E$4:$E$603,$A5,资金日记账!$V$4:$V$603,Q$4),2))</f>
        <v/>
      </c>
      <c r="R5" s="76" t="str">
        <f ca="1">IF($A5="","",ROUND(SUMIFS(资金日记账!$H$4:$H$603,资金日记账!$E$4:$E$603,$A5,资金日记账!$V$4:$V$603,R$4),2))</f>
        <v/>
      </c>
      <c r="S5" s="76" t="str">
        <f ca="1">IF($A5="","",ROUND(SUMIFS(资金日记账!$H$4:$H$603,资金日记账!$E$4:$E$603,$A5,资金日记账!$V$4:$V$603,S$4),2))</f>
        <v/>
      </c>
      <c r="T5" s="76" t="str">
        <f ca="1">IF($A5="","",ROUND(SUMIFS(资金日记账!$H$4:$H$603,资金日记账!$E$4:$E$603,$A5,资金日记账!$V$4:$V$603,T$4),2))</f>
        <v/>
      </c>
      <c r="U5" s="76" t="str">
        <f ca="1">IF($A5="","",ROUND(SUMIFS(资金日记账!$H$4:$H$603,资金日记账!$E$4:$E$603,$A5,资金日记账!$V$4:$V$603,U$4),2))</f>
        <v/>
      </c>
      <c r="V5" s="76" t="str">
        <f ca="1">IF($A5="","",ROUND(SUMIFS(资金日记账!$H$4:$H$603,资金日记账!$E$4:$E$603,$A5,资金日记账!$V$4:$V$603,V$4),2))</f>
        <v/>
      </c>
      <c r="W5" s="76" t="str">
        <f ca="1">IF($A5="","",ROUND(SUMIFS(资金日记账!$H$4:$H$603,资金日记账!$E$4:$E$603,$A5,资金日记账!$V$4:$V$603,W$4),2))</f>
        <v/>
      </c>
      <c r="X5" s="76" t="str">
        <f ca="1">IF($A5="","",ROUND(SUMIFS(资金日记账!$H$4:$H$603,资金日记账!$E$4:$E$603,$A5,资金日记账!$V$4:$V$603,X$4),2))</f>
        <v/>
      </c>
      <c r="Y5" s="76" t="str">
        <f ca="1">IF($A5="","",ROUND(SUMIFS(资金日记账!$H$4:$H$603,资金日记账!$E$4:$E$603,$A5,资金日记账!$V$4:$V$603,Y$4),2))</f>
        <v/>
      </c>
      <c r="Z5" s="87" t="str">
        <f ca="1" t="shared" ref="Z5:Z64" si="1">IF($A5="","",ROUND(SUM($B5:$Y5),2))</f>
        <v/>
      </c>
    </row>
    <row r="6" spans="1:27">
      <c r="A6" s="86" t="str">
        <f>IFERROR(INDEX(_自动清单!$AJ$4:$AJ$63,2),"")</f>
        <v/>
      </c>
      <c r="B6" s="76" t="str">
        <f ca="1">IF($A6="","",ROUND(SUMIFS(资金日记账!$H$4:$H$603,资金日记账!$E$4:$E$603,$A6,资金日记账!$V$4:$V$603,B$4),2))</f>
        <v/>
      </c>
      <c r="C6" s="76" t="str">
        <f ca="1">IF($A6="","",ROUND(SUMIFS(资金日记账!$H$4:$H$603,资金日记账!$E$4:$E$603,$A6,资金日记账!$V$4:$V$603,C$4),2))</f>
        <v/>
      </c>
      <c r="D6" s="76" t="str">
        <f ca="1">IF($A6="","",ROUND(SUMIFS(资金日记账!$H$4:$H$603,资金日记账!$E$4:$E$603,$A6,资金日记账!$V$4:$V$603,D$4),2))</f>
        <v/>
      </c>
      <c r="E6" s="76" t="str">
        <f ca="1">IF($A6="","",ROUND(SUMIFS(资金日记账!$H$4:$H$603,资金日记账!$E$4:$E$603,$A6,资金日记账!$V$4:$V$603,E$4),2))</f>
        <v/>
      </c>
      <c r="F6" s="76" t="str">
        <f ca="1">IF($A6="","",ROUND(SUMIFS(资金日记账!$H$4:$H$603,资金日记账!$E$4:$E$603,$A6,资金日记账!$V$4:$V$603,F$4),2))</f>
        <v/>
      </c>
      <c r="G6" s="76" t="str">
        <f ca="1">IF($A6="","",ROUND(SUMIFS(资金日记账!$H$4:$H$603,资金日记账!$E$4:$E$603,$A6,资金日记账!$V$4:$V$603,G$4),2))</f>
        <v/>
      </c>
      <c r="H6" s="76" t="str">
        <f ca="1">IF($A6="","",ROUND(SUMIFS(资金日记账!$H$4:$H$603,资金日记账!$E$4:$E$603,$A6,资金日记账!$V$4:$V$603,H$4),2))</f>
        <v/>
      </c>
      <c r="I6" s="76" t="str">
        <f ca="1">IF($A6="","",ROUND(SUMIFS(资金日记账!$H$4:$H$603,资金日记账!$E$4:$E$603,$A6,资金日记账!$V$4:$V$603,I$4),2))</f>
        <v/>
      </c>
      <c r="J6" s="76" t="str">
        <f ca="1">IF($A6="","",ROUND(SUMIFS(资金日记账!$H$4:$H$603,资金日记账!$E$4:$E$603,$A6,资金日记账!$V$4:$V$603,J$4),2))</f>
        <v/>
      </c>
      <c r="K6" s="76" t="str">
        <f ca="1">IF($A6="","",ROUND(SUMIFS(资金日记账!$H$4:$H$603,资金日记账!$E$4:$E$603,$A6,资金日记账!$V$4:$V$603,K$4),2))</f>
        <v/>
      </c>
      <c r="L6" s="76" t="str">
        <f ca="1">IF($A6="","",ROUND(SUMIFS(资金日记账!$H$4:$H$603,资金日记账!$E$4:$E$603,$A6,资金日记账!$V$4:$V$603,L$4),2))</f>
        <v/>
      </c>
      <c r="M6" s="76" t="str">
        <f ca="1">IF($A6="","",ROUND(SUMIFS(资金日记账!$H$4:$H$603,资金日记账!$E$4:$E$603,$A6,资金日记账!$V$4:$V$603,M$4),2))</f>
        <v/>
      </c>
      <c r="N6" s="76" t="str">
        <f ca="1">IF($A6="","",ROUND(SUMIFS(资金日记账!$H$4:$H$603,资金日记账!$E$4:$E$603,$A6,资金日记账!$V$4:$V$603,N$4),2))</f>
        <v/>
      </c>
      <c r="O6" s="76" t="str">
        <f ca="1">IF($A6="","",ROUND(SUMIFS(资金日记账!$H$4:$H$603,资金日记账!$E$4:$E$603,$A6,资金日记账!$V$4:$V$603,O$4),2))</f>
        <v/>
      </c>
      <c r="P6" s="76" t="str">
        <f ca="1">IF($A6="","",ROUND(SUMIFS(资金日记账!$H$4:$H$603,资金日记账!$E$4:$E$603,$A6,资金日记账!$V$4:$V$603,P$4),2))</f>
        <v/>
      </c>
      <c r="Q6" s="76" t="str">
        <f ca="1">IF($A6="","",ROUND(SUMIFS(资金日记账!$H$4:$H$603,资金日记账!$E$4:$E$603,$A6,资金日记账!$V$4:$V$603,Q$4),2))</f>
        <v/>
      </c>
      <c r="R6" s="76" t="str">
        <f ca="1">IF($A6="","",ROUND(SUMIFS(资金日记账!$H$4:$H$603,资金日记账!$E$4:$E$603,$A6,资金日记账!$V$4:$V$603,R$4),2))</f>
        <v/>
      </c>
      <c r="S6" s="76" t="str">
        <f ca="1">IF($A6="","",ROUND(SUMIFS(资金日记账!$H$4:$H$603,资金日记账!$E$4:$E$603,$A6,资金日记账!$V$4:$V$603,S$4),2))</f>
        <v/>
      </c>
      <c r="T6" s="76" t="str">
        <f ca="1">IF($A6="","",ROUND(SUMIFS(资金日记账!$H$4:$H$603,资金日记账!$E$4:$E$603,$A6,资金日记账!$V$4:$V$603,T$4),2))</f>
        <v/>
      </c>
      <c r="U6" s="76" t="str">
        <f ca="1">IF($A6="","",ROUND(SUMIFS(资金日记账!$H$4:$H$603,资金日记账!$E$4:$E$603,$A6,资金日记账!$V$4:$V$603,U$4),2))</f>
        <v/>
      </c>
      <c r="V6" s="76" t="str">
        <f ca="1">IF($A6="","",ROUND(SUMIFS(资金日记账!$H$4:$H$603,资金日记账!$E$4:$E$603,$A6,资金日记账!$V$4:$V$603,V$4),2))</f>
        <v/>
      </c>
      <c r="W6" s="76" t="str">
        <f ca="1">IF($A6="","",ROUND(SUMIFS(资金日记账!$H$4:$H$603,资金日记账!$E$4:$E$603,$A6,资金日记账!$V$4:$V$603,W$4),2))</f>
        <v/>
      </c>
      <c r="X6" s="76" t="str">
        <f ca="1">IF($A6="","",ROUND(SUMIFS(资金日记账!$H$4:$H$603,资金日记账!$E$4:$E$603,$A6,资金日记账!$V$4:$V$603,X$4),2))</f>
        <v/>
      </c>
      <c r="Y6" s="76" t="str">
        <f ca="1">IF($A6="","",ROUND(SUMIFS(资金日记账!$H$4:$H$603,资金日记账!$E$4:$E$603,$A6,资金日记账!$V$4:$V$603,Y$4),2))</f>
        <v/>
      </c>
      <c r="Z6" s="87" t="str">
        <f ca="1" t="shared" si="1"/>
        <v/>
      </c>
    </row>
    <row r="7" spans="1:27">
      <c r="A7" s="86" t="str">
        <f>IFERROR(INDEX(_自动清单!$AJ$4:$AJ$63,3),"")</f>
        <v/>
      </c>
      <c r="B7" s="76" t="str">
        <f ca="1">IF($A7="","",ROUND(SUMIFS(资金日记账!$H$4:$H$603,资金日记账!$E$4:$E$603,$A7,资金日记账!$V$4:$V$603,B$4),2))</f>
        <v/>
      </c>
      <c r="C7" s="76" t="str">
        <f ca="1">IF($A7="","",ROUND(SUMIFS(资金日记账!$H$4:$H$603,资金日记账!$E$4:$E$603,$A7,资金日记账!$V$4:$V$603,C$4),2))</f>
        <v/>
      </c>
      <c r="D7" s="76" t="str">
        <f ca="1">IF($A7="","",ROUND(SUMIFS(资金日记账!$H$4:$H$603,资金日记账!$E$4:$E$603,$A7,资金日记账!$V$4:$V$603,D$4),2))</f>
        <v/>
      </c>
      <c r="E7" s="76" t="str">
        <f ca="1">IF($A7="","",ROUND(SUMIFS(资金日记账!$H$4:$H$603,资金日记账!$E$4:$E$603,$A7,资金日记账!$V$4:$V$603,E$4),2))</f>
        <v/>
      </c>
      <c r="F7" s="76" t="str">
        <f ca="1">IF($A7="","",ROUND(SUMIFS(资金日记账!$H$4:$H$603,资金日记账!$E$4:$E$603,$A7,资金日记账!$V$4:$V$603,F$4),2))</f>
        <v/>
      </c>
      <c r="G7" s="76" t="str">
        <f ca="1">IF($A7="","",ROUND(SUMIFS(资金日记账!$H$4:$H$603,资金日记账!$E$4:$E$603,$A7,资金日记账!$V$4:$V$603,G$4),2))</f>
        <v/>
      </c>
      <c r="H7" s="76" t="str">
        <f ca="1">IF($A7="","",ROUND(SUMIFS(资金日记账!$H$4:$H$603,资金日记账!$E$4:$E$603,$A7,资金日记账!$V$4:$V$603,H$4),2))</f>
        <v/>
      </c>
      <c r="I7" s="76" t="str">
        <f ca="1">IF($A7="","",ROUND(SUMIFS(资金日记账!$H$4:$H$603,资金日记账!$E$4:$E$603,$A7,资金日记账!$V$4:$V$603,I$4),2))</f>
        <v/>
      </c>
      <c r="J7" s="76" t="str">
        <f ca="1">IF($A7="","",ROUND(SUMIFS(资金日记账!$H$4:$H$603,资金日记账!$E$4:$E$603,$A7,资金日记账!$V$4:$V$603,J$4),2))</f>
        <v/>
      </c>
      <c r="K7" s="76" t="str">
        <f ca="1">IF($A7="","",ROUND(SUMIFS(资金日记账!$H$4:$H$603,资金日记账!$E$4:$E$603,$A7,资金日记账!$V$4:$V$603,K$4),2))</f>
        <v/>
      </c>
      <c r="L7" s="76" t="str">
        <f ca="1">IF($A7="","",ROUND(SUMIFS(资金日记账!$H$4:$H$603,资金日记账!$E$4:$E$603,$A7,资金日记账!$V$4:$V$603,L$4),2))</f>
        <v/>
      </c>
      <c r="M7" s="76" t="str">
        <f ca="1">IF($A7="","",ROUND(SUMIFS(资金日记账!$H$4:$H$603,资金日记账!$E$4:$E$603,$A7,资金日记账!$V$4:$V$603,M$4),2))</f>
        <v/>
      </c>
      <c r="N7" s="76" t="str">
        <f ca="1">IF($A7="","",ROUND(SUMIFS(资金日记账!$H$4:$H$603,资金日记账!$E$4:$E$603,$A7,资金日记账!$V$4:$V$603,N$4),2))</f>
        <v/>
      </c>
      <c r="O7" s="76" t="str">
        <f ca="1">IF($A7="","",ROUND(SUMIFS(资金日记账!$H$4:$H$603,资金日记账!$E$4:$E$603,$A7,资金日记账!$V$4:$V$603,O$4),2))</f>
        <v/>
      </c>
      <c r="P7" s="76" t="str">
        <f ca="1">IF($A7="","",ROUND(SUMIFS(资金日记账!$H$4:$H$603,资金日记账!$E$4:$E$603,$A7,资金日记账!$V$4:$V$603,P$4),2))</f>
        <v/>
      </c>
      <c r="Q7" s="76" t="str">
        <f ca="1">IF($A7="","",ROUND(SUMIFS(资金日记账!$H$4:$H$603,资金日记账!$E$4:$E$603,$A7,资金日记账!$V$4:$V$603,Q$4),2))</f>
        <v/>
      </c>
      <c r="R7" s="76" t="str">
        <f ca="1">IF($A7="","",ROUND(SUMIFS(资金日记账!$H$4:$H$603,资金日记账!$E$4:$E$603,$A7,资金日记账!$V$4:$V$603,R$4),2))</f>
        <v/>
      </c>
      <c r="S7" s="76" t="str">
        <f ca="1">IF($A7="","",ROUND(SUMIFS(资金日记账!$H$4:$H$603,资金日记账!$E$4:$E$603,$A7,资金日记账!$V$4:$V$603,S$4),2))</f>
        <v/>
      </c>
      <c r="T7" s="76" t="str">
        <f ca="1">IF($A7="","",ROUND(SUMIFS(资金日记账!$H$4:$H$603,资金日记账!$E$4:$E$603,$A7,资金日记账!$V$4:$V$603,T$4),2))</f>
        <v/>
      </c>
      <c r="U7" s="76" t="str">
        <f ca="1">IF($A7="","",ROUND(SUMIFS(资金日记账!$H$4:$H$603,资金日记账!$E$4:$E$603,$A7,资金日记账!$V$4:$V$603,U$4),2))</f>
        <v/>
      </c>
      <c r="V7" s="76" t="str">
        <f ca="1">IF($A7="","",ROUND(SUMIFS(资金日记账!$H$4:$H$603,资金日记账!$E$4:$E$603,$A7,资金日记账!$V$4:$V$603,V$4),2))</f>
        <v/>
      </c>
      <c r="W7" s="76" t="str">
        <f ca="1">IF($A7="","",ROUND(SUMIFS(资金日记账!$H$4:$H$603,资金日记账!$E$4:$E$603,$A7,资金日记账!$V$4:$V$603,W$4),2))</f>
        <v/>
      </c>
      <c r="X7" s="76" t="str">
        <f ca="1">IF($A7="","",ROUND(SUMIFS(资金日记账!$H$4:$H$603,资金日记账!$E$4:$E$603,$A7,资金日记账!$V$4:$V$603,X$4),2))</f>
        <v/>
      </c>
      <c r="Y7" s="76" t="str">
        <f ca="1">IF($A7="","",ROUND(SUMIFS(资金日记账!$H$4:$H$603,资金日记账!$E$4:$E$603,$A7,资金日记账!$V$4:$V$603,Y$4),2))</f>
        <v/>
      </c>
      <c r="Z7" s="87" t="str">
        <f ca="1" t="shared" si="1"/>
        <v/>
      </c>
    </row>
    <row r="8" spans="1:27">
      <c r="A8" s="86" t="str">
        <f>IFERROR(INDEX(_自动清单!$AJ$4:$AJ$63,4),"")</f>
        <v/>
      </c>
      <c r="B8" s="76" t="str">
        <f ca="1">IF($A8="","",ROUND(SUMIFS(资金日记账!$H$4:$H$603,资金日记账!$E$4:$E$603,$A8,资金日记账!$V$4:$V$603,B$4),2))</f>
        <v/>
      </c>
      <c r="C8" s="76" t="str">
        <f ca="1">IF($A8="","",ROUND(SUMIFS(资金日记账!$H$4:$H$603,资金日记账!$E$4:$E$603,$A8,资金日记账!$V$4:$V$603,C$4),2))</f>
        <v/>
      </c>
      <c r="D8" s="76" t="str">
        <f ca="1">IF($A8="","",ROUND(SUMIFS(资金日记账!$H$4:$H$603,资金日记账!$E$4:$E$603,$A8,资金日记账!$V$4:$V$603,D$4),2))</f>
        <v/>
      </c>
      <c r="E8" s="76" t="str">
        <f ca="1">IF($A8="","",ROUND(SUMIFS(资金日记账!$H$4:$H$603,资金日记账!$E$4:$E$603,$A8,资金日记账!$V$4:$V$603,E$4),2))</f>
        <v/>
      </c>
      <c r="F8" s="76" t="str">
        <f ca="1">IF($A8="","",ROUND(SUMIFS(资金日记账!$H$4:$H$603,资金日记账!$E$4:$E$603,$A8,资金日记账!$V$4:$V$603,F$4),2))</f>
        <v/>
      </c>
      <c r="G8" s="76" t="str">
        <f ca="1">IF($A8="","",ROUND(SUMIFS(资金日记账!$H$4:$H$603,资金日记账!$E$4:$E$603,$A8,资金日记账!$V$4:$V$603,G$4),2))</f>
        <v/>
      </c>
      <c r="H8" s="76" t="str">
        <f ca="1">IF($A8="","",ROUND(SUMIFS(资金日记账!$H$4:$H$603,资金日记账!$E$4:$E$603,$A8,资金日记账!$V$4:$V$603,H$4),2))</f>
        <v/>
      </c>
      <c r="I8" s="76" t="str">
        <f ca="1">IF($A8="","",ROUND(SUMIFS(资金日记账!$H$4:$H$603,资金日记账!$E$4:$E$603,$A8,资金日记账!$V$4:$V$603,I$4),2))</f>
        <v/>
      </c>
      <c r="J8" s="76" t="str">
        <f ca="1">IF($A8="","",ROUND(SUMIFS(资金日记账!$H$4:$H$603,资金日记账!$E$4:$E$603,$A8,资金日记账!$V$4:$V$603,J$4),2))</f>
        <v/>
      </c>
      <c r="K8" s="76" t="str">
        <f ca="1">IF($A8="","",ROUND(SUMIFS(资金日记账!$H$4:$H$603,资金日记账!$E$4:$E$603,$A8,资金日记账!$V$4:$V$603,K$4),2))</f>
        <v/>
      </c>
      <c r="L8" s="76" t="str">
        <f ca="1">IF($A8="","",ROUND(SUMIFS(资金日记账!$H$4:$H$603,资金日记账!$E$4:$E$603,$A8,资金日记账!$V$4:$V$603,L$4),2))</f>
        <v/>
      </c>
      <c r="M8" s="76" t="str">
        <f ca="1">IF($A8="","",ROUND(SUMIFS(资金日记账!$H$4:$H$603,资金日记账!$E$4:$E$603,$A8,资金日记账!$V$4:$V$603,M$4),2))</f>
        <v/>
      </c>
      <c r="N8" s="76" t="str">
        <f ca="1">IF($A8="","",ROUND(SUMIFS(资金日记账!$H$4:$H$603,资金日记账!$E$4:$E$603,$A8,资金日记账!$V$4:$V$603,N$4),2))</f>
        <v/>
      </c>
      <c r="O8" s="76" t="str">
        <f ca="1">IF($A8="","",ROUND(SUMIFS(资金日记账!$H$4:$H$603,资金日记账!$E$4:$E$603,$A8,资金日记账!$V$4:$V$603,O$4),2))</f>
        <v/>
      </c>
      <c r="P8" s="76" t="str">
        <f ca="1">IF($A8="","",ROUND(SUMIFS(资金日记账!$H$4:$H$603,资金日记账!$E$4:$E$603,$A8,资金日记账!$V$4:$V$603,P$4),2))</f>
        <v/>
      </c>
      <c r="Q8" s="76" t="str">
        <f ca="1">IF($A8="","",ROUND(SUMIFS(资金日记账!$H$4:$H$603,资金日记账!$E$4:$E$603,$A8,资金日记账!$V$4:$V$603,Q$4),2))</f>
        <v/>
      </c>
      <c r="R8" s="76" t="str">
        <f ca="1">IF($A8="","",ROUND(SUMIFS(资金日记账!$H$4:$H$603,资金日记账!$E$4:$E$603,$A8,资金日记账!$V$4:$V$603,R$4),2))</f>
        <v/>
      </c>
      <c r="S8" s="76" t="str">
        <f ca="1">IF($A8="","",ROUND(SUMIFS(资金日记账!$H$4:$H$603,资金日记账!$E$4:$E$603,$A8,资金日记账!$V$4:$V$603,S$4),2))</f>
        <v/>
      </c>
      <c r="T8" s="76" t="str">
        <f ca="1">IF($A8="","",ROUND(SUMIFS(资金日记账!$H$4:$H$603,资金日记账!$E$4:$E$603,$A8,资金日记账!$V$4:$V$603,T$4),2))</f>
        <v/>
      </c>
      <c r="U8" s="76" t="str">
        <f ca="1">IF($A8="","",ROUND(SUMIFS(资金日记账!$H$4:$H$603,资金日记账!$E$4:$E$603,$A8,资金日记账!$V$4:$V$603,U$4),2))</f>
        <v/>
      </c>
      <c r="V8" s="76" t="str">
        <f ca="1">IF($A8="","",ROUND(SUMIFS(资金日记账!$H$4:$H$603,资金日记账!$E$4:$E$603,$A8,资金日记账!$V$4:$V$603,V$4),2))</f>
        <v/>
      </c>
      <c r="W8" s="76" t="str">
        <f ca="1">IF($A8="","",ROUND(SUMIFS(资金日记账!$H$4:$H$603,资金日记账!$E$4:$E$603,$A8,资金日记账!$V$4:$V$603,W$4),2))</f>
        <v/>
      </c>
      <c r="X8" s="76" t="str">
        <f ca="1">IF($A8="","",ROUND(SUMIFS(资金日记账!$H$4:$H$603,资金日记账!$E$4:$E$603,$A8,资金日记账!$V$4:$V$603,X$4),2))</f>
        <v/>
      </c>
      <c r="Y8" s="76" t="str">
        <f ca="1">IF($A8="","",ROUND(SUMIFS(资金日记账!$H$4:$H$603,资金日记账!$E$4:$E$603,$A8,资金日记账!$V$4:$V$603,Y$4),2))</f>
        <v/>
      </c>
      <c r="Z8" s="87" t="str">
        <f ca="1" t="shared" si="1"/>
        <v/>
      </c>
    </row>
    <row r="9" spans="1:27">
      <c r="A9" s="86" t="str">
        <f>IFERROR(INDEX(_自动清单!$AJ$4:$AJ$63,5),"")</f>
        <v/>
      </c>
      <c r="B9" s="76" t="str">
        <f ca="1">IF($A9="","",ROUND(SUMIFS(资金日记账!$H$4:$H$603,资金日记账!$E$4:$E$603,$A9,资金日记账!$V$4:$V$603,B$4),2))</f>
        <v/>
      </c>
      <c r="C9" s="76" t="str">
        <f ca="1">IF($A9="","",ROUND(SUMIFS(资金日记账!$H$4:$H$603,资金日记账!$E$4:$E$603,$A9,资金日记账!$V$4:$V$603,C$4),2))</f>
        <v/>
      </c>
      <c r="D9" s="76" t="str">
        <f ca="1">IF($A9="","",ROUND(SUMIFS(资金日记账!$H$4:$H$603,资金日记账!$E$4:$E$603,$A9,资金日记账!$V$4:$V$603,D$4),2))</f>
        <v/>
      </c>
      <c r="E9" s="76" t="str">
        <f ca="1">IF($A9="","",ROUND(SUMIFS(资金日记账!$H$4:$H$603,资金日记账!$E$4:$E$603,$A9,资金日记账!$V$4:$V$603,E$4),2))</f>
        <v/>
      </c>
      <c r="F9" s="76" t="str">
        <f ca="1">IF($A9="","",ROUND(SUMIFS(资金日记账!$H$4:$H$603,资金日记账!$E$4:$E$603,$A9,资金日记账!$V$4:$V$603,F$4),2))</f>
        <v/>
      </c>
      <c r="G9" s="76" t="str">
        <f ca="1">IF($A9="","",ROUND(SUMIFS(资金日记账!$H$4:$H$603,资金日记账!$E$4:$E$603,$A9,资金日记账!$V$4:$V$603,G$4),2))</f>
        <v/>
      </c>
      <c r="H9" s="76" t="str">
        <f ca="1">IF($A9="","",ROUND(SUMIFS(资金日记账!$H$4:$H$603,资金日记账!$E$4:$E$603,$A9,资金日记账!$V$4:$V$603,H$4),2))</f>
        <v/>
      </c>
      <c r="I9" s="76" t="str">
        <f ca="1">IF($A9="","",ROUND(SUMIFS(资金日记账!$H$4:$H$603,资金日记账!$E$4:$E$603,$A9,资金日记账!$V$4:$V$603,I$4),2))</f>
        <v/>
      </c>
      <c r="J9" s="76" t="str">
        <f ca="1">IF($A9="","",ROUND(SUMIFS(资金日记账!$H$4:$H$603,资金日记账!$E$4:$E$603,$A9,资金日记账!$V$4:$V$603,J$4),2))</f>
        <v/>
      </c>
      <c r="K9" s="76" t="str">
        <f ca="1">IF($A9="","",ROUND(SUMIFS(资金日记账!$H$4:$H$603,资金日记账!$E$4:$E$603,$A9,资金日记账!$V$4:$V$603,K$4),2))</f>
        <v/>
      </c>
      <c r="L9" s="76" t="str">
        <f ca="1">IF($A9="","",ROUND(SUMIFS(资金日记账!$H$4:$H$603,资金日记账!$E$4:$E$603,$A9,资金日记账!$V$4:$V$603,L$4),2))</f>
        <v/>
      </c>
      <c r="M9" s="76" t="str">
        <f ca="1">IF($A9="","",ROUND(SUMIFS(资金日记账!$H$4:$H$603,资金日记账!$E$4:$E$603,$A9,资金日记账!$V$4:$V$603,M$4),2))</f>
        <v/>
      </c>
      <c r="N9" s="76" t="str">
        <f ca="1">IF($A9="","",ROUND(SUMIFS(资金日记账!$H$4:$H$603,资金日记账!$E$4:$E$603,$A9,资金日记账!$V$4:$V$603,N$4),2))</f>
        <v/>
      </c>
      <c r="O9" s="76" t="str">
        <f ca="1">IF($A9="","",ROUND(SUMIFS(资金日记账!$H$4:$H$603,资金日记账!$E$4:$E$603,$A9,资金日记账!$V$4:$V$603,O$4),2))</f>
        <v/>
      </c>
      <c r="P9" s="76" t="str">
        <f ca="1">IF($A9="","",ROUND(SUMIFS(资金日记账!$H$4:$H$603,资金日记账!$E$4:$E$603,$A9,资金日记账!$V$4:$V$603,P$4),2))</f>
        <v/>
      </c>
      <c r="Q9" s="76" t="str">
        <f ca="1">IF($A9="","",ROUND(SUMIFS(资金日记账!$H$4:$H$603,资金日记账!$E$4:$E$603,$A9,资金日记账!$V$4:$V$603,Q$4),2))</f>
        <v/>
      </c>
      <c r="R9" s="76" t="str">
        <f ca="1">IF($A9="","",ROUND(SUMIFS(资金日记账!$H$4:$H$603,资金日记账!$E$4:$E$603,$A9,资金日记账!$V$4:$V$603,R$4),2))</f>
        <v/>
      </c>
      <c r="S9" s="76" t="str">
        <f ca="1">IF($A9="","",ROUND(SUMIFS(资金日记账!$H$4:$H$603,资金日记账!$E$4:$E$603,$A9,资金日记账!$V$4:$V$603,S$4),2))</f>
        <v/>
      </c>
      <c r="T9" s="76" t="str">
        <f ca="1">IF($A9="","",ROUND(SUMIFS(资金日记账!$H$4:$H$603,资金日记账!$E$4:$E$603,$A9,资金日记账!$V$4:$V$603,T$4),2))</f>
        <v/>
      </c>
      <c r="U9" s="76" t="str">
        <f ca="1">IF($A9="","",ROUND(SUMIFS(资金日记账!$H$4:$H$603,资金日记账!$E$4:$E$603,$A9,资金日记账!$V$4:$V$603,U$4),2))</f>
        <v/>
      </c>
      <c r="V9" s="76" t="str">
        <f ca="1">IF($A9="","",ROUND(SUMIFS(资金日记账!$H$4:$H$603,资金日记账!$E$4:$E$603,$A9,资金日记账!$V$4:$V$603,V$4),2))</f>
        <v/>
      </c>
      <c r="W9" s="76" t="str">
        <f ca="1">IF($A9="","",ROUND(SUMIFS(资金日记账!$H$4:$H$603,资金日记账!$E$4:$E$603,$A9,资金日记账!$V$4:$V$603,W$4),2))</f>
        <v/>
      </c>
      <c r="X9" s="76" t="str">
        <f ca="1">IF($A9="","",ROUND(SUMIFS(资金日记账!$H$4:$H$603,资金日记账!$E$4:$E$603,$A9,资金日记账!$V$4:$V$603,X$4),2))</f>
        <v/>
      </c>
      <c r="Y9" s="76" t="str">
        <f ca="1">IF($A9="","",ROUND(SUMIFS(资金日记账!$H$4:$H$603,资金日记账!$E$4:$E$603,$A9,资金日记账!$V$4:$V$603,Y$4),2))</f>
        <v/>
      </c>
      <c r="Z9" s="87" t="str">
        <f ca="1" t="shared" si="1"/>
        <v/>
      </c>
    </row>
    <row r="10" spans="1:27">
      <c r="A10" s="86" t="str">
        <f>IFERROR(INDEX(_自动清单!$AJ$4:$AJ$63,6),"")</f>
        <v/>
      </c>
      <c r="B10" s="76" t="str">
        <f ca="1">IF($A10="","",ROUND(SUMIFS(资金日记账!$H$4:$H$603,资金日记账!$E$4:$E$603,$A10,资金日记账!$V$4:$V$603,B$4),2))</f>
        <v/>
      </c>
      <c r="C10" s="76" t="str">
        <f ca="1">IF($A10="","",ROUND(SUMIFS(资金日记账!$H$4:$H$603,资金日记账!$E$4:$E$603,$A10,资金日记账!$V$4:$V$603,C$4),2))</f>
        <v/>
      </c>
      <c r="D10" s="76" t="str">
        <f ca="1">IF($A10="","",ROUND(SUMIFS(资金日记账!$H$4:$H$603,资金日记账!$E$4:$E$603,$A10,资金日记账!$V$4:$V$603,D$4),2))</f>
        <v/>
      </c>
      <c r="E10" s="76" t="str">
        <f ca="1">IF($A10="","",ROUND(SUMIFS(资金日记账!$H$4:$H$603,资金日记账!$E$4:$E$603,$A10,资金日记账!$V$4:$V$603,E$4),2))</f>
        <v/>
      </c>
      <c r="F10" s="76" t="str">
        <f ca="1">IF($A10="","",ROUND(SUMIFS(资金日记账!$H$4:$H$603,资金日记账!$E$4:$E$603,$A10,资金日记账!$V$4:$V$603,F$4),2))</f>
        <v/>
      </c>
      <c r="G10" s="76" t="str">
        <f ca="1">IF($A10="","",ROUND(SUMIFS(资金日记账!$H$4:$H$603,资金日记账!$E$4:$E$603,$A10,资金日记账!$V$4:$V$603,G$4),2))</f>
        <v/>
      </c>
      <c r="H10" s="76" t="str">
        <f ca="1">IF($A10="","",ROUND(SUMIFS(资金日记账!$H$4:$H$603,资金日记账!$E$4:$E$603,$A10,资金日记账!$V$4:$V$603,H$4),2))</f>
        <v/>
      </c>
      <c r="I10" s="76" t="str">
        <f ca="1">IF($A10="","",ROUND(SUMIFS(资金日记账!$H$4:$H$603,资金日记账!$E$4:$E$603,$A10,资金日记账!$V$4:$V$603,I$4),2))</f>
        <v/>
      </c>
      <c r="J10" s="76" t="str">
        <f ca="1">IF($A10="","",ROUND(SUMIFS(资金日记账!$H$4:$H$603,资金日记账!$E$4:$E$603,$A10,资金日记账!$V$4:$V$603,J$4),2))</f>
        <v/>
      </c>
      <c r="K10" s="76" t="str">
        <f ca="1">IF($A10="","",ROUND(SUMIFS(资金日记账!$H$4:$H$603,资金日记账!$E$4:$E$603,$A10,资金日记账!$V$4:$V$603,K$4),2))</f>
        <v/>
      </c>
      <c r="L10" s="76" t="str">
        <f ca="1">IF($A10="","",ROUND(SUMIFS(资金日记账!$H$4:$H$603,资金日记账!$E$4:$E$603,$A10,资金日记账!$V$4:$V$603,L$4),2))</f>
        <v/>
      </c>
      <c r="M10" s="76" t="str">
        <f ca="1">IF($A10="","",ROUND(SUMIFS(资金日记账!$H$4:$H$603,资金日记账!$E$4:$E$603,$A10,资金日记账!$V$4:$V$603,M$4),2))</f>
        <v/>
      </c>
      <c r="N10" s="76" t="str">
        <f ca="1">IF($A10="","",ROUND(SUMIFS(资金日记账!$H$4:$H$603,资金日记账!$E$4:$E$603,$A10,资金日记账!$V$4:$V$603,N$4),2))</f>
        <v/>
      </c>
      <c r="O10" s="76" t="str">
        <f ca="1">IF($A10="","",ROUND(SUMIFS(资金日记账!$H$4:$H$603,资金日记账!$E$4:$E$603,$A10,资金日记账!$V$4:$V$603,O$4),2))</f>
        <v/>
      </c>
      <c r="P10" s="76" t="str">
        <f ca="1">IF($A10="","",ROUND(SUMIFS(资金日记账!$H$4:$H$603,资金日记账!$E$4:$E$603,$A10,资金日记账!$V$4:$V$603,P$4),2))</f>
        <v/>
      </c>
      <c r="Q10" s="76" t="str">
        <f ca="1">IF($A10="","",ROUND(SUMIFS(资金日记账!$H$4:$H$603,资金日记账!$E$4:$E$603,$A10,资金日记账!$V$4:$V$603,Q$4),2))</f>
        <v/>
      </c>
      <c r="R10" s="76" t="str">
        <f ca="1">IF($A10="","",ROUND(SUMIFS(资金日记账!$H$4:$H$603,资金日记账!$E$4:$E$603,$A10,资金日记账!$V$4:$V$603,R$4),2))</f>
        <v/>
      </c>
      <c r="S10" s="76" t="str">
        <f ca="1">IF($A10="","",ROUND(SUMIFS(资金日记账!$H$4:$H$603,资金日记账!$E$4:$E$603,$A10,资金日记账!$V$4:$V$603,S$4),2))</f>
        <v/>
      </c>
      <c r="T10" s="76" t="str">
        <f ca="1">IF($A10="","",ROUND(SUMIFS(资金日记账!$H$4:$H$603,资金日记账!$E$4:$E$603,$A10,资金日记账!$V$4:$V$603,T$4),2))</f>
        <v/>
      </c>
      <c r="U10" s="76" t="str">
        <f ca="1">IF($A10="","",ROUND(SUMIFS(资金日记账!$H$4:$H$603,资金日记账!$E$4:$E$603,$A10,资金日记账!$V$4:$V$603,U$4),2))</f>
        <v/>
      </c>
      <c r="V10" s="76" t="str">
        <f ca="1">IF($A10="","",ROUND(SUMIFS(资金日记账!$H$4:$H$603,资金日记账!$E$4:$E$603,$A10,资金日记账!$V$4:$V$603,V$4),2))</f>
        <v/>
      </c>
      <c r="W10" s="76" t="str">
        <f ca="1">IF($A10="","",ROUND(SUMIFS(资金日记账!$H$4:$H$603,资金日记账!$E$4:$E$603,$A10,资金日记账!$V$4:$V$603,W$4),2))</f>
        <v/>
      </c>
      <c r="X10" s="76" t="str">
        <f ca="1">IF($A10="","",ROUND(SUMIFS(资金日记账!$H$4:$H$603,资金日记账!$E$4:$E$603,$A10,资金日记账!$V$4:$V$603,X$4),2))</f>
        <v/>
      </c>
      <c r="Y10" s="76" t="str">
        <f ca="1">IF($A10="","",ROUND(SUMIFS(资金日记账!$H$4:$H$603,资金日记账!$E$4:$E$603,$A10,资金日记账!$V$4:$V$603,Y$4),2))</f>
        <v/>
      </c>
      <c r="Z10" s="87" t="str">
        <f ca="1" t="shared" si="1"/>
        <v/>
      </c>
    </row>
    <row r="11" spans="1:27">
      <c r="A11" s="86" t="str">
        <f>IFERROR(INDEX(_自动清单!$AJ$4:$AJ$63,7),"")</f>
        <v/>
      </c>
      <c r="B11" s="76" t="str">
        <f ca="1">IF($A11="","",ROUND(SUMIFS(资金日记账!$H$4:$H$603,资金日记账!$E$4:$E$603,$A11,资金日记账!$V$4:$V$603,B$4),2))</f>
        <v/>
      </c>
      <c r="C11" s="76" t="str">
        <f ca="1">IF($A11="","",ROUND(SUMIFS(资金日记账!$H$4:$H$603,资金日记账!$E$4:$E$603,$A11,资金日记账!$V$4:$V$603,C$4),2))</f>
        <v/>
      </c>
      <c r="D11" s="76" t="str">
        <f ca="1">IF($A11="","",ROUND(SUMIFS(资金日记账!$H$4:$H$603,资金日记账!$E$4:$E$603,$A11,资金日记账!$V$4:$V$603,D$4),2))</f>
        <v/>
      </c>
      <c r="E11" s="76" t="str">
        <f ca="1">IF($A11="","",ROUND(SUMIFS(资金日记账!$H$4:$H$603,资金日记账!$E$4:$E$603,$A11,资金日记账!$V$4:$V$603,E$4),2))</f>
        <v/>
      </c>
      <c r="F11" s="76" t="str">
        <f ca="1">IF($A11="","",ROUND(SUMIFS(资金日记账!$H$4:$H$603,资金日记账!$E$4:$E$603,$A11,资金日记账!$V$4:$V$603,F$4),2))</f>
        <v/>
      </c>
      <c r="G11" s="76" t="str">
        <f ca="1">IF($A11="","",ROUND(SUMIFS(资金日记账!$H$4:$H$603,资金日记账!$E$4:$E$603,$A11,资金日记账!$V$4:$V$603,G$4),2))</f>
        <v/>
      </c>
      <c r="H11" s="76" t="str">
        <f ca="1">IF($A11="","",ROUND(SUMIFS(资金日记账!$H$4:$H$603,资金日记账!$E$4:$E$603,$A11,资金日记账!$V$4:$V$603,H$4),2))</f>
        <v/>
      </c>
      <c r="I11" s="76" t="str">
        <f ca="1">IF($A11="","",ROUND(SUMIFS(资金日记账!$H$4:$H$603,资金日记账!$E$4:$E$603,$A11,资金日记账!$V$4:$V$603,I$4),2))</f>
        <v/>
      </c>
      <c r="J11" s="76" t="str">
        <f ca="1">IF($A11="","",ROUND(SUMIFS(资金日记账!$H$4:$H$603,资金日记账!$E$4:$E$603,$A11,资金日记账!$V$4:$V$603,J$4),2))</f>
        <v/>
      </c>
      <c r="K11" s="76" t="str">
        <f ca="1">IF($A11="","",ROUND(SUMIFS(资金日记账!$H$4:$H$603,资金日记账!$E$4:$E$603,$A11,资金日记账!$V$4:$V$603,K$4),2))</f>
        <v/>
      </c>
      <c r="L11" s="76" t="str">
        <f ca="1">IF($A11="","",ROUND(SUMIFS(资金日记账!$H$4:$H$603,资金日记账!$E$4:$E$603,$A11,资金日记账!$V$4:$V$603,L$4),2))</f>
        <v/>
      </c>
      <c r="M11" s="76" t="str">
        <f ca="1">IF($A11="","",ROUND(SUMIFS(资金日记账!$H$4:$H$603,资金日记账!$E$4:$E$603,$A11,资金日记账!$V$4:$V$603,M$4),2))</f>
        <v/>
      </c>
      <c r="N11" s="76" t="str">
        <f ca="1">IF($A11="","",ROUND(SUMIFS(资金日记账!$H$4:$H$603,资金日记账!$E$4:$E$603,$A11,资金日记账!$V$4:$V$603,N$4),2))</f>
        <v/>
      </c>
      <c r="O11" s="76" t="str">
        <f ca="1">IF($A11="","",ROUND(SUMIFS(资金日记账!$H$4:$H$603,资金日记账!$E$4:$E$603,$A11,资金日记账!$V$4:$V$603,O$4),2))</f>
        <v/>
      </c>
      <c r="P11" s="76" t="str">
        <f ca="1">IF($A11="","",ROUND(SUMIFS(资金日记账!$H$4:$H$603,资金日记账!$E$4:$E$603,$A11,资金日记账!$V$4:$V$603,P$4),2))</f>
        <v/>
      </c>
      <c r="Q11" s="76" t="str">
        <f ca="1">IF($A11="","",ROUND(SUMIFS(资金日记账!$H$4:$H$603,资金日记账!$E$4:$E$603,$A11,资金日记账!$V$4:$V$603,Q$4),2))</f>
        <v/>
      </c>
      <c r="R11" s="76" t="str">
        <f ca="1">IF($A11="","",ROUND(SUMIFS(资金日记账!$H$4:$H$603,资金日记账!$E$4:$E$603,$A11,资金日记账!$V$4:$V$603,R$4),2))</f>
        <v/>
      </c>
      <c r="S11" s="76" t="str">
        <f ca="1">IF($A11="","",ROUND(SUMIFS(资金日记账!$H$4:$H$603,资金日记账!$E$4:$E$603,$A11,资金日记账!$V$4:$V$603,S$4),2))</f>
        <v/>
      </c>
      <c r="T11" s="76" t="str">
        <f ca="1">IF($A11="","",ROUND(SUMIFS(资金日记账!$H$4:$H$603,资金日记账!$E$4:$E$603,$A11,资金日记账!$V$4:$V$603,T$4),2))</f>
        <v/>
      </c>
      <c r="U11" s="76" t="str">
        <f ca="1">IF($A11="","",ROUND(SUMIFS(资金日记账!$H$4:$H$603,资金日记账!$E$4:$E$603,$A11,资金日记账!$V$4:$V$603,U$4),2))</f>
        <v/>
      </c>
      <c r="V11" s="76" t="str">
        <f ca="1">IF($A11="","",ROUND(SUMIFS(资金日记账!$H$4:$H$603,资金日记账!$E$4:$E$603,$A11,资金日记账!$V$4:$V$603,V$4),2))</f>
        <v/>
      </c>
      <c r="W11" s="76" t="str">
        <f ca="1">IF($A11="","",ROUND(SUMIFS(资金日记账!$H$4:$H$603,资金日记账!$E$4:$E$603,$A11,资金日记账!$V$4:$V$603,W$4),2))</f>
        <v/>
      </c>
      <c r="X11" s="76" t="str">
        <f ca="1">IF($A11="","",ROUND(SUMIFS(资金日记账!$H$4:$H$603,资金日记账!$E$4:$E$603,$A11,资金日记账!$V$4:$V$603,X$4),2))</f>
        <v/>
      </c>
      <c r="Y11" s="76" t="str">
        <f ca="1">IF($A11="","",ROUND(SUMIFS(资金日记账!$H$4:$H$603,资金日记账!$E$4:$E$603,$A11,资金日记账!$V$4:$V$603,Y$4),2))</f>
        <v/>
      </c>
      <c r="Z11" s="87" t="str">
        <f ca="1" t="shared" si="1"/>
        <v/>
      </c>
    </row>
    <row r="12" spans="1:27">
      <c r="A12" s="86" t="str">
        <f>IFERROR(INDEX(_自动清单!$AJ$4:$AJ$63,8),"")</f>
        <v/>
      </c>
      <c r="B12" s="76" t="str">
        <f ca="1">IF($A12="","",ROUND(SUMIFS(资金日记账!$H$4:$H$603,资金日记账!$E$4:$E$603,$A12,资金日记账!$V$4:$V$603,B$4),2))</f>
        <v/>
      </c>
      <c r="C12" s="76" t="str">
        <f ca="1">IF($A12="","",ROUND(SUMIFS(资金日记账!$H$4:$H$603,资金日记账!$E$4:$E$603,$A12,资金日记账!$V$4:$V$603,C$4),2))</f>
        <v/>
      </c>
      <c r="D12" s="76" t="str">
        <f ca="1">IF($A12="","",ROUND(SUMIFS(资金日记账!$H$4:$H$603,资金日记账!$E$4:$E$603,$A12,资金日记账!$V$4:$V$603,D$4),2))</f>
        <v/>
      </c>
      <c r="E12" s="76" t="str">
        <f ca="1">IF($A12="","",ROUND(SUMIFS(资金日记账!$H$4:$H$603,资金日记账!$E$4:$E$603,$A12,资金日记账!$V$4:$V$603,E$4),2))</f>
        <v/>
      </c>
      <c r="F12" s="76" t="str">
        <f ca="1">IF($A12="","",ROUND(SUMIFS(资金日记账!$H$4:$H$603,资金日记账!$E$4:$E$603,$A12,资金日记账!$V$4:$V$603,F$4),2))</f>
        <v/>
      </c>
      <c r="G12" s="76" t="str">
        <f ca="1">IF($A12="","",ROUND(SUMIFS(资金日记账!$H$4:$H$603,资金日记账!$E$4:$E$603,$A12,资金日记账!$V$4:$V$603,G$4),2))</f>
        <v/>
      </c>
      <c r="H12" s="76" t="str">
        <f ca="1">IF($A12="","",ROUND(SUMIFS(资金日记账!$H$4:$H$603,资金日记账!$E$4:$E$603,$A12,资金日记账!$V$4:$V$603,H$4),2))</f>
        <v/>
      </c>
      <c r="I12" s="76" t="str">
        <f ca="1">IF($A12="","",ROUND(SUMIFS(资金日记账!$H$4:$H$603,资金日记账!$E$4:$E$603,$A12,资金日记账!$V$4:$V$603,I$4),2))</f>
        <v/>
      </c>
      <c r="J12" s="76" t="str">
        <f ca="1">IF($A12="","",ROUND(SUMIFS(资金日记账!$H$4:$H$603,资金日记账!$E$4:$E$603,$A12,资金日记账!$V$4:$V$603,J$4),2))</f>
        <v/>
      </c>
      <c r="K12" s="76" t="str">
        <f ca="1">IF($A12="","",ROUND(SUMIFS(资金日记账!$H$4:$H$603,资金日记账!$E$4:$E$603,$A12,资金日记账!$V$4:$V$603,K$4),2))</f>
        <v/>
      </c>
      <c r="L12" s="76" t="str">
        <f ca="1">IF($A12="","",ROUND(SUMIFS(资金日记账!$H$4:$H$603,资金日记账!$E$4:$E$603,$A12,资金日记账!$V$4:$V$603,L$4),2))</f>
        <v/>
      </c>
      <c r="M12" s="76" t="str">
        <f ca="1">IF($A12="","",ROUND(SUMIFS(资金日记账!$H$4:$H$603,资金日记账!$E$4:$E$603,$A12,资金日记账!$V$4:$V$603,M$4),2))</f>
        <v/>
      </c>
      <c r="N12" s="76" t="str">
        <f ca="1">IF($A12="","",ROUND(SUMIFS(资金日记账!$H$4:$H$603,资金日记账!$E$4:$E$603,$A12,资金日记账!$V$4:$V$603,N$4),2))</f>
        <v/>
      </c>
      <c r="O12" s="76" t="str">
        <f ca="1">IF($A12="","",ROUND(SUMIFS(资金日记账!$H$4:$H$603,资金日记账!$E$4:$E$603,$A12,资金日记账!$V$4:$V$603,O$4),2))</f>
        <v/>
      </c>
      <c r="P12" s="76" t="str">
        <f ca="1">IF($A12="","",ROUND(SUMIFS(资金日记账!$H$4:$H$603,资金日记账!$E$4:$E$603,$A12,资金日记账!$V$4:$V$603,P$4),2))</f>
        <v/>
      </c>
      <c r="Q12" s="76" t="str">
        <f ca="1">IF($A12="","",ROUND(SUMIFS(资金日记账!$H$4:$H$603,资金日记账!$E$4:$E$603,$A12,资金日记账!$V$4:$V$603,Q$4),2))</f>
        <v/>
      </c>
      <c r="R12" s="76" t="str">
        <f ca="1">IF($A12="","",ROUND(SUMIFS(资金日记账!$H$4:$H$603,资金日记账!$E$4:$E$603,$A12,资金日记账!$V$4:$V$603,R$4),2))</f>
        <v/>
      </c>
      <c r="S12" s="76" t="str">
        <f ca="1">IF($A12="","",ROUND(SUMIFS(资金日记账!$H$4:$H$603,资金日记账!$E$4:$E$603,$A12,资金日记账!$V$4:$V$603,S$4),2))</f>
        <v/>
      </c>
      <c r="T12" s="76" t="str">
        <f ca="1">IF($A12="","",ROUND(SUMIFS(资金日记账!$H$4:$H$603,资金日记账!$E$4:$E$603,$A12,资金日记账!$V$4:$V$603,T$4),2))</f>
        <v/>
      </c>
      <c r="U12" s="76" t="str">
        <f ca="1">IF($A12="","",ROUND(SUMIFS(资金日记账!$H$4:$H$603,资金日记账!$E$4:$E$603,$A12,资金日记账!$V$4:$V$603,U$4),2))</f>
        <v/>
      </c>
      <c r="V12" s="76" t="str">
        <f ca="1">IF($A12="","",ROUND(SUMIFS(资金日记账!$H$4:$H$603,资金日记账!$E$4:$E$603,$A12,资金日记账!$V$4:$V$603,V$4),2))</f>
        <v/>
      </c>
      <c r="W12" s="76" t="str">
        <f ca="1">IF($A12="","",ROUND(SUMIFS(资金日记账!$H$4:$H$603,资金日记账!$E$4:$E$603,$A12,资金日记账!$V$4:$V$603,W$4),2))</f>
        <v/>
      </c>
      <c r="X12" s="76" t="str">
        <f ca="1">IF($A12="","",ROUND(SUMIFS(资金日记账!$H$4:$H$603,资金日记账!$E$4:$E$603,$A12,资金日记账!$V$4:$V$603,X$4),2))</f>
        <v/>
      </c>
      <c r="Y12" s="76" t="str">
        <f ca="1">IF($A12="","",ROUND(SUMIFS(资金日记账!$H$4:$H$603,资金日记账!$E$4:$E$603,$A12,资金日记账!$V$4:$V$603,Y$4),2))</f>
        <v/>
      </c>
      <c r="Z12" s="87" t="str">
        <f ca="1" t="shared" si="1"/>
        <v/>
      </c>
    </row>
    <row r="13" spans="1:27">
      <c r="A13" s="86" t="str">
        <f>IFERROR(INDEX(_自动清单!$AJ$4:$AJ$63,9),"")</f>
        <v/>
      </c>
      <c r="B13" s="76" t="str">
        <f ca="1">IF($A13="","",ROUND(SUMIFS(资金日记账!$H$4:$H$603,资金日记账!$E$4:$E$603,$A13,资金日记账!$V$4:$V$603,B$4),2))</f>
        <v/>
      </c>
      <c r="C13" s="76" t="str">
        <f ca="1">IF($A13="","",ROUND(SUMIFS(资金日记账!$H$4:$H$603,资金日记账!$E$4:$E$603,$A13,资金日记账!$V$4:$V$603,C$4),2))</f>
        <v/>
      </c>
      <c r="D13" s="76" t="str">
        <f ca="1">IF($A13="","",ROUND(SUMIFS(资金日记账!$H$4:$H$603,资金日记账!$E$4:$E$603,$A13,资金日记账!$V$4:$V$603,D$4),2))</f>
        <v/>
      </c>
      <c r="E13" s="76" t="str">
        <f ca="1">IF($A13="","",ROUND(SUMIFS(资金日记账!$H$4:$H$603,资金日记账!$E$4:$E$603,$A13,资金日记账!$V$4:$V$603,E$4),2))</f>
        <v/>
      </c>
      <c r="F13" s="76" t="str">
        <f ca="1">IF($A13="","",ROUND(SUMIFS(资金日记账!$H$4:$H$603,资金日记账!$E$4:$E$603,$A13,资金日记账!$V$4:$V$603,F$4),2))</f>
        <v/>
      </c>
      <c r="G13" s="76" t="str">
        <f ca="1">IF($A13="","",ROUND(SUMIFS(资金日记账!$H$4:$H$603,资金日记账!$E$4:$E$603,$A13,资金日记账!$V$4:$V$603,G$4),2))</f>
        <v/>
      </c>
      <c r="H13" s="76" t="str">
        <f ca="1">IF($A13="","",ROUND(SUMIFS(资金日记账!$H$4:$H$603,资金日记账!$E$4:$E$603,$A13,资金日记账!$V$4:$V$603,H$4),2))</f>
        <v/>
      </c>
      <c r="I13" s="76" t="str">
        <f ca="1">IF($A13="","",ROUND(SUMIFS(资金日记账!$H$4:$H$603,资金日记账!$E$4:$E$603,$A13,资金日记账!$V$4:$V$603,I$4),2))</f>
        <v/>
      </c>
      <c r="J13" s="76" t="str">
        <f ca="1">IF($A13="","",ROUND(SUMIFS(资金日记账!$H$4:$H$603,资金日记账!$E$4:$E$603,$A13,资金日记账!$V$4:$V$603,J$4),2))</f>
        <v/>
      </c>
      <c r="K13" s="76" t="str">
        <f ca="1">IF($A13="","",ROUND(SUMIFS(资金日记账!$H$4:$H$603,资金日记账!$E$4:$E$603,$A13,资金日记账!$V$4:$V$603,K$4),2))</f>
        <v/>
      </c>
      <c r="L13" s="76" t="str">
        <f ca="1">IF($A13="","",ROUND(SUMIFS(资金日记账!$H$4:$H$603,资金日记账!$E$4:$E$603,$A13,资金日记账!$V$4:$V$603,L$4),2))</f>
        <v/>
      </c>
      <c r="M13" s="76" t="str">
        <f ca="1">IF($A13="","",ROUND(SUMIFS(资金日记账!$H$4:$H$603,资金日记账!$E$4:$E$603,$A13,资金日记账!$V$4:$V$603,M$4),2))</f>
        <v/>
      </c>
      <c r="N13" s="76" t="str">
        <f ca="1">IF($A13="","",ROUND(SUMIFS(资金日记账!$H$4:$H$603,资金日记账!$E$4:$E$603,$A13,资金日记账!$V$4:$V$603,N$4),2))</f>
        <v/>
      </c>
      <c r="O13" s="76" t="str">
        <f ca="1">IF($A13="","",ROUND(SUMIFS(资金日记账!$H$4:$H$603,资金日记账!$E$4:$E$603,$A13,资金日记账!$V$4:$V$603,O$4),2))</f>
        <v/>
      </c>
      <c r="P13" s="76" t="str">
        <f ca="1">IF($A13="","",ROUND(SUMIFS(资金日记账!$H$4:$H$603,资金日记账!$E$4:$E$603,$A13,资金日记账!$V$4:$V$603,P$4),2))</f>
        <v/>
      </c>
      <c r="Q13" s="76" t="str">
        <f ca="1">IF($A13="","",ROUND(SUMIFS(资金日记账!$H$4:$H$603,资金日记账!$E$4:$E$603,$A13,资金日记账!$V$4:$V$603,Q$4),2))</f>
        <v/>
      </c>
      <c r="R13" s="76" t="str">
        <f ca="1">IF($A13="","",ROUND(SUMIFS(资金日记账!$H$4:$H$603,资金日记账!$E$4:$E$603,$A13,资金日记账!$V$4:$V$603,R$4),2))</f>
        <v/>
      </c>
      <c r="S13" s="76" t="str">
        <f ca="1">IF($A13="","",ROUND(SUMIFS(资金日记账!$H$4:$H$603,资金日记账!$E$4:$E$603,$A13,资金日记账!$V$4:$V$603,S$4),2))</f>
        <v/>
      </c>
      <c r="T13" s="76" t="str">
        <f ca="1">IF($A13="","",ROUND(SUMIFS(资金日记账!$H$4:$H$603,资金日记账!$E$4:$E$603,$A13,资金日记账!$V$4:$V$603,T$4),2))</f>
        <v/>
      </c>
      <c r="U13" s="76" t="str">
        <f ca="1">IF($A13="","",ROUND(SUMIFS(资金日记账!$H$4:$H$603,资金日记账!$E$4:$E$603,$A13,资金日记账!$V$4:$V$603,U$4),2))</f>
        <v/>
      </c>
      <c r="V13" s="76" t="str">
        <f ca="1">IF($A13="","",ROUND(SUMIFS(资金日记账!$H$4:$H$603,资金日记账!$E$4:$E$603,$A13,资金日记账!$V$4:$V$603,V$4),2))</f>
        <v/>
      </c>
      <c r="W13" s="76" t="str">
        <f ca="1">IF($A13="","",ROUND(SUMIFS(资金日记账!$H$4:$H$603,资金日记账!$E$4:$E$603,$A13,资金日记账!$V$4:$V$603,W$4),2))</f>
        <v/>
      </c>
      <c r="X13" s="76" t="str">
        <f ca="1">IF($A13="","",ROUND(SUMIFS(资金日记账!$H$4:$H$603,资金日记账!$E$4:$E$603,$A13,资金日记账!$V$4:$V$603,X$4),2))</f>
        <v/>
      </c>
      <c r="Y13" s="76" t="str">
        <f ca="1">IF($A13="","",ROUND(SUMIFS(资金日记账!$H$4:$H$603,资金日记账!$E$4:$E$603,$A13,资金日记账!$V$4:$V$603,Y$4),2))</f>
        <v/>
      </c>
      <c r="Z13" s="87" t="str">
        <f ca="1" t="shared" si="1"/>
        <v/>
      </c>
    </row>
    <row r="14" spans="1:27">
      <c r="A14" s="86" t="str">
        <f>IFERROR(INDEX(_自动清单!$AJ$4:$AJ$63,10),"")</f>
        <v/>
      </c>
      <c r="B14" s="76" t="str">
        <f ca="1">IF($A14="","",ROUND(SUMIFS(资金日记账!$H$4:$H$603,资金日记账!$E$4:$E$603,$A14,资金日记账!$V$4:$V$603,B$4),2))</f>
        <v/>
      </c>
      <c r="C14" s="76" t="str">
        <f ca="1">IF($A14="","",ROUND(SUMIFS(资金日记账!$H$4:$H$603,资金日记账!$E$4:$E$603,$A14,资金日记账!$V$4:$V$603,C$4),2))</f>
        <v/>
      </c>
      <c r="D14" s="76" t="str">
        <f ca="1">IF($A14="","",ROUND(SUMIFS(资金日记账!$H$4:$H$603,资金日记账!$E$4:$E$603,$A14,资金日记账!$V$4:$V$603,D$4),2))</f>
        <v/>
      </c>
      <c r="E14" s="76" t="str">
        <f ca="1">IF($A14="","",ROUND(SUMIFS(资金日记账!$H$4:$H$603,资金日记账!$E$4:$E$603,$A14,资金日记账!$V$4:$V$603,E$4),2))</f>
        <v/>
      </c>
      <c r="F14" s="76" t="str">
        <f ca="1">IF($A14="","",ROUND(SUMIFS(资金日记账!$H$4:$H$603,资金日记账!$E$4:$E$603,$A14,资金日记账!$V$4:$V$603,F$4),2))</f>
        <v/>
      </c>
      <c r="G14" s="76" t="str">
        <f ca="1">IF($A14="","",ROUND(SUMIFS(资金日记账!$H$4:$H$603,资金日记账!$E$4:$E$603,$A14,资金日记账!$V$4:$V$603,G$4),2))</f>
        <v/>
      </c>
      <c r="H14" s="76" t="str">
        <f ca="1">IF($A14="","",ROUND(SUMIFS(资金日记账!$H$4:$H$603,资金日记账!$E$4:$E$603,$A14,资金日记账!$V$4:$V$603,H$4),2))</f>
        <v/>
      </c>
      <c r="I14" s="76" t="str">
        <f ca="1">IF($A14="","",ROUND(SUMIFS(资金日记账!$H$4:$H$603,资金日记账!$E$4:$E$603,$A14,资金日记账!$V$4:$V$603,I$4),2))</f>
        <v/>
      </c>
      <c r="J14" s="76" t="str">
        <f ca="1">IF($A14="","",ROUND(SUMIFS(资金日记账!$H$4:$H$603,资金日记账!$E$4:$E$603,$A14,资金日记账!$V$4:$V$603,J$4),2))</f>
        <v/>
      </c>
      <c r="K14" s="76" t="str">
        <f ca="1">IF($A14="","",ROUND(SUMIFS(资金日记账!$H$4:$H$603,资金日记账!$E$4:$E$603,$A14,资金日记账!$V$4:$V$603,K$4),2))</f>
        <v/>
      </c>
      <c r="L14" s="76" t="str">
        <f ca="1">IF($A14="","",ROUND(SUMIFS(资金日记账!$H$4:$H$603,资金日记账!$E$4:$E$603,$A14,资金日记账!$V$4:$V$603,L$4),2))</f>
        <v/>
      </c>
      <c r="M14" s="76" t="str">
        <f ca="1">IF($A14="","",ROUND(SUMIFS(资金日记账!$H$4:$H$603,资金日记账!$E$4:$E$603,$A14,资金日记账!$V$4:$V$603,M$4),2))</f>
        <v/>
      </c>
      <c r="N14" s="76" t="str">
        <f ca="1">IF($A14="","",ROUND(SUMIFS(资金日记账!$H$4:$H$603,资金日记账!$E$4:$E$603,$A14,资金日记账!$V$4:$V$603,N$4),2))</f>
        <v/>
      </c>
      <c r="O14" s="76" t="str">
        <f ca="1">IF($A14="","",ROUND(SUMIFS(资金日记账!$H$4:$H$603,资金日记账!$E$4:$E$603,$A14,资金日记账!$V$4:$V$603,O$4),2))</f>
        <v/>
      </c>
      <c r="P14" s="76" t="str">
        <f ca="1">IF($A14="","",ROUND(SUMIFS(资金日记账!$H$4:$H$603,资金日记账!$E$4:$E$603,$A14,资金日记账!$V$4:$V$603,P$4),2))</f>
        <v/>
      </c>
      <c r="Q14" s="76" t="str">
        <f ca="1">IF($A14="","",ROUND(SUMIFS(资金日记账!$H$4:$H$603,资金日记账!$E$4:$E$603,$A14,资金日记账!$V$4:$V$603,Q$4),2))</f>
        <v/>
      </c>
      <c r="R14" s="76" t="str">
        <f ca="1">IF($A14="","",ROUND(SUMIFS(资金日记账!$H$4:$H$603,资金日记账!$E$4:$E$603,$A14,资金日记账!$V$4:$V$603,R$4),2))</f>
        <v/>
      </c>
      <c r="S14" s="76" t="str">
        <f ca="1">IF($A14="","",ROUND(SUMIFS(资金日记账!$H$4:$H$603,资金日记账!$E$4:$E$603,$A14,资金日记账!$V$4:$V$603,S$4),2))</f>
        <v/>
      </c>
      <c r="T14" s="76" t="str">
        <f ca="1">IF($A14="","",ROUND(SUMIFS(资金日记账!$H$4:$H$603,资金日记账!$E$4:$E$603,$A14,资金日记账!$V$4:$V$603,T$4),2))</f>
        <v/>
      </c>
      <c r="U14" s="76" t="str">
        <f ca="1">IF($A14="","",ROUND(SUMIFS(资金日记账!$H$4:$H$603,资金日记账!$E$4:$E$603,$A14,资金日记账!$V$4:$V$603,U$4),2))</f>
        <v/>
      </c>
      <c r="V14" s="76" t="str">
        <f ca="1">IF($A14="","",ROUND(SUMIFS(资金日记账!$H$4:$H$603,资金日记账!$E$4:$E$603,$A14,资金日记账!$V$4:$V$603,V$4),2))</f>
        <v/>
      </c>
      <c r="W14" s="76" t="str">
        <f ca="1">IF($A14="","",ROUND(SUMIFS(资金日记账!$H$4:$H$603,资金日记账!$E$4:$E$603,$A14,资金日记账!$V$4:$V$603,W$4),2))</f>
        <v/>
      </c>
      <c r="X14" s="76" t="str">
        <f ca="1">IF($A14="","",ROUND(SUMIFS(资金日记账!$H$4:$H$603,资金日记账!$E$4:$E$603,$A14,资金日记账!$V$4:$V$603,X$4),2))</f>
        <v/>
      </c>
      <c r="Y14" s="76" t="str">
        <f ca="1">IF($A14="","",ROUND(SUMIFS(资金日记账!$H$4:$H$603,资金日记账!$E$4:$E$603,$A14,资金日记账!$V$4:$V$603,Y$4),2))</f>
        <v/>
      </c>
      <c r="Z14" s="87" t="str">
        <f ca="1" t="shared" si="1"/>
        <v/>
      </c>
    </row>
    <row r="15" spans="1:27">
      <c r="A15" s="86" t="str">
        <f>IFERROR(INDEX(_自动清单!$AJ$4:$AJ$63,11),"")</f>
        <v/>
      </c>
      <c r="B15" s="76" t="str">
        <f ca="1">IF($A15="","",ROUND(SUMIFS(资金日记账!$H$4:$H$603,资金日记账!$E$4:$E$603,$A15,资金日记账!$V$4:$V$603,B$4),2))</f>
        <v/>
      </c>
      <c r="C15" s="76" t="str">
        <f ca="1">IF($A15="","",ROUND(SUMIFS(资金日记账!$H$4:$H$603,资金日记账!$E$4:$E$603,$A15,资金日记账!$V$4:$V$603,C$4),2))</f>
        <v/>
      </c>
      <c r="D15" s="76" t="str">
        <f ca="1">IF($A15="","",ROUND(SUMIFS(资金日记账!$H$4:$H$603,资金日记账!$E$4:$E$603,$A15,资金日记账!$V$4:$V$603,D$4),2))</f>
        <v/>
      </c>
      <c r="E15" s="76" t="str">
        <f ca="1">IF($A15="","",ROUND(SUMIFS(资金日记账!$H$4:$H$603,资金日记账!$E$4:$E$603,$A15,资金日记账!$V$4:$V$603,E$4),2))</f>
        <v/>
      </c>
      <c r="F15" s="76" t="str">
        <f ca="1">IF($A15="","",ROUND(SUMIFS(资金日记账!$H$4:$H$603,资金日记账!$E$4:$E$603,$A15,资金日记账!$V$4:$V$603,F$4),2))</f>
        <v/>
      </c>
      <c r="G15" s="76" t="str">
        <f ca="1">IF($A15="","",ROUND(SUMIFS(资金日记账!$H$4:$H$603,资金日记账!$E$4:$E$603,$A15,资金日记账!$V$4:$V$603,G$4),2))</f>
        <v/>
      </c>
      <c r="H15" s="76" t="str">
        <f ca="1">IF($A15="","",ROUND(SUMIFS(资金日记账!$H$4:$H$603,资金日记账!$E$4:$E$603,$A15,资金日记账!$V$4:$V$603,H$4),2))</f>
        <v/>
      </c>
      <c r="I15" s="76" t="str">
        <f ca="1">IF($A15="","",ROUND(SUMIFS(资金日记账!$H$4:$H$603,资金日记账!$E$4:$E$603,$A15,资金日记账!$V$4:$V$603,I$4),2))</f>
        <v/>
      </c>
      <c r="J15" s="76" t="str">
        <f ca="1">IF($A15="","",ROUND(SUMIFS(资金日记账!$H$4:$H$603,资金日记账!$E$4:$E$603,$A15,资金日记账!$V$4:$V$603,J$4),2))</f>
        <v/>
      </c>
      <c r="K15" s="76" t="str">
        <f ca="1">IF($A15="","",ROUND(SUMIFS(资金日记账!$H$4:$H$603,资金日记账!$E$4:$E$603,$A15,资金日记账!$V$4:$V$603,K$4),2))</f>
        <v/>
      </c>
      <c r="L15" s="76" t="str">
        <f ca="1">IF($A15="","",ROUND(SUMIFS(资金日记账!$H$4:$H$603,资金日记账!$E$4:$E$603,$A15,资金日记账!$V$4:$V$603,L$4),2))</f>
        <v/>
      </c>
      <c r="M15" s="76" t="str">
        <f ca="1">IF($A15="","",ROUND(SUMIFS(资金日记账!$H$4:$H$603,资金日记账!$E$4:$E$603,$A15,资金日记账!$V$4:$V$603,M$4),2))</f>
        <v/>
      </c>
      <c r="N15" s="76" t="str">
        <f ca="1">IF($A15="","",ROUND(SUMIFS(资金日记账!$H$4:$H$603,资金日记账!$E$4:$E$603,$A15,资金日记账!$V$4:$V$603,N$4),2))</f>
        <v/>
      </c>
      <c r="O15" s="76" t="str">
        <f ca="1">IF($A15="","",ROUND(SUMIFS(资金日记账!$H$4:$H$603,资金日记账!$E$4:$E$603,$A15,资金日记账!$V$4:$V$603,O$4),2))</f>
        <v/>
      </c>
      <c r="P15" s="76" t="str">
        <f ca="1">IF($A15="","",ROUND(SUMIFS(资金日记账!$H$4:$H$603,资金日记账!$E$4:$E$603,$A15,资金日记账!$V$4:$V$603,P$4),2))</f>
        <v/>
      </c>
      <c r="Q15" s="76" t="str">
        <f ca="1">IF($A15="","",ROUND(SUMIFS(资金日记账!$H$4:$H$603,资金日记账!$E$4:$E$603,$A15,资金日记账!$V$4:$V$603,Q$4),2))</f>
        <v/>
      </c>
      <c r="R15" s="76" t="str">
        <f ca="1">IF($A15="","",ROUND(SUMIFS(资金日记账!$H$4:$H$603,资金日记账!$E$4:$E$603,$A15,资金日记账!$V$4:$V$603,R$4),2))</f>
        <v/>
      </c>
      <c r="S15" s="76" t="str">
        <f ca="1">IF($A15="","",ROUND(SUMIFS(资金日记账!$H$4:$H$603,资金日记账!$E$4:$E$603,$A15,资金日记账!$V$4:$V$603,S$4),2))</f>
        <v/>
      </c>
      <c r="T15" s="76" t="str">
        <f ca="1">IF($A15="","",ROUND(SUMIFS(资金日记账!$H$4:$H$603,资金日记账!$E$4:$E$603,$A15,资金日记账!$V$4:$V$603,T$4),2))</f>
        <v/>
      </c>
      <c r="U15" s="76" t="str">
        <f ca="1">IF($A15="","",ROUND(SUMIFS(资金日记账!$H$4:$H$603,资金日记账!$E$4:$E$603,$A15,资金日记账!$V$4:$V$603,U$4),2))</f>
        <v/>
      </c>
      <c r="V15" s="76" t="str">
        <f ca="1">IF($A15="","",ROUND(SUMIFS(资金日记账!$H$4:$H$603,资金日记账!$E$4:$E$603,$A15,资金日记账!$V$4:$V$603,V$4),2))</f>
        <v/>
      </c>
      <c r="W15" s="76" t="str">
        <f ca="1">IF($A15="","",ROUND(SUMIFS(资金日记账!$H$4:$H$603,资金日记账!$E$4:$E$603,$A15,资金日记账!$V$4:$V$603,W$4),2))</f>
        <v/>
      </c>
      <c r="X15" s="76" t="str">
        <f ca="1">IF($A15="","",ROUND(SUMIFS(资金日记账!$H$4:$H$603,资金日记账!$E$4:$E$603,$A15,资金日记账!$V$4:$V$603,X$4),2))</f>
        <v/>
      </c>
      <c r="Y15" s="76" t="str">
        <f ca="1">IF($A15="","",ROUND(SUMIFS(资金日记账!$H$4:$H$603,资金日记账!$E$4:$E$603,$A15,资金日记账!$V$4:$V$603,Y$4),2))</f>
        <v/>
      </c>
      <c r="Z15" s="87" t="str">
        <f ca="1" t="shared" si="1"/>
        <v/>
      </c>
    </row>
    <row r="16" spans="1:27">
      <c r="A16" s="86" t="str">
        <f>IFERROR(INDEX(_自动清单!$AJ$4:$AJ$63,12),"")</f>
        <v/>
      </c>
      <c r="B16" s="76" t="str">
        <f ca="1">IF($A16="","",ROUND(SUMIFS(资金日记账!$H$4:$H$603,资金日记账!$E$4:$E$603,$A16,资金日记账!$V$4:$V$603,B$4),2))</f>
        <v/>
      </c>
      <c r="C16" s="76" t="str">
        <f ca="1">IF($A16="","",ROUND(SUMIFS(资金日记账!$H$4:$H$603,资金日记账!$E$4:$E$603,$A16,资金日记账!$V$4:$V$603,C$4),2))</f>
        <v/>
      </c>
      <c r="D16" s="76" t="str">
        <f ca="1">IF($A16="","",ROUND(SUMIFS(资金日记账!$H$4:$H$603,资金日记账!$E$4:$E$603,$A16,资金日记账!$V$4:$V$603,D$4),2))</f>
        <v/>
      </c>
      <c r="E16" s="76" t="str">
        <f ca="1">IF($A16="","",ROUND(SUMIFS(资金日记账!$H$4:$H$603,资金日记账!$E$4:$E$603,$A16,资金日记账!$V$4:$V$603,E$4),2))</f>
        <v/>
      </c>
      <c r="F16" s="76" t="str">
        <f ca="1">IF($A16="","",ROUND(SUMIFS(资金日记账!$H$4:$H$603,资金日记账!$E$4:$E$603,$A16,资金日记账!$V$4:$V$603,F$4),2))</f>
        <v/>
      </c>
      <c r="G16" s="76" t="str">
        <f ca="1">IF($A16="","",ROUND(SUMIFS(资金日记账!$H$4:$H$603,资金日记账!$E$4:$E$603,$A16,资金日记账!$V$4:$V$603,G$4),2))</f>
        <v/>
      </c>
      <c r="H16" s="76" t="str">
        <f ca="1">IF($A16="","",ROUND(SUMIFS(资金日记账!$H$4:$H$603,资金日记账!$E$4:$E$603,$A16,资金日记账!$V$4:$V$603,H$4),2))</f>
        <v/>
      </c>
      <c r="I16" s="76" t="str">
        <f ca="1">IF($A16="","",ROUND(SUMIFS(资金日记账!$H$4:$H$603,资金日记账!$E$4:$E$603,$A16,资金日记账!$V$4:$V$603,I$4),2))</f>
        <v/>
      </c>
      <c r="J16" s="76" t="str">
        <f ca="1">IF($A16="","",ROUND(SUMIFS(资金日记账!$H$4:$H$603,资金日记账!$E$4:$E$603,$A16,资金日记账!$V$4:$V$603,J$4),2))</f>
        <v/>
      </c>
      <c r="K16" s="76" t="str">
        <f ca="1">IF($A16="","",ROUND(SUMIFS(资金日记账!$H$4:$H$603,资金日记账!$E$4:$E$603,$A16,资金日记账!$V$4:$V$603,K$4),2))</f>
        <v/>
      </c>
      <c r="L16" s="76" t="str">
        <f ca="1">IF($A16="","",ROUND(SUMIFS(资金日记账!$H$4:$H$603,资金日记账!$E$4:$E$603,$A16,资金日记账!$V$4:$V$603,L$4),2))</f>
        <v/>
      </c>
      <c r="M16" s="76" t="str">
        <f ca="1">IF($A16="","",ROUND(SUMIFS(资金日记账!$H$4:$H$603,资金日记账!$E$4:$E$603,$A16,资金日记账!$V$4:$V$603,M$4),2))</f>
        <v/>
      </c>
      <c r="N16" s="76" t="str">
        <f ca="1">IF($A16="","",ROUND(SUMIFS(资金日记账!$H$4:$H$603,资金日记账!$E$4:$E$603,$A16,资金日记账!$V$4:$V$603,N$4),2))</f>
        <v/>
      </c>
      <c r="O16" s="76" t="str">
        <f ca="1">IF($A16="","",ROUND(SUMIFS(资金日记账!$H$4:$H$603,资金日记账!$E$4:$E$603,$A16,资金日记账!$V$4:$V$603,O$4),2))</f>
        <v/>
      </c>
      <c r="P16" s="76" t="str">
        <f ca="1">IF($A16="","",ROUND(SUMIFS(资金日记账!$H$4:$H$603,资金日记账!$E$4:$E$603,$A16,资金日记账!$V$4:$V$603,P$4),2))</f>
        <v/>
      </c>
      <c r="Q16" s="76" t="str">
        <f ca="1">IF($A16="","",ROUND(SUMIFS(资金日记账!$H$4:$H$603,资金日记账!$E$4:$E$603,$A16,资金日记账!$V$4:$V$603,Q$4),2))</f>
        <v/>
      </c>
      <c r="R16" s="76" t="str">
        <f ca="1">IF($A16="","",ROUND(SUMIFS(资金日记账!$H$4:$H$603,资金日记账!$E$4:$E$603,$A16,资金日记账!$V$4:$V$603,R$4),2))</f>
        <v/>
      </c>
      <c r="S16" s="76" t="str">
        <f ca="1">IF($A16="","",ROUND(SUMIFS(资金日记账!$H$4:$H$603,资金日记账!$E$4:$E$603,$A16,资金日记账!$V$4:$V$603,S$4),2))</f>
        <v/>
      </c>
      <c r="T16" s="76" t="str">
        <f ca="1">IF($A16="","",ROUND(SUMIFS(资金日记账!$H$4:$H$603,资金日记账!$E$4:$E$603,$A16,资金日记账!$V$4:$V$603,T$4),2))</f>
        <v/>
      </c>
      <c r="U16" s="76" t="str">
        <f ca="1">IF($A16="","",ROUND(SUMIFS(资金日记账!$H$4:$H$603,资金日记账!$E$4:$E$603,$A16,资金日记账!$V$4:$V$603,U$4),2))</f>
        <v/>
      </c>
      <c r="V16" s="76" t="str">
        <f ca="1">IF($A16="","",ROUND(SUMIFS(资金日记账!$H$4:$H$603,资金日记账!$E$4:$E$603,$A16,资金日记账!$V$4:$V$603,V$4),2))</f>
        <v/>
      </c>
      <c r="W16" s="76" t="str">
        <f ca="1">IF($A16="","",ROUND(SUMIFS(资金日记账!$H$4:$H$603,资金日记账!$E$4:$E$603,$A16,资金日记账!$V$4:$V$603,W$4),2))</f>
        <v/>
      </c>
      <c r="X16" s="76" t="str">
        <f ca="1">IF($A16="","",ROUND(SUMIFS(资金日记账!$H$4:$H$603,资金日记账!$E$4:$E$603,$A16,资金日记账!$V$4:$V$603,X$4),2))</f>
        <v/>
      </c>
      <c r="Y16" s="76" t="str">
        <f ca="1">IF($A16="","",ROUND(SUMIFS(资金日记账!$H$4:$H$603,资金日记账!$E$4:$E$603,$A16,资金日记账!$V$4:$V$603,Y$4),2))</f>
        <v/>
      </c>
      <c r="Z16" s="87" t="str">
        <f ca="1" t="shared" si="1"/>
        <v/>
      </c>
    </row>
    <row r="17" spans="1:26">
      <c r="A17" s="86" t="str">
        <f>IFERROR(INDEX(_自动清单!$AJ$4:$AJ$63,13),"")</f>
        <v/>
      </c>
      <c r="B17" s="76" t="str">
        <f ca="1">IF($A17="","",ROUND(SUMIFS(资金日记账!$H$4:$H$603,资金日记账!$E$4:$E$603,$A17,资金日记账!$V$4:$V$603,B$4),2))</f>
        <v/>
      </c>
      <c r="C17" s="76" t="str">
        <f ca="1">IF($A17="","",ROUND(SUMIFS(资金日记账!$H$4:$H$603,资金日记账!$E$4:$E$603,$A17,资金日记账!$V$4:$V$603,C$4),2))</f>
        <v/>
      </c>
      <c r="D17" s="76" t="str">
        <f ca="1">IF($A17="","",ROUND(SUMIFS(资金日记账!$H$4:$H$603,资金日记账!$E$4:$E$603,$A17,资金日记账!$V$4:$V$603,D$4),2))</f>
        <v/>
      </c>
      <c r="E17" s="76" t="str">
        <f ca="1">IF($A17="","",ROUND(SUMIFS(资金日记账!$H$4:$H$603,资金日记账!$E$4:$E$603,$A17,资金日记账!$V$4:$V$603,E$4),2))</f>
        <v/>
      </c>
      <c r="F17" s="76" t="str">
        <f ca="1">IF($A17="","",ROUND(SUMIFS(资金日记账!$H$4:$H$603,资金日记账!$E$4:$E$603,$A17,资金日记账!$V$4:$V$603,F$4),2))</f>
        <v/>
      </c>
      <c r="G17" s="76" t="str">
        <f ca="1">IF($A17="","",ROUND(SUMIFS(资金日记账!$H$4:$H$603,资金日记账!$E$4:$E$603,$A17,资金日记账!$V$4:$V$603,G$4),2))</f>
        <v/>
      </c>
      <c r="H17" s="76" t="str">
        <f ca="1">IF($A17="","",ROUND(SUMIFS(资金日记账!$H$4:$H$603,资金日记账!$E$4:$E$603,$A17,资金日记账!$V$4:$V$603,H$4),2))</f>
        <v/>
      </c>
      <c r="I17" s="76" t="str">
        <f ca="1">IF($A17="","",ROUND(SUMIFS(资金日记账!$H$4:$H$603,资金日记账!$E$4:$E$603,$A17,资金日记账!$V$4:$V$603,I$4),2))</f>
        <v/>
      </c>
      <c r="J17" s="76" t="str">
        <f ca="1">IF($A17="","",ROUND(SUMIFS(资金日记账!$H$4:$H$603,资金日记账!$E$4:$E$603,$A17,资金日记账!$V$4:$V$603,J$4),2))</f>
        <v/>
      </c>
      <c r="K17" s="76" t="str">
        <f ca="1">IF($A17="","",ROUND(SUMIFS(资金日记账!$H$4:$H$603,资金日记账!$E$4:$E$603,$A17,资金日记账!$V$4:$V$603,K$4),2))</f>
        <v/>
      </c>
      <c r="L17" s="76" t="str">
        <f ca="1">IF($A17="","",ROUND(SUMIFS(资金日记账!$H$4:$H$603,资金日记账!$E$4:$E$603,$A17,资金日记账!$V$4:$V$603,L$4),2))</f>
        <v/>
      </c>
      <c r="M17" s="76" t="str">
        <f ca="1">IF($A17="","",ROUND(SUMIFS(资金日记账!$H$4:$H$603,资金日记账!$E$4:$E$603,$A17,资金日记账!$V$4:$V$603,M$4),2))</f>
        <v/>
      </c>
      <c r="N17" s="76" t="str">
        <f ca="1">IF($A17="","",ROUND(SUMIFS(资金日记账!$H$4:$H$603,资金日记账!$E$4:$E$603,$A17,资金日记账!$V$4:$V$603,N$4),2))</f>
        <v/>
      </c>
      <c r="O17" s="76" t="str">
        <f ca="1">IF($A17="","",ROUND(SUMIFS(资金日记账!$H$4:$H$603,资金日记账!$E$4:$E$603,$A17,资金日记账!$V$4:$V$603,O$4),2))</f>
        <v/>
      </c>
      <c r="P17" s="76" t="str">
        <f ca="1">IF($A17="","",ROUND(SUMIFS(资金日记账!$H$4:$H$603,资金日记账!$E$4:$E$603,$A17,资金日记账!$V$4:$V$603,P$4),2))</f>
        <v/>
      </c>
      <c r="Q17" s="76" t="str">
        <f ca="1">IF($A17="","",ROUND(SUMIFS(资金日记账!$H$4:$H$603,资金日记账!$E$4:$E$603,$A17,资金日记账!$V$4:$V$603,Q$4),2))</f>
        <v/>
      </c>
      <c r="R17" s="76" t="str">
        <f ca="1">IF($A17="","",ROUND(SUMIFS(资金日记账!$H$4:$H$603,资金日记账!$E$4:$E$603,$A17,资金日记账!$V$4:$V$603,R$4),2))</f>
        <v/>
      </c>
      <c r="S17" s="76" t="str">
        <f ca="1">IF($A17="","",ROUND(SUMIFS(资金日记账!$H$4:$H$603,资金日记账!$E$4:$E$603,$A17,资金日记账!$V$4:$V$603,S$4),2))</f>
        <v/>
      </c>
      <c r="T17" s="76" t="str">
        <f ca="1">IF($A17="","",ROUND(SUMIFS(资金日记账!$H$4:$H$603,资金日记账!$E$4:$E$603,$A17,资金日记账!$V$4:$V$603,T$4),2))</f>
        <v/>
      </c>
      <c r="U17" s="76" t="str">
        <f ca="1">IF($A17="","",ROUND(SUMIFS(资金日记账!$H$4:$H$603,资金日记账!$E$4:$E$603,$A17,资金日记账!$V$4:$V$603,U$4),2))</f>
        <v/>
      </c>
      <c r="V17" s="76" t="str">
        <f ca="1">IF($A17="","",ROUND(SUMIFS(资金日记账!$H$4:$H$603,资金日记账!$E$4:$E$603,$A17,资金日记账!$V$4:$V$603,V$4),2))</f>
        <v/>
      </c>
      <c r="W17" s="76" t="str">
        <f ca="1">IF($A17="","",ROUND(SUMIFS(资金日记账!$H$4:$H$603,资金日记账!$E$4:$E$603,$A17,资金日记账!$V$4:$V$603,W$4),2))</f>
        <v/>
      </c>
      <c r="X17" s="76" t="str">
        <f ca="1">IF($A17="","",ROUND(SUMIFS(资金日记账!$H$4:$H$603,资金日记账!$E$4:$E$603,$A17,资金日记账!$V$4:$V$603,X$4),2))</f>
        <v/>
      </c>
      <c r="Y17" s="76" t="str">
        <f ca="1">IF($A17="","",ROUND(SUMIFS(资金日记账!$H$4:$H$603,资金日记账!$E$4:$E$603,$A17,资金日记账!$V$4:$V$603,Y$4),2))</f>
        <v/>
      </c>
      <c r="Z17" s="87" t="str">
        <f ca="1" t="shared" si="1"/>
        <v/>
      </c>
    </row>
    <row r="18" spans="1:26">
      <c r="A18" s="86" t="str">
        <f>IFERROR(INDEX(_自动清单!$AJ$4:$AJ$63,14),"")</f>
        <v/>
      </c>
      <c r="B18" s="76" t="str">
        <f ca="1">IF($A18="","",ROUND(SUMIFS(资金日记账!$H$4:$H$603,资金日记账!$E$4:$E$603,$A18,资金日记账!$V$4:$V$603,B$4),2))</f>
        <v/>
      </c>
      <c r="C18" s="76" t="str">
        <f ca="1">IF($A18="","",ROUND(SUMIFS(资金日记账!$H$4:$H$603,资金日记账!$E$4:$E$603,$A18,资金日记账!$V$4:$V$603,C$4),2))</f>
        <v/>
      </c>
      <c r="D18" s="76" t="str">
        <f ca="1">IF($A18="","",ROUND(SUMIFS(资金日记账!$H$4:$H$603,资金日记账!$E$4:$E$603,$A18,资金日记账!$V$4:$V$603,D$4),2))</f>
        <v/>
      </c>
      <c r="E18" s="76" t="str">
        <f ca="1">IF($A18="","",ROUND(SUMIFS(资金日记账!$H$4:$H$603,资金日记账!$E$4:$E$603,$A18,资金日记账!$V$4:$V$603,E$4),2))</f>
        <v/>
      </c>
      <c r="F18" s="76" t="str">
        <f ca="1">IF($A18="","",ROUND(SUMIFS(资金日记账!$H$4:$H$603,资金日记账!$E$4:$E$603,$A18,资金日记账!$V$4:$V$603,F$4),2))</f>
        <v/>
      </c>
      <c r="G18" s="76" t="str">
        <f ca="1">IF($A18="","",ROUND(SUMIFS(资金日记账!$H$4:$H$603,资金日记账!$E$4:$E$603,$A18,资金日记账!$V$4:$V$603,G$4),2))</f>
        <v/>
      </c>
      <c r="H18" s="76" t="str">
        <f ca="1">IF($A18="","",ROUND(SUMIFS(资金日记账!$H$4:$H$603,资金日记账!$E$4:$E$603,$A18,资金日记账!$V$4:$V$603,H$4),2))</f>
        <v/>
      </c>
      <c r="I18" s="76" t="str">
        <f ca="1">IF($A18="","",ROUND(SUMIFS(资金日记账!$H$4:$H$603,资金日记账!$E$4:$E$603,$A18,资金日记账!$V$4:$V$603,I$4),2))</f>
        <v/>
      </c>
      <c r="J18" s="76" t="str">
        <f ca="1">IF($A18="","",ROUND(SUMIFS(资金日记账!$H$4:$H$603,资金日记账!$E$4:$E$603,$A18,资金日记账!$V$4:$V$603,J$4),2))</f>
        <v/>
      </c>
      <c r="K18" s="76" t="str">
        <f ca="1">IF($A18="","",ROUND(SUMIFS(资金日记账!$H$4:$H$603,资金日记账!$E$4:$E$603,$A18,资金日记账!$V$4:$V$603,K$4),2))</f>
        <v/>
      </c>
      <c r="L18" s="76" t="str">
        <f ca="1">IF($A18="","",ROUND(SUMIFS(资金日记账!$H$4:$H$603,资金日记账!$E$4:$E$603,$A18,资金日记账!$V$4:$V$603,L$4),2))</f>
        <v/>
      </c>
      <c r="M18" s="76" t="str">
        <f ca="1">IF($A18="","",ROUND(SUMIFS(资金日记账!$H$4:$H$603,资金日记账!$E$4:$E$603,$A18,资金日记账!$V$4:$V$603,M$4),2))</f>
        <v/>
      </c>
      <c r="N18" s="76" t="str">
        <f ca="1">IF($A18="","",ROUND(SUMIFS(资金日记账!$H$4:$H$603,资金日记账!$E$4:$E$603,$A18,资金日记账!$V$4:$V$603,N$4),2))</f>
        <v/>
      </c>
      <c r="O18" s="76" t="str">
        <f ca="1">IF($A18="","",ROUND(SUMIFS(资金日记账!$H$4:$H$603,资金日记账!$E$4:$E$603,$A18,资金日记账!$V$4:$V$603,O$4),2))</f>
        <v/>
      </c>
      <c r="P18" s="76" t="str">
        <f ca="1">IF($A18="","",ROUND(SUMIFS(资金日记账!$H$4:$H$603,资金日记账!$E$4:$E$603,$A18,资金日记账!$V$4:$V$603,P$4),2))</f>
        <v/>
      </c>
      <c r="Q18" s="76" t="str">
        <f ca="1">IF($A18="","",ROUND(SUMIFS(资金日记账!$H$4:$H$603,资金日记账!$E$4:$E$603,$A18,资金日记账!$V$4:$V$603,Q$4),2))</f>
        <v/>
      </c>
      <c r="R18" s="76" t="str">
        <f ca="1">IF($A18="","",ROUND(SUMIFS(资金日记账!$H$4:$H$603,资金日记账!$E$4:$E$603,$A18,资金日记账!$V$4:$V$603,R$4),2))</f>
        <v/>
      </c>
      <c r="S18" s="76" t="str">
        <f ca="1">IF($A18="","",ROUND(SUMIFS(资金日记账!$H$4:$H$603,资金日记账!$E$4:$E$603,$A18,资金日记账!$V$4:$V$603,S$4),2))</f>
        <v/>
      </c>
      <c r="T18" s="76" t="str">
        <f ca="1">IF($A18="","",ROUND(SUMIFS(资金日记账!$H$4:$H$603,资金日记账!$E$4:$E$603,$A18,资金日记账!$V$4:$V$603,T$4),2))</f>
        <v/>
      </c>
      <c r="U18" s="76" t="str">
        <f ca="1">IF($A18="","",ROUND(SUMIFS(资金日记账!$H$4:$H$603,资金日记账!$E$4:$E$603,$A18,资金日记账!$V$4:$V$603,U$4),2))</f>
        <v/>
      </c>
      <c r="V18" s="76" t="str">
        <f ca="1">IF($A18="","",ROUND(SUMIFS(资金日记账!$H$4:$H$603,资金日记账!$E$4:$E$603,$A18,资金日记账!$V$4:$V$603,V$4),2))</f>
        <v/>
      </c>
      <c r="W18" s="76" t="str">
        <f ca="1">IF($A18="","",ROUND(SUMIFS(资金日记账!$H$4:$H$603,资金日记账!$E$4:$E$603,$A18,资金日记账!$V$4:$V$603,W$4),2))</f>
        <v/>
      </c>
      <c r="X18" s="76" t="str">
        <f ca="1">IF($A18="","",ROUND(SUMIFS(资金日记账!$H$4:$H$603,资金日记账!$E$4:$E$603,$A18,资金日记账!$V$4:$V$603,X$4),2))</f>
        <v/>
      </c>
      <c r="Y18" s="76" t="str">
        <f ca="1">IF($A18="","",ROUND(SUMIFS(资金日记账!$H$4:$H$603,资金日记账!$E$4:$E$603,$A18,资金日记账!$V$4:$V$603,Y$4),2))</f>
        <v/>
      </c>
      <c r="Z18" s="87" t="str">
        <f ca="1" t="shared" si="1"/>
        <v/>
      </c>
    </row>
    <row r="19" spans="1:26">
      <c r="A19" s="86" t="str">
        <f>IFERROR(INDEX(_自动清单!$AJ$4:$AJ$63,15),"")</f>
        <v/>
      </c>
      <c r="B19" s="76" t="str">
        <f ca="1">IF($A19="","",ROUND(SUMIFS(资金日记账!$H$4:$H$603,资金日记账!$E$4:$E$603,$A19,资金日记账!$V$4:$V$603,B$4),2))</f>
        <v/>
      </c>
      <c r="C19" s="76" t="str">
        <f ca="1">IF($A19="","",ROUND(SUMIFS(资金日记账!$H$4:$H$603,资金日记账!$E$4:$E$603,$A19,资金日记账!$V$4:$V$603,C$4),2))</f>
        <v/>
      </c>
      <c r="D19" s="76" t="str">
        <f ca="1">IF($A19="","",ROUND(SUMIFS(资金日记账!$H$4:$H$603,资金日记账!$E$4:$E$603,$A19,资金日记账!$V$4:$V$603,D$4),2))</f>
        <v/>
      </c>
      <c r="E19" s="76" t="str">
        <f ca="1">IF($A19="","",ROUND(SUMIFS(资金日记账!$H$4:$H$603,资金日记账!$E$4:$E$603,$A19,资金日记账!$V$4:$V$603,E$4),2))</f>
        <v/>
      </c>
      <c r="F19" s="76" t="str">
        <f ca="1">IF($A19="","",ROUND(SUMIFS(资金日记账!$H$4:$H$603,资金日记账!$E$4:$E$603,$A19,资金日记账!$V$4:$V$603,F$4),2))</f>
        <v/>
      </c>
      <c r="G19" s="76" t="str">
        <f ca="1">IF($A19="","",ROUND(SUMIFS(资金日记账!$H$4:$H$603,资金日记账!$E$4:$E$603,$A19,资金日记账!$V$4:$V$603,G$4),2))</f>
        <v/>
      </c>
      <c r="H19" s="76" t="str">
        <f ca="1">IF($A19="","",ROUND(SUMIFS(资金日记账!$H$4:$H$603,资金日记账!$E$4:$E$603,$A19,资金日记账!$V$4:$V$603,H$4),2))</f>
        <v/>
      </c>
      <c r="I19" s="76" t="str">
        <f ca="1">IF($A19="","",ROUND(SUMIFS(资金日记账!$H$4:$H$603,资金日记账!$E$4:$E$603,$A19,资金日记账!$V$4:$V$603,I$4),2))</f>
        <v/>
      </c>
      <c r="J19" s="76" t="str">
        <f ca="1">IF($A19="","",ROUND(SUMIFS(资金日记账!$H$4:$H$603,资金日记账!$E$4:$E$603,$A19,资金日记账!$V$4:$V$603,J$4),2))</f>
        <v/>
      </c>
      <c r="K19" s="76" t="str">
        <f ca="1">IF($A19="","",ROUND(SUMIFS(资金日记账!$H$4:$H$603,资金日记账!$E$4:$E$603,$A19,资金日记账!$V$4:$V$603,K$4),2))</f>
        <v/>
      </c>
      <c r="L19" s="76" t="str">
        <f ca="1">IF($A19="","",ROUND(SUMIFS(资金日记账!$H$4:$H$603,资金日记账!$E$4:$E$603,$A19,资金日记账!$V$4:$V$603,L$4),2))</f>
        <v/>
      </c>
      <c r="M19" s="76" t="str">
        <f ca="1">IF($A19="","",ROUND(SUMIFS(资金日记账!$H$4:$H$603,资金日记账!$E$4:$E$603,$A19,资金日记账!$V$4:$V$603,M$4),2))</f>
        <v/>
      </c>
      <c r="N19" s="76" t="str">
        <f ca="1">IF($A19="","",ROUND(SUMIFS(资金日记账!$H$4:$H$603,资金日记账!$E$4:$E$603,$A19,资金日记账!$V$4:$V$603,N$4),2))</f>
        <v/>
      </c>
      <c r="O19" s="76" t="str">
        <f ca="1">IF($A19="","",ROUND(SUMIFS(资金日记账!$H$4:$H$603,资金日记账!$E$4:$E$603,$A19,资金日记账!$V$4:$V$603,O$4),2))</f>
        <v/>
      </c>
      <c r="P19" s="76" t="str">
        <f ca="1">IF($A19="","",ROUND(SUMIFS(资金日记账!$H$4:$H$603,资金日记账!$E$4:$E$603,$A19,资金日记账!$V$4:$V$603,P$4),2))</f>
        <v/>
      </c>
      <c r="Q19" s="76" t="str">
        <f ca="1">IF($A19="","",ROUND(SUMIFS(资金日记账!$H$4:$H$603,资金日记账!$E$4:$E$603,$A19,资金日记账!$V$4:$V$603,Q$4),2))</f>
        <v/>
      </c>
      <c r="R19" s="76" t="str">
        <f ca="1">IF($A19="","",ROUND(SUMIFS(资金日记账!$H$4:$H$603,资金日记账!$E$4:$E$603,$A19,资金日记账!$V$4:$V$603,R$4),2))</f>
        <v/>
      </c>
      <c r="S19" s="76" t="str">
        <f ca="1">IF($A19="","",ROUND(SUMIFS(资金日记账!$H$4:$H$603,资金日记账!$E$4:$E$603,$A19,资金日记账!$V$4:$V$603,S$4),2))</f>
        <v/>
      </c>
      <c r="T19" s="76" t="str">
        <f ca="1">IF($A19="","",ROUND(SUMIFS(资金日记账!$H$4:$H$603,资金日记账!$E$4:$E$603,$A19,资金日记账!$V$4:$V$603,T$4),2))</f>
        <v/>
      </c>
      <c r="U19" s="76" t="str">
        <f ca="1">IF($A19="","",ROUND(SUMIFS(资金日记账!$H$4:$H$603,资金日记账!$E$4:$E$603,$A19,资金日记账!$V$4:$V$603,U$4),2))</f>
        <v/>
      </c>
      <c r="V19" s="76" t="str">
        <f ca="1">IF($A19="","",ROUND(SUMIFS(资金日记账!$H$4:$H$603,资金日记账!$E$4:$E$603,$A19,资金日记账!$V$4:$V$603,V$4),2))</f>
        <v/>
      </c>
      <c r="W19" s="76" t="str">
        <f ca="1">IF($A19="","",ROUND(SUMIFS(资金日记账!$H$4:$H$603,资金日记账!$E$4:$E$603,$A19,资金日记账!$V$4:$V$603,W$4),2))</f>
        <v/>
      </c>
      <c r="X19" s="76" t="str">
        <f ca="1">IF($A19="","",ROUND(SUMIFS(资金日记账!$H$4:$H$603,资金日记账!$E$4:$E$603,$A19,资金日记账!$V$4:$V$603,X$4),2))</f>
        <v/>
      </c>
      <c r="Y19" s="76" t="str">
        <f ca="1">IF($A19="","",ROUND(SUMIFS(资金日记账!$H$4:$H$603,资金日记账!$E$4:$E$603,$A19,资金日记账!$V$4:$V$603,Y$4),2))</f>
        <v/>
      </c>
      <c r="Z19" s="87" t="str">
        <f ca="1" t="shared" si="1"/>
        <v/>
      </c>
    </row>
    <row r="20" spans="1:26">
      <c r="A20" s="86" t="str">
        <f>IFERROR(INDEX(_自动清单!$AJ$4:$AJ$63,16),"")</f>
        <v/>
      </c>
      <c r="B20" s="76" t="str">
        <f ca="1">IF($A20="","",ROUND(SUMIFS(资金日记账!$H$4:$H$603,资金日记账!$E$4:$E$603,$A20,资金日记账!$V$4:$V$603,B$4),2))</f>
        <v/>
      </c>
      <c r="C20" s="76" t="str">
        <f ca="1">IF($A20="","",ROUND(SUMIFS(资金日记账!$H$4:$H$603,资金日记账!$E$4:$E$603,$A20,资金日记账!$V$4:$V$603,C$4),2))</f>
        <v/>
      </c>
      <c r="D20" s="76" t="str">
        <f ca="1">IF($A20="","",ROUND(SUMIFS(资金日记账!$H$4:$H$603,资金日记账!$E$4:$E$603,$A20,资金日记账!$V$4:$V$603,D$4),2))</f>
        <v/>
      </c>
      <c r="E20" s="76" t="str">
        <f ca="1">IF($A20="","",ROUND(SUMIFS(资金日记账!$H$4:$H$603,资金日记账!$E$4:$E$603,$A20,资金日记账!$V$4:$V$603,E$4),2))</f>
        <v/>
      </c>
      <c r="F20" s="76" t="str">
        <f ca="1">IF($A20="","",ROUND(SUMIFS(资金日记账!$H$4:$H$603,资金日记账!$E$4:$E$603,$A20,资金日记账!$V$4:$V$603,F$4),2))</f>
        <v/>
      </c>
      <c r="G20" s="76" t="str">
        <f ca="1">IF($A20="","",ROUND(SUMIFS(资金日记账!$H$4:$H$603,资金日记账!$E$4:$E$603,$A20,资金日记账!$V$4:$V$603,G$4),2))</f>
        <v/>
      </c>
      <c r="H20" s="76" t="str">
        <f ca="1">IF($A20="","",ROUND(SUMIFS(资金日记账!$H$4:$H$603,资金日记账!$E$4:$E$603,$A20,资金日记账!$V$4:$V$603,H$4),2))</f>
        <v/>
      </c>
      <c r="I20" s="76" t="str">
        <f ca="1">IF($A20="","",ROUND(SUMIFS(资金日记账!$H$4:$H$603,资金日记账!$E$4:$E$603,$A20,资金日记账!$V$4:$V$603,I$4),2))</f>
        <v/>
      </c>
      <c r="J20" s="76" t="str">
        <f ca="1">IF($A20="","",ROUND(SUMIFS(资金日记账!$H$4:$H$603,资金日记账!$E$4:$E$603,$A20,资金日记账!$V$4:$V$603,J$4),2))</f>
        <v/>
      </c>
      <c r="K20" s="76" t="str">
        <f ca="1">IF($A20="","",ROUND(SUMIFS(资金日记账!$H$4:$H$603,资金日记账!$E$4:$E$603,$A20,资金日记账!$V$4:$V$603,K$4),2))</f>
        <v/>
      </c>
      <c r="L20" s="76" t="str">
        <f ca="1">IF($A20="","",ROUND(SUMIFS(资金日记账!$H$4:$H$603,资金日记账!$E$4:$E$603,$A20,资金日记账!$V$4:$V$603,L$4),2))</f>
        <v/>
      </c>
      <c r="M20" s="76" t="str">
        <f ca="1">IF($A20="","",ROUND(SUMIFS(资金日记账!$H$4:$H$603,资金日记账!$E$4:$E$603,$A20,资金日记账!$V$4:$V$603,M$4),2))</f>
        <v/>
      </c>
      <c r="N20" s="76" t="str">
        <f ca="1">IF($A20="","",ROUND(SUMIFS(资金日记账!$H$4:$H$603,资金日记账!$E$4:$E$603,$A20,资金日记账!$V$4:$V$603,N$4),2))</f>
        <v/>
      </c>
      <c r="O20" s="76" t="str">
        <f ca="1">IF($A20="","",ROUND(SUMIFS(资金日记账!$H$4:$H$603,资金日记账!$E$4:$E$603,$A20,资金日记账!$V$4:$V$603,O$4),2))</f>
        <v/>
      </c>
      <c r="P20" s="76" t="str">
        <f ca="1">IF($A20="","",ROUND(SUMIFS(资金日记账!$H$4:$H$603,资金日记账!$E$4:$E$603,$A20,资金日记账!$V$4:$V$603,P$4),2))</f>
        <v/>
      </c>
      <c r="Q20" s="76" t="str">
        <f ca="1">IF($A20="","",ROUND(SUMIFS(资金日记账!$H$4:$H$603,资金日记账!$E$4:$E$603,$A20,资金日记账!$V$4:$V$603,Q$4),2))</f>
        <v/>
      </c>
      <c r="R20" s="76" t="str">
        <f ca="1">IF($A20="","",ROUND(SUMIFS(资金日记账!$H$4:$H$603,资金日记账!$E$4:$E$603,$A20,资金日记账!$V$4:$V$603,R$4),2))</f>
        <v/>
      </c>
      <c r="S20" s="76" t="str">
        <f ca="1">IF($A20="","",ROUND(SUMIFS(资金日记账!$H$4:$H$603,资金日记账!$E$4:$E$603,$A20,资金日记账!$V$4:$V$603,S$4),2))</f>
        <v/>
      </c>
      <c r="T20" s="76" t="str">
        <f ca="1">IF($A20="","",ROUND(SUMIFS(资金日记账!$H$4:$H$603,资金日记账!$E$4:$E$603,$A20,资金日记账!$V$4:$V$603,T$4),2))</f>
        <v/>
      </c>
      <c r="U20" s="76" t="str">
        <f ca="1">IF($A20="","",ROUND(SUMIFS(资金日记账!$H$4:$H$603,资金日记账!$E$4:$E$603,$A20,资金日记账!$V$4:$V$603,U$4),2))</f>
        <v/>
      </c>
      <c r="V20" s="76" t="str">
        <f ca="1">IF($A20="","",ROUND(SUMIFS(资金日记账!$H$4:$H$603,资金日记账!$E$4:$E$603,$A20,资金日记账!$V$4:$V$603,V$4),2))</f>
        <v/>
      </c>
      <c r="W20" s="76" t="str">
        <f ca="1">IF($A20="","",ROUND(SUMIFS(资金日记账!$H$4:$H$603,资金日记账!$E$4:$E$603,$A20,资金日记账!$V$4:$V$603,W$4),2))</f>
        <v/>
      </c>
      <c r="X20" s="76" t="str">
        <f ca="1">IF($A20="","",ROUND(SUMIFS(资金日记账!$H$4:$H$603,资金日记账!$E$4:$E$603,$A20,资金日记账!$V$4:$V$603,X$4),2))</f>
        <v/>
      </c>
      <c r="Y20" s="76" t="str">
        <f ca="1">IF($A20="","",ROUND(SUMIFS(资金日记账!$H$4:$H$603,资金日记账!$E$4:$E$603,$A20,资金日记账!$V$4:$V$603,Y$4),2))</f>
        <v/>
      </c>
      <c r="Z20" s="87" t="str">
        <f ca="1" t="shared" si="1"/>
        <v/>
      </c>
    </row>
    <row r="21" spans="1:26">
      <c r="A21" s="86" t="str">
        <f>IFERROR(INDEX(_自动清单!$AJ$4:$AJ$63,17),"")</f>
        <v/>
      </c>
      <c r="B21" s="76" t="str">
        <f ca="1">IF($A21="","",ROUND(SUMIFS(资金日记账!$H$4:$H$603,资金日记账!$E$4:$E$603,$A21,资金日记账!$V$4:$V$603,B$4),2))</f>
        <v/>
      </c>
      <c r="C21" s="76" t="str">
        <f ca="1">IF($A21="","",ROUND(SUMIFS(资金日记账!$H$4:$H$603,资金日记账!$E$4:$E$603,$A21,资金日记账!$V$4:$V$603,C$4),2))</f>
        <v/>
      </c>
      <c r="D21" s="76" t="str">
        <f ca="1">IF($A21="","",ROUND(SUMIFS(资金日记账!$H$4:$H$603,资金日记账!$E$4:$E$603,$A21,资金日记账!$V$4:$V$603,D$4),2))</f>
        <v/>
      </c>
      <c r="E21" s="76" t="str">
        <f ca="1">IF($A21="","",ROUND(SUMIFS(资金日记账!$H$4:$H$603,资金日记账!$E$4:$E$603,$A21,资金日记账!$V$4:$V$603,E$4),2))</f>
        <v/>
      </c>
      <c r="F21" s="76" t="str">
        <f ca="1">IF($A21="","",ROUND(SUMIFS(资金日记账!$H$4:$H$603,资金日记账!$E$4:$E$603,$A21,资金日记账!$V$4:$V$603,F$4),2))</f>
        <v/>
      </c>
      <c r="G21" s="76" t="str">
        <f ca="1">IF($A21="","",ROUND(SUMIFS(资金日记账!$H$4:$H$603,资金日记账!$E$4:$E$603,$A21,资金日记账!$V$4:$V$603,G$4),2))</f>
        <v/>
      </c>
      <c r="H21" s="76" t="str">
        <f ca="1">IF($A21="","",ROUND(SUMIFS(资金日记账!$H$4:$H$603,资金日记账!$E$4:$E$603,$A21,资金日记账!$V$4:$V$603,H$4),2))</f>
        <v/>
      </c>
      <c r="I21" s="76" t="str">
        <f ca="1">IF($A21="","",ROUND(SUMIFS(资金日记账!$H$4:$H$603,资金日记账!$E$4:$E$603,$A21,资金日记账!$V$4:$V$603,I$4),2))</f>
        <v/>
      </c>
      <c r="J21" s="76" t="str">
        <f ca="1">IF($A21="","",ROUND(SUMIFS(资金日记账!$H$4:$H$603,资金日记账!$E$4:$E$603,$A21,资金日记账!$V$4:$V$603,J$4),2))</f>
        <v/>
      </c>
      <c r="K21" s="76" t="str">
        <f ca="1">IF($A21="","",ROUND(SUMIFS(资金日记账!$H$4:$H$603,资金日记账!$E$4:$E$603,$A21,资金日记账!$V$4:$V$603,K$4),2))</f>
        <v/>
      </c>
      <c r="L21" s="76" t="str">
        <f ca="1">IF($A21="","",ROUND(SUMIFS(资金日记账!$H$4:$H$603,资金日记账!$E$4:$E$603,$A21,资金日记账!$V$4:$V$603,L$4),2))</f>
        <v/>
      </c>
      <c r="M21" s="76" t="str">
        <f ca="1">IF($A21="","",ROUND(SUMIFS(资金日记账!$H$4:$H$603,资金日记账!$E$4:$E$603,$A21,资金日记账!$V$4:$V$603,M$4),2))</f>
        <v/>
      </c>
      <c r="N21" s="76" t="str">
        <f ca="1">IF($A21="","",ROUND(SUMIFS(资金日记账!$H$4:$H$603,资金日记账!$E$4:$E$603,$A21,资金日记账!$V$4:$V$603,N$4),2))</f>
        <v/>
      </c>
      <c r="O21" s="76" t="str">
        <f ca="1">IF($A21="","",ROUND(SUMIFS(资金日记账!$H$4:$H$603,资金日记账!$E$4:$E$603,$A21,资金日记账!$V$4:$V$603,O$4),2))</f>
        <v/>
      </c>
      <c r="P21" s="76" t="str">
        <f ca="1">IF($A21="","",ROUND(SUMIFS(资金日记账!$H$4:$H$603,资金日记账!$E$4:$E$603,$A21,资金日记账!$V$4:$V$603,P$4),2))</f>
        <v/>
      </c>
      <c r="Q21" s="76" t="str">
        <f ca="1">IF($A21="","",ROUND(SUMIFS(资金日记账!$H$4:$H$603,资金日记账!$E$4:$E$603,$A21,资金日记账!$V$4:$V$603,Q$4),2))</f>
        <v/>
      </c>
      <c r="R21" s="76" t="str">
        <f ca="1">IF($A21="","",ROUND(SUMIFS(资金日记账!$H$4:$H$603,资金日记账!$E$4:$E$603,$A21,资金日记账!$V$4:$V$603,R$4),2))</f>
        <v/>
      </c>
      <c r="S21" s="76" t="str">
        <f ca="1">IF($A21="","",ROUND(SUMIFS(资金日记账!$H$4:$H$603,资金日记账!$E$4:$E$603,$A21,资金日记账!$V$4:$V$603,S$4),2))</f>
        <v/>
      </c>
      <c r="T21" s="76" t="str">
        <f ca="1">IF($A21="","",ROUND(SUMIFS(资金日记账!$H$4:$H$603,资金日记账!$E$4:$E$603,$A21,资金日记账!$V$4:$V$603,T$4),2))</f>
        <v/>
      </c>
      <c r="U21" s="76" t="str">
        <f ca="1">IF($A21="","",ROUND(SUMIFS(资金日记账!$H$4:$H$603,资金日记账!$E$4:$E$603,$A21,资金日记账!$V$4:$V$603,U$4),2))</f>
        <v/>
      </c>
      <c r="V21" s="76" t="str">
        <f ca="1">IF($A21="","",ROUND(SUMIFS(资金日记账!$H$4:$H$603,资金日记账!$E$4:$E$603,$A21,资金日记账!$V$4:$V$603,V$4),2))</f>
        <v/>
      </c>
      <c r="W21" s="76" t="str">
        <f ca="1">IF($A21="","",ROUND(SUMIFS(资金日记账!$H$4:$H$603,资金日记账!$E$4:$E$603,$A21,资金日记账!$V$4:$V$603,W$4),2))</f>
        <v/>
      </c>
      <c r="X21" s="76" t="str">
        <f ca="1">IF($A21="","",ROUND(SUMIFS(资金日记账!$H$4:$H$603,资金日记账!$E$4:$E$603,$A21,资金日记账!$V$4:$V$603,X$4),2))</f>
        <v/>
      </c>
      <c r="Y21" s="76" t="str">
        <f ca="1">IF($A21="","",ROUND(SUMIFS(资金日记账!$H$4:$H$603,资金日记账!$E$4:$E$603,$A21,资金日记账!$V$4:$V$603,Y$4),2))</f>
        <v/>
      </c>
      <c r="Z21" s="87" t="str">
        <f ca="1" t="shared" si="1"/>
        <v/>
      </c>
    </row>
    <row r="22" spans="1:26">
      <c r="A22" s="86" t="str">
        <f>IFERROR(INDEX(_自动清单!$AJ$4:$AJ$63,18),"")</f>
        <v/>
      </c>
      <c r="B22" s="76" t="str">
        <f ca="1">IF($A22="","",ROUND(SUMIFS(资金日记账!$H$4:$H$603,资金日记账!$E$4:$E$603,$A22,资金日记账!$V$4:$V$603,B$4),2))</f>
        <v/>
      </c>
      <c r="C22" s="76" t="str">
        <f ca="1">IF($A22="","",ROUND(SUMIFS(资金日记账!$H$4:$H$603,资金日记账!$E$4:$E$603,$A22,资金日记账!$V$4:$V$603,C$4),2))</f>
        <v/>
      </c>
      <c r="D22" s="76" t="str">
        <f ca="1">IF($A22="","",ROUND(SUMIFS(资金日记账!$H$4:$H$603,资金日记账!$E$4:$E$603,$A22,资金日记账!$V$4:$V$603,D$4),2))</f>
        <v/>
      </c>
      <c r="E22" s="76" t="str">
        <f ca="1">IF($A22="","",ROUND(SUMIFS(资金日记账!$H$4:$H$603,资金日记账!$E$4:$E$603,$A22,资金日记账!$V$4:$V$603,E$4),2))</f>
        <v/>
      </c>
      <c r="F22" s="76" t="str">
        <f ca="1">IF($A22="","",ROUND(SUMIFS(资金日记账!$H$4:$H$603,资金日记账!$E$4:$E$603,$A22,资金日记账!$V$4:$V$603,F$4),2))</f>
        <v/>
      </c>
      <c r="G22" s="76" t="str">
        <f ca="1">IF($A22="","",ROUND(SUMIFS(资金日记账!$H$4:$H$603,资金日记账!$E$4:$E$603,$A22,资金日记账!$V$4:$V$603,G$4),2))</f>
        <v/>
      </c>
      <c r="H22" s="76" t="str">
        <f ca="1">IF($A22="","",ROUND(SUMIFS(资金日记账!$H$4:$H$603,资金日记账!$E$4:$E$603,$A22,资金日记账!$V$4:$V$603,H$4),2))</f>
        <v/>
      </c>
      <c r="I22" s="76" t="str">
        <f ca="1">IF($A22="","",ROUND(SUMIFS(资金日记账!$H$4:$H$603,资金日记账!$E$4:$E$603,$A22,资金日记账!$V$4:$V$603,I$4),2))</f>
        <v/>
      </c>
      <c r="J22" s="76" t="str">
        <f ca="1">IF($A22="","",ROUND(SUMIFS(资金日记账!$H$4:$H$603,资金日记账!$E$4:$E$603,$A22,资金日记账!$V$4:$V$603,J$4),2))</f>
        <v/>
      </c>
      <c r="K22" s="76" t="str">
        <f ca="1">IF($A22="","",ROUND(SUMIFS(资金日记账!$H$4:$H$603,资金日记账!$E$4:$E$603,$A22,资金日记账!$V$4:$V$603,K$4),2))</f>
        <v/>
      </c>
      <c r="L22" s="76" t="str">
        <f ca="1">IF($A22="","",ROUND(SUMIFS(资金日记账!$H$4:$H$603,资金日记账!$E$4:$E$603,$A22,资金日记账!$V$4:$V$603,L$4),2))</f>
        <v/>
      </c>
      <c r="M22" s="76" t="str">
        <f ca="1">IF($A22="","",ROUND(SUMIFS(资金日记账!$H$4:$H$603,资金日记账!$E$4:$E$603,$A22,资金日记账!$V$4:$V$603,M$4),2))</f>
        <v/>
      </c>
      <c r="N22" s="76" t="str">
        <f ca="1">IF($A22="","",ROUND(SUMIFS(资金日记账!$H$4:$H$603,资金日记账!$E$4:$E$603,$A22,资金日记账!$V$4:$V$603,N$4),2))</f>
        <v/>
      </c>
      <c r="O22" s="76" t="str">
        <f ca="1">IF($A22="","",ROUND(SUMIFS(资金日记账!$H$4:$H$603,资金日记账!$E$4:$E$603,$A22,资金日记账!$V$4:$V$603,O$4),2))</f>
        <v/>
      </c>
      <c r="P22" s="76" t="str">
        <f ca="1">IF($A22="","",ROUND(SUMIFS(资金日记账!$H$4:$H$603,资金日记账!$E$4:$E$603,$A22,资金日记账!$V$4:$V$603,P$4),2))</f>
        <v/>
      </c>
      <c r="Q22" s="76" t="str">
        <f ca="1">IF($A22="","",ROUND(SUMIFS(资金日记账!$H$4:$H$603,资金日记账!$E$4:$E$603,$A22,资金日记账!$V$4:$V$603,Q$4),2))</f>
        <v/>
      </c>
      <c r="R22" s="76" t="str">
        <f ca="1">IF($A22="","",ROUND(SUMIFS(资金日记账!$H$4:$H$603,资金日记账!$E$4:$E$603,$A22,资金日记账!$V$4:$V$603,R$4),2))</f>
        <v/>
      </c>
      <c r="S22" s="76" t="str">
        <f ca="1">IF($A22="","",ROUND(SUMIFS(资金日记账!$H$4:$H$603,资金日记账!$E$4:$E$603,$A22,资金日记账!$V$4:$V$603,S$4),2))</f>
        <v/>
      </c>
      <c r="T22" s="76" t="str">
        <f ca="1">IF($A22="","",ROUND(SUMIFS(资金日记账!$H$4:$H$603,资金日记账!$E$4:$E$603,$A22,资金日记账!$V$4:$V$603,T$4),2))</f>
        <v/>
      </c>
      <c r="U22" s="76" t="str">
        <f ca="1">IF($A22="","",ROUND(SUMIFS(资金日记账!$H$4:$H$603,资金日记账!$E$4:$E$603,$A22,资金日记账!$V$4:$V$603,U$4),2))</f>
        <v/>
      </c>
      <c r="V22" s="76" t="str">
        <f ca="1">IF($A22="","",ROUND(SUMIFS(资金日记账!$H$4:$H$603,资金日记账!$E$4:$E$603,$A22,资金日记账!$V$4:$V$603,V$4),2))</f>
        <v/>
      </c>
      <c r="W22" s="76" t="str">
        <f ca="1">IF($A22="","",ROUND(SUMIFS(资金日记账!$H$4:$H$603,资金日记账!$E$4:$E$603,$A22,资金日记账!$V$4:$V$603,W$4),2))</f>
        <v/>
      </c>
      <c r="X22" s="76" t="str">
        <f ca="1">IF($A22="","",ROUND(SUMIFS(资金日记账!$H$4:$H$603,资金日记账!$E$4:$E$603,$A22,资金日记账!$V$4:$V$603,X$4),2))</f>
        <v/>
      </c>
      <c r="Y22" s="76" t="str">
        <f ca="1">IF($A22="","",ROUND(SUMIFS(资金日记账!$H$4:$H$603,资金日记账!$E$4:$E$603,$A22,资金日记账!$V$4:$V$603,Y$4),2))</f>
        <v/>
      </c>
      <c r="Z22" s="87" t="str">
        <f ca="1" t="shared" si="1"/>
        <v/>
      </c>
    </row>
    <row r="23" spans="1:26">
      <c r="A23" s="86" t="str">
        <f>IFERROR(INDEX(_自动清单!$AJ$4:$AJ$63,19),"")</f>
        <v/>
      </c>
      <c r="B23" s="76" t="str">
        <f ca="1">IF($A23="","",ROUND(SUMIFS(资金日记账!$H$4:$H$603,资金日记账!$E$4:$E$603,$A23,资金日记账!$V$4:$V$603,B$4),2))</f>
        <v/>
      </c>
      <c r="C23" s="76" t="str">
        <f ca="1">IF($A23="","",ROUND(SUMIFS(资金日记账!$H$4:$H$603,资金日记账!$E$4:$E$603,$A23,资金日记账!$V$4:$V$603,C$4),2))</f>
        <v/>
      </c>
      <c r="D23" s="76" t="str">
        <f ca="1">IF($A23="","",ROUND(SUMIFS(资金日记账!$H$4:$H$603,资金日记账!$E$4:$E$603,$A23,资金日记账!$V$4:$V$603,D$4),2))</f>
        <v/>
      </c>
      <c r="E23" s="76" t="str">
        <f ca="1">IF($A23="","",ROUND(SUMIFS(资金日记账!$H$4:$H$603,资金日记账!$E$4:$E$603,$A23,资金日记账!$V$4:$V$603,E$4),2))</f>
        <v/>
      </c>
      <c r="F23" s="76" t="str">
        <f ca="1">IF($A23="","",ROUND(SUMIFS(资金日记账!$H$4:$H$603,资金日记账!$E$4:$E$603,$A23,资金日记账!$V$4:$V$603,F$4),2))</f>
        <v/>
      </c>
      <c r="G23" s="76" t="str">
        <f ca="1">IF($A23="","",ROUND(SUMIFS(资金日记账!$H$4:$H$603,资金日记账!$E$4:$E$603,$A23,资金日记账!$V$4:$V$603,G$4),2))</f>
        <v/>
      </c>
      <c r="H23" s="76" t="str">
        <f ca="1">IF($A23="","",ROUND(SUMIFS(资金日记账!$H$4:$H$603,资金日记账!$E$4:$E$603,$A23,资金日记账!$V$4:$V$603,H$4),2))</f>
        <v/>
      </c>
      <c r="I23" s="76" t="str">
        <f ca="1">IF($A23="","",ROUND(SUMIFS(资金日记账!$H$4:$H$603,资金日记账!$E$4:$E$603,$A23,资金日记账!$V$4:$V$603,I$4),2))</f>
        <v/>
      </c>
      <c r="J23" s="76" t="str">
        <f ca="1">IF($A23="","",ROUND(SUMIFS(资金日记账!$H$4:$H$603,资金日记账!$E$4:$E$603,$A23,资金日记账!$V$4:$V$603,J$4),2))</f>
        <v/>
      </c>
      <c r="K23" s="76" t="str">
        <f ca="1">IF($A23="","",ROUND(SUMIFS(资金日记账!$H$4:$H$603,资金日记账!$E$4:$E$603,$A23,资金日记账!$V$4:$V$603,K$4),2))</f>
        <v/>
      </c>
      <c r="L23" s="76" t="str">
        <f ca="1">IF($A23="","",ROUND(SUMIFS(资金日记账!$H$4:$H$603,资金日记账!$E$4:$E$603,$A23,资金日记账!$V$4:$V$603,L$4),2))</f>
        <v/>
      </c>
      <c r="M23" s="76" t="str">
        <f ca="1">IF($A23="","",ROUND(SUMIFS(资金日记账!$H$4:$H$603,资金日记账!$E$4:$E$603,$A23,资金日记账!$V$4:$V$603,M$4),2))</f>
        <v/>
      </c>
      <c r="N23" s="76" t="str">
        <f ca="1">IF($A23="","",ROUND(SUMIFS(资金日记账!$H$4:$H$603,资金日记账!$E$4:$E$603,$A23,资金日记账!$V$4:$V$603,N$4),2))</f>
        <v/>
      </c>
      <c r="O23" s="76" t="str">
        <f ca="1">IF($A23="","",ROUND(SUMIFS(资金日记账!$H$4:$H$603,资金日记账!$E$4:$E$603,$A23,资金日记账!$V$4:$V$603,O$4),2))</f>
        <v/>
      </c>
      <c r="P23" s="76" t="str">
        <f ca="1">IF($A23="","",ROUND(SUMIFS(资金日记账!$H$4:$H$603,资金日记账!$E$4:$E$603,$A23,资金日记账!$V$4:$V$603,P$4),2))</f>
        <v/>
      </c>
      <c r="Q23" s="76" t="str">
        <f ca="1">IF($A23="","",ROUND(SUMIFS(资金日记账!$H$4:$H$603,资金日记账!$E$4:$E$603,$A23,资金日记账!$V$4:$V$603,Q$4),2))</f>
        <v/>
      </c>
      <c r="R23" s="76" t="str">
        <f ca="1">IF($A23="","",ROUND(SUMIFS(资金日记账!$H$4:$H$603,资金日记账!$E$4:$E$603,$A23,资金日记账!$V$4:$V$603,R$4),2))</f>
        <v/>
      </c>
      <c r="S23" s="76" t="str">
        <f ca="1">IF($A23="","",ROUND(SUMIFS(资金日记账!$H$4:$H$603,资金日记账!$E$4:$E$603,$A23,资金日记账!$V$4:$V$603,S$4),2))</f>
        <v/>
      </c>
      <c r="T23" s="76" t="str">
        <f ca="1">IF($A23="","",ROUND(SUMIFS(资金日记账!$H$4:$H$603,资金日记账!$E$4:$E$603,$A23,资金日记账!$V$4:$V$603,T$4),2))</f>
        <v/>
      </c>
      <c r="U23" s="76" t="str">
        <f ca="1">IF($A23="","",ROUND(SUMIFS(资金日记账!$H$4:$H$603,资金日记账!$E$4:$E$603,$A23,资金日记账!$V$4:$V$603,U$4),2))</f>
        <v/>
      </c>
      <c r="V23" s="76" t="str">
        <f ca="1">IF($A23="","",ROUND(SUMIFS(资金日记账!$H$4:$H$603,资金日记账!$E$4:$E$603,$A23,资金日记账!$V$4:$V$603,V$4),2))</f>
        <v/>
      </c>
      <c r="W23" s="76" t="str">
        <f ca="1">IF($A23="","",ROUND(SUMIFS(资金日记账!$H$4:$H$603,资金日记账!$E$4:$E$603,$A23,资金日记账!$V$4:$V$603,W$4),2))</f>
        <v/>
      </c>
      <c r="X23" s="76" t="str">
        <f ca="1">IF($A23="","",ROUND(SUMIFS(资金日记账!$H$4:$H$603,资金日记账!$E$4:$E$603,$A23,资金日记账!$V$4:$V$603,X$4),2))</f>
        <v/>
      </c>
      <c r="Y23" s="76" t="str">
        <f ca="1">IF($A23="","",ROUND(SUMIFS(资金日记账!$H$4:$H$603,资金日记账!$E$4:$E$603,$A23,资金日记账!$V$4:$V$603,Y$4),2))</f>
        <v/>
      </c>
      <c r="Z23" s="87" t="str">
        <f ca="1" t="shared" si="1"/>
        <v/>
      </c>
    </row>
    <row r="24" spans="1:26">
      <c r="A24" s="86" t="str">
        <f>IFERROR(INDEX(_自动清单!$AJ$4:$AJ$63,20),"")</f>
        <v/>
      </c>
      <c r="B24" s="76" t="str">
        <f ca="1">IF($A24="","",ROUND(SUMIFS(资金日记账!$H$4:$H$603,资金日记账!$E$4:$E$603,$A24,资金日记账!$V$4:$V$603,B$4),2))</f>
        <v/>
      </c>
      <c r="C24" s="76" t="str">
        <f ca="1">IF($A24="","",ROUND(SUMIFS(资金日记账!$H$4:$H$603,资金日记账!$E$4:$E$603,$A24,资金日记账!$V$4:$V$603,C$4),2))</f>
        <v/>
      </c>
      <c r="D24" s="76" t="str">
        <f ca="1">IF($A24="","",ROUND(SUMIFS(资金日记账!$H$4:$H$603,资金日记账!$E$4:$E$603,$A24,资金日记账!$V$4:$V$603,D$4),2))</f>
        <v/>
      </c>
      <c r="E24" s="76" t="str">
        <f ca="1">IF($A24="","",ROUND(SUMIFS(资金日记账!$H$4:$H$603,资金日记账!$E$4:$E$603,$A24,资金日记账!$V$4:$V$603,E$4),2))</f>
        <v/>
      </c>
      <c r="F24" s="76" t="str">
        <f ca="1">IF($A24="","",ROUND(SUMIFS(资金日记账!$H$4:$H$603,资金日记账!$E$4:$E$603,$A24,资金日记账!$V$4:$V$603,F$4),2))</f>
        <v/>
      </c>
      <c r="G24" s="76" t="str">
        <f ca="1">IF($A24="","",ROUND(SUMIFS(资金日记账!$H$4:$H$603,资金日记账!$E$4:$E$603,$A24,资金日记账!$V$4:$V$603,G$4),2))</f>
        <v/>
      </c>
      <c r="H24" s="76" t="str">
        <f ca="1">IF($A24="","",ROUND(SUMIFS(资金日记账!$H$4:$H$603,资金日记账!$E$4:$E$603,$A24,资金日记账!$V$4:$V$603,H$4),2))</f>
        <v/>
      </c>
      <c r="I24" s="76" t="str">
        <f ca="1">IF($A24="","",ROUND(SUMIFS(资金日记账!$H$4:$H$603,资金日记账!$E$4:$E$603,$A24,资金日记账!$V$4:$V$603,I$4),2))</f>
        <v/>
      </c>
      <c r="J24" s="76" t="str">
        <f ca="1">IF($A24="","",ROUND(SUMIFS(资金日记账!$H$4:$H$603,资金日记账!$E$4:$E$603,$A24,资金日记账!$V$4:$V$603,J$4),2))</f>
        <v/>
      </c>
      <c r="K24" s="76" t="str">
        <f ca="1">IF($A24="","",ROUND(SUMIFS(资金日记账!$H$4:$H$603,资金日记账!$E$4:$E$603,$A24,资金日记账!$V$4:$V$603,K$4),2))</f>
        <v/>
      </c>
      <c r="L24" s="76" t="str">
        <f ca="1">IF($A24="","",ROUND(SUMIFS(资金日记账!$H$4:$H$603,资金日记账!$E$4:$E$603,$A24,资金日记账!$V$4:$V$603,L$4),2))</f>
        <v/>
      </c>
      <c r="M24" s="76" t="str">
        <f ca="1">IF($A24="","",ROUND(SUMIFS(资金日记账!$H$4:$H$603,资金日记账!$E$4:$E$603,$A24,资金日记账!$V$4:$V$603,M$4),2))</f>
        <v/>
      </c>
      <c r="N24" s="76" t="str">
        <f ca="1">IF($A24="","",ROUND(SUMIFS(资金日记账!$H$4:$H$603,资金日记账!$E$4:$E$603,$A24,资金日记账!$V$4:$V$603,N$4),2))</f>
        <v/>
      </c>
      <c r="O24" s="76" t="str">
        <f ca="1">IF($A24="","",ROUND(SUMIFS(资金日记账!$H$4:$H$603,资金日记账!$E$4:$E$603,$A24,资金日记账!$V$4:$V$603,O$4),2))</f>
        <v/>
      </c>
      <c r="P24" s="76" t="str">
        <f ca="1">IF($A24="","",ROUND(SUMIFS(资金日记账!$H$4:$H$603,资金日记账!$E$4:$E$603,$A24,资金日记账!$V$4:$V$603,P$4),2))</f>
        <v/>
      </c>
      <c r="Q24" s="76" t="str">
        <f ca="1">IF($A24="","",ROUND(SUMIFS(资金日记账!$H$4:$H$603,资金日记账!$E$4:$E$603,$A24,资金日记账!$V$4:$V$603,Q$4),2))</f>
        <v/>
      </c>
      <c r="R24" s="76" t="str">
        <f ca="1">IF($A24="","",ROUND(SUMIFS(资金日记账!$H$4:$H$603,资金日记账!$E$4:$E$603,$A24,资金日记账!$V$4:$V$603,R$4),2))</f>
        <v/>
      </c>
      <c r="S24" s="76" t="str">
        <f ca="1">IF($A24="","",ROUND(SUMIFS(资金日记账!$H$4:$H$603,资金日记账!$E$4:$E$603,$A24,资金日记账!$V$4:$V$603,S$4),2))</f>
        <v/>
      </c>
      <c r="T24" s="76" t="str">
        <f ca="1">IF($A24="","",ROUND(SUMIFS(资金日记账!$H$4:$H$603,资金日记账!$E$4:$E$603,$A24,资金日记账!$V$4:$V$603,T$4),2))</f>
        <v/>
      </c>
      <c r="U24" s="76" t="str">
        <f ca="1">IF($A24="","",ROUND(SUMIFS(资金日记账!$H$4:$H$603,资金日记账!$E$4:$E$603,$A24,资金日记账!$V$4:$V$603,U$4),2))</f>
        <v/>
      </c>
      <c r="V24" s="76" t="str">
        <f ca="1">IF($A24="","",ROUND(SUMIFS(资金日记账!$H$4:$H$603,资金日记账!$E$4:$E$603,$A24,资金日记账!$V$4:$V$603,V$4),2))</f>
        <v/>
      </c>
      <c r="W24" s="76" t="str">
        <f ca="1">IF($A24="","",ROUND(SUMIFS(资金日记账!$H$4:$H$603,资金日记账!$E$4:$E$603,$A24,资金日记账!$V$4:$V$603,W$4),2))</f>
        <v/>
      </c>
      <c r="X24" s="76" t="str">
        <f ca="1">IF($A24="","",ROUND(SUMIFS(资金日记账!$H$4:$H$603,资金日记账!$E$4:$E$603,$A24,资金日记账!$V$4:$V$603,X$4),2))</f>
        <v/>
      </c>
      <c r="Y24" s="76" t="str">
        <f ca="1">IF($A24="","",ROUND(SUMIFS(资金日记账!$H$4:$H$603,资金日记账!$E$4:$E$603,$A24,资金日记账!$V$4:$V$603,Y$4),2))</f>
        <v/>
      </c>
      <c r="Z24" s="87" t="str">
        <f ca="1" t="shared" si="1"/>
        <v/>
      </c>
    </row>
    <row r="25" spans="1:26">
      <c r="A25" s="86" t="str">
        <f>IFERROR(INDEX(_自动清单!$AJ$4:$AJ$63,21),"")</f>
        <v/>
      </c>
      <c r="B25" s="76" t="str">
        <f ca="1">IF($A25="","",ROUND(SUMIFS(资金日记账!$H$4:$H$603,资金日记账!$E$4:$E$603,$A25,资金日记账!$V$4:$V$603,B$4),2))</f>
        <v/>
      </c>
      <c r="C25" s="76" t="str">
        <f ca="1">IF($A25="","",ROUND(SUMIFS(资金日记账!$H$4:$H$603,资金日记账!$E$4:$E$603,$A25,资金日记账!$V$4:$V$603,C$4),2))</f>
        <v/>
      </c>
      <c r="D25" s="76" t="str">
        <f ca="1">IF($A25="","",ROUND(SUMIFS(资金日记账!$H$4:$H$603,资金日记账!$E$4:$E$603,$A25,资金日记账!$V$4:$V$603,D$4),2))</f>
        <v/>
      </c>
      <c r="E25" s="76" t="str">
        <f ca="1">IF($A25="","",ROUND(SUMIFS(资金日记账!$H$4:$H$603,资金日记账!$E$4:$E$603,$A25,资金日记账!$V$4:$V$603,E$4),2))</f>
        <v/>
      </c>
      <c r="F25" s="76" t="str">
        <f ca="1">IF($A25="","",ROUND(SUMIFS(资金日记账!$H$4:$H$603,资金日记账!$E$4:$E$603,$A25,资金日记账!$V$4:$V$603,F$4),2))</f>
        <v/>
      </c>
      <c r="G25" s="76" t="str">
        <f ca="1">IF($A25="","",ROUND(SUMIFS(资金日记账!$H$4:$H$603,资金日记账!$E$4:$E$603,$A25,资金日记账!$V$4:$V$603,G$4),2))</f>
        <v/>
      </c>
      <c r="H25" s="76" t="str">
        <f ca="1">IF($A25="","",ROUND(SUMIFS(资金日记账!$H$4:$H$603,资金日记账!$E$4:$E$603,$A25,资金日记账!$V$4:$V$603,H$4),2))</f>
        <v/>
      </c>
      <c r="I25" s="76" t="str">
        <f ca="1">IF($A25="","",ROUND(SUMIFS(资金日记账!$H$4:$H$603,资金日记账!$E$4:$E$603,$A25,资金日记账!$V$4:$V$603,I$4),2))</f>
        <v/>
      </c>
      <c r="J25" s="76" t="str">
        <f ca="1">IF($A25="","",ROUND(SUMIFS(资金日记账!$H$4:$H$603,资金日记账!$E$4:$E$603,$A25,资金日记账!$V$4:$V$603,J$4),2))</f>
        <v/>
      </c>
      <c r="K25" s="76" t="str">
        <f ca="1">IF($A25="","",ROUND(SUMIFS(资金日记账!$H$4:$H$603,资金日记账!$E$4:$E$603,$A25,资金日记账!$V$4:$V$603,K$4),2))</f>
        <v/>
      </c>
      <c r="L25" s="76" t="str">
        <f ca="1">IF($A25="","",ROUND(SUMIFS(资金日记账!$H$4:$H$603,资金日记账!$E$4:$E$603,$A25,资金日记账!$V$4:$V$603,L$4),2))</f>
        <v/>
      </c>
      <c r="M25" s="76" t="str">
        <f ca="1">IF($A25="","",ROUND(SUMIFS(资金日记账!$H$4:$H$603,资金日记账!$E$4:$E$603,$A25,资金日记账!$V$4:$V$603,M$4),2))</f>
        <v/>
      </c>
      <c r="N25" s="76" t="str">
        <f ca="1">IF($A25="","",ROUND(SUMIFS(资金日记账!$H$4:$H$603,资金日记账!$E$4:$E$603,$A25,资金日记账!$V$4:$V$603,N$4),2))</f>
        <v/>
      </c>
      <c r="O25" s="76" t="str">
        <f ca="1">IF($A25="","",ROUND(SUMIFS(资金日记账!$H$4:$H$603,资金日记账!$E$4:$E$603,$A25,资金日记账!$V$4:$V$603,O$4),2))</f>
        <v/>
      </c>
      <c r="P25" s="76" t="str">
        <f ca="1">IF($A25="","",ROUND(SUMIFS(资金日记账!$H$4:$H$603,资金日记账!$E$4:$E$603,$A25,资金日记账!$V$4:$V$603,P$4),2))</f>
        <v/>
      </c>
      <c r="Q25" s="76" t="str">
        <f ca="1">IF($A25="","",ROUND(SUMIFS(资金日记账!$H$4:$H$603,资金日记账!$E$4:$E$603,$A25,资金日记账!$V$4:$V$603,Q$4),2))</f>
        <v/>
      </c>
      <c r="R25" s="76" t="str">
        <f ca="1">IF($A25="","",ROUND(SUMIFS(资金日记账!$H$4:$H$603,资金日记账!$E$4:$E$603,$A25,资金日记账!$V$4:$V$603,R$4),2))</f>
        <v/>
      </c>
      <c r="S25" s="76" t="str">
        <f ca="1">IF($A25="","",ROUND(SUMIFS(资金日记账!$H$4:$H$603,资金日记账!$E$4:$E$603,$A25,资金日记账!$V$4:$V$603,S$4),2))</f>
        <v/>
      </c>
      <c r="T25" s="76" t="str">
        <f ca="1">IF($A25="","",ROUND(SUMIFS(资金日记账!$H$4:$H$603,资金日记账!$E$4:$E$603,$A25,资金日记账!$V$4:$V$603,T$4),2))</f>
        <v/>
      </c>
      <c r="U25" s="76" t="str">
        <f ca="1">IF($A25="","",ROUND(SUMIFS(资金日记账!$H$4:$H$603,资金日记账!$E$4:$E$603,$A25,资金日记账!$V$4:$V$603,U$4),2))</f>
        <v/>
      </c>
      <c r="V25" s="76" t="str">
        <f ca="1">IF($A25="","",ROUND(SUMIFS(资金日记账!$H$4:$H$603,资金日记账!$E$4:$E$603,$A25,资金日记账!$V$4:$V$603,V$4),2))</f>
        <v/>
      </c>
      <c r="W25" s="76" t="str">
        <f ca="1">IF($A25="","",ROUND(SUMIFS(资金日记账!$H$4:$H$603,资金日记账!$E$4:$E$603,$A25,资金日记账!$V$4:$V$603,W$4),2))</f>
        <v/>
      </c>
      <c r="X25" s="76" t="str">
        <f ca="1">IF($A25="","",ROUND(SUMIFS(资金日记账!$H$4:$H$603,资金日记账!$E$4:$E$603,$A25,资金日记账!$V$4:$V$603,X$4),2))</f>
        <v/>
      </c>
      <c r="Y25" s="76" t="str">
        <f ca="1">IF($A25="","",ROUND(SUMIFS(资金日记账!$H$4:$H$603,资金日记账!$E$4:$E$603,$A25,资金日记账!$V$4:$V$603,Y$4),2))</f>
        <v/>
      </c>
      <c r="Z25" s="87" t="str">
        <f ca="1" t="shared" si="1"/>
        <v/>
      </c>
    </row>
    <row r="26" spans="1:26">
      <c r="A26" s="86" t="str">
        <f>IFERROR(INDEX(_自动清单!$AJ$4:$AJ$63,22),"")</f>
        <v/>
      </c>
      <c r="B26" s="76" t="str">
        <f ca="1">IF($A26="","",ROUND(SUMIFS(资金日记账!$H$4:$H$603,资金日记账!$E$4:$E$603,$A26,资金日记账!$V$4:$V$603,B$4),2))</f>
        <v/>
      </c>
      <c r="C26" s="76" t="str">
        <f ca="1">IF($A26="","",ROUND(SUMIFS(资金日记账!$H$4:$H$603,资金日记账!$E$4:$E$603,$A26,资金日记账!$V$4:$V$603,C$4),2))</f>
        <v/>
      </c>
      <c r="D26" s="76" t="str">
        <f ca="1">IF($A26="","",ROUND(SUMIFS(资金日记账!$H$4:$H$603,资金日记账!$E$4:$E$603,$A26,资金日记账!$V$4:$V$603,D$4),2))</f>
        <v/>
      </c>
      <c r="E26" s="76" t="str">
        <f ca="1">IF($A26="","",ROUND(SUMIFS(资金日记账!$H$4:$H$603,资金日记账!$E$4:$E$603,$A26,资金日记账!$V$4:$V$603,E$4),2))</f>
        <v/>
      </c>
      <c r="F26" s="76" t="str">
        <f ca="1">IF($A26="","",ROUND(SUMIFS(资金日记账!$H$4:$H$603,资金日记账!$E$4:$E$603,$A26,资金日记账!$V$4:$V$603,F$4),2))</f>
        <v/>
      </c>
      <c r="G26" s="76" t="str">
        <f ca="1">IF($A26="","",ROUND(SUMIFS(资金日记账!$H$4:$H$603,资金日记账!$E$4:$E$603,$A26,资金日记账!$V$4:$V$603,G$4),2))</f>
        <v/>
      </c>
      <c r="H26" s="76" t="str">
        <f ca="1">IF($A26="","",ROUND(SUMIFS(资金日记账!$H$4:$H$603,资金日记账!$E$4:$E$603,$A26,资金日记账!$V$4:$V$603,H$4),2))</f>
        <v/>
      </c>
      <c r="I26" s="76" t="str">
        <f ca="1">IF($A26="","",ROUND(SUMIFS(资金日记账!$H$4:$H$603,资金日记账!$E$4:$E$603,$A26,资金日记账!$V$4:$V$603,I$4),2))</f>
        <v/>
      </c>
      <c r="J26" s="76" t="str">
        <f ca="1">IF($A26="","",ROUND(SUMIFS(资金日记账!$H$4:$H$603,资金日记账!$E$4:$E$603,$A26,资金日记账!$V$4:$V$603,J$4),2))</f>
        <v/>
      </c>
      <c r="K26" s="76" t="str">
        <f ca="1">IF($A26="","",ROUND(SUMIFS(资金日记账!$H$4:$H$603,资金日记账!$E$4:$E$603,$A26,资金日记账!$V$4:$V$603,K$4),2))</f>
        <v/>
      </c>
      <c r="L26" s="76" t="str">
        <f ca="1">IF($A26="","",ROUND(SUMIFS(资金日记账!$H$4:$H$603,资金日记账!$E$4:$E$603,$A26,资金日记账!$V$4:$V$603,L$4),2))</f>
        <v/>
      </c>
      <c r="M26" s="76" t="str">
        <f ca="1">IF($A26="","",ROUND(SUMIFS(资金日记账!$H$4:$H$603,资金日记账!$E$4:$E$603,$A26,资金日记账!$V$4:$V$603,M$4),2))</f>
        <v/>
      </c>
      <c r="N26" s="76" t="str">
        <f ca="1">IF($A26="","",ROUND(SUMIFS(资金日记账!$H$4:$H$603,资金日记账!$E$4:$E$603,$A26,资金日记账!$V$4:$V$603,N$4),2))</f>
        <v/>
      </c>
      <c r="O26" s="76" t="str">
        <f ca="1">IF($A26="","",ROUND(SUMIFS(资金日记账!$H$4:$H$603,资金日记账!$E$4:$E$603,$A26,资金日记账!$V$4:$V$603,O$4),2))</f>
        <v/>
      </c>
      <c r="P26" s="76" t="str">
        <f ca="1">IF($A26="","",ROUND(SUMIFS(资金日记账!$H$4:$H$603,资金日记账!$E$4:$E$603,$A26,资金日记账!$V$4:$V$603,P$4),2))</f>
        <v/>
      </c>
      <c r="Q26" s="76" t="str">
        <f ca="1">IF($A26="","",ROUND(SUMIFS(资金日记账!$H$4:$H$603,资金日记账!$E$4:$E$603,$A26,资金日记账!$V$4:$V$603,Q$4),2))</f>
        <v/>
      </c>
      <c r="R26" s="76" t="str">
        <f ca="1">IF($A26="","",ROUND(SUMIFS(资金日记账!$H$4:$H$603,资金日记账!$E$4:$E$603,$A26,资金日记账!$V$4:$V$603,R$4),2))</f>
        <v/>
      </c>
      <c r="S26" s="76" t="str">
        <f ca="1">IF($A26="","",ROUND(SUMIFS(资金日记账!$H$4:$H$603,资金日记账!$E$4:$E$603,$A26,资金日记账!$V$4:$V$603,S$4),2))</f>
        <v/>
      </c>
      <c r="T26" s="76" t="str">
        <f ca="1">IF($A26="","",ROUND(SUMIFS(资金日记账!$H$4:$H$603,资金日记账!$E$4:$E$603,$A26,资金日记账!$V$4:$V$603,T$4),2))</f>
        <v/>
      </c>
      <c r="U26" s="76" t="str">
        <f ca="1">IF($A26="","",ROUND(SUMIFS(资金日记账!$H$4:$H$603,资金日记账!$E$4:$E$603,$A26,资金日记账!$V$4:$V$603,U$4),2))</f>
        <v/>
      </c>
      <c r="V26" s="76" t="str">
        <f ca="1">IF($A26="","",ROUND(SUMIFS(资金日记账!$H$4:$H$603,资金日记账!$E$4:$E$603,$A26,资金日记账!$V$4:$V$603,V$4),2))</f>
        <v/>
      </c>
      <c r="W26" s="76" t="str">
        <f ca="1">IF($A26="","",ROUND(SUMIFS(资金日记账!$H$4:$H$603,资金日记账!$E$4:$E$603,$A26,资金日记账!$V$4:$V$603,W$4),2))</f>
        <v/>
      </c>
      <c r="X26" s="76" t="str">
        <f ca="1">IF($A26="","",ROUND(SUMIFS(资金日记账!$H$4:$H$603,资金日记账!$E$4:$E$603,$A26,资金日记账!$V$4:$V$603,X$4),2))</f>
        <v/>
      </c>
      <c r="Y26" s="76" t="str">
        <f ca="1">IF($A26="","",ROUND(SUMIFS(资金日记账!$H$4:$H$603,资金日记账!$E$4:$E$603,$A26,资金日记账!$V$4:$V$603,Y$4),2))</f>
        <v/>
      </c>
      <c r="Z26" s="87" t="str">
        <f ca="1" t="shared" si="1"/>
        <v/>
      </c>
    </row>
    <row r="27" spans="1:26">
      <c r="A27" s="86" t="str">
        <f>IFERROR(INDEX(_自动清单!$AJ$4:$AJ$63,23),"")</f>
        <v/>
      </c>
      <c r="B27" s="76" t="str">
        <f ca="1">IF($A27="","",ROUND(SUMIFS(资金日记账!$H$4:$H$603,资金日记账!$E$4:$E$603,$A27,资金日记账!$V$4:$V$603,B$4),2))</f>
        <v/>
      </c>
      <c r="C27" s="76" t="str">
        <f ca="1">IF($A27="","",ROUND(SUMIFS(资金日记账!$H$4:$H$603,资金日记账!$E$4:$E$603,$A27,资金日记账!$V$4:$V$603,C$4),2))</f>
        <v/>
      </c>
      <c r="D27" s="76" t="str">
        <f ca="1">IF($A27="","",ROUND(SUMIFS(资金日记账!$H$4:$H$603,资金日记账!$E$4:$E$603,$A27,资金日记账!$V$4:$V$603,D$4),2))</f>
        <v/>
      </c>
      <c r="E27" s="76" t="str">
        <f ca="1">IF($A27="","",ROUND(SUMIFS(资金日记账!$H$4:$H$603,资金日记账!$E$4:$E$603,$A27,资金日记账!$V$4:$V$603,E$4),2))</f>
        <v/>
      </c>
      <c r="F27" s="76" t="str">
        <f ca="1">IF($A27="","",ROUND(SUMIFS(资金日记账!$H$4:$H$603,资金日记账!$E$4:$E$603,$A27,资金日记账!$V$4:$V$603,F$4),2))</f>
        <v/>
      </c>
      <c r="G27" s="76" t="str">
        <f ca="1">IF($A27="","",ROUND(SUMIFS(资金日记账!$H$4:$H$603,资金日记账!$E$4:$E$603,$A27,资金日记账!$V$4:$V$603,G$4),2))</f>
        <v/>
      </c>
      <c r="H27" s="76" t="str">
        <f ca="1">IF($A27="","",ROUND(SUMIFS(资金日记账!$H$4:$H$603,资金日记账!$E$4:$E$603,$A27,资金日记账!$V$4:$V$603,H$4),2))</f>
        <v/>
      </c>
      <c r="I27" s="76" t="str">
        <f ca="1">IF($A27="","",ROUND(SUMIFS(资金日记账!$H$4:$H$603,资金日记账!$E$4:$E$603,$A27,资金日记账!$V$4:$V$603,I$4),2))</f>
        <v/>
      </c>
      <c r="J27" s="76" t="str">
        <f ca="1">IF($A27="","",ROUND(SUMIFS(资金日记账!$H$4:$H$603,资金日记账!$E$4:$E$603,$A27,资金日记账!$V$4:$V$603,J$4),2))</f>
        <v/>
      </c>
      <c r="K27" s="76" t="str">
        <f ca="1">IF($A27="","",ROUND(SUMIFS(资金日记账!$H$4:$H$603,资金日记账!$E$4:$E$603,$A27,资金日记账!$V$4:$V$603,K$4),2))</f>
        <v/>
      </c>
      <c r="L27" s="76" t="str">
        <f ca="1">IF($A27="","",ROUND(SUMIFS(资金日记账!$H$4:$H$603,资金日记账!$E$4:$E$603,$A27,资金日记账!$V$4:$V$603,L$4),2))</f>
        <v/>
      </c>
      <c r="M27" s="76" t="str">
        <f ca="1">IF($A27="","",ROUND(SUMIFS(资金日记账!$H$4:$H$603,资金日记账!$E$4:$E$603,$A27,资金日记账!$V$4:$V$603,M$4),2))</f>
        <v/>
      </c>
      <c r="N27" s="76" t="str">
        <f ca="1">IF($A27="","",ROUND(SUMIFS(资金日记账!$H$4:$H$603,资金日记账!$E$4:$E$603,$A27,资金日记账!$V$4:$V$603,N$4),2))</f>
        <v/>
      </c>
      <c r="O27" s="76" t="str">
        <f ca="1">IF($A27="","",ROUND(SUMIFS(资金日记账!$H$4:$H$603,资金日记账!$E$4:$E$603,$A27,资金日记账!$V$4:$V$603,O$4),2))</f>
        <v/>
      </c>
      <c r="P27" s="76" t="str">
        <f ca="1">IF($A27="","",ROUND(SUMIFS(资金日记账!$H$4:$H$603,资金日记账!$E$4:$E$603,$A27,资金日记账!$V$4:$V$603,P$4),2))</f>
        <v/>
      </c>
      <c r="Q27" s="76" t="str">
        <f ca="1">IF($A27="","",ROUND(SUMIFS(资金日记账!$H$4:$H$603,资金日记账!$E$4:$E$603,$A27,资金日记账!$V$4:$V$603,Q$4),2))</f>
        <v/>
      </c>
      <c r="R27" s="76" t="str">
        <f ca="1">IF($A27="","",ROUND(SUMIFS(资金日记账!$H$4:$H$603,资金日记账!$E$4:$E$603,$A27,资金日记账!$V$4:$V$603,R$4),2))</f>
        <v/>
      </c>
      <c r="S27" s="76" t="str">
        <f ca="1">IF($A27="","",ROUND(SUMIFS(资金日记账!$H$4:$H$603,资金日记账!$E$4:$E$603,$A27,资金日记账!$V$4:$V$603,S$4),2))</f>
        <v/>
      </c>
      <c r="T27" s="76" t="str">
        <f ca="1">IF($A27="","",ROUND(SUMIFS(资金日记账!$H$4:$H$603,资金日记账!$E$4:$E$603,$A27,资金日记账!$V$4:$V$603,T$4),2))</f>
        <v/>
      </c>
      <c r="U27" s="76" t="str">
        <f ca="1">IF($A27="","",ROUND(SUMIFS(资金日记账!$H$4:$H$603,资金日记账!$E$4:$E$603,$A27,资金日记账!$V$4:$V$603,U$4),2))</f>
        <v/>
      </c>
      <c r="V27" s="76" t="str">
        <f ca="1">IF($A27="","",ROUND(SUMIFS(资金日记账!$H$4:$H$603,资金日记账!$E$4:$E$603,$A27,资金日记账!$V$4:$V$603,V$4),2))</f>
        <v/>
      </c>
      <c r="W27" s="76" t="str">
        <f ca="1">IF($A27="","",ROUND(SUMIFS(资金日记账!$H$4:$H$603,资金日记账!$E$4:$E$603,$A27,资金日记账!$V$4:$V$603,W$4),2))</f>
        <v/>
      </c>
      <c r="X27" s="76" t="str">
        <f ca="1">IF($A27="","",ROUND(SUMIFS(资金日记账!$H$4:$H$603,资金日记账!$E$4:$E$603,$A27,资金日记账!$V$4:$V$603,X$4),2))</f>
        <v/>
      </c>
      <c r="Y27" s="76" t="str">
        <f ca="1">IF($A27="","",ROUND(SUMIFS(资金日记账!$H$4:$H$603,资金日记账!$E$4:$E$603,$A27,资金日记账!$V$4:$V$603,Y$4),2))</f>
        <v/>
      </c>
      <c r="Z27" s="87" t="str">
        <f ca="1" t="shared" si="1"/>
        <v/>
      </c>
    </row>
    <row r="28" spans="1:26">
      <c r="A28" s="86" t="str">
        <f>IFERROR(INDEX(_自动清单!$AJ$4:$AJ$63,24),"")</f>
        <v/>
      </c>
      <c r="B28" s="76" t="str">
        <f ca="1">IF($A28="","",ROUND(SUMIFS(资金日记账!$H$4:$H$603,资金日记账!$E$4:$E$603,$A28,资金日记账!$V$4:$V$603,B$4),2))</f>
        <v/>
      </c>
      <c r="C28" s="76" t="str">
        <f ca="1">IF($A28="","",ROUND(SUMIFS(资金日记账!$H$4:$H$603,资金日记账!$E$4:$E$603,$A28,资金日记账!$V$4:$V$603,C$4),2))</f>
        <v/>
      </c>
      <c r="D28" s="76" t="str">
        <f ca="1">IF($A28="","",ROUND(SUMIFS(资金日记账!$H$4:$H$603,资金日记账!$E$4:$E$603,$A28,资金日记账!$V$4:$V$603,D$4),2))</f>
        <v/>
      </c>
      <c r="E28" s="76" t="str">
        <f ca="1">IF($A28="","",ROUND(SUMIFS(资金日记账!$H$4:$H$603,资金日记账!$E$4:$E$603,$A28,资金日记账!$V$4:$V$603,E$4),2))</f>
        <v/>
      </c>
      <c r="F28" s="76" t="str">
        <f ca="1">IF($A28="","",ROUND(SUMIFS(资金日记账!$H$4:$H$603,资金日记账!$E$4:$E$603,$A28,资金日记账!$V$4:$V$603,F$4),2))</f>
        <v/>
      </c>
      <c r="G28" s="76" t="str">
        <f ca="1">IF($A28="","",ROUND(SUMIFS(资金日记账!$H$4:$H$603,资金日记账!$E$4:$E$603,$A28,资金日记账!$V$4:$V$603,G$4),2))</f>
        <v/>
      </c>
      <c r="H28" s="76" t="str">
        <f ca="1">IF($A28="","",ROUND(SUMIFS(资金日记账!$H$4:$H$603,资金日记账!$E$4:$E$603,$A28,资金日记账!$V$4:$V$603,H$4),2))</f>
        <v/>
      </c>
      <c r="I28" s="76" t="str">
        <f ca="1">IF($A28="","",ROUND(SUMIFS(资金日记账!$H$4:$H$603,资金日记账!$E$4:$E$603,$A28,资金日记账!$V$4:$V$603,I$4),2))</f>
        <v/>
      </c>
      <c r="J28" s="76" t="str">
        <f ca="1">IF($A28="","",ROUND(SUMIFS(资金日记账!$H$4:$H$603,资金日记账!$E$4:$E$603,$A28,资金日记账!$V$4:$V$603,J$4),2))</f>
        <v/>
      </c>
      <c r="K28" s="76" t="str">
        <f ca="1">IF($A28="","",ROUND(SUMIFS(资金日记账!$H$4:$H$603,资金日记账!$E$4:$E$603,$A28,资金日记账!$V$4:$V$603,K$4),2))</f>
        <v/>
      </c>
      <c r="L28" s="76" t="str">
        <f ca="1">IF($A28="","",ROUND(SUMIFS(资金日记账!$H$4:$H$603,资金日记账!$E$4:$E$603,$A28,资金日记账!$V$4:$V$603,L$4),2))</f>
        <v/>
      </c>
      <c r="M28" s="76" t="str">
        <f ca="1">IF($A28="","",ROUND(SUMIFS(资金日记账!$H$4:$H$603,资金日记账!$E$4:$E$603,$A28,资金日记账!$V$4:$V$603,M$4),2))</f>
        <v/>
      </c>
      <c r="N28" s="76" t="str">
        <f ca="1">IF($A28="","",ROUND(SUMIFS(资金日记账!$H$4:$H$603,资金日记账!$E$4:$E$603,$A28,资金日记账!$V$4:$V$603,N$4),2))</f>
        <v/>
      </c>
      <c r="O28" s="76" t="str">
        <f ca="1">IF($A28="","",ROUND(SUMIFS(资金日记账!$H$4:$H$603,资金日记账!$E$4:$E$603,$A28,资金日记账!$V$4:$V$603,O$4),2))</f>
        <v/>
      </c>
      <c r="P28" s="76" t="str">
        <f ca="1">IF($A28="","",ROUND(SUMIFS(资金日记账!$H$4:$H$603,资金日记账!$E$4:$E$603,$A28,资金日记账!$V$4:$V$603,P$4),2))</f>
        <v/>
      </c>
      <c r="Q28" s="76" t="str">
        <f ca="1">IF($A28="","",ROUND(SUMIFS(资金日记账!$H$4:$H$603,资金日记账!$E$4:$E$603,$A28,资金日记账!$V$4:$V$603,Q$4),2))</f>
        <v/>
      </c>
      <c r="R28" s="76" t="str">
        <f ca="1">IF($A28="","",ROUND(SUMIFS(资金日记账!$H$4:$H$603,资金日记账!$E$4:$E$603,$A28,资金日记账!$V$4:$V$603,R$4),2))</f>
        <v/>
      </c>
      <c r="S28" s="76" t="str">
        <f ca="1">IF($A28="","",ROUND(SUMIFS(资金日记账!$H$4:$H$603,资金日记账!$E$4:$E$603,$A28,资金日记账!$V$4:$V$603,S$4),2))</f>
        <v/>
      </c>
      <c r="T28" s="76" t="str">
        <f ca="1">IF($A28="","",ROUND(SUMIFS(资金日记账!$H$4:$H$603,资金日记账!$E$4:$E$603,$A28,资金日记账!$V$4:$V$603,T$4),2))</f>
        <v/>
      </c>
      <c r="U28" s="76" t="str">
        <f ca="1">IF($A28="","",ROUND(SUMIFS(资金日记账!$H$4:$H$603,资金日记账!$E$4:$E$603,$A28,资金日记账!$V$4:$V$603,U$4),2))</f>
        <v/>
      </c>
      <c r="V28" s="76" t="str">
        <f ca="1">IF($A28="","",ROUND(SUMIFS(资金日记账!$H$4:$H$603,资金日记账!$E$4:$E$603,$A28,资金日记账!$V$4:$V$603,V$4),2))</f>
        <v/>
      </c>
      <c r="W28" s="76" t="str">
        <f ca="1">IF($A28="","",ROUND(SUMIFS(资金日记账!$H$4:$H$603,资金日记账!$E$4:$E$603,$A28,资金日记账!$V$4:$V$603,W$4),2))</f>
        <v/>
      </c>
      <c r="X28" s="76" t="str">
        <f ca="1">IF($A28="","",ROUND(SUMIFS(资金日记账!$H$4:$H$603,资金日记账!$E$4:$E$603,$A28,资金日记账!$V$4:$V$603,X$4),2))</f>
        <v/>
      </c>
      <c r="Y28" s="76" t="str">
        <f ca="1">IF($A28="","",ROUND(SUMIFS(资金日记账!$H$4:$H$603,资金日记账!$E$4:$E$603,$A28,资金日记账!$V$4:$V$603,Y$4),2))</f>
        <v/>
      </c>
      <c r="Z28" s="87" t="str">
        <f ca="1" t="shared" si="1"/>
        <v/>
      </c>
    </row>
    <row r="29" spans="1:26">
      <c r="A29" s="86" t="str">
        <f>IFERROR(INDEX(_自动清单!$AJ$4:$AJ$63,25),"")</f>
        <v/>
      </c>
      <c r="B29" s="76" t="str">
        <f ca="1">IF($A29="","",ROUND(SUMIFS(资金日记账!$H$4:$H$603,资金日记账!$E$4:$E$603,$A29,资金日记账!$V$4:$V$603,B$4),2))</f>
        <v/>
      </c>
      <c r="C29" s="76" t="str">
        <f ca="1">IF($A29="","",ROUND(SUMIFS(资金日记账!$H$4:$H$603,资金日记账!$E$4:$E$603,$A29,资金日记账!$V$4:$V$603,C$4),2))</f>
        <v/>
      </c>
      <c r="D29" s="76" t="str">
        <f ca="1">IF($A29="","",ROUND(SUMIFS(资金日记账!$H$4:$H$603,资金日记账!$E$4:$E$603,$A29,资金日记账!$V$4:$V$603,D$4),2))</f>
        <v/>
      </c>
      <c r="E29" s="76" t="str">
        <f ca="1">IF($A29="","",ROUND(SUMIFS(资金日记账!$H$4:$H$603,资金日记账!$E$4:$E$603,$A29,资金日记账!$V$4:$V$603,E$4),2))</f>
        <v/>
      </c>
      <c r="F29" s="76" t="str">
        <f ca="1">IF($A29="","",ROUND(SUMIFS(资金日记账!$H$4:$H$603,资金日记账!$E$4:$E$603,$A29,资金日记账!$V$4:$V$603,F$4),2))</f>
        <v/>
      </c>
      <c r="G29" s="76" t="str">
        <f ca="1">IF($A29="","",ROUND(SUMIFS(资金日记账!$H$4:$H$603,资金日记账!$E$4:$E$603,$A29,资金日记账!$V$4:$V$603,G$4),2))</f>
        <v/>
      </c>
      <c r="H29" s="76" t="str">
        <f ca="1">IF($A29="","",ROUND(SUMIFS(资金日记账!$H$4:$H$603,资金日记账!$E$4:$E$603,$A29,资金日记账!$V$4:$V$603,H$4),2))</f>
        <v/>
      </c>
      <c r="I29" s="76" t="str">
        <f ca="1">IF($A29="","",ROUND(SUMIFS(资金日记账!$H$4:$H$603,资金日记账!$E$4:$E$603,$A29,资金日记账!$V$4:$V$603,I$4),2))</f>
        <v/>
      </c>
      <c r="J29" s="76" t="str">
        <f ca="1">IF($A29="","",ROUND(SUMIFS(资金日记账!$H$4:$H$603,资金日记账!$E$4:$E$603,$A29,资金日记账!$V$4:$V$603,J$4),2))</f>
        <v/>
      </c>
      <c r="K29" s="76" t="str">
        <f ca="1">IF($A29="","",ROUND(SUMIFS(资金日记账!$H$4:$H$603,资金日记账!$E$4:$E$603,$A29,资金日记账!$V$4:$V$603,K$4),2))</f>
        <v/>
      </c>
      <c r="L29" s="76" t="str">
        <f ca="1">IF($A29="","",ROUND(SUMIFS(资金日记账!$H$4:$H$603,资金日记账!$E$4:$E$603,$A29,资金日记账!$V$4:$V$603,L$4),2))</f>
        <v/>
      </c>
      <c r="M29" s="76" t="str">
        <f ca="1">IF($A29="","",ROUND(SUMIFS(资金日记账!$H$4:$H$603,资金日记账!$E$4:$E$603,$A29,资金日记账!$V$4:$V$603,M$4),2))</f>
        <v/>
      </c>
      <c r="N29" s="76" t="str">
        <f ca="1">IF($A29="","",ROUND(SUMIFS(资金日记账!$H$4:$H$603,资金日记账!$E$4:$E$603,$A29,资金日记账!$V$4:$V$603,N$4),2))</f>
        <v/>
      </c>
      <c r="O29" s="76" t="str">
        <f ca="1">IF($A29="","",ROUND(SUMIFS(资金日记账!$H$4:$H$603,资金日记账!$E$4:$E$603,$A29,资金日记账!$V$4:$V$603,O$4),2))</f>
        <v/>
      </c>
      <c r="P29" s="76" t="str">
        <f ca="1">IF($A29="","",ROUND(SUMIFS(资金日记账!$H$4:$H$603,资金日记账!$E$4:$E$603,$A29,资金日记账!$V$4:$V$603,P$4),2))</f>
        <v/>
      </c>
      <c r="Q29" s="76" t="str">
        <f ca="1">IF($A29="","",ROUND(SUMIFS(资金日记账!$H$4:$H$603,资金日记账!$E$4:$E$603,$A29,资金日记账!$V$4:$V$603,Q$4),2))</f>
        <v/>
      </c>
      <c r="R29" s="76" t="str">
        <f ca="1">IF($A29="","",ROUND(SUMIFS(资金日记账!$H$4:$H$603,资金日记账!$E$4:$E$603,$A29,资金日记账!$V$4:$V$603,R$4),2))</f>
        <v/>
      </c>
      <c r="S29" s="76" t="str">
        <f ca="1">IF($A29="","",ROUND(SUMIFS(资金日记账!$H$4:$H$603,资金日记账!$E$4:$E$603,$A29,资金日记账!$V$4:$V$603,S$4),2))</f>
        <v/>
      </c>
      <c r="T29" s="76" t="str">
        <f ca="1">IF($A29="","",ROUND(SUMIFS(资金日记账!$H$4:$H$603,资金日记账!$E$4:$E$603,$A29,资金日记账!$V$4:$V$603,T$4),2))</f>
        <v/>
      </c>
      <c r="U29" s="76" t="str">
        <f ca="1">IF($A29="","",ROUND(SUMIFS(资金日记账!$H$4:$H$603,资金日记账!$E$4:$E$603,$A29,资金日记账!$V$4:$V$603,U$4),2))</f>
        <v/>
      </c>
      <c r="V29" s="76" t="str">
        <f ca="1">IF($A29="","",ROUND(SUMIFS(资金日记账!$H$4:$H$603,资金日记账!$E$4:$E$603,$A29,资金日记账!$V$4:$V$603,V$4),2))</f>
        <v/>
      </c>
      <c r="W29" s="76" t="str">
        <f ca="1">IF($A29="","",ROUND(SUMIFS(资金日记账!$H$4:$H$603,资金日记账!$E$4:$E$603,$A29,资金日记账!$V$4:$V$603,W$4),2))</f>
        <v/>
      </c>
      <c r="X29" s="76" t="str">
        <f ca="1">IF($A29="","",ROUND(SUMIFS(资金日记账!$H$4:$H$603,资金日记账!$E$4:$E$603,$A29,资金日记账!$V$4:$V$603,X$4),2))</f>
        <v/>
      </c>
      <c r="Y29" s="76" t="str">
        <f ca="1">IF($A29="","",ROUND(SUMIFS(资金日记账!$H$4:$H$603,资金日记账!$E$4:$E$603,$A29,资金日记账!$V$4:$V$603,Y$4),2))</f>
        <v/>
      </c>
      <c r="Z29" s="87" t="str">
        <f ca="1" t="shared" si="1"/>
        <v/>
      </c>
    </row>
    <row r="30" spans="1:26">
      <c r="A30" s="86" t="str">
        <f>IFERROR(INDEX(_自动清单!$AJ$4:$AJ$63,26),"")</f>
        <v/>
      </c>
      <c r="B30" s="76" t="str">
        <f ca="1">IF($A30="","",ROUND(SUMIFS(资金日记账!$H$4:$H$603,资金日记账!$E$4:$E$603,$A30,资金日记账!$V$4:$V$603,B$4),2))</f>
        <v/>
      </c>
      <c r="C30" s="76" t="str">
        <f ca="1">IF($A30="","",ROUND(SUMIFS(资金日记账!$H$4:$H$603,资金日记账!$E$4:$E$603,$A30,资金日记账!$V$4:$V$603,C$4),2))</f>
        <v/>
      </c>
      <c r="D30" s="76" t="str">
        <f ca="1">IF($A30="","",ROUND(SUMIFS(资金日记账!$H$4:$H$603,资金日记账!$E$4:$E$603,$A30,资金日记账!$V$4:$V$603,D$4),2))</f>
        <v/>
      </c>
      <c r="E30" s="76" t="str">
        <f ca="1">IF($A30="","",ROUND(SUMIFS(资金日记账!$H$4:$H$603,资金日记账!$E$4:$E$603,$A30,资金日记账!$V$4:$V$603,E$4),2))</f>
        <v/>
      </c>
      <c r="F30" s="76" t="str">
        <f ca="1">IF($A30="","",ROUND(SUMIFS(资金日记账!$H$4:$H$603,资金日记账!$E$4:$E$603,$A30,资金日记账!$V$4:$V$603,F$4),2))</f>
        <v/>
      </c>
      <c r="G30" s="76" t="str">
        <f ca="1">IF($A30="","",ROUND(SUMIFS(资金日记账!$H$4:$H$603,资金日记账!$E$4:$E$603,$A30,资金日记账!$V$4:$V$603,G$4),2))</f>
        <v/>
      </c>
      <c r="H30" s="76" t="str">
        <f ca="1">IF($A30="","",ROUND(SUMIFS(资金日记账!$H$4:$H$603,资金日记账!$E$4:$E$603,$A30,资金日记账!$V$4:$V$603,H$4),2))</f>
        <v/>
      </c>
      <c r="I30" s="76" t="str">
        <f ca="1">IF($A30="","",ROUND(SUMIFS(资金日记账!$H$4:$H$603,资金日记账!$E$4:$E$603,$A30,资金日记账!$V$4:$V$603,I$4),2))</f>
        <v/>
      </c>
      <c r="J30" s="76" t="str">
        <f ca="1">IF($A30="","",ROUND(SUMIFS(资金日记账!$H$4:$H$603,资金日记账!$E$4:$E$603,$A30,资金日记账!$V$4:$V$603,J$4),2))</f>
        <v/>
      </c>
      <c r="K30" s="76" t="str">
        <f ca="1">IF($A30="","",ROUND(SUMIFS(资金日记账!$H$4:$H$603,资金日记账!$E$4:$E$603,$A30,资金日记账!$V$4:$V$603,K$4),2))</f>
        <v/>
      </c>
      <c r="L30" s="76" t="str">
        <f ca="1">IF($A30="","",ROUND(SUMIFS(资金日记账!$H$4:$H$603,资金日记账!$E$4:$E$603,$A30,资金日记账!$V$4:$V$603,L$4),2))</f>
        <v/>
      </c>
      <c r="M30" s="76" t="str">
        <f ca="1">IF($A30="","",ROUND(SUMIFS(资金日记账!$H$4:$H$603,资金日记账!$E$4:$E$603,$A30,资金日记账!$V$4:$V$603,M$4),2))</f>
        <v/>
      </c>
      <c r="N30" s="76" t="str">
        <f ca="1">IF($A30="","",ROUND(SUMIFS(资金日记账!$H$4:$H$603,资金日记账!$E$4:$E$603,$A30,资金日记账!$V$4:$V$603,N$4),2))</f>
        <v/>
      </c>
      <c r="O30" s="76" t="str">
        <f ca="1">IF($A30="","",ROUND(SUMIFS(资金日记账!$H$4:$H$603,资金日记账!$E$4:$E$603,$A30,资金日记账!$V$4:$V$603,O$4),2))</f>
        <v/>
      </c>
      <c r="P30" s="76" t="str">
        <f ca="1">IF($A30="","",ROUND(SUMIFS(资金日记账!$H$4:$H$603,资金日记账!$E$4:$E$603,$A30,资金日记账!$V$4:$V$603,P$4),2))</f>
        <v/>
      </c>
      <c r="Q30" s="76" t="str">
        <f ca="1">IF($A30="","",ROUND(SUMIFS(资金日记账!$H$4:$H$603,资金日记账!$E$4:$E$603,$A30,资金日记账!$V$4:$V$603,Q$4),2))</f>
        <v/>
      </c>
      <c r="R30" s="76" t="str">
        <f ca="1">IF($A30="","",ROUND(SUMIFS(资金日记账!$H$4:$H$603,资金日记账!$E$4:$E$603,$A30,资金日记账!$V$4:$V$603,R$4),2))</f>
        <v/>
      </c>
      <c r="S30" s="76" t="str">
        <f ca="1">IF($A30="","",ROUND(SUMIFS(资金日记账!$H$4:$H$603,资金日记账!$E$4:$E$603,$A30,资金日记账!$V$4:$V$603,S$4),2))</f>
        <v/>
      </c>
      <c r="T30" s="76" t="str">
        <f ca="1">IF($A30="","",ROUND(SUMIFS(资金日记账!$H$4:$H$603,资金日记账!$E$4:$E$603,$A30,资金日记账!$V$4:$V$603,T$4),2))</f>
        <v/>
      </c>
      <c r="U30" s="76" t="str">
        <f ca="1">IF($A30="","",ROUND(SUMIFS(资金日记账!$H$4:$H$603,资金日记账!$E$4:$E$603,$A30,资金日记账!$V$4:$V$603,U$4),2))</f>
        <v/>
      </c>
      <c r="V30" s="76" t="str">
        <f ca="1">IF($A30="","",ROUND(SUMIFS(资金日记账!$H$4:$H$603,资金日记账!$E$4:$E$603,$A30,资金日记账!$V$4:$V$603,V$4),2))</f>
        <v/>
      </c>
      <c r="W30" s="76" t="str">
        <f ca="1">IF($A30="","",ROUND(SUMIFS(资金日记账!$H$4:$H$603,资金日记账!$E$4:$E$603,$A30,资金日记账!$V$4:$V$603,W$4),2))</f>
        <v/>
      </c>
      <c r="X30" s="76" t="str">
        <f ca="1">IF($A30="","",ROUND(SUMIFS(资金日记账!$H$4:$H$603,资金日记账!$E$4:$E$603,$A30,资金日记账!$V$4:$V$603,X$4),2))</f>
        <v/>
      </c>
      <c r="Y30" s="76" t="str">
        <f ca="1">IF($A30="","",ROUND(SUMIFS(资金日记账!$H$4:$H$603,资金日记账!$E$4:$E$603,$A30,资金日记账!$V$4:$V$603,Y$4),2))</f>
        <v/>
      </c>
      <c r="Z30" s="87" t="str">
        <f ca="1" t="shared" si="1"/>
        <v/>
      </c>
    </row>
    <row r="31" spans="1:26">
      <c r="A31" s="86" t="str">
        <f>IFERROR(INDEX(_自动清单!$AJ$4:$AJ$63,27),"")</f>
        <v/>
      </c>
      <c r="B31" s="76" t="str">
        <f ca="1">IF($A31="","",ROUND(SUMIFS(资金日记账!$H$4:$H$603,资金日记账!$E$4:$E$603,$A31,资金日记账!$V$4:$V$603,B$4),2))</f>
        <v/>
      </c>
      <c r="C31" s="76" t="str">
        <f ca="1">IF($A31="","",ROUND(SUMIFS(资金日记账!$H$4:$H$603,资金日记账!$E$4:$E$603,$A31,资金日记账!$V$4:$V$603,C$4),2))</f>
        <v/>
      </c>
      <c r="D31" s="76" t="str">
        <f ca="1">IF($A31="","",ROUND(SUMIFS(资金日记账!$H$4:$H$603,资金日记账!$E$4:$E$603,$A31,资金日记账!$V$4:$V$603,D$4),2))</f>
        <v/>
      </c>
      <c r="E31" s="76" t="str">
        <f ca="1">IF($A31="","",ROUND(SUMIFS(资金日记账!$H$4:$H$603,资金日记账!$E$4:$E$603,$A31,资金日记账!$V$4:$V$603,E$4),2))</f>
        <v/>
      </c>
      <c r="F31" s="76" t="str">
        <f ca="1">IF($A31="","",ROUND(SUMIFS(资金日记账!$H$4:$H$603,资金日记账!$E$4:$E$603,$A31,资金日记账!$V$4:$V$603,F$4),2))</f>
        <v/>
      </c>
      <c r="G31" s="76" t="str">
        <f ca="1">IF($A31="","",ROUND(SUMIFS(资金日记账!$H$4:$H$603,资金日记账!$E$4:$E$603,$A31,资金日记账!$V$4:$V$603,G$4),2))</f>
        <v/>
      </c>
      <c r="H31" s="76" t="str">
        <f ca="1">IF($A31="","",ROUND(SUMIFS(资金日记账!$H$4:$H$603,资金日记账!$E$4:$E$603,$A31,资金日记账!$V$4:$V$603,H$4),2))</f>
        <v/>
      </c>
      <c r="I31" s="76" t="str">
        <f ca="1">IF($A31="","",ROUND(SUMIFS(资金日记账!$H$4:$H$603,资金日记账!$E$4:$E$603,$A31,资金日记账!$V$4:$V$603,I$4),2))</f>
        <v/>
      </c>
      <c r="J31" s="76" t="str">
        <f ca="1">IF($A31="","",ROUND(SUMIFS(资金日记账!$H$4:$H$603,资金日记账!$E$4:$E$603,$A31,资金日记账!$V$4:$V$603,J$4),2))</f>
        <v/>
      </c>
      <c r="K31" s="76" t="str">
        <f ca="1">IF($A31="","",ROUND(SUMIFS(资金日记账!$H$4:$H$603,资金日记账!$E$4:$E$603,$A31,资金日记账!$V$4:$V$603,K$4),2))</f>
        <v/>
      </c>
      <c r="L31" s="76" t="str">
        <f ca="1">IF($A31="","",ROUND(SUMIFS(资金日记账!$H$4:$H$603,资金日记账!$E$4:$E$603,$A31,资金日记账!$V$4:$V$603,L$4),2))</f>
        <v/>
      </c>
      <c r="M31" s="76" t="str">
        <f ca="1">IF($A31="","",ROUND(SUMIFS(资金日记账!$H$4:$H$603,资金日记账!$E$4:$E$603,$A31,资金日记账!$V$4:$V$603,M$4),2))</f>
        <v/>
      </c>
      <c r="N31" s="76" t="str">
        <f ca="1">IF($A31="","",ROUND(SUMIFS(资金日记账!$H$4:$H$603,资金日记账!$E$4:$E$603,$A31,资金日记账!$V$4:$V$603,N$4),2))</f>
        <v/>
      </c>
      <c r="O31" s="76" t="str">
        <f ca="1">IF($A31="","",ROUND(SUMIFS(资金日记账!$H$4:$H$603,资金日记账!$E$4:$E$603,$A31,资金日记账!$V$4:$V$603,O$4),2))</f>
        <v/>
      </c>
      <c r="P31" s="76" t="str">
        <f ca="1">IF($A31="","",ROUND(SUMIFS(资金日记账!$H$4:$H$603,资金日记账!$E$4:$E$603,$A31,资金日记账!$V$4:$V$603,P$4),2))</f>
        <v/>
      </c>
      <c r="Q31" s="76" t="str">
        <f ca="1">IF($A31="","",ROUND(SUMIFS(资金日记账!$H$4:$H$603,资金日记账!$E$4:$E$603,$A31,资金日记账!$V$4:$V$603,Q$4),2))</f>
        <v/>
      </c>
      <c r="R31" s="76" t="str">
        <f ca="1">IF($A31="","",ROUND(SUMIFS(资金日记账!$H$4:$H$603,资金日记账!$E$4:$E$603,$A31,资金日记账!$V$4:$V$603,R$4),2))</f>
        <v/>
      </c>
      <c r="S31" s="76" t="str">
        <f ca="1">IF($A31="","",ROUND(SUMIFS(资金日记账!$H$4:$H$603,资金日记账!$E$4:$E$603,$A31,资金日记账!$V$4:$V$603,S$4),2))</f>
        <v/>
      </c>
      <c r="T31" s="76" t="str">
        <f ca="1">IF($A31="","",ROUND(SUMIFS(资金日记账!$H$4:$H$603,资金日记账!$E$4:$E$603,$A31,资金日记账!$V$4:$V$603,T$4),2))</f>
        <v/>
      </c>
      <c r="U31" s="76" t="str">
        <f ca="1">IF($A31="","",ROUND(SUMIFS(资金日记账!$H$4:$H$603,资金日记账!$E$4:$E$603,$A31,资金日记账!$V$4:$V$603,U$4),2))</f>
        <v/>
      </c>
      <c r="V31" s="76" t="str">
        <f ca="1">IF($A31="","",ROUND(SUMIFS(资金日记账!$H$4:$H$603,资金日记账!$E$4:$E$603,$A31,资金日记账!$V$4:$V$603,V$4),2))</f>
        <v/>
      </c>
      <c r="W31" s="76" t="str">
        <f ca="1">IF($A31="","",ROUND(SUMIFS(资金日记账!$H$4:$H$603,资金日记账!$E$4:$E$603,$A31,资金日记账!$V$4:$V$603,W$4),2))</f>
        <v/>
      </c>
      <c r="X31" s="76" t="str">
        <f ca="1">IF($A31="","",ROUND(SUMIFS(资金日记账!$H$4:$H$603,资金日记账!$E$4:$E$603,$A31,资金日记账!$V$4:$V$603,X$4),2))</f>
        <v/>
      </c>
      <c r="Y31" s="76" t="str">
        <f ca="1">IF($A31="","",ROUND(SUMIFS(资金日记账!$H$4:$H$603,资金日记账!$E$4:$E$603,$A31,资金日记账!$V$4:$V$603,Y$4),2))</f>
        <v/>
      </c>
      <c r="Z31" s="87" t="str">
        <f ca="1" t="shared" si="1"/>
        <v/>
      </c>
    </row>
    <row r="32" spans="1:26">
      <c r="A32" s="86" t="str">
        <f>IFERROR(INDEX(_自动清单!$AJ$4:$AJ$63,28),"")</f>
        <v/>
      </c>
      <c r="B32" s="76" t="str">
        <f ca="1">IF($A32="","",ROUND(SUMIFS(资金日记账!$H$4:$H$603,资金日记账!$E$4:$E$603,$A32,资金日记账!$V$4:$V$603,B$4),2))</f>
        <v/>
      </c>
      <c r="C32" s="76" t="str">
        <f ca="1">IF($A32="","",ROUND(SUMIFS(资金日记账!$H$4:$H$603,资金日记账!$E$4:$E$603,$A32,资金日记账!$V$4:$V$603,C$4),2))</f>
        <v/>
      </c>
      <c r="D32" s="76" t="str">
        <f ca="1">IF($A32="","",ROUND(SUMIFS(资金日记账!$H$4:$H$603,资金日记账!$E$4:$E$603,$A32,资金日记账!$V$4:$V$603,D$4),2))</f>
        <v/>
      </c>
      <c r="E32" s="76" t="str">
        <f ca="1">IF($A32="","",ROUND(SUMIFS(资金日记账!$H$4:$H$603,资金日记账!$E$4:$E$603,$A32,资金日记账!$V$4:$V$603,E$4),2))</f>
        <v/>
      </c>
      <c r="F32" s="76" t="str">
        <f ca="1">IF($A32="","",ROUND(SUMIFS(资金日记账!$H$4:$H$603,资金日记账!$E$4:$E$603,$A32,资金日记账!$V$4:$V$603,F$4),2))</f>
        <v/>
      </c>
      <c r="G32" s="76" t="str">
        <f ca="1">IF($A32="","",ROUND(SUMIFS(资金日记账!$H$4:$H$603,资金日记账!$E$4:$E$603,$A32,资金日记账!$V$4:$V$603,G$4),2))</f>
        <v/>
      </c>
      <c r="H32" s="76" t="str">
        <f ca="1">IF($A32="","",ROUND(SUMIFS(资金日记账!$H$4:$H$603,资金日记账!$E$4:$E$603,$A32,资金日记账!$V$4:$V$603,H$4),2))</f>
        <v/>
      </c>
      <c r="I32" s="76" t="str">
        <f ca="1">IF($A32="","",ROUND(SUMIFS(资金日记账!$H$4:$H$603,资金日记账!$E$4:$E$603,$A32,资金日记账!$V$4:$V$603,I$4),2))</f>
        <v/>
      </c>
      <c r="J32" s="76" t="str">
        <f ca="1">IF($A32="","",ROUND(SUMIFS(资金日记账!$H$4:$H$603,资金日记账!$E$4:$E$603,$A32,资金日记账!$V$4:$V$603,J$4),2))</f>
        <v/>
      </c>
      <c r="K32" s="76" t="str">
        <f ca="1">IF($A32="","",ROUND(SUMIFS(资金日记账!$H$4:$H$603,资金日记账!$E$4:$E$603,$A32,资金日记账!$V$4:$V$603,K$4),2))</f>
        <v/>
      </c>
      <c r="L32" s="76" t="str">
        <f ca="1">IF($A32="","",ROUND(SUMIFS(资金日记账!$H$4:$H$603,资金日记账!$E$4:$E$603,$A32,资金日记账!$V$4:$V$603,L$4),2))</f>
        <v/>
      </c>
      <c r="M32" s="76" t="str">
        <f ca="1">IF($A32="","",ROUND(SUMIFS(资金日记账!$H$4:$H$603,资金日记账!$E$4:$E$603,$A32,资金日记账!$V$4:$V$603,M$4),2))</f>
        <v/>
      </c>
      <c r="N32" s="76" t="str">
        <f ca="1">IF($A32="","",ROUND(SUMIFS(资金日记账!$H$4:$H$603,资金日记账!$E$4:$E$603,$A32,资金日记账!$V$4:$V$603,N$4),2))</f>
        <v/>
      </c>
      <c r="O32" s="76" t="str">
        <f ca="1">IF($A32="","",ROUND(SUMIFS(资金日记账!$H$4:$H$603,资金日记账!$E$4:$E$603,$A32,资金日记账!$V$4:$V$603,O$4),2))</f>
        <v/>
      </c>
      <c r="P32" s="76" t="str">
        <f ca="1">IF($A32="","",ROUND(SUMIFS(资金日记账!$H$4:$H$603,资金日记账!$E$4:$E$603,$A32,资金日记账!$V$4:$V$603,P$4),2))</f>
        <v/>
      </c>
      <c r="Q32" s="76" t="str">
        <f ca="1">IF($A32="","",ROUND(SUMIFS(资金日记账!$H$4:$H$603,资金日记账!$E$4:$E$603,$A32,资金日记账!$V$4:$V$603,Q$4),2))</f>
        <v/>
      </c>
      <c r="R32" s="76" t="str">
        <f ca="1">IF($A32="","",ROUND(SUMIFS(资金日记账!$H$4:$H$603,资金日记账!$E$4:$E$603,$A32,资金日记账!$V$4:$V$603,R$4),2))</f>
        <v/>
      </c>
      <c r="S32" s="76" t="str">
        <f ca="1">IF($A32="","",ROUND(SUMIFS(资金日记账!$H$4:$H$603,资金日记账!$E$4:$E$603,$A32,资金日记账!$V$4:$V$603,S$4),2))</f>
        <v/>
      </c>
      <c r="T32" s="76" t="str">
        <f ca="1">IF($A32="","",ROUND(SUMIFS(资金日记账!$H$4:$H$603,资金日记账!$E$4:$E$603,$A32,资金日记账!$V$4:$V$603,T$4),2))</f>
        <v/>
      </c>
      <c r="U32" s="76" t="str">
        <f ca="1">IF($A32="","",ROUND(SUMIFS(资金日记账!$H$4:$H$603,资金日记账!$E$4:$E$603,$A32,资金日记账!$V$4:$V$603,U$4),2))</f>
        <v/>
      </c>
      <c r="V32" s="76" t="str">
        <f ca="1">IF($A32="","",ROUND(SUMIFS(资金日记账!$H$4:$H$603,资金日记账!$E$4:$E$603,$A32,资金日记账!$V$4:$V$603,V$4),2))</f>
        <v/>
      </c>
      <c r="W32" s="76" t="str">
        <f ca="1">IF($A32="","",ROUND(SUMIFS(资金日记账!$H$4:$H$603,资金日记账!$E$4:$E$603,$A32,资金日记账!$V$4:$V$603,W$4),2))</f>
        <v/>
      </c>
      <c r="X32" s="76" t="str">
        <f ca="1">IF($A32="","",ROUND(SUMIFS(资金日记账!$H$4:$H$603,资金日记账!$E$4:$E$603,$A32,资金日记账!$V$4:$V$603,X$4),2))</f>
        <v/>
      </c>
      <c r="Y32" s="76" t="str">
        <f ca="1">IF($A32="","",ROUND(SUMIFS(资金日记账!$H$4:$H$603,资金日记账!$E$4:$E$603,$A32,资金日记账!$V$4:$V$603,Y$4),2))</f>
        <v/>
      </c>
      <c r="Z32" s="87" t="str">
        <f ca="1" t="shared" si="1"/>
        <v/>
      </c>
    </row>
    <row r="33" spans="1:26">
      <c r="A33" s="86" t="str">
        <f>IFERROR(INDEX(_自动清单!$AJ$4:$AJ$63,29),"")</f>
        <v/>
      </c>
      <c r="B33" s="76" t="str">
        <f ca="1">IF($A33="","",ROUND(SUMIFS(资金日记账!$H$4:$H$603,资金日记账!$E$4:$E$603,$A33,资金日记账!$V$4:$V$603,B$4),2))</f>
        <v/>
      </c>
      <c r="C33" s="76" t="str">
        <f ca="1">IF($A33="","",ROUND(SUMIFS(资金日记账!$H$4:$H$603,资金日记账!$E$4:$E$603,$A33,资金日记账!$V$4:$V$603,C$4),2))</f>
        <v/>
      </c>
      <c r="D33" s="76" t="str">
        <f ca="1">IF($A33="","",ROUND(SUMIFS(资金日记账!$H$4:$H$603,资金日记账!$E$4:$E$603,$A33,资金日记账!$V$4:$V$603,D$4),2))</f>
        <v/>
      </c>
      <c r="E33" s="76" t="str">
        <f ca="1">IF($A33="","",ROUND(SUMIFS(资金日记账!$H$4:$H$603,资金日记账!$E$4:$E$603,$A33,资金日记账!$V$4:$V$603,E$4),2))</f>
        <v/>
      </c>
      <c r="F33" s="76" t="str">
        <f ca="1">IF($A33="","",ROUND(SUMIFS(资金日记账!$H$4:$H$603,资金日记账!$E$4:$E$603,$A33,资金日记账!$V$4:$V$603,F$4),2))</f>
        <v/>
      </c>
      <c r="G33" s="76" t="str">
        <f ca="1">IF($A33="","",ROUND(SUMIFS(资金日记账!$H$4:$H$603,资金日记账!$E$4:$E$603,$A33,资金日记账!$V$4:$V$603,G$4),2))</f>
        <v/>
      </c>
      <c r="H33" s="76" t="str">
        <f ca="1">IF($A33="","",ROUND(SUMIFS(资金日记账!$H$4:$H$603,资金日记账!$E$4:$E$603,$A33,资金日记账!$V$4:$V$603,H$4),2))</f>
        <v/>
      </c>
      <c r="I33" s="76" t="str">
        <f ca="1">IF($A33="","",ROUND(SUMIFS(资金日记账!$H$4:$H$603,资金日记账!$E$4:$E$603,$A33,资金日记账!$V$4:$V$603,I$4),2))</f>
        <v/>
      </c>
      <c r="J33" s="76" t="str">
        <f ca="1">IF($A33="","",ROUND(SUMIFS(资金日记账!$H$4:$H$603,资金日记账!$E$4:$E$603,$A33,资金日记账!$V$4:$V$603,J$4),2))</f>
        <v/>
      </c>
      <c r="K33" s="76" t="str">
        <f ca="1">IF($A33="","",ROUND(SUMIFS(资金日记账!$H$4:$H$603,资金日记账!$E$4:$E$603,$A33,资金日记账!$V$4:$V$603,K$4),2))</f>
        <v/>
      </c>
      <c r="L33" s="76" t="str">
        <f ca="1">IF($A33="","",ROUND(SUMIFS(资金日记账!$H$4:$H$603,资金日记账!$E$4:$E$603,$A33,资金日记账!$V$4:$V$603,L$4),2))</f>
        <v/>
      </c>
      <c r="M33" s="76" t="str">
        <f ca="1">IF($A33="","",ROUND(SUMIFS(资金日记账!$H$4:$H$603,资金日记账!$E$4:$E$603,$A33,资金日记账!$V$4:$V$603,M$4),2))</f>
        <v/>
      </c>
      <c r="N33" s="76" t="str">
        <f ca="1">IF($A33="","",ROUND(SUMIFS(资金日记账!$H$4:$H$603,资金日记账!$E$4:$E$603,$A33,资金日记账!$V$4:$V$603,N$4),2))</f>
        <v/>
      </c>
      <c r="O33" s="76" t="str">
        <f ca="1">IF($A33="","",ROUND(SUMIFS(资金日记账!$H$4:$H$603,资金日记账!$E$4:$E$603,$A33,资金日记账!$V$4:$V$603,O$4),2))</f>
        <v/>
      </c>
      <c r="P33" s="76" t="str">
        <f ca="1">IF($A33="","",ROUND(SUMIFS(资金日记账!$H$4:$H$603,资金日记账!$E$4:$E$603,$A33,资金日记账!$V$4:$V$603,P$4),2))</f>
        <v/>
      </c>
      <c r="Q33" s="76" t="str">
        <f ca="1">IF($A33="","",ROUND(SUMIFS(资金日记账!$H$4:$H$603,资金日记账!$E$4:$E$603,$A33,资金日记账!$V$4:$V$603,Q$4),2))</f>
        <v/>
      </c>
      <c r="R33" s="76" t="str">
        <f ca="1">IF($A33="","",ROUND(SUMIFS(资金日记账!$H$4:$H$603,资金日记账!$E$4:$E$603,$A33,资金日记账!$V$4:$V$603,R$4),2))</f>
        <v/>
      </c>
      <c r="S33" s="76" t="str">
        <f ca="1">IF($A33="","",ROUND(SUMIFS(资金日记账!$H$4:$H$603,资金日记账!$E$4:$E$603,$A33,资金日记账!$V$4:$V$603,S$4),2))</f>
        <v/>
      </c>
      <c r="T33" s="76" t="str">
        <f ca="1">IF($A33="","",ROUND(SUMIFS(资金日记账!$H$4:$H$603,资金日记账!$E$4:$E$603,$A33,资金日记账!$V$4:$V$603,T$4),2))</f>
        <v/>
      </c>
      <c r="U33" s="76" t="str">
        <f ca="1">IF($A33="","",ROUND(SUMIFS(资金日记账!$H$4:$H$603,资金日记账!$E$4:$E$603,$A33,资金日记账!$V$4:$V$603,U$4),2))</f>
        <v/>
      </c>
      <c r="V33" s="76" t="str">
        <f ca="1">IF($A33="","",ROUND(SUMIFS(资金日记账!$H$4:$H$603,资金日记账!$E$4:$E$603,$A33,资金日记账!$V$4:$V$603,V$4),2))</f>
        <v/>
      </c>
      <c r="W33" s="76" t="str">
        <f ca="1">IF($A33="","",ROUND(SUMIFS(资金日记账!$H$4:$H$603,资金日记账!$E$4:$E$603,$A33,资金日记账!$V$4:$V$603,W$4),2))</f>
        <v/>
      </c>
      <c r="X33" s="76" t="str">
        <f ca="1">IF($A33="","",ROUND(SUMIFS(资金日记账!$H$4:$H$603,资金日记账!$E$4:$E$603,$A33,资金日记账!$V$4:$V$603,X$4),2))</f>
        <v/>
      </c>
      <c r="Y33" s="76" t="str">
        <f ca="1">IF($A33="","",ROUND(SUMIFS(资金日记账!$H$4:$H$603,资金日记账!$E$4:$E$603,$A33,资金日记账!$V$4:$V$603,Y$4),2))</f>
        <v/>
      </c>
      <c r="Z33" s="87" t="str">
        <f ca="1" t="shared" si="1"/>
        <v/>
      </c>
    </row>
    <row r="34" spans="1:26">
      <c r="A34" s="86" t="str">
        <f>IFERROR(INDEX(_自动清单!$AJ$4:$AJ$63,30),"")</f>
        <v/>
      </c>
      <c r="B34" s="76" t="str">
        <f ca="1">IF($A34="","",ROUND(SUMIFS(资金日记账!$H$4:$H$603,资金日记账!$E$4:$E$603,$A34,资金日记账!$V$4:$V$603,B$4),2))</f>
        <v/>
      </c>
      <c r="C34" s="76" t="str">
        <f ca="1">IF($A34="","",ROUND(SUMIFS(资金日记账!$H$4:$H$603,资金日记账!$E$4:$E$603,$A34,资金日记账!$V$4:$V$603,C$4),2))</f>
        <v/>
      </c>
      <c r="D34" s="76" t="str">
        <f ca="1">IF($A34="","",ROUND(SUMIFS(资金日记账!$H$4:$H$603,资金日记账!$E$4:$E$603,$A34,资金日记账!$V$4:$V$603,D$4),2))</f>
        <v/>
      </c>
      <c r="E34" s="76" t="str">
        <f ca="1">IF($A34="","",ROUND(SUMIFS(资金日记账!$H$4:$H$603,资金日记账!$E$4:$E$603,$A34,资金日记账!$V$4:$V$603,E$4),2))</f>
        <v/>
      </c>
      <c r="F34" s="76" t="str">
        <f ca="1">IF($A34="","",ROUND(SUMIFS(资金日记账!$H$4:$H$603,资金日记账!$E$4:$E$603,$A34,资金日记账!$V$4:$V$603,F$4),2))</f>
        <v/>
      </c>
      <c r="G34" s="76" t="str">
        <f ca="1">IF($A34="","",ROUND(SUMIFS(资金日记账!$H$4:$H$603,资金日记账!$E$4:$E$603,$A34,资金日记账!$V$4:$V$603,G$4),2))</f>
        <v/>
      </c>
      <c r="H34" s="76" t="str">
        <f ca="1">IF($A34="","",ROUND(SUMIFS(资金日记账!$H$4:$H$603,资金日记账!$E$4:$E$603,$A34,资金日记账!$V$4:$V$603,H$4),2))</f>
        <v/>
      </c>
      <c r="I34" s="76" t="str">
        <f ca="1">IF($A34="","",ROUND(SUMIFS(资金日记账!$H$4:$H$603,资金日记账!$E$4:$E$603,$A34,资金日记账!$V$4:$V$603,I$4),2))</f>
        <v/>
      </c>
      <c r="J34" s="76" t="str">
        <f ca="1">IF($A34="","",ROUND(SUMIFS(资金日记账!$H$4:$H$603,资金日记账!$E$4:$E$603,$A34,资金日记账!$V$4:$V$603,J$4),2))</f>
        <v/>
      </c>
      <c r="K34" s="76" t="str">
        <f ca="1">IF($A34="","",ROUND(SUMIFS(资金日记账!$H$4:$H$603,资金日记账!$E$4:$E$603,$A34,资金日记账!$V$4:$V$603,K$4),2))</f>
        <v/>
      </c>
      <c r="L34" s="76" t="str">
        <f ca="1">IF($A34="","",ROUND(SUMIFS(资金日记账!$H$4:$H$603,资金日记账!$E$4:$E$603,$A34,资金日记账!$V$4:$V$603,L$4),2))</f>
        <v/>
      </c>
      <c r="M34" s="76" t="str">
        <f ca="1">IF($A34="","",ROUND(SUMIFS(资金日记账!$H$4:$H$603,资金日记账!$E$4:$E$603,$A34,资金日记账!$V$4:$V$603,M$4),2))</f>
        <v/>
      </c>
      <c r="N34" s="76" t="str">
        <f ca="1">IF($A34="","",ROUND(SUMIFS(资金日记账!$H$4:$H$603,资金日记账!$E$4:$E$603,$A34,资金日记账!$V$4:$V$603,N$4),2))</f>
        <v/>
      </c>
      <c r="O34" s="76" t="str">
        <f ca="1">IF($A34="","",ROUND(SUMIFS(资金日记账!$H$4:$H$603,资金日记账!$E$4:$E$603,$A34,资金日记账!$V$4:$V$603,O$4),2))</f>
        <v/>
      </c>
      <c r="P34" s="76" t="str">
        <f ca="1">IF($A34="","",ROUND(SUMIFS(资金日记账!$H$4:$H$603,资金日记账!$E$4:$E$603,$A34,资金日记账!$V$4:$V$603,P$4),2))</f>
        <v/>
      </c>
      <c r="Q34" s="76" t="str">
        <f ca="1">IF($A34="","",ROUND(SUMIFS(资金日记账!$H$4:$H$603,资金日记账!$E$4:$E$603,$A34,资金日记账!$V$4:$V$603,Q$4),2))</f>
        <v/>
      </c>
      <c r="R34" s="76" t="str">
        <f ca="1">IF($A34="","",ROUND(SUMIFS(资金日记账!$H$4:$H$603,资金日记账!$E$4:$E$603,$A34,资金日记账!$V$4:$V$603,R$4),2))</f>
        <v/>
      </c>
      <c r="S34" s="76" t="str">
        <f ca="1">IF($A34="","",ROUND(SUMIFS(资金日记账!$H$4:$H$603,资金日记账!$E$4:$E$603,$A34,资金日记账!$V$4:$V$603,S$4),2))</f>
        <v/>
      </c>
      <c r="T34" s="76" t="str">
        <f ca="1">IF($A34="","",ROUND(SUMIFS(资金日记账!$H$4:$H$603,资金日记账!$E$4:$E$603,$A34,资金日记账!$V$4:$V$603,T$4),2))</f>
        <v/>
      </c>
      <c r="U34" s="76" t="str">
        <f ca="1">IF($A34="","",ROUND(SUMIFS(资金日记账!$H$4:$H$603,资金日记账!$E$4:$E$603,$A34,资金日记账!$V$4:$V$603,U$4),2))</f>
        <v/>
      </c>
      <c r="V34" s="76" t="str">
        <f ca="1">IF($A34="","",ROUND(SUMIFS(资金日记账!$H$4:$H$603,资金日记账!$E$4:$E$603,$A34,资金日记账!$V$4:$V$603,V$4),2))</f>
        <v/>
      </c>
      <c r="W34" s="76" t="str">
        <f ca="1">IF($A34="","",ROUND(SUMIFS(资金日记账!$H$4:$H$603,资金日记账!$E$4:$E$603,$A34,资金日记账!$V$4:$V$603,W$4),2))</f>
        <v/>
      </c>
      <c r="X34" s="76" t="str">
        <f ca="1">IF($A34="","",ROUND(SUMIFS(资金日记账!$H$4:$H$603,资金日记账!$E$4:$E$603,$A34,资金日记账!$V$4:$V$603,X$4),2))</f>
        <v/>
      </c>
      <c r="Y34" s="76" t="str">
        <f ca="1">IF($A34="","",ROUND(SUMIFS(资金日记账!$H$4:$H$603,资金日记账!$E$4:$E$603,$A34,资金日记账!$V$4:$V$603,Y$4),2))</f>
        <v/>
      </c>
      <c r="Z34" s="87" t="str">
        <f ca="1" t="shared" si="1"/>
        <v/>
      </c>
    </row>
    <row r="35" spans="1:26">
      <c r="A35" s="86" t="str">
        <f>IFERROR(INDEX(_自动清单!$AJ$4:$AJ$63,31),"")</f>
        <v/>
      </c>
      <c r="B35" s="76" t="str">
        <f ca="1">IF($A35="","",ROUND(SUMIFS(资金日记账!$H$4:$H$603,资金日记账!$E$4:$E$603,$A35,资金日记账!$V$4:$V$603,B$4),2))</f>
        <v/>
      </c>
      <c r="C35" s="76" t="str">
        <f ca="1">IF($A35="","",ROUND(SUMIFS(资金日记账!$H$4:$H$603,资金日记账!$E$4:$E$603,$A35,资金日记账!$V$4:$V$603,C$4),2))</f>
        <v/>
      </c>
      <c r="D35" s="76" t="str">
        <f ca="1">IF($A35="","",ROUND(SUMIFS(资金日记账!$H$4:$H$603,资金日记账!$E$4:$E$603,$A35,资金日记账!$V$4:$V$603,D$4),2))</f>
        <v/>
      </c>
      <c r="E35" s="76" t="str">
        <f ca="1">IF($A35="","",ROUND(SUMIFS(资金日记账!$H$4:$H$603,资金日记账!$E$4:$E$603,$A35,资金日记账!$V$4:$V$603,E$4),2))</f>
        <v/>
      </c>
      <c r="F35" s="76" t="str">
        <f ca="1">IF($A35="","",ROUND(SUMIFS(资金日记账!$H$4:$H$603,资金日记账!$E$4:$E$603,$A35,资金日记账!$V$4:$V$603,F$4),2))</f>
        <v/>
      </c>
      <c r="G35" s="76" t="str">
        <f ca="1">IF($A35="","",ROUND(SUMIFS(资金日记账!$H$4:$H$603,资金日记账!$E$4:$E$603,$A35,资金日记账!$V$4:$V$603,G$4),2))</f>
        <v/>
      </c>
      <c r="H35" s="76" t="str">
        <f ca="1">IF($A35="","",ROUND(SUMIFS(资金日记账!$H$4:$H$603,资金日记账!$E$4:$E$603,$A35,资金日记账!$V$4:$V$603,H$4),2))</f>
        <v/>
      </c>
      <c r="I35" s="76" t="str">
        <f ca="1">IF($A35="","",ROUND(SUMIFS(资金日记账!$H$4:$H$603,资金日记账!$E$4:$E$603,$A35,资金日记账!$V$4:$V$603,I$4),2))</f>
        <v/>
      </c>
      <c r="J35" s="76" t="str">
        <f ca="1">IF($A35="","",ROUND(SUMIFS(资金日记账!$H$4:$H$603,资金日记账!$E$4:$E$603,$A35,资金日记账!$V$4:$V$603,J$4),2))</f>
        <v/>
      </c>
      <c r="K35" s="76" t="str">
        <f ca="1">IF($A35="","",ROUND(SUMIFS(资金日记账!$H$4:$H$603,资金日记账!$E$4:$E$603,$A35,资金日记账!$V$4:$V$603,K$4),2))</f>
        <v/>
      </c>
      <c r="L35" s="76" t="str">
        <f ca="1">IF($A35="","",ROUND(SUMIFS(资金日记账!$H$4:$H$603,资金日记账!$E$4:$E$603,$A35,资金日记账!$V$4:$V$603,L$4),2))</f>
        <v/>
      </c>
      <c r="M35" s="76" t="str">
        <f ca="1">IF($A35="","",ROUND(SUMIFS(资金日记账!$H$4:$H$603,资金日记账!$E$4:$E$603,$A35,资金日记账!$V$4:$V$603,M$4),2))</f>
        <v/>
      </c>
      <c r="N35" s="76" t="str">
        <f ca="1">IF($A35="","",ROUND(SUMIFS(资金日记账!$H$4:$H$603,资金日记账!$E$4:$E$603,$A35,资金日记账!$V$4:$V$603,N$4),2))</f>
        <v/>
      </c>
      <c r="O35" s="76" t="str">
        <f ca="1">IF($A35="","",ROUND(SUMIFS(资金日记账!$H$4:$H$603,资金日记账!$E$4:$E$603,$A35,资金日记账!$V$4:$V$603,O$4),2))</f>
        <v/>
      </c>
      <c r="P35" s="76" t="str">
        <f ca="1">IF($A35="","",ROUND(SUMIFS(资金日记账!$H$4:$H$603,资金日记账!$E$4:$E$603,$A35,资金日记账!$V$4:$V$603,P$4),2))</f>
        <v/>
      </c>
      <c r="Q35" s="76" t="str">
        <f ca="1">IF($A35="","",ROUND(SUMIFS(资金日记账!$H$4:$H$603,资金日记账!$E$4:$E$603,$A35,资金日记账!$V$4:$V$603,Q$4),2))</f>
        <v/>
      </c>
      <c r="R35" s="76" t="str">
        <f ca="1">IF($A35="","",ROUND(SUMIFS(资金日记账!$H$4:$H$603,资金日记账!$E$4:$E$603,$A35,资金日记账!$V$4:$V$603,R$4),2))</f>
        <v/>
      </c>
      <c r="S35" s="76" t="str">
        <f ca="1">IF($A35="","",ROUND(SUMIFS(资金日记账!$H$4:$H$603,资金日记账!$E$4:$E$603,$A35,资金日记账!$V$4:$V$603,S$4),2))</f>
        <v/>
      </c>
      <c r="T35" s="76" t="str">
        <f ca="1">IF($A35="","",ROUND(SUMIFS(资金日记账!$H$4:$H$603,资金日记账!$E$4:$E$603,$A35,资金日记账!$V$4:$V$603,T$4),2))</f>
        <v/>
      </c>
      <c r="U35" s="76" t="str">
        <f ca="1">IF($A35="","",ROUND(SUMIFS(资金日记账!$H$4:$H$603,资金日记账!$E$4:$E$603,$A35,资金日记账!$V$4:$V$603,U$4),2))</f>
        <v/>
      </c>
      <c r="V35" s="76" t="str">
        <f ca="1">IF($A35="","",ROUND(SUMIFS(资金日记账!$H$4:$H$603,资金日记账!$E$4:$E$603,$A35,资金日记账!$V$4:$V$603,V$4),2))</f>
        <v/>
      </c>
      <c r="W35" s="76" t="str">
        <f ca="1">IF($A35="","",ROUND(SUMIFS(资金日记账!$H$4:$H$603,资金日记账!$E$4:$E$603,$A35,资金日记账!$V$4:$V$603,W$4),2))</f>
        <v/>
      </c>
      <c r="X35" s="76" t="str">
        <f ca="1">IF($A35="","",ROUND(SUMIFS(资金日记账!$H$4:$H$603,资金日记账!$E$4:$E$603,$A35,资金日记账!$V$4:$V$603,X$4),2))</f>
        <v/>
      </c>
      <c r="Y35" s="76" t="str">
        <f ca="1">IF($A35="","",ROUND(SUMIFS(资金日记账!$H$4:$H$603,资金日记账!$E$4:$E$603,$A35,资金日记账!$V$4:$V$603,Y$4),2))</f>
        <v/>
      </c>
      <c r="Z35" s="87" t="str">
        <f ca="1" t="shared" si="1"/>
        <v/>
      </c>
    </row>
    <row r="36" spans="1:26">
      <c r="A36" s="86" t="str">
        <f>IFERROR(INDEX(_自动清单!$AJ$4:$AJ$63,32),"")</f>
        <v/>
      </c>
      <c r="B36" s="76" t="str">
        <f ca="1">IF($A36="","",ROUND(SUMIFS(资金日记账!$H$4:$H$603,资金日记账!$E$4:$E$603,$A36,资金日记账!$V$4:$V$603,B$4),2))</f>
        <v/>
      </c>
      <c r="C36" s="76" t="str">
        <f ca="1">IF($A36="","",ROUND(SUMIFS(资金日记账!$H$4:$H$603,资金日记账!$E$4:$E$603,$A36,资金日记账!$V$4:$V$603,C$4),2))</f>
        <v/>
      </c>
      <c r="D36" s="76" t="str">
        <f ca="1">IF($A36="","",ROUND(SUMIFS(资金日记账!$H$4:$H$603,资金日记账!$E$4:$E$603,$A36,资金日记账!$V$4:$V$603,D$4),2))</f>
        <v/>
      </c>
      <c r="E36" s="76" t="str">
        <f ca="1">IF($A36="","",ROUND(SUMIFS(资金日记账!$H$4:$H$603,资金日记账!$E$4:$E$603,$A36,资金日记账!$V$4:$V$603,E$4),2))</f>
        <v/>
      </c>
      <c r="F36" s="76" t="str">
        <f ca="1">IF($A36="","",ROUND(SUMIFS(资金日记账!$H$4:$H$603,资金日记账!$E$4:$E$603,$A36,资金日记账!$V$4:$V$603,F$4),2))</f>
        <v/>
      </c>
      <c r="G36" s="76" t="str">
        <f ca="1">IF($A36="","",ROUND(SUMIFS(资金日记账!$H$4:$H$603,资金日记账!$E$4:$E$603,$A36,资金日记账!$V$4:$V$603,G$4),2))</f>
        <v/>
      </c>
      <c r="H36" s="76" t="str">
        <f ca="1">IF($A36="","",ROUND(SUMIFS(资金日记账!$H$4:$H$603,资金日记账!$E$4:$E$603,$A36,资金日记账!$V$4:$V$603,H$4),2))</f>
        <v/>
      </c>
      <c r="I36" s="76" t="str">
        <f ca="1">IF($A36="","",ROUND(SUMIFS(资金日记账!$H$4:$H$603,资金日记账!$E$4:$E$603,$A36,资金日记账!$V$4:$V$603,I$4),2))</f>
        <v/>
      </c>
      <c r="J36" s="76" t="str">
        <f ca="1">IF($A36="","",ROUND(SUMIFS(资金日记账!$H$4:$H$603,资金日记账!$E$4:$E$603,$A36,资金日记账!$V$4:$V$603,J$4),2))</f>
        <v/>
      </c>
      <c r="K36" s="76" t="str">
        <f ca="1">IF($A36="","",ROUND(SUMIFS(资金日记账!$H$4:$H$603,资金日记账!$E$4:$E$603,$A36,资金日记账!$V$4:$V$603,K$4),2))</f>
        <v/>
      </c>
      <c r="L36" s="76" t="str">
        <f ca="1">IF($A36="","",ROUND(SUMIFS(资金日记账!$H$4:$H$603,资金日记账!$E$4:$E$603,$A36,资金日记账!$V$4:$V$603,L$4),2))</f>
        <v/>
      </c>
      <c r="M36" s="76" t="str">
        <f ca="1">IF($A36="","",ROUND(SUMIFS(资金日记账!$H$4:$H$603,资金日记账!$E$4:$E$603,$A36,资金日记账!$V$4:$V$603,M$4),2))</f>
        <v/>
      </c>
      <c r="N36" s="76" t="str">
        <f ca="1">IF($A36="","",ROUND(SUMIFS(资金日记账!$H$4:$H$603,资金日记账!$E$4:$E$603,$A36,资金日记账!$V$4:$V$603,N$4),2))</f>
        <v/>
      </c>
      <c r="O36" s="76" t="str">
        <f ca="1">IF($A36="","",ROUND(SUMIFS(资金日记账!$H$4:$H$603,资金日记账!$E$4:$E$603,$A36,资金日记账!$V$4:$V$603,O$4),2))</f>
        <v/>
      </c>
      <c r="P36" s="76" t="str">
        <f ca="1">IF($A36="","",ROUND(SUMIFS(资金日记账!$H$4:$H$603,资金日记账!$E$4:$E$603,$A36,资金日记账!$V$4:$V$603,P$4),2))</f>
        <v/>
      </c>
      <c r="Q36" s="76" t="str">
        <f ca="1">IF($A36="","",ROUND(SUMIFS(资金日记账!$H$4:$H$603,资金日记账!$E$4:$E$603,$A36,资金日记账!$V$4:$V$603,Q$4),2))</f>
        <v/>
      </c>
      <c r="R36" s="76" t="str">
        <f ca="1">IF($A36="","",ROUND(SUMIFS(资金日记账!$H$4:$H$603,资金日记账!$E$4:$E$603,$A36,资金日记账!$V$4:$V$603,R$4),2))</f>
        <v/>
      </c>
      <c r="S36" s="76" t="str">
        <f ca="1">IF($A36="","",ROUND(SUMIFS(资金日记账!$H$4:$H$603,资金日记账!$E$4:$E$603,$A36,资金日记账!$V$4:$V$603,S$4),2))</f>
        <v/>
      </c>
      <c r="T36" s="76" t="str">
        <f ca="1">IF($A36="","",ROUND(SUMIFS(资金日记账!$H$4:$H$603,资金日记账!$E$4:$E$603,$A36,资金日记账!$V$4:$V$603,T$4),2))</f>
        <v/>
      </c>
      <c r="U36" s="76" t="str">
        <f ca="1">IF($A36="","",ROUND(SUMIFS(资金日记账!$H$4:$H$603,资金日记账!$E$4:$E$603,$A36,资金日记账!$V$4:$V$603,U$4),2))</f>
        <v/>
      </c>
      <c r="V36" s="76" t="str">
        <f ca="1">IF($A36="","",ROUND(SUMIFS(资金日记账!$H$4:$H$603,资金日记账!$E$4:$E$603,$A36,资金日记账!$V$4:$V$603,V$4),2))</f>
        <v/>
      </c>
      <c r="W36" s="76" t="str">
        <f ca="1">IF($A36="","",ROUND(SUMIFS(资金日记账!$H$4:$H$603,资金日记账!$E$4:$E$603,$A36,资金日记账!$V$4:$V$603,W$4),2))</f>
        <v/>
      </c>
      <c r="X36" s="76" t="str">
        <f ca="1">IF($A36="","",ROUND(SUMIFS(资金日记账!$H$4:$H$603,资金日记账!$E$4:$E$603,$A36,资金日记账!$V$4:$V$603,X$4),2))</f>
        <v/>
      </c>
      <c r="Y36" s="76" t="str">
        <f ca="1">IF($A36="","",ROUND(SUMIFS(资金日记账!$H$4:$H$603,资金日记账!$E$4:$E$603,$A36,资金日记账!$V$4:$V$603,Y$4),2))</f>
        <v/>
      </c>
      <c r="Z36" s="87" t="str">
        <f ca="1" t="shared" si="1"/>
        <v/>
      </c>
    </row>
    <row r="37" spans="1:26">
      <c r="A37" s="86" t="str">
        <f>IFERROR(INDEX(_自动清单!$AJ$4:$AJ$63,33),"")</f>
        <v/>
      </c>
      <c r="B37" s="76" t="str">
        <f ca="1">IF($A37="","",ROUND(SUMIFS(资金日记账!$H$4:$H$603,资金日记账!$E$4:$E$603,$A37,资金日记账!$V$4:$V$603,B$4),2))</f>
        <v/>
      </c>
      <c r="C37" s="76" t="str">
        <f ca="1">IF($A37="","",ROUND(SUMIFS(资金日记账!$H$4:$H$603,资金日记账!$E$4:$E$603,$A37,资金日记账!$V$4:$V$603,C$4),2))</f>
        <v/>
      </c>
      <c r="D37" s="76" t="str">
        <f ca="1">IF($A37="","",ROUND(SUMIFS(资金日记账!$H$4:$H$603,资金日记账!$E$4:$E$603,$A37,资金日记账!$V$4:$V$603,D$4),2))</f>
        <v/>
      </c>
      <c r="E37" s="76" t="str">
        <f ca="1">IF($A37="","",ROUND(SUMIFS(资金日记账!$H$4:$H$603,资金日记账!$E$4:$E$603,$A37,资金日记账!$V$4:$V$603,E$4),2))</f>
        <v/>
      </c>
      <c r="F37" s="76" t="str">
        <f ca="1">IF($A37="","",ROUND(SUMIFS(资金日记账!$H$4:$H$603,资金日记账!$E$4:$E$603,$A37,资金日记账!$V$4:$V$603,F$4),2))</f>
        <v/>
      </c>
      <c r="G37" s="76" t="str">
        <f ca="1">IF($A37="","",ROUND(SUMIFS(资金日记账!$H$4:$H$603,资金日记账!$E$4:$E$603,$A37,资金日记账!$V$4:$V$603,G$4),2))</f>
        <v/>
      </c>
      <c r="H37" s="76" t="str">
        <f ca="1">IF($A37="","",ROUND(SUMIFS(资金日记账!$H$4:$H$603,资金日记账!$E$4:$E$603,$A37,资金日记账!$V$4:$V$603,H$4),2))</f>
        <v/>
      </c>
      <c r="I37" s="76" t="str">
        <f ca="1">IF($A37="","",ROUND(SUMIFS(资金日记账!$H$4:$H$603,资金日记账!$E$4:$E$603,$A37,资金日记账!$V$4:$V$603,I$4),2))</f>
        <v/>
      </c>
      <c r="J37" s="76" t="str">
        <f ca="1">IF($A37="","",ROUND(SUMIFS(资金日记账!$H$4:$H$603,资金日记账!$E$4:$E$603,$A37,资金日记账!$V$4:$V$603,J$4),2))</f>
        <v/>
      </c>
      <c r="K37" s="76" t="str">
        <f ca="1">IF($A37="","",ROUND(SUMIFS(资金日记账!$H$4:$H$603,资金日记账!$E$4:$E$603,$A37,资金日记账!$V$4:$V$603,K$4),2))</f>
        <v/>
      </c>
      <c r="L37" s="76" t="str">
        <f ca="1">IF($A37="","",ROUND(SUMIFS(资金日记账!$H$4:$H$603,资金日记账!$E$4:$E$603,$A37,资金日记账!$V$4:$V$603,L$4),2))</f>
        <v/>
      </c>
      <c r="M37" s="76" t="str">
        <f ca="1">IF($A37="","",ROUND(SUMIFS(资金日记账!$H$4:$H$603,资金日记账!$E$4:$E$603,$A37,资金日记账!$V$4:$V$603,M$4),2))</f>
        <v/>
      </c>
      <c r="N37" s="76" t="str">
        <f ca="1">IF($A37="","",ROUND(SUMIFS(资金日记账!$H$4:$H$603,资金日记账!$E$4:$E$603,$A37,资金日记账!$V$4:$V$603,N$4),2))</f>
        <v/>
      </c>
      <c r="O37" s="76" t="str">
        <f ca="1">IF($A37="","",ROUND(SUMIFS(资金日记账!$H$4:$H$603,资金日记账!$E$4:$E$603,$A37,资金日记账!$V$4:$V$603,O$4),2))</f>
        <v/>
      </c>
      <c r="P37" s="76" t="str">
        <f ca="1">IF($A37="","",ROUND(SUMIFS(资金日记账!$H$4:$H$603,资金日记账!$E$4:$E$603,$A37,资金日记账!$V$4:$V$603,P$4),2))</f>
        <v/>
      </c>
      <c r="Q37" s="76" t="str">
        <f ca="1">IF($A37="","",ROUND(SUMIFS(资金日记账!$H$4:$H$603,资金日记账!$E$4:$E$603,$A37,资金日记账!$V$4:$V$603,Q$4),2))</f>
        <v/>
      </c>
      <c r="R37" s="76" t="str">
        <f ca="1">IF($A37="","",ROUND(SUMIFS(资金日记账!$H$4:$H$603,资金日记账!$E$4:$E$603,$A37,资金日记账!$V$4:$V$603,R$4),2))</f>
        <v/>
      </c>
      <c r="S37" s="76" t="str">
        <f ca="1">IF($A37="","",ROUND(SUMIFS(资金日记账!$H$4:$H$603,资金日记账!$E$4:$E$603,$A37,资金日记账!$V$4:$V$603,S$4),2))</f>
        <v/>
      </c>
      <c r="T37" s="76" t="str">
        <f ca="1">IF($A37="","",ROUND(SUMIFS(资金日记账!$H$4:$H$603,资金日记账!$E$4:$E$603,$A37,资金日记账!$V$4:$V$603,T$4),2))</f>
        <v/>
      </c>
      <c r="U37" s="76" t="str">
        <f ca="1">IF($A37="","",ROUND(SUMIFS(资金日记账!$H$4:$H$603,资金日记账!$E$4:$E$603,$A37,资金日记账!$V$4:$V$603,U$4),2))</f>
        <v/>
      </c>
      <c r="V37" s="76" t="str">
        <f ca="1">IF($A37="","",ROUND(SUMIFS(资金日记账!$H$4:$H$603,资金日记账!$E$4:$E$603,$A37,资金日记账!$V$4:$V$603,V$4),2))</f>
        <v/>
      </c>
      <c r="W37" s="76" t="str">
        <f ca="1">IF($A37="","",ROUND(SUMIFS(资金日记账!$H$4:$H$603,资金日记账!$E$4:$E$603,$A37,资金日记账!$V$4:$V$603,W$4),2))</f>
        <v/>
      </c>
      <c r="X37" s="76" t="str">
        <f ca="1">IF($A37="","",ROUND(SUMIFS(资金日记账!$H$4:$H$603,资金日记账!$E$4:$E$603,$A37,资金日记账!$V$4:$V$603,X$4),2))</f>
        <v/>
      </c>
      <c r="Y37" s="76" t="str">
        <f ca="1">IF($A37="","",ROUND(SUMIFS(资金日记账!$H$4:$H$603,资金日记账!$E$4:$E$603,$A37,资金日记账!$V$4:$V$603,Y$4),2))</f>
        <v/>
      </c>
      <c r="Z37" s="87" t="str">
        <f ca="1" t="shared" si="1"/>
        <v/>
      </c>
    </row>
    <row r="38" spans="1:26">
      <c r="A38" s="86" t="str">
        <f>IFERROR(INDEX(_自动清单!$AJ$4:$AJ$63,34),"")</f>
        <v/>
      </c>
      <c r="B38" s="76" t="str">
        <f ca="1">IF($A38="","",ROUND(SUMIFS(资金日记账!$H$4:$H$603,资金日记账!$E$4:$E$603,$A38,资金日记账!$V$4:$V$603,B$4),2))</f>
        <v/>
      </c>
      <c r="C38" s="76" t="str">
        <f ca="1">IF($A38="","",ROUND(SUMIFS(资金日记账!$H$4:$H$603,资金日记账!$E$4:$E$603,$A38,资金日记账!$V$4:$V$603,C$4),2))</f>
        <v/>
      </c>
      <c r="D38" s="76" t="str">
        <f ca="1">IF($A38="","",ROUND(SUMIFS(资金日记账!$H$4:$H$603,资金日记账!$E$4:$E$603,$A38,资金日记账!$V$4:$V$603,D$4),2))</f>
        <v/>
      </c>
      <c r="E38" s="76" t="str">
        <f ca="1">IF($A38="","",ROUND(SUMIFS(资金日记账!$H$4:$H$603,资金日记账!$E$4:$E$603,$A38,资金日记账!$V$4:$V$603,E$4),2))</f>
        <v/>
      </c>
      <c r="F38" s="76" t="str">
        <f ca="1">IF($A38="","",ROUND(SUMIFS(资金日记账!$H$4:$H$603,资金日记账!$E$4:$E$603,$A38,资金日记账!$V$4:$V$603,F$4),2))</f>
        <v/>
      </c>
      <c r="G38" s="76" t="str">
        <f ca="1">IF($A38="","",ROUND(SUMIFS(资金日记账!$H$4:$H$603,资金日记账!$E$4:$E$603,$A38,资金日记账!$V$4:$V$603,G$4),2))</f>
        <v/>
      </c>
      <c r="H38" s="76" t="str">
        <f ca="1">IF($A38="","",ROUND(SUMIFS(资金日记账!$H$4:$H$603,资金日记账!$E$4:$E$603,$A38,资金日记账!$V$4:$V$603,H$4),2))</f>
        <v/>
      </c>
      <c r="I38" s="76" t="str">
        <f ca="1">IF($A38="","",ROUND(SUMIFS(资金日记账!$H$4:$H$603,资金日记账!$E$4:$E$603,$A38,资金日记账!$V$4:$V$603,I$4),2))</f>
        <v/>
      </c>
      <c r="J38" s="76" t="str">
        <f ca="1">IF($A38="","",ROUND(SUMIFS(资金日记账!$H$4:$H$603,资金日记账!$E$4:$E$603,$A38,资金日记账!$V$4:$V$603,J$4),2))</f>
        <v/>
      </c>
      <c r="K38" s="76" t="str">
        <f ca="1">IF($A38="","",ROUND(SUMIFS(资金日记账!$H$4:$H$603,资金日记账!$E$4:$E$603,$A38,资金日记账!$V$4:$V$603,K$4),2))</f>
        <v/>
      </c>
      <c r="L38" s="76" t="str">
        <f ca="1">IF($A38="","",ROUND(SUMIFS(资金日记账!$H$4:$H$603,资金日记账!$E$4:$E$603,$A38,资金日记账!$V$4:$V$603,L$4),2))</f>
        <v/>
      </c>
      <c r="M38" s="76" t="str">
        <f ca="1">IF($A38="","",ROUND(SUMIFS(资金日记账!$H$4:$H$603,资金日记账!$E$4:$E$603,$A38,资金日记账!$V$4:$V$603,M$4),2))</f>
        <v/>
      </c>
      <c r="N38" s="76" t="str">
        <f ca="1">IF($A38="","",ROUND(SUMIFS(资金日记账!$H$4:$H$603,资金日记账!$E$4:$E$603,$A38,资金日记账!$V$4:$V$603,N$4),2))</f>
        <v/>
      </c>
      <c r="O38" s="76" t="str">
        <f ca="1">IF($A38="","",ROUND(SUMIFS(资金日记账!$H$4:$H$603,资金日记账!$E$4:$E$603,$A38,资金日记账!$V$4:$V$603,O$4),2))</f>
        <v/>
      </c>
      <c r="P38" s="76" t="str">
        <f ca="1">IF($A38="","",ROUND(SUMIFS(资金日记账!$H$4:$H$603,资金日记账!$E$4:$E$603,$A38,资金日记账!$V$4:$V$603,P$4),2))</f>
        <v/>
      </c>
      <c r="Q38" s="76" t="str">
        <f ca="1">IF($A38="","",ROUND(SUMIFS(资金日记账!$H$4:$H$603,资金日记账!$E$4:$E$603,$A38,资金日记账!$V$4:$V$603,Q$4),2))</f>
        <v/>
      </c>
      <c r="R38" s="76" t="str">
        <f ca="1">IF($A38="","",ROUND(SUMIFS(资金日记账!$H$4:$H$603,资金日记账!$E$4:$E$603,$A38,资金日记账!$V$4:$V$603,R$4),2))</f>
        <v/>
      </c>
      <c r="S38" s="76" t="str">
        <f ca="1">IF($A38="","",ROUND(SUMIFS(资金日记账!$H$4:$H$603,资金日记账!$E$4:$E$603,$A38,资金日记账!$V$4:$V$603,S$4),2))</f>
        <v/>
      </c>
      <c r="T38" s="76" t="str">
        <f ca="1">IF($A38="","",ROUND(SUMIFS(资金日记账!$H$4:$H$603,资金日记账!$E$4:$E$603,$A38,资金日记账!$V$4:$V$603,T$4),2))</f>
        <v/>
      </c>
      <c r="U38" s="76" t="str">
        <f ca="1">IF($A38="","",ROUND(SUMIFS(资金日记账!$H$4:$H$603,资金日记账!$E$4:$E$603,$A38,资金日记账!$V$4:$V$603,U$4),2))</f>
        <v/>
      </c>
      <c r="V38" s="76" t="str">
        <f ca="1">IF($A38="","",ROUND(SUMIFS(资金日记账!$H$4:$H$603,资金日记账!$E$4:$E$603,$A38,资金日记账!$V$4:$V$603,V$4),2))</f>
        <v/>
      </c>
      <c r="W38" s="76" t="str">
        <f ca="1">IF($A38="","",ROUND(SUMIFS(资金日记账!$H$4:$H$603,资金日记账!$E$4:$E$603,$A38,资金日记账!$V$4:$V$603,W$4),2))</f>
        <v/>
      </c>
      <c r="X38" s="76" t="str">
        <f ca="1">IF($A38="","",ROUND(SUMIFS(资金日记账!$H$4:$H$603,资金日记账!$E$4:$E$603,$A38,资金日记账!$V$4:$V$603,X$4),2))</f>
        <v/>
      </c>
      <c r="Y38" s="76" t="str">
        <f ca="1">IF($A38="","",ROUND(SUMIFS(资金日记账!$H$4:$H$603,资金日记账!$E$4:$E$603,$A38,资金日记账!$V$4:$V$603,Y$4),2))</f>
        <v/>
      </c>
      <c r="Z38" s="87" t="str">
        <f ca="1" t="shared" si="1"/>
        <v/>
      </c>
    </row>
    <row r="39" spans="1:26">
      <c r="A39" s="86" t="str">
        <f>IFERROR(INDEX(_自动清单!$AJ$4:$AJ$63,35),"")</f>
        <v/>
      </c>
      <c r="B39" s="76" t="str">
        <f ca="1">IF($A39="","",ROUND(SUMIFS(资金日记账!$H$4:$H$603,资金日记账!$E$4:$E$603,$A39,资金日记账!$V$4:$V$603,B$4),2))</f>
        <v/>
      </c>
      <c r="C39" s="76" t="str">
        <f ca="1">IF($A39="","",ROUND(SUMIFS(资金日记账!$H$4:$H$603,资金日记账!$E$4:$E$603,$A39,资金日记账!$V$4:$V$603,C$4),2))</f>
        <v/>
      </c>
      <c r="D39" s="76" t="str">
        <f ca="1">IF($A39="","",ROUND(SUMIFS(资金日记账!$H$4:$H$603,资金日记账!$E$4:$E$603,$A39,资金日记账!$V$4:$V$603,D$4),2))</f>
        <v/>
      </c>
      <c r="E39" s="76" t="str">
        <f ca="1">IF($A39="","",ROUND(SUMIFS(资金日记账!$H$4:$H$603,资金日记账!$E$4:$E$603,$A39,资金日记账!$V$4:$V$603,E$4),2))</f>
        <v/>
      </c>
      <c r="F39" s="76" t="str">
        <f ca="1">IF($A39="","",ROUND(SUMIFS(资金日记账!$H$4:$H$603,资金日记账!$E$4:$E$603,$A39,资金日记账!$V$4:$V$603,F$4),2))</f>
        <v/>
      </c>
      <c r="G39" s="76" t="str">
        <f ca="1">IF($A39="","",ROUND(SUMIFS(资金日记账!$H$4:$H$603,资金日记账!$E$4:$E$603,$A39,资金日记账!$V$4:$V$603,G$4),2))</f>
        <v/>
      </c>
      <c r="H39" s="76" t="str">
        <f ca="1">IF($A39="","",ROUND(SUMIFS(资金日记账!$H$4:$H$603,资金日记账!$E$4:$E$603,$A39,资金日记账!$V$4:$V$603,H$4),2))</f>
        <v/>
      </c>
      <c r="I39" s="76" t="str">
        <f ca="1">IF($A39="","",ROUND(SUMIFS(资金日记账!$H$4:$H$603,资金日记账!$E$4:$E$603,$A39,资金日记账!$V$4:$V$603,I$4),2))</f>
        <v/>
      </c>
      <c r="J39" s="76" t="str">
        <f ca="1">IF($A39="","",ROUND(SUMIFS(资金日记账!$H$4:$H$603,资金日记账!$E$4:$E$603,$A39,资金日记账!$V$4:$V$603,J$4),2))</f>
        <v/>
      </c>
      <c r="K39" s="76" t="str">
        <f ca="1">IF($A39="","",ROUND(SUMIFS(资金日记账!$H$4:$H$603,资金日记账!$E$4:$E$603,$A39,资金日记账!$V$4:$V$603,K$4),2))</f>
        <v/>
      </c>
      <c r="L39" s="76" t="str">
        <f ca="1">IF($A39="","",ROUND(SUMIFS(资金日记账!$H$4:$H$603,资金日记账!$E$4:$E$603,$A39,资金日记账!$V$4:$V$603,L$4),2))</f>
        <v/>
      </c>
      <c r="M39" s="76" t="str">
        <f ca="1">IF($A39="","",ROUND(SUMIFS(资金日记账!$H$4:$H$603,资金日记账!$E$4:$E$603,$A39,资金日记账!$V$4:$V$603,M$4),2))</f>
        <v/>
      </c>
      <c r="N39" s="76" t="str">
        <f ca="1">IF($A39="","",ROUND(SUMIFS(资金日记账!$H$4:$H$603,资金日记账!$E$4:$E$603,$A39,资金日记账!$V$4:$V$603,N$4),2))</f>
        <v/>
      </c>
      <c r="O39" s="76" t="str">
        <f ca="1">IF($A39="","",ROUND(SUMIFS(资金日记账!$H$4:$H$603,资金日记账!$E$4:$E$603,$A39,资金日记账!$V$4:$V$603,O$4),2))</f>
        <v/>
      </c>
      <c r="P39" s="76" t="str">
        <f ca="1">IF($A39="","",ROUND(SUMIFS(资金日记账!$H$4:$H$603,资金日记账!$E$4:$E$603,$A39,资金日记账!$V$4:$V$603,P$4),2))</f>
        <v/>
      </c>
      <c r="Q39" s="76" t="str">
        <f ca="1">IF($A39="","",ROUND(SUMIFS(资金日记账!$H$4:$H$603,资金日记账!$E$4:$E$603,$A39,资金日记账!$V$4:$V$603,Q$4),2))</f>
        <v/>
      </c>
      <c r="R39" s="76" t="str">
        <f ca="1">IF($A39="","",ROUND(SUMIFS(资金日记账!$H$4:$H$603,资金日记账!$E$4:$E$603,$A39,资金日记账!$V$4:$V$603,R$4),2))</f>
        <v/>
      </c>
      <c r="S39" s="76" t="str">
        <f ca="1">IF($A39="","",ROUND(SUMIFS(资金日记账!$H$4:$H$603,资金日记账!$E$4:$E$603,$A39,资金日记账!$V$4:$V$603,S$4),2))</f>
        <v/>
      </c>
      <c r="T39" s="76" t="str">
        <f ca="1">IF($A39="","",ROUND(SUMIFS(资金日记账!$H$4:$H$603,资金日记账!$E$4:$E$603,$A39,资金日记账!$V$4:$V$603,T$4),2))</f>
        <v/>
      </c>
      <c r="U39" s="76" t="str">
        <f ca="1">IF($A39="","",ROUND(SUMIFS(资金日记账!$H$4:$H$603,资金日记账!$E$4:$E$603,$A39,资金日记账!$V$4:$V$603,U$4),2))</f>
        <v/>
      </c>
      <c r="V39" s="76" t="str">
        <f ca="1">IF($A39="","",ROUND(SUMIFS(资金日记账!$H$4:$H$603,资金日记账!$E$4:$E$603,$A39,资金日记账!$V$4:$V$603,V$4),2))</f>
        <v/>
      </c>
      <c r="W39" s="76" t="str">
        <f ca="1">IF($A39="","",ROUND(SUMIFS(资金日记账!$H$4:$H$603,资金日记账!$E$4:$E$603,$A39,资金日记账!$V$4:$V$603,W$4),2))</f>
        <v/>
      </c>
      <c r="X39" s="76" t="str">
        <f ca="1">IF($A39="","",ROUND(SUMIFS(资金日记账!$H$4:$H$603,资金日记账!$E$4:$E$603,$A39,资金日记账!$V$4:$V$603,X$4),2))</f>
        <v/>
      </c>
      <c r="Y39" s="76" t="str">
        <f ca="1">IF($A39="","",ROUND(SUMIFS(资金日记账!$H$4:$H$603,资金日记账!$E$4:$E$603,$A39,资金日记账!$V$4:$V$603,Y$4),2))</f>
        <v/>
      </c>
      <c r="Z39" s="87" t="str">
        <f ca="1" t="shared" si="1"/>
        <v/>
      </c>
    </row>
    <row r="40" spans="1:26">
      <c r="A40" s="86" t="str">
        <f>IFERROR(INDEX(_自动清单!$AJ$4:$AJ$63,36),"")</f>
        <v/>
      </c>
      <c r="B40" s="76" t="str">
        <f ca="1">IF($A40="","",ROUND(SUMIFS(资金日记账!$H$4:$H$603,资金日记账!$E$4:$E$603,$A40,资金日记账!$V$4:$V$603,B$4),2))</f>
        <v/>
      </c>
      <c r="C40" s="76" t="str">
        <f ca="1">IF($A40="","",ROUND(SUMIFS(资金日记账!$H$4:$H$603,资金日记账!$E$4:$E$603,$A40,资金日记账!$V$4:$V$603,C$4),2))</f>
        <v/>
      </c>
      <c r="D40" s="76" t="str">
        <f ca="1">IF($A40="","",ROUND(SUMIFS(资金日记账!$H$4:$H$603,资金日记账!$E$4:$E$603,$A40,资金日记账!$V$4:$V$603,D$4),2))</f>
        <v/>
      </c>
      <c r="E40" s="76" t="str">
        <f ca="1">IF($A40="","",ROUND(SUMIFS(资金日记账!$H$4:$H$603,资金日记账!$E$4:$E$603,$A40,资金日记账!$V$4:$V$603,E$4),2))</f>
        <v/>
      </c>
      <c r="F40" s="76" t="str">
        <f ca="1">IF($A40="","",ROUND(SUMIFS(资金日记账!$H$4:$H$603,资金日记账!$E$4:$E$603,$A40,资金日记账!$V$4:$V$603,F$4),2))</f>
        <v/>
      </c>
      <c r="G40" s="76" t="str">
        <f ca="1">IF($A40="","",ROUND(SUMIFS(资金日记账!$H$4:$H$603,资金日记账!$E$4:$E$603,$A40,资金日记账!$V$4:$V$603,G$4),2))</f>
        <v/>
      </c>
      <c r="H40" s="76" t="str">
        <f ca="1">IF($A40="","",ROUND(SUMIFS(资金日记账!$H$4:$H$603,资金日记账!$E$4:$E$603,$A40,资金日记账!$V$4:$V$603,H$4),2))</f>
        <v/>
      </c>
      <c r="I40" s="76" t="str">
        <f ca="1">IF($A40="","",ROUND(SUMIFS(资金日记账!$H$4:$H$603,资金日记账!$E$4:$E$603,$A40,资金日记账!$V$4:$V$603,I$4),2))</f>
        <v/>
      </c>
      <c r="J40" s="76" t="str">
        <f ca="1">IF($A40="","",ROUND(SUMIFS(资金日记账!$H$4:$H$603,资金日记账!$E$4:$E$603,$A40,资金日记账!$V$4:$V$603,J$4),2))</f>
        <v/>
      </c>
      <c r="K40" s="76" t="str">
        <f ca="1">IF($A40="","",ROUND(SUMIFS(资金日记账!$H$4:$H$603,资金日记账!$E$4:$E$603,$A40,资金日记账!$V$4:$V$603,K$4),2))</f>
        <v/>
      </c>
      <c r="L40" s="76" t="str">
        <f ca="1">IF($A40="","",ROUND(SUMIFS(资金日记账!$H$4:$H$603,资金日记账!$E$4:$E$603,$A40,资金日记账!$V$4:$V$603,L$4),2))</f>
        <v/>
      </c>
      <c r="M40" s="76" t="str">
        <f ca="1">IF($A40="","",ROUND(SUMIFS(资金日记账!$H$4:$H$603,资金日记账!$E$4:$E$603,$A40,资金日记账!$V$4:$V$603,M$4),2))</f>
        <v/>
      </c>
      <c r="N40" s="76" t="str">
        <f ca="1">IF($A40="","",ROUND(SUMIFS(资金日记账!$H$4:$H$603,资金日记账!$E$4:$E$603,$A40,资金日记账!$V$4:$V$603,N$4),2))</f>
        <v/>
      </c>
      <c r="O40" s="76" t="str">
        <f ca="1">IF($A40="","",ROUND(SUMIFS(资金日记账!$H$4:$H$603,资金日记账!$E$4:$E$603,$A40,资金日记账!$V$4:$V$603,O$4),2))</f>
        <v/>
      </c>
      <c r="P40" s="76" t="str">
        <f ca="1">IF($A40="","",ROUND(SUMIFS(资金日记账!$H$4:$H$603,资金日记账!$E$4:$E$603,$A40,资金日记账!$V$4:$V$603,P$4),2))</f>
        <v/>
      </c>
      <c r="Q40" s="76" t="str">
        <f ca="1">IF($A40="","",ROUND(SUMIFS(资金日记账!$H$4:$H$603,资金日记账!$E$4:$E$603,$A40,资金日记账!$V$4:$V$603,Q$4),2))</f>
        <v/>
      </c>
      <c r="R40" s="76" t="str">
        <f ca="1">IF($A40="","",ROUND(SUMIFS(资金日记账!$H$4:$H$603,资金日记账!$E$4:$E$603,$A40,资金日记账!$V$4:$V$603,R$4),2))</f>
        <v/>
      </c>
      <c r="S40" s="76" t="str">
        <f ca="1">IF($A40="","",ROUND(SUMIFS(资金日记账!$H$4:$H$603,资金日记账!$E$4:$E$603,$A40,资金日记账!$V$4:$V$603,S$4),2))</f>
        <v/>
      </c>
      <c r="T40" s="76" t="str">
        <f ca="1">IF($A40="","",ROUND(SUMIFS(资金日记账!$H$4:$H$603,资金日记账!$E$4:$E$603,$A40,资金日记账!$V$4:$V$603,T$4),2))</f>
        <v/>
      </c>
      <c r="U40" s="76" t="str">
        <f ca="1">IF($A40="","",ROUND(SUMIFS(资金日记账!$H$4:$H$603,资金日记账!$E$4:$E$603,$A40,资金日记账!$V$4:$V$603,U$4),2))</f>
        <v/>
      </c>
      <c r="V40" s="76" t="str">
        <f ca="1">IF($A40="","",ROUND(SUMIFS(资金日记账!$H$4:$H$603,资金日记账!$E$4:$E$603,$A40,资金日记账!$V$4:$V$603,V$4),2))</f>
        <v/>
      </c>
      <c r="W40" s="76" t="str">
        <f ca="1">IF($A40="","",ROUND(SUMIFS(资金日记账!$H$4:$H$603,资金日记账!$E$4:$E$603,$A40,资金日记账!$V$4:$V$603,W$4),2))</f>
        <v/>
      </c>
      <c r="X40" s="76" t="str">
        <f ca="1">IF($A40="","",ROUND(SUMIFS(资金日记账!$H$4:$H$603,资金日记账!$E$4:$E$603,$A40,资金日记账!$V$4:$V$603,X$4),2))</f>
        <v/>
      </c>
      <c r="Y40" s="76" t="str">
        <f ca="1">IF($A40="","",ROUND(SUMIFS(资金日记账!$H$4:$H$603,资金日记账!$E$4:$E$603,$A40,资金日记账!$V$4:$V$603,Y$4),2))</f>
        <v/>
      </c>
      <c r="Z40" s="87" t="str">
        <f ca="1" t="shared" si="1"/>
        <v/>
      </c>
    </row>
    <row r="41" spans="1:26">
      <c r="A41" s="86" t="str">
        <f>IFERROR(INDEX(_自动清单!$AJ$4:$AJ$63,37),"")</f>
        <v/>
      </c>
      <c r="B41" s="76" t="str">
        <f ca="1">IF($A41="","",ROUND(SUMIFS(资金日记账!$H$4:$H$603,资金日记账!$E$4:$E$603,$A41,资金日记账!$V$4:$V$603,B$4),2))</f>
        <v/>
      </c>
      <c r="C41" s="76" t="str">
        <f ca="1">IF($A41="","",ROUND(SUMIFS(资金日记账!$H$4:$H$603,资金日记账!$E$4:$E$603,$A41,资金日记账!$V$4:$V$603,C$4),2))</f>
        <v/>
      </c>
      <c r="D41" s="76" t="str">
        <f ca="1">IF($A41="","",ROUND(SUMIFS(资金日记账!$H$4:$H$603,资金日记账!$E$4:$E$603,$A41,资金日记账!$V$4:$V$603,D$4),2))</f>
        <v/>
      </c>
      <c r="E41" s="76" t="str">
        <f ca="1">IF($A41="","",ROUND(SUMIFS(资金日记账!$H$4:$H$603,资金日记账!$E$4:$E$603,$A41,资金日记账!$V$4:$V$603,E$4),2))</f>
        <v/>
      </c>
      <c r="F41" s="76" t="str">
        <f ca="1">IF($A41="","",ROUND(SUMIFS(资金日记账!$H$4:$H$603,资金日记账!$E$4:$E$603,$A41,资金日记账!$V$4:$V$603,F$4),2))</f>
        <v/>
      </c>
      <c r="G41" s="76" t="str">
        <f ca="1">IF($A41="","",ROUND(SUMIFS(资金日记账!$H$4:$H$603,资金日记账!$E$4:$E$603,$A41,资金日记账!$V$4:$V$603,G$4),2))</f>
        <v/>
      </c>
      <c r="H41" s="76" t="str">
        <f ca="1">IF($A41="","",ROUND(SUMIFS(资金日记账!$H$4:$H$603,资金日记账!$E$4:$E$603,$A41,资金日记账!$V$4:$V$603,H$4),2))</f>
        <v/>
      </c>
      <c r="I41" s="76" t="str">
        <f ca="1">IF($A41="","",ROUND(SUMIFS(资金日记账!$H$4:$H$603,资金日记账!$E$4:$E$603,$A41,资金日记账!$V$4:$V$603,I$4),2))</f>
        <v/>
      </c>
      <c r="J41" s="76" t="str">
        <f ca="1">IF($A41="","",ROUND(SUMIFS(资金日记账!$H$4:$H$603,资金日记账!$E$4:$E$603,$A41,资金日记账!$V$4:$V$603,J$4),2))</f>
        <v/>
      </c>
      <c r="K41" s="76" t="str">
        <f ca="1">IF($A41="","",ROUND(SUMIFS(资金日记账!$H$4:$H$603,资金日记账!$E$4:$E$603,$A41,资金日记账!$V$4:$V$603,K$4),2))</f>
        <v/>
      </c>
      <c r="L41" s="76" t="str">
        <f ca="1">IF($A41="","",ROUND(SUMIFS(资金日记账!$H$4:$H$603,资金日记账!$E$4:$E$603,$A41,资金日记账!$V$4:$V$603,L$4),2))</f>
        <v/>
      </c>
      <c r="M41" s="76" t="str">
        <f ca="1">IF($A41="","",ROUND(SUMIFS(资金日记账!$H$4:$H$603,资金日记账!$E$4:$E$603,$A41,资金日记账!$V$4:$V$603,M$4),2))</f>
        <v/>
      </c>
      <c r="N41" s="76" t="str">
        <f ca="1">IF($A41="","",ROUND(SUMIFS(资金日记账!$H$4:$H$603,资金日记账!$E$4:$E$603,$A41,资金日记账!$V$4:$V$603,N$4),2))</f>
        <v/>
      </c>
      <c r="O41" s="76" t="str">
        <f ca="1">IF($A41="","",ROUND(SUMIFS(资金日记账!$H$4:$H$603,资金日记账!$E$4:$E$603,$A41,资金日记账!$V$4:$V$603,O$4),2))</f>
        <v/>
      </c>
      <c r="P41" s="76" t="str">
        <f ca="1">IF($A41="","",ROUND(SUMIFS(资金日记账!$H$4:$H$603,资金日记账!$E$4:$E$603,$A41,资金日记账!$V$4:$V$603,P$4),2))</f>
        <v/>
      </c>
      <c r="Q41" s="76" t="str">
        <f ca="1">IF($A41="","",ROUND(SUMIFS(资金日记账!$H$4:$H$603,资金日记账!$E$4:$E$603,$A41,资金日记账!$V$4:$V$603,Q$4),2))</f>
        <v/>
      </c>
      <c r="R41" s="76" t="str">
        <f ca="1">IF($A41="","",ROUND(SUMIFS(资金日记账!$H$4:$H$603,资金日记账!$E$4:$E$603,$A41,资金日记账!$V$4:$V$603,R$4),2))</f>
        <v/>
      </c>
      <c r="S41" s="76" t="str">
        <f ca="1">IF($A41="","",ROUND(SUMIFS(资金日记账!$H$4:$H$603,资金日记账!$E$4:$E$603,$A41,资金日记账!$V$4:$V$603,S$4),2))</f>
        <v/>
      </c>
      <c r="T41" s="76" t="str">
        <f ca="1">IF($A41="","",ROUND(SUMIFS(资金日记账!$H$4:$H$603,资金日记账!$E$4:$E$603,$A41,资金日记账!$V$4:$V$603,T$4),2))</f>
        <v/>
      </c>
      <c r="U41" s="76" t="str">
        <f ca="1">IF($A41="","",ROUND(SUMIFS(资金日记账!$H$4:$H$603,资金日记账!$E$4:$E$603,$A41,资金日记账!$V$4:$V$603,U$4),2))</f>
        <v/>
      </c>
      <c r="V41" s="76" t="str">
        <f ca="1">IF($A41="","",ROUND(SUMIFS(资金日记账!$H$4:$H$603,资金日记账!$E$4:$E$603,$A41,资金日记账!$V$4:$V$603,V$4),2))</f>
        <v/>
      </c>
      <c r="W41" s="76" t="str">
        <f ca="1">IF($A41="","",ROUND(SUMIFS(资金日记账!$H$4:$H$603,资金日记账!$E$4:$E$603,$A41,资金日记账!$V$4:$V$603,W$4),2))</f>
        <v/>
      </c>
      <c r="X41" s="76" t="str">
        <f ca="1">IF($A41="","",ROUND(SUMIFS(资金日记账!$H$4:$H$603,资金日记账!$E$4:$E$603,$A41,资金日记账!$V$4:$V$603,X$4),2))</f>
        <v/>
      </c>
      <c r="Y41" s="76" t="str">
        <f ca="1">IF($A41="","",ROUND(SUMIFS(资金日记账!$H$4:$H$603,资金日记账!$E$4:$E$603,$A41,资金日记账!$V$4:$V$603,Y$4),2))</f>
        <v/>
      </c>
      <c r="Z41" s="87" t="str">
        <f ca="1" t="shared" si="1"/>
        <v/>
      </c>
    </row>
    <row r="42" spans="1:26">
      <c r="A42" s="86" t="str">
        <f>IFERROR(INDEX(_自动清单!$AJ$4:$AJ$63,38),"")</f>
        <v/>
      </c>
      <c r="B42" s="76" t="str">
        <f ca="1">IF($A42="","",ROUND(SUMIFS(资金日记账!$H$4:$H$603,资金日记账!$E$4:$E$603,$A42,资金日记账!$V$4:$V$603,B$4),2))</f>
        <v/>
      </c>
      <c r="C42" s="76" t="str">
        <f ca="1">IF($A42="","",ROUND(SUMIFS(资金日记账!$H$4:$H$603,资金日记账!$E$4:$E$603,$A42,资金日记账!$V$4:$V$603,C$4),2))</f>
        <v/>
      </c>
      <c r="D42" s="76" t="str">
        <f ca="1">IF($A42="","",ROUND(SUMIFS(资金日记账!$H$4:$H$603,资金日记账!$E$4:$E$603,$A42,资金日记账!$V$4:$V$603,D$4),2))</f>
        <v/>
      </c>
      <c r="E42" s="76" t="str">
        <f ca="1">IF($A42="","",ROUND(SUMIFS(资金日记账!$H$4:$H$603,资金日记账!$E$4:$E$603,$A42,资金日记账!$V$4:$V$603,E$4),2))</f>
        <v/>
      </c>
      <c r="F42" s="76" t="str">
        <f ca="1">IF($A42="","",ROUND(SUMIFS(资金日记账!$H$4:$H$603,资金日记账!$E$4:$E$603,$A42,资金日记账!$V$4:$V$603,F$4),2))</f>
        <v/>
      </c>
      <c r="G42" s="76" t="str">
        <f ca="1">IF($A42="","",ROUND(SUMIFS(资金日记账!$H$4:$H$603,资金日记账!$E$4:$E$603,$A42,资金日记账!$V$4:$V$603,G$4),2))</f>
        <v/>
      </c>
      <c r="H42" s="76" t="str">
        <f ca="1">IF($A42="","",ROUND(SUMIFS(资金日记账!$H$4:$H$603,资金日记账!$E$4:$E$603,$A42,资金日记账!$V$4:$V$603,H$4),2))</f>
        <v/>
      </c>
      <c r="I42" s="76" t="str">
        <f ca="1">IF($A42="","",ROUND(SUMIFS(资金日记账!$H$4:$H$603,资金日记账!$E$4:$E$603,$A42,资金日记账!$V$4:$V$603,I$4),2))</f>
        <v/>
      </c>
      <c r="J42" s="76" t="str">
        <f ca="1">IF($A42="","",ROUND(SUMIFS(资金日记账!$H$4:$H$603,资金日记账!$E$4:$E$603,$A42,资金日记账!$V$4:$V$603,J$4),2))</f>
        <v/>
      </c>
      <c r="K42" s="76" t="str">
        <f ca="1">IF($A42="","",ROUND(SUMIFS(资金日记账!$H$4:$H$603,资金日记账!$E$4:$E$603,$A42,资金日记账!$V$4:$V$603,K$4),2))</f>
        <v/>
      </c>
      <c r="L42" s="76" t="str">
        <f ca="1">IF($A42="","",ROUND(SUMIFS(资金日记账!$H$4:$H$603,资金日记账!$E$4:$E$603,$A42,资金日记账!$V$4:$V$603,L$4),2))</f>
        <v/>
      </c>
      <c r="M42" s="76" t="str">
        <f ca="1">IF($A42="","",ROUND(SUMIFS(资金日记账!$H$4:$H$603,资金日记账!$E$4:$E$603,$A42,资金日记账!$V$4:$V$603,M$4),2))</f>
        <v/>
      </c>
      <c r="N42" s="76" t="str">
        <f ca="1">IF($A42="","",ROUND(SUMIFS(资金日记账!$H$4:$H$603,资金日记账!$E$4:$E$603,$A42,资金日记账!$V$4:$V$603,N$4),2))</f>
        <v/>
      </c>
      <c r="O42" s="76" t="str">
        <f ca="1">IF($A42="","",ROUND(SUMIFS(资金日记账!$H$4:$H$603,资金日记账!$E$4:$E$603,$A42,资金日记账!$V$4:$V$603,O$4),2))</f>
        <v/>
      </c>
      <c r="P42" s="76" t="str">
        <f ca="1">IF($A42="","",ROUND(SUMIFS(资金日记账!$H$4:$H$603,资金日记账!$E$4:$E$603,$A42,资金日记账!$V$4:$V$603,P$4),2))</f>
        <v/>
      </c>
      <c r="Q42" s="76" t="str">
        <f ca="1">IF($A42="","",ROUND(SUMIFS(资金日记账!$H$4:$H$603,资金日记账!$E$4:$E$603,$A42,资金日记账!$V$4:$V$603,Q$4),2))</f>
        <v/>
      </c>
      <c r="R42" s="76" t="str">
        <f ca="1">IF($A42="","",ROUND(SUMIFS(资金日记账!$H$4:$H$603,资金日记账!$E$4:$E$603,$A42,资金日记账!$V$4:$V$603,R$4),2))</f>
        <v/>
      </c>
      <c r="S42" s="76" t="str">
        <f ca="1">IF($A42="","",ROUND(SUMIFS(资金日记账!$H$4:$H$603,资金日记账!$E$4:$E$603,$A42,资金日记账!$V$4:$V$603,S$4),2))</f>
        <v/>
      </c>
      <c r="T42" s="76" t="str">
        <f ca="1">IF($A42="","",ROUND(SUMIFS(资金日记账!$H$4:$H$603,资金日记账!$E$4:$E$603,$A42,资金日记账!$V$4:$V$603,T$4),2))</f>
        <v/>
      </c>
      <c r="U42" s="76" t="str">
        <f ca="1">IF($A42="","",ROUND(SUMIFS(资金日记账!$H$4:$H$603,资金日记账!$E$4:$E$603,$A42,资金日记账!$V$4:$V$603,U$4),2))</f>
        <v/>
      </c>
      <c r="V42" s="76" t="str">
        <f ca="1">IF($A42="","",ROUND(SUMIFS(资金日记账!$H$4:$H$603,资金日记账!$E$4:$E$603,$A42,资金日记账!$V$4:$V$603,V$4),2))</f>
        <v/>
      </c>
      <c r="W42" s="76" t="str">
        <f ca="1">IF($A42="","",ROUND(SUMIFS(资金日记账!$H$4:$H$603,资金日记账!$E$4:$E$603,$A42,资金日记账!$V$4:$V$603,W$4),2))</f>
        <v/>
      </c>
      <c r="X42" s="76" t="str">
        <f ca="1">IF($A42="","",ROUND(SUMIFS(资金日记账!$H$4:$H$603,资金日记账!$E$4:$E$603,$A42,资金日记账!$V$4:$V$603,X$4),2))</f>
        <v/>
      </c>
      <c r="Y42" s="76" t="str">
        <f ca="1">IF($A42="","",ROUND(SUMIFS(资金日记账!$H$4:$H$603,资金日记账!$E$4:$E$603,$A42,资金日记账!$V$4:$V$603,Y$4),2))</f>
        <v/>
      </c>
      <c r="Z42" s="87" t="str">
        <f ca="1" t="shared" si="1"/>
        <v/>
      </c>
    </row>
    <row r="43" spans="1:26">
      <c r="A43" s="86" t="str">
        <f>IFERROR(INDEX(_自动清单!$AJ$4:$AJ$63,39),"")</f>
        <v/>
      </c>
      <c r="B43" s="76" t="str">
        <f ca="1">IF($A43="","",ROUND(SUMIFS(资金日记账!$H$4:$H$603,资金日记账!$E$4:$E$603,$A43,资金日记账!$V$4:$V$603,B$4),2))</f>
        <v/>
      </c>
      <c r="C43" s="76" t="str">
        <f ca="1">IF($A43="","",ROUND(SUMIFS(资金日记账!$H$4:$H$603,资金日记账!$E$4:$E$603,$A43,资金日记账!$V$4:$V$603,C$4),2))</f>
        <v/>
      </c>
      <c r="D43" s="76" t="str">
        <f ca="1">IF($A43="","",ROUND(SUMIFS(资金日记账!$H$4:$H$603,资金日记账!$E$4:$E$603,$A43,资金日记账!$V$4:$V$603,D$4),2))</f>
        <v/>
      </c>
      <c r="E43" s="76" t="str">
        <f ca="1">IF($A43="","",ROUND(SUMIFS(资金日记账!$H$4:$H$603,资金日记账!$E$4:$E$603,$A43,资金日记账!$V$4:$V$603,E$4),2))</f>
        <v/>
      </c>
      <c r="F43" s="76" t="str">
        <f ca="1">IF($A43="","",ROUND(SUMIFS(资金日记账!$H$4:$H$603,资金日记账!$E$4:$E$603,$A43,资金日记账!$V$4:$V$603,F$4),2))</f>
        <v/>
      </c>
      <c r="G43" s="76" t="str">
        <f ca="1">IF($A43="","",ROUND(SUMIFS(资金日记账!$H$4:$H$603,资金日记账!$E$4:$E$603,$A43,资金日记账!$V$4:$V$603,G$4),2))</f>
        <v/>
      </c>
      <c r="H43" s="76" t="str">
        <f ca="1">IF($A43="","",ROUND(SUMIFS(资金日记账!$H$4:$H$603,资金日记账!$E$4:$E$603,$A43,资金日记账!$V$4:$V$603,H$4),2))</f>
        <v/>
      </c>
      <c r="I43" s="76" t="str">
        <f ca="1">IF($A43="","",ROUND(SUMIFS(资金日记账!$H$4:$H$603,资金日记账!$E$4:$E$603,$A43,资金日记账!$V$4:$V$603,I$4),2))</f>
        <v/>
      </c>
      <c r="J43" s="76" t="str">
        <f ca="1">IF($A43="","",ROUND(SUMIFS(资金日记账!$H$4:$H$603,资金日记账!$E$4:$E$603,$A43,资金日记账!$V$4:$V$603,J$4),2))</f>
        <v/>
      </c>
      <c r="K43" s="76" t="str">
        <f ca="1">IF($A43="","",ROUND(SUMIFS(资金日记账!$H$4:$H$603,资金日记账!$E$4:$E$603,$A43,资金日记账!$V$4:$V$603,K$4),2))</f>
        <v/>
      </c>
      <c r="L43" s="76" t="str">
        <f ca="1">IF($A43="","",ROUND(SUMIFS(资金日记账!$H$4:$H$603,资金日记账!$E$4:$E$603,$A43,资金日记账!$V$4:$V$603,L$4),2))</f>
        <v/>
      </c>
      <c r="M43" s="76" t="str">
        <f ca="1">IF($A43="","",ROUND(SUMIFS(资金日记账!$H$4:$H$603,资金日记账!$E$4:$E$603,$A43,资金日记账!$V$4:$V$603,M$4),2))</f>
        <v/>
      </c>
      <c r="N43" s="76" t="str">
        <f ca="1">IF($A43="","",ROUND(SUMIFS(资金日记账!$H$4:$H$603,资金日记账!$E$4:$E$603,$A43,资金日记账!$V$4:$V$603,N$4),2))</f>
        <v/>
      </c>
      <c r="O43" s="76" t="str">
        <f ca="1">IF($A43="","",ROUND(SUMIFS(资金日记账!$H$4:$H$603,资金日记账!$E$4:$E$603,$A43,资金日记账!$V$4:$V$603,O$4),2))</f>
        <v/>
      </c>
      <c r="P43" s="76" t="str">
        <f ca="1">IF($A43="","",ROUND(SUMIFS(资金日记账!$H$4:$H$603,资金日记账!$E$4:$E$603,$A43,资金日记账!$V$4:$V$603,P$4),2))</f>
        <v/>
      </c>
      <c r="Q43" s="76" t="str">
        <f ca="1">IF($A43="","",ROUND(SUMIFS(资金日记账!$H$4:$H$603,资金日记账!$E$4:$E$603,$A43,资金日记账!$V$4:$V$603,Q$4),2))</f>
        <v/>
      </c>
      <c r="R43" s="76" t="str">
        <f ca="1">IF($A43="","",ROUND(SUMIFS(资金日记账!$H$4:$H$603,资金日记账!$E$4:$E$603,$A43,资金日记账!$V$4:$V$603,R$4),2))</f>
        <v/>
      </c>
      <c r="S43" s="76" t="str">
        <f ca="1">IF($A43="","",ROUND(SUMIFS(资金日记账!$H$4:$H$603,资金日记账!$E$4:$E$603,$A43,资金日记账!$V$4:$V$603,S$4),2))</f>
        <v/>
      </c>
      <c r="T43" s="76" t="str">
        <f ca="1">IF($A43="","",ROUND(SUMIFS(资金日记账!$H$4:$H$603,资金日记账!$E$4:$E$603,$A43,资金日记账!$V$4:$V$603,T$4),2))</f>
        <v/>
      </c>
      <c r="U43" s="76" t="str">
        <f ca="1">IF($A43="","",ROUND(SUMIFS(资金日记账!$H$4:$H$603,资金日记账!$E$4:$E$603,$A43,资金日记账!$V$4:$V$603,U$4),2))</f>
        <v/>
      </c>
      <c r="V43" s="76" t="str">
        <f ca="1">IF($A43="","",ROUND(SUMIFS(资金日记账!$H$4:$H$603,资金日记账!$E$4:$E$603,$A43,资金日记账!$V$4:$V$603,V$4),2))</f>
        <v/>
      </c>
      <c r="W43" s="76" t="str">
        <f ca="1">IF($A43="","",ROUND(SUMIFS(资金日记账!$H$4:$H$603,资金日记账!$E$4:$E$603,$A43,资金日记账!$V$4:$V$603,W$4),2))</f>
        <v/>
      </c>
      <c r="X43" s="76" t="str">
        <f ca="1">IF($A43="","",ROUND(SUMIFS(资金日记账!$H$4:$H$603,资金日记账!$E$4:$E$603,$A43,资金日记账!$V$4:$V$603,X$4),2))</f>
        <v/>
      </c>
      <c r="Y43" s="76" t="str">
        <f ca="1">IF($A43="","",ROUND(SUMIFS(资金日记账!$H$4:$H$603,资金日记账!$E$4:$E$603,$A43,资金日记账!$V$4:$V$603,Y$4),2))</f>
        <v/>
      </c>
      <c r="Z43" s="87" t="str">
        <f ca="1" t="shared" si="1"/>
        <v/>
      </c>
    </row>
    <row r="44" spans="1:26">
      <c r="A44" s="86" t="str">
        <f>IFERROR(INDEX(_自动清单!$AJ$4:$AJ$63,40),"")</f>
        <v/>
      </c>
      <c r="B44" s="76" t="str">
        <f ca="1">IF($A44="","",ROUND(SUMIFS(资金日记账!$H$4:$H$603,资金日记账!$E$4:$E$603,$A44,资金日记账!$V$4:$V$603,B$4),2))</f>
        <v/>
      </c>
      <c r="C44" s="76" t="str">
        <f ca="1">IF($A44="","",ROUND(SUMIFS(资金日记账!$H$4:$H$603,资金日记账!$E$4:$E$603,$A44,资金日记账!$V$4:$V$603,C$4),2))</f>
        <v/>
      </c>
      <c r="D44" s="76" t="str">
        <f ca="1">IF($A44="","",ROUND(SUMIFS(资金日记账!$H$4:$H$603,资金日记账!$E$4:$E$603,$A44,资金日记账!$V$4:$V$603,D$4),2))</f>
        <v/>
      </c>
      <c r="E44" s="76" t="str">
        <f ca="1">IF($A44="","",ROUND(SUMIFS(资金日记账!$H$4:$H$603,资金日记账!$E$4:$E$603,$A44,资金日记账!$V$4:$V$603,E$4),2))</f>
        <v/>
      </c>
      <c r="F44" s="76" t="str">
        <f ca="1">IF($A44="","",ROUND(SUMIFS(资金日记账!$H$4:$H$603,资金日记账!$E$4:$E$603,$A44,资金日记账!$V$4:$V$603,F$4),2))</f>
        <v/>
      </c>
      <c r="G44" s="76" t="str">
        <f ca="1">IF($A44="","",ROUND(SUMIFS(资金日记账!$H$4:$H$603,资金日记账!$E$4:$E$603,$A44,资金日记账!$V$4:$V$603,G$4),2))</f>
        <v/>
      </c>
      <c r="H44" s="76" t="str">
        <f ca="1">IF($A44="","",ROUND(SUMIFS(资金日记账!$H$4:$H$603,资金日记账!$E$4:$E$603,$A44,资金日记账!$V$4:$V$603,H$4),2))</f>
        <v/>
      </c>
      <c r="I44" s="76" t="str">
        <f ca="1">IF($A44="","",ROUND(SUMIFS(资金日记账!$H$4:$H$603,资金日记账!$E$4:$E$603,$A44,资金日记账!$V$4:$V$603,I$4),2))</f>
        <v/>
      </c>
      <c r="J44" s="76" t="str">
        <f ca="1">IF($A44="","",ROUND(SUMIFS(资金日记账!$H$4:$H$603,资金日记账!$E$4:$E$603,$A44,资金日记账!$V$4:$V$603,J$4),2))</f>
        <v/>
      </c>
      <c r="K44" s="76" t="str">
        <f ca="1">IF($A44="","",ROUND(SUMIFS(资金日记账!$H$4:$H$603,资金日记账!$E$4:$E$603,$A44,资金日记账!$V$4:$V$603,K$4),2))</f>
        <v/>
      </c>
      <c r="L44" s="76" t="str">
        <f ca="1">IF($A44="","",ROUND(SUMIFS(资金日记账!$H$4:$H$603,资金日记账!$E$4:$E$603,$A44,资金日记账!$V$4:$V$603,L$4),2))</f>
        <v/>
      </c>
      <c r="M44" s="76" t="str">
        <f ca="1">IF($A44="","",ROUND(SUMIFS(资金日记账!$H$4:$H$603,资金日记账!$E$4:$E$603,$A44,资金日记账!$V$4:$V$603,M$4),2))</f>
        <v/>
      </c>
      <c r="N44" s="76" t="str">
        <f ca="1">IF($A44="","",ROUND(SUMIFS(资金日记账!$H$4:$H$603,资金日记账!$E$4:$E$603,$A44,资金日记账!$V$4:$V$603,N$4),2))</f>
        <v/>
      </c>
      <c r="O44" s="76" t="str">
        <f ca="1">IF($A44="","",ROUND(SUMIFS(资金日记账!$H$4:$H$603,资金日记账!$E$4:$E$603,$A44,资金日记账!$V$4:$V$603,O$4),2))</f>
        <v/>
      </c>
      <c r="P44" s="76" t="str">
        <f ca="1">IF($A44="","",ROUND(SUMIFS(资金日记账!$H$4:$H$603,资金日记账!$E$4:$E$603,$A44,资金日记账!$V$4:$V$603,P$4),2))</f>
        <v/>
      </c>
      <c r="Q44" s="76" t="str">
        <f ca="1">IF($A44="","",ROUND(SUMIFS(资金日记账!$H$4:$H$603,资金日记账!$E$4:$E$603,$A44,资金日记账!$V$4:$V$603,Q$4),2))</f>
        <v/>
      </c>
      <c r="R44" s="76" t="str">
        <f ca="1">IF($A44="","",ROUND(SUMIFS(资金日记账!$H$4:$H$603,资金日记账!$E$4:$E$603,$A44,资金日记账!$V$4:$V$603,R$4),2))</f>
        <v/>
      </c>
      <c r="S44" s="76" t="str">
        <f ca="1">IF($A44="","",ROUND(SUMIFS(资金日记账!$H$4:$H$603,资金日记账!$E$4:$E$603,$A44,资金日记账!$V$4:$V$603,S$4),2))</f>
        <v/>
      </c>
      <c r="T44" s="76" t="str">
        <f ca="1">IF($A44="","",ROUND(SUMIFS(资金日记账!$H$4:$H$603,资金日记账!$E$4:$E$603,$A44,资金日记账!$V$4:$V$603,T$4),2))</f>
        <v/>
      </c>
      <c r="U44" s="76" t="str">
        <f ca="1">IF($A44="","",ROUND(SUMIFS(资金日记账!$H$4:$H$603,资金日记账!$E$4:$E$603,$A44,资金日记账!$V$4:$V$603,U$4),2))</f>
        <v/>
      </c>
      <c r="V44" s="76" t="str">
        <f ca="1">IF($A44="","",ROUND(SUMIFS(资金日记账!$H$4:$H$603,资金日记账!$E$4:$E$603,$A44,资金日记账!$V$4:$V$603,V$4),2))</f>
        <v/>
      </c>
      <c r="W44" s="76" t="str">
        <f ca="1">IF($A44="","",ROUND(SUMIFS(资金日记账!$H$4:$H$603,资金日记账!$E$4:$E$603,$A44,资金日记账!$V$4:$V$603,W$4),2))</f>
        <v/>
      </c>
      <c r="X44" s="76" t="str">
        <f ca="1">IF($A44="","",ROUND(SUMIFS(资金日记账!$H$4:$H$603,资金日记账!$E$4:$E$603,$A44,资金日记账!$V$4:$V$603,X$4),2))</f>
        <v/>
      </c>
      <c r="Y44" s="76" t="str">
        <f ca="1">IF($A44="","",ROUND(SUMIFS(资金日记账!$H$4:$H$603,资金日记账!$E$4:$E$603,$A44,资金日记账!$V$4:$V$603,Y$4),2))</f>
        <v/>
      </c>
      <c r="Z44" s="87" t="str">
        <f ca="1" t="shared" si="1"/>
        <v/>
      </c>
    </row>
    <row r="45" spans="1:26">
      <c r="A45" s="86" t="str">
        <f>IFERROR(INDEX(_自动清单!$AJ$4:$AJ$63,41),"")</f>
        <v/>
      </c>
      <c r="B45" s="76" t="str">
        <f ca="1">IF($A45="","",ROUND(SUMIFS(资金日记账!$H$4:$H$603,资金日记账!$E$4:$E$603,$A45,资金日记账!$V$4:$V$603,B$4),2))</f>
        <v/>
      </c>
      <c r="C45" s="76" t="str">
        <f ca="1">IF($A45="","",ROUND(SUMIFS(资金日记账!$H$4:$H$603,资金日记账!$E$4:$E$603,$A45,资金日记账!$V$4:$V$603,C$4),2))</f>
        <v/>
      </c>
      <c r="D45" s="76" t="str">
        <f ca="1">IF($A45="","",ROUND(SUMIFS(资金日记账!$H$4:$H$603,资金日记账!$E$4:$E$603,$A45,资金日记账!$V$4:$V$603,D$4),2))</f>
        <v/>
      </c>
      <c r="E45" s="76" t="str">
        <f ca="1">IF($A45="","",ROUND(SUMIFS(资金日记账!$H$4:$H$603,资金日记账!$E$4:$E$603,$A45,资金日记账!$V$4:$V$603,E$4),2))</f>
        <v/>
      </c>
      <c r="F45" s="76" t="str">
        <f ca="1">IF($A45="","",ROUND(SUMIFS(资金日记账!$H$4:$H$603,资金日记账!$E$4:$E$603,$A45,资金日记账!$V$4:$V$603,F$4),2))</f>
        <v/>
      </c>
      <c r="G45" s="76" t="str">
        <f ca="1">IF($A45="","",ROUND(SUMIFS(资金日记账!$H$4:$H$603,资金日记账!$E$4:$E$603,$A45,资金日记账!$V$4:$V$603,G$4),2))</f>
        <v/>
      </c>
      <c r="H45" s="76" t="str">
        <f ca="1">IF($A45="","",ROUND(SUMIFS(资金日记账!$H$4:$H$603,资金日记账!$E$4:$E$603,$A45,资金日记账!$V$4:$V$603,H$4),2))</f>
        <v/>
      </c>
      <c r="I45" s="76" t="str">
        <f ca="1">IF($A45="","",ROUND(SUMIFS(资金日记账!$H$4:$H$603,资金日记账!$E$4:$E$603,$A45,资金日记账!$V$4:$V$603,I$4),2))</f>
        <v/>
      </c>
      <c r="J45" s="76" t="str">
        <f ca="1">IF($A45="","",ROUND(SUMIFS(资金日记账!$H$4:$H$603,资金日记账!$E$4:$E$603,$A45,资金日记账!$V$4:$V$603,J$4),2))</f>
        <v/>
      </c>
      <c r="K45" s="76" t="str">
        <f ca="1">IF($A45="","",ROUND(SUMIFS(资金日记账!$H$4:$H$603,资金日记账!$E$4:$E$603,$A45,资金日记账!$V$4:$V$603,K$4),2))</f>
        <v/>
      </c>
      <c r="L45" s="76" t="str">
        <f ca="1">IF($A45="","",ROUND(SUMIFS(资金日记账!$H$4:$H$603,资金日记账!$E$4:$E$603,$A45,资金日记账!$V$4:$V$603,L$4),2))</f>
        <v/>
      </c>
      <c r="M45" s="76" t="str">
        <f ca="1">IF($A45="","",ROUND(SUMIFS(资金日记账!$H$4:$H$603,资金日记账!$E$4:$E$603,$A45,资金日记账!$V$4:$V$603,M$4),2))</f>
        <v/>
      </c>
      <c r="N45" s="76" t="str">
        <f ca="1">IF($A45="","",ROUND(SUMIFS(资金日记账!$H$4:$H$603,资金日记账!$E$4:$E$603,$A45,资金日记账!$V$4:$V$603,N$4),2))</f>
        <v/>
      </c>
      <c r="O45" s="76" t="str">
        <f ca="1">IF($A45="","",ROUND(SUMIFS(资金日记账!$H$4:$H$603,资金日记账!$E$4:$E$603,$A45,资金日记账!$V$4:$V$603,O$4),2))</f>
        <v/>
      </c>
      <c r="P45" s="76" t="str">
        <f ca="1">IF($A45="","",ROUND(SUMIFS(资金日记账!$H$4:$H$603,资金日记账!$E$4:$E$603,$A45,资金日记账!$V$4:$V$603,P$4),2))</f>
        <v/>
      </c>
      <c r="Q45" s="76" t="str">
        <f ca="1">IF($A45="","",ROUND(SUMIFS(资金日记账!$H$4:$H$603,资金日记账!$E$4:$E$603,$A45,资金日记账!$V$4:$V$603,Q$4),2))</f>
        <v/>
      </c>
      <c r="R45" s="76" t="str">
        <f ca="1">IF($A45="","",ROUND(SUMIFS(资金日记账!$H$4:$H$603,资金日记账!$E$4:$E$603,$A45,资金日记账!$V$4:$V$603,R$4),2))</f>
        <v/>
      </c>
      <c r="S45" s="76" t="str">
        <f ca="1">IF($A45="","",ROUND(SUMIFS(资金日记账!$H$4:$H$603,资金日记账!$E$4:$E$603,$A45,资金日记账!$V$4:$V$603,S$4),2))</f>
        <v/>
      </c>
      <c r="T45" s="76" t="str">
        <f ca="1">IF($A45="","",ROUND(SUMIFS(资金日记账!$H$4:$H$603,资金日记账!$E$4:$E$603,$A45,资金日记账!$V$4:$V$603,T$4),2))</f>
        <v/>
      </c>
      <c r="U45" s="76" t="str">
        <f ca="1">IF($A45="","",ROUND(SUMIFS(资金日记账!$H$4:$H$603,资金日记账!$E$4:$E$603,$A45,资金日记账!$V$4:$V$603,U$4),2))</f>
        <v/>
      </c>
      <c r="V45" s="76" t="str">
        <f ca="1">IF($A45="","",ROUND(SUMIFS(资金日记账!$H$4:$H$603,资金日记账!$E$4:$E$603,$A45,资金日记账!$V$4:$V$603,V$4),2))</f>
        <v/>
      </c>
      <c r="W45" s="76" t="str">
        <f ca="1">IF($A45="","",ROUND(SUMIFS(资金日记账!$H$4:$H$603,资金日记账!$E$4:$E$603,$A45,资金日记账!$V$4:$V$603,W$4),2))</f>
        <v/>
      </c>
      <c r="X45" s="76" t="str">
        <f ca="1">IF($A45="","",ROUND(SUMIFS(资金日记账!$H$4:$H$603,资金日记账!$E$4:$E$603,$A45,资金日记账!$V$4:$V$603,X$4),2))</f>
        <v/>
      </c>
      <c r="Y45" s="76" t="str">
        <f ca="1">IF($A45="","",ROUND(SUMIFS(资金日记账!$H$4:$H$603,资金日记账!$E$4:$E$603,$A45,资金日记账!$V$4:$V$603,Y$4),2))</f>
        <v/>
      </c>
      <c r="Z45" s="87" t="str">
        <f ca="1" t="shared" si="1"/>
        <v/>
      </c>
    </row>
    <row r="46" spans="1:26">
      <c r="A46" s="86" t="str">
        <f>IFERROR(INDEX(_自动清单!$AJ$4:$AJ$63,42),"")</f>
        <v/>
      </c>
      <c r="B46" s="76" t="str">
        <f ca="1">IF($A46="","",ROUND(SUMIFS(资金日记账!$H$4:$H$603,资金日记账!$E$4:$E$603,$A46,资金日记账!$V$4:$V$603,B$4),2))</f>
        <v/>
      </c>
      <c r="C46" s="76" t="str">
        <f ca="1">IF($A46="","",ROUND(SUMIFS(资金日记账!$H$4:$H$603,资金日记账!$E$4:$E$603,$A46,资金日记账!$V$4:$V$603,C$4),2))</f>
        <v/>
      </c>
      <c r="D46" s="76" t="str">
        <f ca="1">IF($A46="","",ROUND(SUMIFS(资金日记账!$H$4:$H$603,资金日记账!$E$4:$E$603,$A46,资金日记账!$V$4:$V$603,D$4),2))</f>
        <v/>
      </c>
      <c r="E46" s="76" t="str">
        <f ca="1">IF($A46="","",ROUND(SUMIFS(资金日记账!$H$4:$H$603,资金日记账!$E$4:$E$603,$A46,资金日记账!$V$4:$V$603,E$4),2))</f>
        <v/>
      </c>
      <c r="F46" s="76" t="str">
        <f ca="1">IF($A46="","",ROUND(SUMIFS(资金日记账!$H$4:$H$603,资金日记账!$E$4:$E$603,$A46,资金日记账!$V$4:$V$603,F$4),2))</f>
        <v/>
      </c>
      <c r="G46" s="76" t="str">
        <f ca="1">IF($A46="","",ROUND(SUMIFS(资金日记账!$H$4:$H$603,资金日记账!$E$4:$E$603,$A46,资金日记账!$V$4:$V$603,G$4),2))</f>
        <v/>
      </c>
      <c r="H46" s="76" t="str">
        <f ca="1">IF($A46="","",ROUND(SUMIFS(资金日记账!$H$4:$H$603,资金日记账!$E$4:$E$603,$A46,资金日记账!$V$4:$V$603,H$4),2))</f>
        <v/>
      </c>
      <c r="I46" s="76" t="str">
        <f ca="1">IF($A46="","",ROUND(SUMIFS(资金日记账!$H$4:$H$603,资金日记账!$E$4:$E$603,$A46,资金日记账!$V$4:$V$603,I$4),2))</f>
        <v/>
      </c>
      <c r="J46" s="76" t="str">
        <f ca="1">IF($A46="","",ROUND(SUMIFS(资金日记账!$H$4:$H$603,资金日记账!$E$4:$E$603,$A46,资金日记账!$V$4:$V$603,J$4),2))</f>
        <v/>
      </c>
      <c r="K46" s="76" t="str">
        <f ca="1">IF($A46="","",ROUND(SUMIFS(资金日记账!$H$4:$H$603,资金日记账!$E$4:$E$603,$A46,资金日记账!$V$4:$V$603,K$4),2))</f>
        <v/>
      </c>
      <c r="L46" s="76" t="str">
        <f ca="1">IF($A46="","",ROUND(SUMIFS(资金日记账!$H$4:$H$603,资金日记账!$E$4:$E$603,$A46,资金日记账!$V$4:$V$603,L$4),2))</f>
        <v/>
      </c>
      <c r="M46" s="76" t="str">
        <f ca="1">IF($A46="","",ROUND(SUMIFS(资金日记账!$H$4:$H$603,资金日记账!$E$4:$E$603,$A46,资金日记账!$V$4:$V$603,M$4),2))</f>
        <v/>
      </c>
      <c r="N46" s="76" t="str">
        <f ca="1">IF($A46="","",ROUND(SUMIFS(资金日记账!$H$4:$H$603,资金日记账!$E$4:$E$603,$A46,资金日记账!$V$4:$V$603,N$4),2))</f>
        <v/>
      </c>
      <c r="O46" s="76" t="str">
        <f ca="1">IF($A46="","",ROUND(SUMIFS(资金日记账!$H$4:$H$603,资金日记账!$E$4:$E$603,$A46,资金日记账!$V$4:$V$603,O$4),2))</f>
        <v/>
      </c>
      <c r="P46" s="76" t="str">
        <f ca="1">IF($A46="","",ROUND(SUMIFS(资金日记账!$H$4:$H$603,资金日记账!$E$4:$E$603,$A46,资金日记账!$V$4:$V$603,P$4),2))</f>
        <v/>
      </c>
      <c r="Q46" s="76" t="str">
        <f ca="1">IF($A46="","",ROUND(SUMIFS(资金日记账!$H$4:$H$603,资金日记账!$E$4:$E$603,$A46,资金日记账!$V$4:$V$603,Q$4),2))</f>
        <v/>
      </c>
      <c r="R46" s="76" t="str">
        <f ca="1">IF($A46="","",ROUND(SUMIFS(资金日记账!$H$4:$H$603,资金日记账!$E$4:$E$603,$A46,资金日记账!$V$4:$V$603,R$4),2))</f>
        <v/>
      </c>
      <c r="S46" s="76" t="str">
        <f ca="1">IF($A46="","",ROUND(SUMIFS(资金日记账!$H$4:$H$603,资金日记账!$E$4:$E$603,$A46,资金日记账!$V$4:$V$603,S$4),2))</f>
        <v/>
      </c>
      <c r="T46" s="76" t="str">
        <f ca="1">IF($A46="","",ROUND(SUMIFS(资金日记账!$H$4:$H$603,资金日记账!$E$4:$E$603,$A46,资金日记账!$V$4:$V$603,T$4),2))</f>
        <v/>
      </c>
      <c r="U46" s="76" t="str">
        <f ca="1">IF($A46="","",ROUND(SUMIFS(资金日记账!$H$4:$H$603,资金日记账!$E$4:$E$603,$A46,资金日记账!$V$4:$V$603,U$4),2))</f>
        <v/>
      </c>
      <c r="V46" s="76" t="str">
        <f ca="1">IF($A46="","",ROUND(SUMIFS(资金日记账!$H$4:$H$603,资金日记账!$E$4:$E$603,$A46,资金日记账!$V$4:$V$603,V$4),2))</f>
        <v/>
      </c>
      <c r="W46" s="76" t="str">
        <f ca="1">IF($A46="","",ROUND(SUMIFS(资金日记账!$H$4:$H$603,资金日记账!$E$4:$E$603,$A46,资金日记账!$V$4:$V$603,W$4),2))</f>
        <v/>
      </c>
      <c r="X46" s="76" t="str">
        <f ca="1">IF($A46="","",ROUND(SUMIFS(资金日记账!$H$4:$H$603,资金日记账!$E$4:$E$603,$A46,资金日记账!$V$4:$V$603,X$4),2))</f>
        <v/>
      </c>
      <c r="Y46" s="76" t="str">
        <f ca="1">IF($A46="","",ROUND(SUMIFS(资金日记账!$H$4:$H$603,资金日记账!$E$4:$E$603,$A46,资金日记账!$V$4:$V$603,Y$4),2))</f>
        <v/>
      </c>
      <c r="Z46" s="87" t="str">
        <f ca="1" t="shared" si="1"/>
        <v/>
      </c>
    </row>
    <row r="47" spans="1:26">
      <c r="A47" s="86" t="str">
        <f>IFERROR(INDEX(_自动清单!$AJ$4:$AJ$63,43),"")</f>
        <v/>
      </c>
      <c r="B47" s="76" t="str">
        <f ca="1">IF($A47="","",ROUND(SUMIFS(资金日记账!$H$4:$H$603,资金日记账!$E$4:$E$603,$A47,资金日记账!$V$4:$V$603,B$4),2))</f>
        <v/>
      </c>
      <c r="C47" s="76" t="str">
        <f ca="1">IF($A47="","",ROUND(SUMIFS(资金日记账!$H$4:$H$603,资金日记账!$E$4:$E$603,$A47,资金日记账!$V$4:$V$603,C$4),2))</f>
        <v/>
      </c>
      <c r="D47" s="76" t="str">
        <f ca="1">IF($A47="","",ROUND(SUMIFS(资金日记账!$H$4:$H$603,资金日记账!$E$4:$E$603,$A47,资金日记账!$V$4:$V$603,D$4),2))</f>
        <v/>
      </c>
      <c r="E47" s="76" t="str">
        <f ca="1">IF($A47="","",ROUND(SUMIFS(资金日记账!$H$4:$H$603,资金日记账!$E$4:$E$603,$A47,资金日记账!$V$4:$V$603,E$4),2))</f>
        <v/>
      </c>
      <c r="F47" s="76" t="str">
        <f ca="1">IF($A47="","",ROUND(SUMIFS(资金日记账!$H$4:$H$603,资金日记账!$E$4:$E$603,$A47,资金日记账!$V$4:$V$603,F$4),2))</f>
        <v/>
      </c>
      <c r="G47" s="76" t="str">
        <f ca="1">IF($A47="","",ROUND(SUMIFS(资金日记账!$H$4:$H$603,资金日记账!$E$4:$E$603,$A47,资金日记账!$V$4:$V$603,G$4),2))</f>
        <v/>
      </c>
      <c r="H47" s="76" t="str">
        <f ca="1">IF($A47="","",ROUND(SUMIFS(资金日记账!$H$4:$H$603,资金日记账!$E$4:$E$603,$A47,资金日记账!$V$4:$V$603,H$4),2))</f>
        <v/>
      </c>
      <c r="I47" s="76" t="str">
        <f ca="1">IF($A47="","",ROUND(SUMIFS(资金日记账!$H$4:$H$603,资金日记账!$E$4:$E$603,$A47,资金日记账!$V$4:$V$603,I$4),2))</f>
        <v/>
      </c>
      <c r="J47" s="76" t="str">
        <f ca="1">IF($A47="","",ROUND(SUMIFS(资金日记账!$H$4:$H$603,资金日记账!$E$4:$E$603,$A47,资金日记账!$V$4:$V$603,J$4),2))</f>
        <v/>
      </c>
      <c r="K47" s="76" t="str">
        <f ca="1">IF($A47="","",ROUND(SUMIFS(资金日记账!$H$4:$H$603,资金日记账!$E$4:$E$603,$A47,资金日记账!$V$4:$V$603,K$4),2))</f>
        <v/>
      </c>
      <c r="L47" s="76" t="str">
        <f ca="1">IF($A47="","",ROUND(SUMIFS(资金日记账!$H$4:$H$603,资金日记账!$E$4:$E$603,$A47,资金日记账!$V$4:$V$603,L$4),2))</f>
        <v/>
      </c>
      <c r="M47" s="76" t="str">
        <f ca="1">IF($A47="","",ROUND(SUMIFS(资金日记账!$H$4:$H$603,资金日记账!$E$4:$E$603,$A47,资金日记账!$V$4:$V$603,M$4),2))</f>
        <v/>
      </c>
      <c r="N47" s="76" t="str">
        <f ca="1">IF($A47="","",ROUND(SUMIFS(资金日记账!$H$4:$H$603,资金日记账!$E$4:$E$603,$A47,资金日记账!$V$4:$V$603,N$4),2))</f>
        <v/>
      </c>
      <c r="O47" s="76" t="str">
        <f ca="1">IF($A47="","",ROUND(SUMIFS(资金日记账!$H$4:$H$603,资金日记账!$E$4:$E$603,$A47,资金日记账!$V$4:$V$603,O$4),2))</f>
        <v/>
      </c>
      <c r="P47" s="76" t="str">
        <f ca="1">IF($A47="","",ROUND(SUMIFS(资金日记账!$H$4:$H$603,资金日记账!$E$4:$E$603,$A47,资金日记账!$V$4:$V$603,P$4),2))</f>
        <v/>
      </c>
      <c r="Q47" s="76" t="str">
        <f ca="1">IF($A47="","",ROUND(SUMIFS(资金日记账!$H$4:$H$603,资金日记账!$E$4:$E$603,$A47,资金日记账!$V$4:$V$603,Q$4),2))</f>
        <v/>
      </c>
      <c r="R47" s="76" t="str">
        <f ca="1">IF($A47="","",ROUND(SUMIFS(资金日记账!$H$4:$H$603,资金日记账!$E$4:$E$603,$A47,资金日记账!$V$4:$V$603,R$4),2))</f>
        <v/>
      </c>
      <c r="S47" s="76" t="str">
        <f ca="1">IF($A47="","",ROUND(SUMIFS(资金日记账!$H$4:$H$603,资金日记账!$E$4:$E$603,$A47,资金日记账!$V$4:$V$603,S$4),2))</f>
        <v/>
      </c>
      <c r="T47" s="76" t="str">
        <f ca="1">IF($A47="","",ROUND(SUMIFS(资金日记账!$H$4:$H$603,资金日记账!$E$4:$E$603,$A47,资金日记账!$V$4:$V$603,T$4),2))</f>
        <v/>
      </c>
      <c r="U47" s="76" t="str">
        <f ca="1">IF($A47="","",ROUND(SUMIFS(资金日记账!$H$4:$H$603,资金日记账!$E$4:$E$603,$A47,资金日记账!$V$4:$V$603,U$4),2))</f>
        <v/>
      </c>
      <c r="V47" s="76" t="str">
        <f ca="1">IF($A47="","",ROUND(SUMIFS(资金日记账!$H$4:$H$603,资金日记账!$E$4:$E$603,$A47,资金日记账!$V$4:$V$603,V$4),2))</f>
        <v/>
      </c>
      <c r="W47" s="76" t="str">
        <f ca="1">IF($A47="","",ROUND(SUMIFS(资金日记账!$H$4:$H$603,资金日记账!$E$4:$E$603,$A47,资金日记账!$V$4:$V$603,W$4),2))</f>
        <v/>
      </c>
      <c r="X47" s="76" t="str">
        <f ca="1">IF($A47="","",ROUND(SUMIFS(资金日记账!$H$4:$H$603,资金日记账!$E$4:$E$603,$A47,资金日记账!$V$4:$V$603,X$4),2))</f>
        <v/>
      </c>
      <c r="Y47" s="76" t="str">
        <f ca="1">IF($A47="","",ROUND(SUMIFS(资金日记账!$H$4:$H$603,资金日记账!$E$4:$E$603,$A47,资金日记账!$V$4:$V$603,Y$4),2))</f>
        <v/>
      </c>
      <c r="Z47" s="87" t="str">
        <f ca="1" t="shared" si="1"/>
        <v/>
      </c>
    </row>
    <row r="48" spans="1:26">
      <c r="A48" s="86" t="str">
        <f>IFERROR(INDEX(_自动清单!$AJ$4:$AJ$63,44),"")</f>
        <v/>
      </c>
      <c r="B48" s="76" t="str">
        <f ca="1">IF($A48="","",ROUND(SUMIFS(资金日记账!$H$4:$H$603,资金日记账!$E$4:$E$603,$A48,资金日记账!$V$4:$V$603,B$4),2))</f>
        <v/>
      </c>
      <c r="C48" s="76" t="str">
        <f ca="1">IF($A48="","",ROUND(SUMIFS(资金日记账!$H$4:$H$603,资金日记账!$E$4:$E$603,$A48,资金日记账!$V$4:$V$603,C$4),2))</f>
        <v/>
      </c>
      <c r="D48" s="76" t="str">
        <f ca="1">IF($A48="","",ROUND(SUMIFS(资金日记账!$H$4:$H$603,资金日记账!$E$4:$E$603,$A48,资金日记账!$V$4:$V$603,D$4),2))</f>
        <v/>
      </c>
      <c r="E48" s="76" t="str">
        <f ca="1">IF($A48="","",ROUND(SUMIFS(资金日记账!$H$4:$H$603,资金日记账!$E$4:$E$603,$A48,资金日记账!$V$4:$V$603,E$4),2))</f>
        <v/>
      </c>
      <c r="F48" s="76" t="str">
        <f ca="1">IF($A48="","",ROUND(SUMIFS(资金日记账!$H$4:$H$603,资金日记账!$E$4:$E$603,$A48,资金日记账!$V$4:$V$603,F$4),2))</f>
        <v/>
      </c>
      <c r="G48" s="76" t="str">
        <f ca="1">IF($A48="","",ROUND(SUMIFS(资金日记账!$H$4:$H$603,资金日记账!$E$4:$E$603,$A48,资金日记账!$V$4:$V$603,G$4),2))</f>
        <v/>
      </c>
      <c r="H48" s="76" t="str">
        <f ca="1">IF($A48="","",ROUND(SUMIFS(资金日记账!$H$4:$H$603,资金日记账!$E$4:$E$603,$A48,资金日记账!$V$4:$V$603,H$4),2))</f>
        <v/>
      </c>
      <c r="I48" s="76" t="str">
        <f ca="1">IF($A48="","",ROUND(SUMIFS(资金日记账!$H$4:$H$603,资金日记账!$E$4:$E$603,$A48,资金日记账!$V$4:$V$603,I$4),2))</f>
        <v/>
      </c>
      <c r="J48" s="76" t="str">
        <f ca="1">IF($A48="","",ROUND(SUMIFS(资金日记账!$H$4:$H$603,资金日记账!$E$4:$E$603,$A48,资金日记账!$V$4:$V$603,J$4),2))</f>
        <v/>
      </c>
      <c r="K48" s="76" t="str">
        <f ca="1">IF($A48="","",ROUND(SUMIFS(资金日记账!$H$4:$H$603,资金日记账!$E$4:$E$603,$A48,资金日记账!$V$4:$V$603,K$4),2))</f>
        <v/>
      </c>
      <c r="L48" s="76" t="str">
        <f ca="1">IF($A48="","",ROUND(SUMIFS(资金日记账!$H$4:$H$603,资金日记账!$E$4:$E$603,$A48,资金日记账!$V$4:$V$603,L$4),2))</f>
        <v/>
      </c>
      <c r="M48" s="76" t="str">
        <f ca="1">IF($A48="","",ROUND(SUMIFS(资金日记账!$H$4:$H$603,资金日记账!$E$4:$E$603,$A48,资金日记账!$V$4:$V$603,M$4),2))</f>
        <v/>
      </c>
      <c r="N48" s="76" t="str">
        <f ca="1">IF($A48="","",ROUND(SUMIFS(资金日记账!$H$4:$H$603,资金日记账!$E$4:$E$603,$A48,资金日记账!$V$4:$V$603,N$4),2))</f>
        <v/>
      </c>
      <c r="O48" s="76" t="str">
        <f ca="1">IF($A48="","",ROUND(SUMIFS(资金日记账!$H$4:$H$603,资金日记账!$E$4:$E$603,$A48,资金日记账!$V$4:$V$603,O$4),2))</f>
        <v/>
      </c>
      <c r="P48" s="76" t="str">
        <f ca="1">IF($A48="","",ROUND(SUMIFS(资金日记账!$H$4:$H$603,资金日记账!$E$4:$E$603,$A48,资金日记账!$V$4:$V$603,P$4),2))</f>
        <v/>
      </c>
      <c r="Q48" s="76" t="str">
        <f ca="1">IF($A48="","",ROUND(SUMIFS(资金日记账!$H$4:$H$603,资金日记账!$E$4:$E$603,$A48,资金日记账!$V$4:$V$603,Q$4),2))</f>
        <v/>
      </c>
      <c r="R48" s="76" t="str">
        <f ca="1">IF($A48="","",ROUND(SUMIFS(资金日记账!$H$4:$H$603,资金日记账!$E$4:$E$603,$A48,资金日记账!$V$4:$V$603,R$4),2))</f>
        <v/>
      </c>
      <c r="S48" s="76" t="str">
        <f ca="1">IF($A48="","",ROUND(SUMIFS(资金日记账!$H$4:$H$603,资金日记账!$E$4:$E$603,$A48,资金日记账!$V$4:$V$603,S$4),2))</f>
        <v/>
      </c>
      <c r="T48" s="76" t="str">
        <f ca="1">IF($A48="","",ROUND(SUMIFS(资金日记账!$H$4:$H$603,资金日记账!$E$4:$E$603,$A48,资金日记账!$V$4:$V$603,T$4),2))</f>
        <v/>
      </c>
      <c r="U48" s="76" t="str">
        <f ca="1">IF($A48="","",ROUND(SUMIFS(资金日记账!$H$4:$H$603,资金日记账!$E$4:$E$603,$A48,资金日记账!$V$4:$V$603,U$4),2))</f>
        <v/>
      </c>
      <c r="V48" s="76" t="str">
        <f ca="1">IF($A48="","",ROUND(SUMIFS(资金日记账!$H$4:$H$603,资金日记账!$E$4:$E$603,$A48,资金日记账!$V$4:$V$603,V$4),2))</f>
        <v/>
      </c>
      <c r="W48" s="76" t="str">
        <f ca="1">IF($A48="","",ROUND(SUMIFS(资金日记账!$H$4:$H$603,资金日记账!$E$4:$E$603,$A48,资金日记账!$V$4:$V$603,W$4),2))</f>
        <v/>
      </c>
      <c r="X48" s="76" t="str">
        <f ca="1">IF($A48="","",ROUND(SUMIFS(资金日记账!$H$4:$H$603,资金日记账!$E$4:$E$603,$A48,资金日记账!$V$4:$V$603,X$4),2))</f>
        <v/>
      </c>
      <c r="Y48" s="76" t="str">
        <f ca="1">IF($A48="","",ROUND(SUMIFS(资金日记账!$H$4:$H$603,资金日记账!$E$4:$E$603,$A48,资金日记账!$V$4:$V$603,Y$4),2))</f>
        <v/>
      </c>
      <c r="Z48" s="87" t="str">
        <f ca="1" t="shared" si="1"/>
        <v/>
      </c>
    </row>
    <row r="49" spans="1:26">
      <c r="A49" s="86" t="str">
        <f>IFERROR(INDEX(_自动清单!$AJ$4:$AJ$63,45),"")</f>
        <v/>
      </c>
      <c r="B49" s="76" t="str">
        <f ca="1">IF($A49="","",ROUND(SUMIFS(资金日记账!$H$4:$H$603,资金日记账!$E$4:$E$603,$A49,资金日记账!$V$4:$V$603,B$4),2))</f>
        <v/>
      </c>
      <c r="C49" s="76" t="str">
        <f ca="1">IF($A49="","",ROUND(SUMIFS(资金日记账!$H$4:$H$603,资金日记账!$E$4:$E$603,$A49,资金日记账!$V$4:$V$603,C$4),2))</f>
        <v/>
      </c>
      <c r="D49" s="76" t="str">
        <f ca="1">IF($A49="","",ROUND(SUMIFS(资金日记账!$H$4:$H$603,资金日记账!$E$4:$E$603,$A49,资金日记账!$V$4:$V$603,D$4),2))</f>
        <v/>
      </c>
      <c r="E49" s="76" t="str">
        <f ca="1">IF($A49="","",ROUND(SUMIFS(资金日记账!$H$4:$H$603,资金日记账!$E$4:$E$603,$A49,资金日记账!$V$4:$V$603,E$4),2))</f>
        <v/>
      </c>
      <c r="F49" s="76" t="str">
        <f ca="1">IF($A49="","",ROUND(SUMIFS(资金日记账!$H$4:$H$603,资金日记账!$E$4:$E$603,$A49,资金日记账!$V$4:$V$603,F$4),2))</f>
        <v/>
      </c>
      <c r="G49" s="76" t="str">
        <f ca="1">IF($A49="","",ROUND(SUMIFS(资金日记账!$H$4:$H$603,资金日记账!$E$4:$E$603,$A49,资金日记账!$V$4:$V$603,G$4),2))</f>
        <v/>
      </c>
      <c r="H49" s="76" t="str">
        <f ca="1">IF($A49="","",ROUND(SUMIFS(资金日记账!$H$4:$H$603,资金日记账!$E$4:$E$603,$A49,资金日记账!$V$4:$V$603,H$4),2))</f>
        <v/>
      </c>
      <c r="I49" s="76" t="str">
        <f ca="1">IF($A49="","",ROUND(SUMIFS(资金日记账!$H$4:$H$603,资金日记账!$E$4:$E$603,$A49,资金日记账!$V$4:$V$603,I$4),2))</f>
        <v/>
      </c>
      <c r="J49" s="76" t="str">
        <f ca="1">IF($A49="","",ROUND(SUMIFS(资金日记账!$H$4:$H$603,资金日记账!$E$4:$E$603,$A49,资金日记账!$V$4:$V$603,J$4),2))</f>
        <v/>
      </c>
      <c r="K49" s="76" t="str">
        <f ca="1">IF($A49="","",ROUND(SUMIFS(资金日记账!$H$4:$H$603,资金日记账!$E$4:$E$603,$A49,资金日记账!$V$4:$V$603,K$4),2))</f>
        <v/>
      </c>
      <c r="L49" s="76" t="str">
        <f ca="1">IF($A49="","",ROUND(SUMIFS(资金日记账!$H$4:$H$603,资金日记账!$E$4:$E$603,$A49,资金日记账!$V$4:$V$603,L$4),2))</f>
        <v/>
      </c>
      <c r="M49" s="76" t="str">
        <f ca="1">IF($A49="","",ROUND(SUMIFS(资金日记账!$H$4:$H$603,资金日记账!$E$4:$E$603,$A49,资金日记账!$V$4:$V$603,M$4),2))</f>
        <v/>
      </c>
      <c r="N49" s="76" t="str">
        <f ca="1">IF($A49="","",ROUND(SUMIFS(资金日记账!$H$4:$H$603,资金日记账!$E$4:$E$603,$A49,资金日记账!$V$4:$V$603,N$4),2))</f>
        <v/>
      </c>
      <c r="O49" s="76" t="str">
        <f ca="1">IF($A49="","",ROUND(SUMIFS(资金日记账!$H$4:$H$603,资金日记账!$E$4:$E$603,$A49,资金日记账!$V$4:$V$603,O$4),2))</f>
        <v/>
      </c>
      <c r="P49" s="76" t="str">
        <f ca="1">IF($A49="","",ROUND(SUMIFS(资金日记账!$H$4:$H$603,资金日记账!$E$4:$E$603,$A49,资金日记账!$V$4:$V$603,P$4),2))</f>
        <v/>
      </c>
      <c r="Q49" s="76" t="str">
        <f ca="1">IF($A49="","",ROUND(SUMIFS(资金日记账!$H$4:$H$603,资金日记账!$E$4:$E$603,$A49,资金日记账!$V$4:$V$603,Q$4),2))</f>
        <v/>
      </c>
      <c r="R49" s="76" t="str">
        <f ca="1">IF($A49="","",ROUND(SUMIFS(资金日记账!$H$4:$H$603,资金日记账!$E$4:$E$603,$A49,资金日记账!$V$4:$V$603,R$4),2))</f>
        <v/>
      </c>
      <c r="S49" s="76" t="str">
        <f ca="1">IF($A49="","",ROUND(SUMIFS(资金日记账!$H$4:$H$603,资金日记账!$E$4:$E$603,$A49,资金日记账!$V$4:$V$603,S$4),2))</f>
        <v/>
      </c>
      <c r="T49" s="76" t="str">
        <f ca="1">IF($A49="","",ROUND(SUMIFS(资金日记账!$H$4:$H$603,资金日记账!$E$4:$E$603,$A49,资金日记账!$V$4:$V$603,T$4),2))</f>
        <v/>
      </c>
      <c r="U49" s="76" t="str">
        <f ca="1">IF($A49="","",ROUND(SUMIFS(资金日记账!$H$4:$H$603,资金日记账!$E$4:$E$603,$A49,资金日记账!$V$4:$V$603,U$4),2))</f>
        <v/>
      </c>
      <c r="V49" s="76" t="str">
        <f ca="1">IF($A49="","",ROUND(SUMIFS(资金日记账!$H$4:$H$603,资金日记账!$E$4:$E$603,$A49,资金日记账!$V$4:$V$603,V$4),2))</f>
        <v/>
      </c>
      <c r="W49" s="76" t="str">
        <f ca="1">IF($A49="","",ROUND(SUMIFS(资金日记账!$H$4:$H$603,资金日记账!$E$4:$E$603,$A49,资金日记账!$V$4:$V$603,W$4),2))</f>
        <v/>
      </c>
      <c r="X49" s="76" t="str">
        <f ca="1">IF($A49="","",ROUND(SUMIFS(资金日记账!$H$4:$H$603,资金日记账!$E$4:$E$603,$A49,资金日记账!$V$4:$V$603,X$4),2))</f>
        <v/>
      </c>
      <c r="Y49" s="76" t="str">
        <f ca="1">IF($A49="","",ROUND(SUMIFS(资金日记账!$H$4:$H$603,资金日记账!$E$4:$E$603,$A49,资金日记账!$V$4:$V$603,Y$4),2))</f>
        <v/>
      </c>
      <c r="Z49" s="87" t="str">
        <f ca="1" t="shared" si="1"/>
        <v/>
      </c>
    </row>
    <row r="50" spans="1:26">
      <c r="A50" s="86" t="str">
        <f>IFERROR(INDEX(_自动清单!$AJ$4:$AJ$63,46),"")</f>
        <v/>
      </c>
      <c r="B50" s="76" t="str">
        <f ca="1">IF($A50="","",ROUND(SUMIFS(资金日记账!$H$4:$H$603,资金日记账!$E$4:$E$603,$A50,资金日记账!$V$4:$V$603,B$4),2))</f>
        <v/>
      </c>
      <c r="C50" s="76" t="str">
        <f ca="1">IF($A50="","",ROUND(SUMIFS(资金日记账!$H$4:$H$603,资金日记账!$E$4:$E$603,$A50,资金日记账!$V$4:$V$603,C$4),2))</f>
        <v/>
      </c>
      <c r="D50" s="76" t="str">
        <f ca="1">IF($A50="","",ROUND(SUMIFS(资金日记账!$H$4:$H$603,资金日记账!$E$4:$E$603,$A50,资金日记账!$V$4:$V$603,D$4),2))</f>
        <v/>
      </c>
      <c r="E50" s="76" t="str">
        <f ca="1">IF($A50="","",ROUND(SUMIFS(资金日记账!$H$4:$H$603,资金日记账!$E$4:$E$603,$A50,资金日记账!$V$4:$V$603,E$4),2))</f>
        <v/>
      </c>
      <c r="F50" s="76" t="str">
        <f ca="1">IF($A50="","",ROUND(SUMIFS(资金日记账!$H$4:$H$603,资金日记账!$E$4:$E$603,$A50,资金日记账!$V$4:$V$603,F$4),2))</f>
        <v/>
      </c>
      <c r="G50" s="76" t="str">
        <f ca="1">IF($A50="","",ROUND(SUMIFS(资金日记账!$H$4:$H$603,资金日记账!$E$4:$E$603,$A50,资金日记账!$V$4:$V$603,G$4),2))</f>
        <v/>
      </c>
      <c r="H50" s="76" t="str">
        <f ca="1">IF($A50="","",ROUND(SUMIFS(资金日记账!$H$4:$H$603,资金日记账!$E$4:$E$603,$A50,资金日记账!$V$4:$V$603,H$4),2))</f>
        <v/>
      </c>
      <c r="I50" s="76" t="str">
        <f ca="1">IF($A50="","",ROUND(SUMIFS(资金日记账!$H$4:$H$603,资金日记账!$E$4:$E$603,$A50,资金日记账!$V$4:$V$603,I$4),2))</f>
        <v/>
      </c>
      <c r="J50" s="76" t="str">
        <f ca="1">IF($A50="","",ROUND(SUMIFS(资金日记账!$H$4:$H$603,资金日记账!$E$4:$E$603,$A50,资金日记账!$V$4:$V$603,J$4),2))</f>
        <v/>
      </c>
      <c r="K50" s="76" t="str">
        <f ca="1">IF($A50="","",ROUND(SUMIFS(资金日记账!$H$4:$H$603,资金日记账!$E$4:$E$603,$A50,资金日记账!$V$4:$V$603,K$4),2))</f>
        <v/>
      </c>
      <c r="L50" s="76" t="str">
        <f ca="1">IF($A50="","",ROUND(SUMIFS(资金日记账!$H$4:$H$603,资金日记账!$E$4:$E$603,$A50,资金日记账!$V$4:$V$603,L$4),2))</f>
        <v/>
      </c>
      <c r="M50" s="76" t="str">
        <f ca="1">IF($A50="","",ROUND(SUMIFS(资金日记账!$H$4:$H$603,资金日记账!$E$4:$E$603,$A50,资金日记账!$V$4:$V$603,M$4),2))</f>
        <v/>
      </c>
      <c r="N50" s="76" t="str">
        <f ca="1">IF($A50="","",ROUND(SUMIFS(资金日记账!$H$4:$H$603,资金日记账!$E$4:$E$603,$A50,资金日记账!$V$4:$V$603,N$4),2))</f>
        <v/>
      </c>
      <c r="O50" s="76" t="str">
        <f ca="1">IF($A50="","",ROUND(SUMIFS(资金日记账!$H$4:$H$603,资金日记账!$E$4:$E$603,$A50,资金日记账!$V$4:$V$603,O$4),2))</f>
        <v/>
      </c>
      <c r="P50" s="76" t="str">
        <f ca="1">IF($A50="","",ROUND(SUMIFS(资金日记账!$H$4:$H$603,资金日记账!$E$4:$E$603,$A50,资金日记账!$V$4:$V$603,P$4),2))</f>
        <v/>
      </c>
      <c r="Q50" s="76" t="str">
        <f ca="1">IF($A50="","",ROUND(SUMIFS(资金日记账!$H$4:$H$603,资金日记账!$E$4:$E$603,$A50,资金日记账!$V$4:$V$603,Q$4),2))</f>
        <v/>
      </c>
      <c r="R50" s="76" t="str">
        <f ca="1">IF($A50="","",ROUND(SUMIFS(资金日记账!$H$4:$H$603,资金日记账!$E$4:$E$603,$A50,资金日记账!$V$4:$V$603,R$4),2))</f>
        <v/>
      </c>
      <c r="S50" s="76" t="str">
        <f ca="1">IF($A50="","",ROUND(SUMIFS(资金日记账!$H$4:$H$603,资金日记账!$E$4:$E$603,$A50,资金日记账!$V$4:$V$603,S$4),2))</f>
        <v/>
      </c>
      <c r="T50" s="76" t="str">
        <f ca="1">IF($A50="","",ROUND(SUMIFS(资金日记账!$H$4:$H$603,资金日记账!$E$4:$E$603,$A50,资金日记账!$V$4:$V$603,T$4),2))</f>
        <v/>
      </c>
      <c r="U50" s="76" t="str">
        <f ca="1">IF($A50="","",ROUND(SUMIFS(资金日记账!$H$4:$H$603,资金日记账!$E$4:$E$603,$A50,资金日记账!$V$4:$V$603,U$4),2))</f>
        <v/>
      </c>
      <c r="V50" s="76" t="str">
        <f ca="1">IF($A50="","",ROUND(SUMIFS(资金日记账!$H$4:$H$603,资金日记账!$E$4:$E$603,$A50,资金日记账!$V$4:$V$603,V$4),2))</f>
        <v/>
      </c>
      <c r="W50" s="76" t="str">
        <f ca="1">IF($A50="","",ROUND(SUMIFS(资金日记账!$H$4:$H$603,资金日记账!$E$4:$E$603,$A50,资金日记账!$V$4:$V$603,W$4),2))</f>
        <v/>
      </c>
      <c r="X50" s="76" t="str">
        <f ca="1">IF($A50="","",ROUND(SUMIFS(资金日记账!$H$4:$H$603,资金日记账!$E$4:$E$603,$A50,资金日记账!$V$4:$V$603,X$4),2))</f>
        <v/>
      </c>
      <c r="Y50" s="76" t="str">
        <f ca="1">IF($A50="","",ROUND(SUMIFS(资金日记账!$H$4:$H$603,资金日记账!$E$4:$E$603,$A50,资金日记账!$V$4:$V$603,Y$4),2))</f>
        <v/>
      </c>
      <c r="Z50" s="87" t="str">
        <f ca="1" t="shared" si="1"/>
        <v/>
      </c>
    </row>
    <row r="51" spans="1:26">
      <c r="A51" s="86" t="str">
        <f>IFERROR(INDEX(_自动清单!$AJ$4:$AJ$63,47),"")</f>
        <v/>
      </c>
      <c r="B51" s="76" t="str">
        <f ca="1">IF($A51="","",ROUND(SUMIFS(资金日记账!$H$4:$H$603,资金日记账!$E$4:$E$603,$A51,资金日记账!$V$4:$V$603,B$4),2))</f>
        <v/>
      </c>
      <c r="C51" s="76" t="str">
        <f ca="1">IF($A51="","",ROUND(SUMIFS(资金日记账!$H$4:$H$603,资金日记账!$E$4:$E$603,$A51,资金日记账!$V$4:$V$603,C$4),2))</f>
        <v/>
      </c>
      <c r="D51" s="76" t="str">
        <f ca="1">IF($A51="","",ROUND(SUMIFS(资金日记账!$H$4:$H$603,资金日记账!$E$4:$E$603,$A51,资金日记账!$V$4:$V$603,D$4),2))</f>
        <v/>
      </c>
      <c r="E51" s="76" t="str">
        <f ca="1">IF($A51="","",ROUND(SUMIFS(资金日记账!$H$4:$H$603,资金日记账!$E$4:$E$603,$A51,资金日记账!$V$4:$V$603,E$4),2))</f>
        <v/>
      </c>
      <c r="F51" s="76" t="str">
        <f ca="1">IF($A51="","",ROUND(SUMIFS(资金日记账!$H$4:$H$603,资金日记账!$E$4:$E$603,$A51,资金日记账!$V$4:$V$603,F$4),2))</f>
        <v/>
      </c>
      <c r="G51" s="76" t="str">
        <f ca="1">IF($A51="","",ROUND(SUMIFS(资金日记账!$H$4:$H$603,资金日记账!$E$4:$E$603,$A51,资金日记账!$V$4:$V$603,G$4),2))</f>
        <v/>
      </c>
      <c r="H51" s="76" t="str">
        <f ca="1">IF($A51="","",ROUND(SUMIFS(资金日记账!$H$4:$H$603,资金日记账!$E$4:$E$603,$A51,资金日记账!$V$4:$V$603,H$4),2))</f>
        <v/>
      </c>
      <c r="I51" s="76" t="str">
        <f ca="1">IF($A51="","",ROUND(SUMIFS(资金日记账!$H$4:$H$603,资金日记账!$E$4:$E$603,$A51,资金日记账!$V$4:$V$603,I$4),2))</f>
        <v/>
      </c>
      <c r="J51" s="76" t="str">
        <f ca="1">IF($A51="","",ROUND(SUMIFS(资金日记账!$H$4:$H$603,资金日记账!$E$4:$E$603,$A51,资金日记账!$V$4:$V$603,J$4),2))</f>
        <v/>
      </c>
      <c r="K51" s="76" t="str">
        <f ca="1">IF($A51="","",ROUND(SUMIFS(资金日记账!$H$4:$H$603,资金日记账!$E$4:$E$603,$A51,资金日记账!$V$4:$V$603,K$4),2))</f>
        <v/>
      </c>
      <c r="L51" s="76" t="str">
        <f ca="1">IF($A51="","",ROUND(SUMIFS(资金日记账!$H$4:$H$603,资金日记账!$E$4:$E$603,$A51,资金日记账!$V$4:$V$603,L$4),2))</f>
        <v/>
      </c>
      <c r="M51" s="76" t="str">
        <f ca="1">IF($A51="","",ROUND(SUMIFS(资金日记账!$H$4:$H$603,资金日记账!$E$4:$E$603,$A51,资金日记账!$V$4:$V$603,M$4),2))</f>
        <v/>
      </c>
      <c r="N51" s="76" t="str">
        <f ca="1">IF($A51="","",ROUND(SUMIFS(资金日记账!$H$4:$H$603,资金日记账!$E$4:$E$603,$A51,资金日记账!$V$4:$V$603,N$4),2))</f>
        <v/>
      </c>
      <c r="O51" s="76" t="str">
        <f ca="1">IF($A51="","",ROUND(SUMIFS(资金日记账!$H$4:$H$603,资金日记账!$E$4:$E$603,$A51,资金日记账!$V$4:$V$603,O$4),2))</f>
        <v/>
      </c>
      <c r="P51" s="76" t="str">
        <f ca="1">IF($A51="","",ROUND(SUMIFS(资金日记账!$H$4:$H$603,资金日记账!$E$4:$E$603,$A51,资金日记账!$V$4:$V$603,P$4),2))</f>
        <v/>
      </c>
      <c r="Q51" s="76" t="str">
        <f ca="1">IF($A51="","",ROUND(SUMIFS(资金日记账!$H$4:$H$603,资金日记账!$E$4:$E$603,$A51,资金日记账!$V$4:$V$603,Q$4),2))</f>
        <v/>
      </c>
      <c r="R51" s="76" t="str">
        <f ca="1">IF($A51="","",ROUND(SUMIFS(资金日记账!$H$4:$H$603,资金日记账!$E$4:$E$603,$A51,资金日记账!$V$4:$V$603,R$4),2))</f>
        <v/>
      </c>
      <c r="S51" s="76" t="str">
        <f ca="1">IF($A51="","",ROUND(SUMIFS(资金日记账!$H$4:$H$603,资金日记账!$E$4:$E$603,$A51,资金日记账!$V$4:$V$603,S$4),2))</f>
        <v/>
      </c>
      <c r="T51" s="76" t="str">
        <f ca="1">IF($A51="","",ROUND(SUMIFS(资金日记账!$H$4:$H$603,资金日记账!$E$4:$E$603,$A51,资金日记账!$V$4:$V$603,T$4),2))</f>
        <v/>
      </c>
      <c r="U51" s="76" t="str">
        <f ca="1">IF($A51="","",ROUND(SUMIFS(资金日记账!$H$4:$H$603,资金日记账!$E$4:$E$603,$A51,资金日记账!$V$4:$V$603,U$4),2))</f>
        <v/>
      </c>
      <c r="V51" s="76" t="str">
        <f ca="1">IF($A51="","",ROUND(SUMIFS(资金日记账!$H$4:$H$603,资金日记账!$E$4:$E$603,$A51,资金日记账!$V$4:$V$603,V$4),2))</f>
        <v/>
      </c>
      <c r="W51" s="76" t="str">
        <f ca="1">IF($A51="","",ROUND(SUMIFS(资金日记账!$H$4:$H$603,资金日记账!$E$4:$E$603,$A51,资金日记账!$V$4:$V$603,W$4),2))</f>
        <v/>
      </c>
      <c r="X51" s="76" t="str">
        <f ca="1">IF($A51="","",ROUND(SUMIFS(资金日记账!$H$4:$H$603,资金日记账!$E$4:$E$603,$A51,资金日记账!$V$4:$V$603,X$4),2))</f>
        <v/>
      </c>
      <c r="Y51" s="76" t="str">
        <f ca="1">IF($A51="","",ROUND(SUMIFS(资金日记账!$H$4:$H$603,资金日记账!$E$4:$E$603,$A51,资金日记账!$V$4:$V$603,Y$4),2))</f>
        <v/>
      </c>
      <c r="Z51" s="87" t="str">
        <f ca="1" t="shared" si="1"/>
        <v/>
      </c>
    </row>
    <row r="52" spans="1:26">
      <c r="A52" s="86" t="str">
        <f>IFERROR(INDEX(_自动清单!$AJ$4:$AJ$63,48),"")</f>
        <v/>
      </c>
      <c r="B52" s="76" t="str">
        <f ca="1">IF($A52="","",ROUND(SUMIFS(资金日记账!$H$4:$H$603,资金日记账!$E$4:$E$603,$A52,资金日记账!$V$4:$V$603,B$4),2))</f>
        <v/>
      </c>
      <c r="C52" s="76" t="str">
        <f ca="1">IF($A52="","",ROUND(SUMIFS(资金日记账!$H$4:$H$603,资金日记账!$E$4:$E$603,$A52,资金日记账!$V$4:$V$603,C$4),2))</f>
        <v/>
      </c>
      <c r="D52" s="76" t="str">
        <f ca="1">IF($A52="","",ROUND(SUMIFS(资金日记账!$H$4:$H$603,资金日记账!$E$4:$E$603,$A52,资金日记账!$V$4:$V$603,D$4),2))</f>
        <v/>
      </c>
      <c r="E52" s="76" t="str">
        <f ca="1">IF($A52="","",ROUND(SUMIFS(资金日记账!$H$4:$H$603,资金日记账!$E$4:$E$603,$A52,资金日记账!$V$4:$V$603,E$4),2))</f>
        <v/>
      </c>
      <c r="F52" s="76" t="str">
        <f ca="1">IF($A52="","",ROUND(SUMIFS(资金日记账!$H$4:$H$603,资金日记账!$E$4:$E$603,$A52,资金日记账!$V$4:$V$603,F$4),2))</f>
        <v/>
      </c>
      <c r="G52" s="76" t="str">
        <f ca="1">IF($A52="","",ROUND(SUMIFS(资金日记账!$H$4:$H$603,资金日记账!$E$4:$E$603,$A52,资金日记账!$V$4:$V$603,G$4),2))</f>
        <v/>
      </c>
      <c r="H52" s="76" t="str">
        <f ca="1">IF($A52="","",ROUND(SUMIFS(资金日记账!$H$4:$H$603,资金日记账!$E$4:$E$603,$A52,资金日记账!$V$4:$V$603,H$4),2))</f>
        <v/>
      </c>
      <c r="I52" s="76" t="str">
        <f ca="1">IF($A52="","",ROUND(SUMIFS(资金日记账!$H$4:$H$603,资金日记账!$E$4:$E$603,$A52,资金日记账!$V$4:$V$603,I$4),2))</f>
        <v/>
      </c>
      <c r="J52" s="76" t="str">
        <f ca="1">IF($A52="","",ROUND(SUMIFS(资金日记账!$H$4:$H$603,资金日记账!$E$4:$E$603,$A52,资金日记账!$V$4:$V$603,J$4),2))</f>
        <v/>
      </c>
      <c r="K52" s="76" t="str">
        <f ca="1">IF($A52="","",ROUND(SUMIFS(资金日记账!$H$4:$H$603,资金日记账!$E$4:$E$603,$A52,资金日记账!$V$4:$V$603,K$4),2))</f>
        <v/>
      </c>
      <c r="L52" s="76" t="str">
        <f ca="1">IF($A52="","",ROUND(SUMIFS(资金日记账!$H$4:$H$603,资金日记账!$E$4:$E$603,$A52,资金日记账!$V$4:$V$603,L$4),2))</f>
        <v/>
      </c>
      <c r="M52" s="76" t="str">
        <f ca="1">IF($A52="","",ROUND(SUMIFS(资金日记账!$H$4:$H$603,资金日记账!$E$4:$E$603,$A52,资金日记账!$V$4:$V$603,M$4),2))</f>
        <v/>
      </c>
      <c r="N52" s="76" t="str">
        <f ca="1">IF($A52="","",ROUND(SUMIFS(资金日记账!$H$4:$H$603,资金日记账!$E$4:$E$603,$A52,资金日记账!$V$4:$V$603,N$4),2))</f>
        <v/>
      </c>
      <c r="O52" s="76" t="str">
        <f ca="1">IF($A52="","",ROUND(SUMIFS(资金日记账!$H$4:$H$603,资金日记账!$E$4:$E$603,$A52,资金日记账!$V$4:$V$603,O$4),2))</f>
        <v/>
      </c>
      <c r="P52" s="76" t="str">
        <f ca="1">IF($A52="","",ROUND(SUMIFS(资金日记账!$H$4:$H$603,资金日记账!$E$4:$E$603,$A52,资金日记账!$V$4:$V$603,P$4),2))</f>
        <v/>
      </c>
      <c r="Q52" s="76" t="str">
        <f ca="1">IF($A52="","",ROUND(SUMIFS(资金日记账!$H$4:$H$603,资金日记账!$E$4:$E$603,$A52,资金日记账!$V$4:$V$603,Q$4),2))</f>
        <v/>
      </c>
      <c r="R52" s="76" t="str">
        <f ca="1">IF($A52="","",ROUND(SUMIFS(资金日记账!$H$4:$H$603,资金日记账!$E$4:$E$603,$A52,资金日记账!$V$4:$V$603,R$4),2))</f>
        <v/>
      </c>
      <c r="S52" s="76" t="str">
        <f ca="1">IF($A52="","",ROUND(SUMIFS(资金日记账!$H$4:$H$603,资金日记账!$E$4:$E$603,$A52,资金日记账!$V$4:$V$603,S$4),2))</f>
        <v/>
      </c>
      <c r="T52" s="76" t="str">
        <f ca="1">IF($A52="","",ROUND(SUMIFS(资金日记账!$H$4:$H$603,资金日记账!$E$4:$E$603,$A52,资金日记账!$V$4:$V$603,T$4),2))</f>
        <v/>
      </c>
      <c r="U52" s="76" t="str">
        <f ca="1">IF($A52="","",ROUND(SUMIFS(资金日记账!$H$4:$H$603,资金日记账!$E$4:$E$603,$A52,资金日记账!$V$4:$V$603,U$4),2))</f>
        <v/>
      </c>
      <c r="V52" s="76" t="str">
        <f ca="1">IF($A52="","",ROUND(SUMIFS(资金日记账!$H$4:$H$603,资金日记账!$E$4:$E$603,$A52,资金日记账!$V$4:$V$603,V$4),2))</f>
        <v/>
      </c>
      <c r="W52" s="76" t="str">
        <f ca="1">IF($A52="","",ROUND(SUMIFS(资金日记账!$H$4:$H$603,资金日记账!$E$4:$E$603,$A52,资金日记账!$V$4:$V$603,W$4),2))</f>
        <v/>
      </c>
      <c r="X52" s="76" t="str">
        <f ca="1">IF($A52="","",ROUND(SUMIFS(资金日记账!$H$4:$H$603,资金日记账!$E$4:$E$603,$A52,资金日记账!$V$4:$V$603,X$4),2))</f>
        <v/>
      </c>
      <c r="Y52" s="76" t="str">
        <f ca="1">IF($A52="","",ROUND(SUMIFS(资金日记账!$H$4:$H$603,资金日记账!$E$4:$E$603,$A52,资金日记账!$V$4:$V$603,Y$4),2))</f>
        <v/>
      </c>
      <c r="Z52" s="87" t="str">
        <f ca="1" t="shared" si="1"/>
        <v/>
      </c>
    </row>
    <row r="53" spans="1:26">
      <c r="A53" s="86" t="str">
        <f>IFERROR(INDEX(_自动清单!$AJ$4:$AJ$63,49),"")</f>
        <v/>
      </c>
      <c r="B53" s="76" t="str">
        <f ca="1">IF($A53="","",ROUND(SUMIFS(资金日记账!$H$4:$H$603,资金日记账!$E$4:$E$603,$A53,资金日记账!$V$4:$V$603,B$4),2))</f>
        <v/>
      </c>
      <c r="C53" s="76" t="str">
        <f ca="1">IF($A53="","",ROUND(SUMIFS(资金日记账!$H$4:$H$603,资金日记账!$E$4:$E$603,$A53,资金日记账!$V$4:$V$603,C$4),2))</f>
        <v/>
      </c>
      <c r="D53" s="76" t="str">
        <f ca="1">IF($A53="","",ROUND(SUMIFS(资金日记账!$H$4:$H$603,资金日记账!$E$4:$E$603,$A53,资金日记账!$V$4:$V$603,D$4),2))</f>
        <v/>
      </c>
      <c r="E53" s="76" t="str">
        <f ca="1">IF($A53="","",ROUND(SUMIFS(资金日记账!$H$4:$H$603,资金日记账!$E$4:$E$603,$A53,资金日记账!$V$4:$V$603,E$4),2))</f>
        <v/>
      </c>
      <c r="F53" s="76" t="str">
        <f ca="1">IF($A53="","",ROUND(SUMIFS(资金日记账!$H$4:$H$603,资金日记账!$E$4:$E$603,$A53,资金日记账!$V$4:$V$603,F$4),2))</f>
        <v/>
      </c>
      <c r="G53" s="76" t="str">
        <f ca="1">IF($A53="","",ROUND(SUMIFS(资金日记账!$H$4:$H$603,资金日记账!$E$4:$E$603,$A53,资金日记账!$V$4:$V$603,G$4),2))</f>
        <v/>
      </c>
      <c r="H53" s="76" t="str">
        <f ca="1">IF($A53="","",ROUND(SUMIFS(资金日记账!$H$4:$H$603,资金日记账!$E$4:$E$603,$A53,资金日记账!$V$4:$V$603,H$4),2))</f>
        <v/>
      </c>
      <c r="I53" s="76" t="str">
        <f ca="1">IF($A53="","",ROUND(SUMIFS(资金日记账!$H$4:$H$603,资金日记账!$E$4:$E$603,$A53,资金日记账!$V$4:$V$603,I$4),2))</f>
        <v/>
      </c>
      <c r="J53" s="76" t="str">
        <f ca="1">IF($A53="","",ROUND(SUMIFS(资金日记账!$H$4:$H$603,资金日记账!$E$4:$E$603,$A53,资金日记账!$V$4:$V$603,J$4),2))</f>
        <v/>
      </c>
      <c r="K53" s="76" t="str">
        <f ca="1">IF($A53="","",ROUND(SUMIFS(资金日记账!$H$4:$H$603,资金日记账!$E$4:$E$603,$A53,资金日记账!$V$4:$V$603,K$4),2))</f>
        <v/>
      </c>
      <c r="L53" s="76" t="str">
        <f ca="1">IF($A53="","",ROUND(SUMIFS(资金日记账!$H$4:$H$603,资金日记账!$E$4:$E$603,$A53,资金日记账!$V$4:$V$603,L$4),2))</f>
        <v/>
      </c>
      <c r="M53" s="76" t="str">
        <f ca="1">IF($A53="","",ROUND(SUMIFS(资金日记账!$H$4:$H$603,资金日记账!$E$4:$E$603,$A53,资金日记账!$V$4:$V$603,M$4),2))</f>
        <v/>
      </c>
      <c r="N53" s="76" t="str">
        <f ca="1">IF($A53="","",ROUND(SUMIFS(资金日记账!$H$4:$H$603,资金日记账!$E$4:$E$603,$A53,资金日记账!$V$4:$V$603,N$4),2))</f>
        <v/>
      </c>
      <c r="O53" s="76" t="str">
        <f ca="1">IF($A53="","",ROUND(SUMIFS(资金日记账!$H$4:$H$603,资金日记账!$E$4:$E$603,$A53,资金日记账!$V$4:$V$603,O$4),2))</f>
        <v/>
      </c>
      <c r="P53" s="76" t="str">
        <f ca="1">IF($A53="","",ROUND(SUMIFS(资金日记账!$H$4:$H$603,资金日记账!$E$4:$E$603,$A53,资金日记账!$V$4:$V$603,P$4),2))</f>
        <v/>
      </c>
      <c r="Q53" s="76" t="str">
        <f ca="1">IF($A53="","",ROUND(SUMIFS(资金日记账!$H$4:$H$603,资金日记账!$E$4:$E$603,$A53,资金日记账!$V$4:$V$603,Q$4),2))</f>
        <v/>
      </c>
      <c r="R53" s="76" t="str">
        <f ca="1">IF($A53="","",ROUND(SUMIFS(资金日记账!$H$4:$H$603,资金日记账!$E$4:$E$603,$A53,资金日记账!$V$4:$V$603,R$4),2))</f>
        <v/>
      </c>
      <c r="S53" s="76" t="str">
        <f ca="1">IF($A53="","",ROUND(SUMIFS(资金日记账!$H$4:$H$603,资金日记账!$E$4:$E$603,$A53,资金日记账!$V$4:$V$603,S$4),2))</f>
        <v/>
      </c>
      <c r="T53" s="76" t="str">
        <f ca="1">IF($A53="","",ROUND(SUMIFS(资金日记账!$H$4:$H$603,资金日记账!$E$4:$E$603,$A53,资金日记账!$V$4:$V$603,T$4),2))</f>
        <v/>
      </c>
      <c r="U53" s="76" t="str">
        <f ca="1">IF($A53="","",ROUND(SUMIFS(资金日记账!$H$4:$H$603,资金日记账!$E$4:$E$603,$A53,资金日记账!$V$4:$V$603,U$4),2))</f>
        <v/>
      </c>
      <c r="V53" s="76" t="str">
        <f ca="1">IF($A53="","",ROUND(SUMIFS(资金日记账!$H$4:$H$603,资金日记账!$E$4:$E$603,$A53,资金日记账!$V$4:$V$603,V$4),2))</f>
        <v/>
      </c>
      <c r="W53" s="76" t="str">
        <f ca="1">IF($A53="","",ROUND(SUMIFS(资金日记账!$H$4:$H$603,资金日记账!$E$4:$E$603,$A53,资金日记账!$V$4:$V$603,W$4),2))</f>
        <v/>
      </c>
      <c r="X53" s="76" t="str">
        <f ca="1">IF($A53="","",ROUND(SUMIFS(资金日记账!$H$4:$H$603,资金日记账!$E$4:$E$603,$A53,资金日记账!$V$4:$V$603,X$4),2))</f>
        <v/>
      </c>
      <c r="Y53" s="76" t="str">
        <f ca="1">IF($A53="","",ROUND(SUMIFS(资金日记账!$H$4:$H$603,资金日记账!$E$4:$E$603,$A53,资金日记账!$V$4:$V$603,Y$4),2))</f>
        <v/>
      </c>
      <c r="Z53" s="87" t="str">
        <f ca="1" t="shared" si="1"/>
        <v/>
      </c>
    </row>
    <row r="54" spans="1:26">
      <c r="A54" s="86" t="str">
        <f>IFERROR(INDEX(_自动清单!$AJ$4:$AJ$63,50),"")</f>
        <v/>
      </c>
      <c r="B54" s="76" t="str">
        <f ca="1">IF($A54="","",ROUND(SUMIFS(资金日记账!$H$4:$H$603,资金日记账!$E$4:$E$603,$A54,资金日记账!$V$4:$V$603,B$4),2))</f>
        <v/>
      </c>
      <c r="C54" s="76" t="str">
        <f ca="1">IF($A54="","",ROUND(SUMIFS(资金日记账!$H$4:$H$603,资金日记账!$E$4:$E$603,$A54,资金日记账!$V$4:$V$603,C$4),2))</f>
        <v/>
      </c>
      <c r="D54" s="76" t="str">
        <f ca="1">IF($A54="","",ROUND(SUMIFS(资金日记账!$H$4:$H$603,资金日记账!$E$4:$E$603,$A54,资金日记账!$V$4:$V$603,D$4),2))</f>
        <v/>
      </c>
      <c r="E54" s="76" t="str">
        <f ca="1">IF($A54="","",ROUND(SUMIFS(资金日记账!$H$4:$H$603,资金日记账!$E$4:$E$603,$A54,资金日记账!$V$4:$V$603,E$4),2))</f>
        <v/>
      </c>
      <c r="F54" s="76" t="str">
        <f ca="1">IF($A54="","",ROUND(SUMIFS(资金日记账!$H$4:$H$603,资金日记账!$E$4:$E$603,$A54,资金日记账!$V$4:$V$603,F$4),2))</f>
        <v/>
      </c>
      <c r="G54" s="76" t="str">
        <f ca="1">IF($A54="","",ROUND(SUMIFS(资金日记账!$H$4:$H$603,资金日记账!$E$4:$E$603,$A54,资金日记账!$V$4:$V$603,G$4),2))</f>
        <v/>
      </c>
      <c r="H54" s="76" t="str">
        <f ca="1">IF($A54="","",ROUND(SUMIFS(资金日记账!$H$4:$H$603,资金日记账!$E$4:$E$603,$A54,资金日记账!$V$4:$V$603,H$4),2))</f>
        <v/>
      </c>
      <c r="I54" s="76" t="str">
        <f ca="1">IF($A54="","",ROUND(SUMIFS(资金日记账!$H$4:$H$603,资金日记账!$E$4:$E$603,$A54,资金日记账!$V$4:$V$603,I$4),2))</f>
        <v/>
      </c>
      <c r="J54" s="76" t="str">
        <f ca="1">IF($A54="","",ROUND(SUMIFS(资金日记账!$H$4:$H$603,资金日记账!$E$4:$E$603,$A54,资金日记账!$V$4:$V$603,J$4),2))</f>
        <v/>
      </c>
      <c r="K54" s="76" t="str">
        <f ca="1">IF($A54="","",ROUND(SUMIFS(资金日记账!$H$4:$H$603,资金日记账!$E$4:$E$603,$A54,资金日记账!$V$4:$V$603,K$4),2))</f>
        <v/>
      </c>
      <c r="L54" s="76" t="str">
        <f ca="1">IF($A54="","",ROUND(SUMIFS(资金日记账!$H$4:$H$603,资金日记账!$E$4:$E$603,$A54,资金日记账!$V$4:$V$603,L$4),2))</f>
        <v/>
      </c>
      <c r="M54" s="76" t="str">
        <f ca="1">IF($A54="","",ROUND(SUMIFS(资金日记账!$H$4:$H$603,资金日记账!$E$4:$E$603,$A54,资金日记账!$V$4:$V$603,M$4),2))</f>
        <v/>
      </c>
      <c r="N54" s="76" t="str">
        <f ca="1">IF($A54="","",ROUND(SUMIFS(资金日记账!$H$4:$H$603,资金日记账!$E$4:$E$603,$A54,资金日记账!$V$4:$V$603,N$4),2))</f>
        <v/>
      </c>
      <c r="O54" s="76" t="str">
        <f ca="1">IF($A54="","",ROUND(SUMIFS(资金日记账!$H$4:$H$603,资金日记账!$E$4:$E$603,$A54,资金日记账!$V$4:$V$603,O$4),2))</f>
        <v/>
      </c>
      <c r="P54" s="76" t="str">
        <f ca="1">IF($A54="","",ROUND(SUMIFS(资金日记账!$H$4:$H$603,资金日记账!$E$4:$E$603,$A54,资金日记账!$V$4:$V$603,P$4),2))</f>
        <v/>
      </c>
      <c r="Q54" s="76" t="str">
        <f ca="1">IF($A54="","",ROUND(SUMIFS(资金日记账!$H$4:$H$603,资金日记账!$E$4:$E$603,$A54,资金日记账!$V$4:$V$603,Q$4),2))</f>
        <v/>
      </c>
      <c r="R54" s="76" t="str">
        <f ca="1">IF($A54="","",ROUND(SUMIFS(资金日记账!$H$4:$H$603,资金日记账!$E$4:$E$603,$A54,资金日记账!$V$4:$V$603,R$4),2))</f>
        <v/>
      </c>
      <c r="S54" s="76" t="str">
        <f ca="1">IF($A54="","",ROUND(SUMIFS(资金日记账!$H$4:$H$603,资金日记账!$E$4:$E$603,$A54,资金日记账!$V$4:$V$603,S$4),2))</f>
        <v/>
      </c>
      <c r="T54" s="76" t="str">
        <f ca="1">IF($A54="","",ROUND(SUMIFS(资金日记账!$H$4:$H$603,资金日记账!$E$4:$E$603,$A54,资金日记账!$V$4:$V$603,T$4),2))</f>
        <v/>
      </c>
      <c r="U54" s="76" t="str">
        <f ca="1">IF($A54="","",ROUND(SUMIFS(资金日记账!$H$4:$H$603,资金日记账!$E$4:$E$603,$A54,资金日记账!$V$4:$V$603,U$4),2))</f>
        <v/>
      </c>
      <c r="V54" s="76" t="str">
        <f ca="1">IF($A54="","",ROUND(SUMIFS(资金日记账!$H$4:$H$603,资金日记账!$E$4:$E$603,$A54,资金日记账!$V$4:$V$603,V$4),2))</f>
        <v/>
      </c>
      <c r="W54" s="76" t="str">
        <f ca="1">IF($A54="","",ROUND(SUMIFS(资金日记账!$H$4:$H$603,资金日记账!$E$4:$E$603,$A54,资金日记账!$V$4:$V$603,W$4),2))</f>
        <v/>
      </c>
      <c r="X54" s="76" t="str">
        <f ca="1">IF($A54="","",ROUND(SUMIFS(资金日记账!$H$4:$H$603,资金日记账!$E$4:$E$603,$A54,资金日记账!$V$4:$V$603,X$4),2))</f>
        <v/>
      </c>
      <c r="Y54" s="76" t="str">
        <f ca="1">IF($A54="","",ROUND(SUMIFS(资金日记账!$H$4:$H$603,资金日记账!$E$4:$E$603,$A54,资金日记账!$V$4:$V$603,Y$4),2))</f>
        <v/>
      </c>
      <c r="Z54" s="87" t="str">
        <f ca="1" t="shared" si="1"/>
        <v/>
      </c>
    </row>
    <row r="55" spans="1:26">
      <c r="A55" s="86" t="str">
        <f>IFERROR(INDEX(_自动清单!$AJ$4:$AJ$63,51),"")</f>
        <v/>
      </c>
      <c r="B55" s="76" t="str">
        <f ca="1">IF($A55="","",ROUND(SUMIFS(资金日记账!$H$4:$H$603,资金日记账!$E$4:$E$603,$A55,资金日记账!$V$4:$V$603,B$4),2))</f>
        <v/>
      </c>
      <c r="C55" s="76" t="str">
        <f ca="1">IF($A55="","",ROUND(SUMIFS(资金日记账!$H$4:$H$603,资金日记账!$E$4:$E$603,$A55,资金日记账!$V$4:$V$603,C$4),2))</f>
        <v/>
      </c>
      <c r="D55" s="76" t="str">
        <f ca="1">IF($A55="","",ROUND(SUMIFS(资金日记账!$H$4:$H$603,资金日记账!$E$4:$E$603,$A55,资金日记账!$V$4:$V$603,D$4),2))</f>
        <v/>
      </c>
      <c r="E55" s="76" t="str">
        <f ca="1">IF($A55="","",ROUND(SUMIFS(资金日记账!$H$4:$H$603,资金日记账!$E$4:$E$603,$A55,资金日记账!$V$4:$V$603,E$4),2))</f>
        <v/>
      </c>
      <c r="F55" s="76" t="str">
        <f ca="1">IF($A55="","",ROUND(SUMIFS(资金日记账!$H$4:$H$603,资金日记账!$E$4:$E$603,$A55,资金日记账!$V$4:$V$603,F$4),2))</f>
        <v/>
      </c>
      <c r="G55" s="76" t="str">
        <f ca="1">IF($A55="","",ROUND(SUMIFS(资金日记账!$H$4:$H$603,资金日记账!$E$4:$E$603,$A55,资金日记账!$V$4:$V$603,G$4),2))</f>
        <v/>
      </c>
      <c r="H55" s="76" t="str">
        <f ca="1">IF($A55="","",ROUND(SUMIFS(资金日记账!$H$4:$H$603,资金日记账!$E$4:$E$603,$A55,资金日记账!$V$4:$V$603,H$4),2))</f>
        <v/>
      </c>
      <c r="I55" s="76" t="str">
        <f ca="1">IF($A55="","",ROUND(SUMIFS(资金日记账!$H$4:$H$603,资金日记账!$E$4:$E$603,$A55,资金日记账!$V$4:$V$603,I$4),2))</f>
        <v/>
      </c>
      <c r="J55" s="76" t="str">
        <f ca="1">IF($A55="","",ROUND(SUMIFS(资金日记账!$H$4:$H$603,资金日记账!$E$4:$E$603,$A55,资金日记账!$V$4:$V$603,J$4),2))</f>
        <v/>
      </c>
      <c r="K55" s="76" t="str">
        <f ca="1">IF($A55="","",ROUND(SUMIFS(资金日记账!$H$4:$H$603,资金日记账!$E$4:$E$603,$A55,资金日记账!$V$4:$V$603,K$4),2))</f>
        <v/>
      </c>
      <c r="L55" s="76" t="str">
        <f ca="1">IF($A55="","",ROUND(SUMIFS(资金日记账!$H$4:$H$603,资金日记账!$E$4:$E$603,$A55,资金日记账!$V$4:$V$603,L$4),2))</f>
        <v/>
      </c>
      <c r="M55" s="76" t="str">
        <f ca="1">IF($A55="","",ROUND(SUMIFS(资金日记账!$H$4:$H$603,资金日记账!$E$4:$E$603,$A55,资金日记账!$V$4:$V$603,M$4),2))</f>
        <v/>
      </c>
      <c r="N55" s="76" t="str">
        <f ca="1">IF($A55="","",ROUND(SUMIFS(资金日记账!$H$4:$H$603,资金日记账!$E$4:$E$603,$A55,资金日记账!$V$4:$V$603,N$4),2))</f>
        <v/>
      </c>
      <c r="O55" s="76" t="str">
        <f ca="1">IF($A55="","",ROUND(SUMIFS(资金日记账!$H$4:$H$603,资金日记账!$E$4:$E$603,$A55,资金日记账!$V$4:$V$603,O$4),2))</f>
        <v/>
      </c>
      <c r="P55" s="76" t="str">
        <f ca="1">IF($A55="","",ROUND(SUMIFS(资金日记账!$H$4:$H$603,资金日记账!$E$4:$E$603,$A55,资金日记账!$V$4:$V$603,P$4),2))</f>
        <v/>
      </c>
      <c r="Q55" s="76" t="str">
        <f ca="1">IF($A55="","",ROUND(SUMIFS(资金日记账!$H$4:$H$603,资金日记账!$E$4:$E$603,$A55,资金日记账!$V$4:$V$603,Q$4),2))</f>
        <v/>
      </c>
      <c r="R55" s="76" t="str">
        <f ca="1">IF($A55="","",ROUND(SUMIFS(资金日记账!$H$4:$H$603,资金日记账!$E$4:$E$603,$A55,资金日记账!$V$4:$V$603,R$4),2))</f>
        <v/>
      </c>
      <c r="S55" s="76" t="str">
        <f ca="1">IF($A55="","",ROUND(SUMIFS(资金日记账!$H$4:$H$603,资金日记账!$E$4:$E$603,$A55,资金日记账!$V$4:$V$603,S$4),2))</f>
        <v/>
      </c>
      <c r="T55" s="76" t="str">
        <f ca="1">IF($A55="","",ROUND(SUMIFS(资金日记账!$H$4:$H$603,资金日记账!$E$4:$E$603,$A55,资金日记账!$V$4:$V$603,T$4),2))</f>
        <v/>
      </c>
      <c r="U55" s="76" t="str">
        <f ca="1">IF($A55="","",ROUND(SUMIFS(资金日记账!$H$4:$H$603,资金日记账!$E$4:$E$603,$A55,资金日记账!$V$4:$V$603,U$4),2))</f>
        <v/>
      </c>
      <c r="V55" s="76" t="str">
        <f ca="1">IF($A55="","",ROUND(SUMIFS(资金日记账!$H$4:$H$603,资金日记账!$E$4:$E$603,$A55,资金日记账!$V$4:$V$603,V$4),2))</f>
        <v/>
      </c>
      <c r="W55" s="76" t="str">
        <f ca="1">IF($A55="","",ROUND(SUMIFS(资金日记账!$H$4:$H$603,资金日记账!$E$4:$E$603,$A55,资金日记账!$V$4:$V$603,W$4),2))</f>
        <v/>
      </c>
      <c r="X55" s="76" t="str">
        <f ca="1">IF($A55="","",ROUND(SUMIFS(资金日记账!$H$4:$H$603,资金日记账!$E$4:$E$603,$A55,资金日记账!$V$4:$V$603,X$4),2))</f>
        <v/>
      </c>
      <c r="Y55" s="76" t="str">
        <f ca="1">IF($A55="","",ROUND(SUMIFS(资金日记账!$H$4:$H$603,资金日记账!$E$4:$E$603,$A55,资金日记账!$V$4:$V$603,Y$4),2))</f>
        <v/>
      </c>
      <c r="Z55" s="87" t="str">
        <f ca="1" t="shared" si="1"/>
        <v/>
      </c>
    </row>
    <row r="56" spans="1:26">
      <c r="A56" s="86" t="str">
        <f>IFERROR(INDEX(_自动清单!$AJ$4:$AJ$63,52),"")</f>
        <v/>
      </c>
      <c r="B56" s="76" t="str">
        <f ca="1">IF($A56="","",ROUND(SUMIFS(资金日记账!$H$4:$H$603,资金日记账!$E$4:$E$603,$A56,资金日记账!$V$4:$V$603,B$4),2))</f>
        <v/>
      </c>
      <c r="C56" s="76" t="str">
        <f ca="1">IF($A56="","",ROUND(SUMIFS(资金日记账!$H$4:$H$603,资金日记账!$E$4:$E$603,$A56,资金日记账!$V$4:$V$603,C$4),2))</f>
        <v/>
      </c>
      <c r="D56" s="76" t="str">
        <f ca="1">IF($A56="","",ROUND(SUMIFS(资金日记账!$H$4:$H$603,资金日记账!$E$4:$E$603,$A56,资金日记账!$V$4:$V$603,D$4),2))</f>
        <v/>
      </c>
      <c r="E56" s="76" t="str">
        <f ca="1">IF($A56="","",ROUND(SUMIFS(资金日记账!$H$4:$H$603,资金日记账!$E$4:$E$603,$A56,资金日记账!$V$4:$V$603,E$4),2))</f>
        <v/>
      </c>
      <c r="F56" s="76" t="str">
        <f ca="1">IF($A56="","",ROUND(SUMIFS(资金日记账!$H$4:$H$603,资金日记账!$E$4:$E$603,$A56,资金日记账!$V$4:$V$603,F$4),2))</f>
        <v/>
      </c>
      <c r="G56" s="76" t="str">
        <f ca="1">IF($A56="","",ROUND(SUMIFS(资金日记账!$H$4:$H$603,资金日记账!$E$4:$E$603,$A56,资金日记账!$V$4:$V$603,G$4),2))</f>
        <v/>
      </c>
      <c r="H56" s="76" t="str">
        <f ca="1">IF($A56="","",ROUND(SUMIFS(资金日记账!$H$4:$H$603,资金日记账!$E$4:$E$603,$A56,资金日记账!$V$4:$V$603,H$4),2))</f>
        <v/>
      </c>
      <c r="I56" s="76" t="str">
        <f ca="1">IF($A56="","",ROUND(SUMIFS(资金日记账!$H$4:$H$603,资金日记账!$E$4:$E$603,$A56,资金日记账!$V$4:$V$603,I$4),2))</f>
        <v/>
      </c>
      <c r="J56" s="76" t="str">
        <f ca="1">IF($A56="","",ROUND(SUMIFS(资金日记账!$H$4:$H$603,资金日记账!$E$4:$E$603,$A56,资金日记账!$V$4:$V$603,J$4),2))</f>
        <v/>
      </c>
      <c r="K56" s="76" t="str">
        <f ca="1">IF($A56="","",ROUND(SUMIFS(资金日记账!$H$4:$H$603,资金日记账!$E$4:$E$603,$A56,资金日记账!$V$4:$V$603,K$4),2))</f>
        <v/>
      </c>
      <c r="L56" s="76" t="str">
        <f ca="1">IF($A56="","",ROUND(SUMIFS(资金日记账!$H$4:$H$603,资金日记账!$E$4:$E$603,$A56,资金日记账!$V$4:$V$603,L$4),2))</f>
        <v/>
      </c>
      <c r="M56" s="76" t="str">
        <f ca="1">IF($A56="","",ROUND(SUMIFS(资金日记账!$H$4:$H$603,资金日记账!$E$4:$E$603,$A56,资金日记账!$V$4:$V$603,M$4),2))</f>
        <v/>
      </c>
      <c r="N56" s="76" t="str">
        <f ca="1">IF($A56="","",ROUND(SUMIFS(资金日记账!$H$4:$H$603,资金日记账!$E$4:$E$603,$A56,资金日记账!$V$4:$V$603,N$4),2))</f>
        <v/>
      </c>
      <c r="O56" s="76" t="str">
        <f ca="1">IF($A56="","",ROUND(SUMIFS(资金日记账!$H$4:$H$603,资金日记账!$E$4:$E$603,$A56,资金日记账!$V$4:$V$603,O$4),2))</f>
        <v/>
      </c>
      <c r="P56" s="76" t="str">
        <f ca="1">IF($A56="","",ROUND(SUMIFS(资金日记账!$H$4:$H$603,资金日记账!$E$4:$E$603,$A56,资金日记账!$V$4:$V$603,P$4),2))</f>
        <v/>
      </c>
      <c r="Q56" s="76" t="str">
        <f ca="1">IF($A56="","",ROUND(SUMIFS(资金日记账!$H$4:$H$603,资金日记账!$E$4:$E$603,$A56,资金日记账!$V$4:$V$603,Q$4),2))</f>
        <v/>
      </c>
      <c r="R56" s="76" t="str">
        <f ca="1">IF($A56="","",ROUND(SUMIFS(资金日记账!$H$4:$H$603,资金日记账!$E$4:$E$603,$A56,资金日记账!$V$4:$V$603,R$4),2))</f>
        <v/>
      </c>
      <c r="S56" s="76" t="str">
        <f ca="1">IF($A56="","",ROUND(SUMIFS(资金日记账!$H$4:$H$603,资金日记账!$E$4:$E$603,$A56,资金日记账!$V$4:$V$603,S$4),2))</f>
        <v/>
      </c>
      <c r="T56" s="76" t="str">
        <f ca="1">IF($A56="","",ROUND(SUMIFS(资金日记账!$H$4:$H$603,资金日记账!$E$4:$E$603,$A56,资金日记账!$V$4:$V$603,T$4),2))</f>
        <v/>
      </c>
      <c r="U56" s="76" t="str">
        <f ca="1">IF($A56="","",ROUND(SUMIFS(资金日记账!$H$4:$H$603,资金日记账!$E$4:$E$603,$A56,资金日记账!$V$4:$V$603,U$4),2))</f>
        <v/>
      </c>
      <c r="V56" s="76" t="str">
        <f ca="1">IF($A56="","",ROUND(SUMIFS(资金日记账!$H$4:$H$603,资金日记账!$E$4:$E$603,$A56,资金日记账!$V$4:$V$603,V$4),2))</f>
        <v/>
      </c>
      <c r="W56" s="76" t="str">
        <f ca="1">IF($A56="","",ROUND(SUMIFS(资金日记账!$H$4:$H$603,资金日记账!$E$4:$E$603,$A56,资金日记账!$V$4:$V$603,W$4),2))</f>
        <v/>
      </c>
      <c r="X56" s="76" t="str">
        <f ca="1">IF($A56="","",ROUND(SUMIFS(资金日记账!$H$4:$H$603,资金日记账!$E$4:$E$603,$A56,资金日记账!$V$4:$V$603,X$4),2))</f>
        <v/>
      </c>
      <c r="Y56" s="76" t="str">
        <f ca="1">IF($A56="","",ROUND(SUMIFS(资金日记账!$H$4:$H$603,资金日记账!$E$4:$E$603,$A56,资金日记账!$V$4:$V$603,Y$4),2))</f>
        <v/>
      </c>
      <c r="Z56" s="87" t="str">
        <f ca="1" t="shared" si="1"/>
        <v/>
      </c>
    </row>
    <row r="57" spans="1:26">
      <c r="A57" s="86" t="str">
        <f>IFERROR(INDEX(_自动清单!$AJ$4:$AJ$63,53),"")</f>
        <v/>
      </c>
      <c r="B57" s="76" t="str">
        <f ca="1">IF($A57="","",ROUND(SUMIFS(资金日记账!$H$4:$H$603,资金日记账!$E$4:$E$603,$A57,资金日记账!$V$4:$V$603,B$4),2))</f>
        <v/>
      </c>
      <c r="C57" s="76" t="str">
        <f ca="1">IF($A57="","",ROUND(SUMIFS(资金日记账!$H$4:$H$603,资金日记账!$E$4:$E$603,$A57,资金日记账!$V$4:$V$603,C$4),2))</f>
        <v/>
      </c>
      <c r="D57" s="76" t="str">
        <f ca="1">IF($A57="","",ROUND(SUMIFS(资金日记账!$H$4:$H$603,资金日记账!$E$4:$E$603,$A57,资金日记账!$V$4:$V$603,D$4),2))</f>
        <v/>
      </c>
      <c r="E57" s="76" t="str">
        <f ca="1">IF($A57="","",ROUND(SUMIFS(资金日记账!$H$4:$H$603,资金日记账!$E$4:$E$603,$A57,资金日记账!$V$4:$V$603,E$4),2))</f>
        <v/>
      </c>
      <c r="F57" s="76" t="str">
        <f ca="1">IF($A57="","",ROUND(SUMIFS(资金日记账!$H$4:$H$603,资金日记账!$E$4:$E$603,$A57,资金日记账!$V$4:$V$603,F$4),2))</f>
        <v/>
      </c>
      <c r="G57" s="76" t="str">
        <f ca="1">IF($A57="","",ROUND(SUMIFS(资金日记账!$H$4:$H$603,资金日记账!$E$4:$E$603,$A57,资金日记账!$V$4:$V$603,G$4),2))</f>
        <v/>
      </c>
      <c r="H57" s="76" t="str">
        <f ca="1">IF($A57="","",ROUND(SUMIFS(资金日记账!$H$4:$H$603,资金日记账!$E$4:$E$603,$A57,资金日记账!$V$4:$V$603,H$4),2))</f>
        <v/>
      </c>
      <c r="I57" s="76" t="str">
        <f ca="1">IF($A57="","",ROUND(SUMIFS(资金日记账!$H$4:$H$603,资金日记账!$E$4:$E$603,$A57,资金日记账!$V$4:$V$603,I$4),2))</f>
        <v/>
      </c>
      <c r="J57" s="76" t="str">
        <f ca="1">IF($A57="","",ROUND(SUMIFS(资金日记账!$H$4:$H$603,资金日记账!$E$4:$E$603,$A57,资金日记账!$V$4:$V$603,J$4),2))</f>
        <v/>
      </c>
      <c r="K57" s="76" t="str">
        <f ca="1">IF($A57="","",ROUND(SUMIFS(资金日记账!$H$4:$H$603,资金日记账!$E$4:$E$603,$A57,资金日记账!$V$4:$V$603,K$4),2))</f>
        <v/>
      </c>
      <c r="L57" s="76" t="str">
        <f ca="1">IF($A57="","",ROUND(SUMIFS(资金日记账!$H$4:$H$603,资金日记账!$E$4:$E$603,$A57,资金日记账!$V$4:$V$603,L$4),2))</f>
        <v/>
      </c>
      <c r="M57" s="76" t="str">
        <f ca="1">IF($A57="","",ROUND(SUMIFS(资金日记账!$H$4:$H$603,资金日记账!$E$4:$E$603,$A57,资金日记账!$V$4:$V$603,M$4),2))</f>
        <v/>
      </c>
      <c r="N57" s="76" t="str">
        <f ca="1">IF($A57="","",ROUND(SUMIFS(资金日记账!$H$4:$H$603,资金日记账!$E$4:$E$603,$A57,资金日记账!$V$4:$V$603,N$4),2))</f>
        <v/>
      </c>
      <c r="O57" s="76" t="str">
        <f ca="1">IF($A57="","",ROUND(SUMIFS(资金日记账!$H$4:$H$603,资金日记账!$E$4:$E$603,$A57,资金日记账!$V$4:$V$603,O$4),2))</f>
        <v/>
      </c>
      <c r="P57" s="76" t="str">
        <f ca="1">IF($A57="","",ROUND(SUMIFS(资金日记账!$H$4:$H$603,资金日记账!$E$4:$E$603,$A57,资金日记账!$V$4:$V$603,P$4),2))</f>
        <v/>
      </c>
      <c r="Q57" s="76" t="str">
        <f ca="1">IF($A57="","",ROUND(SUMIFS(资金日记账!$H$4:$H$603,资金日记账!$E$4:$E$603,$A57,资金日记账!$V$4:$V$603,Q$4),2))</f>
        <v/>
      </c>
      <c r="R57" s="76" t="str">
        <f ca="1">IF($A57="","",ROUND(SUMIFS(资金日记账!$H$4:$H$603,资金日记账!$E$4:$E$603,$A57,资金日记账!$V$4:$V$603,R$4),2))</f>
        <v/>
      </c>
      <c r="S57" s="76" t="str">
        <f ca="1">IF($A57="","",ROUND(SUMIFS(资金日记账!$H$4:$H$603,资金日记账!$E$4:$E$603,$A57,资金日记账!$V$4:$V$603,S$4),2))</f>
        <v/>
      </c>
      <c r="T57" s="76" t="str">
        <f ca="1">IF($A57="","",ROUND(SUMIFS(资金日记账!$H$4:$H$603,资金日记账!$E$4:$E$603,$A57,资金日记账!$V$4:$V$603,T$4),2))</f>
        <v/>
      </c>
      <c r="U57" s="76" t="str">
        <f ca="1">IF($A57="","",ROUND(SUMIFS(资金日记账!$H$4:$H$603,资金日记账!$E$4:$E$603,$A57,资金日记账!$V$4:$V$603,U$4),2))</f>
        <v/>
      </c>
      <c r="V57" s="76" t="str">
        <f ca="1">IF($A57="","",ROUND(SUMIFS(资金日记账!$H$4:$H$603,资金日记账!$E$4:$E$603,$A57,资金日记账!$V$4:$V$603,V$4),2))</f>
        <v/>
      </c>
      <c r="W57" s="76" t="str">
        <f ca="1">IF($A57="","",ROUND(SUMIFS(资金日记账!$H$4:$H$603,资金日记账!$E$4:$E$603,$A57,资金日记账!$V$4:$V$603,W$4),2))</f>
        <v/>
      </c>
      <c r="X57" s="76" t="str">
        <f ca="1">IF($A57="","",ROUND(SUMIFS(资金日记账!$H$4:$H$603,资金日记账!$E$4:$E$603,$A57,资金日记账!$V$4:$V$603,X$4),2))</f>
        <v/>
      </c>
      <c r="Y57" s="76" t="str">
        <f ca="1">IF($A57="","",ROUND(SUMIFS(资金日记账!$H$4:$H$603,资金日记账!$E$4:$E$603,$A57,资金日记账!$V$4:$V$603,Y$4),2))</f>
        <v/>
      </c>
      <c r="Z57" s="87" t="str">
        <f ca="1" t="shared" si="1"/>
        <v/>
      </c>
    </row>
    <row r="58" spans="1:26">
      <c r="A58" s="86" t="str">
        <f>IFERROR(INDEX(_自动清单!$AJ$4:$AJ$63,54),"")</f>
        <v/>
      </c>
      <c r="B58" s="76" t="str">
        <f ca="1">IF($A58="","",ROUND(SUMIFS(资金日记账!$H$4:$H$603,资金日记账!$E$4:$E$603,$A58,资金日记账!$V$4:$V$603,B$4),2))</f>
        <v/>
      </c>
      <c r="C58" s="76" t="str">
        <f ca="1">IF($A58="","",ROUND(SUMIFS(资金日记账!$H$4:$H$603,资金日记账!$E$4:$E$603,$A58,资金日记账!$V$4:$V$603,C$4),2))</f>
        <v/>
      </c>
      <c r="D58" s="76" t="str">
        <f ca="1">IF($A58="","",ROUND(SUMIFS(资金日记账!$H$4:$H$603,资金日记账!$E$4:$E$603,$A58,资金日记账!$V$4:$V$603,D$4),2))</f>
        <v/>
      </c>
      <c r="E58" s="76" t="str">
        <f ca="1">IF($A58="","",ROUND(SUMIFS(资金日记账!$H$4:$H$603,资金日记账!$E$4:$E$603,$A58,资金日记账!$V$4:$V$603,E$4),2))</f>
        <v/>
      </c>
      <c r="F58" s="76" t="str">
        <f ca="1">IF($A58="","",ROUND(SUMIFS(资金日记账!$H$4:$H$603,资金日记账!$E$4:$E$603,$A58,资金日记账!$V$4:$V$603,F$4),2))</f>
        <v/>
      </c>
      <c r="G58" s="76" t="str">
        <f ca="1">IF($A58="","",ROUND(SUMIFS(资金日记账!$H$4:$H$603,资金日记账!$E$4:$E$603,$A58,资金日记账!$V$4:$V$603,G$4),2))</f>
        <v/>
      </c>
      <c r="H58" s="76" t="str">
        <f ca="1">IF($A58="","",ROUND(SUMIFS(资金日记账!$H$4:$H$603,资金日记账!$E$4:$E$603,$A58,资金日记账!$V$4:$V$603,H$4),2))</f>
        <v/>
      </c>
      <c r="I58" s="76" t="str">
        <f ca="1">IF($A58="","",ROUND(SUMIFS(资金日记账!$H$4:$H$603,资金日记账!$E$4:$E$603,$A58,资金日记账!$V$4:$V$603,I$4),2))</f>
        <v/>
      </c>
      <c r="J58" s="76" t="str">
        <f ca="1">IF($A58="","",ROUND(SUMIFS(资金日记账!$H$4:$H$603,资金日记账!$E$4:$E$603,$A58,资金日记账!$V$4:$V$603,J$4),2))</f>
        <v/>
      </c>
      <c r="K58" s="76" t="str">
        <f ca="1">IF($A58="","",ROUND(SUMIFS(资金日记账!$H$4:$H$603,资金日记账!$E$4:$E$603,$A58,资金日记账!$V$4:$V$603,K$4),2))</f>
        <v/>
      </c>
      <c r="L58" s="76" t="str">
        <f ca="1">IF($A58="","",ROUND(SUMIFS(资金日记账!$H$4:$H$603,资金日记账!$E$4:$E$603,$A58,资金日记账!$V$4:$V$603,L$4),2))</f>
        <v/>
      </c>
      <c r="M58" s="76" t="str">
        <f ca="1">IF($A58="","",ROUND(SUMIFS(资金日记账!$H$4:$H$603,资金日记账!$E$4:$E$603,$A58,资金日记账!$V$4:$V$603,M$4),2))</f>
        <v/>
      </c>
      <c r="N58" s="76" t="str">
        <f ca="1">IF($A58="","",ROUND(SUMIFS(资金日记账!$H$4:$H$603,资金日记账!$E$4:$E$603,$A58,资金日记账!$V$4:$V$603,N$4),2))</f>
        <v/>
      </c>
      <c r="O58" s="76" t="str">
        <f ca="1">IF($A58="","",ROUND(SUMIFS(资金日记账!$H$4:$H$603,资金日记账!$E$4:$E$603,$A58,资金日记账!$V$4:$V$603,O$4),2))</f>
        <v/>
      </c>
      <c r="P58" s="76" t="str">
        <f ca="1">IF($A58="","",ROUND(SUMIFS(资金日记账!$H$4:$H$603,资金日记账!$E$4:$E$603,$A58,资金日记账!$V$4:$V$603,P$4),2))</f>
        <v/>
      </c>
      <c r="Q58" s="76" t="str">
        <f ca="1">IF($A58="","",ROUND(SUMIFS(资金日记账!$H$4:$H$603,资金日记账!$E$4:$E$603,$A58,资金日记账!$V$4:$V$603,Q$4),2))</f>
        <v/>
      </c>
      <c r="R58" s="76" t="str">
        <f ca="1">IF($A58="","",ROUND(SUMIFS(资金日记账!$H$4:$H$603,资金日记账!$E$4:$E$603,$A58,资金日记账!$V$4:$V$603,R$4),2))</f>
        <v/>
      </c>
      <c r="S58" s="76" t="str">
        <f ca="1">IF($A58="","",ROUND(SUMIFS(资金日记账!$H$4:$H$603,资金日记账!$E$4:$E$603,$A58,资金日记账!$V$4:$V$603,S$4),2))</f>
        <v/>
      </c>
      <c r="T58" s="76" t="str">
        <f ca="1">IF($A58="","",ROUND(SUMIFS(资金日记账!$H$4:$H$603,资金日记账!$E$4:$E$603,$A58,资金日记账!$V$4:$V$603,T$4),2))</f>
        <v/>
      </c>
      <c r="U58" s="76" t="str">
        <f ca="1">IF($A58="","",ROUND(SUMIFS(资金日记账!$H$4:$H$603,资金日记账!$E$4:$E$603,$A58,资金日记账!$V$4:$V$603,U$4),2))</f>
        <v/>
      </c>
      <c r="V58" s="76" t="str">
        <f ca="1">IF($A58="","",ROUND(SUMIFS(资金日记账!$H$4:$H$603,资金日记账!$E$4:$E$603,$A58,资金日记账!$V$4:$V$603,V$4),2))</f>
        <v/>
      </c>
      <c r="W58" s="76" t="str">
        <f ca="1">IF($A58="","",ROUND(SUMIFS(资金日记账!$H$4:$H$603,资金日记账!$E$4:$E$603,$A58,资金日记账!$V$4:$V$603,W$4),2))</f>
        <v/>
      </c>
      <c r="X58" s="76" t="str">
        <f ca="1">IF($A58="","",ROUND(SUMIFS(资金日记账!$H$4:$H$603,资金日记账!$E$4:$E$603,$A58,资金日记账!$V$4:$V$603,X$4),2))</f>
        <v/>
      </c>
      <c r="Y58" s="76" t="str">
        <f ca="1">IF($A58="","",ROUND(SUMIFS(资金日记账!$H$4:$H$603,资金日记账!$E$4:$E$603,$A58,资金日记账!$V$4:$V$603,Y$4),2))</f>
        <v/>
      </c>
      <c r="Z58" s="87" t="str">
        <f ca="1" t="shared" si="1"/>
        <v/>
      </c>
    </row>
    <row r="59" spans="1:26">
      <c r="A59" s="86" t="str">
        <f>IFERROR(INDEX(_自动清单!$AJ$4:$AJ$63,55),"")</f>
        <v/>
      </c>
      <c r="B59" s="76" t="str">
        <f ca="1">IF($A59="","",ROUND(SUMIFS(资金日记账!$H$4:$H$603,资金日记账!$E$4:$E$603,$A59,资金日记账!$V$4:$V$603,B$4),2))</f>
        <v/>
      </c>
      <c r="C59" s="76" t="str">
        <f ca="1">IF($A59="","",ROUND(SUMIFS(资金日记账!$H$4:$H$603,资金日记账!$E$4:$E$603,$A59,资金日记账!$V$4:$V$603,C$4),2))</f>
        <v/>
      </c>
      <c r="D59" s="76" t="str">
        <f ca="1">IF($A59="","",ROUND(SUMIFS(资金日记账!$H$4:$H$603,资金日记账!$E$4:$E$603,$A59,资金日记账!$V$4:$V$603,D$4),2))</f>
        <v/>
      </c>
      <c r="E59" s="76" t="str">
        <f ca="1">IF($A59="","",ROUND(SUMIFS(资金日记账!$H$4:$H$603,资金日记账!$E$4:$E$603,$A59,资金日记账!$V$4:$V$603,E$4),2))</f>
        <v/>
      </c>
      <c r="F59" s="76" t="str">
        <f ca="1">IF($A59="","",ROUND(SUMIFS(资金日记账!$H$4:$H$603,资金日记账!$E$4:$E$603,$A59,资金日记账!$V$4:$V$603,F$4),2))</f>
        <v/>
      </c>
      <c r="G59" s="76" t="str">
        <f ca="1">IF($A59="","",ROUND(SUMIFS(资金日记账!$H$4:$H$603,资金日记账!$E$4:$E$603,$A59,资金日记账!$V$4:$V$603,G$4),2))</f>
        <v/>
      </c>
      <c r="H59" s="76" t="str">
        <f ca="1">IF($A59="","",ROUND(SUMIFS(资金日记账!$H$4:$H$603,资金日记账!$E$4:$E$603,$A59,资金日记账!$V$4:$V$603,H$4),2))</f>
        <v/>
      </c>
      <c r="I59" s="76" t="str">
        <f ca="1">IF($A59="","",ROUND(SUMIFS(资金日记账!$H$4:$H$603,资金日记账!$E$4:$E$603,$A59,资金日记账!$V$4:$V$603,I$4),2))</f>
        <v/>
      </c>
      <c r="J59" s="76" t="str">
        <f ca="1">IF($A59="","",ROUND(SUMIFS(资金日记账!$H$4:$H$603,资金日记账!$E$4:$E$603,$A59,资金日记账!$V$4:$V$603,J$4),2))</f>
        <v/>
      </c>
      <c r="K59" s="76" t="str">
        <f ca="1">IF($A59="","",ROUND(SUMIFS(资金日记账!$H$4:$H$603,资金日记账!$E$4:$E$603,$A59,资金日记账!$V$4:$V$603,K$4),2))</f>
        <v/>
      </c>
      <c r="L59" s="76" t="str">
        <f ca="1">IF($A59="","",ROUND(SUMIFS(资金日记账!$H$4:$H$603,资金日记账!$E$4:$E$603,$A59,资金日记账!$V$4:$V$603,L$4),2))</f>
        <v/>
      </c>
      <c r="M59" s="76" t="str">
        <f ca="1">IF($A59="","",ROUND(SUMIFS(资金日记账!$H$4:$H$603,资金日记账!$E$4:$E$603,$A59,资金日记账!$V$4:$V$603,M$4),2))</f>
        <v/>
      </c>
      <c r="N59" s="76" t="str">
        <f ca="1">IF($A59="","",ROUND(SUMIFS(资金日记账!$H$4:$H$603,资金日记账!$E$4:$E$603,$A59,资金日记账!$V$4:$V$603,N$4),2))</f>
        <v/>
      </c>
      <c r="O59" s="76" t="str">
        <f ca="1">IF($A59="","",ROUND(SUMIFS(资金日记账!$H$4:$H$603,资金日记账!$E$4:$E$603,$A59,资金日记账!$V$4:$V$603,O$4),2))</f>
        <v/>
      </c>
      <c r="P59" s="76" t="str">
        <f ca="1">IF($A59="","",ROUND(SUMIFS(资金日记账!$H$4:$H$603,资金日记账!$E$4:$E$603,$A59,资金日记账!$V$4:$V$603,P$4),2))</f>
        <v/>
      </c>
      <c r="Q59" s="76" t="str">
        <f ca="1">IF($A59="","",ROUND(SUMIFS(资金日记账!$H$4:$H$603,资金日记账!$E$4:$E$603,$A59,资金日记账!$V$4:$V$603,Q$4),2))</f>
        <v/>
      </c>
      <c r="R59" s="76" t="str">
        <f ca="1">IF($A59="","",ROUND(SUMIFS(资金日记账!$H$4:$H$603,资金日记账!$E$4:$E$603,$A59,资金日记账!$V$4:$V$603,R$4),2))</f>
        <v/>
      </c>
      <c r="S59" s="76" t="str">
        <f ca="1">IF($A59="","",ROUND(SUMIFS(资金日记账!$H$4:$H$603,资金日记账!$E$4:$E$603,$A59,资金日记账!$V$4:$V$603,S$4),2))</f>
        <v/>
      </c>
      <c r="T59" s="76" t="str">
        <f ca="1">IF($A59="","",ROUND(SUMIFS(资金日记账!$H$4:$H$603,资金日记账!$E$4:$E$603,$A59,资金日记账!$V$4:$V$603,T$4),2))</f>
        <v/>
      </c>
      <c r="U59" s="76" t="str">
        <f ca="1">IF($A59="","",ROUND(SUMIFS(资金日记账!$H$4:$H$603,资金日记账!$E$4:$E$603,$A59,资金日记账!$V$4:$V$603,U$4),2))</f>
        <v/>
      </c>
      <c r="V59" s="76" t="str">
        <f ca="1">IF($A59="","",ROUND(SUMIFS(资金日记账!$H$4:$H$603,资金日记账!$E$4:$E$603,$A59,资金日记账!$V$4:$V$603,V$4),2))</f>
        <v/>
      </c>
      <c r="W59" s="76" t="str">
        <f ca="1">IF($A59="","",ROUND(SUMIFS(资金日记账!$H$4:$H$603,资金日记账!$E$4:$E$603,$A59,资金日记账!$V$4:$V$603,W$4),2))</f>
        <v/>
      </c>
      <c r="X59" s="76" t="str">
        <f ca="1">IF($A59="","",ROUND(SUMIFS(资金日记账!$H$4:$H$603,资金日记账!$E$4:$E$603,$A59,资金日记账!$V$4:$V$603,X$4),2))</f>
        <v/>
      </c>
      <c r="Y59" s="76" t="str">
        <f ca="1">IF($A59="","",ROUND(SUMIFS(资金日记账!$H$4:$H$603,资金日记账!$E$4:$E$603,$A59,资金日记账!$V$4:$V$603,Y$4),2))</f>
        <v/>
      </c>
      <c r="Z59" s="87" t="str">
        <f ca="1" t="shared" si="1"/>
        <v/>
      </c>
    </row>
    <row r="60" spans="1:26">
      <c r="A60" s="86" t="str">
        <f>IFERROR(INDEX(_自动清单!$AJ$4:$AJ$63,56),"")</f>
        <v/>
      </c>
      <c r="B60" s="76" t="str">
        <f ca="1">IF($A60="","",ROUND(SUMIFS(资金日记账!$H$4:$H$603,资金日记账!$E$4:$E$603,$A60,资金日记账!$V$4:$V$603,B$4),2))</f>
        <v/>
      </c>
      <c r="C60" s="76" t="str">
        <f ca="1">IF($A60="","",ROUND(SUMIFS(资金日记账!$H$4:$H$603,资金日记账!$E$4:$E$603,$A60,资金日记账!$V$4:$V$603,C$4),2))</f>
        <v/>
      </c>
      <c r="D60" s="76" t="str">
        <f ca="1">IF($A60="","",ROUND(SUMIFS(资金日记账!$H$4:$H$603,资金日记账!$E$4:$E$603,$A60,资金日记账!$V$4:$V$603,D$4),2))</f>
        <v/>
      </c>
      <c r="E60" s="76" t="str">
        <f ca="1">IF($A60="","",ROUND(SUMIFS(资金日记账!$H$4:$H$603,资金日记账!$E$4:$E$603,$A60,资金日记账!$V$4:$V$603,E$4),2))</f>
        <v/>
      </c>
      <c r="F60" s="76" t="str">
        <f ca="1">IF($A60="","",ROUND(SUMIFS(资金日记账!$H$4:$H$603,资金日记账!$E$4:$E$603,$A60,资金日记账!$V$4:$V$603,F$4),2))</f>
        <v/>
      </c>
      <c r="G60" s="76" t="str">
        <f ca="1">IF($A60="","",ROUND(SUMIFS(资金日记账!$H$4:$H$603,资金日记账!$E$4:$E$603,$A60,资金日记账!$V$4:$V$603,G$4),2))</f>
        <v/>
      </c>
      <c r="H60" s="76" t="str">
        <f ca="1">IF($A60="","",ROUND(SUMIFS(资金日记账!$H$4:$H$603,资金日记账!$E$4:$E$603,$A60,资金日记账!$V$4:$V$603,H$4),2))</f>
        <v/>
      </c>
      <c r="I60" s="76" t="str">
        <f ca="1">IF($A60="","",ROUND(SUMIFS(资金日记账!$H$4:$H$603,资金日记账!$E$4:$E$603,$A60,资金日记账!$V$4:$V$603,I$4),2))</f>
        <v/>
      </c>
      <c r="J60" s="76" t="str">
        <f ca="1">IF($A60="","",ROUND(SUMIFS(资金日记账!$H$4:$H$603,资金日记账!$E$4:$E$603,$A60,资金日记账!$V$4:$V$603,J$4),2))</f>
        <v/>
      </c>
      <c r="K60" s="76" t="str">
        <f ca="1">IF($A60="","",ROUND(SUMIFS(资金日记账!$H$4:$H$603,资金日记账!$E$4:$E$603,$A60,资金日记账!$V$4:$V$603,K$4),2))</f>
        <v/>
      </c>
      <c r="L60" s="76" t="str">
        <f ca="1">IF($A60="","",ROUND(SUMIFS(资金日记账!$H$4:$H$603,资金日记账!$E$4:$E$603,$A60,资金日记账!$V$4:$V$603,L$4),2))</f>
        <v/>
      </c>
      <c r="M60" s="76" t="str">
        <f ca="1">IF($A60="","",ROUND(SUMIFS(资金日记账!$H$4:$H$603,资金日记账!$E$4:$E$603,$A60,资金日记账!$V$4:$V$603,M$4),2))</f>
        <v/>
      </c>
      <c r="N60" s="76" t="str">
        <f ca="1">IF($A60="","",ROUND(SUMIFS(资金日记账!$H$4:$H$603,资金日记账!$E$4:$E$603,$A60,资金日记账!$V$4:$V$603,N$4),2))</f>
        <v/>
      </c>
      <c r="O60" s="76" t="str">
        <f ca="1">IF($A60="","",ROUND(SUMIFS(资金日记账!$H$4:$H$603,资金日记账!$E$4:$E$603,$A60,资金日记账!$V$4:$V$603,O$4),2))</f>
        <v/>
      </c>
      <c r="P60" s="76" t="str">
        <f ca="1">IF($A60="","",ROUND(SUMIFS(资金日记账!$H$4:$H$603,资金日记账!$E$4:$E$603,$A60,资金日记账!$V$4:$V$603,P$4),2))</f>
        <v/>
      </c>
      <c r="Q60" s="76" t="str">
        <f ca="1">IF($A60="","",ROUND(SUMIFS(资金日记账!$H$4:$H$603,资金日记账!$E$4:$E$603,$A60,资金日记账!$V$4:$V$603,Q$4),2))</f>
        <v/>
      </c>
      <c r="R60" s="76" t="str">
        <f ca="1">IF($A60="","",ROUND(SUMIFS(资金日记账!$H$4:$H$603,资金日记账!$E$4:$E$603,$A60,资金日记账!$V$4:$V$603,R$4),2))</f>
        <v/>
      </c>
      <c r="S60" s="76" t="str">
        <f ca="1">IF($A60="","",ROUND(SUMIFS(资金日记账!$H$4:$H$603,资金日记账!$E$4:$E$603,$A60,资金日记账!$V$4:$V$603,S$4),2))</f>
        <v/>
      </c>
      <c r="T60" s="76" t="str">
        <f ca="1">IF($A60="","",ROUND(SUMIFS(资金日记账!$H$4:$H$603,资金日记账!$E$4:$E$603,$A60,资金日记账!$V$4:$V$603,T$4),2))</f>
        <v/>
      </c>
      <c r="U60" s="76" t="str">
        <f ca="1">IF($A60="","",ROUND(SUMIFS(资金日记账!$H$4:$H$603,资金日记账!$E$4:$E$603,$A60,资金日记账!$V$4:$V$603,U$4),2))</f>
        <v/>
      </c>
      <c r="V60" s="76" t="str">
        <f ca="1">IF($A60="","",ROUND(SUMIFS(资金日记账!$H$4:$H$603,资金日记账!$E$4:$E$603,$A60,资金日记账!$V$4:$V$603,V$4),2))</f>
        <v/>
      </c>
      <c r="W60" s="76" t="str">
        <f ca="1">IF($A60="","",ROUND(SUMIFS(资金日记账!$H$4:$H$603,资金日记账!$E$4:$E$603,$A60,资金日记账!$V$4:$V$603,W$4),2))</f>
        <v/>
      </c>
      <c r="X60" s="76" t="str">
        <f ca="1">IF($A60="","",ROUND(SUMIFS(资金日记账!$H$4:$H$603,资金日记账!$E$4:$E$603,$A60,资金日记账!$V$4:$V$603,X$4),2))</f>
        <v/>
      </c>
      <c r="Y60" s="76" t="str">
        <f ca="1">IF($A60="","",ROUND(SUMIFS(资金日记账!$H$4:$H$603,资金日记账!$E$4:$E$603,$A60,资金日记账!$V$4:$V$603,Y$4),2))</f>
        <v/>
      </c>
      <c r="Z60" s="87" t="str">
        <f ca="1" t="shared" si="1"/>
        <v/>
      </c>
    </row>
    <row r="61" spans="1:26">
      <c r="A61" s="86" t="str">
        <f>IFERROR(INDEX(_自动清单!$AJ$4:$AJ$63,57),"")</f>
        <v/>
      </c>
      <c r="B61" s="76" t="str">
        <f ca="1">IF($A61="","",ROUND(SUMIFS(资金日记账!$H$4:$H$603,资金日记账!$E$4:$E$603,$A61,资金日记账!$V$4:$V$603,B$4),2))</f>
        <v/>
      </c>
      <c r="C61" s="76" t="str">
        <f ca="1">IF($A61="","",ROUND(SUMIFS(资金日记账!$H$4:$H$603,资金日记账!$E$4:$E$603,$A61,资金日记账!$V$4:$V$603,C$4),2))</f>
        <v/>
      </c>
      <c r="D61" s="76" t="str">
        <f ca="1">IF($A61="","",ROUND(SUMIFS(资金日记账!$H$4:$H$603,资金日记账!$E$4:$E$603,$A61,资金日记账!$V$4:$V$603,D$4),2))</f>
        <v/>
      </c>
      <c r="E61" s="76" t="str">
        <f ca="1">IF($A61="","",ROUND(SUMIFS(资金日记账!$H$4:$H$603,资金日记账!$E$4:$E$603,$A61,资金日记账!$V$4:$V$603,E$4),2))</f>
        <v/>
      </c>
      <c r="F61" s="76" t="str">
        <f ca="1">IF($A61="","",ROUND(SUMIFS(资金日记账!$H$4:$H$603,资金日记账!$E$4:$E$603,$A61,资金日记账!$V$4:$V$603,F$4),2))</f>
        <v/>
      </c>
      <c r="G61" s="76" t="str">
        <f ca="1">IF($A61="","",ROUND(SUMIFS(资金日记账!$H$4:$H$603,资金日记账!$E$4:$E$603,$A61,资金日记账!$V$4:$V$603,G$4),2))</f>
        <v/>
      </c>
      <c r="H61" s="76" t="str">
        <f ca="1">IF($A61="","",ROUND(SUMIFS(资金日记账!$H$4:$H$603,资金日记账!$E$4:$E$603,$A61,资金日记账!$V$4:$V$603,H$4),2))</f>
        <v/>
      </c>
      <c r="I61" s="76" t="str">
        <f ca="1">IF($A61="","",ROUND(SUMIFS(资金日记账!$H$4:$H$603,资金日记账!$E$4:$E$603,$A61,资金日记账!$V$4:$V$603,I$4),2))</f>
        <v/>
      </c>
      <c r="J61" s="76" t="str">
        <f ca="1">IF($A61="","",ROUND(SUMIFS(资金日记账!$H$4:$H$603,资金日记账!$E$4:$E$603,$A61,资金日记账!$V$4:$V$603,J$4),2))</f>
        <v/>
      </c>
      <c r="K61" s="76" t="str">
        <f ca="1">IF($A61="","",ROUND(SUMIFS(资金日记账!$H$4:$H$603,资金日记账!$E$4:$E$603,$A61,资金日记账!$V$4:$V$603,K$4),2))</f>
        <v/>
      </c>
      <c r="L61" s="76" t="str">
        <f ca="1">IF($A61="","",ROUND(SUMIFS(资金日记账!$H$4:$H$603,资金日记账!$E$4:$E$603,$A61,资金日记账!$V$4:$V$603,L$4),2))</f>
        <v/>
      </c>
      <c r="M61" s="76" t="str">
        <f ca="1">IF($A61="","",ROUND(SUMIFS(资金日记账!$H$4:$H$603,资金日记账!$E$4:$E$603,$A61,资金日记账!$V$4:$V$603,M$4),2))</f>
        <v/>
      </c>
      <c r="N61" s="76" t="str">
        <f ca="1">IF($A61="","",ROUND(SUMIFS(资金日记账!$H$4:$H$603,资金日记账!$E$4:$E$603,$A61,资金日记账!$V$4:$V$603,N$4),2))</f>
        <v/>
      </c>
      <c r="O61" s="76" t="str">
        <f ca="1">IF($A61="","",ROUND(SUMIFS(资金日记账!$H$4:$H$603,资金日记账!$E$4:$E$603,$A61,资金日记账!$V$4:$V$603,O$4),2))</f>
        <v/>
      </c>
      <c r="P61" s="76" t="str">
        <f ca="1">IF($A61="","",ROUND(SUMIFS(资金日记账!$H$4:$H$603,资金日记账!$E$4:$E$603,$A61,资金日记账!$V$4:$V$603,P$4),2))</f>
        <v/>
      </c>
      <c r="Q61" s="76" t="str">
        <f ca="1">IF($A61="","",ROUND(SUMIFS(资金日记账!$H$4:$H$603,资金日记账!$E$4:$E$603,$A61,资金日记账!$V$4:$V$603,Q$4),2))</f>
        <v/>
      </c>
      <c r="R61" s="76" t="str">
        <f ca="1">IF($A61="","",ROUND(SUMIFS(资金日记账!$H$4:$H$603,资金日记账!$E$4:$E$603,$A61,资金日记账!$V$4:$V$603,R$4),2))</f>
        <v/>
      </c>
      <c r="S61" s="76" t="str">
        <f ca="1">IF($A61="","",ROUND(SUMIFS(资金日记账!$H$4:$H$603,资金日记账!$E$4:$E$603,$A61,资金日记账!$V$4:$V$603,S$4),2))</f>
        <v/>
      </c>
      <c r="T61" s="76" t="str">
        <f ca="1">IF($A61="","",ROUND(SUMIFS(资金日记账!$H$4:$H$603,资金日记账!$E$4:$E$603,$A61,资金日记账!$V$4:$V$603,T$4),2))</f>
        <v/>
      </c>
      <c r="U61" s="76" t="str">
        <f ca="1">IF($A61="","",ROUND(SUMIFS(资金日记账!$H$4:$H$603,资金日记账!$E$4:$E$603,$A61,资金日记账!$V$4:$V$603,U$4),2))</f>
        <v/>
      </c>
      <c r="V61" s="76" t="str">
        <f ca="1">IF($A61="","",ROUND(SUMIFS(资金日记账!$H$4:$H$603,资金日记账!$E$4:$E$603,$A61,资金日记账!$V$4:$V$603,V$4),2))</f>
        <v/>
      </c>
      <c r="W61" s="76" t="str">
        <f ca="1">IF($A61="","",ROUND(SUMIFS(资金日记账!$H$4:$H$603,资金日记账!$E$4:$E$603,$A61,资金日记账!$V$4:$V$603,W$4),2))</f>
        <v/>
      </c>
      <c r="X61" s="76" t="str">
        <f ca="1">IF($A61="","",ROUND(SUMIFS(资金日记账!$H$4:$H$603,资金日记账!$E$4:$E$603,$A61,资金日记账!$V$4:$V$603,X$4),2))</f>
        <v/>
      </c>
      <c r="Y61" s="76" t="str">
        <f ca="1">IF($A61="","",ROUND(SUMIFS(资金日记账!$H$4:$H$603,资金日记账!$E$4:$E$603,$A61,资金日记账!$V$4:$V$603,Y$4),2))</f>
        <v/>
      </c>
      <c r="Z61" s="87" t="str">
        <f ca="1" t="shared" si="1"/>
        <v/>
      </c>
    </row>
    <row r="62" spans="1:26">
      <c r="A62" s="86" t="str">
        <f>IFERROR(INDEX(_自动清单!$AJ$4:$AJ$63,58),"")</f>
        <v/>
      </c>
      <c r="B62" s="76" t="str">
        <f ca="1">IF($A62="","",ROUND(SUMIFS(资金日记账!$H$4:$H$603,资金日记账!$E$4:$E$603,$A62,资金日记账!$V$4:$V$603,B$4),2))</f>
        <v/>
      </c>
      <c r="C62" s="76" t="str">
        <f ca="1">IF($A62="","",ROUND(SUMIFS(资金日记账!$H$4:$H$603,资金日记账!$E$4:$E$603,$A62,资金日记账!$V$4:$V$603,C$4),2))</f>
        <v/>
      </c>
      <c r="D62" s="76" t="str">
        <f ca="1">IF($A62="","",ROUND(SUMIFS(资金日记账!$H$4:$H$603,资金日记账!$E$4:$E$603,$A62,资金日记账!$V$4:$V$603,D$4),2))</f>
        <v/>
      </c>
      <c r="E62" s="76" t="str">
        <f ca="1">IF($A62="","",ROUND(SUMIFS(资金日记账!$H$4:$H$603,资金日记账!$E$4:$E$603,$A62,资金日记账!$V$4:$V$603,E$4),2))</f>
        <v/>
      </c>
      <c r="F62" s="76" t="str">
        <f ca="1">IF($A62="","",ROUND(SUMIFS(资金日记账!$H$4:$H$603,资金日记账!$E$4:$E$603,$A62,资金日记账!$V$4:$V$603,F$4),2))</f>
        <v/>
      </c>
      <c r="G62" s="76" t="str">
        <f ca="1">IF($A62="","",ROUND(SUMIFS(资金日记账!$H$4:$H$603,资金日记账!$E$4:$E$603,$A62,资金日记账!$V$4:$V$603,G$4),2))</f>
        <v/>
      </c>
      <c r="H62" s="76" t="str">
        <f ca="1">IF($A62="","",ROUND(SUMIFS(资金日记账!$H$4:$H$603,资金日记账!$E$4:$E$603,$A62,资金日记账!$V$4:$V$603,H$4),2))</f>
        <v/>
      </c>
      <c r="I62" s="76" t="str">
        <f ca="1">IF($A62="","",ROUND(SUMIFS(资金日记账!$H$4:$H$603,资金日记账!$E$4:$E$603,$A62,资金日记账!$V$4:$V$603,I$4),2))</f>
        <v/>
      </c>
      <c r="J62" s="76" t="str">
        <f ca="1">IF($A62="","",ROUND(SUMIFS(资金日记账!$H$4:$H$603,资金日记账!$E$4:$E$603,$A62,资金日记账!$V$4:$V$603,J$4),2))</f>
        <v/>
      </c>
      <c r="K62" s="76" t="str">
        <f ca="1">IF($A62="","",ROUND(SUMIFS(资金日记账!$H$4:$H$603,资金日记账!$E$4:$E$603,$A62,资金日记账!$V$4:$V$603,K$4),2))</f>
        <v/>
      </c>
      <c r="L62" s="76" t="str">
        <f ca="1">IF($A62="","",ROUND(SUMIFS(资金日记账!$H$4:$H$603,资金日记账!$E$4:$E$603,$A62,资金日记账!$V$4:$V$603,L$4),2))</f>
        <v/>
      </c>
      <c r="M62" s="76" t="str">
        <f ca="1">IF($A62="","",ROUND(SUMIFS(资金日记账!$H$4:$H$603,资金日记账!$E$4:$E$603,$A62,资金日记账!$V$4:$V$603,M$4),2))</f>
        <v/>
      </c>
      <c r="N62" s="76" t="str">
        <f ca="1">IF($A62="","",ROUND(SUMIFS(资金日记账!$H$4:$H$603,资金日记账!$E$4:$E$603,$A62,资金日记账!$V$4:$V$603,N$4),2))</f>
        <v/>
      </c>
      <c r="O62" s="76" t="str">
        <f ca="1">IF($A62="","",ROUND(SUMIFS(资金日记账!$H$4:$H$603,资金日记账!$E$4:$E$603,$A62,资金日记账!$V$4:$V$603,O$4),2))</f>
        <v/>
      </c>
      <c r="P62" s="76" t="str">
        <f ca="1">IF($A62="","",ROUND(SUMIFS(资金日记账!$H$4:$H$603,资金日记账!$E$4:$E$603,$A62,资金日记账!$V$4:$V$603,P$4),2))</f>
        <v/>
      </c>
      <c r="Q62" s="76" t="str">
        <f ca="1">IF($A62="","",ROUND(SUMIFS(资金日记账!$H$4:$H$603,资金日记账!$E$4:$E$603,$A62,资金日记账!$V$4:$V$603,Q$4),2))</f>
        <v/>
      </c>
      <c r="R62" s="76" t="str">
        <f ca="1">IF($A62="","",ROUND(SUMIFS(资金日记账!$H$4:$H$603,资金日记账!$E$4:$E$603,$A62,资金日记账!$V$4:$V$603,R$4),2))</f>
        <v/>
      </c>
      <c r="S62" s="76" t="str">
        <f ca="1">IF($A62="","",ROUND(SUMIFS(资金日记账!$H$4:$H$603,资金日记账!$E$4:$E$603,$A62,资金日记账!$V$4:$V$603,S$4),2))</f>
        <v/>
      </c>
      <c r="T62" s="76" t="str">
        <f ca="1">IF($A62="","",ROUND(SUMIFS(资金日记账!$H$4:$H$603,资金日记账!$E$4:$E$603,$A62,资金日记账!$V$4:$V$603,T$4),2))</f>
        <v/>
      </c>
      <c r="U62" s="76" t="str">
        <f ca="1">IF($A62="","",ROUND(SUMIFS(资金日记账!$H$4:$H$603,资金日记账!$E$4:$E$603,$A62,资金日记账!$V$4:$V$603,U$4),2))</f>
        <v/>
      </c>
      <c r="V62" s="76" t="str">
        <f ca="1">IF($A62="","",ROUND(SUMIFS(资金日记账!$H$4:$H$603,资金日记账!$E$4:$E$603,$A62,资金日记账!$V$4:$V$603,V$4),2))</f>
        <v/>
      </c>
      <c r="W62" s="76" t="str">
        <f ca="1">IF($A62="","",ROUND(SUMIFS(资金日记账!$H$4:$H$603,资金日记账!$E$4:$E$603,$A62,资金日记账!$V$4:$V$603,W$4),2))</f>
        <v/>
      </c>
      <c r="X62" s="76" t="str">
        <f ca="1">IF($A62="","",ROUND(SUMIFS(资金日记账!$H$4:$H$603,资金日记账!$E$4:$E$603,$A62,资金日记账!$V$4:$V$603,X$4),2))</f>
        <v/>
      </c>
      <c r="Y62" s="76" t="str">
        <f ca="1">IF($A62="","",ROUND(SUMIFS(资金日记账!$H$4:$H$603,资金日记账!$E$4:$E$603,$A62,资金日记账!$V$4:$V$603,Y$4),2))</f>
        <v/>
      </c>
      <c r="Z62" s="87" t="str">
        <f ca="1" t="shared" si="1"/>
        <v/>
      </c>
    </row>
    <row r="63" spans="1:26">
      <c r="A63" s="86" t="str">
        <f>IFERROR(INDEX(_自动清单!$AJ$4:$AJ$63,59),"")</f>
        <v/>
      </c>
      <c r="B63" s="76" t="str">
        <f ca="1">IF($A63="","",ROUND(SUMIFS(资金日记账!$H$4:$H$603,资金日记账!$E$4:$E$603,$A63,资金日记账!$V$4:$V$603,B$4),2))</f>
        <v/>
      </c>
      <c r="C63" s="76" t="str">
        <f ca="1">IF($A63="","",ROUND(SUMIFS(资金日记账!$H$4:$H$603,资金日记账!$E$4:$E$603,$A63,资金日记账!$V$4:$V$603,C$4),2))</f>
        <v/>
      </c>
      <c r="D63" s="76" t="str">
        <f ca="1">IF($A63="","",ROUND(SUMIFS(资金日记账!$H$4:$H$603,资金日记账!$E$4:$E$603,$A63,资金日记账!$V$4:$V$603,D$4),2))</f>
        <v/>
      </c>
      <c r="E63" s="76" t="str">
        <f ca="1">IF($A63="","",ROUND(SUMIFS(资金日记账!$H$4:$H$603,资金日记账!$E$4:$E$603,$A63,资金日记账!$V$4:$V$603,E$4),2))</f>
        <v/>
      </c>
      <c r="F63" s="76" t="str">
        <f ca="1">IF($A63="","",ROUND(SUMIFS(资金日记账!$H$4:$H$603,资金日记账!$E$4:$E$603,$A63,资金日记账!$V$4:$V$603,F$4),2))</f>
        <v/>
      </c>
      <c r="G63" s="76" t="str">
        <f ca="1">IF($A63="","",ROUND(SUMIFS(资金日记账!$H$4:$H$603,资金日记账!$E$4:$E$603,$A63,资金日记账!$V$4:$V$603,G$4),2))</f>
        <v/>
      </c>
      <c r="H63" s="76" t="str">
        <f ca="1">IF($A63="","",ROUND(SUMIFS(资金日记账!$H$4:$H$603,资金日记账!$E$4:$E$603,$A63,资金日记账!$V$4:$V$603,H$4),2))</f>
        <v/>
      </c>
      <c r="I63" s="76" t="str">
        <f ca="1">IF($A63="","",ROUND(SUMIFS(资金日记账!$H$4:$H$603,资金日记账!$E$4:$E$603,$A63,资金日记账!$V$4:$V$603,I$4),2))</f>
        <v/>
      </c>
      <c r="J63" s="76" t="str">
        <f ca="1">IF($A63="","",ROUND(SUMIFS(资金日记账!$H$4:$H$603,资金日记账!$E$4:$E$603,$A63,资金日记账!$V$4:$V$603,J$4),2))</f>
        <v/>
      </c>
      <c r="K63" s="76" t="str">
        <f ca="1">IF($A63="","",ROUND(SUMIFS(资金日记账!$H$4:$H$603,资金日记账!$E$4:$E$603,$A63,资金日记账!$V$4:$V$603,K$4),2))</f>
        <v/>
      </c>
      <c r="L63" s="76" t="str">
        <f ca="1">IF($A63="","",ROUND(SUMIFS(资金日记账!$H$4:$H$603,资金日记账!$E$4:$E$603,$A63,资金日记账!$V$4:$V$603,L$4),2))</f>
        <v/>
      </c>
      <c r="M63" s="76" t="str">
        <f ca="1">IF($A63="","",ROUND(SUMIFS(资金日记账!$H$4:$H$603,资金日记账!$E$4:$E$603,$A63,资金日记账!$V$4:$V$603,M$4),2))</f>
        <v/>
      </c>
      <c r="N63" s="76" t="str">
        <f ca="1">IF($A63="","",ROUND(SUMIFS(资金日记账!$H$4:$H$603,资金日记账!$E$4:$E$603,$A63,资金日记账!$V$4:$V$603,N$4),2))</f>
        <v/>
      </c>
      <c r="O63" s="76" t="str">
        <f ca="1">IF($A63="","",ROUND(SUMIFS(资金日记账!$H$4:$H$603,资金日记账!$E$4:$E$603,$A63,资金日记账!$V$4:$V$603,O$4),2))</f>
        <v/>
      </c>
      <c r="P63" s="76" t="str">
        <f ca="1">IF($A63="","",ROUND(SUMIFS(资金日记账!$H$4:$H$603,资金日记账!$E$4:$E$603,$A63,资金日记账!$V$4:$V$603,P$4),2))</f>
        <v/>
      </c>
      <c r="Q63" s="76" t="str">
        <f ca="1">IF($A63="","",ROUND(SUMIFS(资金日记账!$H$4:$H$603,资金日记账!$E$4:$E$603,$A63,资金日记账!$V$4:$V$603,Q$4),2))</f>
        <v/>
      </c>
      <c r="R63" s="76" t="str">
        <f ca="1">IF($A63="","",ROUND(SUMIFS(资金日记账!$H$4:$H$603,资金日记账!$E$4:$E$603,$A63,资金日记账!$V$4:$V$603,R$4),2))</f>
        <v/>
      </c>
      <c r="S63" s="76" t="str">
        <f ca="1">IF($A63="","",ROUND(SUMIFS(资金日记账!$H$4:$H$603,资金日记账!$E$4:$E$603,$A63,资金日记账!$V$4:$V$603,S$4),2))</f>
        <v/>
      </c>
      <c r="T63" s="76" t="str">
        <f ca="1">IF($A63="","",ROUND(SUMIFS(资金日记账!$H$4:$H$603,资金日记账!$E$4:$E$603,$A63,资金日记账!$V$4:$V$603,T$4),2))</f>
        <v/>
      </c>
      <c r="U63" s="76" t="str">
        <f ca="1">IF($A63="","",ROUND(SUMIFS(资金日记账!$H$4:$H$603,资金日记账!$E$4:$E$603,$A63,资金日记账!$V$4:$V$603,U$4),2))</f>
        <v/>
      </c>
      <c r="V63" s="76" t="str">
        <f ca="1">IF($A63="","",ROUND(SUMIFS(资金日记账!$H$4:$H$603,资金日记账!$E$4:$E$603,$A63,资金日记账!$V$4:$V$603,V$4),2))</f>
        <v/>
      </c>
      <c r="W63" s="76" t="str">
        <f ca="1">IF($A63="","",ROUND(SUMIFS(资金日记账!$H$4:$H$603,资金日记账!$E$4:$E$603,$A63,资金日记账!$V$4:$V$603,W$4),2))</f>
        <v/>
      </c>
      <c r="X63" s="76" t="str">
        <f ca="1">IF($A63="","",ROUND(SUMIFS(资金日记账!$H$4:$H$603,资金日记账!$E$4:$E$603,$A63,资金日记账!$V$4:$V$603,X$4),2))</f>
        <v/>
      </c>
      <c r="Y63" s="76" t="str">
        <f ca="1">IF($A63="","",ROUND(SUMIFS(资金日记账!$H$4:$H$603,资金日记账!$E$4:$E$603,$A63,资金日记账!$V$4:$V$603,Y$4),2))</f>
        <v/>
      </c>
      <c r="Z63" s="87" t="str">
        <f ca="1" t="shared" si="1"/>
        <v/>
      </c>
    </row>
    <row r="64" spans="1:26">
      <c r="A64" s="86" t="str">
        <f>IFERROR(INDEX(_自动清单!$AJ$4:$AJ$63,60),"")</f>
        <v/>
      </c>
      <c r="B64" s="76" t="str">
        <f ca="1">IF($A64="","",ROUND(SUMIFS(资金日记账!$H$4:$H$603,资金日记账!$E$4:$E$603,$A64,资金日记账!$V$4:$V$603,B$4),2))</f>
        <v/>
      </c>
      <c r="C64" s="76" t="str">
        <f ca="1">IF($A64="","",ROUND(SUMIFS(资金日记账!$H$4:$H$603,资金日记账!$E$4:$E$603,$A64,资金日记账!$V$4:$V$603,C$4),2))</f>
        <v/>
      </c>
      <c r="D64" s="76" t="str">
        <f ca="1">IF($A64="","",ROUND(SUMIFS(资金日记账!$H$4:$H$603,资金日记账!$E$4:$E$603,$A64,资金日记账!$V$4:$V$603,D$4),2))</f>
        <v/>
      </c>
      <c r="E64" s="76" t="str">
        <f ca="1">IF($A64="","",ROUND(SUMIFS(资金日记账!$H$4:$H$603,资金日记账!$E$4:$E$603,$A64,资金日记账!$V$4:$V$603,E$4),2))</f>
        <v/>
      </c>
      <c r="F64" s="76" t="str">
        <f ca="1">IF($A64="","",ROUND(SUMIFS(资金日记账!$H$4:$H$603,资金日记账!$E$4:$E$603,$A64,资金日记账!$V$4:$V$603,F$4),2))</f>
        <v/>
      </c>
      <c r="G64" s="76" t="str">
        <f ca="1">IF($A64="","",ROUND(SUMIFS(资金日记账!$H$4:$H$603,资金日记账!$E$4:$E$603,$A64,资金日记账!$V$4:$V$603,G$4),2))</f>
        <v/>
      </c>
      <c r="H64" s="76" t="str">
        <f ca="1">IF($A64="","",ROUND(SUMIFS(资金日记账!$H$4:$H$603,资金日记账!$E$4:$E$603,$A64,资金日记账!$V$4:$V$603,H$4),2))</f>
        <v/>
      </c>
      <c r="I64" s="76" t="str">
        <f ca="1">IF($A64="","",ROUND(SUMIFS(资金日记账!$H$4:$H$603,资金日记账!$E$4:$E$603,$A64,资金日记账!$V$4:$V$603,I$4),2))</f>
        <v/>
      </c>
      <c r="J64" s="76" t="str">
        <f ca="1">IF($A64="","",ROUND(SUMIFS(资金日记账!$H$4:$H$603,资金日记账!$E$4:$E$603,$A64,资金日记账!$V$4:$V$603,J$4),2))</f>
        <v/>
      </c>
      <c r="K64" s="76" t="str">
        <f ca="1">IF($A64="","",ROUND(SUMIFS(资金日记账!$H$4:$H$603,资金日记账!$E$4:$E$603,$A64,资金日记账!$V$4:$V$603,K$4),2))</f>
        <v/>
      </c>
      <c r="L64" s="76" t="str">
        <f ca="1">IF($A64="","",ROUND(SUMIFS(资金日记账!$H$4:$H$603,资金日记账!$E$4:$E$603,$A64,资金日记账!$V$4:$V$603,L$4),2))</f>
        <v/>
      </c>
      <c r="M64" s="76" t="str">
        <f ca="1">IF($A64="","",ROUND(SUMIFS(资金日记账!$H$4:$H$603,资金日记账!$E$4:$E$603,$A64,资金日记账!$V$4:$V$603,M$4),2))</f>
        <v/>
      </c>
      <c r="N64" s="76" t="str">
        <f ca="1">IF($A64="","",ROUND(SUMIFS(资金日记账!$H$4:$H$603,资金日记账!$E$4:$E$603,$A64,资金日记账!$V$4:$V$603,N$4),2))</f>
        <v/>
      </c>
      <c r="O64" s="76" t="str">
        <f ca="1">IF($A64="","",ROUND(SUMIFS(资金日记账!$H$4:$H$603,资金日记账!$E$4:$E$603,$A64,资金日记账!$V$4:$V$603,O$4),2))</f>
        <v/>
      </c>
      <c r="P64" s="76" t="str">
        <f ca="1">IF($A64="","",ROUND(SUMIFS(资金日记账!$H$4:$H$603,资金日记账!$E$4:$E$603,$A64,资金日记账!$V$4:$V$603,P$4),2))</f>
        <v/>
      </c>
      <c r="Q64" s="76" t="str">
        <f ca="1">IF($A64="","",ROUND(SUMIFS(资金日记账!$H$4:$H$603,资金日记账!$E$4:$E$603,$A64,资金日记账!$V$4:$V$603,Q$4),2))</f>
        <v/>
      </c>
      <c r="R64" s="76" t="str">
        <f ca="1">IF($A64="","",ROUND(SUMIFS(资金日记账!$H$4:$H$603,资金日记账!$E$4:$E$603,$A64,资金日记账!$V$4:$V$603,R$4),2))</f>
        <v/>
      </c>
      <c r="S64" s="76" t="str">
        <f ca="1">IF($A64="","",ROUND(SUMIFS(资金日记账!$H$4:$H$603,资金日记账!$E$4:$E$603,$A64,资金日记账!$V$4:$V$603,S$4),2))</f>
        <v/>
      </c>
      <c r="T64" s="76" t="str">
        <f ca="1">IF($A64="","",ROUND(SUMIFS(资金日记账!$H$4:$H$603,资金日记账!$E$4:$E$603,$A64,资金日记账!$V$4:$V$603,T$4),2))</f>
        <v/>
      </c>
      <c r="U64" s="76" t="str">
        <f ca="1">IF($A64="","",ROUND(SUMIFS(资金日记账!$H$4:$H$603,资金日记账!$E$4:$E$603,$A64,资金日记账!$V$4:$V$603,U$4),2))</f>
        <v/>
      </c>
      <c r="V64" s="76" t="str">
        <f ca="1">IF($A64="","",ROUND(SUMIFS(资金日记账!$H$4:$H$603,资金日记账!$E$4:$E$603,$A64,资金日记账!$V$4:$V$603,V$4),2))</f>
        <v/>
      </c>
      <c r="W64" s="76" t="str">
        <f ca="1">IF($A64="","",ROUND(SUMIFS(资金日记账!$H$4:$H$603,资金日记账!$E$4:$E$603,$A64,资金日记账!$V$4:$V$603,W$4),2))</f>
        <v/>
      </c>
      <c r="X64" s="76" t="str">
        <f ca="1">IF($A64="","",ROUND(SUMIFS(资金日记账!$H$4:$H$603,资金日记账!$E$4:$E$603,$A64,资金日记账!$V$4:$V$603,X$4),2))</f>
        <v/>
      </c>
      <c r="Y64" s="76" t="str">
        <f ca="1">IF($A64="","",ROUND(SUMIFS(资金日记账!$H$4:$H$603,资金日记账!$E$4:$E$603,$A64,资金日记账!$V$4:$V$603,Y$4),2))</f>
        <v/>
      </c>
      <c r="Z64" s="87" t="str">
        <f ca="1" t="shared" si="1"/>
        <v/>
      </c>
    </row>
    <row r="65" spans="1:27">
      <c r="A65" s="79" t="s">
        <v>661</v>
      </c>
      <c r="B65" s="81">
        <f ca="1" t="shared" ref="B65:AA65" si="2">ROUND(SUM(B$5:B$64),2)</f>
        <v>0</v>
      </c>
      <c r="C65" s="81">
        <f ca="1" t="shared" si="2"/>
        <v>0</v>
      </c>
      <c r="D65" s="81">
        <f ca="1" t="shared" si="2"/>
        <v>0</v>
      </c>
      <c r="E65" s="81">
        <f ca="1" t="shared" si="2"/>
        <v>0</v>
      </c>
      <c r="F65" s="81">
        <f ca="1" t="shared" si="2"/>
        <v>0</v>
      </c>
      <c r="G65" s="81">
        <f ca="1" t="shared" si="2"/>
        <v>0</v>
      </c>
      <c r="H65" s="81">
        <f ca="1" t="shared" si="2"/>
        <v>0</v>
      </c>
      <c r="I65" s="81">
        <f ca="1" t="shared" si="2"/>
        <v>0</v>
      </c>
      <c r="J65" s="81">
        <f ca="1" t="shared" si="2"/>
        <v>0</v>
      </c>
      <c r="K65" s="81">
        <f ca="1" t="shared" si="2"/>
        <v>0</v>
      </c>
      <c r="L65" s="81">
        <f ca="1" t="shared" si="2"/>
        <v>0</v>
      </c>
      <c r="M65" s="81">
        <f ca="1" t="shared" si="2"/>
        <v>0</v>
      </c>
      <c r="N65" s="81">
        <f ca="1" t="shared" si="2"/>
        <v>0</v>
      </c>
      <c r="O65" s="81">
        <f ca="1" t="shared" si="2"/>
        <v>0</v>
      </c>
      <c r="P65" s="81">
        <f ca="1" t="shared" si="2"/>
        <v>0</v>
      </c>
      <c r="Q65" s="81">
        <f ca="1" t="shared" si="2"/>
        <v>0</v>
      </c>
      <c r="R65" s="81">
        <f ca="1" t="shared" si="2"/>
        <v>0</v>
      </c>
      <c r="S65" s="81">
        <f ca="1" t="shared" si="2"/>
        <v>0</v>
      </c>
      <c r="T65" s="81">
        <f ca="1" t="shared" si="2"/>
        <v>0</v>
      </c>
      <c r="U65" s="81">
        <f ca="1" t="shared" si="2"/>
        <v>0</v>
      </c>
      <c r="V65" s="81">
        <f ca="1" t="shared" si="2"/>
        <v>0</v>
      </c>
      <c r="W65" s="81">
        <f ca="1" t="shared" si="2"/>
        <v>0</v>
      </c>
      <c r="X65" s="81">
        <f ca="1" t="shared" si="2"/>
        <v>0</v>
      </c>
      <c r="Y65" s="81">
        <f ca="1" t="shared" si="2"/>
        <v>0</v>
      </c>
      <c r="Z65" s="81">
        <f ca="1" t="shared" si="2"/>
        <v>0</v>
      </c>
      <c r="AA65" s="81">
        <f t="shared" si="2"/>
        <v>0</v>
      </c>
    </row>
  </sheetData>
  <mergeCells count="3">
    <mergeCell ref="A1:AA1"/>
    <mergeCell ref="A2:D2"/>
    <mergeCell ref="G2:L2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AC68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A5" sqref="A5"/>
    </sheetView>
  </sheetViews>
  <sheetFormatPr defaultColWidth="9" defaultRowHeight="13.5"/>
  <cols>
    <col min="1" max="1" width="20" customWidth="1"/>
    <col min="2" max="25" width="12" customWidth="1"/>
    <col min="26" max="26" width="14" customWidth="1"/>
    <col min="27" max="28" width="13" customWidth="1"/>
  </cols>
  <sheetData>
    <row r="1" ht="30" customHeight="1" spans="1:29">
      <c r="A1" s="71" t="s">
        <v>662</v>
      </c>
    </row>
    <row r="2" spans="1:29">
      <c r="A2" s="72" t="s">
        <v>663</v>
      </c>
      <c r="E2" s="8" t="s">
        <v>657</v>
      </c>
      <c r="F2" s="82">
        <v>46235</v>
      </c>
      <c r="G2" s="83" t="str">
        <f>IF($F$2="","（请填 F2，例如 2026-8-1）",TEXT($F$2,"yyyy年m月")&amp;"　—　"&amp;TEXT(DATE(YEAR($F$2),MONTH($F$2)+23,1),"yyyy年m月"))</f>
        <v>2026年8月　—　2028年7月</v>
      </c>
      <c r="H2" s="46"/>
      <c r="I2" s="46"/>
      <c r="J2" s="46"/>
      <c r="K2" s="46"/>
      <c r="L2" s="38"/>
    </row>
    <row r="3" spans="1:29">
      <c r="A3" s="84" t="s">
        <v>658</v>
      </c>
      <c r="B3" s="85">
        <f ca="1" t="shared" ref="B3:AC3" si="0">ROUND(SUM(B$5:B$64),2)</f>
        <v>0</v>
      </c>
      <c r="C3" s="85">
        <f ca="1" t="shared" si="0"/>
        <v>0</v>
      </c>
      <c r="D3" s="85">
        <f ca="1" t="shared" si="0"/>
        <v>0</v>
      </c>
      <c r="E3" s="85">
        <f ca="1" t="shared" si="0"/>
        <v>0</v>
      </c>
      <c r="F3" s="85">
        <f ca="1" t="shared" si="0"/>
        <v>0</v>
      </c>
      <c r="G3" s="85">
        <f ca="1" t="shared" si="0"/>
        <v>0</v>
      </c>
      <c r="H3" s="85">
        <f ca="1" t="shared" si="0"/>
        <v>0</v>
      </c>
      <c r="I3" s="85">
        <f ca="1" t="shared" si="0"/>
        <v>0</v>
      </c>
      <c r="J3" s="85">
        <f ca="1" t="shared" si="0"/>
        <v>0</v>
      </c>
      <c r="K3" s="85">
        <f ca="1" t="shared" si="0"/>
        <v>0</v>
      </c>
      <c r="L3" s="85">
        <f ca="1" t="shared" si="0"/>
        <v>0</v>
      </c>
      <c r="M3" s="85">
        <f ca="1" t="shared" si="0"/>
        <v>0</v>
      </c>
      <c r="N3" s="85">
        <f ca="1" t="shared" si="0"/>
        <v>0</v>
      </c>
      <c r="O3" s="85">
        <f ca="1" t="shared" si="0"/>
        <v>0</v>
      </c>
      <c r="P3" s="85">
        <f ca="1" t="shared" si="0"/>
        <v>0</v>
      </c>
      <c r="Q3" s="85">
        <f ca="1" t="shared" si="0"/>
        <v>0</v>
      </c>
      <c r="R3" s="85">
        <f ca="1" t="shared" si="0"/>
        <v>0</v>
      </c>
      <c r="S3" s="85">
        <f ca="1" t="shared" si="0"/>
        <v>0</v>
      </c>
      <c r="T3" s="85">
        <f ca="1" t="shared" si="0"/>
        <v>0</v>
      </c>
      <c r="U3" s="85">
        <f ca="1" t="shared" si="0"/>
        <v>0</v>
      </c>
      <c r="V3" s="85">
        <f ca="1" t="shared" si="0"/>
        <v>0</v>
      </c>
      <c r="W3" s="85">
        <f ca="1" t="shared" si="0"/>
        <v>0</v>
      </c>
      <c r="X3" s="85">
        <f ca="1" t="shared" si="0"/>
        <v>0</v>
      </c>
      <c r="Y3" s="85">
        <f ca="1" t="shared" si="0"/>
        <v>0</v>
      </c>
      <c r="Z3" s="85">
        <f ca="1" t="shared" si="0"/>
        <v>0</v>
      </c>
      <c r="AA3" s="85">
        <f t="shared" si="0"/>
        <v>0</v>
      </c>
      <c r="AB3" s="85">
        <f ca="1" t="shared" si="0"/>
        <v>0</v>
      </c>
      <c r="AC3" s="85">
        <f t="shared" si="0"/>
        <v>0</v>
      </c>
    </row>
    <row r="4" ht="30" customHeight="1" spans="1:29">
      <c r="A4" s="73" t="s">
        <v>664</v>
      </c>
      <c r="B4" s="73" t="str">
        <f ca="1">IF($F$2="",TEXT(DATE(YEAR(TODAY()),MONTH(TODAY())+0,1),"yyyy年m月"),TEXT(DATE(YEAR($F$2),MONTH($F$2)+0,1),"yyyy年m月"))</f>
        <v>2026年8月</v>
      </c>
      <c r="C4" s="73" t="str">
        <f ca="1">IF($F$2="",TEXT(DATE(YEAR(TODAY()),MONTH(TODAY())+1,1),"yyyy年m月"),TEXT(DATE(YEAR($F$2),MONTH($F$2)+1,1),"yyyy年m月"))</f>
        <v>2026年9月</v>
      </c>
      <c r="D4" s="73" t="str">
        <f ca="1">IF($F$2="",TEXT(DATE(YEAR(TODAY()),MONTH(TODAY())+2,1),"yyyy年m月"),TEXT(DATE(YEAR($F$2),MONTH($F$2)+2,1),"yyyy年m月"))</f>
        <v>2026年10月</v>
      </c>
      <c r="E4" s="73" t="str">
        <f ca="1">IF($F$2="",TEXT(DATE(YEAR(TODAY()),MONTH(TODAY())+3,1),"yyyy年m月"),TEXT(DATE(YEAR($F$2),MONTH($F$2)+3,1),"yyyy年m月"))</f>
        <v>2026年11月</v>
      </c>
      <c r="F4" s="73" t="str">
        <f ca="1">IF($F$2="",TEXT(DATE(YEAR(TODAY()),MONTH(TODAY())+4,1),"yyyy年m月"),TEXT(DATE(YEAR($F$2),MONTH($F$2)+4,1),"yyyy年m月"))</f>
        <v>2026年12月</v>
      </c>
      <c r="G4" s="73" t="str">
        <f ca="1">IF($F$2="",TEXT(DATE(YEAR(TODAY()),MONTH(TODAY())+5,1),"yyyy年m月"),TEXT(DATE(YEAR($F$2),MONTH($F$2)+5,1),"yyyy年m月"))</f>
        <v>2027年1月</v>
      </c>
      <c r="H4" s="73" t="str">
        <f ca="1">IF($F$2="",TEXT(DATE(YEAR(TODAY()),MONTH(TODAY())+6,1),"yyyy年m月"),TEXT(DATE(YEAR($F$2),MONTH($F$2)+6,1),"yyyy年m月"))</f>
        <v>2027年2月</v>
      </c>
      <c r="I4" s="73" t="str">
        <f ca="1">IF($F$2="",TEXT(DATE(YEAR(TODAY()),MONTH(TODAY())+7,1),"yyyy年m月"),TEXT(DATE(YEAR($F$2),MONTH($F$2)+7,1),"yyyy年m月"))</f>
        <v>2027年3月</v>
      </c>
      <c r="J4" s="73" t="str">
        <f ca="1">IF($F$2="",TEXT(DATE(YEAR(TODAY()),MONTH(TODAY())+8,1),"yyyy年m月"),TEXT(DATE(YEAR($F$2),MONTH($F$2)+8,1),"yyyy年m月"))</f>
        <v>2027年4月</v>
      </c>
      <c r="K4" s="73" t="str">
        <f ca="1">IF($F$2="",TEXT(DATE(YEAR(TODAY()),MONTH(TODAY())+9,1),"yyyy年m月"),TEXT(DATE(YEAR($F$2),MONTH($F$2)+9,1),"yyyy年m月"))</f>
        <v>2027年5月</v>
      </c>
      <c r="L4" s="73" t="str">
        <f ca="1">IF($F$2="",TEXT(DATE(YEAR(TODAY()),MONTH(TODAY())+10,1),"yyyy年m月"),TEXT(DATE(YEAR($F$2),MONTH($F$2)+10,1),"yyyy年m月"))</f>
        <v>2027年6月</v>
      </c>
      <c r="M4" s="73" t="str">
        <f ca="1">IF($F$2="",TEXT(DATE(YEAR(TODAY()),MONTH(TODAY())+11,1),"yyyy年m月"),TEXT(DATE(YEAR($F$2),MONTH($F$2)+11,1),"yyyy年m月"))</f>
        <v>2027年7月</v>
      </c>
      <c r="N4" s="73" t="str">
        <f ca="1">IF($F$2="",TEXT(DATE(YEAR(TODAY()),MONTH(TODAY())+12,1),"yyyy年m月"),TEXT(DATE(YEAR($F$2),MONTH($F$2)+12,1),"yyyy年m月"))</f>
        <v>2027年8月</v>
      </c>
      <c r="O4" s="73" t="str">
        <f ca="1">IF($F$2="",TEXT(DATE(YEAR(TODAY()),MONTH(TODAY())+13,1),"yyyy年m月"),TEXT(DATE(YEAR($F$2),MONTH($F$2)+13,1),"yyyy年m月"))</f>
        <v>2027年9月</v>
      </c>
      <c r="P4" s="73" t="str">
        <f ca="1">IF($F$2="",TEXT(DATE(YEAR(TODAY()),MONTH(TODAY())+14,1),"yyyy年m月"),TEXT(DATE(YEAR($F$2),MONTH($F$2)+14,1),"yyyy年m月"))</f>
        <v>2027年10月</v>
      </c>
      <c r="Q4" s="73" t="str">
        <f ca="1">IF($F$2="",TEXT(DATE(YEAR(TODAY()),MONTH(TODAY())+15,1),"yyyy年m月"),TEXT(DATE(YEAR($F$2),MONTH($F$2)+15,1),"yyyy年m月"))</f>
        <v>2027年11月</v>
      </c>
      <c r="R4" s="73" t="str">
        <f ca="1">IF($F$2="",TEXT(DATE(YEAR(TODAY()),MONTH(TODAY())+16,1),"yyyy年m月"),TEXT(DATE(YEAR($F$2),MONTH($F$2)+16,1),"yyyy年m月"))</f>
        <v>2027年12月</v>
      </c>
      <c r="S4" s="73" t="str">
        <f ca="1">IF($F$2="",TEXT(DATE(YEAR(TODAY()),MONTH(TODAY())+17,1),"yyyy年m月"),TEXT(DATE(YEAR($F$2),MONTH($F$2)+17,1),"yyyy年m月"))</f>
        <v>2028年1月</v>
      </c>
      <c r="T4" s="73" t="str">
        <f ca="1">IF($F$2="",TEXT(DATE(YEAR(TODAY()),MONTH(TODAY())+18,1),"yyyy年m月"),TEXT(DATE(YEAR($F$2),MONTH($F$2)+18,1),"yyyy年m月"))</f>
        <v>2028年2月</v>
      </c>
      <c r="U4" s="73" t="str">
        <f ca="1">IF($F$2="",TEXT(DATE(YEAR(TODAY()),MONTH(TODAY())+19,1),"yyyy年m月"),TEXT(DATE(YEAR($F$2),MONTH($F$2)+19,1),"yyyy年m月"))</f>
        <v>2028年3月</v>
      </c>
      <c r="V4" s="73" t="str">
        <f ca="1">IF($F$2="",TEXT(DATE(YEAR(TODAY()),MONTH(TODAY())+20,1),"yyyy年m月"),TEXT(DATE(YEAR($F$2),MONTH($F$2)+20,1),"yyyy年m月"))</f>
        <v>2028年4月</v>
      </c>
      <c r="W4" s="73" t="str">
        <f ca="1">IF($F$2="",TEXT(DATE(YEAR(TODAY()),MONTH(TODAY())+21,1),"yyyy年m月"),TEXT(DATE(YEAR($F$2),MONTH($F$2)+21,1),"yyyy年m月"))</f>
        <v>2028年5月</v>
      </c>
      <c r="X4" s="73" t="str">
        <f ca="1">IF($F$2="",TEXT(DATE(YEAR(TODAY()),MONTH(TODAY())+22,1),"yyyy年m月"),TEXT(DATE(YEAR($F$2),MONTH($F$2)+22,1),"yyyy年m月"))</f>
        <v>2028年6月</v>
      </c>
      <c r="Y4" s="73" t="str">
        <f ca="1">IF($F$2="",TEXT(DATE(YEAR(TODAY()),MONTH(TODAY())+23,1),"yyyy年m月"),TEXT(DATE(YEAR($F$2),MONTH($F$2)+23,1),"yyyy年m月"))</f>
        <v>2028年7月</v>
      </c>
      <c r="Z4" s="73" t="s">
        <v>665</v>
      </c>
      <c r="AA4" s="73" t="s">
        <v>666</v>
      </c>
      <c r="AB4" s="73" t="s">
        <v>624</v>
      </c>
    </row>
    <row r="5" spans="1:29">
      <c r="A5" s="86" t="str">
        <f>IFERROR(INDEX(_自动清单!$X$4:$X$63,1),"")</f>
        <v/>
      </c>
      <c r="B5" s="76" t="str">
        <f ca="1">IF($A5="","",ROUND(SUMIFS(成本费用登记表!$H$4:$H$303,成本费用登记表!$D$4:$D$303,$A5,成本费用登记表!$AC$4:$AC$303,B$4)+SUMIFS(资金日记账!$I$4:$I$603,资金日记账!$G$4:$G$603,$A5,资金日记账!$U$4:$U$603,"&lt;&gt;是",资金日记账!$V$4:$V$603,B$4),2))</f>
        <v/>
      </c>
      <c r="C5" s="76" t="str">
        <f ca="1">IF($A5="","",ROUND(SUMIFS(成本费用登记表!$H$4:$H$303,成本费用登记表!$D$4:$D$303,$A5,成本费用登记表!$AC$4:$AC$303,C$4)+SUMIFS(资金日记账!$I$4:$I$603,资金日记账!$G$4:$G$603,$A5,资金日记账!$U$4:$U$603,"&lt;&gt;是",资金日记账!$V$4:$V$603,C$4),2))</f>
        <v/>
      </c>
      <c r="D5" s="76" t="str">
        <f ca="1">IF($A5="","",ROUND(SUMIFS(成本费用登记表!$H$4:$H$303,成本费用登记表!$D$4:$D$303,$A5,成本费用登记表!$AC$4:$AC$303,D$4)+SUMIFS(资金日记账!$I$4:$I$603,资金日记账!$G$4:$G$603,$A5,资金日记账!$U$4:$U$603,"&lt;&gt;是",资金日记账!$V$4:$V$603,D$4),2))</f>
        <v/>
      </c>
      <c r="E5" s="76" t="str">
        <f ca="1">IF($A5="","",ROUND(SUMIFS(成本费用登记表!$H$4:$H$303,成本费用登记表!$D$4:$D$303,$A5,成本费用登记表!$AC$4:$AC$303,E$4)+SUMIFS(资金日记账!$I$4:$I$603,资金日记账!$G$4:$G$603,$A5,资金日记账!$U$4:$U$603,"&lt;&gt;是",资金日记账!$V$4:$V$603,E$4),2))</f>
        <v/>
      </c>
      <c r="F5" s="76" t="str">
        <f ca="1">IF($A5="","",ROUND(SUMIFS(成本费用登记表!$H$4:$H$303,成本费用登记表!$D$4:$D$303,$A5,成本费用登记表!$AC$4:$AC$303,F$4)+SUMIFS(资金日记账!$I$4:$I$603,资金日记账!$G$4:$G$603,$A5,资金日记账!$U$4:$U$603,"&lt;&gt;是",资金日记账!$V$4:$V$603,F$4),2))</f>
        <v/>
      </c>
      <c r="G5" s="76" t="str">
        <f ca="1">IF($A5="","",ROUND(SUMIFS(成本费用登记表!$H$4:$H$303,成本费用登记表!$D$4:$D$303,$A5,成本费用登记表!$AC$4:$AC$303,G$4)+SUMIFS(资金日记账!$I$4:$I$603,资金日记账!$G$4:$G$603,$A5,资金日记账!$U$4:$U$603,"&lt;&gt;是",资金日记账!$V$4:$V$603,G$4),2))</f>
        <v/>
      </c>
      <c r="H5" s="76" t="str">
        <f ca="1">IF($A5="","",ROUND(SUMIFS(成本费用登记表!$H$4:$H$303,成本费用登记表!$D$4:$D$303,$A5,成本费用登记表!$AC$4:$AC$303,H$4)+SUMIFS(资金日记账!$I$4:$I$603,资金日记账!$G$4:$G$603,$A5,资金日记账!$U$4:$U$603,"&lt;&gt;是",资金日记账!$V$4:$V$603,H$4),2))</f>
        <v/>
      </c>
      <c r="I5" s="76" t="str">
        <f ca="1">IF($A5="","",ROUND(SUMIFS(成本费用登记表!$H$4:$H$303,成本费用登记表!$D$4:$D$303,$A5,成本费用登记表!$AC$4:$AC$303,I$4)+SUMIFS(资金日记账!$I$4:$I$603,资金日记账!$G$4:$G$603,$A5,资金日记账!$U$4:$U$603,"&lt;&gt;是",资金日记账!$V$4:$V$603,I$4),2))</f>
        <v/>
      </c>
      <c r="J5" s="76" t="str">
        <f ca="1">IF($A5="","",ROUND(SUMIFS(成本费用登记表!$H$4:$H$303,成本费用登记表!$D$4:$D$303,$A5,成本费用登记表!$AC$4:$AC$303,J$4)+SUMIFS(资金日记账!$I$4:$I$603,资金日记账!$G$4:$G$603,$A5,资金日记账!$U$4:$U$603,"&lt;&gt;是",资金日记账!$V$4:$V$603,J$4),2))</f>
        <v/>
      </c>
      <c r="K5" s="76" t="str">
        <f ca="1">IF($A5="","",ROUND(SUMIFS(成本费用登记表!$H$4:$H$303,成本费用登记表!$D$4:$D$303,$A5,成本费用登记表!$AC$4:$AC$303,K$4)+SUMIFS(资金日记账!$I$4:$I$603,资金日记账!$G$4:$G$603,$A5,资金日记账!$U$4:$U$603,"&lt;&gt;是",资金日记账!$V$4:$V$603,K$4),2))</f>
        <v/>
      </c>
      <c r="L5" s="76" t="str">
        <f ca="1">IF($A5="","",ROUND(SUMIFS(成本费用登记表!$H$4:$H$303,成本费用登记表!$D$4:$D$303,$A5,成本费用登记表!$AC$4:$AC$303,L$4)+SUMIFS(资金日记账!$I$4:$I$603,资金日记账!$G$4:$G$603,$A5,资金日记账!$U$4:$U$603,"&lt;&gt;是",资金日记账!$V$4:$V$603,L$4),2))</f>
        <v/>
      </c>
      <c r="M5" s="76" t="str">
        <f ca="1">IF($A5="","",ROUND(SUMIFS(成本费用登记表!$H$4:$H$303,成本费用登记表!$D$4:$D$303,$A5,成本费用登记表!$AC$4:$AC$303,M$4)+SUMIFS(资金日记账!$I$4:$I$603,资金日记账!$G$4:$G$603,$A5,资金日记账!$U$4:$U$603,"&lt;&gt;是",资金日记账!$V$4:$V$603,M$4),2))</f>
        <v/>
      </c>
      <c r="N5" s="76" t="str">
        <f ca="1">IF($A5="","",ROUND(SUMIFS(成本费用登记表!$H$4:$H$303,成本费用登记表!$D$4:$D$303,$A5,成本费用登记表!$AC$4:$AC$303,N$4)+SUMIFS(资金日记账!$I$4:$I$603,资金日记账!$G$4:$G$603,$A5,资金日记账!$U$4:$U$603,"&lt;&gt;是",资金日记账!$V$4:$V$603,N$4),2))</f>
        <v/>
      </c>
      <c r="O5" s="76" t="str">
        <f ca="1">IF($A5="","",ROUND(SUMIFS(成本费用登记表!$H$4:$H$303,成本费用登记表!$D$4:$D$303,$A5,成本费用登记表!$AC$4:$AC$303,O$4)+SUMIFS(资金日记账!$I$4:$I$603,资金日记账!$G$4:$G$603,$A5,资金日记账!$U$4:$U$603,"&lt;&gt;是",资金日记账!$V$4:$V$603,O$4),2))</f>
        <v/>
      </c>
      <c r="P5" s="76" t="str">
        <f ca="1">IF($A5="","",ROUND(SUMIFS(成本费用登记表!$H$4:$H$303,成本费用登记表!$D$4:$D$303,$A5,成本费用登记表!$AC$4:$AC$303,P$4)+SUMIFS(资金日记账!$I$4:$I$603,资金日记账!$G$4:$G$603,$A5,资金日记账!$U$4:$U$603,"&lt;&gt;是",资金日记账!$V$4:$V$603,P$4),2))</f>
        <v/>
      </c>
      <c r="Q5" s="76" t="str">
        <f ca="1">IF($A5="","",ROUND(SUMIFS(成本费用登记表!$H$4:$H$303,成本费用登记表!$D$4:$D$303,$A5,成本费用登记表!$AC$4:$AC$303,Q$4)+SUMIFS(资金日记账!$I$4:$I$603,资金日记账!$G$4:$G$603,$A5,资金日记账!$U$4:$U$603,"&lt;&gt;是",资金日记账!$V$4:$V$603,Q$4),2))</f>
        <v/>
      </c>
      <c r="R5" s="76" t="str">
        <f ca="1">IF($A5="","",ROUND(SUMIFS(成本费用登记表!$H$4:$H$303,成本费用登记表!$D$4:$D$303,$A5,成本费用登记表!$AC$4:$AC$303,R$4)+SUMIFS(资金日记账!$I$4:$I$603,资金日记账!$G$4:$G$603,$A5,资金日记账!$U$4:$U$603,"&lt;&gt;是",资金日记账!$V$4:$V$603,R$4),2))</f>
        <v/>
      </c>
      <c r="S5" s="76" t="str">
        <f ca="1">IF($A5="","",ROUND(SUMIFS(成本费用登记表!$H$4:$H$303,成本费用登记表!$D$4:$D$303,$A5,成本费用登记表!$AC$4:$AC$303,S$4)+SUMIFS(资金日记账!$I$4:$I$603,资金日记账!$G$4:$G$603,$A5,资金日记账!$U$4:$U$603,"&lt;&gt;是",资金日记账!$V$4:$V$603,S$4),2))</f>
        <v/>
      </c>
      <c r="T5" s="76" t="str">
        <f ca="1">IF($A5="","",ROUND(SUMIFS(成本费用登记表!$H$4:$H$303,成本费用登记表!$D$4:$D$303,$A5,成本费用登记表!$AC$4:$AC$303,T$4)+SUMIFS(资金日记账!$I$4:$I$603,资金日记账!$G$4:$G$603,$A5,资金日记账!$U$4:$U$603,"&lt;&gt;是",资金日记账!$V$4:$V$603,T$4),2))</f>
        <v/>
      </c>
      <c r="U5" s="76" t="str">
        <f ca="1">IF($A5="","",ROUND(SUMIFS(成本费用登记表!$H$4:$H$303,成本费用登记表!$D$4:$D$303,$A5,成本费用登记表!$AC$4:$AC$303,U$4)+SUMIFS(资金日记账!$I$4:$I$603,资金日记账!$G$4:$G$603,$A5,资金日记账!$U$4:$U$603,"&lt;&gt;是",资金日记账!$V$4:$V$603,U$4),2))</f>
        <v/>
      </c>
      <c r="V5" s="76" t="str">
        <f ca="1">IF($A5="","",ROUND(SUMIFS(成本费用登记表!$H$4:$H$303,成本费用登记表!$D$4:$D$303,$A5,成本费用登记表!$AC$4:$AC$303,V$4)+SUMIFS(资金日记账!$I$4:$I$603,资金日记账!$G$4:$G$603,$A5,资金日记账!$U$4:$U$603,"&lt;&gt;是",资金日记账!$V$4:$V$603,V$4),2))</f>
        <v/>
      </c>
      <c r="W5" s="76" t="str">
        <f ca="1">IF($A5="","",ROUND(SUMIFS(成本费用登记表!$H$4:$H$303,成本费用登记表!$D$4:$D$303,$A5,成本费用登记表!$AC$4:$AC$303,W$4)+SUMIFS(资金日记账!$I$4:$I$603,资金日记账!$G$4:$G$603,$A5,资金日记账!$U$4:$U$603,"&lt;&gt;是",资金日记账!$V$4:$V$603,W$4),2))</f>
        <v/>
      </c>
      <c r="X5" s="76" t="str">
        <f ca="1">IF($A5="","",ROUND(SUMIFS(成本费用登记表!$H$4:$H$303,成本费用登记表!$D$4:$D$303,$A5,成本费用登记表!$AC$4:$AC$303,X$4)+SUMIFS(资金日记账!$I$4:$I$603,资金日记账!$G$4:$G$603,$A5,资金日记账!$U$4:$U$603,"&lt;&gt;是",资金日记账!$V$4:$V$603,X$4),2))</f>
        <v/>
      </c>
      <c r="Y5" s="76" t="str">
        <f ca="1">IF($A5="","",ROUND(SUMIFS(成本费用登记表!$H$4:$H$303,成本费用登记表!$D$4:$D$303,$A5,成本费用登记表!$AC$4:$AC$303,Y$4)+SUMIFS(资金日记账!$I$4:$I$603,资金日记账!$G$4:$G$603,$A5,资金日记账!$U$4:$U$603,"&lt;&gt;是",资金日记账!$V$4:$V$603,Y$4),2))</f>
        <v/>
      </c>
      <c r="Z5" s="87" t="str">
        <f ca="1" t="shared" ref="Z5:Z64" si="1">IF($A5="","",ROUND(SUM($B5:$Y5),2))</f>
        <v/>
      </c>
      <c r="AA5" s="76" t="str">
        <f>IF($A5="","",ROUND(SUMIF(成本费用登记表!$D$4:$D$303,$A5,成本费用登记表!$AA$4:$AA$303)+SUMIFS(资金日记账!$I$4:$I$603,资金日记账!$G$4:$G$603,$A5,资金日记账!$U$4:$U$603,"&lt;&gt;是"),2))</f>
        <v/>
      </c>
      <c r="AB5" s="76" t="str">
        <f ca="1" t="shared" ref="AB5:AB64" si="2">IF($A5="","",ROUND(N($Z5)-N($AA5),2))</f>
        <v/>
      </c>
    </row>
    <row r="6" spans="1:29">
      <c r="A6" s="86" t="str">
        <f>IFERROR(INDEX(_自动清单!$X$4:$X$63,2),"")</f>
        <v/>
      </c>
      <c r="B6" s="76" t="str">
        <f ca="1">IF($A6="","",ROUND(SUMIFS(成本费用登记表!$H$4:$H$303,成本费用登记表!$D$4:$D$303,$A6,成本费用登记表!$AC$4:$AC$303,B$4)+SUMIFS(资金日记账!$I$4:$I$603,资金日记账!$G$4:$G$603,$A6,资金日记账!$U$4:$U$603,"&lt;&gt;是",资金日记账!$V$4:$V$603,B$4),2))</f>
        <v/>
      </c>
      <c r="C6" s="76" t="str">
        <f ca="1">IF($A6="","",ROUND(SUMIFS(成本费用登记表!$H$4:$H$303,成本费用登记表!$D$4:$D$303,$A6,成本费用登记表!$AC$4:$AC$303,C$4)+SUMIFS(资金日记账!$I$4:$I$603,资金日记账!$G$4:$G$603,$A6,资金日记账!$U$4:$U$603,"&lt;&gt;是",资金日记账!$V$4:$V$603,C$4),2))</f>
        <v/>
      </c>
      <c r="D6" s="76" t="str">
        <f ca="1">IF($A6="","",ROUND(SUMIFS(成本费用登记表!$H$4:$H$303,成本费用登记表!$D$4:$D$303,$A6,成本费用登记表!$AC$4:$AC$303,D$4)+SUMIFS(资金日记账!$I$4:$I$603,资金日记账!$G$4:$G$603,$A6,资金日记账!$U$4:$U$603,"&lt;&gt;是",资金日记账!$V$4:$V$603,D$4),2))</f>
        <v/>
      </c>
      <c r="E6" s="76" t="str">
        <f ca="1">IF($A6="","",ROUND(SUMIFS(成本费用登记表!$H$4:$H$303,成本费用登记表!$D$4:$D$303,$A6,成本费用登记表!$AC$4:$AC$303,E$4)+SUMIFS(资金日记账!$I$4:$I$603,资金日记账!$G$4:$G$603,$A6,资金日记账!$U$4:$U$603,"&lt;&gt;是",资金日记账!$V$4:$V$603,E$4),2))</f>
        <v/>
      </c>
      <c r="F6" s="76" t="str">
        <f ca="1">IF($A6="","",ROUND(SUMIFS(成本费用登记表!$H$4:$H$303,成本费用登记表!$D$4:$D$303,$A6,成本费用登记表!$AC$4:$AC$303,F$4)+SUMIFS(资金日记账!$I$4:$I$603,资金日记账!$G$4:$G$603,$A6,资金日记账!$U$4:$U$603,"&lt;&gt;是",资金日记账!$V$4:$V$603,F$4),2))</f>
        <v/>
      </c>
      <c r="G6" s="76" t="str">
        <f ca="1">IF($A6="","",ROUND(SUMIFS(成本费用登记表!$H$4:$H$303,成本费用登记表!$D$4:$D$303,$A6,成本费用登记表!$AC$4:$AC$303,G$4)+SUMIFS(资金日记账!$I$4:$I$603,资金日记账!$G$4:$G$603,$A6,资金日记账!$U$4:$U$603,"&lt;&gt;是",资金日记账!$V$4:$V$603,G$4),2))</f>
        <v/>
      </c>
      <c r="H6" s="76" t="str">
        <f ca="1">IF($A6="","",ROUND(SUMIFS(成本费用登记表!$H$4:$H$303,成本费用登记表!$D$4:$D$303,$A6,成本费用登记表!$AC$4:$AC$303,H$4)+SUMIFS(资金日记账!$I$4:$I$603,资金日记账!$G$4:$G$603,$A6,资金日记账!$U$4:$U$603,"&lt;&gt;是",资金日记账!$V$4:$V$603,H$4),2))</f>
        <v/>
      </c>
      <c r="I6" s="76" t="str">
        <f ca="1">IF($A6="","",ROUND(SUMIFS(成本费用登记表!$H$4:$H$303,成本费用登记表!$D$4:$D$303,$A6,成本费用登记表!$AC$4:$AC$303,I$4)+SUMIFS(资金日记账!$I$4:$I$603,资金日记账!$G$4:$G$603,$A6,资金日记账!$U$4:$U$603,"&lt;&gt;是",资金日记账!$V$4:$V$603,I$4),2))</f>
        <v/>
      </c>
      <c r="J6" s="76" t="str">
        <f ca="1">IF($A6="","",ROUND(SUMIFS(成本费用登记表!$H$4:$H$303,成本费用登记表!$D$4:$D$303,$A6,成本费用登记表!$AC$4:$AC$303,J$4)+SUMIFS(资金日记账!$I$4:$I$603,资金日记账!$G$4:$G$603,$A6,资金日记账!$U$4:$U$603,"&lt;&gt;是",资金日记账!$V$4:$V$603,J$4),2))</f>
        <v/>
      </c>
      <c r="K6" s="76" t="str">
        <f ca="1">IF($A6="","",ROUND(SUMIFS(成本费用登记表!$H$4:$H$303,成本费用登记表!$D$4:$D$303,$A6,成本费用登记表!$AC$4:$AC$303,K$4)+SUMIFS(资金日记账!$I$4:$I$603,资金日记账!$G$4:$G$603,$A6,资金日记账!$U$4:$U$603,"&lt;&gt;是",资金日记账!$V$4:$V$603,K$4),2))</f>
        <v/>
      </c>
      <c r="L6" s="76" t="str">
        <f ca="1">IF($A6="","",ROUND(SUMIFS(成本费用登记表!$H$4:$H$303,成本费用登记表!$D$4:$D$303,$A6,成本费用登记表!$AC$4:$AC$303,L$4)+SUMIFS(资金日记账!$I$4:$I$603,资金日记账!$G$4:$G$603,$A6,资金日记账!$U$4:$U$603,"&lt;&gt;是",资金日记账!$V$4:$V$603,L$4),2))</f>
        <v/>
      </c>
      <c r="M6" s="76" t="str">
        <f ca="1">IF($A6="","",ROUND(SUMIFS(成本费用登记表!$H$4:$H$303,成本费用登记表!$D$4:$D$303,$A6,成本费用登记表!$AC$4:$AC$303,M$4)+SUMIFS(资金日记账!$I$4:$I$603,资金日记账!$G$4:$G$603,$A6,资金日记账!$U$4:$U$603,"&lt;&gt;是",资金日记账!$V$4:$V$603,M$4),2))</f>
        <v/>
      </c>
      <c r="N6" s="76" t="str">
        <f ca="1">IF($A6="","",ROUND(SUMIFS(成本费用登记表!$H$4:$H$303,成本费用登记表!$D$4:$D$303,$A6,成本费用登记表!$AC$4:$AC$303,N$4)+SUMIFS(资金日记账!$I$4:$I$603,资金日记账!$G$4:$G$603,$A6,资金日记账!$U$4:$U$603,"&lt;&gt;是",资金日记账!$V$4:$V$603,N$4),2))</f>
        <v/>
      </c>
      <c r="O6" s="76" t="str">
        <f ca="1">IF($A6="","",ROUND(SUMIFS(成本费用登记表!$H$4:$H$303,成本费用登记表!$D$4:$D$303,$A6,成本费用登记表!$AC$4:$AC$303,O$4)+SUMIFS(资金日记账!$I$4:$I$603,资金日记账!$G$4:$G$603,$A6,资金日记账!$U$4:$U$603,"&lt;&gt;是",资金日记账!$V$4:$V$603,O$4),2))</f>
        <v/>
      </c>
      <c r="P6" s="76" t="str">
        <f ca="1">IF($A6="","",ROUND(SUMIFS(成本费用登记表!$H$4:$H$303,成本费用登记表!$D$4:$D$303,$A6,成本费用登记表!$AC$4:$AC$303,P$4)+SUMIFS(资金日记账!$I$4:$I$603,资金日记账!$G$4:$G$603,$A6,资金日记账!$U$4:$U$603,"&lt;&gt;是",资金日记账!$V$4:$V$603,P$4),2))</f>
        <v/>
      </c>
      <c r="Q6" s="76" t="str">
        <f ca="1">IF($A6="","",ROUND(SUMIFS(成本费用登记表!$H$4:$H$303,成本费用登记表!$D$4:$D$303,$A6,成本费用登记表!$AC$4:$AC$303,Q$4)+SUMIFS(资金日记账!$I$4:$I$603,资金日记账!$G$4:$G$603,$A6,资金日记账!$U$4:$U$603,"&lt;&gt;是",资金日记账!$V$4:$V$603,Q$4),2))</f>
        <v/>
      </c>
      <c r="R6" s="76" t="str">
        <f ca="1">IF($A6="","",ROUND(SUMIFS(成本费用登记表!$H$4:$H$303,成本费用登记表!$D$4:$D$303,$A6,成本费用登记表!$AC$4:$AC$303,R$4)+SUMIFS(资金日记账!$I$4:$I$603,资金日记账!$G$4:$G$603,$A6,资金日记账!$U$4:$U$603,"&lt;&gt;是",资金日记账!$V$4:$V$603,R$4),2))</f>
        <v/>
      </c>
      <c r="S6" s="76" t="str">
        <f ca="1">IF($A6="","",ROUND(SUMIFS(成本费用登记表!$H$4:$H$303,成本费用登记表!$D$4:$D$303,$A6,成本费用登记表!$AC$4:$AC$303,S$4)+SUMIFS(资金日记账!$I$4:$I$603,资金日记账!$G$4:$G$603,$A6,资金日记账!$U$4:$U$603,"&lt;&gt;是",资金日记账!$V$4:$V$603,S$4),2))</f>
        <v/>
      </c>
      <c r="T6" s="76" t="str">
        <f ca="1">IF($A6="","",ROUND(SUMIFS(成本费用登记表!$H$4:$H$303,成本费用登记表!$D$4:$D$303,$A6,成本费用登记表!$AC$4:$AC$303,T$4)+SUMIFS(资金日记账!$I$4:$I$603,资金日记账!$G$4:$G$603,$A6,资金日记账!$U$4:$U$603,"&lt;&gt;是",资金日记账!$V$4:$V$603,T$4),2))</f>
        <v/>
      </c>
      <c r="U6" s="76" t="str">
        <f ca="1">IF($A6="","",ROUND(SUMIFS(成本费用登记表!$H$4:$H$303,成本费用登记表!$D$4:$D$303,$A6,成本费用登记表!$AC$4:$AC$303,U$4)+SUMIFS(资金日记账!$I$4:$I$603,资金日记账!$G$4:$G$603,$A6,资金日记账!$U$4:$U$603,"&lt;&gt;是",资金日记账!$V$4:$V$603,U$4),2))</f>
        <v/>
      </c>
      <c r="V6" s="76" t="str">
        <f ca="1">IF($A6="","",ROUND(SUMIFS(成本费用登记表!$H$4:$H$303,成本费用登记表!$D$4:$D$303,$A6,成本费用登记表!$AC$4:$AC$303,V$4)+SUMIFS(资金日记账!$I$4:$I$603,资金日记账!$G$4:$G$603,$A6,资金日记账!$U$4:$U$603,"&lt;&gt;是",资金日记账!$V$4:$V$603,V$4),2))</f>
        <v/>
      </c>
      <c r="W6" s="76" t="str">
        <f ca="1">IF($A6="","",ROUND(SUMIFS(成本费用登记表!$H$4:$H$303,成本费用登记表!$D$4:$D$303,$A6,成本费用登记表!$AC$4:$AC$303,W$4)+SUMIFS(资金日记账!$I$4:$I$603,资金日记账!$G$4:$G$603,$A6,资金日记账!$U$4:$U$603,"&lt;&gt;是",资金日记账!$V$4:$V$603,W$4),2))</f>
        <v/>
      </c>
      <c r="X6" s="76" t="str">
        <f ca="1">IF($A6="","",ROUND(SUMIFS(成本费用登记表!$H$4:$H$303,成本费用登记表!$D$4:$D$303,$A6,成本费用登记表!$AC$4:$AC$303,X$4)+SUMIFS(资金日记账!$I$4:$I$603,资金日记账!$G$4:$G$603,$A6,资金日记账!$U$4:$U$603,"&lt;&gt;是",资金日记账!$V$4:$V$603,X$4),2))</f>
        <v/>
      </c>
      <c r="Y6" s="76" t="str">
        <f ca="1">IF($A6="","",ROUND(SUMIFS(成本费用登记表!$H$4:$H$303,成本费用登记表!$D$4:$D$303,$A6,成本费用登记表!$AC$4:$AC$303,Y$4)+SUMIFS(资金日记账!$I$4:$I$603,资金日记账!$G$4:$G$603,$A6,资金日记账!$U$4:$U$603,"&lt;&gt;是",资金日记账!$V$4:$V$603,Y$4),2))</f>
        <v/>
      </c>
      <c r="Z6" s="87" t="str">
        <f ca="1" t="shared" si="1"/>
        <v/>
      </c>
      <c r="AA6" s="76" t="str">
        <f>IF($A6="","",ROUND(SUMIF(成本费用登记表!$D$4:$D$303,$A6,成本费用登记表!$AA$4:$AA$303)+SUMIFS(资金日记账!$I$4:$I$603,资金日记账!$G$4:$G$603,$A6,资金日记账!$U$4:$U$603,"&lt;&gt;是"),2))</f>
        <v/>
      </c>
      <c r="AB6" s="76" t="str">
        <f ca="1" t="shared" si="2"/>
        <v/>
      </c>
    </row>
    <row r="7" spans="1:29">
      <c r="A7" s="86" t="str">
        <f>IFERROR(INDEX(_自动清单!$X$4:$X$63,3),"")</f>
        <v/>
      </c>
      <c r="B7" s="76" t="str">
        <f ca="1">IF($A7="","",ROUND(SUMIFS(成本费用登记表!$H$4:$H$303,成本费用登记表!$D$4:$D$303,$A7,成本费用登记表!$AC$4:$AC$303,B$4)+SUMIFS(资金日记账!$I$4:$I$603,资金日记账!$G$4:$G$603,$A7,资金日记账!$U$4:$U$603,"&lt;&gt;是",资金日记账!$V$4:$V$603,B$4),2))</f>
        <v/>
      </c>
      <c r="C7" s="76" t="str">
        <f ca="1">IF($A7="","",ROUND(SUMIFS(成本费用登记表!$H$4:$H$303,成本费用登记表!$D$4:$D$303,$A7,成本费用登记表!$AC$4:$AC$303,C$4)+SUMIFS(资金日记账!$I$4:$I$603,资金日记账!$G$4:$G$603,$A7,资金日记账!$U$4:$U$603,"&lt;&gt;是",资金日记账!$V$4:$V$603,C$4),2))</f>
        <v/>
      </c>
      <c r="D7" s="76" t="str">
        <f ca="1">IF($A7="","",ROUND(SUMIFS(成本费用登记表!$H$4:$H$303,成本费用登记表!$D$4:$D$303,$A7,成本费用登记表!$AC$4:$AC$303,D$4)+SUMIFS(资金日记账!$I$4:$I$603,资金日记账!$G$4:$G$603,$A7,资金日记账!$U$4:$U$603,"&lt;&gt;是",资金日记账!$V$4:$V$603,D$4),2))</f>
        <v/>
      </c>
      <c r="E7" s="76" t="str">
        <f ca="1">IF($A7="","",ROUND(SUMIFS(成本费用登记表!$H$4:$H$303,成本费用登记表!$D$4:$D$303,$A7,成本费用登记表!$AC$4:$AC$303,E$4)+SUMIFS(资金日记账!$I$4:$I$603,资金日记账!$G$4:$G$603,$A7,资金日记账!$U$4:$U$603,"&lt;&gt;是",资金日记账!$V$4:$V$603,E$4),2))</f>
        <v/>
      </c>
      <c r="F7" s="76" t="str">
        <f ca="1">IF($A7="","",ROUND(SUMIFS(成本费用登记表!$H$4:$H$303,成本费用登记表!$D$4:$D$303,$A7,成本费用登记表!$AC$4:$AC$303,F$4)+SUMIFS(资金日记账!$I$4:$I$603,资金日记账!$G$4:$G$603,$A7,资金日记账!$U$4:$U$603,"&lt;&gt;是",资金日记账!$V$4:$V$603,F$4),2))</f>
        <v/>
      </c>
      <c r="G7" s="76" t="str">
        <f ca="1">IF($A7="","",ROUND(SUMIFS(成本费用登记表!$H$4:$H$303,成本费用登记表!$D$4:$D$303,$A7,成本费用登记表!$AC$4:$AC$303,G$4)+SUMIFS(资金日记账!$I$4:$I$603,资金日记账!$G$4:$G$603,$A7,资金日记账!$U$4:$U$603,"&lt;&gt;是",资金日记账!$V$4:$V$603,G$4),2))</f>
        <v/>
      </c>
      <c r="H7" s="76" t="str">
        <f ca="1">IF($A7="","",ROUND(SUMIFS(成本费用登记表!$H$4:$H$303,成本费用登记表!$D$4:$D$303,$A7,成本费用登记表!$AC$4:$AC$303,H$4)+SUMIFS(资金日记账!$I$4:$I$603,资金日记账!$G$4:$G$603,$A7,资金日记账!$U$4:$U$603,"&lt;&gt;是",资金日记账!$V$4:$V$603,H$4),2))</f>
        <v/>
      </c>
      <c r="I7" s="76" t="str">
        <f ca="1">IF($A7="","",ROUND(SUMIFS(成本费用登记表!$H$4:$H$303,成本费用登记表!$D$4:$D$303,$A7,成本费用登记表!$AC$4:$AC$303,I$4)+SUMIFS(资金日记账!$I$4:$I$603,资金日记账!$G$4:$G$603,$A7,资金日记账!$U$4:$U$603,"&lt;&gt;是",资金日记账!$V$4:$V$603,I$4),2))</f>
        <v/>
      </c>
      <c r="J7" s="76" t="str">
        <f ca="1">IF($A7="","",ROUND(SUMIFS(成本费用登记表!$H$4:$H$303,成本费用登记表!$D$4:$D$303,$A7,成本费用登记表!$AC$4:$AC$303,J$4)+SUMIFS(资金日记账!$I$4:$I$603,资金日记账!$G$4:$G$603,$A7,资金日记账!$U$4:$U$603,"&lt;&gt;是",资金日记账!$V$4:$V$603,J$4),2))</f>
        <v/>
      </c>
      <c r="K7" s="76" t="str">
        <f ca="1">IF($A7="","",ROUND(SUMIFS(成本费用登记表!$H$4:$H$303,成本费用登记表!$D$4:$D$303,$A7,成本费用登记表!$AC$4:$AC$303,K$4)+SUMIFS(资金日记账!$I$4:$I$603,资金日记账!$G$4:$G$603,$A7,资金日记账!$U$4:$U$603,"&lt;&gt;是",资金日记账!$V$4:$V$603,K$4),2))</f>
        <v/>
      </c>
      <c r="L7" s="76" t="str">
        <f ca="1">IF($A7="","",ROUND(SUMIFS(成本费用登记表!$H$4:$H$303,成本费用登记表!$D$4:$D$303,$A7,成本费用登记表!$AC$4:$AC$303,L$4)+SUMIFS(资金日记账!$I$4:$I$603,资金日记账!$G$4:$G$603,$A7,资金日记账!$U$4:$U$603,"&lt;&gt;是",资金日记账!$V$4:$V$603,L$4),2))</f>
        <v/>
      </c>
      <c r="M7" s="76" t="str">
        <f ca="1">IF($A7="","",ROUND(SUMIFS(成本费用登记表!$H$4:$H$303,成本费用登记表!$D$4:$D$303,$A7,成本费用登记表!$AC$4:$AC$303,M$4)+SUMIFS(资金日记账!$I$4:$I$603,资金日记账!$G$4:$G$603,$A7,资金日记账!$U$4:$U$603,"&lt;&gt;是",资金日记账!$V$4:$V$603,M$4),2))</f>
        <v/>
      </c>
      <c r="N7" s="76" t="str">
        <f ca="1">IF($A7="","",ROUND(SUMIFS(成本费用登记表!$H$4:$H$303,成本费用登记表!$D$4:$D$303,$A7,成本费用登记表!$AC$4:$AC$303,N$4)+SUMIFS(资金日记账!$I$4:$I$603,资金日记账!$G$4:$G$603,$A7,资金日记账!$U$4:$U$603,"&lt;&gt;是",资金日记账!$V$4:$V$603,N$4),2))</f>
        <v/>
      </c>
      <c r="O7" s="76" t="str">
        <f ca="1">IF($A7="","",ROUND(SUMIFS(成本费用登记表!$H$4:$H$303,成本费用登记表!$D$4:$D$303,$A7,成本费用登记表!$AC$4:$AC$303,O$4)+SUMIFS(资金日记账!$I$4:$I$603,资金日记账!$G$4:$G$603,$A7,资金日记账!$U$4:$U$603,"&lt;&gt;是",资金日记账!$V$4:$V$603,O$4),2))</f>
        <v/>
      </c>
      <c r="P7" s="76" t="str">
        <f ca="1">IF($A7="","",ROUND(SUMIFS(成本费用登记表!$H$4:$H$303,成本费用登记表!$D$4:$D$303,$A7,成本费用登记表!$AC$4:$AC$303,P$4)+SUMIFS(资金日记账!$I$4:$I$603,资金日记账!$G$4:$G$603,$A7,资金日记账!$U$4:$U$603,"&lt;&gt;是",资金日记账!$V$4:$V$603,P$4),2))</f>
        <v/>
      </c>
      <c r="Q7" s="76" t="str">
        <f ca="1">IF($A7="","",ROUND(SUMIFS(成本费用登记表!$H$4:$H$303,成本费用登记表!$D$4:$D$303,$A7,成本费用登记表!$AC$4:$AC$303,Q$4)+SUMIFS(资金日记账!$I$4:$I$603,资金日记账!$G$4:$G$603,$A7,资金日记账!$U$4:$U$603,"&lt;&gt;是",资金日记账!$V$4:$V$603,Q$4),2))</f>
        <v/>
      </c>
      <c r="R7" s="76" t="str">
        <f ca="1">IF($A7="","",ROUND(SUMIFS(成本费用登记表!$H$4:$H$303,成本费用登记表!$D$4:$D$303,$A7,成本费用登记表!$AC$4:$AC$303,R$4)+SUMIFS(资金日记账!$I$4:$I$603,资金日记账!$G$4:$G$603,$A7,资金日记账!$U$4:$U$603,"&lt;&gt;是",资金日记账!$V$4:$V$603,R$4),2))</f>
        <v/>
      </c>
      <c r="S7" s="76" t="str">
        <f ca="1">IF($A7="","",ROUND(SUMIFS(成本费用登记表!$H$4:$H$303,成本费用登记表!$D$4:$D$303,$A7,成本费用登记表!$AC$4:$AC$303,S$4)+SUMIFS(资金日记账!$I$4:$I$603,资金日记账!$G$4:$G$603,$A7,资金日记账!$U$4:$U$603,"&lt;&gt;是",资金日记账!$V$4:$V$603,S$4),2))</f>
        <v/>
      </c>
      <c r="T7" s="76" t="str">
        <f ca="1">IF($A7="","",ROUND(SUMIFS(成本费用登记表!$H$4:$H$303,成本费用登记表!$D$4:$D$303,$A7,成本费用登记表!$AC$4:$AC$303,T$4)+SUMIFS(资金日记账!$I$4:$I$603,资金日记账!$G$4:$G$603,$A7,资金日记账!$U$4:$U$603,"&lt;&gt;是",资金日记账!$V$4:$V$603,T$4),2))</f>
        <v/>
      </c>
      <c r="U7" s="76" t="str">
        <f ca="1">IF($A7="","",ROUND(SUMIFS(成本费用登记表!$H$4:$H$303,成本费用登记表!$D$4:$D$303,$A7,成本费用登记表!$AC$4:$AC$303,U$4)+SUMIFS(资金日记账!$I$4:$I$603,资金日记账!$G$4:$G$603,$A7,资金日记账!$U$4:$U$603,"&lt;&gt;是",资金日记账!$V$4:$V$603,U$4),2))</f>
        <v/>
      </c>
      <c r="V7" s="76" t="str">
        <f ca="1">IF($A7="","",ROUND(SUMIFS(成本费用登记表!$H$4:$H$303,成本费用登记表!$D$4:$D$303,$A7,成本费用登记表!$AC$4:$AC$303,V$4)+SUMIFS(资金日记账!$I$4:$I$603,资金日记账!$G$4:$G$603,$A7,资金日记账!$U$4:$U$603,"&lt;&gt;是",资金日记账!$V$4:$V$603,V$4),2))</f>
        <v/>
      </c>
      <c r="W7" s="76" t="str">
        <f ca="1">IF($A7="","",ROUND(SUMIFS(成本费用登记表!$H$4:$H$303,成本费用登记表!$D$4:$D$303,$A7,成本费用登记表!$AC$4:$AC$303,W$4)+SUMIFS(资金日记账!$I$4:$I$603,资金日记账!$G$4:$G$603,$A7,资金日记账!$U$4:$U$603,"&lt;&gt;是",资金日记账!$V$4:$V$603,W$4),2))</f>
        <v/>
      </c>
      <c r="X7" s="76" t="str">
        <f ca="1">IF($A7="","",ROUND(SUMIFS(成本费用登记表!$H$4:$H$303,成本费用登记表!$D$4:$D$303,$A7,成本费用登记表!$AC$4:$AC$303,X$4)+SUMIFS(资金日记账!$I$4:$I$603,资金日记账!$G$4:$G$603,$A7,资金日记账!$U$4:$U$603,"&lt;&gt;是",资金日记账!$V$4:$V$603,X$4),2))</f>
        <v/>
      </c>
      <c r="Y7" s="76" t="str">
        <f ca="1">IF($A7="","",ROUND(SUMIFS(成本费用登记表!$H$4:$H$303,成本费用登记表!$D$4:$D$303,$A7,成本费用登记表!$AC$4:$AC$303,Y$4)+SUMIFS(资金日记账!$I$4:$I$603,资金日记账!$G$4:$G$603,$A7,资金日记账!$U$4:$U$603,"&lt;&gt;是",资金日记账!$V$4:$V$603,Y$4),2))</f>
        <v/>
      </c>
      <c r="Z7" s="87" t="str">
        <f ca="1" t="shared" si="1"/>
        <v/>
      </c>
      <c r="AA7" s="76" t="str">
        <f>IF($A7="","",ROUND(SUMIF(成本费用登记表!$D$4:$D$303,$A7,成本费用登记表!$AA$4:$AA$303)+SUMIFS(资金日记账!$I$4:$I$603,资金日记账!$G$4:$G$603,$A7,资金日记账!$U$4:$U$603,"&lt;&gt;是"),2))</f>
        <v/>
      </c>
      <c r="AB7" s="76" t="str">
        <f ca="1" t="shared" si="2"/>
        <v/>
      </c>
    </row>
    <row r="8" spans="1:29">
      <c r="A8" s="86" t="str">
        <f>IFERROR(INDEX(_自动清单!$X$4:$X$63,4),"")</f>
        <v/>
      </c>
      <c r="B8" s="76" t="str">
        <f ca="1">IF($A8="","",ROUND(SUMIFS(成本费用登记表!$H$4:$H$303,成本费用登记表!$D$4:$D$303,$A8,成本费用登记表!$AC$4:$AC$303,B$4)+SUMIFS(资金日记账!$I$4:$I$603,资金日记账!$G$4:$G$603,$A8,资金日记账!$U$4:$U$603,"&lt;&gt;是",资金日记账!$V$4:$V$603,B$4),2))</f>
        <v/>
      </c>
      <c r="C8" s="76" t="str">
        <f ca="1">IF($A8="","",ROUND(SUMIFS(成本费用登记表!$H$4:$H$303,成本费用登记表!$D$4:$D$303,$A8,成本费用登记表!$AC$4:$AC$303,C$4)+SUMIFS(资金日记账!$I$4:$I$603,资金日记账!$G$4:$G$603,$A8,资金日记账!$U$4:$U$603,"&lt;&gt;是",资金日记账!$V$4:$V$603,C$4),2))</f>
        <v/>
      </c>
      <c r="D8" s="76" t="str">
        <f ca="1">IF($A8="","",ROUND(SUMIFS(成本费用登记表!$H$4:$H$303,成本费用登记表!$D$4:$D$303,$A8,成本费用登记表!$AC$4:$AC$303,D$4)+SUMIFS(资金日记账!$I$4:$I$603,资金日记账!$G$4:$G$603,$A8,资金日记账!$U$4:$U$603,"&lt;&gt;是",资金日记账!$V$4:$V$603,D$4),2))</f>
        <v/>
      </c>
      <c r="E8" s="76" t="str">
        <f ca="1">IF($A8="","",ROUND(SUMIFS(成本费用登记表!$H$4:$H$303,成本费用登记表!$D$4:$D$303,$A8,成本费用登记表!$AC$4:$AC$303,E$4)+SUMIFS(资金日记账!$I$4:$I$603,资金日记账!$G$4:$G$603,$A8,资金日记账!$U$4:$U$603,"&lt;&gt;是",资金日记账!$V$4:$V$603,E$4),2))</f>
        <v/>
      </c>
      <c r="F8" s="76" t="str">
        <f ca="1">IF($A8="","",ROUND(SUMIFS(成本费用登记表!$H$4:$H$303,成本费用登记表!$D$4:$D$303,$A8,成本费用登记表!$AC$4:$AC$303,F$4)+SUMIFS(资金日记账!$I$4:$I$603,资金日记账!$G$4:$G$603,$A8,资金日记账!$U$4:$U$603,"&lt;&gt;是",资金日记账!$V$4:$V$603,F$4),2))</f>
        <v/>
      </c>
      <c r="G8" s="76" t="str">
        <f ca="1">IF($A8="","",ROUND(SUMIFS(成本费用登记表!$H$4:$H$303,成本费用登记表!$D$4:$D$303,$A8,成本费用登记表!$AC$4:$AC$303,G$4)+SUMIFS(资金日记账!$I$4:$I$603,资金日记账!$G$4:$G$603,$A8,资金日记账!$U$4:$U$603,"&lt;&gt;是",资金日记账!$V$4:$V$603,G$4),2))</f>
        <v/>
      </c>
      <c r="H8" s="76" t="str">
        <f ca="1">IF($A8="","",ROUND(SUMIFS(成本费用登记表!$H$4:$H$303,成本费用登记表!$D$4:$D$303,$A8,成本费用登记表!$AC$4:$AC$303,H$4)+SUMIFS(资金日记账!$I$4:$I$603,资金日记账!$G$4:$G$603,$A8,资金日记账!$U$4:$U$603,"&lt;&gt;是",资金日记账!$V$4:$V$603,H$4),2))</f>
        <v/>
      </c>
      <c r="I8" s="76" t="str">
        <f ca="1">IF($A8="","",ROUND(SUMIFS(成本费用登记表!$H$4:$H$303,成本费用登记表!$D$4:$D$303,$A8,成本费用登记表!$AC$4:$AC$303,I$4)+SUMIFS(资金日记账!$I$4:$I$603,资金日记账!$G$4:$G$603,$A8,资金日记账!$U$4:$U$603,"&lt;&gt;是",资金日记账!$V$4:$V$603,I$4),2))</f>
        <v/>
      </c>
      <c r="J8" s="76" t="str">
        <f ca="1">IF($A8="","",ROUND(SUMIFS(成本费用登记表!$H$4:$H$303,成本费用登记表!$D$4:$D$303,$A8,成本费用登记表!$AC$4:$AC$303,J$4)+SUMIFS(资金日记账!$I$4:$I$603,资金日记账!$G$4:$G$603,$A8,资金日记账!$U$4:$U$603,"&lt;&gt;是",资金日记账!$V$4:$V$603,J$4),2))</f>
        <v/>
      </c>
      <c r="K8" s="76" t="str">
        <f ca="1">IF($A8="","",ROUND(SUMIFS(成本费用登记表!$H$4:$H$303,成本费用登记表!$D$4:$D$303,$A8,成本费用登记表!$AC$4:$AC$303,K$4)+SUMIFS(资金日记账!$I$4:$I$603,资金日记账!$G$4:$G$603,$A8,资金日记账!$U$4:$U$603,"&lt;&gt;是",资金日记账!$V$4:$V$603,K$4),2))</f>
        <v/>
      </c>
      <c r="L8" s="76" t="str">
        <f ca="1">IF($A8="","",ROUND(SUMIFS(成本费用登记表!$H$4:$H$303,成本费用登记表!$D$4:$D$303,$A8,成本费用登记表!$AC$4:$AC$303,L$4)+SUMIFS(资金日记账!$I$4:$I$603,资金日记账!$G$4:$G$603,$A8,资金日记账!$U$4:$U$603,"&lt;&gt;是",资金日记账!$V$4:$V$603,L$4),2))</f>
        <v/>
      </c>
      <c r="M8" s="76" t="str">
        <f ca="1">IF($A8="","",ROUND(SUMIFS(成本费用登记表!$H$4:$H$303,成本费用登记表!$D$4:$D$303,$A8,成本费用登记表!$AC$4:$AC$303,M$4)+SUMIFS(资金日记账!$I$4:$I$603,资金日记账!$G$4:$G$603,$A8,资金日记账!$U$4:$U$603,"&lt;&gt;是",资金日记账!$V$4:$V$603,M$4),2))</f>
        <v/>
      </c>
      <c r="N8" s="76" t="str">
        <f ca="1">IF($A8="","",ROUND(SUMIFS(成本费用登记表!$H$4:$H$303,成本费用登记表!$D$4:$D$303,$A8,成本费用登记表!$AC$4:$AC$303,N$4)+SUMIFS(资金日记账!$I$4:$I$603,资金日记账!$G$4:$G$603,$A8,资金日记账!$U$4:$U$603,"&lt;&gt;是",资金日记账!$V$4:$V$603,N$4),2))</f>
        <v/>
      </c>
      <c r="O8" s="76" t="str">
        <f ca="1">IF($A8="","",ROUND(SUMIFS(成本费用登记表!$H$4:$H$303,成本费用登记表!$D$4:$D$303,$A8,成本费用登记表!$AC$4:$AC$303,O$4)+SUMIFS(资金日记账!$I$4:$I$603,资金日记账!$G$4:$G$603,$A8,资金日记账!$U$4:$U$603,"&lt;&gt;是",资金日记账!$V$4:$V$603,O$4),2))</f>
        <v/>
      </c>
      <c r="P8" s="76" t="str">
        <f ca="1">IF($A8="","",ROUND(SUMIFS(成本费用登记表!$H$4:$H$303,成本费用登记表!$D$4:$D$303,$A8,成本费用登记表!$AC$4:$AC$303,P$4)+SUMIFS(资金日记账!$I$4:$I$603,资金日记账!$G$4:$G$603,$A8,资金日记账!$U$4:$U$603,"&lt;&gt;是",资金日记账!$V$4:$V$603,P$4),2))</f>
        <v/>
      </c>
      <c r="Q8" s="76" t="str">
        <f ca="1">IF($A8="","",ROUND(SUMIFS(成本费用登记表!$H$4:$H$303,成本费用登记表!$D$4:$D$303,$A8,成本费用登记表!$AC$4:$AC$303,Q$4)+SUMIFS(资金日记账!$I$4:$I$603,资金日记账!$G$4:$G$603,$A8,资金日记账!$U$4:$U$603,"&lt;&gt;是",资金日记账!$V$4:$V$603,Q$4),2))</f>
        <v/>
      </c>
      <c r="R8" s="76" t="str">
        <f ca="1">IF($A8="","",ROUND(SUMIFS(成本费用登记表!$H$4:$H$303,成本费用登记表!$D$4:$D$303,$A8,成本费用登记表!$AC$4:$AC$303,R$4)+SUMIFS(资金日记账!$I$4:$I$603,资金日记账!$G$4:$G$603,$A8,资金日记账!$U$4:$U$603,"&lt;&gt;是",资金日记账!$V$4:$V$603,R$4),2))</f>
        <v/>
      </c>
      <c r="S8" s="76" t="str">
        <f ca="1">IF($A8="","",ROUND(SUMIFS(成本费用登记表!$H$4:$H$303,成本费用登记表!$D$4:$D$303,$A8,成本费用登记表!$AC$4:$AC$303,S$4)+SUMIFS(资金日记账!$I$4:$I$603,资金日记账!$G$4:$G$603,$A8,资金日记账!$U$4:$U$603,"&lt;&gt;是",资金日记账!$V$4:$V$603,S$4),2))</f>
        <v/>
      </c>
      <c r="T8" s="76" t="str">
        <f ca="1">IF($A8="","",ROUND(SUMIFS(成本费用登记表!$H$4:$H$303,成本费用登记表!$D$4:$D$303,$A8,成本费用登记表!$AC$4:$AC$303,T$4)+SUMIFS(资金日记账!$I$4:$I$603,资金日记账!$G$4:$G$603,$A8,资金日记账!$U$4:$U$603,"&lt;&gt;是",资金日记账!$V$4:$V$603,T$4),2))</f>
        <v/>
      </c>
      <c r="U8" s="76" t="str">
        <f ca="1">IF($A8="","",ROUND(SUMIFS(成本费用登记表!$H$4:$H$303,成本费用登记表!$D$4:$D$303,$A8,成本费用登记表!$AC$4:$AC$303,U$4)+SUMIFS(资金日记账!$I$4:$I$603,资金日记账!$G$4:$G$603,$A8,资金日记账!$U$4:$U$603,"&lt;&gt;是",资金日记账!$V$4:$V$603,U$4),2))</f>
        <v/>
      </c>
      <c r="V8" s="76" t="str">
        <f ca="1">IF($A8="","",ROUND(SUMIFS(成本费用登记表!$H$4:$H$303,成本费用登记表!$D$4:$D$303,$A8,成本费用登记表!$AC$4:$AC$303,V$4)+SUMIFS(资金日记账!$I$4:$I$603,资金日记账!$G$4:$G$603,$A8,资金日记账!$U$4:$U$603,"&lt;&gt;是",资金日记账!$V$4:$V$603,V$4),2))</f>
        <v/>
      </c>
      <c r="W8" s="76" t="str">
        <f ca="1">IF($A8="","",ROUND(SUMIFS(成本费用登记表!$H$4:$H$303,成本费用登记表!$D$4:$D$303,$A8,成本费用登记表!$AC$4:$AC$303,W$4)+SUMIFS(资金日记账!$I$4:$I$603,资金日记账!$G$4:$G$603,$A8,资金日记账!$U$4:$U$603,"&lt;&gt;是",资金日记账!$V$4:$V$603,W$4),2))</f>
        <v/>
      </c>
      <c r="X8" s="76" t="str">
        <f ca="1">IF($A8="","",ROUND(SUMIFS(成本费用登记表!$H$4:$H$303,成本费用登记表!$D$4:$D$303,$A8,成本费用登记表!$AC$4:$AC$303,X$4)+SUMIFS(资金日记账!$I$4:$I$603,资金日记账!$G$4:$G$603,$A8,资金日记账!$U$4:$U$603,"&lt;&gt;是",资金日记账!$V$4:$V$603,X$4),2))</f>
        <v/>
      </c>
      <c r="Y8" s="76" t="str">
        <f ca="1">IF($A8="","",ROUND(SUMIFS(成本费用登记表!$H$4:$H$303,成本费用登记表!$D$4:$D$303,$A8,成本费用登记表!$AC$4:$AC$303,Y$4)+SUMIFS(资金日记账!$I$4:$I$603,资金日记账!$G$4:$G$603,$A8,资金日记账!$U$4:$U$603,"&lt;&gt;是",资金日记账!$V$4:$V$603,Y$4),2))</f>
        <v/>
      </c>
      <c r="Z8" s="87" t="str">
        <f ca="1" t="shared" si="1"/>
        <v/>
      </c>
      <c r="AA8" s="76" t="str">
        <f>IF($A8="","",ROUND(SUMIF(成本费用登记表!$D$4:$D$303,$A8,成本费用登记表!$AA$4:$AA$303)+SUMIFS(资金日记账!$I$4:$I$603,资金日记账!$G$4:$G$603,$A8,资金日记账!$U$4:$U$603,"&lt;&gt;是"),2))</f>
        <v/>
      </c>
      <c r="AB8" s="76" t="str">
        <f ca="1" t="shared" si="2"/>
        <v/>
      </c>
    </row>
    <row r="9" spans="1:29">
      <c r="A9" s="86" t="str">
        <f>IFERROR(INDEX(_自动清单!$X$4:$X$63,5),"")</f>
        <v/>
      </c>
      <c r="B9" s="76" t="str">
        <f ca="1">IF($A9="","",ROUND(SUMIFS(成本费用登记表!$H$4:$H$303,成本费用登记表!$D$4:$D$303,$A9,成本费用登记表!$AC$4:$AC$303,B$4)+SUMIFS(资金日记账!$I$4:$I$603,资金日记账!$G$4:$G$603,$A9,资金日记账!$U$4:$U$603,"&lt;&gt;是",资金日记账!$V$4:$V$603,B$4),2))</f>
        <v/>
      </c>
      <c r="C9" s="76" t="str">
        <f ca="1">IF($A9="","",ROUND(SUMIFS(成本费用登记表!$H$4:$H$303,成本费用登记表!$D$4:$D$303,$A9,成本费用登记表!$AC$4:$AC$303,C$4)+SUMIFS(资金日记账!$I$4:$I$603,资金日记账!$G$4:$G$603,$A9,资金日记账!$U$4:$U$603,"&lt;&gt;是",资金日记账!$V$4:$V$603,C$4),2))</f>
        <v/>
      </c>
      <c r="D9" s="76" t="str">
        <f ca="1">IF($A9="","",ROUND(SUMIFS(成本费用登记表!$H$4:$H$303,成本费用登记表!$D$4:$D$303,$A9,成本费用登记表!$AC$4:$AC$303,D$4)+SUMIFS(资金日记账!$I$4:$I$603,资金日记账!$G$4:$G$603,$A9,资金日记账!$U$4:$U$603,"&lt;&gt;是",资金日记账!$V$4:$V$603,D$4),2))</f>
        <v/>
      </c>
      <c r="E9" s="76" t="str">
        <f ca="1">IF($A9="","",ROUND(SUMIFS(成本费用登记表!$H$4:$H$303,成本费用登记表!$D$4:$D$303,$A9,成本费用登记表!$AC$4:$AC$303,E$4)+SUMIFS(资金日记账!$I$4:$I$603,资金日记账!$G$4:$G$603,$A9,资金日记账!$U$4:$U$603,"&lt;&gt;是",资金日记账!$V$4:$V$603,E$4),2))</f>
        <v/>
      </c>
      <c r="F9" s="76" t="str">
        <f ca="1">IF($A9="","",ROUND(SUMIFS(成本费用登记表!$H$4:$H$303,成本费用登记表!$D$4:$D$303,$A9,成本费用登记表!$AC$4:$AC$303,F$4)+SUMIFS(资金日记账!$I$4:$I$603,资金日记账!$G$4:$G$603,$A9,资金日记账!$U$4:$U$603,"&lt;&gt;是",资金日记账!$V$4:$V$603,F$4),2))</f>
        <v/>
      </c>
      <c r="G9" s="76" t="str">
        <f ca="1">IF($A9="","",ROUND(SUMIFS(成本费用登记表!$H$4:$H$303,成本费用登记表!$D$4:$D$303,$A9,成本费用登记表!$AC$4:$AC$303,G$4)+SUMIFS(资金日记账!$I$4:$I$603,资金日记账!$G$4:$G$603,$A9,资金日记账!$U$4:$U$603,"&lt;&gt;是",资金日记账!$V$4:$V$603,G$4),2))</f>
        <v/>
      </c>
      <c r="H9" s="76" t="str">
        <f ca="1">IF($A9="","",ROUND(SUMIFS(成本费用登记表!$H$4:$H$303,成本费用登记表!$D$4:$D$303,$A9,成本费用登记表!$AC$4:$AC$303,H$4)+SUMIFS(资金日记账!$I$4:$I$603,资金日记账!$G$4:$G$603,$A9,资金日记账!$U$4:$U$603,"&lt;&gt;是",资金日记账!$V$4:$V$603,H$4),2))</f>
        <v/>
      </c>
      <c r="I9" s="76" t="str">
        <f ca="1">IF($A9="","",ROUND(SUMIFS(成本费用登记表!$H$4:$H$303,成本费用登记表!$D$4:$D$303,$A9,成本费用登记表!$AC$4:$AC$303,I$4)+SUMIFS(资金日记账!$I$4:$I$603,资金日记账!$G$4:$G$603,$A9,资金日记账!$U$4:$U$603,"&lt;&gt;是",资金日记账!$V$4:$V$603,I$4),2))</f>
        <v/>
      </c>
      <c r="J9" s="76" t="str">
        <f ca="1">IF($A9="","",ROUND(SUMIFS(成本费用登记表!$H$4:$H$303,成本费用登记表!$D$4:$D$303,$A9,成本费用登记表!$AC$4:$AC$303,J$4)+SUMIFS(资金日记账!$I$4:$I$603,资金日记账!$G$4:$G$603,$A9,资金日记账!$U$4:$U$603,"&lt;&gt;是",资金日记账!$V$4:$V$603,J$4),2))</f>
        <v/>
      </c>
      <c r="K9" s="76" t="str">
        <f ca="1">IF($A9="","",ROUND(SUMIFS(成本费用登记表!$H$4:$H$303,成本费用登记表!$D$4:$D$303,$A9,成本费用登记表!$AC$4:$AC$303,K$4)+SUMIFS(资金日记账!$I$4:$I$603,资金日记账!$G$4:$G$603,$A9,资金日记账!$U$4:$U$603,"&lt;&gt;是",资金日记账!$V$4:$V$603,K$4),2))</f>
        <v/>
      </c>
      <c r="L9" s="76" t="str">
        <f ca="1">IF($A9="","",ROUND(SUMIFS(成本费用登记表!$H$4:$H$303,成本费用登记表!$D$4:$D$303,$A9,成本费用登记表!$AC$4:$AC$303,L$4)+SUMIFS(资金日记账!$I$4:$I$603,资金日记账!$G$4:$G$603,$A9,资金日记账!$U$4:$U$603,"&lt;&gt;是",资金日记账!$V$4:$V$603,L$4),2))</f>
        <v/>
      </c>
      <c r="M9" s="76" t="str">
        <f ca="1">IF($A9="","",ROUND(SUMIFS(成本费用登记表!$H$4:$H$303,成本费用登记表!$D$4:$D$303,$A9,成本费用登记表!$AC$4:$AC$303,M$4)+SUMIFS(资金日记账!$I$4:$I$603,资金日记账!$G$4:$G$603,$A9,资金日记账!$U$4:$U$603,"&lt;&gt;是",资金日记账!$V$4:$V$603,M$4),2))</f>
        <v/>
      </c>
      <c r="N9" s="76" t="str">
        <f ca="1">IF($A9="","",ROUND(SUMIFS(成本费用登记表!$H$4:$H$303,成本费用登记表!$D$4:$D$303,$A9,成本费用登记表!$AC$4:$AC$303,N$4)+SUMIFS(资金日记账!$I$4:$I$603,资金日记账!$G$4:$G$603,$A9,资金日记账!$U$4:$U$603,"&lt;&gt;是",资金日记账!$V$4:$V$603,N$4),2))</f>
        <v/>
      </c>
      <c r="O9" s="76" t="str">
        <f ca="1">IF($A9="","",ROUND(SUMIFS(成本费用登记表!$H$4:$H$303,成本费用登记表!$D$4:$D$303,$A9,成本费用登记表!$AC$4:$AC$303,O$4)+SUMIFS(资金日记账!$I$4:$I$603,资金日记账!$G$4:$G$603,$A9,资金日记账!$U$4:$U$603,"&lt;&gt;是",资金日记账!$V$4:$V$603,O$4),2))</f>
        <v/>
      </c>
      <c r="P9" s="76" t="str">
        <f ca="1">IF($A9="","",ROUND(SUMIFS(成本费用登记表!$H$4:$H$303,成本费用登记表!$D$4:$D$303,$A9,成本费用登记表!$AC$4:$AC$303,P$4)+SUMIFS(资金日记账!$I$4:$I$603,资金日记账!$G$4:$G$603,$A9,资金日记账!$U$4:$U$603,"&lt;&gt;是",资金日记账!$V$4:$V$603,P$4),2))</f>
        <v/>
      </c>
      <c r="Q9" s="76" t="str">
        <f ca="1">IF($A9="","",ROUND(SUMIFS(成本费用登记表!$H$4:$H$303,成本费用登记表!$D$4:$D$303,$A9,成本费用登记表!$AC$4:$AC$303,Q$4)+SUMIFS(资金日记账!$I$4:$I$603,资金日记账!$G$4:$G$603,$A9,资金日记账!$U$4:$U$603,"&lt;&gt;是",资金日记账!$V$4:$V$603,Q$4),2))</f>
        <v/>
      </c>
      <c r="R9" s="76" t="str">
        <f ca="1">IF($A9="","",ROUND(SUMIFS(成本费用登记表!$H$4:$H$303,成本费用登记表!$D$4:$D$303,$A9,成本费用登记表!$AC$4:$AC$303,R$4)+SUMIFS(资金日记账!$I$4:$I$603,资金日记账!$G$4:$G$603,$A9,资金日记账!$U$4:$U$603,"&lt;&gt;是",资金日记账!$V$4:$V$603,R$4),2))</f>
        <v/>
      </c>
      <c r="S9" s="76" t="str">
        <f ca="1">IF($A9="","",ROUND(SUMIFS(成本费用登记表!$H$4:$H$303,成本费用登记表!$D$4:$D$303,$A9,成本费用登记表!$AC$4:$AC$303,S$4)+SUMIFS(资金日记账!$I$4:$I$603,资金日记账!$G$4:$G$603,$A9,资金日记账!$U$4:$U$603,"&lt;&gt;是",资金日记账!$V$4:$V$603,S$4),2))</f>
        <v/>
      </c>
      <c r="T9" s="76" t="str">
        <f ca="1">IF($A9="","",ROUND(SUMIFS(成本费用登记表!$H$4:$H$303,成本费用登记表!$D$4:$D$303,$A9,成本费用登记表!$AC$4:$AC$303,T$4)+SUMIFS(资金日记账!$I$4:$I$603,资金日记账!$G$4:$G$603,$A9,资金日记账!$U$4:$U$603,"&lt;&gt;是",资金日记账!$V$4:$V$603,T$4),2))</f>
        <v/>
      </c>
      <c r="U9" s="76" t="str">
        <f ca="1">IF($A9="","",ROUND(SUMIFS(成本费用登记表!$H$4:$H$303,成本费用登记表!$D$4:$D$303,$A9,成本费用登记表!$AC$4:$AC$303,U$4)+SUMIFS(资金日记账!$I$4:$I$603,资金日记账!$G$4:$G$603,$A9,资金日记账!$U$4:$U$603,"&lt;&gt;是",资金日记账!$V$4:$V$603,U$4),2))</f>
        <v/>
      </c>
      <c r="V9" s="76" t="str">
        <f ca="1">IF($A9="","",ROUND(SUMIFS(成本费用登记表!$H$4:$H$303,成本费用登记表!$D$4:$D$303,$A9,成本费用登记表!$AC$4:$AC$303,V$4)+SUMIFS(资金日记账!$I$4:$I$603,资金日记账!$G$4:$G$603,$A9,资金日记账!$U$4:$U$603,"&lt;&gt;是",资金日记账!$V$4:$V$603,V$4),2))</f>
        <v/>
      </c>
      <c r="W9" s="76" t="str">
        <f ca="1">IF($A9="","",ROUND(SUMIFS(成本费用登记表!$H$4:$H$303,成本费用登记表!$D$4:$D$303,$A9,成本费用登记表!$AC$4:$AC$303,W$4)+SUMIFS(资金日记账!$I$4:$I$603,资金日记账!$G$4:$G$603,$A9,资金日记账!$U$4:$U$603,"&lt;&gt;是",资金日记账!$V$4:$V$603,W$4),2))</f>
        <v/>
      </c>
      <c r="X9" s="76" t="str">
        <f ca="1">IF($A9="","",ROUND(SUMIFS(成本费用登记表!$H$4:$H$303,成本费用登记表!$D$4:$D$303,$A9,成本费用登记表!$AC$4:$AC$303,X$4)+SUMIFS(资金日记账!$I$4:$I$603,资金日记账!$G$4:$G$603,$A9,资金日记账!$U$4:$U$603,"&lt;&gt;是",资金日记账!$V$4:$V$603,X$4),2))</f>
        <v/>
      </c>
      <c r="Y9" s="76" t="str">
        <f ca="1">IF($A9="","",ROUND(SUMIFS(成本费用登记表!$H$4:$H$303,成本费用登记表!$D$4:$D$303,$A9,成本费用登记表!$AC$4:$AC$303,Y$4)+SUMIFS(资金日记账!$I$4:$I$603,资金日记账!$G$4:$G$603,$A9,资金日记账!$U$4:$U$603,"&lt;&gt;是",资金日记账!$V$4:$V$603,Y$4),2))</f>
        <v/>
      </c>
      <c r="Z9" s="87" t="str">
        <f ca="1" t="shared" si="1"/>
        <v/>
      </c>
      <c r="AA9" s="76" t="str">
        <f>IF($A9="","",ROUND(SUMIF(成本费用登记表!$D$4:$D$303,$A9,成本费用登记表!$AA$4:$AA$303)+SUMIFS(资金日记账!$I$4:$I$603,资金日记账!$G$4:$G$603,$A9,资金日记账!$U$4:$U$603,"&lt;&gt;是"),2))</f>
        <v/>
      </c>
      <c r="AB9" s="76" t="str">
        <f ca="1" t="shared" si="2"/>
        <v/>
      </c>
    </row>
    <row r="10" spans="1:29">
      <c r="A10" s="86" t="str">
        <f>IFERROR(INDEX(_自动清单!$X$4:$X$63,6),"")</f>
        <v/>
      </c>
      <c r="B10" s="76" t="str">
        <f ca="1">IF($A10="","",ROUND(SUMIFS(成本费用登记表!$H$4:$H$303,成本费用登记表!$D$4:$D$303,$A10,成本费用登记表!$AC$4:$AC$303,B$4)+SUMIFS(资金日记账!$I$4:$I$603,资金日记账!$G$4:$G$603,$A10,资金日记账!$U$4:$U$603,"&lt;&gt;是",资金日记账!$V$4:$V$603,B$4),2))</f>
        <v/>
      </c>
      <c r="C10" s="76" t="str">
        <f ca="1">IF($A10="","",ROUND(SUMIFS(成本费用登记表!$H$4:$H$303,成本费用登记表!$D$4:$D$303,$A10,成本费用登记表!$AC$4:$AC$303,C$4)+SUMIFS(资金日记账!$I$4:$I$603,资金日记账!$G$4:$G$603,$A10,资金日记账!$U$4:$U$603,"&lt;&gt;是",资金日记账!$V$4:$V$603,C$4),2))</f>
        <v/>
      </c>
      <c r="D10" s="76" t="str">
        <f ca="1">IF($A10="","",ROUND(SUMIFS(成本费用登记表!$H$4:$H$303,成本费用登记表!$D$4:$D$303,$A10,成本费用登记表!$AC$4:$AC$303,D$4)+SUMIFS(资金日记账!$I$4:$I$603,资金日记账!$G$4:$G$603,$A10,资金日记账!$U$4:$U$603,"&lt;&gt;是",资金日记账!$V$4:$V$603,D$4),2))</f>
        <v/>
      </c>
      <c r="E10" s="76" t="str">
        <f ca="1">IF($A10="","",ROUND(SUMIFS(成本费用登记表!$H$4:$H$303,成本费用登记表!$D$4:$D$303,$A10,成本费用登记表!$AC$4:$AC$303,E$4)+SUMIFS(资金日记账!$I$4:$I$603,资金日记账!$G$4:$G$603,$A10,资金日记账!$U$4:$U$603,"&lt;&gt;是",资金日记账!$V$4:$V$603,E$4),2))</f>
        <v/>
      </c>
      <c r="F10" s="76" t="str">
        <f ca="1">IF($A10="","",ROUND(SUMIFS(成本费用登记表!$H$4:$H$303,成本费用登记表!$D$4:$D$303,$A10,成本费用登记表!$AC$4:$AC$303,F$4)+SUMIFS(资金日记账!$I$4:$I$603,资金日记账!$G$4:$G$603,$A10,资金日记账!$U$4:$U$603,"&lt;&gt;是",资金日记账!$V$4:$V$603,F$4),2))</f>
        <v/>
      </c>
      <c r="G10" s="76" t="str">
        <f ca="1">IF($A10="","",ROUND(SUMIFS(成本费用登记表!$H$4:$H$303,成本费用登记表!$D$4:$D$303,$A10,成本费用登记表!$AC$4:$AC$303,G$4)+SUMIFS(资金日记账!$I$4:$I$603,资金日记账!$G$4:$G$603,$A10,资金日记账!$U$4:$U$603,"&lt;&gt;是",资金日记账!$V$4:$V$603,G$4),2))</f>
        <v/>
      </c>
      <c r="H10" s="76" t="str">
        <f ca="1">IF($A10="","",ROUND(SUMIFS(成本费用登记表!$H$4:$H$303,成本费用登记表!$D$4:$D$303,$A10,成本费用登记表!$AC$4:$AC$303,H$4)+SUMIFS(资金日记账!$I$4:$I$603,资金日记账!$G$4:$G$603,$A10,资金日记账!$U$4:$U$603,"&lt;&gt;是",资金日记账!$V$4:$V$603,H$4),2))</f>
        <v/>
      </c>
      <c r="I10" s="76" t="str">
        <f ca="1">IF($A10="","",ROUND(SUMIFS(成本费用登记表!$H$4:$H$303,成本费用登记表!$D$4:$D$303,$A10,成本费用登记表!$AC$4:$AC$303,I$4)+SUMIFS(资金日记账!$I$4:$I$603,资金日记账!$G$4:$G$603,$A10,资金日记账!$U$4:$U$603,"&lt;&gt;是",资金日记账!$V$4:$V$603,I$4),2))</f>
        <v/>
      </c>
      <c r="J10" s="76" t="str">
        <f ca="1">IF($A10="","",ROUND(SUMIFS(成本费用登记表!$H$4:$H$303,成本费用登记表!$D$4:$D$303,$A10,成本费用登记表!$AC$4:$AC$303,J$4)+SUMIFS(资金日记账!$I$4:$I$603,资金日记账!$G$4:$G$603,$A10,资金日记账!$U$4:$U$603,"&lt;&gt;是",资金日记账!$V$4:$V$603,J$4),2))</f>
        <v/>
      </c>
      <c r="K10" s="76" t="str">
        <f ca="1">IF($A10="","",ROUND(SUMIFS(成本费用登记表!$H$4:$H$303,成本费用登记表!$D$4:$D$303,$A10,成本费用登记表!$AC$4:$AC$303,K$4)+SUMIFS(资金日记账!$I$4:$I$603,资金日记账!$G$4:$G$603,$A10,资金日记账!$U$4:$U$603,"&lt;&gt;是",资金日记账!$V$4:$V$603,K$4),2))</f>
        <v/>
      </c>
      <c r="L10" s="76" t="str">
        <f ca="1">IF($A10="","",ROUND(SUMIFS(成本费用登记表!$H$4:$H$303,成本费用登记表!$D$4:$D$303,$A10,成本费用登记表!$AC$4:$AC$303,L$4)+SUMIFS(资金日记账!$I$4:$I$603,资金日记账!$G$4:$G$603,$A10,资金日记账!$U$4:$U$603,"&lt;&gt;是",资金日记账!$V$4:$V$603,L$4),2))</f>
        <v/>
      </c>
      <c r="M10" s="76" t="str">
        <f ca="1">IF($A10="","",ROUND(SUMIFS(成本费用登记表!$H$4:$H$303,成本费用登记表!$D$4:$D$303,$A10,成本费用登记表!$AC$4:$AC$303,M$4)+SUMIFS(资金日记账!$I$4:$I$603,资金日记账!$G$4:$G$603,$A10,资金日记账!$U$4:$U$603,"&lt;&gt;是",资金日记账!$V$4:$V$603,M$4),2))</f>
        <v/>
      </c>
      <c r="N10" s="76" t="str">
        <f ca="1">IF($A10="","",ROUND(SUMIFS(成本费用登记表!$H$4:$H$303,成本费用登记表!$D$4:$D$303,$A10,成本费用登记表!$AC$4:$AC$303,N$4)+SUMIFS(资金日记账!$I$4:$I$603,资金日记账!$G$4:$G$603,$A10,资金日记账!$U$4:$U$603,"&lt;&gt;是",资金日记账!$V$4:$V$603,N$4),2))</f>
        <v/>
      </c>
      <c r="O10" s="76" t="str">
        <f ca="1">IF($A10="","",ROUND(SUMIFS(成本费用登记表!$H$4:$H$303,成本费用登记表!$D$4:$D$303,$A10,成本费用登记表!$AC$4:$AC$303,O$4)+SUMIFS(资金日记账!$I$4:$I$603,资金日记账!$G$4:$G$603,$A10,资金日记账!$U$4:$U$603,"&lt;&gt;是",资金日记账!$V$4:$V$603,O$4),2))</f>
        <v/>
      </c>
      <c r="P10" s="76" t="str">
        <f ca="1">IF($A10="","",ROUND(SUMIFS(成本费用登记表!$H$4:$H$303,成本费用登记表!$D$4:$D$303,$A10,成本费用登记表!$AC$4:$AC$303,P$4)+SUMIFS(资金日记账!$I$4:$I$603,资金日记账!$G$4:$G$603,$A10,资金日记账!$U$4:$U$603,"&lt;&gt;是",资金日记账!$V$4:$V$603,P$4),2))</f>
        <v/>
      </c>
      <c r="Q10" s="76" t="str">
        <f ca="1">IF($A10="","",ROUND(SUMIFS(成本费用登记表!$H$4:$H$303,成本费用登记表!$D$4:$D$303,$A10,成本费用登记表!$AC$4:$AC$303,Q$4)+SUMIFS(资金日记账!$I$4:$I$603,资金日记账!$G$4:$G$603,$A10,资金日记账!$U$4:$U$603,"&lt;&gt;是",资金日记账!$V$4:$V$603,Q$4),2))</f>
        <v/>
      </c>
      <c r="R10" s="76" t="str">
        <f ca="1">IF($A10="","",ROUND(SUMIFS(成本费用登记表!$H$4:$H$303,成本费用登记表!$D$4:$D$303,$A10,成本费用登记表!$AC$4:$AC$303,R$4)+SUMIFS(资金日记账!$I$4:$I$603,资金日记账!$G$4:$G$603,$A10,资金日记账!$U$4:$U$603,"&lt;&gt;是",资金日记账!$V$4:$V$603,R$4),2))</f>
        <v/>
      </c>
      <c r="S10" s="76" t="str">
        <f ca="1">IF($A10="","",ROUND(SUMIFS(成本费用登记表!$H$4:$H$303,成本费用登记表!$D$4:$D$303,$A10,成本费用登记表!$AC$4:$AC$303,S$4)+SUMIFS(资金日记账!$I$4:$I$603,资金日记账!$G$4:$G$603,$A10,资金日记账!$U$4:$U$603,"&lt;&gt;是",资金日记账!$V$4:$V$603,S$4),2))</f>
        <v/>
      </c>
      <c r="T10" s="76" t="str">
        <f ca="1">IF($A10="","",ROUND(SUMIFS(成本费用登记表!$H$4:$H$303,成本费用登记表!$D$4:$D$303,$A10,成本费用登记表!$AC$4:$AC$303,T$4)+SUMIFS(资金日记账!$I$4:$I$603,资金日记账!$G$4:$G$603,$A10,资金日记账!$U$4:$U$603,"&lt;&gt;是",资金日记账!$V$4:$V$603,T$4),2))</f>
        <v/>
      </c>
      <c r="U10" s="76" t="str">
        <f ca="1">IF($A10="","",ROUND(SUMIFS(成本费用登记表!$H$4:$H$303,成本费用登记表!$D$4:$D$303,$A10,成本费用登记表!$AC$4:$AC$303,U$4)+SUMIFS(资金日记账!$I$4:$I$603,资金日记账!$G$4:$G$603,$A10,资金日记账!$U$4:$U$603,"&lt;&gt;是",资金日记账!$V$4:$V$603,U$4),2))</f>
        <v/>
      </c>
      <c r="V10" s="76" t="str">
        <f ca="1">IF($A10="","",ROUND(SUMIFS(成本费用登记表!$H$4:$H$303,成本费用登记表!$D$4:$D$303,$A10,成本费用登记表!$AC$4:$AC$303,V$4)+SUMIFS(资金日记账!$I$4:$I$603,资金日记账!$G$4:$G$603,$A10,资金日记账!$U$4:$U$603,"&lt;&gt;是",资金日记账!$V$4:$V$603,V$4),2))</f>
        <v/>
      </c>
      <c r="W10" s="76" t="str">
        <f ca="1">IF($A10="","",ROUND(SUMIFS(成本费用登记表!$H$4:$H$303,成本费用登记表!$D$4:$D$303,$A10,成本费用登记表!$AC$4:$AC$303,W$4)+SUMIFS(资金日记账!$I$4:$I$603,资金日记账!$G$4:$G$603,$A10,资金日记账!$U$4:$U$603,"&lt;&gt;是",资金日记账!$V$4:$V$603,W$4),2))</f>
        <v/>
      </c>
      <c r="X10" s="76" t="str">
        <f ca="1">IF($A10="","",ROUND(SUMIFS(成本费用登记表!$H$4:$H$303,成本费用登记表!$D$4:$D$303,$A10,成本费用登记表!$AC$4:$AC$303,X$4)+SUMIFS(资金日记账!$I$4:$I$603,资金日记账!$G$4:$G$603,$A10,资金日记账!$U$4:$U$603,"&lt;&gt;是",资金日记账!$V$4:$V$603,X$4),2))</f>
        <v/>
      </c>
      <c r="Y10" s="76" t="str">
        <f ca="1">IF($A10="","",ROUND(SUMIFS(成本费用登记表!$H$4:$H$303,成本费用登记表!$D$4:$D$303,$A10,成本费用登记表!$AC$4:$AC$303,Y$4)+SUMIFS(资金日记账!$I$4:$I$603,资金日记账!$G$4:$G$603,$A10,资金日记账!$U$4:$U$603,"&lt;&gt;是",资金日记账!$V$4:$V$603,Y$4),2))</f>
        <v/>
      </c>
      <c r="Z10" s="87" t="str">
        <f ca="1" t="shared" si="1"/>
        <v/>
      </c>
      <c r="AA10" s="76" t="str">
        <f>IF($A10="","",ROUND(SUMIF(成本费用登记表!$D$4:$D$303,$A10,成本费用登记表!$AA$4:$AA$303)+SUMIFS(资金日记账!$I$4:$I$603,资金日记账!$G$4:$G$603,$A10,资金日记账!$U$4:$U$603,"&lt;&gt;是"),2))</f>
        <v/>
      </c>
      <c r="AB10" s="76" t="str">
        <f ca="1" t="shared" si="2"/>
        <v/>
      </c>
    </row>
    <row r="11" spans="1:29">
      <c r="A11" s="86" t="str">
        <f>IFERROR(INDEX(_自动清单!$X$4:$X$63,7),"")</f>
        <v/>
      </c>
      <c r="B11" s="76" t="str">
        <f ca="1">IF($A11="","",ROUND(SUMIFS(成本费用登记表!$H$4:$H$303,成本费用登记表!$D$4:$D$303,$A11,成本费用登记表!$AC$4:$AC$303,B$4)+SUMIFS(资金日记账!$I$4:$I$603,资金日记账!$G$4:$G$603,$A11,资金日记账!$U$4:$U$603,"&lt;&gt;是",资金日记账!$V$4:$V$603,B$4),2))</f>
        <v/>
      </c>
      <c r="C11" s="76" t="str">
        <f ca="1">IF($A11="","",ROUND(SUMIFS(成本费用登记表!$H$4:$H$303,成本费用登记表!$D$4:$D$303,$A11,成本费用登记表!$AC$4:$AC$303,C$4)+SUMIFS(资金日记账!$I$4:$I$603,资金日记账!$G$4:$G$603,$A11,资金日记账!$U$4:$U$603,"&lt;&gt;是",资金日记账!$V$4:$V$603,C$4),2))</f>
        <v/>
      </c>
      <c r="D11" s="76" t="str">
        <f ca="1">IF($A11="","",ROUND(SUMIFS(成本费用登记表!$H$4:$H$303,成本费用登记表!$D$4:$D$303,$A11,成本费用登记表!$AC$4:$AC$303,D$4)+SUMIFS(资金日记账!$I$4:$I$603,资金日记账!$G$4:$G$603,$A11,资金日记账!$U$4:$U$603,"&lt;&gt;是",资金日记账!$V$4:$V$603,D$4),2))</f>
        <v/>
      </c>
      <c r="E11" s="76" t="str">
        <f ca="1">IF($A11="","",ROUND(SUMIFS(成本费用登记表!$H$4:$H$303,成本费用登记表!$D$4:$D$303,$A11,成本费用登记表!$AC$4:$AC$303,E$4)+SUMIFS(资金日记账!$I$4:$I$603,资金日记账!$G$4:$G$603,$A11,资金日记账!$U$4:$U$603,"&lt;&gt;是",资金日记账!$V$4:$V$603,E$4),2))</f>
        <v/>
      </c>
      <c r="F11" s="76" t="str">
        <f ca="1">IF($A11="","",ROUND(SUMIFS(成本费用登记表!$H$4:$H$303,成本费用登记表!$D$4:$D$303,$A11,成本费用登记表!$AC$4:$AC$303,F$4)+SUMIFS(资金日记账!$I$4:$I$603,资金日记账!$G$4:$G$603,$A11,资金日记账!$U$4:$U$603,"&lt;&gt;是",资金日记账!$V$4:$V$603,F$4),2))</f>
        <v/>
      </c>
      <c r="G11" s="76" t="str">
        <f ca="1">IF($A11="","",ROUND(SUMIFS(成本费用登记表!$H$4:$H$303,成本费用登记表!$D$4:$D$303,$A11,成本费用登记表!$AC$4:$AC$303,G$4)+SUMIFS(资金日记账!$I$4:$I$603,资金日记账!$G$4:$G$603,$A11,资金日记账!$U$4:$U$603,"&lt;&gt;是",资金日记账!$V$4:$V$603,G$4),2))</f>
        <v/>
      </c>
      <c r="H11" s="76" t="str">
        <f ca="1">IF($A11="","",ROUND(SUMIFS(成本费用登记表!$H$4:$H$303,成本费用登记表!$D$4:$D$303,$A11,成本费用登记表!$AC$4:$AC$303,H$4)+SUMIFS(资金日记账!$I$4:$I$603,资金日记账!$G$4:$G$603,$A11,资金日记账!$U$4:$U$603,"&lt;&gt;是",资金日记账!$V$4:$V$603,H$4),2))</f>
        <v/>
      </c>
      <c r="I11" s="76" t="str">
        <f ca="1">IF($A11="","",ROUND(SUMIFS(成本费用登记表!$H$4:$H$303,成本费用登记表!$D$4:$D$303,$A11,成本费用登记表!$AC$4:$AC$303,I$4)+SUMIFS(资金日记账!$I$4:$I$603,资金日记账!$G$4:$G$603,$A11,资金日记账!$U$4:$U$603,"&lt;&gt;是",资金日记账!$V$4:$V$603,I$4),2))</f>
        <v/>
      </c>
      <c r="J11" s="76" t="str">
        <f ca="1">IF($A11="","",ROUND(SUMIFS(成本费用登记表!$H$4:$H$303,成本费用登记表!$D$4:$D$303,$A11,成本费用登记表!$AC$4:$AC$303,J$4)+SUMIFS(资金日记账!$I$4:$I$603,资金日记账!$G$4:$G$603,$A11,资金日记账!$U$4:$U$603,"&lt;&gt;是",资金日记账!$V$4:$V$603,J$4),2))</f>
        <v/>
      </c>
      <c r="K11" s="76" t="str">
        <f ca="1">IF($A11="","",ROUND(SUMIFS(成本费用登记表!$H$4:$H$303,成本费用登记表!$D$4:$D$303,$A11,成本费用登记表!$AC$4:$AC$303,K$4)+SUMIFS(资金日记账!$I$4:$I$603,资金日记账!$G$4:$G$603,$A11,资金日记账!$U$4:$U$603,"&lt;&gt;是",资金日记账!$V$4:$V$603,K$4),2))</f>
        <v/>
      </c>
      <c r="L11" s="76" t="str">
        <f ca="1">IF($A11="","",ROUND(SUMIFS(成本费用登记表!$H$4:$H$303,成本费用登记表!$D$4:$D$303,$A11,成本费用登记表!$AC$4:$AC$303,L$4)+SUMIFS(资金日记账!$I$4:$I$603,资金日记账!$G$4:$G$603,$A11,资金日记账!$U$4:$U$603,"&lt;&gt;是",资金日记账!$V$4:$V$603,L$4),2))</f>
        <v/>
      </c>
      <c r="M11" s="76" t="str">
        <f ca="1">IF($A11="","",ROUND(SUMIFS(成本费用登记表!$H$4:$H$303,成本费用登记表!$D$4:$D$303,$A11,成本费用登记表!$AC$4:$AC$303,M$4)+SUMIFS(资金日记账!$I$4:$I$603,资金日记账!$G$4:$G$603,$A11,资金日记账!$U$4:$U$603,"&lt;&gt;是",资金日记账!$V$4:$V$603,M$4),2))</f>
        <v/>
      </c>
      <c r="N11" s="76" t="str">
        <f ca="1">IF($A11="","",ROUND(SUMIFS(成本费用登记表!$H$4:$H$303,成本费用登记表!$D$4:$D$303,$A11,成本费用登记表!$AC$4:$AC$303,N$4)+SUMIFS(资金日记账!$I$4:$I$603,资金日记账!$G$4:$G$603,$A11,资金日记账!$U$4:$U$603,"&lt;&gt;是",资金日记账!$V$4:$V$603,N$4),2))</f>
        <v/>
      </c>
      <c r="O11" s="76" t="str">
        <f ca="1">IF($A11="","",ROUND(SUMIFS(成本费用登记表!$H$4:$H$303,成本费用登记表!$D$4:$D$303,$A11,成本费用登记表!$AC$4:$AC$303,O$4)+SUMIFS(资金日记账!$I$4:$I$603,资金日记账!$G$4:$G$603,$A11,资金日记账!$U$4:$U$603,"&lt;&gt;是",资金日记账!$V$4:$V$603,O$4),2))</f>
        <v/>
      </c>
      <c r="P11" s="76" t="str">
        <f ca="1">IF($A11="","",ROUND(SUMIFS(成本费用登记表!$H$4:$H$303,成本费用登记表!$D$4:$D$303,$A11,成本费用登记表!$AC$4:$AC$303,P$4)+SUMIFS(资金日记账!$I$4:$I$603,资金日记账!$G$4:$G$603,$A11,资金日记账!$U$4:$U$603,"&lt;&gt;是",资金日记账!$V$4:$V$603,P$4),2))</f>
        <v/>
      </c>
      <c r="Q11" s="76" t="str">
        <f ca="1">IF($A11="","",ROUND(SUMIFS(成本费用登记表!$H$4:$H$303,成本费用登记表!$D$4:$D$303,$A11,成本费用登记表!$AC$4:$AC$303,Q$4)+SUMIFS(资金日记账!$I$4:$I$603,资金日记账!$G$4:$G$603,$A11,资金日记账!$U$4:$U$603,"&lt;&gt;是",资金日记账!$V$4:$V$603,Q$4),2))</f>
        <v/>
      </c>
      <c r="R11" s="76" t="str">
        <f ca="1">IF($A11="","",ROUND(SUMIFS(成本费用登记表!$H$4:$H$303,成本费用登记表!$D$4:$D$303,$A11,成本费用登记表!$AC$4:$AC$303,R$4)+SUMIFS(资金日记账!$I$4:$I$603,资金日记账!$G$4:$G$603,$A11,资金日记账!$U$4:$U$603,"&lt;&gt;是",资金日记账!$V$4:$V$603,R$4),2))</f>
        <v/>
      </c>
      <c r="S11" s="76" t="str">
        <f ca="1">IF($A11="","",ROUND(SUMIFS(成本费用登记表!$H$4:$H$303,成本费用登记表!$D$4:$D$303,$A11,成本费用登记表!$AC$4:$AC$303,S$4)+SUMIFS(资金日记账!$I$4:$I$603,资金日记账!$G$4:$G$603,$A11,资金日记账!$U$4:$U$603,"&lt;&gt;是",资金日记账!$V$4:$V$603,S$4),2))</f>
        <v/>
      </c>
      <c r="T11" s="76" t="str">
        <f ca="1">IF($A11="","",ROUND(SUMIFS(成本费用登记表!$H$4:$H$303,成本费用登记表!$D$4:$D$303,$A11,成本费用登记表!$AC$4:$AC$303,T$4)+SUMIFS(资金日记账!$I$4:$I$603,资金日记账!$G$4:$G$603,$A11,资金日记账!$U$4:$U$603,"&lt;&gt;是",资金日记账!$V$4:$V$603,T$4),2))</f>
        <v/>
      </c>
      <c r="U11" s="76" t="str">
        <f ca="1">IF($A11="","",ROUND(SUMIFS(成本费用登记表!$H$4:$H$303,成本费用登记表!$D$4:$D$303,$A11,成本费用登记表!$AC$4:$AC$303,U$4)+SUMIFS(资金日记账!$I$4:$I$603,资金日记账!$G$4:$G$603,$A11,资金日记账!$U$4:$U$603,"&lt;&gt;是",资金日记账!$V$4:$V$603,U$4),2))</f>
        <v/>
      </c>
      <c r="V11" s="76" t="str">
        <f ca="1">IF($A11="","",ROUND(SUMIFS(成本费用登记表!$H$4:$H$303,成本费用登记表!$D$4:$D$303,$A11,成本费用登记表!$AC$4:$AC$303,V$4)+SUMIFS(资金日记账!$I$4:$I$603,资金日记账!$G$4:$G$603,$A11,资金日记账!$U$4:$U$603,"&lt;&gt;是",资金日记账!$V$4:$V$603,V$4),2))</f>
        <v/>
      </c>
      <c r="W11" s="76" t="str">
        <f ca="1">IF($A11="","",ROUND(SUMIFS(成本费用登记表!$H$4:$H$303,成本费用登记表!$D$4:$D$303,$A11,成本费用登记表!$AC$4:$AC$303,W$4)+SUMIFS(资金日记账!$I$4:$I$603,资金日记账!$G$4:$G$603,$A11,资金日记账!$U$4:$U$603,"&lt;&gt;是",资金日记账!$V$4:$V$603,W$4),2))</f>
        <v/>
      </c>
      <c r="X11" s="76" t="str">
        <f ca="1">IF($A11="","",ROUND(SUMIFS(成本费用登记表!$H$4:$H$303,成本费用登记表!$D$4:$D$303,$A11,成本费用登记表!$AC$4:$AC$303,X$4)+SUMIFS(资金日记账!$I$4:$I$603,资金日记账!$G$4:$G$603,$A11,资金日记账!$U$4:$U$603,"&lt;&gt;是",资金日记账!$V$4:$V$603,X$4),2))</f>
        <v/>
      </c>
      <c r="Y11" s="76" t="str">
        <f ca="1">IF($A11="","",ROUND(SUMIFS(成本费用登记表!$H$4:$H$303,成本费用登记表!$D$4:$D$303,$A11,成本费用登记表!$AC$4:$AC$303,Y$4)+SUMIFS(资金日记账!$I$4:$I$603,资金日记账!$G$4:$G$603,$A11,资金日记账!$U$4:$U$603,"&lt;&gt;是",资金日记账!$V$4:$V$603,Y$4),2))</f>
        <v/>
      </c>
      <c r="Z11" s="87" t="str">
        <f ca="1" t="shared" si="1"/>
        <v/>
      </c>
      <c r="AA11" s="76" t="str">
        <f>IF($A11="","",ROUND(SUMIF(成本费用登记表!$D$4:$D$303,$A11,成本费用登记表!$AA$4:$AA$303)+SUMIFS(资金日记账!$I$4:$I$603,资金日记账!$G$4:$G$603,$A11,资金日记账!$U$4:$U$603,"&lt;&gt;是"),2))</f>
        <v/>
      </c>
      <c r="AB11" s="76" t="str">
        <f ca="1" t="shared" si="2"/>
        <v/>
      </c>
    </row>
    <row r="12" spans="1:29">
      <c r="A12" s="86" t="str">
        <f>IFERROR(INDEX(_自动清单!$X$4:$X$63,8),"")</f>
        <v/>
      </c>
      <c r="B12" s="76" t="str">
        <f ca="1">IF($A12="","",ROUND(SUMIFS(成本费用登记表!$H$4:$H$303,成本费用登记表!$D$4:$D$303,$A12,成本费用登记表!$AC$4:$AC$303,B$4)+SUMIFS(资金日记账!$I$4:$I$603,资金日记账!$G$4:$G$603,$A12,资金日记账!$U$4:$U$603,"&lt;&gt;是",资金日记账!$V$4:$V$603,B$4),2))</f>
        <v/>
      </c>
      <c r="C12" s="76" t="str">
        <f ca="1">IF($A12="","",ROUND(SUMIFS(成本费用登记表!$H$4:$H$303,成本费用登记表!$D$4:$D$303,$A12,成本费用登记表!$AC$4:$AC$303,C$4)+SUMIFS(资金日记账!$I$4:$I$603,资金日记账!$G$4:$G$603,$A12,资金日记账!$U$4:$U$603,"&lt;&gt;是",资金日记账!$V$4:$V$603,C$4),2))</f>
        <v/>
      </c>
      <c r="D12" s="76" t="str">
        <f ca="1">IF($A12="","",ROUND(SUMIFS(成本费用登记表!$H$4:$H$303,成本费用登记表!$D$4:$D$303,$A12,成本费用登记表!$AC$4:$AC$303,D$4)+SUMIFS(资金日记账!$I$4:$I$603,资金日记账!$G$4:$G$603,$A12,资金日记账!$U$4:$U$603,"&lt;&gt;是",资金日记账!$V$4:$V$603,D$4),2))</f>
        <v/>
      </c>
      <c r="E12" s="76" t="str">
        <f ca="1">IF($A12="","",ROUND(SUMIFS(成本费用登记表!$H$4:$H$303,成本费用登记表!$D$4:$D$303,$A12,成本费用登记表!$AC$4:$AC$303,E$4)+SUMIFS(资金日记账!$I$4:$I$603,资金日记账!$G$4:$G$603,$A12,资金日记账!$U$4:$U$603,"&lt;&gt;是",资金日记账!$V$4:$V$603,E$4),2))</f>
        <v/>
      </c>
      <c r="F12" s="76" t="str">
        <f ca="1">IF($A12="","",ROUND(SUMIFS(成本费用登记表!$H$4:$H$303,成本费用登记表!$D$4:$D$303,$A12,成本费用登记表!$AC$4:$AC$303,F$4)+SUMIFS(资金日记账!$I$4:$I$603,资金日记账!$G$4:$G$603,$A12,资金日记账!$U$4:$U$603,"&lt;&gt;是",资金日记账!$V$4:$V$603,F$4),2))</f>
        <v/>
      </c>
      <c r="G12" s="76" t="str">
        <f ca="1">IF($A12="","",ROUND(SUMIFS(成本费用登记表!$H$4:$H$303,成本费用登记表!$D$4:$D$303,$A12,成本费用登记表!$AC$4:$AC$303,G$4)+SUMIFS(资金日记账!$I$4:$I$603,资金日记账!$G$4:$G$603,$A12,资金日记账!$U$4:$U$603,"&lt;&gt;是",资金日记账!$V$4:$V$603,G$4),2))</f>
        <v/>
      </c>
      <c r="H12" s="76" t="str">
        <f ca="1">IF($A12="","",ROUND(SUMIFS(成本费用登记表!$H$4:$H$303,成本费用登记表!$D$4:$D$303,$A12,成本费用登记表!$AC$4:$AC$303,H$4)+SUMIFS(资金日记账!$I$4:$I$603,资金日记账!$G$4:$G$603,$A12,资金日记账!$U$4:$U$603,"&lt;&gt;是",资金日记账!$V$4:$V$603,H$4),2))</f>
        <v/>
      </c>
      <c r="I12" s="76" t="str">
        <f ca="1">IF($A12="","",ROUND(SUMIFS(成本费用登记表!$H$4:$H$303,成本费用登记表!$D$4:$D$303,$A12,成本费用登记表!$AC$4:$AC$303,I$4)+SUMIFS(资金日记账!$I$4:$I$603,资金日记账!$G$4:$G$603,$A12,资金日记账!$U$4:$U$603,"&lt;&gt;是",资金日记账!$V$4:$V$603,I$4),2))</f>
        <v/>
      </c>
      <c r="J12" s="76" t="str">
        <f ca="1">IF($A12="","",ROUND(SUMIFS(成本费用登记表!$H$4:$H$303,成本费用登记表!$D$4:$D$303,$A12,成本费用登记表!$AC$4:$AC$303,J$4)+SUMIFS(资金日记账!$I$4:$I$603,资金日记账!$G$4:$G$603,$A12,资金日记账!$U$4:$U$603,"&lt;&gt;是",资金日记账!$V$4:$V$603,J$4),2))</f>
        <v/>
      </c>
      <c r="K12" s="76" t="str">
        <f ca="1">IF($A12="","",ROUND(SUMIFS(成本费用登记表!$H$4:$H$303,成本费用登记表!$D$4:$D$303,$A12,成本费用登记表!$AC$4:$AC$303,K$4)+SUMIFS(资金日记账!$I$4:$I$603,资金日记账!$G$4:$G$603,$A12,资金日记账!$U$4:$U$603,"&lt;&gt;是",资金日记账!$V$4:$V$603,K$4),2))</f>
        <v/>
      </c>
      <c r="L12" s="76" t="str">
        <f ca="1">IF($A12="","",ROUND(SUMIFS(成本费用登记表!$H$4:$H$303,成本费用登记表!$D$4:$D$303,$A12,成本费用登记表!$AC$4:$AC$303,L$4)+SUMIFS(资金日记账!$I$4:$I$603,资金日记账!$G$4:$G$603,$A12,资金日记账!$U$4:$U$603,"&lt;&gt;是",资金日记账!$V$4:$V$603,L$4),2))</f>
        <v/>
      </c>
      <c r="M12" s="76" t="str">
        <f ca="1">IF($A12="","",ROUND(SUMIFS(成本费用登记表!$H$4:$H$303,成本费用登记表!$D$4:$D$303,$A12,成本费用登记表!$AC$4:$AC$303,M$4)+SUMIFS(资金日记账!$I$4:$I$603,资金日记账!$G$4:$G$603,$A12,资金日记账!$U$4:$U$603,"&lt;&gt;是",资金日记账!$V$4:$V$603,M$4),2))</f>
        <v/>
      </c>
      <c r="N12" s="76" t="str">
        <f ca="1">IF($A12="","",ROUND(SUMIFS(成本费用登记表!$H$4:$H$303,成本费用登记表!$D$4:$D$303,$A12,成本费用登记表!$AC$4:$AC$303,N$4)+SUMIFS(资金日记账!$I$4:$I$603,资金日记账!$G$4:$G$603,$A12,资金日记账!$U$4:$U$603,"&lt;&gt;是",资金日记账!$V$4:$V$603,N$4),2))</f>
        <v/>
      </c>
      <c r="O12" s="76" t="str">
        <f ca="1">IF($A12="","",ROUND(SUMIFS(成本费用登记表!$H$4:$H$303,成本费用登记表!$D$4:$D$303,$A12,成本费用登记表!$AC$4:$AC$303,O$4)+SUMIFS(资金日记账!$I$4:$I$603,资金日记账!$G$4:$G$603,$A12,资金日记账!$U$4:$U$603,"&lt;&gt;是",资金日记账!$V$4:$V$603,O$4),2))</f>
        <v/>
      </c>
      <c r="P12" s="76" t="str">
        <f ca="1">IF($A12="","",ROUND(SUMIFS(成本费用登记表!$H$4:$H$303,成本费用登记表!$D$4:$D$303,$A12,成本费用登记表!$AC$4:$AC$303,P$4)+SUMIFS(资金日记账!$I$4:$I$603,资金日记账!$G$4:$G$603,$A12,资金日记账!$U$4:$U$603,"&lt;&gt;是",资金日记账!$V$4:$V$603,P$4),2))</f>
        <v/>
      </c>
      <c r="Q12" s="76" t="str">
        <f ca="1">IF($A12="","",ROUND(SUMIFS(成本费用登记表!$H$4:$H$303,成本费用登记表!$D$4:$D$303,$A12,成本费用登记表!$AC$4:$AC$303,Q$4)+SUMIFS(资金日记账!$I$4:$I$603,资金日记账!$G$4:$G$603,$A12,资金日记账!$U$4:$U$603,"&lt;&gt;是",资金日记账!$V$4:$V$603,Q$4),2))</f>
        <v/>
      </c>
      <c r="R12" s="76" t="str">
        <f ca="1">IF($A12="","",ROUND(SUMIFS(成本费用登记表!$H$4:$H$303,成本费用登记表!$D$4:$D$303,$A12,成本费用登记表!$AC$4:$AC$303,R$4)+SUMIFS(资金日记账!$I$4:$I$603,资金日记账!$G$4:$G$603,$A12,资金日记账!$U$4:$U$603,"&lt;&gt;是",资金日记账!$V$4:$V$603,R$4),2))</f>
        <v/>
      </c>
      <c r="S12" s="76" t="str">
        <f ca="1">IF($A12="","",ROUND(SUMIFS(成本费用登记表!$H$4:$H$303,成本费用登记表!$D$4:$D$303,$A12,成本费用登记表!$AC$4:$AC$303,S$4)+SUMIFS(资金日记账!$I$4:$I$603,资金日记账!$G$4:$G$603,$A12,资金日记账!$U$4:$U$603,"&lt;&gt;是",资金日记账!$V$4:$V$603,S$4),2))</f>
        <v/>
      </c>
      <c r="T12" s="76" t="str">
        <f ca="1">IF($A12="","",ROUND(SUMIFS(成本费用登记表!$H$4:$H$303,成本费用登记表!$D$4:$D$303,$A12,成本费用登记表!$AC$4:$AC$303,T$4)+SUMIFS(资金日记账!$I$4:$I$603,资金日记账!$G$4:$G$603,$A12,资金日记账!$U$4:$U$603,"&lt;&gt;是",资金日记账!$V$4:$V$603,T$4),2))</f>
        <v/>
      </c>
      <c r="U12" s="76" t="str">
        <f ca="1">IF($A12="","",ROUND(SUMIFS(成本费用登记表!$H$4:$H$303,成本费用登记表!$D$4:$D$303,$A12,成本费用登记表!$AC$4:$AC$303,U$4)+SUMIFS(资金日记账!$I$4:$I$603,资金日记账!$G$4:$G$603,$A12,资金日记账!$U$4:$U$603,"&lt;&gt;是",资金日记账!$V$4:$V$603,U$4),2))</f>
        <v/>
      </c>
      <c r="V12" s="76" t="str">
        <f ca="1">IF($A12="","",ROUND(SUMIFS(成本费用登记表!$H$4:$H$303,成本费用登记表!$D$4:$D$303,$A12,成本费用登记表!$AC$4:$AC$303,V$4)+SUMIFS(资金日记账!$I$4:$I$603,资金日记账!$G$4:$G$603,$A12,资金日记账!$U$4:$U$603,"&lt;&gt;是",资金日记账!$V$4:$V$603,V$4),2))</f>
        <v/>
      </c>
      <c r="W12" s="76" t="str">
        <f ca="1">IF($A12="","",ROUND(SUMIFS(成本费用登记表!$H$4:$H$303,成本费用登记表!$D$4:$D$303,$A12,成本费用登记表!$AC$4:$AC$303,W$4)+SUMIFS(资金日记账!$I$4:$I$603,资金日记账!$G$4:$G$603,$A12,资金日记账!$U$4:$U$603,"&lt;&gt;是",资金日记账!$V$4:$V$603,W$4),2))</f>
        <v/>
      </c>
      <c r="X12" s="76" t="str">
        <f ca="1">IF($A12="","",ROUND(SUMIFS(成本费用登记表!$H$4:$H$303,成本费用登记表!$D$4:$D$303,$A12,成本费用登记表!$AC$4:$AC$303,X$4)+SUMIFS(资金日记账!$I$4:$I$603,资金日记账!$G$4:$G$603,$A12,资金日记账!$U$4:$U$603,"&lt;&gt;是",资金日记账!$V$4:$V$603,X$4),2))</f>
        <v/>
      </c>
      <c r="Y12" s="76" t="str">
        <f ca="1">IF($A12="","",ROUND(SUMIFS(成本费用登记表!$H$4:$H$303,成本费用登记表!$D$4:$D$303,$A12,成本费用登记表!$AC$4:$AC$303,Y$4)+SUMIFS(资金日记账!$I$4:$I$603,资金日记账!$G$4:$G$603,$A12,资金日记账!$U$4:$U$603,"&lt;&gt;是",资金日记账!$V$4:$V$603,Y$4),2))</f>
        <v/>
      </c>
      <c r="Z12" s="87" t="str">
        <f ca="1" t="shared" si="1"/>
        <v/>
      </c>
      <c r="AA12" s="76" t="str">
        <f>IF($A12="","",ROUND(SUMIF(成本费用登记表!$D$4:$D$303,$A12,成本费用登记表!$AA$4:$AA$303)+SUMIFS(资金日记账!$I$4:$I$603,资金日记账!$G$4:$G$603,$A12,资金日记账!$U$4:$U$603,"&lt;&gt;是"),2))</f>
        <v/>
      </c>
      <c r="AB12" s="76" t="str">
        <f ca="1" t="shared" si="2"/>
        <v/>
      </c>
    </row>
    <row r="13" spans="1:29">
      <c r="A13" s="86" t="str">
        <f>IFERROR(INDEX(_自动清单!$X$4:$X$63,9),"")</f>
        <v/>
      </c>
      <c r="B13" s="76" t="str">
        <f ca="1">IF($A13="","",ROUND(SUMIFS(成本费用登记表!$H$4:$H$303,成本费用登记表!$D$4:$D$303,$A13,成本费用登记表!$AC$4:$AC$303,B$4)+SUMIFS(资金日记账!$I$4:$I$603,资金日记账!$G$4:$G$603,$A13,资金日记账!$U$4:$U$603,"&lt;&gt;是",资金日记账!$V$4:$V$603,B$4),2))</f>
        <v/>
      </c>
      <c r="C13" s="76" t="str">
        <f ca="1">IF($A13="","",ROUND(SUMIFS(成本费用登记表!$H$4:$H$303,成本费用登记表!$D$4:$D$303,$A13,成本费用登记表!$AC$4:$AC$303,C$4)+SUMIFS(资金日记账!$I$4:$I$603,资金日记账!$G$4:$G$603,$A13,资金日记账!$U$4:$U$603,"&lt;&gt;是",资金日记账!$V$4:$V$603,C$4),2))</f>
        <v/>
      </c>
      <c r="D13" s="76" t="str">
        <f ca="1">IF($A13="","",ROUND(SUMIFS(成本费用登记表!$H$4:$H$303,成本费用登记表!$D$4:$D$303,$A13,成本费用登记表!$AC$4:$AC$303,D$4)+SUMIFS(资金日记账!$I$4:$I$603,资金日记账!$G$4:$G$603,$A13,资金日记账!$U$4:$U$603,"&lt;&gt;是",资金日记账!$V$4:$V$603,D$4),2))</f>
        <v/>
      </c>
      <c r="E13" s="76" t="str">
        <f ca="1">IF($A13="","",ROUND(SUMIFS(成本费用登记表!$H$4:$H$303,成本费用登记表!$D$4:$D$303,$A13,成本费用登记表!$AC$4:$AC$303,E$4)+SUMIFS(资金日记账!$I$4:$I$603,资金日记账!$G$4:$G$603,$A13,资金日记账!$U$4:$U$603,"&lt;&gt;是",资金日记账!$V$4:$V$603,E$4),2))</f>
        <v/>
      </c>
      <c r="F13" s="76" t="str">
        <f ca="1">IF($A13="","",ROUND(SUMIFS(成本费用登记表!$H$4:$H$303,成本费用登记表!$D$4:$D$303,$A13,成本费用登记表!$AC$4:$AC$303,F$4)+SUMIFS(资金日记账!$I$4:$I$603,资金日记账!$G$4:$G$603,$A13,资金日记账!$U$4:$U$603,"&lt;&gt;是",资金日记账!$V$4:$V$603,F$4),2))</f>
        <v/>
      </c>
      <c r="G13" s="76" t="str">
        <f ca="1">IF($A13="","",ROUND(SUMIFS(成本费用登记表!$H$4:$H$303,成本费用登记表!$D$4:$D$303,$A13,成本费用登记表!$AC$4:$AC$303,G$4)+SUMIFS(资金日记账!$I$4:$I$603,资金日记账!$G$4:$G$603,$A13,资金日记账!$U$4:$U$603,"&lt;&gt;是",资金日记账!$V$4:$V$603,G$4),2))</f>
        <v/>
      </c>
      <c r="H13" s="76" t="str">
        <f ca="1">IF($A13="","",ROUND(SUMIFS(成本费用登记表!$H$4:$H$303,成本费用登记表!$D$4:$D$303,$A13,成本费用登记表!$AC$4:$AC$303,H$4)+SUMIFS(资金日记账!$I$4:$I$603,资金日记账!$G$4:$G$603,$A13,资金日记账!$U$4:$U$603,"&lt;&gt;是",资金日记账!$V$4:$V$603,H$4),2))</f>
        <v/>
      </c>
      <c r="I13" s="76" t="str">
        <f ca="1">IF($A13="","",ROUND(SUMIFS(成本费用登记表!$H$4:$H$303,成本费用登记表!$D$4:$D$303,$A13,成本费用登记表!$AC$4:$AC$303,I$4)+SUMIFS(资金日记账!$I$4:$I$603,资金日记账!$G$4:$G$603,$A13,资金日记账!$U$4:$U$603,"&lt;&gt;是",资金日记账!$V$4:$V$603,I$4),2))</f>
        <v/>
      </c>
      <c r="J13" s="76" t="str">
        <f ca="1">IF($A13="","",ROUND(SUMIFS(成本费用登记表!$H$4:$H$303,成本费用登记表!$D$4:$D$303,$A13,成本费用登记表!$AC$4:$AC$303,J$4)+SUMIFS(资金日记账!$I$4:$I$603,资金日记账!$G$4:$G$603,$A13,资金日记账!$U$4:$U$603,"&lt;&gt;是",资金日记账!$V$4:$V$603,J$4),2))</f>
        <v/>
      </c>
      <c r="K13" s="76" t="str">
        <f ca="1">IF($A13="","",ROUND(SUMIFS(成本费用登记表!$H$4:$H$303,成本费用登记表!$D$4:$D$303,$A13,成本费用登记表!$AC$4:$AC$303,K$4)+SUMIFS(资金日记账!$I$4:$I$603,资金日记账!$G$4:$G$603,$A13,资金日记账!$U$4:$U$603,"&lt;&gt;是",资金日记账!$V$4:$V$603,K$4),2))</f>
        <v/>
      </c>
      <c r="L13" s="76" t="str">
        <f ca="1">IF($A13="","",ROUND(SUMIFS(成本费用登记表!$H$4:$H$303,成本费用登记表!$D$4:$D$303,$A13,成本费用登记表!$AC$4:$AC$303,L$4)+SUMIFS(资金日记账!$I$4:$I$603,资金日记账!$G$4:$G$603,$A13,资金日记账!$U$4:$U$603,"&lt;&gt;是",资金日记账!$V$4:$V$603,L$4),2))</f>
        <v/>
      </c>
      <c r="M13" s="76" t="str">
        <f ca="1">IF($A13="","",ROUND(SUMIFS(成本费用登记表!$H$4:$H$303,成本费用登记表!$D$4:$D$303,$A13,成本费用登记表!$AC$4:$AC$303,M$4)+SUMIFS(资金日记账!$I$4:$I$603,资金日记账!$G$4:$G$603,$A13,资金日记账!$U$4:$U$603,"&lt;&gt;是",资金日记账!$V$4:$V$603,M$4),2))</f>
        <v/>
      </c>
      <c r="N13" s="76" t="str">
        <f ca="1">IF($A13="","",ROUND(SUMIFS(成本费用登记表!$H$4:$H$303,成本费用登记表!$D$4:$D$303,$A13,成本费用登记表!$AC$4:$AC$303,N$4)+SUMIFS(资金日记账!$I$4:$I$603,资金日记账!$G$4:$G$603,$A13,资金日记账!$U$4:$U$603,"&lt;&gt;是",资金日记账!$V$4:$V$603,N$4),2))</f>
        <v/>
      </c>
      <c r="O13" s="76" t="str">
        <f ca="1">IF($A13="","",ROUND(SUMIFS(成本费用登记表!$H$4:$H$303,成本费用登记表!$D$4:$D$303,$A13,成本费用登记表!$AC$4:$AC$303,O$4)+SUMIFS(资金日记账!$I$4:$I$603,资金日记账!$G$4:$G$603,$A13,资金日记账!$U$4:$U$603,"&lt;&gt;是",资金日记账!$V$4:$V$603,O$4),2))</f>
        <v/>
      </c>
      <c r="P13" s="76" t="str">
        <f ca="1">IF($A13="","",ROUND(SUMIFS(成本费用登记表!$H$4:$H$303,成本费用登记表!$D$4:$D$303,$A13,成本费用登记表!$AC$4:$AC$303,P$4)+SUMIFS(资金日记账!$I$4:$I$603,资金日记账!$G$4:$G$603,$A13,资金日记账!$U$4:$U$603,"&lt;&gt;是",资金日记账!$V$4:$V$603,P$4),2))</f>
        <v/>
      </c>
      <c r="Q13" s="76" t="str">
        <f ca="1">IF($A13="","",ROUND(SUMIFS(成本费用登记表!$H$4:$H$303,成本费用登记表!$D$4:$D$303,$A13,成本费用登记表!$AC$4:$AC$303,Q$4)+SUMIFS(资金日记账!$I$4:$I$603,资金日记账!$G$4:$G$603,$A13,资金日记账!$U$4:$U$603,"&lt;&gt;是",资金日记账!$V$4:$V$603,Q$4),2))</f>
        <v/>
      </c>
      <c r="R13" s="76" t="str">
        <f ca="1">IF($A13="","",ROUND(SUMIFS(成本费用登记表!$H$4:$H$303,成本费用登记表!$D$4:$D$303,$A13,成本费用登记表!$AC$4:$AC$303,R$4)+SUMIFS(资金日记账!$I$4:$I$603,资金日记账!$G$4:$G$603,$A13,资金日记账!$U$4:$U$603,"&lt;&gt;是",资金日记账!$V$4:$V$603,R$4),2))</f>
        <v/>
      </c>
      <c r="S13" s="76" t="str">
        <f ca="1">IF($A13="","",ROUND(SUMIFS(成本费用登记表!$H$4:$H$303,成本费用登记表!$D$4:$D$303,$A13,成本费用登记表!$AC$4:$AC$303,S$4)+SUMIFS(资金日记账!$I$4:$I$603,资金日记账!$G$4:$G$603,$A13,资金日记账!$U$4:$U$603,"&lt;&gt;是",资金日记账!$V$4:$V$603,S$4),2))</f>
        <v/>
      </c>
      <c r="T13" s="76" t="str">
        <f ca="1">IF($A13="","",ROUND(SUMIFS(成本费用登记表!$H$4:$H$303,成本费用登记表!$D$4:$D$303,$A13,成本费用登记表!$AC$4:$AC$303,T$4)+SUMIFS(资金日记账!$I$4:$I$603,资金日记账!$G$4:$G$603,$A13,资金日记账!$U$4:$U$603,"&lt;&gt;是",资金日记账!$V$4:$V$603,T$4),2))</f>
        <v/>
      </c>
      <c r="U13" s="76" t="str">
        <f ca="1">IF($A13="","",ROUND(SUMIFS(成本费用登记表!$H$4:$H$303,成本费用登记表!$D$4:$D$303,$A13,成本费用登记表!$AC$4:$AC$303,U$4)+SUMIFS(资金日记账!$I$4:$I$603,资金日记账!$G$4:$G$603,$A13,资金日记账!$U$4:$U$603,"&lt;&gt;是",资金日记账!$V$4:$V$603,U$4),2))</f>
        <v/>
      </c>
      <c r="V13" s="76" t="str">
        <f ca="1">IF($A13="","",ROUND(SUMIFS(成本费用登记表!$H$4:$H$303,成本费用登记表!$D$4:$D$303,$A13,成本费用登记表!$AC$4:$AC$303,V$4)+SUMIFS(资金日记账!$I$4:$I$603,资金日记账!$G$4:$G$603,$A13,资金日记账!$U$4:$U$603,"&lt;&gt;是",资金日记账!$V$4:$V$603,V$4),2))</f>
        <v/>
      </c>
      <c r="W13" s="76" t="str">
        <f ca="1">IF($A13="","",ROUND(SUMIFS(成本费用登记表!$H$4:$H$303,成本费用登记表!$D$4:$D$303,$A13,成本费用登记表!$AC$4:$AC$303,W$4)+SUMIFS(资金日记账!$I$4:$I$603,资金日记账!$G$4:$G$603,$A13,资金日记账!$U$4:$U$603,"&lt;&gt;是",资金日记账!$V$4:$V$603,W$4),2))</f>
        <v/>
      </c>
      <c r="X13" s="76" t="str">
        <f ca="1">IF($A13="","",ROUND(SUMIFS(成本费用登记表!$H$4:$H$303,成本费用登记表!$D$4:$D$303,$A13,成本费用登记表!$AC$4:$AC$303,X$4)+SUMIFS(资金日记账!$I$4:$I$603,资金日记账!$G$4:$G$603,$A13,资金日记账!$U$4:$U$603,"&lt;&gt;是",资金日记账!$V$4:$V$603,X$4),2))</f>
        <v/>
      </c>
      <c r="Y13" s="76" t="str">
        <f ca="1">IF($A13="","",ROUND(SUMIFS(成本费用登记表!$H$4:$H$303,成本费用登记表!$D$4:$D$303,$A13,成本费用登记表!$AC$4:$AC$303,Y$4)+SUMIFS(资金日记账!$I$4:$I$603,资金日记账!$G$4:$G$603,$A13,资金日记账!$U$4:$U$603,"&lt;&gt;是",资金日记账!$V$4:$V$603,Y$4),2))</f>
        <v/>
      </c>
      <c r="Z13" s="87" t="str">
        <f ca="1" t="shared" si="1"/>
        <v/>
      </c>
      <c r="AA13" s="76" t="str">
        <f>IF($A13="","",ROUND(SUMIF(成本费用登记表!$D$4:$D$303,$A13,成本费用登记表!$AA$4:$AA$303)+SUMIFS(资金日记账!$I$4:$I$603,资金日记账!$G$4:$G$603,$A13,资金日记账!$U$4:$U$603,"&lt;&gt;是"),2))</f>
        <v/>
      </c>
      <c r="AB13" s="76" t="str">
        <f ca="1" t="shared" si="2"/>
        <v/>
      </c>
    </row>
    <row r="14" spans="1:29">
      <c r="A14" s="86" t="str">
        <f>IFERROR(INDEX(_自动清单!$X$4:$X$63,10),"")</f>
        <v/>
      </c>
      <c r="B14" s="76" t="str">
        <f ca="1">IF($A14="","",ROUND(SUMIFS(成本费用登记表!$H$4:$H$303,成本费用登记表!$D$4:$D$303,$A14,成本费用登记表!$AC$4:$AC$303,B$4)+SUMIFS(资金日记账!$I$4:$I$603,资金日记账!$G$4:$G$603,$A14,资金日记账!$U$4:$U$603,"&lt;&gt;是",资金日记账!$V$4:$V$603,B$4),2))</f>
        <v/>
      </c>
      <c r="C14" s="76" t="str">
        <f ca="1">IF($A14="","",ROUND(SUMIFS(成本费用登记表!$H$4:$H$303,成本费用登记表!$D$4:$D$303,$A14,成本费用登记表!$AC$4:$AC$303,C$4)+SUMIFS(资金日记账!$I$4:$I$603,资金日记账!$G$4:$G$603,$A14,资金日记账!$U$4:$U$603,"&lt;&gt;是",资金日记账!$V$4:$V$603,C$4),2))</f>
        <v/>
      </c>
      <c r="D14" s="76" t="str">
        <f ca="1">IF($A14="","",ROUND(SUMIFS(成本费用登记表!$H$4:$H$303,成本费用登记表!$D$4:$D$303,$A14,成本费用登记表!$AC$4:$AC$303,D$4)+SUMIFS(资金日记账!$I$4:$I$603,资金日记账!$G$4:$G$603,$A14,资金日记账!$U$4:$U$603,"&lt;&gt;是",资金日记账!$V$4:$V$603,D$4),2))</f>
        <v/>
      </c>
      <c r="E14" s="76" t="str">
        <f ca="1">IF($A14="","",ROUND(SUMIFS(成本费用登记表!$H$4:$H$303,成本费用登记表!$D$4:$D$303,$A14,成本费用登记表!$AC$4:$AC$303,E$4)+SUMIFS(资金日记账!$I$4:$I$603,资金日记账!$G$4:$G$603,$A14,资金日记账!$U$4:$U$603,"&lt;&gt;是",资金日记账!$V$4:$V$603,E$4),2))</f>
        <v/>
      </c>
      <c r="F14" s="76" t="str">
        <f ca="1">IF($A14="","",ROUND(SUMIFS(成本费用登记表!$H$4:$H$303,成本费用登记表!$D$4:$D$303,$A14,成本费用登记表!$AC$4:$AC$303,F$4)+SUMIFS(资金日记账!$I$4:$I$603,资金日记账!$G$4:$G$603,$A14,资金日记账!$U$4:$U$603,"&lt;&gt;是",资金日记账!$V$4:$V$603,F$4),2))</f>
        <v/>
      </c>
      <c r="G14" s="76" t="str">
        <f ca="1">IF($A14="","",ROUND(SUMIFS(成本费用登记表!$H$4:$H$303,成本费用登记表!$D$4:$D$303,$A14,成本费用登记表!$AC$4:$AC$303,G$4)+SUMIFS(资金日记账!$I$4:$I$603,资金日记账!$G$4:$G$603,$A14,资金日记账!$U$4:$U$603,"&lt;&gt;是",资金日记账!$V$4:$V$603,G$4),2))</f>
        <v/>
      </c>
      <c r="H14" s="76" t="str">
        <f ca="1">IF($A14="","",ROUND(SUMIFS(成本费用登记表!$H$4:$H$303,成本费用登记表!$D$4:$D$303,$A14,成本费用登记表!$AC$4:$AC$303,H$4)+SUMIFS(资金日记账!$I$4:$I$603,资金日记账!$G$4:$G$603,$A14,资金日记账!$U$4:$U$603,"&lt;&gt;是",资金日记账!$V$4:$V$603,H$4),2))</f>
        <v/>
      </c>
      <c r="I14" s="76" t="str">
        <f ca="1">IF($A14="","",ROUND(SUMIFS(成本费用登记表!$H$4:$H$303,成本费用登记表!$D$4:$D$303,$A14,成本费用登记表!$AC$4:$AC$303,I$4)+SUMIFS(资金日记账!$I$4:$I$603,资金日记账!$G$4:$G$603,$A14,资金日记账!$U$4:$U$603,"&lt;&gt;是",资金日记账!$V$4:$V$603,I$4),2))</f>
        <v/>
      </c>
      <c r="J14" s="76" t="str">
        <f ca="1">IF($A14="","",ROUND(SUMIFS(成本费用登记表!$H$4:$H$303,成本费用登记表!$D$4:$D$303,$A14,成本费用登记表!$AC$4:$AC$303,J$4)+SUMIFS(资金日记账!$I$4:$I$603,资金日记账!$G$4:$G$603,$A14,资金日记账!$U$4:$U$603,"&lt;&gt;是",资金日记账!$V$4:$V$603,J$4),2))</f>
        <v/>
      </c>
      <c r="K14" s="76" t="str">
        <f ca="1">IF($A14="","",ROUND(SUMIFS(成本费用登记表!$H$4:$H$303,成本费用登记表!$D$4:$D$303,$A14,成本费用登记表!$AC$4:$AC$303,K$4)+SUMIFS(资金日记账!$I$4:$I$603,资金日记账!$G$4:$G$603,$A14,资金日记账!$U$4:$U$603,"&lt;&gt;是",资金日记账!$V$4:$V$603,K$4),2))</f>
        <v/>
      </c>
      <c r="L14" s="76" t="str">
        <f ca="1">IF($A14="","",ROUND(SUMIFS(成本费用登记表!$H$4:$H$303,成本费用登记表!$D$4:$D$303,$A14,成本费用登记表!$AC$4:$AC$303,L$4)+SUMIFS(资金日记账!$I$4:$I$603,资金日记账!$G$4:$G$603,$A14,资金日记账!$U$4:$U$603,"&lt;&gt;是",资金日记账!$V$4:$V$603,L$4),2))</f>
        <v/>
      </c>
      <c r="M14" s="76" t="str">
        <f ca="1">IF($A14="","",ROUND(SUMIFS(成本费用登记表!$H$4:$H$303,成本费用登记表!$D$4:$D$303,$A14,成本费用登记表!$AC$4:$AC$303,M$4)+SUMIFS(资金日记账!$I$4:$I$603,资金日记账!$G$4:$G$603,$A14,资金日记账!$U$4:$U$603,"&lt;&gt;是",资金日记账!$V$4:$V$603,M$4),2))</f>
        <v/>
      </c>
      <c r="N14" s="76" t="str">
        <f ca="1">IF($A14="","",ROUND(SUMIFS(成本费用登记表!$H$4:$H$303,成本费用登记表!$D$4:$D$303,$A14,成本费用登记表!$AC$4:$AC$303,N$4)+SUMIFS(资金日记账!$I$4:$I$603,资金日记账!$G$4:$G$603,$A14,资金日记账!$U$4:$U$603,"&lt;&gt;是",资金日记账!$V$4:$V$603,N$4),2))</f>
        <v/>
      </c>
      <c r="O14" s="76" t="str">
        <f ca="1">IF($A14="","",ROUND(SUMIFS(成本费用登记表!$H$4:$H$303,成本费用登记表!$D$4:$D$303,$A14,成本费用登记表!$AC$4:$AC$303,O$4)+SUMIFS(资金日记账!$I$4:$I$603,资金日记账!$G$4:$G$603,$A14,资金日记账!$U$4:$U$603,"&lt;&gt;是",资金日记账!$V$4:$V$603,O$4),2))</f>
        <v/>
      </c>
      <c r="P14" s="76" t="str">
        <f ca="1">IF($A14="","",ROUND(SUMIFS(成本费用登记表!$H$4:$H$303,成本费用登记表!$D$4:$D$303,$A14,成本费用登记表!$AC$4:$AC$303,P$4)+SUMIFS(资金日记账!$I$4:$I$603,资金日记账!$G$4:$G$603,$A14,资金日记账!$U$4:$U$603,"&lt;&gt;是",资金日记账!$V$4:$V$603,P$4),2))</f>
        <v/>
      </c>
      <c r="Q14" s="76" t="str">
        <f ca="1">IF($A14="","",ROUND(SUMIFS(成本费用登记表!$H$4:$H$303,成本费用登记表!$D$4:$D$303,$A14,成本费用登记表!$AC$4:$AC$303,Q$4)+SUMIFS(资金日记账!$I$4:$I$603,资金日记账!$G$4:$G$603,$A14,资金日记账!$U$4:$U$603,"&lt;&gt;是",资金日记账!$V$4:$V$603,Q$4),2))</f>
        <v/>
      </c>
      <c r="R14" s="76" t="str">
        <f ca="1">IF($A14="","",ROUND(SUMIFS(成本费用登记表!$H$4:$H$303,成本费用登记表!$D$4:$D$303,$A14,成本费用登记表!$AC$4:$AC$303,R$4)+SUMIFS(资金日记账!$I$4:$I$603,资金日记账!$G$4:$G$603,$A14,资金日记账!$U$4:$U$603,"&lt;&gt;是",资金日记账!$V$4:$V$603,R$4),2))</f>
        <v/>
      </c>
      <c r="S14" s="76" t="str">
        <f ca="1">IF($A14="","",ROUND(SUMIFS(成本费用登记表!$H$4:$H$303,成本费用登记表!$D$4:$D$303,$A14,成本费用登记表!$AC$4:$AC$303,S$4)+SUMIFS(资金日记账!$I$4:$I$603,资金日记账!$G$4:$G$603,$A14,资金日记账!$U$4:$U$603,"&lt;&gt;是",资金日记账!$V$4:$V$603,S$4),2))</f>
        <v/>
      </c>
      <c r="T14" s="76" t="str">
        <f ca="1">IF($A14="","",ROUND(SUMIFS(成本费用登记表!$H$4:$H$303,成本费用登记表!$D$4:$D$303,$A14,成本费用登记表!$AC$4:$AC$303,T$4)+SUMIFS(资金日记账!$I$4:$I$603,资金日记账!$G$4:$G$603,$A14,资金日记账!$U$4:$U$603,"&lt;&gt;是",资金日记账!$V$4:$V$603,T$4),2))</f>
        <v/>
      </c>
      <c r="U14" s="76" t="str">
        <f ca="1">IF($A14="","",ROUND(SUMIFS(成本费用登记表!$H$4:$H$303,成本费用登记表!$D$4:$D$303,$A14,成本费用登记表!$AC$4:$AC$303,U$4)+SUMIFS(资金日记账!$I$4:$I$603,资金日记账!$G$4:$G$603,$A14,资金日记账!$U$4:$U$603,"&lt;&gt;是",资金日记账!$V$4:$V$603,U$4),2))</f>
        <v/>
      </c>
      <c r="V14" s="76" t="str">
        <f ca="1">IF($A14="","",ROUND(SUMIFS(成本费用登记表!$H$4:$H$303,成本费用登记表!$D$4:$D$303,$A14,成本费用登记表!$AC$4:$AC$303,V$4)+SUMIFS(资金日记账!$I$4:$I$603,资金日记账!$G$4:$G$603,$A14,资金日记账!$U$4:$U$603,"&lt;&gt;是",资金日记账!$V$4:$V$603,V$4),2))</f>
        <v/>
      </c>
      <c r="W14" s="76" t="str">
        <f ca="1">IF($A14="","",ROUND(SUMIFS(成本费用登记表!$H$4:$H$303,成本费用登记表!$D$4:$D$303,$A14,成本费用登记表!$AC$4:$AC$303,W$4)+SUMIFS(资金日记账!$I$4:$I$603,资金日记账!$G$4:$G$603,$A14,资金日记账!$U$4:$U$603,"&lt;&gt;是",资金日记账!$V$4:$V$603,W$4),2))</f>
        <v/>
      </c>
      <c r="X14" s="76" t="str">
        <f ca="1">IF($A14="","",ROUND(SUMIFS(成本费用登记表!$H$4:$H$303,成本费用登记表!$D$4:$D$303,$A14,成本费用登记表!$AC$4:$AC$303,X$4)+SUMIFS(资金日记账!$I$4:$I$603,资金日记账!$G$4:$G$603,$A14,资金日记账!$U$4:$U$603,"&lt;&gt;是",资金日记账!$V$4:$V$603,X$4),2))</f>
        <v/>
      </c>
      <c r="Y14" s="76" t="str">
        <f ca="1">IF($A14="","",ROUND(SUMIFS(成本费用登记表!$H$4:$H$303,成本费用登记表!$D$4:$D$303,$A14,成本费用登记表!$AC$4:$AC$303,Y$4)+SUMIFS(资金日记账!$I$4:$I$603,资金日记账!$G$4:$G$603,$A14,资金日记账!$U$4:$U$603,"&lt;&gt;是",资金日记账!$V$4:$V$603,Y$4),2))</f>
        <v/>
      </c>
      <c r="Z14" s="87" t="str">
        <f ca="1" t="shared" si="1"/>
        <v/>
      </c>
      <c r="AA14" s="76" t="str">
        <f>IF($A14="","",ROUND(SUMIF(成本费用登记表!$D$4:$D$303,$A14,成本费用登记表!$AA$4:$AA$303)+SUMIFS(资金日记账!$I$4:$I$603,资金日记账!$G$4:$G$603,$A14,资金日记账!$U$4:$U$603,"&lt;&gt;是"),2))</f>
        <v/>
      </c>
      <c r="AB14" s="76" t="str">
        <f ca="1" t="shared" si="2"/>
        <v/>
      </c>
    </row>
    <row r="15" spans="1:29">
      <c r="A15" s="86" t="str">
        <f>IFERROR(INDEX(_自动清单!$X$4:$X$63,11),"")</f>
        <v/>
      </c>
      <c r="B15" s="76" t="str">
        <f ca="1">IF($A15="","",ROUND(SUMIFS(成本费用登记表!$H$4:$H$303,成本费用登记表!$D$4:$D$303,$A15,成本费用登记表!$AC$4:$AC$303,B$4)+SUMIFS(资金日记账!$I$4:$I$603,资金日记账!$G$4:$G$603,$A15,资金日记账!$U$4:$U$603,"&lt;&gt;是",资金日记账!$V$4:$V$603,B$4),2))</f>
        <v/>
      </c>
      <c r="C15" s="76" t="str">
        <f ca="1">IF($A15="","",ROUND(SUMIFS(成本费用登记表!$H$4:$H$303,成本费用登记表!$D$4:$D$303,$A15,成本费用登记表!$AC$4:$AC$303,C$4)+SUMIFS(资金日记账!$I$4:$I$603,资金日记账!$G$4:$G$603,$A15,资金日记账!$U$4:$U$603,"&lt;&gt;是",资金日记账!$V$4:$V$603,C$4),2))</f>
        <v/>
      </c>
      <c r="D15" s="76" t="str">
        <f ca="1">IF($A15="","",ROUND(SUMIFS(成本费用登记表!$H$4:$H$303,成本费用登记表!$D$4:$D$303,$A15,成本费用登记表!$AC$4:$AC$303,D$4)+SUMIFS(资金日记账!$I$4:$I$603,资金日记账!$G$4:$G$603,$A15,资金日记账!$U$4:$U$603,"&lt;&gt;是",资金日记账!$V$4:$V$603,D$4),2))</f>
        <v/>
      </c>
      <c r="E15" s="76" t="str">
        <f ca="1">IF($A15="","",ROUND(SUMIFS(成本费用登记表!$H$4:$H$303,成本费用登记表!$D$4:$D$303,$A15,成本费用登记表!$AC$4:$AC$303,E$4)+SUMIFS(资金日记账!$I$4:$I$603,资金日记账!$G$4:$G$603,$A15,资金日记账!$U$4:$U$603,"&lt;&gt;是",资金日记账!$V$4:$V$603,E$4),2))</f>
        <v/>
      </c>
      <c r="F15" s="76" t="str">
        <f ca="1">IF($A15="","",ROUND(SUMIFS(成本费用登记表!$H$4:$H$303,成本费用登记表!$D$4:$D$303,$A15,成本费用登记表!$AC$4:$AC$303,F$4)+SUMIFS(资金日记账!$I$4:$I$603,资金日记账!$G$4:$G$603,$A15,资金日记账!$U$4:$U$603,"&lt;&gt;是",资金日记账!$V$4:$V$603,F$4),2))</f>
        <v/>
      </c>
      <c r="G15" s="76" t="str">
        <f ca="1">IF($A15="","",ROUND(SUMIFS(成本费用登记表!$H$4:$H$303,成本费用登记表!$D$4:$D$303,$A15,成本费用登记表!$AC$4:$AC$303,G$4)+SUMIFS(资金日记账!$I$4:$I$603,资金日记账!$G$4:$G$603,$A15,资金日记账!$U$4:$U$603,"&lt;&gt;是",资金日记账!$V$4:$V$603,G$4),2))</f>
        <v/>
      </c>
      <c r="H15" s="76" t="str">
        <f ca="1">IF($A15="","",ROUND(SUMIFS(成本费用登记表!$H$4:$H$303,成本费用登记表!$D$4:$D$303,$A15,成本费用登记表!$AC$4:$AC$303,H$4)+SUMIFS(资金日记账!$I$4:$I$603,资金日记账!$G$4:$G$603,$A15,资金日记账!$U$4:$U$603,"&lt;&gt;是",资金日记账!$V$4:$V$603,H$4),2))</f>
        <v/>
      </c>
      <c r="I15" s="76" t="str">
        <f ca="1">IF($A15="","",ROUND(SUMIFS(成本费用登记表!$H$4:$H$303,成本费用登记表!$D$4:$D$303,$A15,成本费用登记表!$AC$4:$AC$303,I$4)+SUMIFS(资金日记账!$I$4:$I$603,资金日记账!$G$4:$G$603,$A15,资金日记账!$U$4:$U$603,"&lt;&gt;是",资金日记账!$V$4:$V$603,I$4),2))</f>
        <v/>
      </c>
      <c r="J15" s="76" t="str">
        <f ca="1">IF($A15="","",ROUND(SUMIFS(成本费用登记表!$H$4:$H$303,成本费用登记表!$D$4:$D$303,$A15,成本费用登记表!$AC$4:$AC$303,J$4)+SUMIFS(资金日记账!$I$4:$I$603,资金日记账!$G$4:$G$603,$A15,资金日记账!$U$4:$U$603,"&lt;&gt;是",资金日记账!$V$4:$V$603,J$4),2))</f>
        <v/>
      </c>
      <c r="K15" s="76" t="str">
        <f ca="1">IF($A15="","",ROUND(SUMIFS(成本费用登记表!$H$4:$H$303,成本费用登记表!$D$4:$D$303,$A15,成本费用登记表!$AC$4:$AC$303,K$4)+SUMIFS(资金日记账!$I$4:$I$603,资金日记账!$G$4:$G$603,$A15,资金日记账!$U$4:$U$603,"&lt;&gt;是",资金日记账!$V$4:$V$603,K$4),2))</f>
        <v/>
      </c>
      <c r="L15" s="76" t="str">
        <f ca="1">IF($A15="","",ROUND(SUMIFS(成本费用登记表!$H$4:$H$303,成本费用登记表!$D$4:$D$303,$A15,成本费用登记表!$AC$4:$AC$303,L$4)+SUMIFS(资金日记账!$I$4:$I$603,资金日记账!$G$4:$G$603,$A15,资金日记账!$U$4:$U$603,"&lt;&gt;是",资金日记账!$V$4:$V$603,L$4),2))</f>
        <v/>
      </c>
      <c r="M15" s="76" t="str">
        <f ca="1">IF($A15="","",ROUND(SUMIFS(成本费用登记表!$H$4:$H$303,成本费用登记表!$D$4:$D$303,$A15,成本费用登记表!$AC$4:$AC$303,M$4)+SUMIFS(资金日记账!$I$4:$I$603,资金日记账!$G$4:$G$603,$A15,资金日记账!$U$4:$U$603,"&lt;&gt;是",资金日记账!$V$4:$V$603,M$4),2))</f>
        <v/>
      </c>
      <c r="N15" s="76" t="str">
        <f ca="1">IF($A15="","",ROUND(SUMIFS(成本费用登记表!$H$4:$H$303,成本费用登记表!$D$4:$D$303,$A15,成本费用登记表!$AC$4:$AC$303,N$4)+SUMIFS(资金日记账!$I$4:$I$603,资金日记账!$G$4:$G$603,$A15,资金日记账!$U$4:$U$603,"&lt;&gt;是",资金日记账!$V$4:$V$603,N$4),2))</f>
        <v/>
      </c>
      <c r="O15" s="76" t="str">
        <f ca="1">IF($A15="","",ROUND(SUMIFS(成本费用登记表!$H$4:$H$303,成本费用登记表!$D$4:$D$303,$A15,成本费用登记表!$AC$4:$AC$303,O$4)+SUMIFS(资金日记账!$I$4:$I$603,资金日记账!$G$4:$G$603,$A15,资金日记账!$U$4:$U$603,"&lt;&gt;是",资金日记账!$V$4:$V$603,O$4),2))</f>
        <v/>
      </c>
      <c r="P15" s="76" t="str">
        <f ca="1">IF($A15="","",ROUND(SUMIFS(成本费用登记表!$H$4:$H$303,成本费用登记表!$D$4:$D$303,$A15,成本费用登记表!$AC$4:$AC$303,P$4)+SUMIFS(资金日记账!$I$4:$I$603,资金日记账!$G$4:$G$603,$A15,资金日记账!$U$4:$U$603,"&lt;&gt;是",资金日记账!$V$4:$V$603,P$4),2))</f>
        <v/>
      </c>
      <c r="Q15" s="76" t="str">
        <f ca="1">IF($A15="","",ROUND(SUMIFS(成本费用登记表!$H$4:$H$303,成本费用登记表!$D$4:$D$303,$A15,成本费用登记表!$AC$4:$AC$303,Q$4)+SUMIFS(资金日记账!$I$4:$I$603,资金日记账!$G$4:$G$603,$A15,资金日记账!$U$4:$U$603,"&lt;&gt;是",资金日记账!$V$4:$V$603,Q$4),2))</f>
        <v/>
      </c>
      <c r="R15" s="76" t="str">
        <f ca="1">IF($A15="","",ROUND(SUMIFS(成本费用登记表!$H$4:$H$303,成本费用登记表!$D$4:$D$303,$A15,成本费用登记表!$AC$4:$AC$303,R$4)+SUMIFS(资金日记账!$I$4:$I$603,资金日记账!$G$4:$G$603,$A15,资金日记账!$U$4:$U$603,"&lt;&gt;是",资金日记账!$V$4:$V$603,R$4),2))</f>
        <v/>
      </c>
      <c r="S15" s="76" t="str">
        <f ca="1">IF($A15="","",ROUND(SUMIFS(成本费用登记表!$H$4:$H$303,成本费用登记表!$D$4:$D$303,$A15,成本费用登记表!$AC$4:$AC$303,S$4)+SUMIFS(资金日记账!$I$4:$I$603,资金日记账!$G$4:$G$603,$A15,资金日记账!$U$4:$U$603,"&lt;&gt;是",资金日记账!$V$4:$V$603,S$4),2))</f>
        <v/>
      </c>
      <c r="T15" s="76" t="str">
        <f ca="1">IF($A15="","",ROUND(SUMIFS(成本费用登记表!$H$4:$H$303,成本费用登记表!$D$4:$D$303,$A15,成本费用登记表!$AC$4:$AC$303,T$4)+SUMIFS(资金日记账!$I$4:$I$603,资金日记账!$G$4:$G$603,$A15,资金日记账!$U$4:$U$603,"&lt;&gt;是",资金日记账!$V$4:$V$603,T$4),2))</f>
        <v/>
      </c>
      <c r="U15" s="76" t="str">
        <f ca="1">IF($A15="","",ROUND(SUMIFS(成本费用登记表!$H$4:$H$303,成本费用登记表!$D$4:$D$303,$A15,成本费用登记表!$AC$4:$AC$303,U$4)+SUMIFS(资金日记账!$I$4:$I$603,资金日记账!$G$4:$G$603,$A15,资金日记账!$U$4:$U$603,"&lt;&gt;是",资金日记账!$V$4:$V$603,U$4),2))</f>
        <v/>
      </c>
      <c r="V15" s="76" t="str">
        <f ca="1">IF($A15="","",ROUND(SUMIFS(成本费用登记表!$H$4:$H$303,成本费用登记表!$D$4:$D$303,$A15,成本费用登记表!$AC$4:$AC$303,V$4)+SUMIFS(资金日记账!$I$4:$I$603,资金日记账!$G$4:$G$603,$A15,资金日记账!$U$4:$U$603,"&lt;&gt;是",资金日记账!$V$4:$V$603,V$4),2))</f>
        <v/>
      </c>
      <c r="W15" s="76" t="str">
        <f ca="1">IF($A15="","",ROUND(SUMIFS(成本费用登记表!$H$4:$H$303,成本费用登记表!$D$4:$D$303,$A15,成本费用登记表!$AC$4:$AC$303,W$4)+SUMIFS(资金日记账!$I$4:$I$603,资金日记账!$G$4:$G$603,$A15,资金日记账!$U$4:$U$603,"&lt;&gt;是",资金日记账!$V$4:$V$603,W$4),2))</f>
        <v/>
      </c>
      <c r="X15" s="76" t="str">
        <f ca="1">IF($A15="","",ROUND(SUMIFS(成本费用登记表!$H$4:$H$303,成本费用登记表!$D$4:$D$303,$A15,成本费用登记表!$AC$4:$AC$303,X$4)+SUMIFS(资金日记账!$I$4:$I$603,资金日记账!$G$4:$G$603,$A15,资金日记账!$U$4:$U$603,"&lt;&gt;是",资金日记账!$V$4:$V$603,X$4),2))</f>
        <v/>
      </c>
      <c r="Y15" s="76" t="str">
        <f ca="1">IF($A15="","",ROUND(SUMIFS(成本费用登记表!$H$4:$H$303,成本费用登记表!$D$4:$D$303,$A15,成本费用登记表!$AC$4:$AC$303,Y$4)+SUMIFS(资金日记账!$I$4:$I$603,资金日记账!$G$4:$G$603,$A15,资金日记账!$U$4:$U$603,"&lt;&gt;是",资金日记账!$V$4:$V$603,Y$4),2))</f>
        <v/>
      </c>
      <c r="Z15" s="87" t="str">
        <f ca="1" t="shared" si="1"/>
        <v/>
      </c>
      <c r="AA15" s="76" t="str">
        <f>IF($A15="","",ROUND(SUMIF(成本费用登记表!$D$4:$D$303,$A15,成本费用登记表!$AA$4:$AA$303)+SUMIFS(资金日记账!$I$4:$I$603,资金日记账!$G$4:$G$603,$A15,资金日记账!$U$4:$U$603,"&lt;&gt;是"),2))</f>
        <v/>
      </c>
      <c r="AB15" s="76" t="str">
        <f ca="1" t="shared" si="2"/>
        <v/>
      </c>
    </row>
    <row r="16" spans="1:29">
      <c r="A16" s="86" t="str">
        <f>IFERROR(INDEX(_自动清单!$X$4:$X$63,12),"")</f>
        <v/>
      </c>
      <c r="B16" s="76" t="str">
        <f ca="1">IF($A16="","",ROUND(SUMIFS(成本费用登记表!$H$4:$H$303,成本费用登记表!$D$4:$D$303,$A16,成本费用登记表!$AC$4:$AC$303,B$4)+SUMIFS(资金日记账!$I$4:$I$603,资金日记账!$G$4:$G$603,$A16,资金日记账!$U$4:$U$603,"&lt;&gt;是",资金日记账!$V$4:$V$603,B$4),2))</f>
        <v/>
      </c>
      <c r="C16" s="76" t="str">
        <f ca="1">IF($A16="","",ROUND(SUMIFS(成本费用登记表!$H$4:$H$303,成本费用登记表!$D$4:$D$303,$A16,成本费用登记表!$AC$4:$AC$303,C$4)+SUMIFS(资金日记账!$I$4:$I$603,资金日记账!$G$4:$G$603,$A16,资金日记账!$U$4:$U$603,"&lt;&gt;是",资金日记账!$V$4:$V$603,C$4),2))</f>
        <v/>
      </c>
      <c r="D16" s="76" t="str">
        <f ca="1">IF($A16="","",ROUND(SUMIFS(成本费用登记表!$H$4:$H$303,成本费用登记表!$D$4:$D$303,$A16,成本费用登记表!$AC$4:$AC$303,D$4)+SUMIFS(资金日记账!$I$4:$I$603,资金日记账!$G$4:$G$603,$A16,资金日记账!$U$4:$U$603,"&lt;&gt;是",资金日记账!$V$4:$V$603,D$4),2))</f>
        <v/>
      </c>
      <c r="E16" s="76" t="str">
        <f ca="1">IF($A16="","",ROUND(SUMIFS(成本费用登记表!$H$4:$H$303,成本费用登记表!$D$4:$D$303,$A16,成本费用登记表!$AC$4:$AC$303,E$4)+SUMIFS(资金日记账!$I$4:$I$603,资金日记账!$G$4:$G$603,$A16,资金日记账!$U$4:$U$603,"&lt;&gt;是",资金日记账!$V$4:$V$603,E$4),2))</f>
        <v/>
      </c>
      <c r="F16" s="76" t="str">
        <f ca="1">IF($A16="","",ROUND(SUMIFS(成本费用登记表!$H$4:$H$303,成本费用登记表!$D$4:$D$303,$A16,成本费用登记表!$AC$4:$AC$303,F$4)+SUMIFS(资金日记账!$I$4:$I$603,资金日记账!$G$4:$G$603,$A16,资金日记账!$U$4:$U$603,"&lt;&gt;是",资金日记账!$V$4:$V$603,F$4),2))</f>
        <v/>
      </c>
      <c r="G16" s="76" t="str">
        <f ca="1">IF($A16="","",ROUND(SUMIFS(成本费用登记表!$H$4:$H$303,成本费用登记表!$D$4:$D$303,$A16,成本费用登记表!$AC$4:$AC$303,G$4)+SUMIFS(资金日记账!$I$4:$I$603,资金日记账!$G$4:$G$603,$A16,资金日记账!$U$4:$U$603,"&lt;&gt;是",资金日记账!$V$4:$V$603,G$4),2))</f>
        <v/>
      </c>
      <c r="H16" s="76" t="str">
        <f ca="1">IF($A16="","",ROUND(SUMIFS(成本费用登记表!$H$4:$H$303,成本费用登记表!$D$4:$D$303,$A16,成本费用登记表!$AC$4:$AC$303,H$4)+SUMIFS(资金日记账!$I$4:$I$603,资金日记账!$G$4:$G$603,$A16,资金日记账!$U$4:$U$603,"&lt;&gt;是",资金日记账!$V$4:$V$603,H$4),2))</f>
        <v/>
      </c>
      <c r="I16" s="76" t="str">
        <f ca="1">IF($A16="","",ROUND(SUMIFS(成本费用登记表!$H$4:$H$303,成本费用登记表!$D$4:$D$303,$A16,成本费用登记表!$AC$4:$AC$303,I$4)+SUMIFS(资金日记账!$I$4:$I$603,资金日记账!$G$4:$G$603,$A16,资金日记账!$U$4:$U$603,"&lt;&gt;是",资金日记账!$V$4:$V$603,I$4),2))</f>
        <v/>
      </c>
      <c r="J16" s="76" t="str">
        <f ca="1">IF($A16="","",ROUND(SUMIFS(成本费用登记表!$H$4:$H$303,成本费用登记表!$D$4:$D$303,$A16,成本费用登记表!$AC$4:$AC$303,J$4)+SUMIFS(资金日记账!$I$4:$I$603,资金日记账!$G$4:$G$603,$A16,资金日记账!$U$4:$U$603,"&lt;&gt;是",资金日记账!$V$4:$V$603,J$4),2))</f>
        <v/>
      </c>
      <c r="K16" s="76" t="str">
        <f ca="1">IF($A16="","",ROUND(SUMIFS(成本费用登记表!$H$4:$H$303,成本费用登记表!$D$4:$D$303,$A16,成本费用登记表!$AC$4:$AC$303,K$4)+SUMIFS(资金日记账!$I$4:$I$603,资金日记账!$G$4:$G$603,$A16,资金日记账!$U$4:$U$603,"&lt;&gt;是",资金日记账!$V$4:$V$603,K$4),2))</f>
        <v/>
      </c>
      <c r="L16" s="76" t="str">
        <f ca="1">IF($A16="","",ROUND(SUMIFS(成本费用登记表!$H$4:$H$303,成本费用登记表!$D$4:$D$303,$A16,成本费用登记表!$AC$4:$AC$303,L$4)+SUMIFS(资金日记账!$I$4:$I$603,资金日记账!$G$4:$G$603,$A16,资金日记账!$U$4:$U$603,"&lt;&gt;是",资金日记账!$V$4:$V$603,L$4),2))</f>
        <v/>
      </c>
      <c r="M16" s="76" t="str">
        <f ca="1">IF($A16="","",ROUND(SUMIFS(成本费用登记表!$H$4:$H$303,成本费用登记表!$D$4:$D$303,$A16,成本费用登记表!$AC$4:$AC$303,M$4)+SUMIFS(资金日记账!$I$4:$I$603,资金日记账!$G$4:$G$603,$A16,资金日记账!$U$4:$U$603,"&lt;&gt;是",资金日记账!$V$4:$V$603,M$4),2))</f>
        <v/>
      </c>
      <c r="N16" s="76" t="str">
        <f ca="1">IF($A16="","",ROUND(SUMIFS(成本费用登记表!$H$4:$H$303,成本费用登记表!$D$4:$D$303,$A16,成本费用登记表!$AC$4:$AC$303,N$4)+SUMIFS(资金日记账!$I$4:$I$603,资金日记账!$G$4:$G$603,$A16,资金日记账!$U$4:$U$603,"&lt;&gt;是",资金日记账!$V$4:$V$603,N$4),2))</f>
        <v/>
      </c>
      <c r="O16" s="76" t="str">
        <f ca="1">IF($A16="","",ROUND(SUMIFS(成本费用登记表!$H$4:$H$303,成本费用登记表!$D$4:$D$303,$A16,成本费用登记表!$AC$4:$AC$303,O$4)+SUMIFS(资金日记账!$I$4:$I$603,资金日记账!$G$4:$G$603,$A16,资金日记账!$U$4:$U$603,"&lt;&gt;是",资金日记账!$V$4:$V$603,O$4),2))</f>
        <v/>
      </c>
      <c r="P16" s="76" t="str">
        <f ca="1">IF($A16="","",ROUND(SUMIFS(成本费用登记表!$H$4:$H$303,成本费用登记表!$D$4:$D$303,$A16,成本费用登记表!$AC$4:$AC$303,P$4)+SUMIFS(资金日记账!$I$4:$I$603,资金日记账!$G$4:$G$603,$A16,资金日记账!$U$4:$U$603,"&lt;&gt;是",资金日记账!$V$4:$V$603,P$4),2))</f>
        <v/>
      </c>
      <c r="Q16" s="76" t="str">
        <f ca="1">IF($A16="","",ROUND(SUMIFS(成本费用登记表!$H$4:$H$303,成本费用登记表!$D$4:$D$303,$A16,成本费用登记表!$AC$4:$AC$303,Q$4)+SUMIFS(资金日记账!$I$4:$I$603,资金日记账!$G$4:$G$603,$A16,资金日记账!$U$4:$U$603,"&lt;&gt;是",资金日记账!$V$4:$V$603,Q$4),2))</f>
        <v/>
      </c>
      <c r="R16" s="76" t="str">
        <f ca="1">IF($A16="","",ROUND(SUMIFS(成本费用登记表!$H$4:$H$303,成本费用登记表!$D$4:$D$303,$A16,成本费用登记表!$AC$4:$AC$303,R$4)+SUMIFS(资金日记账!$I$4:$I$603,资金日记账!$G$4:$G$603,$A16,资金日记账!$U$4:$U$603,"&lt;&gt;是",资金日记账!$V$4:$V$603,R$4),2))</f>
        <v/>
      </c>
      <c r="S16" s="76" t="str">
        <f ca="1">IF($A16="","",ROUND(SUMIFS(成本费用登记表!$H$4:$H$303,成本费用登记表!$D$4:$D$303,$A16,成本费用登记表!$AC$4:$AC$303,S$4)+SUMIFS(资金日记账!$I$4:$I$603,资金日记账!$G$4:$G$603,$A16,资金日记账!$U$4:$U$603,"&lt;&gt;是",资金日记账!$V$4:$V$603,S$4),2))</f>
        <v/>
      </c>
      <c r="T16" s="76" t="str">
        <f ca="1">IF($A16="","",ROUND(SUMIFS(成本费用登记表!$H$4:$H$303,成本费用登记表!$D$4:$D$303,$A16,成本费用登记表!$AC$4:$AC$303,T$4)+SUMIFS(资金日记账!$I$4:$I$603,资金日记账!$G$4:$G$603,$A16,资金日记账!$U$4:$U$603,"&lt;&gt;是",资金日记账!$V$4:$V$603,T$4),2))</f>
        <v/>
      </c>
      <c r="U16" s="76" t="str">
        <f ca="1">IF($A16="","",ROUND(SUMIFS(成本费用登记表!$H$4:$H$303,成本费用登记表!$D$4:$D$303,$A16,成本费用登记表!$AC$4:$AC$303,U$4)+SUMIFS(资金日记账!$I$4:$I$603,资金日记账!$G$4:$G$603,$A16,资金日记账!$U$4:$U$603,"&lt;&gt;是",资金日记账!$V$4:$V$603,U$4),2))</f>
        <v/>
      </c>
      <c r="V16" s="76" t="str">
        <f ca="1">IF($A16="","",ROUND(SUMIFS(成本费用登记表!$H$4:$H$303,成本费用登记表!$D$4:$D$303,$A16,成本费用登记表!$AC$4:$AC$303,V$4)+SUMIFS(资金日记账!$I$4:$I$603,资金日记账!$G$4:$G$603,$A16,资金日记账!$U$4:$U$603,"&lt;&gt;是",资金日记账!$V$4:$V$603,V$4),2))</f>
        <v/>
      </c>
      <c r="W16" s="76" t="str">
        <f ca="1">IF($A16="","",ROUND(SUMIFS(成本费用登记表!$H$4:$H$303,成本费用登记表!$D$4:$D$303,$A16,成本费用登记表!$AC$4:$AC$303,W$4)+SUMIFS(资金日记账!$I$4:$I$603,资金日记账!$G$4:$G$603,$A16,资金日记账!$U$4:$U$603,"&lt;&gt;是",资金日记账!$V$4:$V$603,W$4),2))</f>
        <v/>
      </c>
      <c r="X16" s="76" t="str">
        <f ca="1">IF($A16="","",ROUND(SUMIFS(成本费用登记表!$H$4:$H$303,成本费用登记表!$D$4:$D$303,$A16,成本费用登记表!$AC$4:$AC$303,X$4)+SUMIFS(资金日记账!$I$4:$I$603,资金日记账!$G$4:$G$603,$A16,资金日记账!$U$4:$U$603,"&lt;&gt;是",资金日记账!$V$4:$V$603,X$4),2))</f>
        <v/>
      </c>
      <c r="Y16" s="76" t="str">
        <f ca="1">IF($A16="","",ROUND(SUMIFS(成本费用登记表!$H$4:$H$303,成本费用登记表!$D$4:$D$303,$A16,成本费用登记表!$AC$4:$AC$303,Y$4)+SUMIFS(资金日记账!$I$4:$I$603,资金日记账!$G$4:$G$603,$A16,资金日记账!$U$4:$U$603,"&lt;&gt;是",资金日记账!$V$4:$V$603,Y$4),2))</f>
        <v/>
      </c>
      <c r="Z16" s="87" t="str">
        <f ca="1" t="shared" si="1"/>
        <v/>
      </c>
      <c r="AA16" s="76" t="str">
        <f>IF($A16="","",ROUND(SUMIF(成本费用登记表!$D$4:$D$303,$A16,成本费用登记表!$AA$4:$AA$303)+SUMIFS(资金日记账!$I$4:$I$603,资金日记账!$G$4:$G$603,$A16,资金日记账!$U$4:$U$603,"&lt;&gt;是"),2))</f>
        <v/>
      </c>
      <c r="AB16" s="76" t="str">
        <f ca="1" t="shared" si="2"/>
        <v/>
      </c>
    </row>
    <row r="17" spans="1:28">
      <c r="A17" s="86" t="str">
        <f>IFERROR(INDEX(_自动清单!$X$4:$X$63,13),"")</f>
        <v/>
      </c>
      <c r="B17" s="76" t="str">
        <f ca="1">IF($A17="","",ROUND(SUMIFS(成本费用登记表!$H$4:$H$303,成本费用登记表!$D$4:$D$303,$A17,成本费用登记表!$AC$4:$AC$303,B$4)+SUMIFS(资金日记账!$I$4:$I$603,资金日记账!$G$4:$G$603,$A17,资金日记账!$U$4:$U$603,"&lt;&gt;是",资金日记账!$V$4:$V$603,B$4),2))</f>
        <v/>
      </c>
      <c r="C17" s="76" t="str">
        <f ca="1">IF($A17="","",ROUND(SUMIFS(成本费用登记表!$H$4:$H$303,成本费用登记表!$D$4:$D$303,$A17,成本费用登记表!$AC$4:$AC$303,C$4)+SUMIFS(资金日记账!$I$4:$I$603,资金日记账!$G$4:$G$603,$A17,资金日记账!$U$4:$U$603,"&lt;&gt;是",资金日记账!$V$4:$V$603,C$4),2))</f>
        <v/>
      </c>
      <c r="D17" s="76" t="str">
        <f ca="1">IF($A17="","",ROUND(SUMIFS(成本费用登记表!$H$4:$H$303,成本费用登记表!$D$4:$D$303,$A17,成本费用登记表!$AC$4:$AC$303,D$4)+SUMIFS(资金日记账!$I$4:$I$603,资金日记账!$G$4:$G$603,$A17,资金日记账!$U$4:$U$603,"&lt;&gt;是",资金日记账!$V$4:$V$603,D$4),2))</f>
        <v/>
      </c>
      <c r="E17" s="76" t="str">
        <f ca="1">IF($A17="","",ROUND(SUMIFS(成本费用登记表!$H$4:$H$303,成本费用登记表!$D$4:$D$303,$A17,成本费用登记表!$AC$4:$AC$303,E$4)+SUMIFS(资金日记账!$I$4:$I$603,资金日记账!$G$4:$G$603,$A17,资金日记账!$U$4:$U$603,"&lt;&gt;是",资金日记账!$V$4:$V$603,E$4),2))</f>
        <v/>
      </c>
      <c r="F17" s="76" t="str">
        <f ca="1">IF($A17="","",ROUND(SUMIFS(成本费用登记表!$H$4:$H$303,成本费用登记表!$D$4:$D$303,$A17,成本费用登记表!$AC$4:$AC$303,F$4)+SUMIFS(资金日记账!$I$4:$I$603,资金日记账!$G$4:$G$603,$A17,资金日记账!$U$4:$U$603,"&lt;&gt;是",资金日记账!$V$4:$V$603,F$4),2))</f>
        <v/>
      </c>
      <c r="G17" s="76" t="str">
        <f ca="1">IF($A17="","",ROUND(SUMIFS(成本费用登记表!$H$4:$H$303,成本费用登记表!$D$4:$D$303,$A17,成本费用登记表!$AC$4:$AC$303,G$4)+SUMIFS(资金日记账!$I$4:$I$603,资金日记账!$G$4:$G$603,$A17,资金日记账!$U$4:$U$603,"&lt;&gt;是",资金日记账!$V$4:$V$603,G$4),2))</f>
        <v/>
      </c>
      <c r="H17" s="76" t="str">
        <f ca="1">IF($A17="","",ROUND(SUMIFS(成本费用登记表!$H$4:$H$303,成本费用登记表!$D$4:$D$303,$A17,成本费用登记表!$AC$4:$AC$303,H$4)+SUMIFS(资金日记账!$I$4:$I$603,资金日记账!$G$4:$G$603,$A17,资金日记账!$U$4:$U$603,"&lt;&gt;是",资金日记账!$V$4:$V$603,H$4),2))</f>
        <v/>
      </c>
      <c r="I17" s="76" t="str">
        <f ca="1">IF($A17="","",ROUND(SUMIFS(成本费用登记表!$H$4:$H$303,成本费用登记表!$D$4:$D$303,$A17,成本费用登记表!$AC$4:$AC$303,I$4)+SUMIFS(资金日记账!$I$4:$I$603,资金日记账!$G$4:$G$603,$A17,资金日记账!$U$4:$U$603,"&lt;&gt;是",资金日记账!$V$4:$V$603,I$4),2))</f>
        <v/>
      </c>
      <c r="J17" s="76" t="str">
        <f ca="1">IF($A17="","",ROUND(SUMIFS(成本费用登记表!$H$4:$H$303,成本费用登记表!$D$4:$D$303,$A17,成本费用登记表!$AC$4:$AC$303,J$4)+SUMIFS(资金日记账!$I$4:$I$603,资金日记账!$G$4:$G$603,$A17,资金日记账!$U$4:$U$603,"&lt;&gt;是",资金日记账!$V$4:$V$603,J$4),2))</f>
        <v/>
      </c>
      <c r="K17" s="76" t="str">
        <f ca="1">IF($A17="","",ROUND(SUMIFS(成本费用登记表!$H$4:$H$303,成本费用登记表!$D$4:$D$303,$A17,成本费用登记表!$AC$4:$AC$303,K$4)+SUMIFS(资金日记账!$I$4:$I$603,资金日记账!$G$4:$G$603,$A17,资金日记账!$U$4:$U$603,"&lt;&gt;是",资金日记账!$V$4:$V$603,K$4),2))</f>
        <v/>
      </c>
      <c r="L17" s="76" t="str">
        <f ca="1">IF($A17="","",ROUND(SUMIFS(成本费用登记表!$H$4:$H$303,成本费用登记表!$D$4:$D$303,$A17,成本费用登记表!$AC$4:$AC$303,L$4)+SUMIFS(资金日记账!$I$4:$I$603,资金日记账!$G$4:$G$603,$A17,资金日记账!$U$4:$U$603,"&lt;&gt;是",资金日记账!$V$4:$V$603,L$4),2))</f>
        <v/>
      </c>
      <c r="M17" s="76" t="str">
        <f ca="1">IF($A17="","",ROUND(SUMIFS(成本费用登记表!$H$4:$H$303,成本费用登记表!$D$4:$D$303,$A17,成本费用登记表!$AC$4:$AC$303,M$4)+SUMIFS(资金日记账!$I$4:$I$603,资金日记账!$G$4:$G$603,$A17,资金日记账!$U$4:$U$603,"&lt;&gt;是",资金日记账!$V$4:$V$603,M$4),2))</f>
        <v/>
      </c>
      <c r="N17" s="76" t="str">
        <f ca="1">IF($A17="","",ROUND(SUMIFS(成本费用登记表!$H$4:$H$303,成本费用登记表!$D$4:$D$303,$A17,成本费用登记表!$AC$4:$AC$303,N$4)+SUMIFS(资金日记账!$I$4:$I$603,资金日记账!$G$4:$G$603,$A17,资金日记账!$U$4:$U$603,"&lt;&gt;是",资金日记账!$V$4:$V$603,N$4),2))</f>
        <v/>
      </c>
      <c r="O17" s="76" t="str">
        <f ca="1">IF($A17="","",ROUND(SUMIFS(成本费用登记表!$H$4:$H$303,成本费用登记表!$D$4:$D$303,$A17,成本费用登记表!$AC$4:$AC$303,O$4)+SUMIFS(资金日记账!$I$4:$I$603,资金日记账!$G$4:$G$603,$A17,资金日记账!$U$4:$U$603,"&lt;&gt;是",资金日记账!$V$4:$V$603,O$4),2))</f>
        <v/>
      </c>
      <c r="P17" s="76" t="str">
        <f ca="1">IF($A17="","",ROUND(SUMIFS(成本费用登记表!$H$4:$H$303,成本费用登记表!$D$4:$D$303,$A17,成本费用登记表!$AC$4:$AC$303,P$4)+SUMIFS(资金日记账!$I$4:$I$603,资金日记账!$G$4:$G$603,$A17,资金日记账!$U$4:$U$603,"&lt;&gt;是",资金日记账!$V$4:$V$603,P$4),2))</f>
        <v/>
      </c>
      <c r="Q17" s="76" t="str">
        <f ca="1">IF($A17="","",ROUND(SUMIFS(成本费用登记表!$H$4:$H$303,成本费用登记表!$D$4:$D$303,$A17,成本费用登记表!$AC$4:$AC$303,Q$4)+SUMIFS(资金日记账!$I$4:$I$603,资金日记账!$G$4:$G$603,$A17,资金日记账!$U$4:$U$603,"&lt;&gt;是",资金日记账!$V$4:$V$603,Q$4),2))</f>
        <v/>
      </c>
      <c r="R17" s="76" t="str">
        <f ca="1">IF($A17="","",ROUND(SUMIFS(成本费用登记表!$H$4:$H$303,成本费用登记表!$D$4:$D$303,$A17,成本费用登记表!$AC$4:$AC$303,R$4)+SUMIFS(资金日记账!$I$4:$I$603,资金日记账!$G$4:$G$603,$A17,资金日记账!$U$4:$U$603,"&lt;&gt;是",资金日记账!$V$4:$V$603,R$4),2))</f>
        <v/>
      </c>
      <c r="S17" s="76" t="str">
        <f ca="1">IF($A17="","",ROUND(SUMIFS(成本费用登记表!$H$4:$H$303,成本费用登记表!$D$4:$D$303,$A17,成本费用登记表!$AC$4:$AC$303,S$4)+SUMIFS(资金日记账!$I$4:$I$603,资金日记账!$G$4:$G$603,$A17,资金日记账!$U$4:$U$603,"&lt;&gt;是",资金日记账!$V$4:$V$603,S$4),2))</f>
        <v/>
      </c>
      <c r="T17" s="76" t="str">
        <f ca="1">IF($A17="","",ROUND(SUMIFS(成本费用登记表!$H$4:$H$303,成本费用登记表!$D$4:$D$303,$A17,成本费用登记表!$AC$4:$AC$303,T$4)+SUMIFS(资金日记账!$I$4:$I$603,资金日记账!$G$4:$G$603,$A17,资金日记账!$U$4:$U$603,"&lt;&gt;是",资金日记账!$V$4:$V$603,T$4),2))</f>
        <v/>
      </c>
      <c r="U17" s="76" t="str">
        <f ca="1">IF($A17="","",ROUND(SUMIFS(成本费用登记表!$H$4:$H$303,成本费用登记表!$D$4:$D$303,$A17,成本费用登记表!$AC$4:$AC$303,U$4)+SUMIFS(资金日记账!$I$4:$I$603,资金日记账!$G$4:$G$603,$A17,资金日记账!$U$4:$U$603,"&lt;&gt;是",资金日记账!$V$4:$V$603,U$4),2))</f>
        <v/>
      </c>
      <c r="V17" s="76" t="str">
        <f ca="1">IF($A17="","",ROUND(SUMIFS(成本费用登记表!$H$4:$H$303,成本费用登记表!$D$4:$D$303,$A17,成本费用登记表!$AC$4:$AC$303,V$4)+SUMIFS(资金日记账!$I$4:$I$603,资金日记账!$G$4:$G$603,$A17,资金日记账!$U$4:$U$603,"&lt;&gt;是",资金日记账!$V$4:$V$603,V$4),2))</f>
        <v/>
      </c>
      <c r="W17" s="76" t="str">
        <f ca="1">IF($A17="","",ROUND(SUMIFS(成本费用登记表!$H$4:$H$303,成本费用登记表!$D$4:$D$303,$A17,成本费用登记表!$AC$4:$AC$303,W$4)+SUMIFS(资金日记账!$I$4:$I$603,资金日记账!$G$4:$G$603,$A17,资金日记账!$U$4:$U$603,"&lt;&gt;是",资金日记账!$V$4:$V$603,W$4),2))</f>
        <v/>
      </c>
      <c r="X17" s="76" t="str">
        <f ca="1">IF($A17="","",ROUND(SUMIFS(成本费用登记表!$H$4:$H$303,成本费用登记表!$D$4:$D$303,$A17,成本费用登记表!$AC$4:$AC$303,X$4)+SUMIFS(资金日记账!$I$4:$I$603,资金日记账!$G$4:$G$603,$A17,资金日记账!$U$4:$U$603,"&lt;&gt;是",资金日记账!$V$4:$V$603,X$4),2))</f>
        <v/>
      </c>
      <c r="Y17" s="76" t="str">
        <f ca="1">IF($A17="","",ROUND(SUMIFS(成本费用登记表!$H$4:$H$303,成本费用登记表!$D$4:$D$303,$A17,成本费用登记表!$AC$4:$AC$303,Y$4)+SUMIFS(资金日记账!$I$4:$I$603,资金日记账!$G$4:$G$603,$A17,资金日记账!$U$4:$U$603,"&lt;&gt;是",资金日记账!$V$4:$V$603,Y$4),2))</f>
        <v/>
      </c>
      <c r="Z17" s="87" t="str">
        <f ca="1" t="shared" si="1"/>
        <v/>
      </c>
      <c r="AA17" s="76" t="str">
        <f>IF($A17="","",ROUND(SUMIF(成本费用登记表!$D$4:$D$303,$A17,成本费用登记表!$AA$4:$AA$303)+SUMIFS(资金日记账!$I$4:$I$603,资金日记账!$G$4:$G$603,$A17,资金日记账!$U$4:$U$603,"&lt;&gt;是"),2))</f>
        <v/>
      </c>
      <c r="AB17" s="76" t="str">
        <f ca="1" t="shared" si="2"/>
        <v/>
      </c>
    </row>
    <row r="18" spans="1:28">
      <c r="A18" s="86" t="str">
        <f>IFERROR(INDEX(_自动清单!$X$4:$X$63,14),"")</f>
        <v/>
      </c>
      <c r="B18" s="76" t="str">
        <f ca="1">IF($A18="","",ROUND(SUMIFS(成本费用登记表!$H$4:$H$303,成本费用登记表!$D$4:$D$303,$A18,成本费用登记表!$AC$4:$AC$303,B$4)+SUMIFS(资金日记账!$I$4:$I$603,资金日记账!$G$4:$G$603,$A18,资金日记账!$U$4:$U$603,"&lt;&gt;是",资金日记账!$V$4:$V$603,B$4),2))</f>
        <v/>
      </c>
      <c r="C18" s="76" t="str">
        <f ca="1">IF($A18="","",ROUND(SUMIFS(成本费用登记表!$H$4:$H$303,成本费用登记表!$D$4:$D$303,$A18,成本费用登记表!$AC$4:$AC$303,C$4)+SUMIFS(资金日记账!$I$4:$I$603,资金日记账!$G$4:$G$603,$A18,资金日记账!$U$4:$U$603,"&lt;&gt;是",资金日记账!$V$4:$V$603,C$4),2))</f>
        <v/>
      </c>
      <c r="D18" s="76" t="str">
        <f ca="1">IF($A18="","",ROUND(SUMIFS(成本费用登记表!$H$4:$H$303,成本费用登记表!$D$4:$D$303,$A18,成本费用登记表!$AC$4:$AC$303,D$4)+SUMIFS(资金日记账!$I$4:$I$603,资金日记账!$G$4:$G$603,$A18,资金日记账!$U$4:$U$603,"&lt;&gt;是",资金日记账!$V$4:$V$603,D$4),2))</f>
        <v/>
      </c>
      <c r="E18" s="76" t="str">
        <f ca="1">IF($A18="","",ROUND(SUMIFS(成本费用登记表!$H$4:$H$303,成本费用登记表!$D$4:$D$303,$A18,成本费用登记表!$AC$4:$AC$303,E$4)+SUMIFS(资金日记账!$I$4:$I$603,资金日记账!$G$4:$G$603,$A18,资金日记账!$U$4:$U$603,"&lt;&gt;是",资金日记账!$V$4:$V$603,E$4),2))</f>
        <v/>
      </c>
      <c r="F18" s="76" t="str">
        <f ca="1">IF($A18="","",ROUND(SUMIFS(成本费用登记表!$H$4:$H$303,成本费用登记表!$D$4:$D$303,$A18,成本费用登记表!$AC$4:$AC$303,F$4)+SUMIFS(资金日记账!$I$4:$I$603,资金日记账!$G$4:$G$603,$A18,资金日记账!$U$4:$U$603,"&lt;&gt;是",资金日记账!$V$4:$V$603,F$4),2))</f>
        <v/>
      </c>
      <c r="G18" s="76" t="str">
        <f ca="1">IF($A18="","",ROUND(SUMIFS(成本费用登记表!$H$4:$H$303,成本费用登记表!$D$4:$D$303,$A18,成本费用登记表!$AC$4:$AC$303,G$4)+SUMIFS(资金日记账!$I$4:$I$603,资金日记账!$G$4:$G$603,$A18,资金日记账!$U$4:$U$603,"&lt;&gt;是",资金日记账!$V$4:$V$603,G$4),2))</f>
        <v/>
      </c>
      <c r="H18" s="76" t="str">
        <f ca="1">IF($A18="","",ROUND(SUMIFS(成本费用登记表!$H$4:$H$303,成本费用登记表!$D$4:$D$303,$A18,成本费用登记表!$AC$4:$AC$303,H$4)+SUMIFS(资金日记账!$I$4:$I$603,资金日记账!$G$4:$G$603,$A18,资金日记账!$U$4:$U$603,"&lt;&gt;是",资金日记账!$V$4:$V$603,H$4),2))</f>
        <v/>
      </c>
      <c r="I18" s="76" t="str">
        <f ca="1">IF($A18="","",ROUND(SUMIFS(成本费用登记表!$H$4:$H$303,成本费用登记表!$D$4:$D$303,$A18,成本费用登记表!$AC$4:$AC$303,I$4)+SUMIFS(资金日记账!$I$4:$I$603,资金日记账!$G$4:$G$603,$A18,资金日记账!$U$4:$U$603,"&lt;&gt;是",资金日记账!$V$4:$V$603,I$4),2))</f>
        <v/>
      </c>
      <c r="J18" s="76" t="str">
        <f ca="1">IF($A18="","",ROUND(SUMIFS(成本费用登记表!$H$4:$H$303,成本费用登记表!$D$4:$D$303,$A18,成本费用登记表!$AC$4:$AC$303,J$4)+SUMIFS(资金日记账!$I$4:$I$603,资金日记账!$G$4:$G$603,$A18,资金日记账!$U$4:$U$603,"&lt;&gt;是",资金日记账!$V$4:$V$603,J$4),2))</f>
        <v/>
      </c>
      <c r="K18" s="76" t="str">
        <f ca="1">IF($A18="","",ROUND(SUMIFS(成本费用登记表!$H$4:$H$303,成本费用登记表!$D$4:$D$303,$A18,成本费用登记表!$AC$4:$AC$303,K$4)+SUMIFS(资金日记账!$I$4:$I$603,资金日记账!$G$4:$G$603,$A18,资金日记账!$U$4:$U$603,"&lt;&gt;是",资金日记账!$V$4:$V$603,K$4),2))</f>
        <v/>
      </c>
      <c r="L18" s="76" t="str">
        <f ca="1">IF($A18="","",ROUND(SUMIFS(成本费用登记表!$H$4:$H$303,成本费用登记表!$D$4:$D$303,$A18,成本费用登记表!$AC$4:$AC$303,L$4)+SUMIFS(资金日记账!$I$4:$I$603,资金日记账!$G$4:$G$603,$A18,资金日记账!$U$4:$U$603,"&lt;&gt;是",资金日记账!$V$4:$V$603,L$4),2))</f>
        <v/>
      </c>
      <c r="M18" s="76" t="str">
        <f ca="1">IF($A18="","",ROUND(SUMIFS(成本费用登记表!$H$4:$H$303,成本费用登记表!$D$4:$D$303,$A18,成本费用登记表!$AC$4:$AC$303,M$4)+SUMIFS(资金日记账!$I$4:$I$603,资金日记账!$G$4:$G$603,$A18,资金日记账!$U$4:$U$603,"&lt;&gt;是",资金日记账!$V$4:$V$603,M$4),2))</f>
        <v/>
      </c>
      <c r="N18" s="76" t="str">
        <f ca="1">IF($A18="","",ROUND(SUMIFS(成本费用登记表!$H$4:$H$303,成本费用登记表!$D$4:$D$303,$A18,成本费用登记表!$AC$4:$AC$303,N$4)+SUMIFS(资金日记账!$I$4:$I$603,资金日记账!$G$4:$G$603,$A18,资金日记账!$U$4:$U$603,"&lt;&gt;是",资金日记账!$V$4:$V$603,N$4),2))</f>
        <v/>
      </c>
      <c r="O18" s="76" t="str">
        <f ca="1">IF($A18="","",ROUND(SUMIFS(成本费用登记表!$H$4:$H$303,成本费用登记表!$D$4:$D$303,$A18,成本费用登记表!$AC$4:$AC$303,O$4)+SUMIFS(资金日记账!$I$4:$I$603,资金日记账!$G$4:$G$603,$A18,资金日记账!$U$4:$U$603,"&lt;&gt;是",资金日记账!$V$4:$V$603,O$4),2))</f>
        <v/>
      </c>
      <c r="P18" s="76" t="str">
        <f ca="1">IF($A18="","",ROUND(SUMIFS(成本费用登记表!$H$4:$H$303,成本费用登记表!$D$4:$D$303,$A18,成本费用登记表!$AC$4:$AC$303,P$4)+SUMIFS(资金日记账!$I$4:$I$603,资金日记账!$G$4:$G$603,$A18,资金日记账!$U$4:$U$603,"&lt;&gt;是",资金日记账!$V$4:$V$603,P$4),2))</f>
        <v/>
      </c>
      <c r="Q18" s="76" t="str">
        <f ca="1">IF($A18="","",ROUND(SUMIFS(成本费用登记表!$H$4:$H$303,成本费用登记表!$D$4:$D$303,$A18,成本费用登记表!$AC$4:$AC$303,Q$4)+SUMIFS(资金日记账!$I$4:$I$603,资金日记账!$G$4:$G$603,$A18,资金日记账!$U$4:$U$603,"&lt;&gt;是",资金日记账!$V$4:$V$603,Q$4),2))</f>
        <v/>
      </c>
      <c r="R18" s="76" t="str">
        <f ca="1">IF($A18="","",ROUND(SUMIFS(成本费用登记表!$H$4:$H$303,成本费用登记表!$D$4:$D$303,$A18,成本费用登记表!$AC$4:$AC$303,R$4)+SUMIFS(资金日记账!$I$4:$I$603,资金日记账!$G$4:$G$603,$A18,资金日记账!$U$4:$U$603,"&lt;&gt;是",资金日记账!$V$4:$V$603,R$4),2))</f>
        <v/>
      </c>
      <c r="S18" s="76" t="str">
        <f ca="1">IF($A18="","",ROUND(SUMIFS(成本费用登记表!$H$4:$H$303,成本费用登记表!$D$4:$D$303,$A18,成本费用登记表!$AC$4:$AC$303,S$4)+SUMIFS(资金日记账!$I$4:$I$603,资金日记账!$G$4:$G$603,$A18,资金日记账!$U$4:$U$603,"&lt;&gt;是",资金日记账!$V$4:$V$603,S$4),2))</f>
        <v/>
      </c>
      <c r="T18" s="76" t="str">
        <f ca="1">IF($A18="","",ROUND(SUMIFS(成本费用登记表!$H$4:$H$303,成本费用登记表!$D$4:$D$303,$A18,成本费用登记表!$AC$4:$AC$303,T$4)+SUMIFS(资金日记账!$I$4:$I$603,资金日记账!$G$4:$G$603,$A18,资金日记账!$U$4:$U$603,"&lt;&gt;是",资金日记账!$V$4:$V$603,T$4),2))</f>
        <v/>
      </c>
      <c r="U18" s="76" t="str">
        <f ca="1">IF($A18="","",ROUND(SUMIFS(成本费用登记表!$H$4:$H$303,成本费用登记表!$D$4:$D$303,$A18,成本费用登记表!$AC$4:$AC$303,U$4)+SUMIFS(资金日记账!$I$4:$I$603,资金日记账!$G$4:$G$603,$A18,资金日记账!$U$4:$U$603,"&lt;&gt;是",资金日记账!$V$4:$V$603,U$4),2))</f>
        <v/>
      </c>
      <c r="V18" s="76" t="str">
        <f ca="1">IF($A18="","",ROUND(SUMIFS(成本费用登记表!$H$4:$H$303,成本费用登记表!$D$4:$D$303,$A18,成本费用登记表!$AC$4:$AC$303,V$4)+SUMIFS(资金日记账!$I$4:$I$603,资金日记账!$G$4:$G$603,$A18,资金日记账!$U$4:$U$603,"&lt;&gt;是",资金日记账!$V$4:$V$603,V$4),2))</f>
        <v/>
      </c>
      <c r="W18" s="76" t="str">
        <f ca="1">IF($A18="","",ROUND(SUMIFS(成本费用登记表!$H$4:$H$303,成本费用登记表!$D$4:$D$303,$A18,成本费用登记表!$AC$4:$AC$303,W$4)+SUMIFS(资金日记账!$I$4:$I$603,资金日记账!$G$4:$G$603,$A18,资金日记账!$U$4:$U$603,"&lt;&gt;是",资金日记账!$V$4:$V$603,W$4),2))</f>
        <v/>
      </c>
      <c r="X18" s="76" t="str">
        <f ca="1">IF($A18="","",ROUND(SUMIFS(成本费用登记表!$H$4:$H$303,成本费用登记表!$D$4:$D$303,$A18,成本费用登记表!$AC$4:$AC$303,X$4)+SUMIFS(资金日记账!$I$4:$I$603,资金日记账!$G$4:$G$603,$A18,资金日记账!$U$4:$U$603,"&lt;&gt;是",资金日记账!$V$4:$V$603,X$4),2))</f>
        <v/>
      </c>
      <c r="Y18" s="76" t="str">
        <f ca="1">IF($A18="","",ROUND(SUMIFS(成本费用登记表!$H$4:$H$303,成本费用登记表!$D$4:$D$303,$A18,成本费用登记表!$AC$4:$AC$303,Y$4)+SUMIFS(资金日记账!$I$4:$I$603,资金日记账!$G$4:$G$603,$A18,资金日记账!$U$4:$U$603,"&lt;&gt;是",资金日记账!$V$4:$V$603,Y$4),2))</f>
        <v/>
      </c>
      <c r="Z18" s="87" t="str">
        <f ca="1" t="shared" si="1"/>
        <v/>
      </c>
      <c r="AA18" s="76" t="str">
        <f>IF($A18="","",ROUND(SUMIF(成本费用登记表!$D$4:$D$303,$A18,成本费用登记表!$AA$4:$AA$303)+SUMIFS(资金日记账!$I$4:$I$603,资金日记账!$G$4:$G$603,$A18,资金日记账!$U$4:$U$603,"&lt;&gt;是"),2))</f>
        <v/>
      </c>
      <c r="AB18" s="76" t="str">
        <f ca="1" t="shared" si="2"/>
        <v/>
      </c>
    </row>
    <row r="19" spans="1:28">
      <c r="A19" s="86" t="str">
        <f>IFERROR(INDEX(_自动清单!$X$4:$X$63,15),"")</f>
        <v/>
      </c>
      <c r="B19" s="76" t="str">
        <f ca="1">IF($A19="","",ROUND(SUMIFS(成本费用登记表!$H$4:$H$303,成本费用登记表!$D$4:$D$303,$A19,成本费用登记表!$AC$4:$AC$303,B$4)+SUMIFS(资金日记账!$I$4:$I$603,资金日记账!$G$4:$G$603,$A19,资金日记账!$U$4:$U$603,"&lt;&gt;是",资金日记账!$V$4:$V$603,B$4),2))</f>
        <v/>
      </c>
      <c r="C19" s="76" t="str">
        <f ca="1">IF($A19="","",ROUND(SUMIFS(成本费用登记表!$H$4:$H$303,成本费用登记表!$D$4:$D$303,$A19,成本费用登记表!$AC$4:$AC$303,C$4)+SUMIFS(资金日记账!$I$4:$I$603,资金日记账!$G$4:$G$603,$A19,资金日记账!$U$4:$U$603,"&lt;&gt;是",资金日记账!$V$4:$V$603,C$4),2))</f>
        <v/>
      </c>
      <c r="D19" s="76" t="str">
        <f ca="1">IF($A19="","",ROUND(SUMIFS(成本费用登记表!$H$4:$H$303,成本费用登记表!$D$4:$D$303,$A19,成本费用登记表!$AC$4:$AC$303,D$4)+SUMIFS(资金日记账!$I$4:$I$603,资金日记账!$G$4:$G$603,$A19,资金日记账!$U$4:$U$603,"&lt;&gt;是",资金日记账!$V$4:$V$603,D$4),2))</f>
        <v/>
      </c>
      <c r="E19" s="76" t="str">
        <f ca="1">IF($A19="","",ROUND(SUMIFS(成本费用登记表!$H$4:$H$303,成本费用登记表!$D$4:$D$303,$A19,成本费用登记表!$AC$4:$AC$303,E$4)+SUMIFS(资金日记账!$I$4:$I$603,资金日记账!$G$4:$G$603,$A19,资金日记账!$U$4:$U$603,"&lt;&gt;是",资金日记账!$V$4:$V$603,E$4),2))</f>
        <v/>
      </c>
      <c r="F19" s="76" t="str">
        <f ca="1">IF($A19="","",ROUND(SUMIFS(成本费用登记表!$H$4:$H$303,成本费用登记表!$D$4:$D$303,$A19,成本费用登记表!$AC$4:$AC$303,F$4)+SUMIFS(资金日记账!$I$4:$I$603,资金日记账!$G$4:$G$603,$A19,资金日记账!$U$4:$U$603,"&lt;&gt;是",资金日记账!$V$4:$V$603,F$4),2))</f>
        <v/>
      </c>
      <c r="G19" s="76" t="str">
        <f ca="1">IF($A19="","",ROUND(SUMIFS(成本费用登记表!$H$4:$H$303,成本费用登记表!$D$4:$D$303,$A19,成本费用登记表!$AC$4:$AC$303,G$4)+SUMIFS(资金日记账!$I$4:$I$603,资金日记账!$G$4:$G$603,$A19,资金日记账!$U$4:$U$603,"&lt;&gt;是",资金日记账!$V$4:$V$603,G$4),2))</f>
        <v/>
      </c>
      <c r="H19" s="76" t="str">
        <f ca="1">IF($A19="","",ROUND(SUMIFS(成本费用登记表!$H$4:$H$303,成本费用登记表!$D$4:$D$303,$A19,成本费用登记表!$AC$4:$AC$303,H$4)+SUMIFS(资金日记账!$I$4:$I$603,资金日记账!$G$4:$G$603,$A19,资金日记账!$U$4:$U$603,"&lt;&gt;是",资金日记账!$V$4:$V$603,H$4),2))</f>
        <v/>
      </c>
      <c r="I19" s="76" t="str">
        <f ca="1">IF($A19="","",ROUND(SUMIFS(成本费用登记表!$H$4:$H$303,成本费用登记表!$D$4:$D$303,$A19,成本费用登记表!$AC$4:$AC$303,I$4)+SUMIFS(资金日记账!$I$4:$I$603,资金日记账!$G$4:$G$603,$A19,资金日记账!$U$4:$U$603,"&lt;&gt;是",资金日记账!$V$4:$V$603,I$4),2))</f>
        <v/>
      </c>
      <c r="J19" s="76" t="str">
        <f ca="1">IF($A19="","",ROUND(SUMIFS(成本费用登记表!$H$4:$H$303,成本费用登记表!$D$4:$D$303,$A19,成本费用登记表!$AC$4:$AC$303,J$4)+SUMIFS(资金日记账!$I$4:$I$603,资金日记账!$G$4:$G$603,$A19,资金日记账!$U$4:$U$603,"&lt;&gt;是",资金日记账!$V$4:$V$603,J$4),2))</f>
        <v/>
      </c>
      <c r="K19" s="76" t="str">
        <f ca="1">IF($A19="","",ROUND(SUMIFS(成本费用登记表!$H$4:$H$303,成本费用登记表!$D$4:$D$303,$A19,成本费用登记表!$AC$4:$AC$303,K$4)+SUMIFS(资金日记账!$I$4:$I$603,资金日记账!$G$4:$G$603,$A19,资金日记账!$U$4:$U$603,"&lt;&gt;是",资金日记账!$V$4:$V$603,K$4),2))</f>
        <v/>
      </c>
      <c r="L19" s="76" t="str">
        <f ca="1">IF($A19="","",ROUND(SUMIFS(成本费用登记表!$H$4:$H$303,成本费用登记表!$D$4:$D$303,$A19,成本费用登记表!$AC$4:$AC$303,L$4)+SUMIFS(资金日记账!$I$4:$I$603,资金日记账!$G$4:$G$603,$A19,资金日记账!$U$4:$U$603,"&lt;&gt;是",资金日记账!$V$4:$V$603,L$4),2))</f>
        <v/>
      </c>
      <c r="M19" s="76" t="str">
        <f ca="1">IF($A19="","",ROUND(SUMIFS(成本费用登记表!$H$4:$H$303,成本费用登记表!$D$4:$D$303,$A19,成本费用登记表!$AC$4:$AC$303,M$4)+SUMIFS(资金日记账!$I$4:$I$603,资金日记账!$G$4:$G$603,$A19,资金日记账!$U$4:$U$603,"&lt;&gt;是",资金日记账!$V$4:$V$603,M$4),2))</f>
        <v/>
      </c>
      <c r="N19" s="76" t="str">
        <f ca="1">IF($A19="","",ROUND(SUMIFS(成本费用登记表!$H$4:$H$303,成本费用登记表!$D$4:$D$303,$A19,成本费用登记表!$AC$4:$AC$303,N$4)+SUMIFS(资金日记账!$I$4:$I$603,资金日记账!$G$4:$G$603,$A19,资金日记账!$U$4:$U$603,"&lt;&gt;是",资金日记账!$V$4:$V$603,N$4),2))</f>
        <v/>
      </c>
      <c r="O19" s="76" t="str">
        <f ca="1">IF($A19="","",ROUND(SUMIFS(成本费用登记表!$H$4:$H$303,成本费用登记表!$D$4:$D$303,$A19,成本费用登记表!$AC$4:$AC$303,O$4)+SUMIFS(资金日记账!$I$4:$I$603,资金日记账!$G$4:$G$603,$A19,资金日记账!$U$4:$U$603,"&lt;&gt;是",资金日记账!$V$4:$V$603,O$4),2))</f>
        <v/>
      </c>
      <c r="P19" s="76" t="str">
        <f ca="1">IF($A19="","",ROUND(SUMIFS(成本费用登记表!$H$4:$H$303,成本费用登记表!$D$4:$D$303,$A19,成本费用登记表!$AC$4:$AC$303,P$4)+SUMIFS(资金日记账!$I$4:$I$603,资金日记账!$G$4:$G$603,$A19,资金日记账!$U$4:$U$603,"&lt;&gt;是",资金日记账!$V$4:$V$603,P$4),2))</f>
        <v/>
      </c>
      <c r="Q19" s="76" t="str">
        <f ca="1">IF($A19="","",ROUND(SUMIFS(成本费用登记表!$H$4:$H$303,成本费用登记表!$D$4:$D$303,$A19,成本费用登记表!$AC$4:$AC$303,Q$4)+SUMIFS(资金日记账!$I$4:$I$603,资金日记账!$G$4:$G$603,$A19,资金日记账!$U$4:$U$603,"&lt;&gt;是",资金日记账!$V$4:$V$603,Q$4),2))</f>
        <v/>
      </c>
      <c r="R19" s="76" t="str">
        <f ca="1">IF($A19="","",ROUND(SUMIFS(成本费用登记表!$H$4:$H$303,成本费用登记表!$D$4:$D$303,$A19,成本费用登记表!$AC$4:$AC$303,R$4)+SUMIFS(资金日记账!$I$4:$I$603,资金日记账!$G$4:$G$603,$A19,资金日记账!$U$4:$U$603,"&lt;&gt;是",资金日记账!$V$4:$V$603,R$4),2))</f>
        <v/>
      </c>
      <c r="S19" s="76" t="str">
        <f ca="1">IF($A19="","",ROUND(SUMIFS(成本费用登记表!$H$4:$H$303,成本费用登记表!$D$4:$D$303,$A19,成本费用登记表!$AC$4:$AC$303,S$4)+SUMIFS(资金日记账!$I$4:$I$603,资金日记账!$G$4:$G$603,$A19,资金日记账!$U$4:$U$603,"&lt;&gt;是",资金日记账!$V$4:$V$603,S$4),2))</f>
        <v/>
      </c>
      <c r="T19" s="76" t="str">
        <f ca="1">IF($A19="","",ROUND(SUMIFS(成本费用登记表!$H$4:$H$303,成本费用登记表!$D$4:$D$303,$A19,成本费用登记表!$AC$4:$AC$303,T$4)+SUMIFS(资金日记账!$I$4:$I$603,资金日记账!$G$4:$G$603,$A19,资金日记账!$U$4:$U$603,"&lt;&gt;是",资金日记账!$V$4:$V$603,T$4),2))</f>
        <v/>
      </c>
      <c r="U19" s="76" t="str">
        <f ca="1">IF($A19="","",ROUND(SUMIFS(成本费用登记表!$H$4:$H$303,成本费用登记表!$D$4:$D$303,$A19,成本费用登记表!$AC$4:$AC$303,U$4)+SUMIFS(资金日记账!$I$4:$I$603,资金日记账!$G$4:$G$603,$A19,资金日记账!$U$4:$U$603,"&lt;&gt;是",资金日记账!$V$4:$V$603,U$4),2))</f>
        <v/>
      </c>
      <c r="V19" s="76" t="str">
        <f ca="1">IF($A19="","",ROUND(SUMIFS(成本费用登记表!$H$4:$H$303,成本费用登记表!$D$4:$D$303,$A19,成本费用登记表!$AC$4:$AC$303,V$4)+SUMIFS(资金日记账!$I$4:$I$603,资金日记账!$G$4:$G$603,$A19,资金日记账!$U$4:$U$603,"&lt;&gt;是",资金日记账!$V$4:$V$603,V$4),2))</f>
        <v/>
      </c>
      <c r="W19" s="76" t="str">
        <f ca="1">IF($A19="","",ROUND(SUMIFS(成本费用登记表!$H$4:$H$303,成本费用登记表!$D$4:$D$303,$A19,成本费用登记表!$AC$4:$AC$303,W$4)+SUMIFS(资金日记账!$I$4:$I$603,资金日记账!$G$4:$G$603,$A19,资金日记账!$U$4:$U$603,"&lt;&gt;是",资金日记账!$V$4:$V$603,W$4),2))</f>
        <v/>
      </c>
      <c r="X19" s="76" t="str">
        <f ca="1">IF($A19="","",ROUND(SUMIFS(成本费用登记表!$H$4:$H$303,成本费用登记表!$D$4:$D$303,$A19,成本费用登记表!$AC$4:$AC$303,X$4)+SUMIFS(资金日记账!$I$4:$I$603,资金日记账!$G$4:$G$603,$A19,资金日记账!$U$4:$U$603,"&lt;&gt;是",资金日记账!$V$4:$V$603,X$4),2))</f>
        <v/>
      </c>
      <c r="Y19" s="76" t="str">
        <f ca="1">IF($A19="","",ROUND(SUMIFS(成本费用登记表!$H$4:$H$303,成本费用登记表!$D$4:$D$303,$A19,成本费用登记表!$AC$4:$AC$303,Y$4)+SUMIFS(资金日记账!$I$4:$I$603,资金日记账!$G$4:$G$603,$A19,资金日记账!$U$4:$U$603,"&lt;&gt;是",资金日记账!$V$4:$V$603,Y$4),2))</f>
        <v/>
      </c>
      <c r="Z19" s="87" t="str">
        <f ca="1" t="shared" si="1"/>
        <v/>
      </c>
      <c r="AA19" s="76" t="str">
        <f>IF($A19="","",ROUND(SUMIF(成本费用登记表!$D$4:$D$303,$A19,成本费用登记表!$AA$4:$AA$303)+SUMIFS(资金日记账!$I$4:$I$603,资金日记账!$G$4:$G$603,$A19,资金日记账!$U$4:$U$603,"&lt;&gt;是"),2))</f>
        <v/>
      </c>
      <c r="AB19" s="76" t="str">
        <f ca="1" t="shared" si="2"/>
        <v/>
      </c>
    </row>
    <row r="20" spans="1:28">
      <c r="A20" s="86" t="str">
        <f>IFERROR(INDEX(_自动清单!$X$4:$X$63,16),"")</f>
        <v/>
      </c>
      <c r="B20" s="76" t="str">
        <f ca="1">IF($A20="","",ROUND(SUMIFS(成本费用登记表!$H$4:$H$303,成本费用登记表!$D$4:$D$303,$A20,成本费用登记表!$AC$4:$AC$303,B$4)+SUMIFS(资金日记账!$I$4:$I$603,资金日记账!$G$4:$G$603,$A20,资金日记账!$U$4:$U$603,"&lt;&gt;是",资金日记账!$V$4:$V$603,B$4),2))</f>
        <v/>
      </c>
      <c r="C20" s="76" t="str">
        <f ca="1">IF($A20="","",ROUND(SUMIFS(成本费用登记表!$H$4:$H$303,成本费用登记表!$D$4:$D$303,$A20,成本费用登记表!$AC$4:$AC$303,C$4)+SUMIFS(资金日记账!$I$4:$I$603,资金日记账!$G$4:$G$603,$A20,资金日记账!$U$4:$U$603,"&lt;&gt;是",资金日记账!$V$4:$V$603,C$4),2))</f>
        <v/>
      </c>
      <c r="D20" s="76" t="str">
        <f ca="1">IF($A20="","",ROUND(SUMIFS(成本费用登记表!$H$4:$H$303,成本费用登记表!$D$4:$D$303,$A20,成本费用登记表!$AC$4:$AC$303,D$4)+SUMIFS(资金日记账!$I$4:$I$603,资金日记账!$G$4:$G$603,$A20,资金日记账!$U$4:$U$603,"&lt;&gt;是",资金日记账!$V$4:$V$603,D$4),2))</f>
        <v/>
      </c>
      <c r="E20" s="76" t="str">
        <f ca="1">IF($A20="","",ROUND(SUMIFS(成本费用登记表!$H$4:$H$303,成本费用登记表!$D$4:$D$303,$A20,成本费用登记表!$AC$4:$AC$303,E$4)+SUMIFS(资金日记账!$I$4:$I$603,资金日记账!$G$4:$G$603,$A20,资金日记账!$U$4:$U$603,"&lt;&gt;是",资金日记账!$V$4:$V$603,E$4),2))</f>
        <v/>
      </c>
      <c r="F20" s="76" t="str">
        <f ca="1">IF($A20="","",ROUND(SUMIFS(成本费用登记表!$H$4:$H$303,成本费用登记表!$D$4:$D$303,$A20,成本费用登记表!$AC$4:$AC$303,F$4)+SUMIFS(资金日记账!$I$4:$I$603,资金日记账!$G$4:$G$603,$A20,资金日记账!$U$4:$U$603,"&lt;&gt;是",资金日记账!$V$4:$V$603,F$4),2))</f>
        <v/>
      </c>
      <c r="G20" s="76" t="str">
        <f ca="1">IF($A20="","",ROUND(SUMIFS(成本费用登记表!$H$4:$H$303,成本费用登记表!$D$4:$D$303,$A20,成本费用登记表!$AC$4:$AC$303,G$4)+SUMIFS(资金日记账!$I$4:$I$603,资金日记账!$G$4:$G$603,$A20,资金日记账!$U$4:$U$603,"&lt;&gt;是",资金日记账!$V$4:$V$603,G$4),2))</f>
        <v/>
      </c>
      <c r="H20" s="76" t="str">
        <f ca="1">IF($A20="","",ROUND(SUMIFS(成本费用登记表!$H$4:$H$303,成本费用登记表!$D$4:$D$303,$A20,成本费用登记表!$AC$4:$AC$303,H$4)+SUMIFS(资金日记账!$I$4:$I$603,资金日记账!$G$4:$G$603,$A20,资金日记账!$U$4:$U$603,"&lt;&gt;是",资金日记账!$V$4:$V$603,H$4),2))</f>
        <v/>
      </c>
      <c r="I20" s="76" t="str">
        <f ca="1">IF($A20="","",ROUND(SUMIFS(成本费用登记表!$H$4:$H$303,成本费用登记表!$D$4:$D$303,$A20,成本费用登记表!$AC$4:$AC$303,I$4)+SUMIFS(资金日记账!$I$4:$I$603,资金日记账!$G$4:$G$603,$A20,资金日记账!$U$4:$U$603,"&lt;&gt;是",资金日记账!$V$4:$V$603,I$4),2))</f>
        <v/>
      </c>
      <c r="J20" s="76" t="str">
        <f ca="1">IF($A20="","",ROUND(SUMIFS(成本费用登记表!$H$4:$H$303,成本费用登记表!$D$4:$D$303,$A20,成本费用登记表!$AC$4:$AC$303,J$4)+SUMIFS(资金日记账!$I$4:$I$603,资金日记账!$G$4:$G$603,$A20,资金日记账!$U$4:$U$603,"&lt;&gt;是",资金日记账!$V$4:$V$603,J$4),2))</f>
        <v/>
      </c>
      <c r="K20" s="76" t="str">
        <f ca="1">IF($A20="","",ROUND(SUMIFS(成本费用登记表!$H$4:$H$303,成本费用登记表!$D$4:$D$303,$A20,成本费用登记表!$AC$4:$AC$303,K$4)+SUMIFS(资金日记账!$I$4:$I$603,资金日记账!$G$4:$G$603,$A20,资金日记账!$U$4:$U$603,"&lt;&gt;是",资金日记账!$V$4:$V$603,K$4),2))</f>
        <v/>
      </c>
      <c r="L20" s="76" t="str">
        <f ca="1">IF($A20="","",ROUND(SUMIFS(成本费用登记表!$H$4:$H$303,成本费用登记表!$D$4:$D$303,$A20,成本费用登记表!$AC$4:$AC$303,L$4)+SUMIFS(资金日记账!$I$4:$I$603,资金日记账!$G$4:$G$603,$A20,资金日记账!$U$4:$U$603,"&lt;&gt;是",资金日记账!$V$4:$V$603,L$4),2))</f>
        <v/>
      </c>
      <c r="M20" s="76" t="str">
        <f ca="1">IF($A20="","",ROUND(SUMIFS(成本费用登记表!$H$4:$H$303,成本费用登记表!$D$4:$D$303,$A20,成本费用登记表!$AC$4:$AC$303,M$4)+SUMIFS(资金日记账!$I$4:$I$603,资金日记账!$G$4:$G$603,$A20,资金日记账!$U$4:$U$603,"&lt;&gt;是",资金日记账!$V$4:$V$603,M$4),2))</f>
        <v/>
      </c>
      <c r="N20" s="76" t="str">
        <f ca="1">IF($A20="","",ROUND(SUMIFS(成本费用登记表!$H$4:$H$303,成本费用登记表!$D$4:$D$303,$A20,成本费用登记表!$AC$4:$AC$303,N$4)+SUMIFS(资金日记账!$I$4:$I$603,资金日记账!$G$4:$G$603,$A20,资金日记账!$U$4:$U$603,"&lt;&gt;是",资金日记账!$V$4:$V$603,N$4),2))</f>
        <v/>
      </c>
      <c r="O20" s="76" t="str">
        <f ca="1">IF($A20="","",ROUND(SUMIFS(成本费用登记表!$H$4:$H$303,成本费用登记表!$D$4:$D$303,$A20,成本费用登记表!$AC$4:$AC$303,O$4)+SUMIFS(资金日记账!$I$4:$I$603,资金日记账!$G$4:$G$603,$A20,资金日记账!$U$4:$U$603,"&lt;&gt;是",资金日记账!$V$4:$V$603,O$4),2))</f>
        <v/>
      </c>
      <c r="P20" s="76" t="str">
        <f ca="1">IF($A20="","",ROUND(SUMIFS(成本费用登记表!$H$4:$H$303,成本费用登记表!$D$4:$D$303,$A20,成本费用登记表!$AC$4:$AC$303,P$4)+SUMIFS(资金日记账!$I$4:$I$603,资金日记账!$G$4:$G$603,$A20,资金日记账!$U$4:$U$603,"&lt;&gt;是",资金日记账!$V$4:$V$603,P$4),2))</f>
        <v/>
      </c>
      <c r="Q20" s="76" t="str">
        <f ca="1">IF($A20="","",ROUND(SUMIFS(成本费用登记表!$H$4:$H$303,成本费用登记表!$D$4:$D$303,$A20,成本费用登记表!$AC$4:$AC$303,Q$4)+SUMIFS(资金日记账!$I$4:$I$603,资金日记账!$G$4:$G$603,$A20,资金日记账!$U$4:$U$603,"&lt;&gt;是",资金日记账!$V$4:$V$603,Q$4),2))</f>
        <v/>
      </c>
      <c r="R20" s="76" t="str">
        <f ca="1">IF($A20="","",ROUND(SUMIFS(成本费用登记表!$H$4:$H$303,成本费用登记表!$D$4:$D$303,$A20,成本费用登记表!$AC$4:$AC$303,R$4)+SUMIFS(资金日记账!$I$4:$I$603,资金日记账!$G$4:$G$603,$A20,资金日记账!$U$4:$U$603,"&lt;&gt;是",资金日记账!$V$4:$V$603,R$4),2))</f>
        <v/>
      </c>
      <c r="S20" s="76" t="str">
        <f ca="1">IF($A20="","",ROUND(SUMIFS(成本费用登记表!$H$4:$H$303,成本费用登记表!$D$4:$D$303,$A20,成本费用登记表!$AC$4:$AC$303,S$4)+SUMIFS(资金日记账!$I$4:$I$603,资金日记账!$G$4:$G$603,$A20,资金日记账!$U$4:$U$603,"&lt;&gt;是",资金日记账!$V$4:$V$603,S$4),2))</f>
        <v/>
      </c>
      <c r="T20" s="76" t="str">
        <f ca="1">IF($A20="","",ROUND(SUMIFS(成本费用登记表!$H$4:$H$303,成本费用登记表!$D$4:$D$303,$A20,成本费用登记表!$AC$4:$AC$303,T$4)+SUMIFS(资金日记账!$I$4:$I$603,资金日记账!$G$4:$G$603,$A20,资金日记账!$U$4:$U$603,"&lt;&gt;是",资金日记账!$V$4:$V$603,T$4),2))</f>
        <v/>
      </c>
      <c r="U20" s="76" t="str">
        <f ca="1">IF($A20="","",ROUND(SUMIFS(成本费用登记表!$H$4:$H$303,成本费用登记表!$D$4:$D$303,$A20,成本费用登记表!$AC$4:$AC$303,U$4)+SUMIFS(资金日记账!$I$4:$I$603,资金日记账!$G$4:$G$603,$A20,资金日记账!$U$4:$U$603,"&lt;&gt;是",资金日记账!$V$4:$V$603,U$4),2))</f>
        <v/>
      </c>
      <c r="V20" s="76" t="str">
        <f ca="1">IF($A20="","",ROUND(SUMIFS(成本费用登记表!$H$4:$H$303,成本费用登记表!$D$4:$D$303,$A20,成本费用登记表!$AC$4:$AC$303,V$4)+SUMIFS(资金日记账!$I$4:$I$603,资金日记账!$G$4:$G$603,$A20,资金日记账!$U$4:$U$603,"&lt;&gt;是",资金日记账!$V$4:$V$603,V$4),2))</f>
        <v/>
      </c>
      <c r="W20" s="76" t="str">
        <f ca="1">IF($A20="","",ROUND(SUMIFS(成本费用登记表!$H$4:$H$303,成本费用登记表!$D$4:$D$303,$A20,成本费用登记表!$AC$4:$AC$303,W$4)+SUMIFS(资金日记账!$I$4:$I$603,资金日记账!$G$4:$G$603,$A20,资金日记账!$U$4:$U$603,"&lt;&gt;是",资金日记账!$V$4:$V$603,W$4),2))</f>
        <v/>
      </c>
      <c r="X20" s="76" t="str">
        <f ca="1">IF($A20="","",ROUND(SUMIFS(成本费用登记表!$H$4:$H$303,成本费用登记表!$D$4:$D$303,$A20,成本费用登记表!$AC$4:$AC$303,X$4)+SUMIFS(资金日记账!$I$4:$I$603,资金日记账!$G$4:$G$603,$A20,资金日记账!$U$4:$U$603,"&lt;&gt;是",资金日记账!$V$4:$V$603,X$4),2))</f>
        <v/>
      </c>
      <c r="Y20" s="76" t="str">
        <f ca="1">IF($A20="","",ROUND(SUMIFS(成本费用登记表!$H$4:$H$303,成本费用登记表!$D$4:$D$303,$A20,成本费用登记表!$AC$4:$AC$303,Y$4)+SUMIFS(资金日记账!$I$4:$I$603,资金日记账!$G$4:$G$603,$A20,资金日记账!$U$4:$U$603,"&lt;&gt;是",资金日记账!$V$4:$V$603,Y$4),2))</f>
        <v/>
      </c>
      <c r="Z20" s="87" t="str">
        <f ca="1" t="shared" si="1"/>
        <v/>
      </c>
      <c r="AA20" s="76" t="str">
        <f>IF($A20="","",ROUND(SUMIF(成本费用登记表!$D$4:$D$303,$A20,成本费用登记表!$AA$4:$AA$303)+SUMIFS(资金日记账!$I$4:$I$603,资金日记账!$G$4:$G$603,$A20,资金日记账!$U$4:$U$603,"&lt;&gt;是"),2))</f>
        <v/>
      </c>
      <c r="AB20" s="76" t="str">
        <f ca="1" t="shared" si="2"/>
        <v/>
      </c>
    </row>
    <row r="21" spans="1:28">
      <c r="A21" s="86" t="str">
        <f>IFERROR(INDEX(_自动清单!$X$4:$X$63,17),"")</f>
        <v/>
      </c>
      <c r="B21" s="76" t="str">
        <f ca="1">IF($A21="","",ROUND(SUMIFS(成本费用登记表!$H$4:$H$303,成本费用登记表!$D$4:$D$303,$A21,成本费用登记表!$AC$4:$AC$303,B$4)+SUMIFS(资金日记账!$I$4:$I$603,资金日记账!$G$4:$G$603,$A21,资金日记账!$U$4:$U$603,"&lt;&gt;是",资金日记账!$V$4:$V$603,B$4),2))</f>
        <v/>
      </c>
      <c r="C21" s="76" t="str">
        <f ca="1">IF($A21="","",ROUND(SUMIFS(成本费用登记表!$H$4:$H$303,成本费用登记表!$D$4:$D$303,$A21,成本费用登记表!$AC$4:$AC$303,C$4)+SUMIFS(资金日记账!$I$4:$I$603,资金日记账!$G$4:$G$603,$A21,资金日记账!$U$4:$U$603,"&lt;&gt;是",资金日记账!$V$4:$V$603,C$4),2))</f>
        <v/>
      </c>
      <c r="D21" s="76" t="str">
        <f ca="1">IF($A21="","",ROUND(SUMIFS(成本费用登记表!$H$4:$H$303,成本费用登记表!$D$4:$D$303,$A21,成本费用登记表!$AC$4:$AC$303,D$4)+SUMIFS(资金日记账!$I$4:$I$603,资金日记账!$G$4:$G$603,$A21,资金日记账!$U$4:$U$603,"&lt;&gt;是",资金日记账!$V$4:$V$603,D$4),2))</f>
        <v/>
      </c>
      <c r="E21" s="76" t="str">
        <f ca="1">IF($A21="","",ROUND(SUMIFS(成本费用登记表!$H$4:$H$303,成本费用登记表!$D$4:$D$303,$A21,成本费用登记表!$AC$4:$AC$303,E$4)+SUMIFS(资金日记账!$I$4:$I$603,资金日记账!$G$4:$G$603,$A21,资金日记账!$U$4:$U$603,"&lt;&gt;是",资金日记账!$V$4:$V$603,E$4),2))</f>
        <v/>
      </c>
      <c r="F21" s="76" t="str">
        <f ca="1">IF($A21="","",ROUND(SUMIFS(成本费用登记表!$H$4:$H$303,成本费用登记表!$D$4:$D$303,$A21,成本费用登记表!$AC$4:$AC$303,F$4)+SUMIFS(资金日记账!$I$4:$I$603,资金日记账!$G$4:$G$603,$A21,资金日记账!$U$4:$U$603,"&lt;&gt;是",资金日记账!$V$4:$V$603,F$4),2))</f>
        <v/>
      </c>
      <c r="G21" s="76" t="str">
        <f ca="1">IF($A21="","",ROUND(SUMIFS(成本费用登记表!$H$4:$H$303,成本费用登记表!$D$4:$D$303,$A21,成本费用登记表!$AC$4:$AC$303,G$4)+SUMIFS(资金日记账!$I$4:$I$603,资金日记账!$G$4:$G$603,$A21,资金日记账!$U$4:$U$603,"&lt;&gt;是",资金日记账!$V$4:$V$603,G$4),2))</f>
        <v/>
      </c>
      <c r="H21" s="76" t="str">
        <f ca="1">IF($A21="","",ROUND(SUMIFS(成本费用登记表!$H$4:$H$303,成本费用登记表!$D$4:$D$303,$A21,成本费用登记表!$AC$4:$AC$303,H$4)+SUMIFS(资金日记账!$I$4:$I$603,资金日记账!$G$4:$G$603,$A21,资金日记账!$U$4:$U$603,"&lt;&gt;是",资金日记账!$V$4:$V$603,H$4),2))</f>
        <v/>
      </c>
      <c r="I21" s="76" t="str">
        <f ca="1">IF($A21="","",ROUND(SUMIFS(成本费用登记表!$H$4:$H$303,成本费用登记表!$D$4:$D$303,$A21,成本费用登记表!$AC$4:$AC$303,I$4)+SUMIFS(资金日记账!$I$4:$I$603,资金日记账!$G$4:$G$603,$A21,资金日记账!$U$4:$U$603,"&lt;&gt;是",资金日记账!$V$4:$V$603,I$4),2))</f>
        <v/>
      </c>
      <c r="J21" s="76" t="str">
        <f ca="1">IF($A21="","",ROUND(SUMIFS(成本费用登记表!$H$4:$H$303,成本费用登记表!$D$4:$D$303,$A21,成本费用登记表!$AC$4:$AC$303,J$4)+SUMIFS(资金日记账!$I$4:$I$603,资金日记账!$G$4:$G$603,$A21,资金日记账!$U$4:$U$603,"&lt;&gt;是",资金日记账!$V$4:$V$603,J$4),2))</f>
        <v/>
      </c>
      <c r="K21" s="76" t="str">
        <f ca="1">IF($A21="","",ROUND(SUMIFS(成本费用登记表!$H$4:$H$303,成本费用登记表!$D$4:$D$303,$A21,成本费用登记表!$AC$4:$AC$303,K$4)+SUMIFS(资金日记账!$I$4:$I$603,资金日记账!$G$4:$G$603,$A21,资金日记账!$U$4:$U$603,"&lt;&gt;是",资金日记账!$V$4:$V$603,K$4),2))</f>
        <v/>
      </c>
      <c r="L21" s="76" t="str">
        <f ca="1">IF($A21="","",ROUND(SUMIFS(成本费用登记表!$H$4:$H$303,成本费用登记表!$D$4:$D$303,$A21,成本费用登记表!$AC$4:$AC$303,L$4)+SUMIFS(资金日记账!$I$4:$I$603,资金日记账!$G$4:$G$603,$A21,资金日记账!$U$4:$U$603,"&lt;&gt;是",资金日记账!$V$4:$V$603,L$4),2))</f>
        <v/>
      </c>
      <c r="M21" s="76" t="str">
        <f ca="1">IF($A21="","",ROUND(SUMIFS(成本费用登记表!$H$4:$H$303,成本费用登记表!$D$4:$D$303,$A21,成本费用登记表!$AC$4:$AC$303,M$4)+SUMIFS(资金日记账!$I$4:$I$603,资金日记账!$G$4:$G$603,$A21,资金日记账!$U$4:$U$603,"&lt;&gt;是",资金日记账!$V$4:$V$603,M$4),2))</f>
        <v/>
      </c>
      <c r="N21" s="76" t="str">
        <f ca="1">IF($A21="","",ROUND(SUMIFS(成本费用登记表!$H$4:$H$303,成本费用登记表!$D$4:$D$303,$A21,成本费用登记表!$AC$4:$AC$303,N$4)+SUMIFS(资金日记账!$I$4:$I$603,资金日记账!$G$4:$G$603,$A21,资金日记账!$U$4:$U$603,"&lt;&gt;是",资金日记账!$V$4:$V$603,N$4),2))</f>
        <v/>
      </c>
      <c r="O21" s="76" t="str">
        <f ca="1">IF($A21="","",ROUND(SUMIFS(成本费用登记表!$H$4:$H$303,成本费用登记表!$D$4:$D$303,$A21,成本费用登记表!$AC$4:$AC$303,O$4)+SUMIFS(资金日记账!$I$4:$I$603,资金日记账!$G$4:$G$603,$A21,资金日记账!$U$4:$U$603,"&lt;&gt;是",资金日记账!$V$4:$V$603,O$4),2))</f>
        <v/>
      </c>
      <c r="P21" s="76" t="str">
        <f ca="1">IF($A21="","",ROUND(SUMIFS(成本费用登记表!$H$4:$H$303,成本费用登记表!$D$4:$D$303,$A21,成本费用登记表!$AC$4:$AC$303,P$4)+SUMIFS(资金日记账!$I$4:$I$603,资金日记账!$G$4:$G$603,$A21,资金日记账!$U$4:$U$603,"&lt;&gt;是",资金日记账!$V$4:$V$603,P$4),2))</f>
        <v/>
      </c>
      <c r="Q21" s="76" t="str">
        <f ca="1">IF($A21="","",ROUND(SUMIFS(成本费用登记表!$H$4:$H$303,成本费用登记表!$D$4:$D$303,$A21,成本费用登记表!$AC$4:$AC$303,Q$4)+SUMIFS(资金日记账!$I$4:$I$603,资金日记账!$G$4:$G$603,$A21,资金日记账!$U$4:$U$603,"&lt;&gt;是",资金日记账!$V$4:$V$603,Q$4),2))</f>
        <v/>
      </c>
      <c r="R21" s="76" t="str">
        <f ca="1">IF($A21="","",ROUND(SUMIFS(成本费用登记表!$H$4:$H$303,成本费用登记表!$D$4:$D$303,$A21,成本费用登记表!$AC$4:$AC$303,R$4)+SUMIFS(资金日记账!$I$4:$I$603,资金日记账!$G$4:$G$603,$A21,资金日记账!$U$4:$U$603,"&lt;&gt;是",资金日记账!$V$4:$V$603,R$4),2))</f>
        <v/>
      </c>
      <c r="S21" s="76" t="str">
        <f ca="1">IF($A21="","",ROUND(SUMIFS(成本费用登记表!$H$4:$H$303,成本费用登记表!$D$4:$D$303,$A21,成本费用登记表!$AC$4:$AC$303,S$4)+SUMIFS(资金日记账!$I$4:$I$603,资金日记账!$G$4:$G$603,$A21,资金日记账!$U$4:$U$603,"&lt;&gt;是",资金日记账!$V$4:$V$603,S$4),2))</f>
        <v/>
      </c>
      <c r="T21" s="76" t="str">
        <f ca="1">IF($A21="","",ROUND(SUMIFS(成本费用登记表!$H$4:$H$303,成本费用登记表!$D$4:$D$303,$A21,成本费用登记表!$AC$4:$AC$303,T$4)+SUMIFS(资金日记账!$I$4:$I$603,资金日记账!$G$4:$G$603,$A21,资金日记账!$U$4:$U$603,"&lt;&gt;是",资金日记账!$V$4:$V$603,T$4),2))</f>
        <v/>
      </c>
      <c r="U21" s="76" t="str">
        <f ca="1">IF($A21="","",ROUND(SUMIFS(成本费用登记表!$H$4:$H$303,成本费用登记表!$D$4:$D$303,$A21,成本费用登记表!$AC$4:$AC$303,U$4)+SUMIFS(资金日记账!$I$4:$I$603,资金日记账!$G$4:$G$603,$A21,资金日记账!$U$4:$U$603,"&lt;&gt;是",资金日记账!$V$4:$V$603,U$4),2))</f>
        <v/>
      </c>
      <c r="V21" s="76" t="str">
        <f ca="1">IF($A21="","",ROUND(SUMIFS(成本费用登记表!$H$4:$H$303,成本费用登记表!$D$4:$D$303,$A21,成本费用登记表!$AC$4:$AC$303,V$4)+SUMIFS(资金日记账!$I$4:$I$603,资金日记账!$G$4:$G$603,$A21,资金日记账!$U$4:$U$603,"&lt;&gt;是",资金日记账!$V$4:$V$603,V$4),2))</f>
        <v/>
      </c>
      <c r="W21" s="76" t="str">
        <f ca="1">IF($A21="","",ROUND(SUMIFS(成本费用登记表!$H$4:$H$303,成本费用登记表!$D$4:$D$303,$A21,成本费用登记表!$AC$4:$AC$303,W$4)+SUMIFS(资金日记账!$I$4:$I$603,资金日记账!$G$4:$G$603,$A21,资金日记账!$U$4:$U$603,"&lt;&gt;是",资金日记账!$V$4:$V$603,W$4),2))</f>
        <v/>
      </c>
      <c r="X21" s="76" t="str">
        <f ca="1">IF($A21="","",ROUND(SUMIFS(成本费用登记表!$H$4:$H$303,成本费用登记表!$D$4:$D$303,$A21,成本费用登记表!$AC$4:$AC$303,X$4)+SUMIFS(资金日记账!$I$4:$I$603,资金日记账!$G$4:$G$603,$A21,资金日记账!$U$4:$U$603,"&lt;&gt;是",资金日记账!$V$4:$V$603,X$4),2))</f>
        <v/>
      </c>
      <c r="Y21" s="76" t="str">
        <f ca="1">IF($A21="","",ROUND(SUMIFS(成本费用登记表!$H$4:$H$303,成本费用登记表!$D$4:$D$303,$A21,成本费用登记表!$AC$4:$AC$303,Y$4)+SUMIFS(资金日记账!$I$4:$I$603,资金日记账!$G$4:$G$603,$A21,资金日记账!$U$4:$U$603,"&lt;&gt;是",资金日记账!$V$4:$V$603,Y$4),2))</f>
        <v/>
      </c>
      <c r="Z21" s="87" t="str">
        <f ca="1" t="shared" si="1"/>
        <v/>
      </c>
      <c r="AA21" s="76" t="str">
        <f>IF($A21="","",ROUND(SUMIF(成本费用登记表!$D$4:$D$303,$A21,成本费用登记表!$AA$4:$AA$303)+SUMIFS(资金日记账!$I$4:$I$603,资金日记账!$G$4:$G$603,$A21,资金日记账!$U$4:$U$603,"&lt;&gt;是"),2))</f>
        <v/>
      </c>
      <c r="AB21" s="76" t="str">
        <f ca="1" t="shared" si="2"/>
        <v/>
      </c>
    </row>
    <row r="22" spans="1:28">
      <c r="A22" s="86" t="str">
        <f>IFERROR(INDEX(_自动清单!$X$4:$X$63,18),"")</f>
        <v/>
      </c>
      <c r="B22" s="76" t="str">
        <f ca="1">IF($A22="","",ROUND(SUMIFS(成本费用登记表!$H$4:$H$303,成本费用登记表!$D$4:$D$303,$A22,成本费用登记表!$AC$4:$AC$303,B$4)+SUMIFS(资金日记账!$I$4:$I$603,资金日记账!$G$4:$G$603,$A22,资金日记账!$U$4:$U$603,"&lt;&gt;是",资金日记账!$V$4:$V$603,B$4),2))</f>
        <v/>
      </c>
      <c r="C22" s="76" t="str">
        <f ca="1">IF($A22="","",ROUND(SUMIFS(成本费用登记表!$H$4:$H$303,成本费用登记表!$D$4:$D$303,$A22,成本费用登记表!$AC$4:$AC$303,C$4)+SUMIFS(资金日记账!$I$4:$I$603,资金日记账!$G$4:$G$603,$A22,资金日记账!$U$4:$U$603,"&lt;&gt;是",资金日记账!$V$4:$V$603,C$4),2))</f>
        <v/>
      </c>
      <c r="D22" s="76" t="str">
        <f ca="1">IF($A22="","",ROUND(SUMIFS(成本费用登记表!$H$4:$H$303,成本费用登记表!$D$4:$D$303,$A22,成本费用登记表!$AC$4:$AC$303,D$4)+SUMIFS(资金日记账!$I$4:$I$603,资金日记账!$G$4:$G$603,$A22,资金日记账!$U$4:$U$603,"&lt;&gt;是",资金日记账!$V$4:$V$603,D$4),2))</f>
        <v/>
      </c>
      <c r="E22" s="76" t="str">
        <f ca="1">IF($A22="","",ROUND(SUMIFS(成本费用登记表!$H$4:$H$303,成本费用登记表!$D$4:$D$303,$A22,成本费用登记表!$AC$4:$AC$303,E$4)+SUMIFS(资金日记账!$I$4:$I$603,资金日记账!$G$4:$G$603,$A22,资金日记账!$U$4:$U$603,"&lt;&gt;是",资金日记账!$V$4:$V$603,E$4),2))</f>
        <v/>
      </c>
      <c r="F22" s="76" t="str">
        <f ca="1">IF($A22="","",ROUND(SUMIFS(成本费用登记表!$H$4:$H$303,成本费用登记表!$D$4:$D$303,$A22,成本费用登记表!$AC$4:$AC$303,F$4)+SUMIFS(资金日记账!$I$4:$I$603,资金日记账!$G$4:$G$603,$A22,资金日记账!$U$4:$U$603,"&lt;&gt;是",资金日记账!$V$4:$V$603,F$4),2))</f>
        <v/>
      </c>
      <c r="G22" s="76" t="str">
        <f ca="1">IF($A22="","",ROUND(SUMIFS(成本费用登记表!$H$4:$H$303,成本费用登记表!$D$4:$D$303,$A22,成本费用登记表!$AC$4:$AC$303,G$4)+SUMIFS(资金日记账!$I$4:$I$603,资金日记账!$G$4:$G$603,$A22,资金日记账!$U$4:$U$603,"&lt;&gt;是",资金日记账!$V$4:$V$603,G$4),2))</f>
        <v/>
      </c>
      <c r="H22" s="76" t="str">
        <f ca="1">IF($A22="","",ROUND(SUMIFS(成本费用登记表!$H$4:$H$303,成本费用登记表!$D$4:$D$303,$A22,成本费用登记表!$AC$4:$AC$303,H$4)+SUMIFS(资金日记账!$I$4:$I$603,资金日记账!$G$4:$G$603,$A22,资金日记账!$U$4:$U$603,"&lt;&gt;是",资金日记账!$V$4:$V$603,H$4),2))</f>
        <v/>
      </c>
      <c r="I22" s="76" t="str">
        <f ca="1">IF($A22="","",ROUND(SUMIFS(成本费用登记表!$H$4:$H$303,成本费用登记表!$D$4:$D$303,$A22,成本费用登记表!$AC$4:$AC$303,I$4)+SUMIFS(资金日记账!$I$4:$I$603,资金日记账!$G$4:$G$603,$A22,资金日记账!$U$4:$U$603,"&lt;&gt;是",资金日记账!$V$4:$V$603,I$4),2))</f>
        <v/>
      </c>
      <c r="J22" s="76" t="str">
        <f ca="1">IF($A22="","",ROUND(SUMIFS(成本费用登记表!$H$4:$H$303,成本费用登记表!$D$4:$D$303,$A22,成本费用登记表!$AC$4:$AC$303,J$4)+SUMIFS(资金日记账!$I$4:$I$603,资金日记账!$G$4:$G$603,$A22,资金日记账!$U$4:$U$603,"&lt;&gt;是",资金日记账!$V$4:$V$603,J$4),2))</f>
        <v/>
      </c>
      <c r="K22" s="76" t="str">
        <f ca="1">IF($A22="","",ROUND(SUMIFS(成本费用登记表!$H$4:$H$303,成本费用登记表!$D$4:$D$303,$A22,成本费用登记表!$AC$4:$AC$303,K$4)+SUMIFS(资金日记账!$I$4:$I$603,资金日记账!$G$4:$G$603,$A22,资金日记账!$U$4:$U$603,"&lt;&gt;是",资金日记账!$V$4:$V$603,K$4),2))</f>
        <v/>
      </c>
      <c r="L22" s="76" t="str">
        <f ca="1">IF($A22="","",ROUND(SUMIFS(成本费用登记表!$H$4:$H$303,成本费用登记表!$D$4:$D$303,$A22,成本费用登记表!$AC$4:$AC$303,L$4)+SUMIFS(资金日记账!$I$4:$I$603,资金日记账!$G$4:$G$603,$A22,资金日记账!$U$4:$U$603,"&lt;&gt;是",资金日记账!$V$4:$V$603,L$4),2))</f>
        <v/>
      </c>
      <c r="M22" s="76" t="str">
        <f ca="1">IF($A22="","",ROUND(SUMIFS(成本费用登记表!$H$4:$H$303,成本费用登记表!$D$4:$D$303,$A22,成本费用登记表!$AC$4:$AC$303,M$4)+SUMIFS(资金日记账!$I$4:$I$603,资金日记账!$G$4:$G$603,$A22,资金日记账!$U$4:$U$603,"&lt;&gt;是",资金日记账!$V$4:$V$603,M$4),2))</f>
        <v/>
      </c>
      <c r="N22" s="76" t="str">
        <f ca="1">IF($A22="","",ROUND(SUMIFS(成本费用登记表!$H$4:$H$303,成本费用登记表!$D$4:$D$303,$A22,成本费用登记表!$AC$4:$AC$303,N$4)+SUMIFS(资金日记账!$I$4:$I$603,资金日记账!$G$4:$G$603,$A22,资金日记账!$U$4:$U$603,"&lt;&gt;是",资金日记账!$V$4:$V$603,N$4),2))</f>
        <v/>
      </c>
      <c r="O22" s="76" t="str">
        <f ca="1">IF($A22="","",ROUND(SUMIFS(成本费用登记表!$H$4:$H$303,成本费用登记表!$D$4:$D$303,$A22,成本费用登记表!$AC$4:$AC$303,O$4)+SUMIFS(资金日记账!$I$4:$I$603,资金日记账!$G$4:$G$603,$A22,资金日记账!$U$4:$U$603,"&lt;&gt;是",资金日记账!$V$4:$V$603,O$4),2))</f>
        <v/>
      </c>
      <c r="P22" s="76" t="str">
        <f ca="1">IF($A22="","",ROUND(SUMIFS(成本费用登记表!$H$4:$H$303,成本费用登记表!$D$4:$D$303,$A22,成本费用登记表!$AC$4:$AC$303,P$4)+SUMIFS(资金日记账!$I$4:$I$603,资金日记账!$G$4:$G$603,$A22,资金日记账!$U$4:$U$603,"&lt;&gt;是",资金日记账!$V$4:$V$603,P$4),2))</f>
        <v/>
      </c>
      <c r="Q22" s="76" t="str">
        <f ca="1">IF($A22="","",ROUND(SUMIFS(成本费用登记表!$H$4:$H$303,成本费用登记表!$D$4:$D$303,$A22,成本费用登记表!$AC$4:$AC$303,Q$4)+SUMIFS(资金日记账!$I$4:$I$603,资金日记账!$G$4:$G$603,$A22,资金日记账!$U$4:$U$603,"&lt;&gt;是",资金日记账!$V$4:$V$603,Q$4),2))</f>
        <v/>
      </c>
      <c r="R22" s="76" t="str">
        <f ca="1">IF($A22="","",ROUND(SUMIFS(成本费用登记表!$H$4:$H$303,成本费用登记表!$D$4:$D$303,$A22,成本费用登记表!$AC$4:$AC$303,R$4)+SUMIFS(资金日记账!$I$4:$I$603,资金日记账!$G$4:$G$603,$A22,资金日记账!$U$4:$U$603,"&lt;&gt;是",资金日记账!$V$4:$V$603,R$4),2))</f>
        <v/>
      </c>
      <c r="S22" s="76" t="str">
        <f ca="1">IF($A22="","",ROUND(SUMIFS(成本费用登记表!$H$4:$H$303,成本费用登记表!$D$4:$D$303,$A22,成本费用登记表!$AC$4:$AC$303,S$4)+SUMIFS(资金日记账!$I$4:$I$603,资金日记账!$G$4:$G$603,$A22,资金日记账!$U$4:$U$603,"&lt;&gt;是",资金日记账!$V$4:$V$603,S$4),2))</f>
        <v/>
      </c>
      <c r="T22" s="76" t="str">
        <f ca="1">IF($A22="","",ROUND(SUMIFS(成本费用登记表!$H$4:$H$303,成本费用登记表!$D$4:$D$303,$A22,成本费用登记表!$AC$4:$AC$303,T$4)+SUMIFS(资金日记账!$I$4:$I$603,资金日记账!$G$4:$G$603,$A22,资金日记账!$U$4:$U$603,"&lt;&gt;是",资金日记账!$V$4:$V$603,T$4),2))</f>
        <v/>
      </c>
      <c r="U22" s="76" t="str">
        <f ca="1">IF($A22="","",ROUND(SUMIFS(成本费用登记表!$H$4:$H$303,成本费用登记表!$D$4:$D$303,$A22,成本费用登记表!$AC$4:$AC$303,U$4)+SUMIFS(资金日记账!$I$4:$I$603,资金日记账!$G$4:$G$603,$A22,资金日记账!$U$4:$U$603,"&lt;&gt;是",资金日记账!$V$4:$V$603,U$4),2))</f>
        <v/>
      </c>
      <c r="V22" s="76" t="str">
        <f ca="1">IF($A22="","",ROUND(SUMIFS(成本费用登记表!$H$4:$H$303,成本费用登记表!$D$4:$D$303,$A22,成本费用登记表!$AC$4:$AC$303,V$4)+SUMIFS(资金日记账!$I$4:$I$603,资金日记账!$G$4:$G$603,$A22,资金日记账!$U$4:$U$603,"&lt;&gt;是",资金日记账!$V$4:$V$603,V$4),2))</f>
        <v/>
      </c>
      <c r="W22" s="76" t="str">
        <f ca="1">IF($A22="","",ROUND(SUMIFS(成本费用登记表!$H$4:$H$303,成本费用登记表!$D$4:$D$303,$A22,成本费用登记表!$AC$4:$AC$303,W$4)+SUMIFS(资金日记账!$I$4:$I$603,资金日记账!$G$4:$G$603,$A22,资金日记账!$U$4:$U$603,"&lt;&gt;是",资金日记账!$V$4:$V$603,W$4),2))</f>
        <v/>
      </c>
      <c r="X22" s="76" t="str">
        <f ca="1">IF($A22="","",ROUND(SUMIFS(成本费用登记表!$H$4:$H$303,成本费用登记表!$D$4:$D$303,$A22,成本费用登记表!$AC$4:$AC$303,X$4)+SUMIFS(资金日记账!$I$4:$I$603,资金日记账!$G$4:$G$603,$A22,资金日记账!$U$4:$U$603,"&lt;&gt;是",资金日记账!$V$4:$V$603,X$4),2))</f>
        <v/>
      </c>
      <c r="Y22" s="76" t="str">
        <f ca="1">IF($A22="","",ROUND(SUMIFS(成本费用登记表!$H$4:$H$303,成本费用登记表!$D$4:$D$303,$A22,成本费用登记表!$AC$4:$AC$303,Y$4)+SUMIFS(资金日记账!$I$4:$I$603,资金日记账!$G$4:$G$603,$A22,资金日记账!$U$4:$U$603,"&lt;&gt;是",资金日记账!$V$4:$V$603,Y$4),2))</f>
        <v/>
      </c>
      <c r="Z22" s="87" t="str">
        <f ca="1" t="shared" si="1"/>
        <v/>
      </c>
      <c r="AA22" s="76" t="str">
        <f>IF($A22="","",ROUND(SUMIF(成本费用登记表!$D$4:$D$303,$A22,成本费用登记表!$AA$4:$AA$303)+SUMIFS(资金日记账!$I$4:$I$603,资金日记账!$G$4:$G$603,$A22,资金日记账!$U$4:$U$603,"&lt;&gt;是"),2))</f>
        <v/>
      </c>
      <c r="AB22" s="76" t="str">
        <f ca="1" t="shared" si="2"/>
        <v/>
      </c>
    </row>
    <row r="23" spans="1:28">
      <c r="A23" s="86" t="str">
        <f>IFERROR(INDEX(_自动清单!$X$4:$X$63,19),"")</f>
        <v/>
      </c>
      <c r="B23" s="76" t="str">
        <f ca="1">IF($A23="","",ROUND(SUMIFS(成本费用登记表!$H$4:$H$303,成本费用登记表!$D$4:$D$303,$A23,成本费用登记表!$AC$4:$AC$303,B$4)+SUMIFS(资金日记账!$I$4:$I$603,资金日记账!$G$4:$G$603,$A23,资金日记账!$U$4:$U$603,"&lt;&gt;是",资金日记账!$V$4:$V$603,B$4),2))</f>
        <v/>
      </c>
      <c r="C23" s="76" t="str">
        <f ca="1">IF($A23="","",ROUND(SUMIFS(成本费用登记表!$H$4:$H$303,成本费用登记表!$D$4:$D$303,$A23,成本费用登记表!$AC$4:$AC$303,C$4)+SUMIFS(资金日记账!$I$4:$I$603,资金日记账!$G$4:$G$603,$A23,资金日记账!$U$4:$U$603,"&lt;&gt;是",资金日记账!$V$4:$V$603,C$4),2))</f>
        <v/>
      </c>
      <c r="D23" s="76" t="str">
        <f ca="1">IF($A23="","",ROUND(SUMIFS(成本费用登记表!$H$4:$H$303,成本费用登记表!$D$4:$D$303,$A23,成本费用登记表!$AC$4:$AC$303,D$4)+SUMIFS(资金日记账!$I$4:$I$603,资金日记账!$G$4:$G$603,$A23,资金日记账!$U$4:$U$603,"&lt;&gt;是",资金日记账!$V$4:$V$603,D$4),2))</f>
        <v/>
      </c>
      <c r="E23" s="76" t="str">
        <f ca="1">IF($A23="","",ROUND(SUMIFS(成本费用登记表!$H$4:$H$303,成本费用登记表!$D$4:$D$303,$A23,成本费用登记表!$AC$4:$AC$303,E$4)+SUMIFS(资金日记账!$I$4:$I$603,资金日记账!$G$4:$G$603,$A23,资金日记账!$U$4:$U$603,"&lt;&gt;是",资金日记账!$V$4:$V$603,E$4),2))</f>
        <v/>
      </c>
      <c r="F23" s="76" t="str">
        <f ca="1">IF($A23="","",ROUND(SUMIFS(成本费用登记表!$H$4:$H$303,成本费用登记表!$D$4:$D$303,$A23,成本费用登记表!$AC$4:$AC$303,F$4)+SUMIFS(资金日记账!$I$4:$I$603,资金日记账!$G$4:$G$603,$A23,资金日记账!$U$4:$U$603,"&lt;&gt;是",资金日记账!$V$4:$V$603,F$4),2))</f>
        <v/>
      </c>
      <c r="G23" s="76" t="str">
        <f ca="1">IF($A23="","",ROUND(SUMIFS(成本费用登记表!$H$4:$H$303,成本费用登记表!$D$4:$D$303,$A23,成本费用登记表!$AC$4:$AC$303,G$4)+SUMIFS(资金日记账!$I$4:$I$603,资金日记账!$G$4:$G$603,$A23,资金日记账!$U$4:$U$603,"&lt;&gt;是",资金日记账!$V$4:$V$603,G$4),2))</f>
        <v/>
      </c>
      <c r="H23" s="76" t="str">
        <f ca="1">IF($A23="","",ROUND(SUMIFS(成本费用登记表!$H$4:$H$303,成本费用登记表!$D$4:$D$303,$A23,成本费用登记表!$AC$4:$AC$303,H$4)+SUMIFS(资金日记账!$I$4:$I$603,资金日记账!$G$4:$G$603,$A23,资金日记账!$U$4:$U$603,"&lt;&gt;是",资金日记账!$V$4:$V$603,H$4),2))</f>
        <v/>
      </c>
      <c r="I23" s="76" t="str">
        <f ca="1">IF($A23="","",ROUND(SUMIFS(成本费用登记表!$H$4:$H$303,成本费用登记表!$D$4:$D$303,$A23,成本费用登记表!$AC$4:$AC$303,I$4)+SUMIFS(资金日记账!$I$4:$I$603,资金日记账!$G$4:$G$603,$A23,资金日记账!$U$4:$U$603,"&lt;&gt;是",资金日记账!$V$4:$V$603,I$4),2))</f>
        <v/>
      </c>
      <c r="J23" s="76" t="str">
        <f ca="1">IF($A23="","",ROUND(SUMIFS(成本费用登记表!$H$4:$H$303,成本费用登记表!$D$4:$D$303,$A23,成本费用登记表!$AC$4:$AC$303,J$4)+SUMIFS(资金日记账!$I$4:$I$603,资金日记账!$G$4:$G$603,$A23,资金日记账!$U$4:$U$603,"&lt;&gt;是",资金日记账!$V$4:$V$603,J$4),2))</f>
        <v/>
      </c>
      <c r="K23" s="76" t="str">
        <f ca="1">IF($A23="","",ROUND(SUMIFS(成本费用登记表!$H$4:$H$303,成本费用登记表!$D$4:$D$303,$A23,成本费用登记表!$AC$4:$AC$303,K$4)+SUMIFS(资金日记账!$I$4:$I$603,资金日记账!$G$4:$G$603,$A23,资金日记账!$U$4:$U$603,"&lt;&gt;是",资金日记账!$V$4:$V$603,K$4),2))</f>
        <v/>
      </c>
      <c r="L23" s="76" t="str">
        <f ca="1">IF($A23="","",ROUND(SUMIFS(成本费用登记表!$H$4:$H$303,成本费用登记表!$D$4:$D$303,$A23,成本费用登记表!$AC$4:$AC$303,L$4)+SUMIFS(资金日记账!$I$4:$I$603,资金日记账!$G$4:$G$603,$A23,资金日记账!$U$4:$U$603,"&lt;&gt;是",资金日记账!$V$4:$V$603,L$4),2))</f>
        <v/>
      </c>
      <c r="M23" s="76" t="str">
        <f ca="1">IF($A23="","",ROUND(SUMIFS(成本费用登记表!$H$4:$H$303,成本费用登记表!$D$4:$D$303,$A23,成本费用登记表!$AC$4:$AC$303,M$4)+SUMIFS(资金日记账!$I$4:$I$603,资金日记账!$G$4:$G$603,$A23,资金日记账!$U$4:$U$603,"&lt;&gt;是",资金日记账!$V$4:$V$603,M$4),2))</f>
        <v/>
      </c>
      <c r="N23" s="76" t="str">
        <f ca="1">IF($A23="","",ROUND(SUMIFS(成本费用登记表!$H$4:$H$303,成本费用登记表!$D$4:$D$303,$A23,成本费用登记表!$AC$4:$AC$303,N$4)+SUMIFS(资金日记账!$I$4:$I$603,资金日记账!$G$4:$G$603,$A23,资金日记账!$U$4:$U$603,"&lt;&gt;是",资金日记账!$V$4:$V$603,N$4),2))</f>
        <v/>
      </c>
      <c r="O23" s="76" t="str">
        <f ca="1">IF($A23="","",ROUND(SUMIFS(成本费用登记表!$H$4:$H$303,成本费用登记表!$D$4:$D$303,$A23,成本费用登记表!$AC$4:$AC$303,O$4)+SUMIFS(资金日记账!$I$4:$I$603,资金日记账!$G$4:$G$603,$A23,资金日记账!$U$4:$U$603,"&lt;&gt;是",资金日记账!$V$4:$V$603,O$4),2))</f>
        <v/>
      </c>
      <c r="P23" s="76" t="str">
        <f ca="1">IF($A23="","",ROUND(SUMIFS(成本费用登记表!$H$4:$H$303,成本费用登记表!$D$4:$D$303,$A23,成本费用登记表!$AC$4:$AC$303,P$4)+SUMIFS(资金日记账!$I$4:$I$603,资金日记账!$G$4:$G$603,$A23,资金日记账!$U$4:$U$603,"&lt;&gt;是",资金日记账!$V$4:$V$603,P$4),2))</f>
        <v/>
      </c>
      <c r="Q23" s="76" t="str">
        <f ca="1">IF($A23="","",ROUND(SUMIFS(成本费用登记表!$H$4:$H$303,成本费用登记表!$D$4:$D$303,$A23,成本费用登记表!$AC$4:$AC$303,Q$4)+SUMIFS(资金日记账!$I$4:$I$603,资金日记账!$G$4:$G$603,$A23,资金日记账!$U$4:$U$603,"&lt;&gt;是",资金日记账!$V$4:$V$603,Q$4),2))</f>
        <v/>
      </c>
      <c r="R23" s="76" t="str">
        <f ca="1">IF($A23="","",ROUND(SUMIFS(成本费用登记表!$H$4:$H$303,成本费用登记表!$D$4:$D$303,$A23,成本费用登记表!$AC$4:$AC$303,R$4)+SUMIFS(资金日记账!$I$4:$I$603,资金日记账!$G$4:$G$603,$A23,资金日记账!$U$4:$U$603,"&lt;&gt;是",资金日记账!$V$4:$V$603,R$4),2))</f>
        <v/>
      </c>
      <c r="S23" s="76" t="str">
        <f ca="1">IF($A23="","",ROUND(SUMIFS(成本费用登记表!$H$4:$H$303,成本费用登记表!$D$4:$D$303,$A23,成本费用登记表!$AC$4:$AC$303,S$4)+SUMIFS(资金日记账!$I$4:$I$603,资金日记账!$G$4:$G$603,$A23,资金日记账!$U$4:$U$603,"&lt;&gt;是",资金日记账!$V$4:$V$603,S$4),2))</f>
        <v/>
      </c>
      <c r="T23" s="76" t="str">
        <f ca="1">IF($A23="","",ROUND(SUMIFS(成本费用登记表!$H$4:$H$303,成本费用登记表!$D$4:$D$303,$A23,成本费用登记表!$AC$4:$AC$303,T$4)+SUMIFS(资金日记账!$I$4:$I$603,资金日记账!$G$4:$G$603,$A23,资金日记账!$U$4:$U$603,"&lt;&gt;是",资金日记账!$V$4:$V$603,T$4),2))</f>
        <v/>
      </c>
      <c r="U23" s="76" t="str">
        <f ca="1">IF($A23="","",ROUND(SUMIFS(成本费用登记表!$H$4:$H$303,成本费用登记表!$D$4:$D$303,$A23,成本费用登记表!$AC$4:$AC$303,U$4)+SUMIFS(资金日记账!$I$4:$I$603,资金日记账!$G$4:$G$603,$A23,资金日记账!$U$4:$U$603,"&lt;&gt;是",资金日记账!$V$4:$V$603,U$4),2))</f>
        <v/>
      </c>
      <c r="V23" s="76" t="str">
        <f ca="1">IF($A23="","",ROUND(SUMIFS(成本费用登记表!$H$4:$H$303,成本费用登记表!$D$4:$D$303,$A23,成本费用登记表!$AC$4:$AC$303,V$4)+SUMIFS(资金日记账!$I$4:$I$603,资金日记账!$G$4:$G$603,$A23,资金日记账!$U$4:$U$603,"&lt;&gt;是",资金日记账!$V$4:$V$603,V$4),2))</f>
        <v/>
      </c>
      <c r="W23" s="76" t="str">
        <f ca="1">IF($A23="","",ROUND(SUMIFS(成本费用登记表!$H$4:$H$303,成本费用登记表!$D$4:$D$303,$A23,成本费用登记表!$AC$4:$AC$303,W$4)+SUMIFS(资金日记账!$I$4:$I$603,资金日记账!$G$4:$G$603,$A23,资金日记账!$U$4:$U$603,"&lt;&gt;是",资金日记账!$V$4:$V$603,W$4),2))</f>
        <v/>
      </c>
      <c r="X23" s="76" t="str">
        <f ca="1">IF($A23="","",ROUND(SUMIFS(成本费用登记表!$H$4:$H$303,成本费用登记表!$D$4:$D$303,$A23,成本费用登记表!$AC$4:$AC$303,X$4)+SUMIFS(资金日记账!$I$4:$I$603,资金日记账!$G$4:$G$603,$A23,资金日记账!$U$4:$U$603,"&lt;&gt;是",资金日记账!$V$4:$V$603,X$4),2))</f>
        <v/>
      </c>
      <c r="Y23" s="76" t="str">
        <f ca="1">IF($A23="","",ROUND(SUMIFS(成本费用登记表!$H$4:$H$303,成本费用登记表!$D$4:$D$303,$A23,成本费用登记表!$AC$4:$AC$303,Y$4)+SUMIFS(资金日记账!$I$4:$I$603,资金日记账!$G$4:$G$603,$A23,资金日记账!$U$4:$U$603,"&lt;&gt;是",资金日记账!$V$4:$V$603,Y$4),2))</f>
        <v/>
      </c>
      <c r="Z23" s="87" t="str">
        <f ca="1" t="shared" si="1"/>
        <v/>
      </c>
      <c r="AA23" s="76" t="str">
        <f>IF($A23="","",ROUND(SUMIF(成本费用登记表!$D$4:$D$303,$A23,成本费用登记表!$AA$4:$AA$303)+SUMIFS(资金日记账!$I$4:$I$603,资金日记账!$G$4:$G$603,$A23,资金日记账!$U$4:$U$603,"&lt;&gt;是"),2))</f>
        <v/>
      </c>
      <c r="AB23" s="76" t="str">
        <f ca="1" t="shared" si="2"/>
        <v/>
      </c>
    </row>
    <row r="24" spans="1:28">
      <c r="A24" s="86" t="str">
        <f>IFERROR(INDEX(_自动清单!$X$4:$X$63,20),"")</f>
        <v/>
      </c>
      <c r="B24" s="76" t="str">
        <f ca="1">IF($A24="","",ROUND(SUMIFS(成本费用登记表!$H$4:$H$303,成本费用登记表!$D$4:$D$303,$A24,成本费用登记表!$AC$4:$AC$303,B$4)+SUMIFS(资金日记账!$I$4:$I$603,资金日记账!$G$4:$G$603,$A24,资金日记账!$U$4:$U$603,"&lt;&gt;是",资金日记账!$V$4:$V$603,B$4),2))</f>
        <v/>
      </c>
      <c r="C24" s="76" t="str">
        <f ca="1">IF($A24="","",ROUND(SUMIFS(成本费用登记表!$H$4:$H$303,成本费用登记表!$D$4:$D$303,$A24,成本费用登记表!$AC$4:$AC$303,C$4)+SUMIFS(资金日记账!$I$4:$I$603,资金日记账!$G$4:$G$603,$A24,资金日记账!$U$4:$U$603,"&lt;&gt;是",资金日记账!$V$4:$V$603,C$4),2))</f>
        <v/>
      </c>
      <c r="D24" s="76" t="str">
        <f ca="1">IF($A24="","",ROUND(SUMIFS(成本费用登记表!$H$4:$H$303,成本费用登记表!$D$4:$D$303,$A24,成本费用登记表!$AC$4:$AC$303,D$4)+SUMIFS(资金日记账!$I$4:$I$603,资金日记账!$G$4:$G$603,$A24,资金日记账!$U$4:$U$603,"&lt;&gt;是",资金日记账!$V$4:$V$603,D$4),2))</f>
        <v/>
      </c>
      <c r="E24" s="76" t="str">
        <f ca="1">IF($A24="","",ROUND(SUMIFS(成本费用登记表!$H$4:$H$303,成本费用登记表!$D$4:$D$303,$A24,成本费用登记表!$AC$4:$AC$303,E$4)+SUMIFS(资金日记账!$I$4:$I$603,资金日记账!$G$4:$G$603,$A24,资金日记账!$U$4:$U$603,"&lt;&gt;是",资金日记账!$V$4:$V$603,E$4),2))</f>
        <v/>
      </c>
      <c r="F24" s="76" t="str">
        <f ca="1">IF($A24="","",ROUND(SUMIFS(成本费用登记表!$H$4:$H$303,成本费用登记表!$D$4:$D$303,$A24,成本费用登记表!$AC$4:$AC$303,F$4)+SUMIFS(资金日记账!$I$4:$I$603,资金日记账!$G$4:$G$603,$A24,资金日记账!$U$4:$U$603,"&lt;&gt;是",资金日记账!$V$4:$V$603,F$4),2))</f>
        <v/>
      </c>
      <c r="G24" s="76" t="str">
        <f ca="1">IF($A24="","",ROUND(SUMIFS(成本费用登记表!$H$4:$H$303,成本费用登记表!$D$4:$D$303,$A24,成本费用登记表!$AC$4:$AC$303,G$4)+SUMIFS(资金日记账!$I$4:$I$603,资金日记账!$G$4:$G$603,$A24,资金日记账!$U$4:$U$603,"&lt;&gt;是",资金日记账!$V$4:$V$603,G$4),2))</f>
        <v/>
      </c>
      <c r="H24" s="76" t="str">
        <f ca="1">IF($A24="","",ROUND(SUMIFS(成本费用登记表!$H$4:$H$303,成本费用登记表!$D$4:$D$303,$A24,成本费用登记表!$AC$4:$AC$303,H$4)+SUMIFS(资金日记账!$I$4:$I$603,资金日记账!$G$4:$G$603,$A24,资金日记账!$U$4:$U$603,"&lt;&gt;是",资金日记账!$V$4:$V$603,H$4),2))</f>
        <v/>
      </c>
      <c r="I24" s="76" t="str">
        <f ca="1">IF($A24="","",ROUND(SUMIFS(成本费用登记表!$H$4:$H$303,成本费用登记表!$D$4:$D$303,$A24,成本费用登记表!$AC$4:$AC$303,I$4)+SUMIFS(资金日记账!$I$4:$I$603,资金日记账!$G$4:$G$603,$A24,资金日记账!$U$4:$U$603,"&lt;&gt;是",资金日记账!$V$4:$V$603,I$4),2))</f>
        <v/>
      </c>
      <c r="J24" s="76" t="str">
        <f ca="1">IF($A24="","",ROUND(SUMIFS(成本费用登记表!$H$4:$H$303,成本费用登记表!$D$4:$D$303,$A24,成本费用登记表!$AC$4:$AC$303,J$4)+SUMIFS(资金日记账!$I$4:$I$603,资金日记账!$G$4:$G$603,$A24,资金日记账!$U$4:$U$603,"&lt;&gt;是",资金日记账!$V$4:$V$603,J$4),2))</f>
        <v/>
      </c>
      <c r="K24" s="76" t="str">
        <f ca="1">IF($A24="","",ROUND(SUMIFS(成本费用登记表!$H$4:$H$303,成本费用登记表!$D$4:$D$303,$A24,成本费用登记表!$AC$4:$AC$303,K$4)+SUMIFS(资金日记账!$I$4:$I$603,资金日记账!$G$4:$G$603,$A24,资金日记账!$U$4:$U$603,"&lt;&gt;是",资金日记账!$V$4:$V$603,K$4),2))</f>
        <v/>
      </c>
      <c r="L24" s="76" t="str">
        <f ca="1">IF($A24="","",ROUND(SUMIFS(成本费用登记表!$H$4:$H$303,成本费用登记表!$D$4:$D$303,$A24,成本费用登记表!$AC$4:$AC$303,L$4)+SUMIFS(资金日记账!$I$4:$I$603,资金日记账!$G$4:$G$603,$A24,资金日记账!$U$4:$U$603,"&lt;&gt;是",资金日记账!$V$4:$V$603,L$4),2))</f>
        <v/>
      </c>
      <c r="M24" s="76" t="str">
        <f ca="1">IF($A24="","",ROUND(SUMIFS(成本费用登记表!$H$4:$H$303,成本费用登记表!$D$4:$D$303,$A24,成本费用登记表!$AC$4:$AC$303,M$4)+SUMIFS(资金日记账!$I$4:$I$603,资金日记账!$G$4:$G$603,$A24,资金日记账!$U$4:$U$603,"&lt;&gt;是",资金日记账!$V$4:$V$603,M$4),2))</f>
        <v/>
      </c>
      <c r="N24" s="76" t="str">
        <f ca="1">IF($A24="","",ROUND(SUMIFS(成本费用登记表!$H$4:$H$303,成本费用登记表!$D$4:$D$303,$A24,成本费用登记表!$AC$4:$AC$303,N$4)+SUMIFS(资金日记账!$I$4:$I$603,资金日记账!$G$4:$G$603,$A24,资金日记账!$U$4:$U$603,"&lt;&gt;是",资金日记账!$V$4:$V$603,N$4),2))</f>
        <v/>
      </c>
      <c r="O24" s="76" t="str">
        <f ca="1">IF($A24="","",ROUND(SUMIFS(成本费用登记表!$H$4:$H$303,成本费用登记表!$D$4:$D$303,$A24,成本费用登记表!$AC$4:$AC$303,O$4)+SUMIFS(资金日记账!$I$4:$I$603,资金日记账!$G$4:$G$603,$A24,资金日记账!$U$4:$U$603,"&lt;&gt;是",资金日记账!$V$4:$V$603,O$4),2))</f>
        <v/>
      </c>
      <c r="P24" s="76" t="str">
        <f ca="1">IF($A24="","",ROUND(SUMIFS(成本费用登记表!$H$4:$H$303,成本费用登记表!$D$4:$D$303,$A24,成本费用登记表!$AC$4:$AC$303,P$4)+SUMIFS(资金日记账!$I$4:$I$603,资金日记账!$G$4:$G$603,$A24,资金日记账!$U$4:$U$603,"&lt;&gt;是",资金日记账!$V$4:$V$603,P$4),2))</f>
        <v/>
      </c>
      <c r="Q24" s="76" t="str">
        <f ca="1">IF($A24="","",ROUND(SUMIFS(成本费用登记表!$H$4:$H$303,成本费用登记表!$D$4:$D$303,$A24,成本费用登记表!$AC$4:$AC$303,Q$4)+SUMIFS(资金日记账!$I$4:$I$603,资金日记账!$G$4:$G$603,$A24,资金日记账!$U$4:$U$603,"&lt;&gt;是",资金日记账!$V$4:$V$603,Q$4),2))</f>
        <v/>
      </c>
      <c r="R24" s="76" t="str">
        <f ca="1">IF($A24="","",ROUND(SUMIFS(成本费用登记表!$H$4:$H$303,成本费用登记表!$D$4:$D$303,$A24,成本费用登记表!$AC$4:$AC$303,R$4)+SUMIFS(资金日记账!$I$4:$I$603,资金日记账!$G$4:$G$603,$A24,资金日记账!$U$4:$U$603,"&lt;&gt;是",资金日记账!$V$4:$V$603,R$4),2))</f>
        <v/>
      </c>
      <c r="S24" s="76" t="str">
        <f ca="1">IF($A24="","",ROUND(SUMIFS(成本费用登记表!$H$4:$H$303,成本费用登记表!$D$4:$D$303,$A24,成本费用登记表!$AC$4:$AC$303,S$4)+SUMIFS(资金日记账!$I$4:$I$603,资金日记账!$G$4:$G$603,$A24,资金日记账!$U$4:$U$603,"&lt;&gt;是",资金日记账!$V$4:$V$603,S$4),2))</f>
        <v/>
      </c>
      <c r="T24" s="76" t="str">
        <f ca="1">IF($A24="","",ROUND(SUMIFS(成本费用登记表!$H$4:$H$303,成本费用登记表!$D$4:$D$303,$A24,成本费用登记表!$AC$4:$AC$303,T$4)+SUMIFS(资金日记账!$I$4:$I$603,资金日记账!$G$4:$G$603,$A24,资金日记账!$U$4:$U$603,"&lt;&gt;是",资金日记账!$V$4:$V$603,T$4),2))</f>
        <v/>
      </c>
      <c r="U24" s="76" t="str">
        <f ca="1">IF($A24="","",ROUND(SUMIFS(成本费用登记表!$H$4:$H$303,成本费用登记表!$D$4:$D$303,$A24,成本费用登记表!$AC$4:$AC$303,U$4)+SUMIFS(资金日记账!$I$4:$I$603,资金日记账!$G$4:$G$603,$A24,资金日记账!$U$4:$U$603,"&lt;&gt;是",资金日记账!$V$4:$V$603,U$4),2))</f>
        <v/>
      </c>
      <c r="V24" s="76" t="str">
        <f ca="1">IF($A24="","",ROUND(SUMIFS(成本费用登记表!$H$4:$H$303,成本费用登记表!$D$4:$D$303,$A24,成本费用登记表!$AC$4:$AC$303,V$4)+SUMIFS(资金日记账!$I$4:$I$603,资金日记账!$G$4:$G$603,$A24,资金日记账!$U$4:$U$603,"&lt;&gt;是",资金日记账!$V$4:$V$603,V$4),2))</f>
        <v/>
      </c>
      <c r="W24" s="76" t="str">
        <f ca="1">IF($A24="","",ROUND(SUMIFS(成本费用登记表!$H$4:$H$303,成本费用登记表!$D$4:$D$303,$A24,成本费用登记表!$AC$4:$AC$303,W$4)+SUMIFS(资金日记账!$I$4:$I$603,资金日记账!$G$4:$G$603,$A24,资金日记账!$U$4:$U$603,"&lt;&gt;是",资金日记账!$V$4:$V$603,W$4),2))</f>
        <v/>
      </c>
      <c r="X24" s="76" t="str">
        <f ca="1">IF($A24="","",ROUND(SUMIFS(成本费用登记表!$H$4:$H$303,成本费用登记表!$D$4:$D$303,$A24,成本费用登记表!$AC$4:$AC$303,X$4)+SUMIFS(资金日记账!$I$4:$I$603,资金日记账!$G$4:$G$603,$A24,资金日记账!$U$4:$U$603,"&lt;&gt;是",资金日记账!$V$4:$V$603,X$4),2))</f>
        <v/>
      </c>
      <c r="Y24" s="76" t="str">
        <f ca="1">IF($A24="","",ROUND(SUMIFS(成本费用登记表!$H$4:$H$303,成本费用登记表!$D$4:$D$303,$A24,成本费用登记表!$AC$4:$AC$303,Y$4)+SUMIFS(资金日记账!$I$4:$I$603,资金日记账!$G$4:$G$603,$A24,资金日记账!$U$4:$U$603,"&lt;&gt;是",资金日记账!$V$4:$V$603,Y$4),2))</f>
        <v/>
      </c>
      <c r="Z24" s="87" t="str">
        <f ca="1" t="shared" si="1"/>
        <v/>
      </c>
      <c r="AA24" s="76" t="str">
        <f>IF($A24="","",ROUND(SUMIF(成本费用登记表!$D$4:$D$303,$A24,成本费用登记表!$AA$4:$AA$303)+SUMIFS(资金日记账!$I$4:$I$603,资金日记账!$G$4:$G$603,$A24,资金日记账!$U$4:$U$603,"&lt;&gt;是"),2))</f>
        <v/>
      </c>
      <c r="AB24" s="76" t="str">
        <f ca="1" t="shared" si="2"/>
        <v/>
      </c>
    </row>
    <row r="25" spans="1:28">
      <c r="A25" s="86" t="str">
        <f>IFERROR(INDEX(_自动清单!$X$4:$X$63,21),"")</f>
        <v/>
      </c>
      <c r="B25" s="76" t="str">
        <f ca="1">IF($A25="","",ROUND(SUMIFS(成本费用登记表!$H$4:$H$303,成本费用登记表!$D$4:$D$303,$A25,成本费用登记表!$AC$4:$AC$303,B$4)+SUMIFS(资金日记账!$I$4:$I$603,资金日记账!$G$4:$G$603,$A25,资金日记账!$U$4:$U$603,"&lt;&gt;是",资金日记账!$V$4:$V$603,B$4),2))</f>
        <v/>
      </c>
      <c r="C25" s="76" t="str">
        <f ca="1">IF($A25="","",ROUND(SUMIFS(成本费用登记表!$H$4:$H$303,成本费用登记表!$D$4:$D$303,$A25,成本费用登记表!$AC$4:$AC$303,C$4)+SUMIFS(资金日记账!$I$4:$I$603,资金日记账!$G$4:$G$603,$A25,资金日记账!$U$4:$U$603,"&lt;&gt;是",资金日记账!$V$4:$V$603,C$4),2))</f>
        <v/>
      </c>
      <c r="D25" s="76" t="str">
        <f ca="1">IF($A25="","",ROUND(SUMIFS(成本费用登记表!$H$4:$H$303,成本费用登记表!$D$4:$D$303,$A25,成本费用登记表!$AC$4:$AC$303,D$4)+SUMIFS(资金日记账!$I$4:$I$603,资金日记账!$G$4:$G$603,$A25,资金日记账!$U$4:$U$603,"&lt;&gt;是",资金日记账!$V$4:$V$603,D$4),2))</f>
        <v/>
      </c>
      <c r="E25" s="76" t="str">
        <f ca="1">IF($A25="","",ROUND(SUMIFS(成本费用登记表!$H$4:$H$303,成本费用登记表!$D$4:$D$303,$A25,成本费用登记表!$AC$4:$AC$303,E$4)+SUMIFS(资金日记账!$I$4:$I$603,资金日记账!$G$4:$G$603,$A25,资金日记账!$U$4:$U$603,"&lt;&gt;是",资金日记账!$V$4:$V$603,E$4),2))</f>
        <v/>
      </c>
      <c r="F25" s="76" t="str">
        <f ca="1">IF($A25="","",ROUND(SUMIFS(成本费用登记表!$H$4:$H$303,成本费用登记表!$D$4:$D$303,$A25,成本费用登记表!$AC$4:$AC$303,F$4)+SUMIFS(资金日记账!$I$4:$I$603,资金日记账!$G$4:$G$603,$A25,资金日记账!$U$4:$U$603,"&lt;&gt;是",资金日记账!$V$4:$V$603,F$4),2))</f>
        <v/>
      </c>
      <c r="G25" s="76" t="str">
        <f ca="1">IF($A25="","",ROUND(SUMIFS(成本费用登记表!$H$4:$H$303,成本费用登记表!$D$4:$D$303,$A25,成本费用登记表!$AC$4:$AC$303,G$4)+SUMIFS(资金日记账!$I$4:$I$603,资金日记账!$G$4:$G$603,$A25,资金日记账!$U$4:$U$603,"&lt;&gt;是",资金日记账!$V$4:$V$603,G$4),2))</f>
        <v/>
      </c>
      <c r="H25" s="76" t="str">
        <f ca="1">IF($A25="","",ROUND(SUMIFS(成本费用登记表!$H$4:$H$303,成本费用登记表!$D$4:$D$303,$A25,成本费用登记表!$AC$4:$AC$303,H$4)+SUMIFS(资金日记账!$I$4:$I$603,资金日记账!$G$4:$G$603,$A25,资金日记账!$U$4:$U$603,"&lt;&gt;是",资金日记账!$V$4:$V$603,H$4),2))</f>
        <v/>
      </c>
      <c r="I25" s="76" t="str">
        <f ca="1">IF($A25="","",ROUND(SUMIFS(成本费用登记表!$H$4:$H$303,成本费用登记表!$D$4:$D$303,$A25,成本费用登记表!$AC$4:$AC$303,I$4)+SUMIFS(资金日记账!$I$4:$I$603,资金日记账!$G$4:$G$603,$A25,资金日记账!$U$4:$U$603,"&lt;&gt;是",资金日记账!$V$4:$V$603,I$4),2))</f>
        <v/>
      </c>
      <c r="J25" s="76" t="str">
        <f ca="1">IF($A25="","",ROUND(SUMIFS(成本费用登记表!$H$4:$H$303,成本费用登记表!$D$4:$D$303,$A25,成本费用登记表!$AC$4:$AC$303,J$4)+SUMIFS(资金日记账!$I$4:$I$603,资金日记账!$G$4:$G$603,$A25,资金日记账!$U$4:$U$603,"&lt;&gt;是",资金日记账!$V$4:$V$603,J$4),2))</f>
        <v/>
      </c>
      <c r="K25" s="76" t="str">
        <f ca="1">IF($A25="","",ROUND(SUMIFS(成本费用登记表!$H$4:$H$303,成本费用登记表!$D$4:$D$303,$A25,成本费用登记表!$AC$4:$AC$303,K$4)+SUMIFS(资金日记账!$I$4:$I$603,资金日记账!$G$4:$G$603,$A25,资金日记账!$U$4:$U$603,"&lt;&gt;是",资金日记账!$V$4:$V$603,K$4),2))</f>
        <v/>
      </c>
      <c r="L25" s="76" t="str">
        <f ca="1">IF($A25="","",ROUND(SUMIFS(成本费用登记表!$H$4:$H$303,成本费用登记表!$D$4:$D$303,$A25,成本费用登记表!$AC$4:$AC$303,L$4)+SUMIFS(资金日记账!$I$4:$I$603,资金日记账!$G$4:$G$603,$A25,资金日记账!$U$4:$U$603,"&lt;&gt;是",资金日记账!$V$4:$V$603,L$4),2))</f>
        <v/>
      </c>
      <c r="M25" s="76" t="str">
        <f ca="1">IF($A25="","",ROUND(SUMIFS(成本费用登记表!$H$4:$H$303,成本费用登记表!$D$4:$D$303,$A25,成本费用登记表!$AC$4:$AC$303,M$4)+SUMIFS(资金日记账!$I$4:$I$603,资金日记账!$G$4:$G$603,$A25,资金日记账!$U$4:$U$603,"&lt;&gt;是",资金日记账!$V$4:$V$603,M$4),2))</f>
        <v/>
      </c>
      <c r="N25" s="76" t="str">
        <f ca="1">IF($A25="","",ROUND(SUMIFS(成本费用登记表!$H$4:$H$303,成本费用登记表!$D$4:$D$303,$A25,成本费用登记表!$AC$4:$AC$303,N$4)+SUMIFS(资金日记账!$I$4:$I$603,资金日记账!$G$4:$G$603,$A25,资金日记账!$U$4:$U$603,"&lt;&gt;是",资金日记账!$V$4:$V$603,N$4),2))</f>
        <v/>
      </c>
      <c r="O25" s="76" t="str">
        <f ca="1">IF($A25="","",ROUND(SUMIFS(成本费用登记表!$H$4:$H$303,成本费用登记表!$D$4:$D$303,$A25,成本费用登记表!$AC$4:$AC$303,O$4)+SUMIFS(资金日记账!$I$4:$I$603,资金日记账!$G$4:$G$603,$A25,资金日记账!$U$4:$U$603,"&lt;&gt;是",资金日记账!$V$4:$V$603,O$4),2))</f>
        <v/>
      </c>
      <c r="P25" s="76" t="str">
        <f ca="1">IF($A25="","",ROUND(SUMIFS(成本费用登记表!$H$4:$H$303,成本费用登记表!$D$4:$D$303,$A25,成本费用登记表!$AC$4:$AC$303,P$4)+SUMIFS(资金日记账!$I$4:$I$603,资金日记账!$G$4:$G$603,$A25,资金日记账!$U$4:$U$603,"&lt;&gt;是",资金日记账!$V$4:$V$603,P$4),2))</f>
        <v/>
      </c>
      <c r="Q25" s="76" t="str">
        <f ca="1">IF($A25="","",ROUND(SUMIFS(成本费用登记表!$H$4:$H$303,成本费用登记表!$D$4:$D$303,$A25,成本费用登记表!$AC$4:$AC$303,Q$4)+SUMIFS(资金日记账!$I$4:$I$603,资金日记账!$G$4:$G$603,$A25,资金日记账!$U$4:$U$603,"&lt;&gt;是",资金日记账!$V$4:$V$603,Q$4),2))</f>
        <v/>
      </c>
      <c r="R25" s="76" t="str">
        <f ca="1">IF($A25="","",ROUND(SUMIFS(成本费用登记表!$H$4:$H$303,成本费用登记表!$D$4:$D$303,$A25,成本费用登记表!$AC$4:$AC$303,R$4)+SUMIFS(资金日记账!$I$4:$I$603,资金日记账!$G$4:$G$603,$A25,资金日记账!$U$4:$U$603,"&lt;&gt;是",资金日记账!$V$4:$V$603,R$4),2))</f>
        <v/>
      </c>
      <c r="S25" s="76" t="str">
        <f ca="1">IF($A25="","",ROUND(SUMIFS(成本费用登记表!$H$4:$H$303,成本费用登记表!$D$4:$D$303,$A25,成本费用登记表!$AC$4:$AC$303,S$4)+SUMIFS(资金日记账!$I$4:$I$603,资金日记账!$G$4:$G$603,$A25,资金日记账!$U$4:$U$603,"&lt;&gt;是",资金日记账!$V$4:$V$603,S$4),2))</f>
        <v/>
      </c>
      <c r="T25" s="76" t="str">
        <f ca="1">IF($A25="","",ROUND(SUMIFS(成本费用登记表!$H$4:$H$303,成本费用登记表!$D$4:$D$303,$A25,成本费用登记表!$AC$4:$AC$303,T$4)+SUMIFS(资金日记账!$I$4:$I$603,资金日记账!$G$4:$G$603,$A25,资金日记账!$U$4:$U$603,"&lt;&gt;是",资金日记账!$V$4:$V$603,T$4),2))</f>
        <v/>
      </c>
      <c r="U25" s="76" t="str">
        <f ca="1">IF($A25="","",ROUND(SUMIFS(成本费用登记表!$H$4:$H$303,成本费用登记表!$D$4:$D$303,$A25,成本费用登记表!$AC$4:$AC$303,U$4)+SUMIFS(资金日记账!$I$4:$I$603,资金日记账!$G$4:$G$603,$A25,资金日记账!$U$4:$U$603,"&lt;&gt;是",资金日记账!$V$4:$V$603,U$4),2))</f>
        <v/>
      </c>
      <c r="V25" s="76" t="str">
        <f ca="1">IF($A25="","",ROUND(SUMIFS(成本费用登记表!$H$4:$H$303,成本费用登记表!$D$4:$D$303,$A25,成本费用登记表!$AC$4:$AC$303,V$4)+SUMIFS(资金日记账!$I$4:$I$603,资金日记账!$G$4:$G$603,$A25,资金日记账!$U$4:$U$603,"&lt;&gt;是",资金日记账!$V$4:$V$603,V$4),2))</f>
        <v/>
      </c>
      <c r="W25" s="76" t="str">
        <f ca="1">IF($A25="","",ROUND(SUMIFS(成本费用登记表!$H$4:$H$303,成本费用登记表!$D$4:$D$303,$A25,成本费用登记表!$AC$4:$AC$303,W$4)+SUMIFS(资金日记账!$I$4:$I$603,资金日记账!$G$4:$G$603,$A25,资金日记账!$U$4:$U$603,"&lt;&gt;是",资金日记账!$V$4:$V$603,W$4),2))</f>
        <v/>
      </c>
      <c r="X25" s="76" t="str">
        <f ca="1">IF($A25="","",ROUND(SUMIFS(成本费用登记表!$H$4:$H$303,成本费用登记表!$D$4:$D$303,$A25,成本费用登记表!$AC$4:$AC$303,X$4)+SUMIFS(资金日记账!$I$4:$I$603,资金日记账!$G$4:$G$603,$A25,资金日记账!$U$4:$U$603,"&lt;&gt;是",资金日记账!$V$4:$V$603,X$4),2))</f>
        <v/>
      </c>
      <c r="Y25" s="76" t="str">
        <f ca="1">IF($A25="","",ROUND(SUMIFS(成本费用登记表!$H$4:$H$303,成本费用登记表!$D$4:$D$303,$A25,成本费用登记表!$AC$4:$AC$303,Y$4)+SUMIFS(资金日记账!$I$4:$I$603,资金日记账!$G$4:$G$603,$A25,资金日记账!$U$4:$U$603,"&lt;&gt;是",资金日记账!$V$4:$V$603,Y$4),2))</f>
        <v/>
      </c>
      <c r="Z25" s="87" t="str">
        <f ca="1" t="shared" si="1"/>
        <v/>
      </c>
      <c r="AA25" s="76" t="str">
        <f>IF($A25="","",ROUND(SUMIF(成本费用登记表!$D$4:$D$303,$A25,成本费用登记表!$AA$4:$AA$303)+SUMIFS(资金日记账!$I$4:$I$603,资金日记账!$G$4:$G$603,$A25,资金日记账!$U$4:$U$603,"&lt;&gt;是"),2))</f>
        <v/>
      </c>
      <c r="AB25" s="76" t="str">
        <f ca="1" t="shared" si="2"/>
        <v/>
      </c>
    </row>
    <row r="26" spans="1:28">
      <c r="A26" s="86" t="str">
        <f>IFERROR(INDEX(_自动清单!$X$4:$X$63,22),"")</f>
        <v/>
      </c>
      <c r="B26" s="76" t="str">
        <f ca="1">IF($A26="","",ROUND(SUMIFS(成本费用登记表!$H$4:$H$303,成本费用登记表!$D$4:$D$303,$A26,成本费用登记表!$AC$4:$AC$303,B$4)+SUMIFS(资金日记账!$I$4:$I$603,资金日记账!$G$4:$G$603,$A26,资金日记账!$U$4:$U$603,"&lt;&gt;是",资金日记账!$V$4:$V$603,B$4),2))</f>
        <v/>
      </c>
      <c r="C26" s="76" t="str">
        <f ca="1">IF($A26="","",ROUND(SUMIFS(成本费用登记表!$H$4:$H$303,成本费用登记表!$D$4:$D$303,$A26,成本费用登记表!$AC$4:$AC$303,C$4)+SUMIFS(资金日记账!$I$4:$I$603,资金日记账!$G$4:$G$603,$A26,资金日记账!$U$4:$U$603,"&lt;&gt;是",资金日记账!$V$4:$V$603,C$4),2))</f>
        <v/>
      </c>
      <c r="D26" s="76" t="str">
        <f ca="1">IF($A26="","",ROUND(SUMIFS(成本费用登记表!$H$4:$H$303,成本费用登记表!$D$4:$D$303,$A26,成本费用登记表!$AC$4:$AC$303,D$4)+SUMIFS(资金日记账!$I$4:$I$603,资金日记账!$G$4:$G$603,$A26,资金日记账!$U$4:$U$603,"&lt;&gt;是",资金日记账!$V$4:$V$603,D$4),2))</f>
        <v/>
      </c>
      <c r="E26" s="76" t="str">
        <f ca="1">IF($A26="","",ROUND(SUMIFS(成本费用登记表!$H$4:$H$303,成本费用登记表!$D$4:$D$303,$A26,成本费用登记表!$AC$4:$AC$303,E$4)+SUMIFS(资金日记账!$I$4:$I$603,资金日记账!$G$4:$G$603,$A26,资金日记账!$U$4:$U$603,"&lt;&gt;是",资金日记账!$V$4:$V$603,E$4),2))</f>
        <v/>
      </c>
      <c r="F26" s="76" t="str">
        <f ca="1">IF($A26="","",ROUND(SUMIFS(成本费用登记表!$H$4:$H$303,成本费用登记表!$D$4:$D$303,$A26,成本费用登记表!$AC$4:$AC$303,F$4)+SUMIFS(资金日记账!$I$4:$I$603,资金日记账!$G$4:$G$603,$A26,资金日记账!$U$4:$U$603,"&lt;&gt;是",资金日记账!$V$4:$V$603,F$4),2))</f>
        <v/>
      </c>
      <c r="G26" s="76" t="str">
        <f ca="1">IF($A26="","",ROUND(SUMIFS(成本费用登记表!$H$4:$H$303,成本费用登记表!$D$4:$D$303,$A26,成本费用登记表!$AC$4:$AC$303,G$4)+SUMIFS(资金日记账!$I$4:$I$603,资金日记账!$G$4:$G$603,$A26,资金日记账!$U$4:$U$603,"&lt;&gt;是",资金日记账!$V$4:$V$603,G$4),2))</f>
        <v/>
      </c>
      <c r="H26" s="76" t="str">
        <f ca="1">IF($A26="","",ROUND(SUMIFS(成本费用登记表!$H$4:$H$303,成本费用登记表!$D$4:$D$303,$A26,成本费用登记表!$AC$4:$AC$303,H$4)+SUMIFS(资金日记账!$I$4:$I$603,资金日记账!$G$4:$G$603,$A26,资金日记账!$U$4:$U$603,"&lt;&gt;是",资金日记账!$V$4:$V$603,H$4),2))</f>
        <v/>
      </c>
      <c r="I26" s="76" t="str">
        <f ca="1">IF($A26="","",ROUND(SUMIFS(成本费用登记表!$H$4:$H$303,成本费用登记表!$D$4:$D$303,$A26,成本费用登记表!$AC$4:$AC$303,I$4)+SUMIFS(资金日记账!$I$4:$I$603,资金日记账!$G$4:$G$603,$A26,资金日记账!$U$4:$U$603,"&lt;&gt;是",资金日记账!$V$4:$V$603,I$4),2))</f>
        <v/>
      </c>
      <c r="J26" s="76" t="str">
        <f ca="1">IF($A26="","",ROUND(SUMIFS(成本费用登记表!$H$4:$H$303,成本费用登记表!$D$4:$D$303,$A26,成本费用登记表!$AC$4:$AC$303,J$4)+SUMIFS(资金日记账!$I$4:$I$603,资金日记账!$G$4:$G$603,$A26,资金日记账!$U$4:$U$603,"&lt;&gt;是",资金日记账!$V$4:$V$603,J$4),2))</f>
        <v/>
      </c>
      <c r="K26" s="76" t="str">
        <f ca="1">IF($A26="","",ROUND(SUMIFS(成本费用登记表!$H$4:$H$303,成本费用登记表!$D$4:$D$303,$A26,成本费用登记表!$AC$4:$AC$303,K$4)+SUMIFS(资金日记账!$I$4:$I$603,资金日记账!$G$4:$G$603,$A26,资金日记账!$U$4:$U$603,"&lt;&gt;是",资金日记账!$V$4:$V$603,K$4),2))</f>
        <v/>
      </c>
      <c r="L26" s="76" t="str">
        <f ca="1">IF($A26="","",ROUND(SUMIFS(成本费用登记表!$H$4:$H$303,成本费用登记表!$D$4:$D$303,$A26,成本费用登记表!$AC$4:$AC$303,L$4)+SUMIFS(资金日记账!$I$4:$I$603,资金日记账!$G$4:$G$603,$A26,资金日记账!$U$4:$U$603,"&lt;&gt;是",资金日记账!$V$4:$V$603,L$4),2))</f>
        <v/>
      </c>
      <c r="M26" s="76" t="str">
        <f ca="1">IF($A26="","",ROUND(SUMIFS(成本费用登记表!$H$4:$H$303,成本费用登记表!$D$4:$D$303,$A26,成本费用登记表!$AC$4:$AC$303,M$4)+SUMIFS(资金日记账!$I$4:$I$603,资金日记账!$G$4:$G$603,$A26,资金日记账!$U$4:$U$603,"&lt;&gt;是",资金日记账!$V$4:$V$603,M$4),2))</f>
        <v/>
      </c>
      <c r="N26" s="76" t="str">
        <f ca="1">IF($A26="","",ROUND(SUMIFS(成本费用登记表!$H$4:$H$303,成本费用登记表!$D$4:$D$303,$A26,成本费用登记表!$AC$4:$AC$303,N$4)+SUMIFS(资金日记账!$I$4:$I$603,资金日记账!$G$4:$G$603,$A26,资金日记账!$U$4:$U$603,"&lt;&gt;是",资金日记账!$V$4:$V$603,N$4),2))</f>
        <v/>
      </c>
      <c r="O26" s="76" t="str">
        <f ca="1">IF($A26="","",ROUND(SUMIFS(成本费用登记表!$H$4:$H$303,成本费用登记表!$D$4:$D$303,$A26,成本费用登记表!$AC$4:$AC$303,O$4)+SUMIFS(资金日记账!$I$4:$I$603,资金日记账!$G$4:$G$603,$A26,资金日记账!$U$4:$U$603,"&lt;&gt;是",资金日记账!$V$4:$V$603,O$4),2))</f>
        <v/>
      </c>
      <c r="P26" s="76" t="str">
        <f ca="1">IF($A26="","",ROUND(SUMIFS(成本费用登记表!$H$4:$H$303,成本费用登记表!$D$4:$D$303,$A26,成本费用登记表!$AC$4:$AC$303,P$4)+SUMIFS(资金日记账!$I$4:$I$603,资金日记账!$G$4:$G$603,$A26,资金日记账!$U$4:$U$603,"&lt;&gt;是",资金日记账!$V$4:$V$603,P$4),2))</f>
        <v/>
      </c>
      <c r="Q26" s="76" t="str">
        <f ca="1">IF($A26="","",ROUND(SUMIFS(成本费用登记表!$H$4:$H$303,成本费用登记表!$D$4:$D$303,$A26,成本费用登记表!$AC$4:$AC$303,Q$4)+SUMIFS(资金日记账!$I$4:$I$603,资金日记账!$G$4:$G$603,$A26,资金日记账!$U$4:$U$603,"&lt;&gt;是",资金日记账!$V$4:$V$603,Q$4),2))</f>
        <v/>
      </c>
      <c r="R26" s="76" t="str">
        <f ca="1">IF($A26="","",ROUND(SUMIFS(成本费用登记表!$H$4:$H$303,成本费用登记表!$D$4:$D$303,$A26,成本费用登记表!$AC$4:$AC$303,R$4)+SUMIFS(资金日记账!$I$4:$I$603,资金日记账!$G$4:$G$603,$A26,资金日记账!$U$4:$U$603,"&lt;&gt;是",资金日记账!$V$4:$V$603,R$4),2))</f>
        <v/>
      </c>
      <c r="S26" s="76" t="str">
        <f ca="1">IF($A26="","",ROUND(SUMIFS(成本费用登记表!$H$4:$H$303,成本费用登记表!$D$4:$D$303,$A26,成本费用登记表!$AC$4:$AC$303,S$4)+SUMIFS(资金日记账!$I$4:$I$603,资金日记账!$G$4:$G$603,$A26,资金日记账!$U$4:$U$603,"&lt;&gt;是",资金日记账!$V$4:$V$603,S$4),2))</f>
        <v/>
      </c>
      <c r="T26" s="76" t="str">
        <f ca="1">IF($A26="","",ROUND(SUMIFS(成本费用登记表!$H$4:$H$303,成本费用登记表!$D$4:$D$303,$A26,成本费用登记表!$AC$4:$AC$303,T$4)+SUMIFS(资金日记账!$I$4:$I$603,资金日记账!$G$4:$G$603,$A26,资金日记账!$U$4:$U$603,"&lt;&gt;是",资金日记账!$V$4:$V$603,T$4),2))</f>
        <v/>
      </c>
      <c r="U26" s="76" t="str">
        <f ca="1">IF($A26="","",ROUND(SUMIFS(成本费用登记表!$H$4:$H$303,成本费用登记表!$D$4:$D$303,$A26,成本费用登记表!$AC$4:$AC$303,U$4)+SUMIFS(资金日记账!$I$4:$I$603,资金日记账!$G$4:$G$603,$A26,资金日记账!$U$4:$U$603,"&lt;&gt;是",资金日记账!$V$4:$V$603,U$4),2))</f>
        <v/>
      </c>
      <c r="V26" s="76" t="str">
        <f ca="1">IF($A26="","",ROUND(SUMIFS(成本费用登记表!$H$4:$H$303,成本费用登记表!$D$4:$D$303,$A26,成本费用登记表!$AC$4:$AC$303,V$4)+SUMIFS(资金日记账!$I$4:$I$603,资金日记账!$G$4:$G$603,$A26,资金日记账!$U$4:$U$603,"&lt;&gt;是",资金日记账!$V$4:$V$603,V$4),2))</f>
        <v/>
      </c>
      <c r="W26" s="76" t="str">
        <f ca="1">IF($A26="","",ROUND(SUMIFS(成本费用登记表!$H$4:$H$303,成本费用登记表!$D$4:$D$303,$A26,成本费用登记表!$AC$4:$AC$303,W$4)+SUMIFS(资金日记账!$I$4:$I$603,资金日记账!$G$4:$G$603,$A26,资金日记账!$U$4:$U$603,"&lt;&gt;是",资金日记账!$V$4:$V$603,W$4),2))</f>
        <v/>
      </c>
      <c r="X26" s="76" t="str">
        <f ca="1">IF($A26="","",ROUND(SUMIFS(成本费用登记表!$H$4:$H$303,成本费用登记表!$D$4:$D$303,$A26,成本费用登记表!$AC$4:$AC$303,X$4)+SUMIFS(资金日记账!$I$4:$I$603,资金日记账!$G$4:$G$603,$A26,资金日记账!$U$4:$U$603,"&lt;&gt;是",资金日记账!$V$4:$V$603,X$4),2))</f>
        <v/>
      </c>
      <c r="Y26" s="76" t="str">
        <f ca="1">IF($A26="","",ROUND(SUMIFS(成本费用登记表!$H$4:$H$303,成本费用登记表!$D$4:$D$303,$A26,成本费用登记表!$AC$4:$AC$303,Y$4)+SUMIFS(资金日记账!$I$4:$I$603,资金日记账!$G$4:$G$603,$A26,资金日记账!$U$4:$U$603,"&lt;&gt;是",资金日记账!$V$4:$V$603,Y$4),2))</f>
        <v/>
      </c>
      <c r="Z26" s="87" t="str">
        <f ca="1" t="shared" si="1"/>
        <v/>
      </c>
      <c r="AA26" s="76" t="str">
        <f>IF($A26="","",ROUND(SUMIF(成本费用登记表!$D$4:$D$303,$A26,成本费用登记表!$AA$4:$AA$303)+SUMIFS(资金日记账!$I$4:$I$603,资金日记账!$G$4:$G$603,$A26,资金日记账!$U$4:$U$603,"&lt;&gt;是"),2))</f>
        <v/>
      </c>
      <c r="AB26" s="76" t="str">
        <f ca="1" t="shared" si="2"/>
        <v/>
      </c>
    </row>
    <row r="27" spans="1:28">
      <c r="A27" s="86" t="str">
        <f>IFERROR(INDEX(_自动清单!$X$4:$X$63,23),"")</f>
        <v/>
      </c>
      <c r="B27" s="76" t="str">
        <f ca="1">IF($A27="","",ROUND(SUMIFS(成本费用登记表!$H$4:$H$303,成本费用登记表!$D$4:$D$303,$A27,成本费用登记表!$AC$4:$AC$303,B$4)+SUMIFS(资金日记账!$I$4:$I$603,资金日记账!$G$4:$G$603,$A27,资金日记账!$U$4:$U$603,"&lt;&gt;是",资金日记账!$V$4:$V$603,B$4),2))</f>
        <v/>
      </c>
      <c r="C27" s="76" t="str">
        <f ca="1">IF($A27="","",ROUND(SUMIFS(成本费用登记表!$H$4:$H$303,成本费用登记表!$D$4:$D$303,$A27,成本费用登记表!$AC$4:$AC$303,C$4)+SUMIFS(资金日记账!$I$4:$I$603,资金日记账!$G$4:$G$603,$A27,资金日记账!$U$4:$U$603,"&lt;&gt;是",资金日记账!$V$4:$V$603,C$4),2))</f>
        <v/>
      </c>
      <c r="D27" s="76" t="str">
        <f ca="1">IF($A27="","",ROUND(SUMIFS(成本费用登记表!$H$4:$H$303,成本费用登记表!$D$4:$D$303,$A27,成本费用登记表!$AC$4:$AC$303,D$4)+SUMIFS(资金日记账!$I$4:$I$603,资金日记账!$G$4:$G$603,$A27,资金日记账!$U$4:$U$603,"&lt;&gt;是",资金日记账!$V$4:$V$603,D$4),2))</f>
        <v/>
      </c>
      <c r="E27" s="76" t="str">
        <f ca="1">IF($A27="","",ROUND(SUMIFS(成本费用登记表!$H$4:$H$303,成本费用登记表!$D$4:$D$303,$A27,成本费用登记表!$AC$4:$AC$303,E$4)+SUMIFS(资金日记账!$I$4:$I$603,资金日记账!$G$4:$G$603,$A27,资金日记账!$U$4:$U$603,"&lt;&gt;是",资金日记账!$V$4:$V$603,E$4),2))</f>
        <v/>
      </c>
      <c r="F27" s="76" t="str">
        <f ca="1">IF($A27="","",ROUND(SUMIFS(成本费用登记表!$H$4:$H$303,成本费用登记表!$D$4:$D$303,$A27,成本费用登记表!$AC$4:$AC$303,F$4)+SUMIFS(资金日记账!$I$4:$I$603,资金日记账!$G$4:$G$603,$A27,资金日记账!$U$4:$U$603,"&lt;&gt;是",资金日记账!$V$4:$V$603,F$4),2))</f>
        <v/>
      </c>
      <c r="G27" s="76" t="str">
        <f ca="1">IF($A27="","",ROUND(SUMIFS(成本费用登记表!$H$4:$H$303,成本费用登记表!$D$4:$D$303,$A27,成本费用登记表!$AC$4:$AC$303,G$4)+SUMIFS(资金日记账!$I$4:$I$603,资金日记账!$G$4:$G$603,$A27,资金日记账!$U$4:$U$603,"&lt;&gt;是",资金日记账!$V$4:$V$603,G$4),2))</f>
        <v/>
      </c>
      <c r="H27" s="76" t="str">
        <f ca="1">IF($A27="","",ROUND(SUMIFS(成本费用登记表!$H$4:$H$303,成本费用登记表!$D$4:$D$303,$A27,成本费用登记表!$AC$4:$AC$303,H$4)+SUMIFS(资金日记账!$I$4:$I$603,资金日记账!$G$4:$G$603,$A27,资金日记账!$U$4:$U$603,"&lt;&gt;是",资金日记账!$V$4:$V$603,H$4),2))</f>
        <v/>
      </c>
      <c r="I27" s="76" t="str">
        <f ca="1">IF($A27="","",ROUND(SUMIFS(成本费用登记表!$H$4:$H$303,成本费用登记表!$D$4:$D$303,$A27,成本费用登记表!$AC$4:$AC$303,I$4)+SUMIFS(资金日记账!$I$4:$I$603,资金日记账!$G$4:$G$603,$A27,资金日记账!$U$4:$U$603,"&lt;&gt;是",资金日记账!$V$4:$V$603,I$4),2))</f>
        <v/>
      </c>
      <c r="J27" s="76" t="str">
        <f ca="1">IF($A27="","",ROUND(SUMIFS(成本费用登记表!$H$4:$H$303,成本费用登记表!$D$4:$D$303,$A27,成本费用登记表!$AC$4:$AC$303,J$4)+SUMIFS(资金日记账!$I$4:$I$603,资金日记账!$G$4:$G$603,$A27,资金日记账!$U$4:$U$603,"&lt;&gt;是",资金日记账!$V$4:$V$603,J$4),2))</f>
        <v/>
      </c>
      <c r="K27" s="76" t="str">
        <f ca="1">IF($A27="","",ROUND(SUMIFS(成本费用登记表!$H$4:$H$303,成本费用登记表!$D$4:$D$303,$A27,成本费用登记表!$AC$4:$AC$303,K$4)+SUMIFS(资金日记账!$I$4:$I$603,资金日记账!$G$4:$G$603,$A27,资金日记账!$U$4:$U$603,"&lt;&gt;是",资金日记账!$V$4:$V$603,K$4),2))</f>
        <v/>
      </c>
      <c r="L27" s="76" t="str">
        <f ca="1">IF($A27="","",ROUND(SUMIFS(成本费用登记表!$H$4:$H$303,成本费用登记表!$D$4:$D$303,$A27,成本费用登记表!$AC$4:$AC$303,L$4)+SUMIFS(资金日记账!$I$4:$I$603,资金日记账!$G$4:$G$603,$A27,资金日记账!$U$4:$U$603,"&lt;&gt;是",资金日记账!$V$4:$V$603,L$4),2))</f>
        <v/>
      </c>
      <c r="M27" s="76" t="str">
        <f ca="1">IF($A27="","",ROUND(SUMIFS(成本费用登记表!$H$4:$H$303,成本费用登记表!$D$4:$D$303,$A27,成本费用登记表!$AC$4:$AC$303,M$4)+SUMIFS(资金日记账!$I$4:$I$603,资金日记账!$G$4:$G$603,$A27,资金日记账!$U$4:$U$603,"&lt;&gt;是",资金日记账!$V$4:$V$603,M$4),2))</f>
        <v/>
      </c>
      <c r="N27" s="76" t="str">
        <f ca="1">IF($A27="","",ROUND(SUMIFS(成本费用登记表!$H$4:$H$303,成本费用登记表!$D$4:$D$303,$A27,成本费用登记表!$AC$4:$AC$303,N$4)+SUMIFS(资金日记账!$I$4:$I$603,资金日记账!$G$4:$G$603,$A27,资金日记账!$U$4:$U$603,"&lt;&gt;是",资金日记账!$V$4:$V$603,N$4),2))</f>
        <v/>
      </c>
      <c r="O27" s="76" t="str">
        <f ca="1">IF($A27="","",ROUND(SUMIFS(成本费用登记表!$H$4:$H$303,成本费用登记表!$D$4:$D$303,$A27,成本费用登记表!$AC$4:$AC$303,O$4)+SUMIFS(资金日记账!$I$4:$I$603,资金日记账!$G$4:$G$603,$A27,资金日记账!$U$4:$U$603,"&lt;&gt;是",资金日记账!$V$4:$V$603,O$4),2))</f>
        <v/>
      </c>
      <c r="P27" s="76" t="str">
        <f ca="1">IF($A27="","",ROUND(SUMIFS(成本费用登记表!$H$4:$H$303,成本费用登记表!$D$4:$D$303,$A27,成本费用登记表!$AC$4:$AC$303,P$4)+SUMIFS(资金日记账!$I$4:$I$603,资金日记账!$G$4:$G$603,$A27,资金日记账!$U$4:$U$603,"&lt;&gt;是",资金日记账!$V$4:$V$603,P$4),2))</f>
        <v/>
      </c>
      <c r="Q27" s="76" t="str">
        <f ca="1">IF($A27="","",ROUND(SUMIFS(成本费用登记表!$H$4:$H$303,成本费用登记表!$D$4:$D$303,$A27,成本费用登记表!$AC$4:$AC$303,Q$4)+SUMIFS(资金日记账!$I$4:$I$603,资金日记账!$G$4:$G$603,$A27,资金日记账!$U$4:$U$603,"&lt;&gt;是",资金日记账!$V$4:$V$603,Q$4),2))</f>
        <v/>
      </c>
      <c r="R27" s="76" t="str">
        <f ca="1">IF($A27="","",ROUND(SUMIFS(成本费用登记表!$H$4:$H$303,成本费用登记表!$D$4:$D$303,$A27,成本费用登记表!$AC$4:$AC$303,R$4)+SUMIFS(资金日记账!$I$4:$I$603,资金日记账!$G$4:$G$603,$A27,资金日记账!$U$4:$U$603,"&lt;&gt;是",资金日记账!$V$4:$V$603,R$4),2))</f>
        <v/>
      </c>
      <c r="S27" s="76" t="str">
        <f ca="1">IF($A27="","",ROUND(SUMIFS(成本费用登记表!$H$4:$H$303,成本费用登记表!$D$4:$D$303,$A27,成本费用登记表!$AC$4:$AC$303,S$4)+SUMIFS(资金日记账!$I$4:$I$603,资金日记账!$G$4:$G$603,$A27,资金日记账!$U$4:$U$603,"&lt;&gt;是",资金日记账!$V$4:$V$603,S$4),2))</f>
        <v/>
      </c>
      <c r="T27" s="76" t="str">
        <f ca="1">IF($A27="","",ROUND(SUMIFS(成本费用登记表!$H$4:$H$303,成本费用登记表!$D$4:$D$303,$A27,成本费用登记表!$AC$4:$AC$303,T$4)+SUMIFS(资金日记账!$I$4:$I$603,资金日记账!$G$4:$G$603,$A27,资金日记账!$U$4:$U$603,"&lt;&gt;是",资金日记账!$V$4:$V$603,T$4),2))</f>
        <v/>
      </c>
      <c r="U27" s="76" t="str">
        <f ca="1">IF($A27="","",ROUND(SUMIFS(成本费用登记表!$H$4:$H$303,成本费用登记表!$D$4:$D$303,$A27,成本费用登记表!$AC$4:$AC$303,U$4)+SUMIFS(资金日记账!$I$4:$I$603,资金日记账!$G$4:$G$603,$A27,资金日记账!$U$4:$U$603,"&lt;&gt;是",资金日记账!$V$4:$V$603,U$4),2))</f>
        <v/>
      </c>
      <c r="V27" s="76" t="str">
        <f ca="1">IF($A27="","",ROUND(SUMIFS(成本费用登记表!$H$4:$H$303,成本费用登记表!$D$4:$D$303,$A27,成本费用登记表!$AC$4:$AC$303,V$4)+SUMIFS(资金日记账!$I$4:$I$603,资金日记账!$G$4:$G$603,$A27,资金日记账!$U$4:$U$603,"&lt;&gt;是",资金日记账!$V$4:$V$603,V$4),2))</f>
        <v/>
      </c>
      <c r="W27" s="76" t="str">
        <f ca="1">IF($A27="","",ROUND(SUMIFS(成本费用登记表!$H$4:$H$303,成本费用登记表!$D$4:$D$303,$A27,成本费用登记表!$AC$4:$AC$303,W$4)+SUMIFS(资金日记账!$I$4:$I$603,资金日记账!$G$4:$G$603,$A27,资金日记账!$U$4:$U$603,"&lt;&gt;是",资金日记账!$V$4:$V$603,W$4),2))</f>
        <v/>
      </c>
      <c r="X27" s="76" t="str">
        <f ca="1">IF($A27="","",ROUND(SUMIFS(成本费用登记表!$H$4:$H$303,成本费用登记表!$D$4:$D$303,$A27,成本费用登记表!$AC$4:$AC$303,X$4)+SUMIFS(资金日记账!$I$4:$I$603,资金日记账!$G$4:$G$603,$A27,资金日记账!$U$4:$U$603,"&lt;&gt;是",资金日记账!$V$4:$V$603,X$4),2))</f>
        <v/>
      </c>
      <c r="Y27" s="76" t="str">
        <f ca="1">IF($A27="","",ROUND(SUMIFS(成本费用登记表!$H$4:$H$303,成本费用登记表!$D$4:$D$303,$A27,成本费用登记表!$AC$4:$AC$303,Y$4)+SUMIFS(资金日记账!$I$4:$I$603,资金日记账!$G$4:$G$603,$A27,资金日记账!$U$4:$U$603,"&lt;&gt;是",资金日记账!$V$4:$V$603,Y$4),2))</f>
        <v/>
      </c>
      <c r="Z27" s="87" t="str">
        <f ca="1" t="shared" si="1"/>
        <v/>
      </c>
      <c r="AA27" s="76" t="str">
        <f>IF($A27="","",ROUND(SUMIF(成本费用登记表!$D$4:$D$303,$A27,成本费用登记表!$AA$4:$AA$303)+SUMIFS(资金日记账!$I$4:$I$603,资金日记账!$G$4:$G$603,$A27,资金日记账!$U$4:$U$603,"&lt;&gt;是"),2))</f>
        <v/>
      </c>
      <c r="AB27" s="76" t="str">
        <f ca="1" t="shared" si="2"/>
        <v/>
      </c>
    </row>
    <row r="28" spans="1:28">
      <c r="A28" s="86" t="str">
        <f>IFERROR(INDEX(_自动清单!$X$4:$X$63,24),"")</f>
        <v/>
      </c>
      <c r="B28" s="76" t="str">
        <f ca="1">IF($A28="","",ROUND(SUMIFS(成本费用登记表!$H$4:$H$303,成本费用登记表!$D$4:$D$303,$A28,成本费用登记表!$AC$4:$AC$303,B$4)+SUMIFS(资金日记账!$I$4:$I$603,资金日记账!$G$4:$G$603,$A28,资金日记账!$U$4:$U$603,"&lt;&gt;是",资金日记账!$V$4:$V$603,B$4),2))</f>
        <v/>
      </c>
      <c r="C28" s="76" t="str">
        <f ca="1">IF($A28="","",ROUND(SUMIFS(成本费用登记表!$H$4:$H$303,成本费用登记表!$D$4:$D$303,$A28,成本费用登记表!$AC$4:$AC$303,C$4)+SUMIFS(资金日记账!$I$4:$I$603,资金日记账!$G$4:$G$603,$A28,资金日记账!$U$4:$U$603,"&lt;&gt;是",资金日记账!$V$4:$V$603,C$4),2))</f>
        <v/>
      </c>
      <c r="D28" s="76" t="str">
        <f ca="1">IF($A28="","",ROUND(SUMIFS(成本费用登记表!$H$4:$H$303,成本费用登记表!$D$4:$D$303,$A28,成本费用登记表!$AC$4:$AC$303,D$4)+SUMIFS(资金日记账!$I$4:$I$603,资金日记账!$G$4:$G$603,$A28,资金日记账!$U$4:$U$603,"&lt;&gt;是",资金日记账!$V$4:$V$603,D$4),2))</f>
        <v/>
      </c>
      <c r="E28" s="76" t="str">
        <f ca="1">IF($A28="","",ROUND(SUMIFS(成本费用登记表!$H$4:$H$303,成本费用登记表!$D$4:$D$303,$A28,成本费用登记表!$AC$4:$AC$303,E$4)+SUMIFS(资金日记账!$I$4:$I$603,资金日记账!$G$4:$G$603,$A28,资金日记账!$U$4:$U$603,"&lt;&gt;是",资金日记账!$V$4:$V$603,E$4),2))</f>
        <v/>
      </c>
      <c r="F28" s="76" t="str">
        <f ca="1">IF($A28="","",ROUND(SUMIFS(成本费用登记表!$H$4:$H$303,成本费用登记表!$D$4:$D$303,$A28,成本费用登记表!$AC$4:$AC$303,F$4)+SUMIFS(资金日记账!$I$4:$I$603,资金日记账!$G$4:$G$603,$A28,资金日记账!$U$4:$U$603,"&lt;&gt;是",资金日记账!$V$4:$V$603,F$4),2))</f>
        <v/>
      </c>
      <c r="G28" s="76" t="str">
        <f ca="1">IF($A28="","",ROUND(SUMIFS(成本费用登记表!$H$4:$H$303,成本费用登记表!$D$4:$D$303,$A28,成本费用登记表!$AC$4:$AC$303,G$4)+SUMIFS(资金日记账!$I$4:$I$603,资金日记账!$G$4:$G$603,$A28,资金日记账!$U$4:$U$603,"&lt;&gt;是",资金日记账!$V$4:$V$603,G$4),2))</f>
        <v/>
      </c>
      <c r="H28" s="76" t="str">
        <f ca="1">IF($A28="","",ROUND(SUMIFS(成本费用登记表!$H$4:$H$303,成本费用登记表!$D$4:$D$303,$A28,成本费用登记表!$AC$4:$AC$303,H$4)+SUMIFS(资金日记账!$I$4:$I$603,资金日记账!$G$4:$G$603,$A28,资金日记账!$U$4:$U$603,"&lt;&gt;是",资金日记账!$V$4:$V$603,H$4),2))</f>
        <v/>
      </c>
      <c r="I28" s="76" t="str">
        <f ca="1">IF($A28="","",ROUND(SUMIFS(成本费用登记表!$H$4:$H$303,成本费用登记表!$D$4:$D$303,$A28,成本费用登记表!$AC$4:$AC$303,I$4)+SUMIFS(资金日记账!$I$4:$I$603,资金日记账!$G$4:$G$603,$A28,资金日记账!$U$4:$U$603,"&lt;&gt;是",资金日记账!$V$4:$V$603,I$4),2))</f>
        <v/>
      </c>
      <c r="J28" s="76" t="str">
        <f ca="1">IF($A28="","",ROUND(SUMIFS(成本费用登记表!$H$4:$H$303,成本费用登记表!$D$4:$D$303,$A28,成本费用登记表!$AC$4:$AC$303,J$4)+SUMIFS(资金日记账!$I$4:$I$603,资金日记账!$G$4:$G$603,$A28,资金日记账!$U$4:$U$603,"&lt;&gt;是",资金日记账!$V$4:$V$603,J$4),2))</f>
        <v/>
      </c>
      <c r="K28" s="76" t="str">
        <f ca="1">IF($A28="","",ROUND(SUMIFS(成本费用登记表!$H$4:$H$303,成本费用登记表!$D$4:$D$303,$A28,成本费用登记表!$AC$4:$AC$303,K$4)+SUMIFS(资金日记账!$I$4:$I$603,资金日记账!$G$4:$G$603,$A28,资金日记账!$U$4:$U$603,"&lt;&gt;是",资金日记账!$V$4:$V$603,K$4),2))</f>
        <v/>
      </c>
      <c r="L28" s="76" t="str">
        <f ca="1">IF($A28="","",ROUND(SUMIFS(成本费用登记表!$H$4:$H$303,成本费用登记表!$D$4:$D$303,$A28,成本费用登记表!$AC$4:$AC$303,L$4)+SUMIFS(资金日记账!$I$4:$I$603,资金日记账!$G$4:$G$603,$A28,资金日记账!$U$4:$U$603,"&lt;&gt;是",资金日记账!$V$4:$V$603,L$4),2))</f>
        <v/>
      </c>
      <c r="M28" s="76" t="str">
        <f ca="1">IF($A28="","",ROUND(SUMIFS(成本费用登记表!$H$4:$H$303,成本费用登记表!$D$4:$D$303,$A28,成本费用登记表!$AC$4:$AC$303,M$4)+SUMIFS(资金日记账!$I$4:$I$603,资金日记账!$G$4:$G$603,$A28,资金日记账!$U$4:$U$603,"&lt;&gt;是",资金日记账!$V$4:$V$603,M$4),2))</f>
        <v/>
      </c>
      <c r="N28" s="76" t="str">
        <f ca="1">IF($A28="","",ROUND(SUMIFS(成本费用登记表!$H$4:$H$303,成本费用登记表!$D$4:$D$303,$A28,成本费用登记表!$AC$4:$AC$303,N$4)+SUMIFS(资金日记账!$I$4:$I$603,资金日记账!$G$4:$G$603,$A28,资金日记账!$U$4:$U$603,"&lt;&gt;是",资金日记账!$V$4:$V$603,N$4),2))</f>
        <v/>
      </c>
      <c r="O28" s="76" t="str">
        <f ca="1">IF($A28="","",ROUND(SUMIFS(成本费用登记表!$H$4:$H$303,成本费用登记表!$D$4:$D$303,$A28,成本费用登记表!$AC$4:$AC$303,O$4)+SUMIFS(资金日记账!$I$4:$I$603,资金日记账!$G$4:$G$603,$A28,资金日记账!$U$4:$U$603,"&lt;&gt;是",资金日记账!$V$4:$V$603,O$4),2))</f>
        <v/>
      </c>
      <c r="P28" s="76" t="str">
        <f ca="1">IF($A28="","",ROUND(SUMIFS(成本费用登记表!$H$4:$H$303,成本费用登记表!$D$4:$D$303,$A28,成本费用登记表!$AC$4:$AC$303,P$4)+SUMIFS(资金日记账!$I$4:$I$603,资金日记账!$G$4:$G$603,$A28,资金日记账!$U$4:$U$603,"&lt;&gt;是",资金日记账!$V$4:$V$603,P$4),2))</f>
        <v/>
      </c>
      <c r="Q28" s="76" t="str">
        <f ca="1">IF($A28="","",ROUND(SUMIFS(成本费用登记表!$H$4:$H$303,成本费用登记表!$D$4:$D$303,$A28,成本费用登记表!$AC$4:$AC$303,Q$4)+SUMIFS(资金日记账!$I$4:$I$603,资金日记账!$G$4:$G$603,$A28,资金日记账!$U$4:$U$603,"&lt;&gt;是",资金日记账!$V$4:$V$603,Q$4),2))</f>
        <v/>
      </c>
      <c r="R28" s="76" t="str">
        <f ca="1">IF($A28="","",ROUND(SUMIFS(成本费用登记表!$H$4:$H$303,成本费用登记表!$D$4:$D$303,$A28,成本费用登记表!$AC$4:$AC$303,R$4)+SUMIFS(资金日记账!$I$4:$I$603,资金日记账!$G$4:$G$603,$A28,资金日记账!$U$4:$U$603,"&lt;&gt;是",资金日记账!$V$4:$V$603,R$4),2))</f>
        <v/>
      </c>
      <c r="S28" s="76" t="str">
        <f ca="1">IF($A28="","",ROUND(SUMIFS(成本费用登记表!$H$4:$H$303,成本费用登记表!$D$4:$D$303,$A28,成本费用登记表!$AC$4:$AC$303,S$4)+SUMIFS(资金日记账!$I$4:$I$603,资金日记账!$G$4:$G$603,$A28,资金日记账!$U$4:$U$603,"&lt;&gt;是",资金日记账!$V$4:$V$603,S$4),2))</f>
        <v/>
      </c>
      <c r="T28" s="76" t="str">
        <f ca="1">IF($A28="","",ROUND(SUMIFS(成本费用登记表!$H$4:$H$303,成本费用登记表!$D$4:$D$303,$A28,成本费用登记表!$AC$4:$AC$303,T$4)+SUMIFS(资金日记账!$I$4:$I$603,资金日记账!$G$4:$G$603,$A28,资金日记账!$U$4:$U$603,"&lt;&gt;是",资金日记账!$V$4:$V$603,T$4),2))</f>
        <v/>
      </c>
      <c r="U28" s="76" t="str">
        <f ca="1">IF($A28="","",ROUND(SUMIFS(成本费用登记表!$H$4:$H$303,成本费用登记表!$D$4:$D$303,$A28,成本费用登记表!$AC$4:$AC$303,U$4)+SUMIFS(资金日记账!$I$4:$I$603,资金日记账!$G$4:$G$603,$A28,资金日记账!$U$4:$U$603,"&lt;&gt;是",资金日记账!$V$4:$V$603,U$4),2))</f>
        <v/>
      </c>
      <c r="V28" s="76" t="str">
        <f ca="1">IF($A28="","",ROUND(SUMIFS(成本费用登记表!$H$4:$H$303,成本费用登记表!$D$4:$D$303,$A28,成本费用登记表!$AC$4:$AC$303,V$4)+SUMIFS(资金日记账!$I$4:$I$603,资金日记账!$G$4:$G$603,$A28,资金日记账!$U$4:$U$603,"&lt;&gt;是",资金日记账!$V$4:$V$603,V$4),2))</f>
        <v/>
      </c>
      <c r="W28" s="76" t="str">
        <f ca="1">IF($A28="","",ROUND(SUMIFS(成本费用登记表!$H$4:$H$303,成本费用登记表!$D$4:$D$303,$A28,成本费用登记表!$AC$4:$AC$303,W$4)+SUMIFS(资金日记账!$I$4:$I$603,资金日记账!$G$4:$G$603,$A28,资金日记账!$U$4:$U$603,"&lt;&gt;是",资金日记账!$V$4:$V$603,W$4),2))</f>
        <v/>
      </c>
      <c r="X28" s="76" t="str">
        <f ca="1">IF($A28="","",ROUND(SUMIFS(成本费用登记表!$H$4:$H$303,成本费用登记表!$D$4:$D$303,$A28,成本费用登记表!$AC$4:$AC$303,X$4)+SUMIFS(资金日记账!$I$4:$I$603,资金日记账!$G$4:$G$603,$A28,资金日记账!$U$4:$U$603,"&lt;&gt;是",资金日记账!$V$4:$V$603,X$4),2))</f>
        <v/>
      </c>
      <c r="Y28" s="76" t="str">
        <f ca="1">IF($A28="","",ROUND(SUMIFS(成本费用登记表!$H$4:$H$303,成本费用登记表!$D$4:$D$303,$A28,成本费用登记表!$AC$4:$AC$303,Y$4)+SUMIFS(资金日记账!$I$4:$I$603,资金日记账!$G$4:$G$603,$A28,资金日记账!$U$4:$U$603,"&lt;&gt;是",资金日记账!$V$4:$V$603,Y$4),2))</f>
        <v/>
      </c>
      <c r="Z28" s="87" t="str">
        <f ca="1" t="shared" si="1"/>
        <v/>
      </c>
      <c r="AA28" s="76" t="str">
        <f>IF($A28="","",ROUND(SUMIF(成本费用登记表!$D$4:$D$303,$A28,成本费用登记表!$AA$4:$AA$303)+SUMIFS(资金日记账!$I$4:$I$603,资金日记账!$G$4:$G$603,$A28,资金日记账!$U$4:$U$603,"&lt;&gt;是"),2))</f>
        <v/>
      </c>
      <c r="AB28" s="76" t="str">
        <f ca="1" t="shared" si="2"/>
        <v/>
      </c>
    </row>
    <row r="29" spans="1:28">
      <c r="A29" s="86" t="str">
        <f>IFERROR(INDEX(_自动清单!$X$4:$X$63,25),"")</f>
        <v/>
      </c>
      <c r="B29" s="76" t="str">
        <f ca="1">IF($A29="","",ROUND(SUMIFS(成本费用登记表!$H$4:$H$303,成本费用登记表!$D$4:$D$303,$A29,成本费用登记表!$AC$4:$AC$303,B$4)+SUMIFS(资金日记账!$I$4:$I$603,资金日记账!$G$4:$G$603,$A29,资金日记账!$U$4:$U$603,"&lt;&gt;是",资金日记账!$V$4:$V$603,B$4),2))</f>
        <v/>
      </c>
      <c r="C29" s="76" t="str">
        <f ca="1">IF($A29="","",ROUND(SUMIFS(成本费用登记表!$H$4:$H$303,成本费用登记表!$D$4:$D$303,$A29,成本费用登记表!$AC$4:$AC$303,C$4)+SUMIFS(资金日记账!$I$4:$I$603,资金日记账!$G$4:$G$603,$A29,资金日记账!$U$4:$U$603,"&lt;&gt;是",资金日记账!$V$4:$V$603,C$4),2))</f>
        <v/>
      </c>
      <c r="D29" s="76" t="str">
        <f ca="1">IF($A29="","",ROUND(SUMIFS(成本费用登记表!$H$4:$H$303,成本费用登记表!$D$4:$D$303,$A29,成本费用登记表!$AC$4:$AC$303,D$4)+SUMIFS(资金日记账!$I$4:$I$603,资金日记账!$G$4:$G$603,$A29,资金日记账!$U$4:$U$603,"&lt;&gt;是",资金日记账!$V$4:$V$603,D$4),2))</f>
        <v/>
      </c>
      <c r="E29" s="76" t="str">
        <f ca="1">IF($A29="","",ROUND(SUMIFS(成本费用登记表!$H$4:$H$303,成本费用登记表!$D$4:$D$303,$A29,成本费用登记表!$AC$4:$AC$303,E$4)+SUMIFS(资金日记账!$I$4:$I$603,资金日记账!$G$4:$G$603,$A29,资金日记账!$U$4:$U$603,"&lt;&gt;是",资金日记账!$V$4:$V$603,E$4),2))</f>
        <v/>
      </c>
      <c r="F29" s="76" t="str">
        <f ca="1">IF($A29="","",ROUND(SUMIFS(成本费用登记表!$H$4:$H$303,成本费用登记表!$D$4:$D$303,$A29,成本费用登记表!$AC$4:$AC$303,F$4)+SUMIFS(资金日记账!$I$4:$I$603,资金日记账!$G$4:$G$603,$A29,资金日记账!$U$4:$U$603,"&lt;&gt;是",资金日记账!$V$4:$V$603,F$4),2))</f>
        <v/>
      </c>
      <c r="G29" s="76" t="str">
        <f ca="1">IF($A29="","",ROUND(SUMIFS(成本费用登记表!$H$4:$H$303,成本费用登记表!$D$4:$D$303,$A29,成本费用登记表!$AC$4:$AC$303,G$4)+SUMIFS(资金日记账!$I$4:$I$603,资金日记账!$G$4:$G$603,$A29,资金日记账!$U$4:$U$603,"&lt;&gt;是",资金日记账!$V$4:$V$603,G$4),2))</f>
        <v/>
      </c>
      <c r="H29" s="76" t="str">
        <f ca="1">IF($A29="","",ROUND(SUMIFS(成本费用登记表!$H$4:$H$303,成本费用登记表!$D$4:$D$303,$A29,成本费用登记表!$AC$4:$AC$303,H$4)+SUMIFS(资金日记账!$I$4:$I$603,资金日记账!$G$4:$G$603,$A29,资金日记账!$U$4:$U$603,"&lt;&gt;是",资金日记账!$V$4:$V$603,H$4),2))</f>
        <v/>
      </c>
      <c r="I29" s="76" t="str">
        <f ca="1">IF($A29="","",ROUND(SUMIFS(成本费用登记表!$H$4:$H$303,成本费用登记表!$D$4:$D$303,$A29,成本费用登记表!$AC$4:$AC$303,I$4)+SUMIFS(资金日记账!$I$4:$I$603,资金日记账!$G$4:$G$603,$A29,资金日记账!$U$4:$U$603,"&lt;&gt;是",资金日记账!$V$4:$V$603,I$4),2))</f>
        <v/>
      </c>
      <c r="J29" s="76" t="str">
        <f ca="1">IF($A29="","",ROUND(SUMIFS(成本费用登记表!$H$4:$H$303,成本费用登记表!$D$4:$D$303,$A29,成本费用登记表!$AC$4:$AC$303,J$4)+SUMIFS(资金日记账!$I$4:$I$603,资金日记账!$G$4:$G$603,$A29,资金日记账!$U$4:$U$603,"&lt;&gt;是",资金日记账!$V$4:$V$603,J$4),2))</f>
        <v/>
      </c>
      <c r="K29" s="76" t="str">
        <f ca="1">IF($A29="","",ROUND(SUMIFS(成本费用登记表!$H$4:$H$303,成本费用登记表!$D$4:$D$303,$A29,成本费用登记表!$AC$4:$AC$303,K$4)+SUMIFS(资金日记账!$I$4:$I$603,资金日记账!$G$4:$G$603,$A29,资金日记账!$U$4:$U$603,"&lt;&gt;是",资金日记账!$V$4:$V$603,K$4),2))</f>
        <v/>
      </c>
      <c r="L29" s="76" t="str">
        <f ca="1">IF($A29="","",ROUND(SUMIFS(成本费用登记表!$H$4:$H$303,成本费用登记表!$D$4:$D$303,$A29,成本费用登记表!$AC$4:$AC$303,L$4)+SUMIFS(资金日记账!$I$4:$I$603,资金日记账!$G$4:$G$603,$A29,资金日记账!$U$4:$U$603,"&lt;&gt;是",资金日记账!$V$4:$V$603,L$4),2))</f>
        <v/>
      </c>
      <c r="M29" s="76" t="str">
        <f ca="1">IF($A29="","",ROUND(SUMIFS(成本费用登记表!$H$4:$H$303,成本费用登记表!$D$4:$D$303,$A29,成本费用登记表!$AC$4:$AC$303,M$4)+SUMIFS(资金日记账!$I$4:$I$603,资金日记账!$G$4:$G$603,$A29,资金日记账!$U$4:$U$603,"&lt;&gt;是",资金日记账!$V$4:$V$603,M$4),2))</f>
        <v/>
      </c>
      <c r="N29" s="76" t="str">
        <f ca="1">IF($A29="","",ROUND(SUMIFS(成本费用登记表!$H$4:$H$303,成本费用登记表!$D$4:$D$303,$A29,成本费用登记表!$AC$4:$AC$303,N$4)+SUMIFS(资金日记账!$I$4:$I$603,资金日记账!$G$4:$G$603,$A29,资金日记账!$U$4:$U$603,"&lt;&gt;是",资金日记账!$V$4:$V$603,N$4),2))</f>
        <v/>
      </c>
      <c r="O29" s="76" t="str">
        <f ca="1">IF($A29="","",ROUND(SUMIFS(成本费用登记表!$H$4:$H$303,成本费用登记表!$D$4:$D$303,$A29,成本费用登记表!$AC$4:$AC$303,O$4)+SUMIFS(资金日记账!$I$4:$I$603,资金日记账!$G$4:$G$603,$A29,资金日记账!$U$4:$U$603,"&lt;&gt;是",资金日记账!$V$4:$V$603,O$4),2))</f>
        <v/>
      </c>
      <c r="P29" s="76" t="str">
        <f ca="1">IF($A29="","",ROUND(SUMIFS(成本费用登记表!$H$4:$H$303,成本费用登记表!$D$4:$D$303,$A29,成本费用登记表!$AC$4:$AC$303,P$4)+SUMIFS(资金日记账!$I$4:$I$603,资金日记账!$G$4:$G$603,$A29,资金日记账!$U$4:$U$603,"&lt;&gt;是",资金日记账!$V$4:$V$603,P$4),2))</f>
        <v/>
      </c>
      <c r="Q29" s="76" t="str">
        <f ca="1">IF($A29="","",ROUND(SUMIFS(成本费用登记表!$H$4:$H$303,成本费用登记表!$D$4:$D$303,$A29,成本费用登记表!$AC$4:$AC$303,Q$4)+SUMIFS(资金日记账!$I$4:$I$603,资金日记账!$G$4:$G$603,$A29,资金日记账!$U$4:$U$603,"&lt;&gt;是",资金日记账!$V$4:$V$603,Q$4),2))</f>
        <v/>
      </c>
      <c r="R29" s="76" t="str">
        <f ca="1">IF($A29="","",ROUND(SUMIFS(成本费用登记表!$H$4:$H$303,成本费用登记表!$D$4:$D$303,$A29,成本费用登记表!$AC$4:$AC$303,R$4)+SUMIFS(资金日记账!$I$4:$I$603,资金日记账!$G$4:$G$603,$A29,资金日记账!$U$4:$U$603,"&lt;&gt;是",资金日记账!$V$4:$V$603,R$4),2))</f>
        <v/>
      </c>
      <c r="S29" s="76" t="str">
        <f ca="1">IF($A29="","",ROUND(SUMIFS(成本费用登记表!$H$4:$H$303,成本费用登记表!$D$4:$D$303,$A29,成本费用登记表!$AC$4:$AC$303,S$4)+SUMIFS(资金日记账!$I$4:$I$603,资金日记账!$G$4:$G$603,$A29,资金日记账!$U$4:$U$603,"&lt;&gt;是",资金日记账!$V$4:$V$603,S$4),2))</f>
        <v/>
      </c>
      <c r="T29" s="76" t="str">
        <f ca="1">IF($A29="","",ROUND(SUMIFS(成本费用登记表!$H$4:$H$303,成本费用登记表!$D$4:$D$303,$A29,成本费用登记表!$AC$4:$AC$303,T$4)+SUMIFS(资金日记账!$I$4:$I$603,资金日记账!$G$4:$G$603,$A29,资金日记账!$U$4:$U$603,"&lt;&gt;是",资金日记账!$V$4:$V$603,T$4),2))</f>
        <v/>
      </c>
      <c r="U29" s="76" t="str">
        <f ca="1">IF($A29="","",ROUND(SUMIFS(成本费用登记表!$H$4:$H$303,成本费用登记表!$D$4:$D$303,$A29,成本费用登记表!$AC$4:$AC$303,U$4)+SUMIFS(资金日记账!$I$4:$I$603,资金日记账!$G$4:$G$603,$A29,资金日记账!$U$4:$U$603,"&lt;&gt;是",资金日记账!$V$4:$V$603,U$4),2))</f>
        <v/>
      </c>
      <c r="V29" s="76" t="str">
        <f ca="1">IF($A29="","",ROUND(SUMIFS(成本费用登记表!$H$4:$H$303,成本费用登记表!$D$4:$D$303,$A29,成本费用登记表!$AC$4:$AC$303,V$4)+SUMIFS(资金日记账!$I$4:$I$603,资金日记账!$G$4:$G$603,$A29,资金日记账!$U$4:$U$603,"&lt;&gt;是",资金日记账!$V$4:$V$603,V$4),2))</f>
        <v/>
      </c>
      <c r="W29" s="76" t="str">
        <f ca="1">IF($A29="","",ROUND(SUMIFS(成本费用登记表!$H$4:$H$303,成本费用登记表!$D$4:$D$303,$A29,成本费用登记表!$AC$4:$AC$303,W$4)+SUMIFS(资金日记账!$I$4:$I$603,资金日记账!$G$4:$G$603,$A29,资金日记账!$U$4:$U$603,"&lt;&gt;是",资金日记账!$V$4:$V$603,W$4),2))</f>
        <v/>
      </c>
      <c r="X29" s="76" t="str">
        <f ca="1">IF($A29="","",ROUND(SUMIFS(成本费用登记表!$H$4:$H$303,成本费用登记表!$D$4:$D$303,$A29,成本费用登记表!$AC$4:$AC$303,X$4)+SUMIFS(资金日记账!$I$4:$I$603,资金日记账!$G$4:$G$603,$A29,资金日记账!$U$4:$U$603,"&lt;&gt;是",资金日记账!$V$4:$V$603,X$4),2))</f>
        <v/>
      </c>
      <c r="Y29" s="76" t="str">
        <f ca="1">IF($A29="","",ROUND(SUMIFS(成本费用登记表!$H$4:$H$303,成本费用登记表!$D$4:$D$303,$A29,成本费用登记表!$AC$4:$AC$303,Y$4)+SUMIFS(资金日记账!$I$4:$I$603,资金日记账!$G$4:$G$603,$A29,资金日记账!$U$4:$U$603,"&lt;&gt;是",资金日记账!$V$4:$V$603,Y$4),2))</f>
        <v/>
      </c>
      <c r="Z29" s="87" t="str">
        <f ca="1" t="shared" si="1"/>
        <v/>
      </c>
      <c r="AA29" s="76" t="str">
        <f>IF($A29="","",ROUND(SUMIF(成本费用登记表!$D$4:$D$303,$A29,成本费用登记表!$AA$4:$AA$303)+SUMIFS(资金日记账!$I$4:$I$603,资金日记账!$G$4:$G$603,$A29,资金日记账!$U$4:$U$603,"&lt;&gt;是"),2))</f>
        <v/>
      </c>
      <c r="AB29" s="76" t="str">
        <f ca="1" t="shared" si="2"/>
        <v/>
      </c>
    </row>
    <row r="30" spans="1:28">
      <c r="A30" s="86" t="str">
        <f>IFERROR(INDEX(_自动清单!$X$4:$X$63,26),"")</f>
        <v/>
      </c>
      <c r="B30" s="76" t="str">
        <f ca="1">IF($A30="","",ROUND(SUMIFS(成本费用登记表!$H$4:$H$303,成本费用登记表!$D$4:$D$303,$A30,成本费用登记表!$AC$4:$AC$303,B$4)+SUMIFS(资金日记账!$I$4:$I$603,资金日记账!$G$4:$G$603,$A30,资金日记账!$U$4:$U$603,"&lt;&gt;是",资金日记账!$V$4:$V$603,B$4),2))</f>
        <v/>
      </c>
      <c r="C30" s="76" t="str">
        <f ca="1">IF($A30="","",ROUND(SUMIFS(成本费用登记表!$H$4:$H$303,成本费用登记表!$D$4:$D$303,$A30,成本费用登记表!$AC$4:$AC$303,C$4)+SUMIFS(资金日记账!$I$4:$I$603,资金日记账!$G$4:$G$603,$A30,资金日记账!$U$4:$U$603,"&lt;&gt;是",资金日记账!$V$4:$V$603,C$4),2))</f>
        <v/>
      </c>
      <c r="D30" s="76" t="str">
        <f ca="1">IF($A30="","",ROUND(SUMIFS(成本费用登记表!$H$4:$H$303,成本费用登记表!$D$4:$D$303,$A30,成本费用登记表!$AC$4:$AC$303,D$4)+SUMIFS(资金日记账!$I$4:$I$603,资金日记账!$G$4:$G$603,$A30,资金日记账!$U$4:$U$603,"&lt;&gt;是",资金日记账!$V$4:$V$603,D$4),2))</f>
        <v/>
      </c>
      <c r="E30" s="76" t="str">
        <f ca="1">IF($A30="","",ROUND(SUMIFS(成本费用登记表!$H$4:$H$303,成本费用登记表!$D$4:$D$303,$A30,成本费用登记表!$AC$4:$AC$303,E$4)+SUMIFS(资金日记账!$I$4:$I$603,资金日记账!$G$4:$G$603,$A30,资金日记账!$U$4:$U$603,"&lt;&gt;是",资金日记账!$V$4:$V$603,E$4),2))</f>
        <v/>
      </c>
      <c r="F30" s="76" t="str">
        <f ca="1">IF($A30="","",ROUND(SUMIFS(成本费用登记表!$H$4:$H$303,成本费用登记表!$D$4:$D$303,$A30,成本费用登记表!$AC$4:$AC$303,F$4)+SUMIFS(资金日记账!$I$4:$I$603,资金日记账!$G$4:$G$603,$A30,资金日记账!$U$4:$U$603,"&lt;&gt;是",资金日记账!$V$4:$V$603,F$4),2))</f>
        <v/>
      </c>
      <c r="G30" s="76" t="str">
        <f ca="1">IF($A30="","",ROUND(SUMIFS(成本费用登记表!$H$4:$H$303,成本费用登记表!$D$4:$D$303,$A30,成本费用登记表!$AC$4:$AC$303,G$4)+SUMIFS(资金日记账!$I$4:$I$603,资金日记账!$G$4:$G$603,$A30,资金日记账!$U$4:$U$603,"&lt;&gt;是",资金日记账!$V$4:$V$603,G$4),2))</f>
        <v/>
      </c>
      <c r="H30" s="76" t="str">
        <f ca="1">IF($A30="","",ROUND(SUMIFS(成本费用登记表!$H$4:$H$303,成本费用登记表!$D$4:$D$303,$A30,成本费用登记表!$AC$4:$AC$303,H$4)+SUMIFS(资金日记账!$I$4:$I$603,资金日记账!$G$4:$G$603,$A30,资金日记账!$U$4:$U$603,"&lt;&gt;是",资金日记账!$V$4:$V$603,H$4),2))</f>
        <v/>
      </c>
      <c r="I30" s="76" t="str">
        <f ca="1">IF($A30="","",ROUND(SUMIFS(成本费用登记表!$H$4:$H$303,成本费用登记表!$D$4:$D$303,$A30,成本费用登记表!$AC$4:$AC$303,I$4)+SUMIFS(资金日记账!$I$4:$I$603,资金日记账!$G$4:$G$603,$A30,资金日记账!$U$4:$U$603,"&lt;&gt;是",资金日记账!$V$4:$V$603,I$4),2))</f>
        <v/>
      </c>
      <c r="J30" s="76" t="str">
        <f ca="1">IF($A30="","",ROUND(SUMIFS(成本费用登记表!$H$4:$H$303,成本费用登记表!$D$4:$D$303,$A30,成本费用登记表!$AC$4:$AC$303,J$4)+SUMIFS(资金日记账!$I$4:$I$603,资金日记账!$G$4:$G$603,$A30,资金日记账!$U$4:$U$603,"&lt;&gt;是",资金日记账!$V$4:$V$603,J$4),2))</f>
        <v/>
      </c>
      <c r="K30" s="76" t="str">
        <f ca="1">IF($A30="","",ROUND(SUMIFS(成本费用登记表!$H$4:$H$303,成本费用登记表!$D$4:$D$303,$A30,成本费用登记表!$AC$4:$AC$303,K$4)+SUMIFS(资金日记账!$I$4:$I$603,资金日记账!$G$4:$G$603,$A30,资金日记账!$U$4:$U$603,"&lt;&gt;是",资金日记账!$V$4:$V$603,K$4),2))</f>
        <v/>
      </c>
      <c r="L30" s="76" t="str">
        <f ca="1">IF($A30="","",ROUND(SUMIFS(成本费用登记表!$H$4:$H$303,成本费用登记表!$D$4:$D$303,$A30,成本费用登记表!$AC$4:$AC$303,L$4)+SUMIFS(资金日记账!$I$4:$I$603,资金日记账!$G$4:$G$603,$A30,资金日记账!$U$4:$U$603,"&lt;&gt;是",资金日记账!$V$4:$V$603,L$4),2))</f>
        <v/>
      </c>
      <c r="M30" s="76" t="str">
        <f ca="1">IF($A30="","",ROUND(SUMIFS(成本费用登记表!$H$4:$H$303,成本费用登记表!$D$4:$D$303,$A30,成本费用登记表!$AC$4:$AC$303,M$4)+SUMIFS(资金日记账!$I$4:$I$603,资金日记账!$G$4:$G$603,$A30,资金日记账!$U$4:$U$603,"&lt;&gt;是",资金日记账!$V$4:$V$603,M$4),2))</f>
        <v/>
      </c>
      <c r="N30" s="76" t="str">
        <f ca="1">IF($A30="","",ROUND(SUMIFS(成本费用登记表!$H$4:$H$303,成本费用登记表!$D$4:$D$303,$A30,成本费用登记表!$AC$4:$AC$303,N$4)+SUMIFS(资金日记账!$I$4:$I$603,资金日记账!$G$4:$G$603,$A30,资金日记账!$U$4:$U$603,"&lt;&gt;是",资金日记账!$V$4:$V$603,N$4),2))</f>
        <v/>
      </c>
      <c r="O30" s="76" t="str">
        <f ca="1">IF($A30="","",ROUND(SUMIFS(成本费用登记表!$H$4:$H$303,成本费用登记表!$D$4:$D$303,$A30,成本费用登记表!$AC$4:$AC$303,O$4)+SUMIFS(资金日记账!$I$4:$I$603,资金日记账!$G$4:$G$603,$A30,资金日记账!$U$4:$U$603,"&lt;&gt;是",资金日记账!$V$4:$V$603,O$4),2))</f>
        <v/>
      </c>
      <c r="P30" s="76" t="str">
        <f ca="1">IF($A30="","",ROUND(SUMIFS(成本费用登记表!$H$4:$H$303,成本费用登记表!$D$4:$D$303,$A30,成本费用登记表!$AC$4:$AC$303,P$4)+SUMIFS(资金日记账!$I$4:$I$603,资金日记账!$G$4:$G$603,$A30,资金日记账!$U$4:$U$603,"&lt;&gt;是",资金日记账!$V$4:$V$603,P$4),2))</f>
        <v/>
      </c>
      <c r="Q30" s="76" t="str">
        <f ca="1">IF($A30="","",ROUND(SUMIFS(成本费用登记表!$H$4:$H$303,成本费用登记表!$D$4:$D$303,$A30,成本费用登记表!$AC$4:$AC$303,Q$4)+SUMIFS(资金日记账!$I$4:$I$603,资金日记账!$G$4:$G$603,$A30,资金日记账!$U$4:$U$603,"&lt;&gt;是",资金日记账!$V$4:$V$603,Q$4),2))</f>
        <v/>
      </c>
      <c r="R30" s="76" t="str">
        <f ca="1">IF($A30="","",ROUND(SUMIFS(成本费用登记表!$H$4:$H$303,成本费用登记表!$D$4:$D$303,$A30,成本费用登记表!$AC$4:$AC$303,R$4)+SUMIFS(资金日记账!$I$4:$I$603,资金日记账!$G$4:$G$603,$A30,资金日记账!$U$4:$U$603,"&lt;&gt;是",资金日记账!$V$4:$V$603,R$4),2))</f>
        <v/>
      </c>
      <c r="S30" s="76" t="str">
        <f ca="1">IF($A30="","",ROUND(SUMIFS(成本费用登记表!$H$4:$H$303,成本费用登记表!$D$4:$D$303,$A30,成本费用登记表!$AC$4:$AC$303,S$4)+SUMIFS(资金日记账!$I$4:$I$603,资金日记账!$G$4:$G$603,$A30,资金日记账!$U$4:$U$603,"&lt;&gt;是",资金日记账!$V$4:$V$603,S$4),2))</f>
        <v/>
      </c>
      <c r="T30" s="76" t="str">
        <f ca="1">IF($A30="","",ROUND(SUMIFS(成本费用登记表!$H$4:$H$303,成本费用登记表!$D$4:$D$303,$A30,成本费用登记表!$AC$4:$AC$303,T$4)+SUMIFS(资金日记账!$I$4:$I$603,资金日记账!$G$4:$G$603,$A30,资金日记账!$U$4:$U$603,"&lt;&gt;是",资金日记账!$V$4:$V$603,T$4),2))</f>
        <v/>
      </c>
      <c r="U30" s="76" t="str">
        <f ca="1">IF($A30="","",ROUND(SUMIFS(成本费用登记表!$H$4:$H$303,成本费用登记表!$D$4:$D$303,$A30,成本费用登记表!$AC$4:$AC$303,U$4)+SUMIFS(资金日记账!$I$4:$I$603,资金日记账!$G$4:$G$603,$A30,资金日记账!$U$4:$U$603,"&lt;&gt;是",资金日记账!$V$4:$V$603,U$4),2))</f>
        <v/>
      </c>
      <c r="V30" s="76" t="str">
        <f ca="1">IF($A30="","",ROUND(SUMIFS(成本费用登记表!$H$4:$H$303,成本费用登记表!$D$4:$D$303,$A30,成本费用登记表!$AC$4:$AC$303,V$4)+SUMIFS(资金日记账!$I$4:$I$603,资金日记账!$G$4:$G$603,$A30,资金日记账!$U$4:$U$603,"&lt;&gt;是",资金日记账!$V$4:$V$603,V$4),2))</f>
        <v/>
      </c>
      <c r="W30" s="76" t="str">
        <f ca="1">IF($A30="","",ROUND(SUMIFS(成本费用登记表!$H$4:$H$303,成本费用登记表!$D$4:$D$303,$A30,成本费用登记表!$AC$4:$AC$303,W$4)+SUMIFS(资金日记账!$I$4:$I$603,资金日记账!$G$4:$G$603,$A30,资金日记账!$U$4:$U$603,"&lt;&gt;是",资金日记账!$V$4:$V$603,W$4),2))</f>
        <v/>
      </c>
      <c r="X30" s="76" t="str">
        <f ca="1">IF($A30="","",ROUND(SUMIFS(成本费用登记表!$H$4:$H$303,成本费用登记表!$D$4:$D$303,$A30,成本费用登记表!$AC$4:$AC$303,X$4)+SUMIFS(资金日记账!$I$4:$I$603,资金日记账!$G$4:$G$603,$A30,资金日记账!$U$4:$U$603,"&lt;&gt;是",资金日记账!$V$4:$V$603,X$4),2))</f>
        <v/>
      </c>
      <c r="Y30" s="76" t="str">
        <f ca="1">IF($A30="","",ROUND(SUMIFS(成本费用登记表!$H$4:$H$303,成本费用登记表!$D$4:$D$303,$A30,成本费用登记表!$AC$4:$AC$303,Y$4)+SUMIFS(资金日记账!$I$4:$I$603,资金日记账!$G$4:$G$603,$A30,资金日记账!$U$4:$U$603,"&lt;&gt;是",资金日记账!$V$4:$V$603,Y$4),2))</f>
        <v/>
      </c>
      <c r="Z30" s="87" t="str">
        <f ca="1" t="shared" si="1"/>
        <v/>
      </c>
      <c r="AA30" s="76" t="str">
        <f>IF($A30="","",ROUND(SUMIF(成本费用登记表!$D$4:$D$303,$A30,成本费用登记表!$AA$4:$AA$303)+SUMIFS(资金日记账!$I$4:$I$603,资金日记账!$G$4:$G$603,$A30,资金日记账!$U$4:$U$603,"&lt;&gt;是"),2))</f>
        <v/>
      </c>
      <c r="AB30" s="76" t="str">
        <f ca="1" t="shared" si="2"/>
        <v/>
      </c>
    </row>
    <row r="31" spans="1:28">
      <c r="A31" s="86" t="str">
        <f>IFERROR(INDEX(_自动清单!$X$4:$X$63,27),"")</f>
        <v/>
      </c>
      <c r="B31" s="76" t="str">
        <f ca="1">IF($A31="","",ROUND(SUMIFS(成本费用登记表!$H$4:$H$303,成本费用登记表!$D$4:$D$303,$A31,成本费用登记表!$AC$4:$AC$303,B$4)+SUMIFS(资金日记账!$I$4:$I$603,资金日记账!$G$4:$G$603,$A31,资金日记账!$U$4:$U$603,"&lt;&gt;是",资金日记账!$V$4:$V$603,B$4),2))</f>
        <v/>
      </c>
      <c r="C31" s="76" t="str">
        <f ca="1">IF($A31="","",ROUND(SUMIFS(成本费用登记表!$H$4:$H$303,成本费用登记表!$D$4:$D$303,$A31,成本费用登记表!$AC$4:$AC$303,C$4)+SUMIFS(资金日记账!$I$4:$I$603,资金日记账!$G$4:$G$603,$A31,资金日记账!$U$4:$U$603,"&lt;&gt;是",资金日记账!$V$4:$V$603,C$4),2))</f>
        <v/>
      </c>
      <c r="D31" s="76" t="str">
        <f ca="1">IF($A31="","",ROUND(SUMIFS(成本费用登记表!$H$4:$H$303,成本费用登记表!$D$4:$D$303,$A31,成本费用登记表!$AC$4:$AC$303,D$4)+SUMIFS(资金日记账!$I$4:$I$603,资金日记账!$G$4:$G$603,$A31,资金日记账!$U$4:$U$603,"&lt;&gt;是",资金日记账!$V$4:$V$603,D$4),2))</f>
        <v/>
      </c>
      <c r="E31" s="76" t="str">
        <f ca="1">IF($A31="","",ROUND(SUMIFS(成本费用登记表!$H$4:$H$303,成本费用登记表!$D$4:$D$303,$A31,成本费用登记表!$AC$4:$AC$303,E$4)+SUMIFS(资金日记账!$I$4:$I$603,资金日记账!$G$4:$G$603,$A31,资金日记账!$U$4:$U$603,"&lt;&gt;是",资金日记账!$V$4:$V$603,E$4),2))</f>
        <v/>
      </c>
      <c r="F31" s="76" t="str">
        <f ca="1">IF($A31="","",ROUND(SUMIFS(成本费用登记表!$H$4:$H$303,成本费用登记表!$D$4:$D$303,$A31,成本费用登记表!$AC$4:$AC$303,F$4)+SUMIFS(资金日记账!$I$4:$I$603,资金日记账!$G$4:$G$603,$A31,资金日记账!$U$4:$U$603,"&lt;&gt;是",资金日记账!$V$4:$V$603,F$4),2))</f>
        <v/>
      </c>
      <c r="G31" s="76" t="str">
        <f ca="1">IF($A31="","",ROUND(SUMIFS(成本费用登记表!$H$4:$H$303,成本费用登记表!$D$4:$D$303,$A31,成本费用登记表!$AC$4:$AC$303,G$4)+SUMIFS(资金日记账!$I$4:$I$603,资金日记账!$G$4:$G$603,$A31,资金日记账!$U$4:$U$603,"&lt;&gt;是",资金日记账!$V$4:$V$603,G$4),2))</f>
        <v/>
      </c>
      <c r="H31" s="76" t="str">
        <f ca="1">IF($A31="","",ROUND(SUMIFS(成本费用登记表!$H$4:$H$303,成本费用登记表!$D$4:$D$303,$A31,成本费用登记表!$AC$4:$AC$303,H$4)+SUMIFS(资金日记账!$I$4:$I$603,资金日记账!$G$4:$G$603,$A31,资金日记账!$U$4:$U$603,"&lt;&gt;是",资金日记账!$V$4:$V$603,H$4),2))</f>
        <v/>
      </c>
      <c r="I31" s="76" t="str">
        <f ca="1">IF($A31="","",ROUND(SUMIFS(成本费用登记表!$H$4:$H$303,成本费用登记表!$D$4:$D$303,$A31,成本费用登记表!$AC$4:$AC$303,I$4)+SUMIFS(资金日记账!$I$4:$I$603,资金日记账!$G$4:$G$603,$A31,资金日记账!$U$4:$U$603,"&lt;&gt;是",资金日记账!$V$4:$V$603,I$4),2))</f>
        <v/>
      </c>
      <c r="J31" s="76" t="str">
        <f ca="1">IF($A31="","",ROUND(SUMIFS(成本费用登记表!$H$4:$H$303,成本费用登记表!$D$4:$D$303,$A31,成本费用登记表!$AC$4:$AC$303,J$4)+SUMIFS(资金日记账!$I$4:$I$603,资金日记账!$G$4:$G$603,$A31,资金日记账!$U$4:$U$603,"&lt;&gt;是",资金日记账!$V$4:$V$603,J$4),2))</f>
        <v/>
      </c>
      <c r="K31" s="76" t="str">
        <f ca="1">IF($A31="","",ROUND(SUMIFS(成本费用登记表!$H$4:$H$303,成本费用登记表!$D$4:$D$303,$A31,成本费用登记表!$AC$4:$AC$303,K$4)+SUMIFS(资金日记账!$I$4:$I$603,资金日记账!$G$4:$G$603,$A31,资金日记账!$U$4:$U$603,"&lt;&gt;是",资金日记账!$V$4:$V$603,K$4),2))</f>
        <v/>
      </c>
      <c r="L31" s="76" t="str">
        <f ca="1">IF($A31="","",ROUND(SUMIFS(成本费用登记表!$H$4:$H$303,成本费用登记表!$D$4:$D$303,$A31,成本费用登记表!$AC$4:$AC$303,L$4)+SUMIFS(资金日记账!$I$4:$I$603,资金日记账!$G$4:$G$603,$A31,资金日记账!$U$4:$U$603,"&lt;&gt;是",资金日记账!$V$4:$V$603,L$4),2))</f>
        <v/>
      </c>
      <c r="M31" s="76" t="str">
        <f ca="1">IF($A31="","",ROUND(SUMIFS(成本费用登记表!$H$4:$H$303,成本费用登记表!$D$4:$D$303,$A31,成本费用登记表!$AC$4:$AC$303,M$4)+SUMIFS(资金日记账!$I$4:$I$603,资金日记账!$G$4:$G$603,$A31,资金日记账!$U$4:$U$603,"&lt;&gt;是",资金日记账!$V$4:$V$603,M$4),2))</f>
        <v/>
      </c>
      <c r="N31" s="76" t="str">
        <f ca="1">IF($A31="","",ROUND(SUMIFS(成本费用登记表!$H$4:$H$303,成本费用登记表!$D$4:$D$303,$A31,成本费用登记表!$AC$4:$AC$303,N$4)+SUMIFS(资金日记账!$I$4:$I$603,资金日记账!$G$4:$G$603,$A31,资金日记账!$U$4:$U$603,"&lt;&gt;是",资金日记账!$V$4:$V$603,N$4),2))</f>
        <v/>
      </c>
      <c r="O31" s="76" t="str">
        <f ca="1">IF($A31="","",ROUND(SUMIFS(成本费用登记表!$H$4:$H$303,成本费用登记表!$D$4:$D$303,$A31,成本费用登记表!$AC$4:$AC$303,O$4)+SUMIFS(资金日记账!$I$4:$I$603,资金日记账!$G$4:$G$603,$A31,资金日记账!$U$4:$U$603,"&lt;&gt;是",资金日记账!$V$4:$V$603,O$4),2))</f>
        <v/>
      </c>
      <c r="P31" s="76" t="str">
        <f ca="1">IF($A31="","",ROUND(SUMIFS(成本费用登记表!$H$4:$H$303,成本费用登记表!$D$4:$D$303,$A31,成本费用登记表!$AC$4:$AC$303,P$4)+SUMIFS(资金日记账!$I$4:$I$603,资金日记账!$G$4:$G$603,$A31,资金日记账!$U$4:$U$603,"&lt;&gt;是",资金日记账!$V$4:$V$603,P$4),2))</f>
        <v/>
      </c>
      <c r="Q31" s="76" t="str">
        <f ca="1">IF($A31="","",ROUND(SUMIFS(成本费用登记表!$H$4:$H$303,成本费用登记表!$D$4:$D$303,$A31,成本费用登记表!$AC$4:$AC$303,Q$4)+SUMIFS(资金日记账!$I$4:$I$603,资金日记账!$G$4:$G$603,$A31,资金日记账!$U$4:$U$603,"&lt;&gt;是",资金日记账!$V$4:$V$603,Q$4),2))</f>
        <v/>
      </c>
      <c r="R31" s="76" t="str">
        <f ca="1">IF($A31="","",ROUND(SUMIFS(成本费用登记表!$H$4:$H$303,成本费用登记表!$D$4:$D$303,$A31,成本费用登记表!$AC$4:$AC$303,R$4)+SUMIFS(资金日记账!$I$4:$I$603,资金日记账!$G$4:$G$603,$A31,资金日记账!$U$4:$U$603,"&lt;&gt;是",资金日记账!$V$4:$V$603,R$4),2))</f>
        <v/>
      </c>
      <c r="S31" s="76" t="str">
        <f ca="1">IF($A31="","",ROUND(SUMIFS(成本费用登记表!$H$4:$H$303,成本费用登记表!$D$4:$D$303,$A31,成本费用登记表!$AC$4:$AC$303,S$4)+SUMIFS(资金日记账!$I$4:$I$603,资金日记账!$G$4:$G$603,$A31,资金日记账!$U$4:$U$603,"&lt;&gt;是",资金日记账!$V$4:$V$603,S$4),2))</f>
        <v/>
      </c>
      <c r="T31" s="76" t="str">
        <f ca="1">IF($A31="","",ROUND(SUMIFS(成本费用登记表!$H$4:$H$303,成本费用登记表!$D$4:$D$303,$A31,成本费用登记表!$AC$4:$AC$303,T$4)+SUMIFS(资金日记账!$I$4:$I$603,资金日记账!$G$4:$G$603,$A31,资金日记账!$U$4:$U$603,"&lt;&gt;是",资金日记账!$V$4:$V$603,T$4),2))</f>
        <v/>
      </c>
      <c r="U31" s="76" t="str">
        <f ca="1">IF($A31="","",ROUND(SUMIFS(成本费用登记表!$H$4:$H$303,成本费用登记表!$D$4:$D$303,$A31,成本费用登记表!$AC$4:$AC$303,U$4)+SUMIFS(资金日记账!$I$4:$I$603,资金日记账!$G$4:$G$603,$A31,资金日记账!$U$4:$U$603,"&lt;&gt;是",资金日记账!$V$4:$V$603,U$4),2))</f>
        <v/>
      </c>
      <c r="V31" s="76" t="str">
        <f ca="1">IF($A31="","",ROUND(SUMIFS(成本费用登记表!$H$4:$H$303,成本费用登记表!$D$4:$D$303,$A31,成本费用登记表!$AC$4:$AC$303,V$4)+SUMIFS(资金日记账!$I$4:$I$603,资金日记账!$G$4:$G$603,$A31,资金日记账!$U$4:$U$603,"&lt;&gt;是",资金日记账!$V$4:$V$603,V$4),2))</f>
        <v/>
      </c>
      <c r="W31" s="76" t="str">
        <f ca="1">IF($A31="","",ROUND(SUMIFS(成本费用登记表!$H$4:$H$303,成本费用登记表!$D$4:$D$303,$A31,成本费用登记表!$AC$4:$AC$303,W$4)+SUMIFS(资金日记账!$I$4:$I$603,资金日记账!$G$4:$G$603,$A31,资金日记账!$U$4:$U$603,"&lt;&gt;是",资金日记账!$V$4:$V$603,W$4),2))</f>
        <v/>
      </c>
      <c r="X31" s="76" t="str">
        <f ca="1">IF($A31="","",ROUND(SUMIFS(成本费用登记表!$H$4:$H$303,成本费用登记表!$D$4:$D$303,$A31,成本费用登记表!$AC$4:$AC$303,X$4)+SUMIFS(资金日记账!$I$4:$I$603,资金日记账!$G$4:$G$603,$A31,资金日记账!$U$4:$U$603,"&lt;&gt;是",资金日记账!$V$4:$V$603,X$4),2))</f>
        <v/>
      </c>
      <c r="Y31" s="76" t="str">
        <f ca="1">IF($A31="","",ROUND(SUMIFS(成本费用登记表!$H$4:$H$303,成本费用登记表!$D$4:$D$303,$A31,成本费用登记表!$AC$4:$AC$303,Y$4)+SUMIFS(资金日记账!$I$4:$I$603,资金日记账!$G$4:$G$603,$A31,资金日记账!$U$4:$U$603,"&lt;&gt;是",资金日记账!$V$4:$V$603,Y$4),2))</f>
        <v/>
      </c>
      <c r="Z31" s="87" t="str">
        <f ca="1" t="shared" si="1"/>
        <v/>
      </c>
      <c r="AA31" s="76" t="str">
        <f>IF($A31="","",ROUND(SUMIF(成本费用登记表!$D$4:$D$303,$A31,成本费用登记表!$AA$4:$AA$303)+SUMIFS(资金日记账!$I$4:$I$603,资金日记账!$G$4:$G$603,$A31,资金日记账!$U$4:$U$603,"&lt;&gt;是"),2))</f>
        <v/>
      </c>
      <c r="AB31" s="76" t="str">
        <f ca="1" t="shared" si="2"/>
        <v/>
      </c>
    </row>
    <row r="32" spans="1:28">
      <c r="A32" s="86" t="str">
        <f>IFERROR(INDEX(_自动清单!$X$4:$X$63,28),"")</f>
        <v/>
      </c>
      <c r="B32" s="76" t="str">
        <f ca="1">IF($A32="","",ROUND(SUMIFS(成本费用登记表!$H$4:$H$303,成本费用登记表!$D$4:$D$303,$A32,成本费用登记表!$AC$4:$AC$303,B$4)+SUMIFS(资金日记账!$I$4:$I$603,资金日记账!$G$4:$G$603,$A32,资金日记账!$U$4:$U$603,"&lt;&gt;是",资金日记账!$V$4:$V$603,B$4),2))</f>
        <v/>
      </c>
      <c r="C32" s="76" t="str">
        <f ca="1">IF($A32="","",ROUND(SUMIFS(成本费用登记表!$H$4:$H$303,成本费用登记表!$D$4:$D$303,$A32,成本费用登记表!$AC$4:$AC$303,C$4)+SUMIFS(资金日记账!$I$4:$I$603,资金日记账!$G$4:$G$603,$A32,资金日记账!$U$4:$U$603,"&lt;&gt;是",资金日记账!$V$4:$V$603,C$4),2))</f>
        <v/>
      </c>
      <c r="D32" s="76" t="str">
        <f ca="1">IF($A32="","",ROUND(SUMIFS(成本费用登记表!$H$4:$H$303,成本费用登记表!$D$4:$D$303,$A32,成本费用登记表!$AC$4:$AC$303,D$4)+SUMIFS(资金日记账!$I$4:$I$603,资金日记账!$G$4:$G$603,$A32,资金日记账!$U$4:$U$603,"&lt;&gt;是",资金日记账!$V$4:$V$603,D$4),2))</f>
        <v/>
      </c>
      <c r="E32" s="76" t="str">
        <f ca="1">IF($A32="","",ROUND(SUMIFS(成本费用登记表!$H$4:$H$303,成本费用登记表!$D$4:$D$303,$A32,成本费用登记表!$AC$4:$AC$303,E$4)+SUMIFS(资金日记账!$I$4:$I$603,资金日记账!$G$4:$G$603,$A32,资金日记账!$U$4:$U$603,"&lt;&gt;是",资金日记账!$V$4:$V$603,E$4),2))</f>
        <v/>
      </c>
      <c r="F32" s="76" t="str">
        <f ca="1">IF($A32="","",ROUND(SUMIFS(成本费用登记表!$H$4:$H$303,成本费用登记表!$D$4:$D$303,$A32,成本费用登记表!$AC$4:$AC$303,F$4)+SUMIFS(资金日记账!$I$4:$I$603,资金日记账!$G$4:$G$603,$A32,资金日记账!$U$4:$U$603,"&lt;&gt;是",资金日记账!$V$4:$V$603,F$4),2))</f>
        <v/>
      </c>
      <c r="G32" s="76" t="str">
        <f ca="1">IF($A32="","",ROUND(SUMIFS(成本费用登记表!$H$4:$H$303,成本费用登记表!$D$4:$D$303,$A32,成本费用登记表!$AC$4:$AC$303,G$4)+SUMIFS(资金日记账!$I$4:$I$603,资金日记账!$G$4:$G$603,$A32,资金日记账!$U$4:$U$603,"&lt;&gt;是",资金日记账!$V$4:$V$603,G$4),2))</f>
        <v/>
      </c>
      <c r="H32" s="76" t="str">
        <f ca="1">IF($A32="","",ROUND(SUMIFS(成本费用登记表!$H$4:$H$303,成本费用登记表!$D$4:$D$303,$A32,成本费用登记表!$AC$4:$AC$303,H$4)+SUMIFS(资金日记账!$I$4:$I$603,资金日记账!$G$4:$G$603,$A32,资金日记账!$U$4:$U$603,"&lt;&gt;是",资金日记账!$V$4:$V$603,H$4),2))</f>
        <v/>
      </c>
      <c r="I32" s="76" t="str">
        <f ca="1">IF($A32="","",ROUND(SUMIFS(成本费用登记表!$H$4:$H$303,成本费用登记表!$D$4:$D$303,$A32,成本费用登记表!$AC$4:$AC$303,I$4)+SUMIFS(资金日记账!$I$4:$I$603,资金日记账!$G$4:$G$603,$A32,资金日记账!$U$4:$U$603,"&lt;&gt;是",资金日记账!$V$4:$V$603,I$4),2))</f>
        <v/>
      </c>
      <c r="J32" s="76" t="str">
        <f ca="1">IF($A32="","",ROUND(SUMIFS(成本费用登记表!$H$4:$H$303,成本费用登记表!$D$4:$D$303,$A32,成本费用登记表!$AC$4:$AC$303,J$4)+SUMIFS(资金日记账!$I$4:$I$603,资金日记账!$G$4:$G$603,$A32,资金日记账!$U$4:$U$603,"&lt;&gt;是",资金日记账!$V$4:$V$603,J$4),2))</f>
        <v/>
      </c>
      <c r="K32" s="76" t="str">
        <f ca="1">IF($A32="","",ROUND(SUMIFS(成本费用登记表!$H$4:$H$303,成本费用登记表!$D$4:$D$303,$A32,成本费用登记表!$AC$4:$AC$303,K$4)+SUMIFS(资金日记账!$I$4:$I$603,资金日记账!$G$4:$G$603,$A32,资金日记账!$U$4:$U$603,"&lt;&gt;是",资金日记账!$V$4:$V$603,K$4),2))</f>
        <v/>
      </c>
      <c r="L32" s="76" t="str">
        <f ca="1">IF($A32="","",ROUND(SUMIFS(成本费用登记表!$H$4:$H$303,成本费用登记表!$D$4:$D$303,$A32,成本费用登记表!$AC$4:$AC$303,L$4)+SUMIFS(资金日记账!$I$4:$I$603,资金日记账!$G$4:$G$603,$A32,资金日记账!$U$4:$U$603,"&lt;&gt;是",资金日记账!$V$4:$V$603,L$4),2))</f>
        <v/>
      </c>
      <c r="M32" s="76" t="str">
        <f ca="1">IF($A32="","",ROUND(SUMIFS(成本费用登记表!$H$4:$H$303,成本费用登记表!$D$4:$D$303,$A32,成本费用登记表!$AC$4:$AC$303,M$4)+SUMIFS(资金日记账!$I$4:$I$603,资金日记账!$G$4:$G$603,$A32,资金日记账!$U$4:$U$603,"&lt;&gt;是",资金日记账!$V$4:$V$603,M$4),2))</f>
        <v/>
      </c>
      <c r="N32" s="76" t="str">
        <f ca="1">IF($A32="","",ROUND(SUMIFS(成本费用登记表!$H$4:$H$303,成本费用登记表!$D$4:$D$303,$A32,成本费用登记表!$AC$4:$AC$303,N$4)+SUMIFS(资金日记账!$I$4:$I$603,资金日记账!$G$4:$G$603,$A32,资金日记账!$U$4:$U$603,"&lt;&gt;是",资金日记账!$V$4:$V$603,N$4),2))</f>
        <v/>
      </c>
      <c r="O32" s="76" t="str">
        <f ca="1">IF($A32="","",ROUND(SUMIFS(成本费用登记表!$H$4:$H$303,成本费用登记表!$D$4:$D$303,$A32,成本费用登记表!$AC$4:$AC$303,O$4)+SUMIFS(资金日记账!$I$4:$I$603,资金日记账!$G$4:$G$603,$A32,资金日记账!$U$4:$U$603,"&lt;&gt;是",资金日记账!$V$4:$V$603,O$4),2))</f>
        <v/>
      </c>
      <c r="P32" s="76" t="str">
        <f ca="1">IF($A32="","",ROUND(SUMIFS(成本费用登记表!$H$4:$H$303,成本费用登记表!$D$4:$D$303,$A32,成本费用登记表!$AC$4:$AC$303,P$4)+SUMIFS(资金日记账!$I$4:$I$603,资金日记账!$G$4:$G$603,$A32,资金日记账!$U$4:$U$603,"&lt;&gt;是",资金日记账!$V$4:$V$603,P$4),2))</f>
        <v/>
      </c>
      <c r="Q32" s="76" t="str">
        <f ca="1">IF($A32="","",ROUND(SUMIFS(成本费用登记表!$H$4:$H$303,成本费用登记表!$D$4:$D$303,$A32,成本费用登记表!$AC$4:$AC$303,Q$4)+SUMIFS(资金日记账!$I$4:$I$603,资金日记账!$G$4:$G$603,$A32,资金日记账!$U$4:$U$603,"&lt;&gt;是",资金日记账!$V$4:$V$603,Q$4),2))</f>
        <v/>
      </c>
      <c r="R32" s="76" t="str">
        <f ca="1">IF($A32="","",ROUND(SUMIFS(成本费用登记表!$H$4:$H$303,成本费用登记表!$D$4:$D$303,$A32,成本费用登记表!$AC$4:$AC$303,R$4)+SUMIFS(资金日记账!$I$4:$I$603,资金日记账!$G$4:$G$603,$A32,资金日记账!$U$4:$U$603,"&lt;&gt;是",资金日记账!$V$4:$V$603,R$4),2))</f>
        <v/>
      </c>
      <c r="S32" s="76" t="str">
        <f ca="1">IF($A32="","",ROUND(SUMIFS(成本费用登记表!$H$4:$H$303,成本费用登记表!$D$4:$D$303,$A32,成本费用登记表!$AC$4:$AC$303,S$4)+SUMIFS(资金日记账!$I$4:$I$603,资金日记账!$G$4:$G$603,$A32,资金日记账!$U$4:$U$603,"&lt;&gt;是",资金日记账!$V$4:$V$603,S$4),2))</f>
        <v/>
      </c>
      <c r="T32" s="76" t="str">
        <f ca="1">IF($A32="","",ROUND(SUMIFS(成本费用登记表!$H$4:$H$303,成本费用登记表!$D$4:$D$303,$A32,成本费用登记表!$AC$4:$AC$303,T$4)+SUMIFS(资金日记账!$I$4:$I$603,资金日记账!$G$4:$G$603,$A32,资金日记账!$U$4:$U$603,"&lt;&gt;是",资金日记账!$V$4:$V$603,T$4),2))</f>
        <v/>
      </c>
      <c r="U32" s="76" t="str">
        <f ca="1">IF($A32="","",ROUND(SUMIFS(成本费用登记表!$H$4:$H$303,成本费用登记表!$D$4:$D$303,$A32,成本费用登记表!$AC$4:$AC$303,U$4)+SUMIFS(资金日记账!$I$4:$I$603,资金日记账!$G$4:$G$603,$A32,资金日记账!$U$4:$U$603,"&lt;&gt;是",资金日记账!$V$4:$V$603,U$4),2))</f>
        <v/>
      </c>
      <c r="V32" s="76" t="str">
        <f ca="1">IF($A32="","",ROUND(SUMIFS(成本费用登记表!$H$4:$H$303,成本费用登记表!$D$4:$D$303,$A32,成本费用登记表!$AC$4:$AC$303,V$4)+SUMIFS(资金日记账!$I$4:$I$603,资金日记账!$G$4:$G$603,$A32,资金日记账!$U$4:$U$603,"&lt;&gt;是",资金日记账!$V$4:$V$603,V$4),2))</f>
        <v/>
      </c>
      <c r="W32" s="76" t="str">
        <f ca="1">IF($A32="","",ROUND(SUMIFS(成本费用登记表!$H$4:$H$303,成本费用登记表!$D$4:$D$303,$A32,成本费用登记表!$AC$4:$AC$303,W$4)+SUMIFS(资金日记账!$I$4:$I$603,资金日记账!$G$4:$G$603,$A32,资金日记账!$U$4:$U$603,"&lt;&gt;是",资金日记账!$V$4:$V$603,W$4),2))</f>
        <v/>
      </c>
      <c r="X32" s="76" t="str">
        <f ca="1">IF($A32="","",ROUND(SUMIFS(成本费用登记表!$H$4:$H$303,成本费用登记表!$D$4:$D$303,$A32,成本费用登记表!$AC$4:$AC$303,X$4)+SUMIFS(资金日记账!$I$4:$I$603,资金日记账!$G$4:$G$603,$A32,资金日记账!$U$4:$U$603,"&lt;&gt;是",资金日记账!$V$4:$V$603,X$4),2))</f>
        <v/>
      </c>
      <c r="Y32" s="76" t="str">
        <f ca="1">IF($A32="","",ROUND(SUMIFS(成本费用登记表!$H$4:$H$303,成本费用登记表!$D$4:$D$303,$A32,成本费用登记表!$AC$4:$AC$303,Y$4)+SUMIFS(资金日记账!$I$4:$I$603,资金日记账!$G$4:$G$603,$A32,资金日记账!$U$4:$U$603,"&lt;&gt;是",资金日记账!$V$4:$V$603,Y$4),2))</f>
        <v/>
      </c>
      <c r="Z32" s="87" t="str">
        <f ca="1" t="shared" si="1"/>
        <v/>
      </c>
      <c r="AA32" s="76" t="str">
        <f>IF($A32="","",ROUND(SUMIF(成本费用登记表!$D$4:$D$303,$A32,成本费用登记表!$AA$4:$AA$303)+SUMIFS(资金日记账!$I$4:$I$603,资金日记账!$G$4:$G$603,$A32,资金日记账!$U$4:$U$603,"&lt;&gt;是"),2))</f>
        <v/>
      </c>
      <c r="AB32" s="76" t="str">
        <f ca="1" t="shared" si="2"/>
        <v/>
      </c>
    </row>
    <row r="33" spans="1:28">
      <c r="A33" s="86" t="str">
        <f>IFERROR(INDEX(_自动清单!$X$4:$X$63,29),"")</f>
        <v/>
      </c>
      <c r="B33" s="76" t="str">
        <f ca="1">IF($A33="","",ROUND(SUMIFS(成本费用登记表!$H$4:$H$303,成本费用登记表!$D$4:$D$303,$A33,成本费用登记表!$AC$4:$AC$303,B$4)+SUMIFS(资金日记账!$I$4:$I$603,资金日记账!$G$4:$G$603,$A33,资金日记账!$U$4:$U$603,"&lt;&gt;是",资金日记账!$V$4:$V$603,B$4),2))</f>
        <v/>
      </c>
      <c r="C33" s="76" t="str">
        <f ca="1">IF($A33="","",ROUND(SUMIFS(成本费用登记表!$H$4:$H$303,成本费用登记表!$D$4:$D$303,$A33,成本费用登记表!$AC$4:$AC$303,C$4)+SUMIFS(资金日记账!$I$4:$I$603,资金日记账!$G$4:$G$603,$A33,资金日记账!$U$4:$U$603,"&lt;&gt;是",资金日记账!$V$4:$V$603,C$4),2))</f>
        <v/>
      </c>
      <c r="D33" s="76" t="str">
        <f ca="1">IF($A33="","",ROUND(SUMIFS(成本费用登记表!$H$4:$H$303,成本费用登记表!$D$4:$D$303,$A33,成本费用登记表!$AC$4:$AC$303,D$4)+SUMIFS(资金日记账!$I$4:$I$603,资金日记账!$G$4:$G$603,$A33,资金日记账!$U$4:$U$603,"&lt;&gt;是",资金日记账!$V$4:$V$603,D$4),2))</f>
        <v/>
      </c>
      <c r="E33" s="76" t="str">
        <f ca="1">IF($A33="","",ROUND(SUMIFS(成本费用登记表!$H$4:$H$303,成本费用登记表!$D$4:$D$303,$A33,成本费用登记表!$AC$4:$AC$303,E$4)+SUMIFS(资金日记账!$I$4:$I$603,资金日记账!$G$4:$G$603,$A33,资金日记账!$U$4:$U$603,"&lt;&gt;是",资金日记账!$V$4:$V$603,E$4),2))</f>
        <v/>
      </c>
      <c r="F33" s="76" t="str">
        <f ca="1">IF($A33="","",ROUND(SUMIFS(成本费用登记表!$H$4:$H$303,成本费用登记表!$D$4:$D$303,$A33,成本费用登记表!$AC$4:$AC$303,F$4)+SUMIFS(资金日记账!$I$4:$I$603,资金日记账!$G$4:$G$603,$A33,资金日记账!$U$4:$U$603,"&lt;&gt;是",资金日记账!$V$4:$V$603,F$4),2))</f>
        <v/>
      </c>
      <c r="G33" s="76" t="str">
        <f ca="1">IF($A33="","",ROUND(SUMIFS(成本费用登记表!$H$4:$H$303,成本费用登记表!$D$4:$D$303,$A33,成本费用登记表!$AC$4:$AC$303,G$4)+SUMIFS(资金日记账!$I$4:$I$603,资金日记账!$G$4:$G$603,$A33,资金日记账!$U$4:$U$603,"&lt;&gt;是",资金日记账!$V$4:$V$603,G$4),2))</f>
        <v/>
      </c>
      <c r="H33" s="76" t="str">
        <f ca="1">IF($A33="","",ROUND(SUMIFS(成本费用登记表!$H$4:$H$303,成本费用登记表!$D$4:$D$303,$A33,成本费用登记表!$AC$4:$AC$303,H$4)+SUMIFS(资金日记账!$I$4:$I$603,资金日记账!$G$4:$G$603,$A33,资金日记账!$U$4:$U$603,"&lt;&gt;是",资金日记账!$V$4:$V$603,H$4),2))</f>
        <v/>
      </c>
      <c r="I33" s="76" t="str">
        <f ca="1">IF($A33="","",ROUND(SUMIFS(成本费用登记表!$H$4:$H$303,成本费用登记表!$D$4:$D$303,$A33,成本费用登记表!$AC$4:$AC$303,I$4)+SUMIFS(资金日记账!$I$4:$I$603,资金日记账!$G$4:$G$603,$A33,资金日记账!$U$4:$U$603,"&lt;&gt;是",资金日记账!$V$4:$V$603,I$4),2))</f>
        <v/>
      </c>
      <c r="J33" s="76" t="str">
        <f ca="1">IF($A33="","",ROUND(SUMIFS(成本费用登记表!$H$4:$H$303,成本费用登记表!$D$4:$D$303,$A33,成本费用登记表!$AC$4:$AC$303,J$4)+SUMIFS(资金日记账!$I$4:$I$603,资金日记账!$G$4:$G$603,$A33,资金日记账!$U$4:$U$603,"&lt;&gt;是",资金日记账!$V$4:$V$603,J$4),2))</f>
        <v/>
      </c>
      <c r="K33" s="76" t="str">
        <f ca="1">IF($A33="","",ROUND(SUMIFS(成本费用登记表!$H$4:$H$303,成本费用登记表!$D$4:$D$303,$A33,成本费用登记表!$AC$4:$AC$303,K$4)+SUMIFS(资金日记账!$I$4:$I$603,资金日记账!$G$4:$G$603,$A33,资金日记账!$U$4:$U$603,"&lt;&gt;是",资金日记账!$V$4:$V$603,K$4),2))</f>
        <v/>
      </c>
      <c r="L33" s="76" t="str">
        <f ca="1">IF($A33="","",ROUND(SUMIFS(成本费用登记表!$H$4:$H$303,成本费用登记表!$D$4:$D$303,$A33,成本费用登记表!$AC$4:$AC$303,L$4)+SUMIFS(资金日记账!$I$4:$I$603,资金日记账!$G$4:$G$603,$A33,资金日记账!$U$4:$U$603,"&lt;&gt;是",资金日记账!$V$4:$V$603,L$4),2))</f>
        <v/>
      </c>
      <c r="M33" s="76" t="str">
        <f ca="1">IF($A33="","",ROUND(SUMIFS(成本费用登记表!$H$4:$H$303,成本费用登记表!$D$4:$D$303,$A33,成本费用登记表!$AC$4:$AC$303,M$4)+SUMIFS(资金日记账!$I$4:$I$603,资金日记账!$G$4:$G$603,$A33,资金日记账!$U$4:$U$603,"&lt;&gt;是",资金日记账!$V$4:$V$603,M$4),2))</f>
        <v/>
      </c>
      <c r="N33" s="76" t="str">
        <f ca="1">IF($A33="","",ROUND(SUMIFS(成本费用登记表!$H$4:$H$303,成本费用登记表!$D$4:$D$303,$A33,成本费用登记表!$AC$4:$AC$303,N$4)+SUMIFS(资金日记账!$I$4:$I$603,资金日记账!$G$4:$G$603,$A33,资金日记账!$U$4:$U$603,"&lt;&gt;是",资金日记账!$V$4:$V$603,N$4),2))</f>
        <v/>
      </c>
      <c r="O33" s="76" t="str">
        <f ca="1">IF($A33="","",ROUND(SUMIFS(成本费用登记表!$H$4:$H$303,成本费用登记表!$D$4:$D$303,$A33,成本费用登记表!$AC$4:$AC$303,O$4)+SUMIFS(资金日记账!$I$4:$I$603,资金日记账!$G$4:$G$603,$A33,资金日记账!$U$4:$U$603,"&lt;&gt;是",资金日记账!$V$4:$V$603,O$4),2))</f>
        <v/>
      </c>
      <c r="P33" s="76" t="str">
        <f ca="1">IF($A33="","",ROUND(SUMIFS(成本费用登记表!$H$4:$H$303,成本费用登记表!$D$4:$D$303,$A33,成本费用登记表!$AC$4:$AC$303,P$4)+SUMIFS(资金日记账!$I$4:$I$603,资金日记账!$G$4:$G$603,$A33,资金日记账!$U$4:$U$603,"&lt;&gt;是",资金日记账!$V$4:$V$603,P$4),2))</f>
        <v/>
      </c>
      <c r="Q33" s="76" t="str">
        <f ca="1">IF($A33="","",ROUND(SUMIFS(成本费用登记表!$H$4:$H$303,成本费用登记表!$D$4:$D$303,$A33,成本费用登记表!$AC$4:$AC$303,Q$4)+SUMIFS(资金日记账!$I$4:$I$603,资金日记账!$G$4:$G$603,$A33,资金日记账!$U$4:$U$603,"&lt;&gt;是",资金日记账!$V$4:$V$603,Q$4),2))</f>
        <v/>
      </c>
      <c r="R33" s="76" t="str">
        <f ca="1">IF($A33="","",ROUND(SUMIFS(成本费用登记表!$H$4:$H$303,成本费用登记表!$D$4:$D$303,$A33,成本费用登记表!$AC$4:$AC$303,R$4)+SUMIFS(资金日记账!$I$4:$I$603,资金日记账!$G$4:$G$603,$A33,资金日记账!$U$4:$U$603,"&lt;&gt;是",资金日记账!$V$4:$V$603,R$4),2))</f>
        <v/>
      </c>
      <c r="S33" s="76" t="str">
        <f ca="1">IF($A33="","",ROUND(SUMIFS(成本费用登记表!$H$4:$H$303,成本费用登记表!$D$4:$D$303,$A33,成本费用登记表!$AC$4:$AC$303,S$4)+SUMIFS(资金日记账!$I$4:$I$603,资金日记账!$G$4:$G$603,$A33,资金日记账!$U$4:$U$603,"&lt;&gt;是",资金日记账!$V$4:$V$603,S$4),2))</f>
        <v/>
      </c>
      <c r="T33" s="76" t="str">
        <f ca="1">IF($A33="","",ROUND(SUMIFS(成本费用登记表!$H$4:$H$303,成本费用登记表!$D$4:$D$303,$A33,成本费用登记表!$AC$4:$AC$303,T$4)+SUMIFS(资金日记账!$I$4:$I$603,资金日记账!$G$4:$G$603,$A33,资金日记账!$U$4:$U$603,"&lt;&gt;是",资金日记账!$V$4:$V$603,T$4),2))</f>
        <v/>
      </c>
      <c r="U33" s="76" t="str">
        <f ca="1">IF($A33="","",ROUND(SUMIFS(成本费用登记表!$H$4:$H$303,成本费用登记表!$D$4:$D$303,$A33,成本费用登记表!$AC$4:$AC$303,U$4)+SUMIFS(资金日记账!$I$4:$I$603,资金日记账!$G$4:$G$603,$A33,资金日记账!$U$4:$U$603,"&lt;&gt;是",资金日记账!$V$4:$V$603,U$4),2))</f>
        <v/>
      </c>
      <c r="V33" s="76" t="str">
        <f ca="1">IF($A33="","",ROUND(SUMIFS(成本费用登记表!$H$4:$H$303,成本费用登记表!$D$4:$D$303,$A33,成本费用登记表!$AC$4:$AC$303,V$4)+SUMIFS(资金日记账!$I$4:$I$603,资金日记账!$G$4:$G$603,$A33,资金日记账!$U$4:$U$603,"&lt;&gt;是",资金日记账!$V$4:$V$603,V$4),2))</f>
        <v/>
      </c>
      <c r="W33" s="76" t="str">
        <f ca="1">IF($A33="","",ROUND(SUMIFS(成本费用登记表!$H$4:$H$303,成本费用登记表!$D$4:$D$303,$A33,成本费用登记表!$AC$4:$AC$303,W$4)+SUMIFS(资金日记账!$I$4:$I$603,资金日记账!$G$4:$G$603,$A33,资金日记账!$U$4:$U$603,"&lt;&gt;是",资金日记账!$V$4:$V$603,W$4),2))</f>
        <v/>
      </c>
      <c r="X33" s="76" t="str">
        <f ca="1">IF($A33="","",ROUND(SUMIFS(成本费用登记表!$H$4:$H$303,成本费用登记表!$D$4:$D$303,$A33,成本费用登记表!$AC$4:$AC$303,X$4)+SUMIFS(资金日记账!$I$4:$I$603,资金日记账!$G$4:$G$603,$A33,资金日记账!$U$4:$U$603,"&lt;&gt;是",资金日记账!$V$4:$V$603,X$4),2))</f>
        <v/>
      </c>
      <c r="Y33" s="76" t="str">
        <f ca="1">IF($A33="","",ROUND(SUMIFS(成本费用登记表!$H$4:$H$303,成本费用登记表!$D$4:$D$303,$A33,成本费用登记表!$AC$4:$AC$303,Y$4)+SUMIFS(资金日记账!$I$4:$I$603,资金日记账!$G$4:$G$603,$A33,资金日记账!$U$4:$U$603,"&lt;&gt;是",资金日记账!$V$4:$V$603,Y$4),2))</f>
        <v/>
      </c>
      <c r="Z33" s="87" t="str">
        <f ca="1" t="shared" si="1"/>
        <v/>
      </c>
      <c r="AA33" s="76" t="str">
        <f>IF($A33="","",ROUND(SUMIF(成本费用登记表!$D$4:$D$303,$A33,成本费用登记表!$AA$4:$AA$303)+SUMIFS(资金日记账!$I$4:$I$603,资金日记账!$G$4:$G$603,$A33,资金日记账!$U$4:$U$603,"&lt;&gt;是"),2))</f>
        <v/>
      </c>
      <c r="AB33" s="76" t="str">
        <f ca="1" t="shared" si="2"/>
        <v/>
      </c>
    </row>
    <row r="34" spans="1:28">
      <c r="A34" s="86" t="str">
        <f>IFERROR(INDEX(_自动清单!$X$4:$X$63,30),"")</f>
        <v/>
      </c>
      <c r="B34" s="76" t="str">
        <f ca="1">IF($A34="","",ROUND(SUMIFS(成本费用登记表!$H$4:$H$303,成本费用登记表!$D$4:$D$303,$A34,成本费用登记表!$AC$4:$AC$303,B$4)+SUMIFS(资金日记账!$I$4:$I$603,资金日记账!$G$4:$G$603,$A34,资金日记账!$U$4:$U$603,"&lt;&gt;是",资金日记账!$V$4:$V$603,B$4),2))</f>
        <v/>
      </c>
      <c r="C34" s="76" t="str">
        <f ca="1">IF($A34="","",ROUND(SUMIFS(成本费用登记表!$H$4:$H$303,成本费用登记表!$D$4:$D$303,$A34,成本费用登记表!$AC$4:$AC$303,C$4)+SUMIFS(资金日记账!$I$4:$I$603,资金日记账!$G$4:$G$603,$A34,资金日记账!$U$4:$U$603,"&lt;&gt;是",资金日记账!$V$4:$V$603,C$4),2))</f>
        <v/>
      </c>
      <c r="D34" s="76" t="str">
        <f ca="1">IF($A34="","",ROUND(SUMIFS(成本费用登记表!$H$4:$H$303,成本费用登记表!$D$4:$D$303,$A34,成本费用登记表!$AC$4:$AC$303,D$4)+SUMIFS(资金日记账!$I$4:$I$603,资金日记账!$G$4:$G$603,$A34,资金日记账!$U$4:$U$603,"&lt;&gt;是",资金日记账!$V$4:$V$603,D$4),2))</f>
        <v/>
      </c>
      <c r="E34" s="76" t="str">
        <f ca="1">IF($A34="","",ROUND(SUMIFS(成本费用登记表!$H$4:$H$303,成本费用登记表!$D$4:$D$303,$A34,成本费用登记表!$AC$4:$AC$303,E$4)+SUMIFS(资金日记账!$I$4:$I$603,资金日记账!$G$4:$G$603,$A34,资金日记账!$U$4:$U$603,"&lt;&gt;是",资金日记账!$V$4:$V$603,E$4),2))</f>
        <v/>
      </c>
      <c r="F34" s="76" t="str">
        <f ca="1">IF($A34="","",ROUND(SUMIFS(成本费用登记表!$H$4:$H$303,成本费用登记表!$D$4:$D$303,$A34,成本费用登记表!$AC$4:$AC$303,F$4)+SUMIFS(资金日记账!$I$4:$I$603,资金日记账!$G$4:$G$603,$A34,资金日记账!$U$4:$U$603,"&lt;&gt;是",资金日记账!$V$4:$V$603,F$4),2))</f>
        <v/>
      </c>
      <c r="G34" s="76" t="str">
        <f ca="1">IF($A34="","",ROUND(SUMIFS(成本费用登记表!$H$4:$H$303,成本费用登记表!$D$4:$D$303,$A34,成本费用登记表!$AC$4:$AC$303,G$4)+SUMIFS(资金日记账!$I$4:$I$603,资金日记账!$G$4:$G$603,$A34,资金日记账!$U$4:$U$603,"&lt;&gt;是",资金日记账!$V$4:$V$603,G$4),2))</f>
        <v/>
      </c>
      <c r="H34" s="76" t="str">
        <f ca="1">IF($A34="","",ROUND(SUMIFS(成本费用登记表!$H$4:$H$303,成本费用登记表!$D$4:$D$303,$A34,成本费用登记表!$AC$4:$AC$303,H$4)+SUMIFS(资金日记账!$I$4:$I$603,资金日记账!$G$4:$G$603,$A34,资金日记账!$U$4:$U$603,"&lt;&gt;是",资金日记账!$V$4:$V$603,H$4),2))</f>
        <v/>
      </c>
      <c r="I34" s="76" t="str">
        <f ca="1">IF($A34="","",ROUND(SUMIFS(成本费用登记表!$H$4:$H$303,成本费用登记表!$D$4:$D$303,$A34,成本费用登记表!$AC$4:$AC$303,I$4)+SUMIFS(资金日记账!$I$4:$I$603,资金日记账!$G$4:$G$603,$A34,资金日记账!$U$4:$U$603,"&lt;&gt;是",资金日记账!$V$4:$V$603,I$4),2))</f>
        <v/>
      </c>
      <c r="J34" s="76" t="str">
        <f ca="1">IF($A34="","",ROUND(SUMIFS(成本费用登记表!$H$4:$H$303,成本费用登记表!$D$4:$D$303,$A34,成本费用登记表!$AC$4:$AC$303,J$4)+SUMIFS(资金日记账!$I$4:$I$603,资金日记账!$G$4:$G$603,$A34,资金日记账!$U$4:$U$603,"&lt;&gt;是",资金日记账!$V$4:$V$603,J$4),2))</f>
        <v/>
      </c>
      <c r="K34" s="76" t="str">
        <f ca="1">IF($A34="","",ROUND(SUMIFS(成本费用登记表!$H$4:$H$303,成本费用登记表!$D$4:$D$303,$A34,成本费用登记表!$AC$4:$AC$303,K$4)+SUMIFS(资金日记账!$I$4:$I$603,资金日记账!$G$4:$G$603,$A34,资金日记账!$U$4:$U$603,"&lt;&gt;是",资金日记账!$V$4:$V$603,K$4),2))</f>
        <v/>
      </c>
      <c r="L34" s="76" t="str">
        <f ca="1">IF($A34="","",ROUND(SUMIFS(成本费用登记表!$H$4:$H$303,成本费用登记表!$D$4:$D$303,$A34,成本费用登记表!$AC$4:$AC$303,L$4)+SUMIFS(资金日记账!$I$4:$I$603,资金日记账!$G$4:$G$603,$A34,资金日记账!$U$4:$U$603,"&lt;&gt;是",资金日记账!$V$4:$V$603,L$4),2))</f>
        <v/>
      </c>
      <c r="M34" s="76" t="str">
        <f ca="1">IF($A34="","",ROUND(SUMIFS(成本费用登记表!$H$4:$H$303,成本费用登记表!$D$4:$D$303,$A34,成本费用登记表!$AC$4:$AC$303,M$4)+SUMIFS(资金日记账!$I$4:$I$603,资金日记账!$G$4:$G$603,$A34,资金日记账!$U$4:$U$603,"&lt;&gt;是",资金日记账!$V$4:$V$603,M$4),2))</f>
        <v/>
      </c>
      <c r="N34" s="76" t="str">
        <f ca="1">IF($A34="","",ROUND(SUMIFS(成本费用登记表!$H$4:$H$303,成本费用登记表!$D$4:$D$303,$A34,成本费用登记表!$AC$4:$AC$303,N$4)+SUMIFS(资金日记账!$I$4:$I$603,资金日记账!$G$4:$G$603,$A34,资金日记账!$U$4:$U$603,"&lt;&gt;是",资金日记账!$V$4:$V$603,N$4),2))</f>
        <v/>
      </c>
      <c r="O34" s="76" t="str">
        <f ca="1">IF($A34="","",ROUND(SUMIFS(成本费用登记表!$H$4:$H$303,成本费用登记表!$D$4:$D$303,$A34,成本费用登记表!$AC$4:$AC$303,O$4)+SUMIFS(资金日记账!$I$4:$I$603,资金日记账!$G$4:$G$603,$A34,资金日记账!$U$4:$U$603,"&lt;&gt;是",资金日记账!$V$4:$V$603,O$4),2))</f>
        <v/>
      </c>
      <c r="P34" s="76" t="str">
        <f ca="1">IF($A34="","",ROUND(SUMIFS(成本费用登记表!$H$4:$H$303,成本费用登记表!$D$4:$D$303,$A34,成本费用登记表!$AC$4:$AC$303,P$4)+SUMIFS(资金日记账!$I$4:$I$603,资金日记账!$G$4:$G$603,$A34,资金日记账!$U$4:$U$603,"&lt;&gt;是",资金日记账!$V$4:$V$603,P$4),2))</f>
        <v/>
      </c>
      <c r="Q34" s="76" t="str">
        <f ca="1">IF($A34="","",ROUND(SUMIFS(成本费用登记表!$H$4:$H$303,成本费用登记表!$D$4:$D$303,$A34,成本费用登记表!$AC$4:$AC$303,Q$4)+SUMIFS(资金日记账!$I$4:$I$603,资金日记账!$G$4:$G$603,$A34,资金日记账!$U$4:$U$603,"&lt;&gt;是",资金日记账!$V$4:$V$603,Q$4),2))</f>
        <v/>
      </c>
      <c r="R34" s="76" t="str">
        <f ca="1">IF($A34="","",ROUND(SUMIFS(成本费用登记表!$H$4:$H$303,成本费用登记表!$D$4:$D$303,$A34,成本费用登记表!$AC$4:$AC$303,R$4)+SUMIFS(资金日记账!$I$4:$I$603,资金日记账!$G$4:$G$603,$A34,资金日记账!$U$4:$U$603,"&lt;&gt;是",资金日记账!$V$4:$V$603,R$4),2))</f>
        <v/>
      </c>
      <c r="S34" s="76" t="str">
        <f ca="1">IF($A34="","",ROUND(SUMIFS(成本费用登记表!$H$4:$H$303,成本费用登记表!$D$4:$D$303,$A34,成本费用登记表!$AC$4:$AC$303,S$4)+SUMIFS(资金日记账!$I$4:$I$603,资金日记账!$G$4:$G$603,$A34,资金日记账!$U$4:$U$603,"&lt;&gt;是",资金日记账!$V$4:$V$603,S$4),2))</f>
        <v/>
      </c>
      <c r="T34" s="76" t="str">
        <f ca="1">IF($A34="","",ROUND(SUMIFS(成本费用登记表!$H$4:$H$303,成本费用登记表!$D$4:$D$303,$A34,成本费用登记表!$AC$4:$AC$303,T$4)+SUMIFS(资金日记账!$I$4:$I$603,资金日记账!$G$4:$G$603,$A34,资金日记账!$U$4:$U$603,"&lt;&gt;是",资金日记账!$V$4:$V$603,T$4),2))</f>
        <v/>
      </c>
      <c r="U34" s="76" t="str">
        <f ca="1">IF($A34="","",ROUND(SUMIFS(成本费用登记表!$H$4:$H$303,成本费用登记表!$D$4:$D$303,$A34,成本费用登记表!$AC$4:$AC$303,U$4)+SUMIFS(资金日记账!$I$4:$I$603,资金日记账!$G$4:$G$603,$A34,资金日记账!$U$4:$U$603,"&lt;&gt;是",资金日记账!$V$4:$V$603,U$4),2))</f>
        <v/>
      </c>
      <c r="V34" s="76" t="str">
        <f ca="1">IF($A34="","",ROUND(SUMIFS(成本费用登记表!$H$4:$H$303,成本费用登记表!$D$4:$D$303,$A34,成本费用登记表!$AC$4:$AC$303,V$4)+SUMIFS(资金日记账!$I$4:$I$603,资金日记账!$G$4:$G$603,$A34,资金日记账!$U$4:$U$603,"&lt;&gt;是",资金日记账!$V$4:$V$603,V$4),2))</f>
        <v/>
      </c>
      <c r="W34" s="76" t="str">
        <f ca="1">IF($A34="","",ROUND(SUMIFS(成本费用登记表!$H$4:$H$303,成本费用登记表!$D$4:$D$303,$A34,成本费用登记表!$AC$4:$AC$303,W$4)+SUMIFS(资金日记账!$I$4:$I$603,资金日记账!$G$4:$G$603,$A34,资金日记账!$U$4:$U$603,"&lt;&gt;是",资金日记账!$V$4:$V$603,W$4),2))</f>
        <v/>
      </c>
      <c r="X34" s="76" t="str">
        <f ca="1">IF($A34="","",ROUND(SUMIFS(成本费用登记表!$H$4:$H$303,成本费用登记表!$D$4:$D$303,$A34,成本费用登记表!$AC$4:$AC$303,X$4)+SUMIFS(资金日记账!$I$4:$I$603,资金日记账!$G$4:$G$603,$A34,资金日记账!$U$4:$U$603,"&lt;&gt;是",资金日记账!$V$4:$V$603,X$4),2))</f>
        <v/>
      </c>
      <c r="Y34" s="76" t="str">
        <f ca="1">IF($A34="","",ROUND(SUMIFS(成本费用登记表!$H$4:$H$303,成本费用登记表!$D$4:$D$303,$A34,成本费用登记表!$AC$4:$AC$303,Y$4)+SUMIFS(资金日记账!$I$4:$I$603,资金日记账!$G$4:$G$603,$A34,资金日记账!$U$4:$U$603,"&lt;&gt;是",资金日记账!$V$4:$V$603,Y$4),2))</f>
        <v/>
      </c>
      <c r="Z34" s="87" t="str">
        <f ca="1" t="shared" si="1"/>
        <v/>
      </c>
      <c r="AA34" s="76" t="str">
        <f>IF($A34="","",ROUND(SUMIF(成本费用登记表!$D$4:$D$303,$A34,成本费用登记表!$AA$4:$AA$303)+SUMIFS(资金日记账!$I$4:$I$603,资金日记账!$G$4:$G$603,$A34,资金日记账!$U$4:$U$603,"&lt;&gt;是"),2))</f>
        <v/>
      </c>
      <c r="AB34" s="76" t="str">
        <f ca="1" t="shared" si="2"/>
        <v/>
      </c>
    </row>
    <row r="35" spans="1:28">
      <c r="A35" s="86" t="str">
        <f>IFERROR(INDEX(_自动清单!$X$4:$X$63,31),"")</f>
        <v/>
      </c>
      <c r="B35" s="76" t="str">
        <f ca="1">IF($A35="","",ROUND(SUMIFS(成本费用登记表!$H$4:$H$303,成本费用登记表!$D$4:$D$303,$A35,成本费用登记表!$AC$4:$AC$303,B$4)+SUMIFS(资金日记账!$I$4:$I$603,资金日记账!$G$4:$G$603,$A35,资金日记账!$U$4:$U$603,"&lt;&gt;是",资金日记账!$V$4:$V$603,B$4),2))</f>
        <v/>
      </c>
      <c r="C35" s="76" t="str">
        <f ca="1">IF($A35="","",ROUND(SUMIFS(成本费用登记表!$H$4:$H$303,成本费用登记表!$D$4:$D$303,$A35,成本费用登记表!$AC$4:$AC$303,C$4)+SUMIFS(资金日记账!$I$4:$I$603,资金日记账!$G$4:$G$603,$A35,资金日记账!$U$4:$U$603,"&lt;&gt;是",资金日记账!$V$4:$V$603,C$4),2))</f>
        <v/>
      </c>
      <c r="D35" s="76" t="str">
        <f ca="1">IF($A35="","",ROUND(SUMIFS(成本费用登记表!$H$4:$H$303,成本费用登记表!$D$4:$D$303,$A35,成本费用登记表!$AC$4:$AC$303,D$4)+SUMIFS(资金日记账!$I$4:$I$603,资金日记账!$G$4:$G$603,$A35,资金日记账!$U$4:$U$603,"&lt;&gt;是",资金日记账!$V$4:$V$603,D$4),2))</f>
        <v/>
      </c>
      <c r="E35" s="76" t="str">
        <f ca="1">IF($A35="","",ROUND(SUMIFS(成本费用登记表!$H$4:$H$303,成本费用登记表!$D$4:$D$303,$A35,成本费用登记表!$AC$4:$AC$303,E$4)+SUMIFS(资金日记账!$I$4:$I$603,资金日记账!$G$4:$G$603,$A35,资金日记账!$U$4:$U$603,"&lt;&gt;是",资金日记账!$V$4:$V$603,E$4),2))</f>
        <v/>
      </c>
      <c r="F35" s="76" t="str">
        <f ca="1">IF($A35="","",ROUND(SUMIFS(成本费用登记表!$H$4:$H$303,成本费用登记表!$D$4:$D$303,$A35,成本费用登记表!$AC$4:$AC$303,F$4)+SUMIFS(资金日记账!$I$4:$I$603,资金日记账!$G$4:$G$603,$A35,资金日记账!$U$4:$U$603,"&lt;&gt;是",资金日记账!$V$4:$V$603,F$4),2))</f>
        <v/>
      </c>
      <c r="G35" s="76" t="str">
        <f ca="1">IF($A35="","",ROUND(SUMIFS(成本费用登记表!$H$4:$H$303,成本费用登记表!$D$4:$D$303,$A35,成本费用登记表!$AC$4:$AC$303,G$4)+SUMIFS(资金日记账!$I$4:$I$603,资金日记账!$G$4:$G$603,$A35,资金日记账!$U$4:$U$603,"&lt;&gt;是",资金日记账!$V$4:$V$603,G$4),2))</f>
        <v/>
      </c>
      <c r="H35" s="76" t="str">
        <f ca="1">IF($A35="","",ROUND(SUMIFS(成本费用登记表!$H$4:$H$303,成本费用登记表!$D$4:$D$303,$A35,成本费用登记表!$AC$4:$AC$303,H$4)+SUMIFS(资金日记账!$I$4:$I$603,资金日记账!$G$4:$G$603,$A35,资金日记账!$U$4:$U$603,"&lt;&gt;是",资金日记账!$V$4:$V$603,H$4),2))</f>
        <v/>
      </c>
      <c r="I35" s="76" t="str">
        <f ca="1">IF($A35="","",ROUND(SUMIFS(成本费用登记表!$H$4:$H$303,成本费用登记表!$D$4:$D$303,$A35,成本费用登记表!$AC$4:$AC$303,I$4)+SUMIFS(资金日记账!$I$4:$I$603,资金日记账!$G$4:$G$603,$A35,资金日记账!$U$4:$U$603,"&lt;&gt;是",资金日记账!$V$4:$V$603,I$4),2))</f>
        <v/>
      </c>
      <c r="J35" s="76" t="str">
        <f ca="1">IF($A35="","",ROUND(SUMIFS(成本费用登记表!$H$4:$H$303,成本费用登记表!$D$4:$D$303,$A35,成本费用登记表!$AC$4:$AC$303,J$4)+SUMIFS(资金日记账!$I$4:$I$603,资金日记账!$G$4:$G$603,$A35,资金日记账!$U$4:$U$603,"&lt;&gt;是",资金日记账!$V$4:$V$603,J$4),2))</f>
        <v/>
      </c>
      <c r="K35" s="76" t="str">
        <f ca="1">IF($A35="","",ROUND(SUMIFS(成本费用登记表!$H$4:$H$303,成本费用登记表!$D$4:$D$303,$A35,成本费用登记表!$AC$4:$AC$303,K$4)+SUMIFS(资金日记账!$I$4:$I$603,资金日记账!$G$4:$G$603,$A35,资金日记账!$U$4:$U$603,"&lt;&gt;是",资金日记账!$V$4:$V$603,K$4),2))</f>
        <v/>
      </c>
      <c r="L35" s="76" t="str">
        <f ca="1">IF($A35="","",ROUND(SUMIFS(成本费用登记表!$H$4:$H$303,成本费用登记表!$D$4:$D$303,$A35,成本费用登记表!$AC$4:$AC$303,L$4)+SUMIFS(资金日记账!$I$4:$I$603,资金日记账!$G$4:$G$603,$A35,资金日记账!$U$4:$U$603,"&lt;&gt;是",资金日记账!$V$4:$V$603,L$4),2))</f>
        <v/>
      </c>
      <c r="M35" s="76" t="str">
        <f ca="1">IF($A35="","",ROUND(SUMIFS(成本费用登记表!$H$4:$H$303,成本费用登记表!$D$4:$D$303,$A35,成本费用登记表!$AC$4:$AC$303,M$4)+SUMIFS(资金日记账!$I$4:$I$603,资金日记账!$G$4:$G$603,$A35,资金日记账!$U$4:$U$603,"&lt;&gt;是",资金日记账!$V$4:$V$603,M$4),2))</f>
        <v/>
      </c>
      <c r="N35" s="76" t="str">
        <f ca="1">IF($A35="","",ROUND(SUMIFS(成本费用登记表!$H$4:$H$303,成本费用登记表!$D$4:$D$303,$A35,成本费用登记表!$AC$4:$AC$303,N$4)+SUMIFS(资金日记账!$I$4:$I$603,资金日记账!$G$4:$G$603,$A35,资金日记账!$U$4:$U$603,"&lt;&gt;是",资金日记账!$V$4:$V$603,N$4),2))</f>
        <v/>
      </c>
      <c r="O35" s="76" t="str">
        <f ca="1">IF($A35="","",ROUND(SUMIFS(成本费用登记表!$H$4:$H$303,成本费用登记表!$D$4:$D$303,$A35,成本费用登记表!$AC$4:$AC$303,O$4)+SUMIFS(资金日记账!$I$4:$I$603,资金日记账!$G$4:$G$603,$A35,资金日记账!$U$4:$U$603,"&lt;&gt;是",资金日记账!$V$4:$V$603,O$4),2))</f>
        <v/>
      </c>
      <c r="P35" s="76" t="str">
        <f ca="1">IF($A35="","",ROUND(SUMIFS(成本费用登记表!$H$4:$H$303,成本费用登记表!$D$4:$D$303,$A35,成本费用登记表!$AC$4:$AC$303,P$4)+SUMIFS(资金日记账!$I$4:$I$603,资金日记账!$G$4:$G$603,$A35,资金日记账!$U$4:$U$603,"&lt;&gt;是",资金日记账!$V$4:$V$603,P$4),2))</f>
        <v/>
      </c>
      <c r="Q35" s="76" t="str">
        <f ca="1">IF($A35="","",ROUND(SUMIFS(成本费用登记表!$H$4:$H$303,成本费用登记表!$D$4:$D$303,$A35,成本费用登记表!$AC$4:$AC$303,Q$4)+SUMIFS(资金日记账!$I$4:$I$603,资金日记账!$G$4:$G$603,$A35,资金日记账!$U$4:$U$603,"&lt;&gt;是",资金日记账!$V$4:$V$603,Q$4),2))</f>
        <v/>
      </c>
      <c r="R35" s="76" t="str">
        <f ca="1">IF($A35="","",ROUND(SUMIFS(成本费用登记表!$H$4:$H$303,成本费用登记表!$D$4:$D$303,$A35,成本费用登记表!$AC$4:$AC$303,R$4)+SUMIFS(资金日记账!$I$4:$I$603,资金日记账!$G$4:$G$603,$A35,资金日记账!$U$4:$U$603,"&lt;&gt;是",资金日记账!$V$4:$V$603,R$4),2))</f>
        <v/>
      </c>
      <c r="S35" s="76" t="str">
        <f ca="1">IF($A35="","",ROUND(SUMIFS(成本费用登记表!$H$4:$H$303,成本费用登记表!$D$4:$D$303,$A35,成本费用登记表!$AC$4:$AC$303,S$4)+SUMIFS(资金日记账!$I$4:$I$603,资金日记账!$G$4:$G$603,$A35,资金日记账!$U$4:$U$603,"&lt;&gt;是",资金日记账!$V$4:$V$603,S$4),2))</f>
        <v/>
      </c>
      <c r="T35" s="76" t="str">
        <f ca="1">IF($A35="","",ROUND(SUMIFS(成本费用登记表!$H$4:$H$303,成本费用登记表!$D$4:$D$303,$A35,成本费用登记表!$AC$4:$AC$303,T$4)+SUMIFS(资金日记账!$I$4:$I$603,资金日记账!$G$4:$G$603,$A35,资金日记账!$U$4:$U$603,"&lt;&gt;是",资金日记账!$V$4:$V$603,T$4),2))</f>
        <v/>
      </c>
      <c r="U35" s="76" t="str">
        <f ca="1">IF($A35="","",ROUND(SUMIFS(成本费用登记表!$H$4:$H$303,成本费用登记表!$D$4:$D$303,$A35,成本费用登记表!$AC$4:$AC$303,U$4)+SUMIFS(资金日记账!$I$4:$I$603,资金日记账!$G$4:$G$603,$A35,资金日记账!$U$4:$U$603,"&lt;&gt;是",资金日记账!$V$4:$V$603,U$4),2))</f>
        <v/>
      </c>
      <c r="V35" s="76" t="str">
        <f ca="1">IF($A35="","",ROUND(SUMIFS(成本费用登记表!$H$4:$H$303,成本费用登记表!$D$4:$D$303,$A35,成本费用登记表!$AC$4:$AC$303,V$4)+SUMIFS(资金日记账!$I$4:$I$603,资金日记账!$G$4:$G$603,$A35,资金日记账!$U$4:$U$603,"&lt;&gt;是",资金日记账!$V$4:$V$603,V$4),2))</f>
        <v/>
      </c>
      <c r="W35" s="76" t="str">
        <f ca="1">IF($A35="","",ROUND(SUMIFS(成本费用登记表!$H$4:$H$303,成本费用登记表!$D$4:$D$303,$A35,成本费用登记表!$AC$4:$AC$303,W$4)+SUMIFS(资金日记账!$I$4:$I$603,资金日记账!$G$4:$G$603,$A35,资金日记账!$U$4:$U$603,"&lt;&gt;是",资金日记账!$V$4:$V$603,W$4),2))</f>
        <v/>
      </c>
      <c r="X35" s="76" t="str">
        <f ca="1">IF($A35="","",ROUND(SUMIFS(成本费用登记表!$H$4:$H$303,成本费用登记表!$D$4:$D$303,$A35,成本费用登记表!$AC$4:$AC$303,X$4)+SUMIFS(资金日记账!$I$4:$I$603,资金日记账!$G$4:$G$603,$A35,资金日记账!$U$4:$U$603,"&lt;&gt;是",资金日记账!$V$4:$V$603,X$4),2))</f>
        <v/>
      </c>
      <c r="Y35" s="76" t="str">
        <f ca="1">IF($A35="","",ROUND(SUMIFS(成本费用登记表!$H$4:$H$303,成本费用登记表!$D$4:$D$303,$A35,成本费用登记表!$AC$4:$AC$303,Y$4)+SUMIFS(资金日记账!$I$4:$I$603,资金日记账!$G$4:$G$603,$A35,资金日记账!$U$4:$U$603,"&lt;&gt;是",资金日记账!$V$4:$V$603,Y$4),2))</f>
        <v/>
      </c>
      <c r="Z35" s="87" t="str">
        <f ca="1" t="shared" si="1"/>
        <v/>
      </c>
      <c r="AA35" s="76" t="str">
        <f>IF($A35="","",ROUND(SUMIF(成本费用登记表!$D$4:$D$303,$A35,成本费用登记表!$AA$4:$AA$303)+SUMIFS(资金日记账!$I$4:$I$603,资金日记账!$G$4:$G$603,$A35,资金日记账!$U$4:$U$603,"&lt;&gt;是"),2))</f>
        <v/>
      </c>
      <c r="AB35" s="76" t="str">
        <f ca="1" t="shared" si="2"/>
        <v/>
      </c>
    </row>
    <row r="36" spans="1:28">
      <c r="A36" s="86" t="str">
        <f>IFERROR(INDEX(_自动清单!$X$4:$X$63,32),"")</f>
        <v/>
      </c>
      <c r="B36" s="76" t="str">
        <f ca="1">IF($A36="","",ROUND(SUMIFS(成本费用登记表!$H$4:$H$303,成本费用登记表!$D$4:$D$303,$A36,成本费用登记表!$AC$4:$AC$303,B$4)+SUMIFS(资金日记账!$I$4:$I$603,资金日记账!$G$4:$G$603,$A36,资金日记账!$U$4:$U$603,"&lt;&gt;是",资金日记账!$V$4:$V$603,B$4),2))</f>
        <v/>
      </c>
      <c r="C36" s="76" t="str">
        <f ca="1">IF($A36="","",ROUND(SUMIFS(成本费用登记表!$H$4:$H$303,成本费用登记表!$D$4:$D$303,$A36,成本费用登记表!$AC$4:$AC$303,C$4)+SUMIFS(资金日记账!$I$4:$I$603,资金日记账!$G$4:$G$603,$A36,资金日记账!$U$4:$U$603,"&lt;&gt;是",资金日记账!$V$4:$V$603,C$4),2))</f>
        <v/>
      </c>
      <c r="D36" s="76" t="str">
        <f ca="1">IF($A36="","",ROUND(SUMIFS(成本费用登记表!$H$4:$H$303,成本费用登记表!$D$4:$D$303,$A36,成本费用登记表!$AC$4:$AC$303,D$4)+SUMIFS(资金日记账!$I$4:$I$603,资金日记账!$G$4:$G$603,$A36,资金日记账!$U$4:$U$603,"&lt;&gt;是",资金日记账!$V$4:$V$603,D$4),2))</f>
        <v/>
      </c>
      <c r="E36" s="76" t="str">
        <f ca="1">IF($A36="","",ROUND(SUMIFS(成本费用登记表!$H$4:$H$303,成本费用登记表!$D$4:$D$303,$A36,成本费用登记表!$AC$4:$AC$303,E$4)+SUMIFS(资金日记账!$I$4:$I$603,资金日记账!$G$4:$G$603,$A36,资金日记账!$U$4:$U$603,"&lt;&gt;是",资金日记账!$V$4:$V$603,E$4),2))</f>
        <v/>
      </c>
      <c r="F36" s="76" t="str">
        <f ca="1">IF($A36="","",ROUND(SUMIFS(成本费用登记表!$H$4:$H$303,成本费用登记表!$D$4:$D$303,$A36,成本费用登记表!$AC$4:$AC$303,F$4)+SUMIFS(资金日记账!$I$4:$I$603,资金日记账!$G$4:$G$603,$A36,资金日记账!$U$4:$U$603,"&lt;&gt;是",资金日记账!$V$4:$V$603,F$4),2))</f>
        <v/>
      </c>
      <c r="G36" s="76" t="str">
        <f ca="1">IF($A36="","",ROUND(SUMIFS(成本费用登记表!$H$4:$H$303,成本费用登记表!$D$4:$D$303,$A36,成本费用登记表!$AC$4:$AC$303,G$4)+SUMIFS(资金日记账!$I$4:$I$603,资金日记账!$G$4:$G$603,$A36,资金日记账!$U$4:$U$603,"&lt;&gt;是",资金日记账!$V$4:$V$603,G$4),2))</f>
        <v/>
      </c>
      <c r="H36" s="76" t="str">
        <f ca="1">IF($A36="","",ROUND(SUMIFS(成本费用登记表!$H$4:$H$303,成本费用登记表!$D$4:$D$303,$A36,成本费用登记表!$AC$4:$AC$303,H$4)+SUMIFS(资金日记账!$I$4:$I$603,资金日记账!$G$4:$G$603,$A36,资金日记账!$U$4:$U$603,"&lt;&gt;是",资金日记账!$V$4:$V$603,H$4),2))</f>
        <v/>
      </c>
      <c r="I36" s="76" t="str">
        <f ca="1">IF($A36="","",ROUND(SUMIFS(成本费用登记表!$H$4:$H$303,成本费用登记表!$D$4:$D$303,$A36,成本费用登记表!$AC$4:$AC$303,I$4)+SUMIFS(资金日记账!$I$4:$I$603,资金日记账!$G$4:$G$603,$A36,资金日记账!$U$4:$U$603,"&lt;&gt;是",资金日记账!$V$4:$V$603,I$4),2))</f>
        <v/>
      </c>
      <c r="J36" s="76" t="str">
        <f ca="1">IF($A36="","",ROUND(SUMIFS(成本费用登记表!$H$4:$H$303,成本费用登记表!$D$4:$D$303,$A36,成本费用登记表!$AC$4:$AC$303,J$4)+SUMIFS(资金日记账!$I$4:$I$603,资金日记账!$G$4:$G$603,$A36,资金日记账!$U$4:$U$603,"&lt;&gt;是",资金日记账!$V$4:$V$603,J$4),2))</f>
        <v/>
      </c>
      <c r="K36" s="76" t="str">
        <f ca="1">IF($A36="","",ROUND(SUMIFS(成本费用登记表!$H$4:$H$303,成本费用登记表!$D$4:$D$303,$A36,成本费用登记表!$AC$4:$AC$303,K$4)+SUMIFS(资金日记账!$I$4:$I$603,资金日记账!$G$4:$G$603,$A36,资金日记账!$U$4:$U$603,"&lt;&gt;是",资金日记账!$V$4:$V$603,K$4),2))</f>
        <v/>
      </c>
      <c r="L36" s="76" t="str">
        <f ca="1">IF($A36="","",ROUND(SUMIFS(成本费用登记表!$H$4:$H$303,成本费用登记表!$D$4:$D$303,$A36,成本费用登记表!$AC$4:$AC$303,L$4)+SUMIFS(资金日记账!$I$4:$I$603,资金日记账!$G$4:$G$603,$A36,资金日记账!$U$4:$U$603,"&lt;&gt;是",资金日记账!$V$4:$V$603,L$4),2))</f>
        <v/>
      </c>
      <c r="M36" s="76" t="str">
        <f ca="1">IF($A36="","",ROUND(SUMIFS(成本费用登记表!$H$4:$H$303,成本费用登记表!$D$4:$D$303,$A36,成本费用登记表!$AC$4:$AC$303,M$4)+SUMIFS(资金日记账!$I$4:$I$603,资金日记账!$G$4:$G$603,$A36,资金日记账!$U$4:$U$603,"&lt;&gt;是",资金日记账!$V$4:$V$603,M$4),2))</f>
        <v/>
      </c>
      <c r="N36" s="76" t="str">
        <f ca="1">IF($A36="","",ROUND(SUMIFS(成本费用登记表!$H$4:$H$303,成本费用登记表!$D$4:$D$303,$A36,成本费用登记表!$AC$4:$AC$303,N$4)+SUMIFS(资金日记账!$I$4:$I$603,资金日记账!$G$4:$G$603,$A36,资金日记账!$U$4:$U$603,"&lt;&gt;是",资金日记账!$V$4:$V$603,N$4),2))</f>
        <v/>
      </c>
      <c r="O36" s="76" t="str">
        <f ca="1">IF($A36="","",ROUND(SUMIFS(成本费用登记表!$H$4:$H$303,成本费用登记表!$D$4:$D$303,$A36,成本费用登记表!$AC$4:$AC$303,O$4)+SUMIFS(资金日记账!$I$4:$I$603,资金日记账!$G$4:$G$603,$A36,资金日记账!$U$4:$U$603,"&lt;&gt;是",资金日记账!$V$4:$V$603,O$4),2))</f>
        <v/>
      </c>
      <c r="P36" s="76" t="str">
        <f ca="1">IF($A36="","",ROUND(SUMIFS(成本费用登记表!$H$4:$H$303,成本费用登记表!$D$4:$D$303,$A36,成本费用登记表!$AC$4:$AC$303,P$4)+SUMIFS(资金日记账!$I$4:$I$603,资金日记账!$G$4:$G$603,$A36,资金日记账!$U$4:$U$603,"&lt;&gt;是",资金日记账!$V$4:$V$603,P$4),2))</f>
        <v/>
      </c>
      <c r="Q36" s="76" t="str">
        <f ca="1">IF($A36="","",ROUND(SUMIFS(成本费用登记表!$H$4:$H$303,成本费用登记表!$D$4:$D$303,$A36,成本费用登记表!$AC$4:$AC$303,Q$4)+SUMIFS(资金日记账!$I$4:$I$603,资金日记账!$G$4:$G$603,$A36,资金日记账!$U$4:$U$603,"&lt;&gt;是",资金日记账!$V$4:$V$603,Q$4),2))</f>
        <v/>
      </c>
      <c r="R36" s="76" t="str">
        <f ca="1">IF($A36="","",ROUND(SUMIFS(成本费用登记表!$H$4:$H$303,成本费用登记表!$D$4:$D$303,$A36,成本费用登记表!$AC$4:$AC$303,R$4)+SUMIFS(资金日记账!$I$4:$I$603,资金日记账!$G$4:$G$603,$A36,资金日记账!$U$4:$U$603,"&lt;&gt;是",资金日记账!$V$4:$V$603,R$4),2))</f>
        <v/>
      </c>
      <c r="S36" s="76" t="str">
        <f ca="1">IF($A36="","",ROUND(SUMIFS(成本费用登记表!$H$4:$H$303,成本费用登记表!$D$4:$D$303,$A36,成本费用登记表!$AC$4:$AC$303,S$4)+SUMIFS(资金日记账!$I$4:$I$603,资金日记账!$G$4:$G$603,$A36,资金日记账!$U$4:$U$603,"&lt;&gt;是",资金日记账!$V$4:$V$603,S$4),2))</f>
        <v/>
      </c>
      <c r="T36" s="76" t="str">
        <f ca="1">IF($A36="","",ROUND(SUMIFS(成本费用登记表!$H$4:$H$303,成本费用登记表!$D$4:$D$303,$A36,成本费用登记表!$AC$4:$AC$303,T$4)+SUMIFS(资金日记账!$I$4:$I$603,资金日记账!$G$4:$G$603,$A36,资金日记账!$U$4:$U$603,"&lt;&gt;是",资金日记账!$V$4:$V$603,T$4),2))</f>
        <v/>
      </c>
      <c r="U36" s="76" t="str">
        <f ca="1">IF($A36="","",ROUND(SUMIFS(成本费用登记表!$H$4:$H$303,成本费用登记表!$D$4:$D$303,$A36,成本费用登记表!$AC$4:$AC$303,U$4)+SUMIFS(资金日记账!$I$4:$I$603,资金日记账!$G$4:$G$603,$A36,资金日记账!$U$4:$U$603,"&lt;&gt;是",资金日记账!$V$4:$V$603,U$4),2))</f>
        <v/>
      </c>
      <c r="V36" s="76" t="str">
        <f ca="1">IF($A36="","",ROUND(SUMIFS(成本费用登记表!$H$4:$H$303,成本费用登记表!$D$4:$D$303,$A36,成本费用登记表!$AC$4:$AC$303,V$4)+SUMIFS(资金日记账!$I$4:$I$603,资金日记账!$G$4:$G$603,$A36,资金日记账!$U$4:$U$603,"&lt;&gt;是",资金日记账!$V$4:$V$603,V$4),2))</f>
        <v/>
      </c>
      <c r="W36" s="76" t="str">
        <f ca="1">IF($A36="","",ROUND(SUMIFS(成本费用登记表!$H$4:$H$303,成本费用登记表!$D$4:$D$303,$A36,成本费用登记表!$AC$4:$AC$303,W$4)+SUMIFS(资金日记账!$I$4:$I$603,资金日记账!$G$4:$G$603,$A36,资金日记账!$U$4:$U$603,"&lt;&gt;是",资金日记账!$V$4:$V$603,W$4),2))</f>
        <v/>
      </c>
      <c r="X36" s="76" t="str">
        <f ca="1">IF($A36="","",ROUND(SUMIFS(成本费用登记表!$H$4:$H$303,成本费用登记表!$D$4:$D$303,$A36,成本费用登记表!$AC$4:$AC$303,X$4)+SUMIFS(资金日记账!$I$4:$I$603,资金日记账!$G$4:$G$603,$A36,资金日记账!$U$4:$U$603,"&lt;&gt;是",资金日记账!$V$4:$V$603,X$4),2))</f>
        <v/>
      </c>
      <c r="Y36" s="76" t="str">
        <f ca="1">IF($A36="","",ROUND(SUMIFS(成本费用登记表!$H$4:$H$303,成本费用登记表!$D$4:$D$303,$A36,成本费用登记表!$AC$4:$AC$303,Y$4)+SUMIFS(资金日记账!$I$4:$I$603,资金日记账!$G$4:$G$603,$A36,资金日记账!$U$4:$U$603,"&lt;&gt;是",资金日记账!$V$4:$V$603,Y$4),2))</f>
        <v/>
      </c>
      <c r="Z36" s="87" t="str">
        <f ca="1" t="shared" si="1"/>
        <v/>
      </c>
      <c r="AA36" s="76" t="str">
        <f>IF($A36="","",ROUND(SUMIF(成本费用登记表!$D$4:$D$303,$A36,成本费用登记表!$AA$4:$AA$303)+SUMIFS(资金日记账!$I$4:$I$603,资金日记账!$G$4:$G$603,$A36,资金日记账!$U$4:$U$603,"&lt;&gt;是"),2))</f>
        <v/>
      </c>
      <c r="AB36" s="76" t="str">
        <f ca="1" t="shared" si="2"/>
        <v/>
      </c>
    </row>
    <row r="37" spans="1:28">
      <c r="A37" s="86" t="str">
        <f>IFERROR(INDEX(_自动清单!$X$4:$X$63,33),"")</f>
        <v/>
      </c>
      <c r="B37" s="76" t="str">
        <f ca="1">IF($A37="","",ROUND(SUMIFS(成本费用登记表!$H$4:$H$303,成本费用登记表!$D$4:$D$303,$A37,成本费用登记表!$AC$4:$AC$303,B$4)+SUMIFS(资金日记账!$I$4:$I$603,资金日记账!$G$4:$G$603,$A37,资金日记账!$U$4:$U$603,"&lt;&gt;是",资金日记账!$V$4:$V$603,B$4),2))</f>
        <v/>
      </c>
      <c r="C37" s="76" t="str">
        <f ca="1">IF($A37="","",ROUND(SUMIFS(成本费用登记表!$H$4:$H$303,成本费用登记表!$D$4:$D$303,$A37,成本费用登记表!$AC$4:$AC$303,C$4)+SUMIFS(资金日记账!$I$4:$I$603,资金日记账!$G$4:$G$603,$A37,资金日记账!$U$4:$U$603,"&lt;&gt;是",资金日记账!$V$4:$V$603,C$4),2))</f>
        <v/>
      </c>
      <c r="D37" s="76" t="str">
        <f ca="1">IF($A37="","",ROUND(SUMIFS(成本费用登记表!$H$4:$H$303,成本费用登记表!$D$4:$D$303,$A37,成本费用登记表!$AC$4:$AC$303,D$4)+SUMIFS(资金日记账!$I$4:$I$603,资金日记账!$G$4:$G$603,$A37,资金日记账!$U$4:$U$603,"&lt;&gt;是",资金日记账!$V$4:$V$603,D$4),2))</f>
        <v/>
      </c>
      <c r="E37" s="76" t="str">
        <f ca="1">IF($A37="","",ROUND(SUMIFS(成本费用登记表!$H$4:$H$303,成本费用登记表!$D$4:$D$303,$A37,成本费用登记表!$AC$4:$AC$303,E$4)+SUMIFS(资金日记账!$I$4:$I$603,资金日记账!$G$4:$G$603,$A37,资金日记账!$U$4:$U$603,"&lt;&gt;是",资金日记账!$V$4:$V$603,E$4),2))</f>
        <v/>
      </c>
      <c r="F37" s="76" t="str">
        <f ca="1">IF($A37="","",ROUND(SUMIFS(成本费用登记表!$H$4:$H$303,成本费用登记表!$D$4:$D$303,$A37,成本费用登记表!$AC$4:$AC$303,F$4)+SUMIFS(资金日记账!$I$4:$I$603,资金日记账!$G$4:$G$603,$A37,资金日记账!$U$4:$U$603,"&lt;&gt;是",资金日记账!$V$4:$V$603,F$4),2))</f>
        <v/>
      </c>
      <c r="G37" s="76" t="str">
        <f ca="1">IF($A37="","",ROUND(SUMIFS(成本费用登记表!$H$4:$H$303,成本费用登记表!$D$4:$D$303,$A37,成本费用登记表!$AC$4:$AC$303,G$4)+SUMIFS(资金日记账!$I$4:$I$603,资金日记账!$G$4:$G$603,$A37,资金日记账!$U$4:$U$603,"&lt;&gt;是",资金日记账!$V$4:$V$603,G$4),2))</f>
        <v/>
      </c>
      <c r="H37" s="76" t="str">
        <f ca="1">IF($A37="","",ROUND(SUMIFS(成本费用登记表!$H$4:$H$303,成本费用登记表!$D$4:$D$303,$A37,成本费用登记表!$AC$4:$AC$303,H$4)+SUMIFS(资金日记账!$I$4:$I$603,资金日记账!$G$4:$G$603,$A37,资金日记账!$U$4:$U$603,"&lt;&gt;是",资金日记账!$V$4:$V$603,H$4),2))</f>
        <v/>
      </c>
      <c r="I37" s="76" t="str">
        <f ca="1">IF($A37="","",ROUND(SUMIFS(成本费用登记表!$H$4:$H$303,成本费用登记表!$D$4:$D$303,$A37,成本费用登记表!$AC$4:$AC$303,I$4)+SUMIFS(资金日记账!$I$4:$I$603,资金日记账!$G$4:$G$603,$A37,资金日记账!$U$4:$U$603,"&lt;&gt;是",资金日记账!$V$4:$V$603,I$4),2))</f>
        <v/>
      </c>
      <c r="J37" s="76" t="str">
        <f ca="1">IF($A37="","",ROUND(SUMIFS(成本费用登记表!$H$4:$H$303,成本费用登记表!$D$4:$D$303,$A37,成本费用登记表!$AC$4:$AC$303,J$4)+SUMIFS(资金日记账!$I$4:$I$603,资金日记账!$G$4:$G$603,$A37,资金日记账!$U$4:$U$603,"&lt;&gt;是",资金日记账!$V$4:$V$603,J$4),2))</f>
        <v/>
      </c>
      <c r="K37" s="76" t="str">
        <f ca="1">IF($A37="","",ROUND(SUMIFS(成本费用登记表!$H$4:$H$303,成本费用登记表!$D$4:$D$303,$A37,成本费用登记表!$AC$4:$AC$303,K$4)+SUMIFS(资金日记账!$I$4:$I$603,资金日记账!$G$4:$G$603,$A37,资金日记账!$U$4:$U$603,"&lt;&gt;是",资金日记账!$V$4:$V$603,K$4),2))</f>
        <v/>
      </c>
      <c r="L37" s="76" t="str">
        <f ca="1">IF($A37="","",ROUND(SUMIFS(成本费用登记表!$H$4:$H$303,成本费用登记表!$D$4:$D$303,$A37,成本费用登记表!$AC$4:$AC$303,L$4)+SUMIFS(资金日记账!$I$4:$I$603,资金日记账!$G$4:$G$603,$A37,资金日记账!$U$4:$U$603,"&lt;&gt;是",资金日记账!$V$4:$V$603,L$4),2))</f>
        <v/>
      </c>
      <c r="M37" s="76" t="str">
        <f ca="1">IF($A37="","",ROUND(SUMIFS(成本费用登记表!$H$4:$H$303,成本费用登记表!$D$4:$D$303,$A37,成本费用登记表!$AC$4:$AC$303,M$4)+SUMIFS(资金日记账!$I$4:$I$603,资金日记账!$G$4:$G$603,$A37,资金日记账!$U$4:$U$603,"&lt;&gt;是",资金日记账!$V$4:$V$603,M$4),2))</f>
        <v/>
      </c>
      <c r="N37" s="76" t="str">
        <f ca="1">IF($A37="","",ROUND(SUMIFS(成本费用登记表!$H$4:$H$303,成本费用登记表!$D$4:$D$303,$A37,成本费用登记表!$AC$4:$AC$303,N$4)+SUMIFS(资金日记账!$I$4:$I$603,资金日记账!$G$4:$G$603,$A37,资金日记账!$U$4:$U$603,"&lt;&gt;是",资金日记账!$V$4:$V$603,N$4),2))</f>
        <v/>
      </c>
      <c r="O37" s="76" t="str">
        <f ca="1">IF($A37="","",ROUND(SUMIFS(成本费用登记表!$H$4:$H$303,成本费用登记表!$D$4:$D$303,$A37,成本费用登记表!$AC$4:$AC$303,O$4)+SUMIFS(资金日记账!$I$4:$I$603,资金日记账!$G$4:$G$603,$A37,资金日记账!$U$4:$U$603,"&lt;&gt;是",资金日记账!$V$4:$V$603,O$4),2))</f>
        <v/>
      </c>
      <c r="P37" s="76" t="str">
        <f ca="1">IF($A37="","",ROUND(SUMIFS(成本费用登记表!$H$4:$H$303,成本费用登记表!$D$4:$D$303,$A37,成本费用登记表!$AC$4:$AC$303,P$4)+SUMIFS(资金日记账!$I$4:$I$603,资金日记账!$G$4:$G$603,$A37,资金日记账!$U$4:$U$603,"&lt;&gt;是",资金日记账!$V$4:$V$603,P$4),2))</f>
        <v/>
      </c>
      <c r="Q37" s="76" t="str">
        <f ca="1">IF($A37="","",ROUND(SUMIFS(成本费用登记表!$H$4:$H$303,成本费用登记表!$D$4:$D$303,$A37,成本费用登记表!$AC$4:$AC$303,Q$4)+SUMIFS(资金日记账!$I$4:$I$603,资金日记账!$G$4:$G$603,$A37,资金日记账!$U$4:$U$603,"&lt;&gt;是",资金日记账!$V$4:$V$603,Q$4),2))</f>
        <v/>
      </c>
      <c r="R37" s="76" t="str">
        <f ca="1">IF($A37="","",ROUND(SUMIFS(成本费用登记表!$H$4:$H$303,成本费用登记表!$D$4:$D$303,$A37,成本费用登记表!$AC$4:$AC$303,R$4)+SUMIFS(资金日记账!$I$4:$I$603,资金日记账!$G$4:$G$603,$A37,资金日记账!$U$4:$U$603,"&lt;&gt;是",资金日记账!$V$4:$V$603,R$4),2))</f>
        <v/>
      </c>
      <c r="S37" s="76" t="str">
        <f ca="1">IF($A37="","",ROUND(SUMIFS(成本费用登记表!$H$4:$H$303,成本费用登记表!$D$4:$D$303,$A37,成本费用登记表!$AC$4:$AC$303,S$4)+SUMIFS(资金日记账!$I$4:$I$603,资金日记账!$G$4:$G$603,$A37,资金日记账!$U$4:$U$603,"&lt;&gt;是",资金日记账!$V$4:$V$603,S$4),2))</f>
        <v/>
      </c>
      <c r="T37" s="76" t="str">
        <f ca="1">IF($A37="","",ROUND(SUMIFS(成本费用登记表!$H$4:$H$303,成本费用登记表!$D$4:$D$303,$A37,成本费用登记表!$AC$4:$AC$303,T$4)+SUMIFS(资金日记账!$I$4:$I$603,资金日记账!$G$4:$G$603,$A37,资金日记账!$U$4:$U$603,"&lt;&gt;是",资金日记账!$V$4:$V$603,T$4),2))</f>
        <v/>
      </c>
      <c r="U37" s="76" t="str">
        <f ca="1">IF($A37="","",ROUND(SUMIFS(成本费用登记表!$H$4:$H$303,成本费用登记表!$D$4:$D$303,$A37,成本费用登记表!$AC$4:$AC$303,U$4)+SUMIFS(资金日记账!$I$4:$I$603,资金日记账!$G$4:$G$603,$A37,资金日记账!$U$4:$U$603,"&lt;&gt;是",资金日记账!$V$4:$V$603,U$4),2))</f>
        <v/>
      </c>
      <c r="V37" s="76" t="str">
        <f ca="1">IF($A37="","",ROUND(SUMIFS(成本费用登记表!$H$4:$H$303,成本费用登记表!$D$4:$D$303,$A37,成本费用登记表!$AC$4:$AC$303,V$4)+SUMIFS(资金日记账!$I$4:$I$603,资金日记账!$G$4:$G$603,$A37,资金日记账!$U$4:$U$603,"&lt;&gt;是",资金日记账!$V$4:$V$603,V$4),2))</f>
        <v/>
      </c>
      <c r="W37" s="76" t="str">
        <f ca="1">IF($A37="","",ROUND(SUMIFS(成本费用登记表!$H$4:$H$303,成本费用登记表!$D$4:$D$303,$A37,成本费用登记表!$AC$4:$AC$303,W$4)+SUMIFS(资金日记账!$I$4:$I$603,资金日记账!$G$4:$G$603,$A37,资金日记账!$U$4:$U$603,"&lt;&gt;是",资金日记账!$V$4:$V$603,W$4),2))</f>
        <v/>
      </c>
      <c r="X37" s="76" t="str">
        <f ca="1">IF($A37="","",ROUND(SUMIFS(成本费用登记表!$H$4:$H$303,成本费用登记表!$D$4:$D$303,$A37,成本费用登记表!$AC$4:$AC$303,X$4)+SUMIFS(资金日记账!$I$4:$I$603,资金日记账!$G$4:$G$603,$A37,资金日记账!$U$4:$U$603,"&lt;&gt;是",资金日记账!$V$4:$V$603,X$4),2))</f>
        <v/>
      </c>
      <c r="Y37" s="76" t="str">
        <f ca="1">IF($A37="","",ROUND(SUMIFS(成本费用登记表!$H$4:$H$303,成本费用登记表!$D$4:$D$303,$A37,成本费用登记表!$AC$4:$AC$303,Y$4)+SUMIFS(资金日记账!$I$4:$I$603,资金日记账!$G$4:$G$603,$A37,资金日记账!$U$4:$U$603,"&lt;&gt;是",资金日记账!$V$4:$V$603,Y$4),2))</f>
        <v/>
      </c>
      <c r="Z37" s="87" t="str">
        <f ca="1" t="shared" si="1"/>
        <v/>
      </c>
      <c r="AA37" s="76" t="str">
        <f>IF($A37="","",ROUND(SUMIF(成本费用登记表!$D$4:$D$303,$A37,成本费用登记表!$AA$4:$AA$303)+SUMIFS(资金日记账!$I$4:$I$603,资金日记账!$G$4:$G$603,$A37,资金日记账!$U$4:$U$603,"&lt;&gt;是"),2))</f>
        <v/>
      </c>
      <c r="AB37" s="76" t="str">
        <f ca="1" t="shared" si="2"/>
        <v/>
      </c>
    </row>
    <row r="38" spans="1:28">
      <c r="A38" s="86" t="str">
        <f>IFERROR(INDEX(_自动清单!$X$4:$X$63,34),"")</f>
        <v/>
      </c>
      <c r="B38" s="76" t="str">
        <f ca="1">IF($A38="","",ROUND(SUMIFS(成本费用登记表!$H$4:$H$303,成本费用登记表!$D$4:$D$303,$A38,成本费用登记表!$AC$4:$AC$303,B$4)+SUMIFS(资金日记账!$I$4:$I$603,资金日记账!$G$4:$G$603,$A38,资金日记账!$U$4:$U$603,"&lt;&gt;是",资金日记账!$V$4:$V$603,B$4),2))</f>
        <v/>
      </c>
      <c r="C38" s="76" t="str">
        <f ca="1">IF($A38="","",ROUND(SUMIFS(成本费用登记表!$H$4:$H$303,成本费用登记表!$D$4:$D$303,$A38,成本费用登记表!$AC$4:$AC$303,C$4)+SUMIFS(资金日记账!$I$4:$I$603,资金日记账!$G$4:$G$603,$A38,资金日记账!$U$4:$U$603,"&lt;&gt;是",资金日记账!$V$4:$V$603,C$4),2))</f>
        <v/>
      </c>
      <c r="D38" s="76" t="str">
        <f ca="1">IF($A38="","",ROUND(SUMIFS(成本费用登记表!$H$4:$H$303,成本费用登记表!$D$4:$D$303,$A38,成本费用登记表!$AC$4:$AC$303,D$4)+SUMIFS(资金日记账!$I$4:$I$603,资金日记账!$G$4:$G$603,$A38,资金日记账!$U$4:$U$603,"&lt;&gt;是",资金日记账!$V$4:$V$603,D$4),2))</f>
        <v/>
      </c>
      <c r="E38" s="76" t="str">
        <f ca="1">IF($A38="","",ROUND(SUMIFS(成本费用登记表!$H$4:$H$303,成本费用登记表!$D$4:$D$303,$A38,成本费用登记表!$AC$4:$AC$303,E$4)+SUMIFS(资金日记账!$I$4:$I$603,资金日记账!$G$4:$G$603,$A38,资金日记账!$U$4:$U$603,"&lt;&gt;是",资金日记账!$V$4:$V$603,E$4),2))</f>
        <v/>
      </c>
      <c r="F38" s="76" t="str">
        <f ca="1">IF($A38="","",ROUND(SUMIFS(成本费用登记表!$H$4:$H$303,成本费用登记表!$D$4:$D$303,$A38,成本费用登记表!$AC$4:$AC$303,F$4)+SUMIFS(资金日记账!$I$4:$I$603,资金日记账!$G$4:$G$603,$A38,资金日记账!$U$4:$U$603,"&lt;&gt;是",资金日记账!$V$4:$V$603,F$4),2))</f>
        <v/>
      </c>
      <c r="G38" s="76" t="str">
        <f ca="1">IF($A38="","",ROUND(SUMIFS(成本费用登记表!$H$4:$H$303,成本费用登记表!$D$4:$D$303,$A38,成本费用登记表!$AC$4:$AC$303,G$4)+SUMIFS(资金日记账!$I$4:$I$603,资金日记账!$G$4:$G$603,$A38,资金日记账!$U$4:$U$603,"&lt;&gt;是",资金日记账!$V$4:$V$603,G$4),2))</f>
        <v/>
      </c>
      <c r="H38" s="76" t="str">
        <f ca="1">IF($A38="","",ROUND(SUMIFS(成本费用登记表!$H$4:$H$303,成本费用登记表!$D$4:$D$303,$A38,成本费用登记表!$AC$4:$AC$303,H$4)+SUMIFS(资金日记账!$I$4:$I$603,资金日记账!$G$4:$G$603,$A38,资金日记账!$U$4:$U$603,"&lt;&gt;是",资金日记账!$V$4:$V$603,H$4),2))</f>
        <v/>
      </c>
      <c r="I38" s="76" t="str">
        <f ca="1">IF($A38="","",ROUND(SUMIFS(成本费用登记表!$H$4:$H$303,成本费用登记表!$D$4:$D$303,$A38,成本费用登记表!$AC$4:$AC$303,I$4)+SUMIFS(资金日记账!$I$4:$I$603,资金日记账!$G$4:$G$603,$A38,资金日记账!$U$4:$U$603,"&lt;&gt;是",资金日记账!$V$4:$V$603,I$4),2))</f>
        <v/>
      </c>
      <c r="J38" s="76" t="str">
        <f ca="1">IF($A38="","",ROUND(SUMIFS(成本费用登记表!$H$4:$H$303,成本费用登记表!$D$4:$D$303,$A38,成本费用登记表!$AC$4:$AC$303,J$4)+SUMIFS(资金日记账!$I$4:$I$603,资金日记账!$G$4:$G$603,$A38,资金日记账!$U$4:$U$603,"&lt;&gt;是",资金日记账!$V$4:$V$603,J$4),2))</f>
        <v/>
      </c>
      <c r="K38" s="76" t="str">
        <f ca="1">IF($A38="","",ROUND(SUMIFS(成本费用登记表!$H$4:$H$303,成本费用登记表!$D$4:$D$303,$A38,成本费用登记表!$AC$4:$AC$303,K$4)+SUMIFS(资金日记账!$I$4:$I$603,资金日记账!$G$4:$G$603,$A38,资金日记账!$U$4:$U$603,"&lt;&gt;是",资金日记账!$V$4:$V$603,K$4),2))</f>
        <v/>
      </c>
      <c r="L38" s="76" t="str">
        <f ca="1">IF($A38="","",ROUND(SUMIFS(成本费用登记表!$H$4:$H$303,成本费用登记表!$D$4:$D$303,$A38,成本费用登记表!$AC$4:$AC$303,L$4)+SUMIFS(资金日记账!$I$4:$I$603,资金日记账!$G$4:$G$603,$A38,资金日记账!$U$4:$U$603,"&lt;&gt;是",资金日记账!$V$4:$V$603,L$4),2))</f>
        <v/>
      </c>
      <c r="M38" s="76" t="str">
        <f ca="1">IF($A38="","",ROUND(SUMIFS(成本费用登记表!$H$4:$H$303,成本费用登记表!$D$4:$D$303,$A38,成本费用登记表!$AC$4:$AC$303,M$4)+SUMIFS(资金日记账!$I$4:$I$603,资金日记账!$G$4:$G$603,$A38,资金日记账!$U$4:$U$603,"&lt;&gt;是",资金日记账!$V$4:$V$603,M$4),2))</f>
        <v/>
      </c>
      <c r="N38" s="76" t="str">
        <f ca="1">IF($A38="","",ROUND(SUMIFS(成本费用登记表!$H$4:$H$303,成本费用登记表!$D$4:$D$303,$A38,成本费用登记表!$AC$4:$AC$303,N$4)+SUMIFS(资金日记账!$I$4:$I$603,资金日记账!$G$4:$G$603,$A38,资金日记账!$U$4:$U$603,"&lt;&gt;是",资金日记账!$V$4:$V$603,N$4),2))</f>
        <v/>
      </c>
      <c r="O38" s="76" t="str">
        <f ca="1">IF($A38="","",ROUND(SUMIFS(成本费用登记表!$H$4:$H$303,成本费用登记表!$D$4:$D$303,$A38,成本费用登记表!$AC$4:$AC$303,O$4)+SUMIFS(资金日记账!$I$4:$I$603,资金日记账!$G$4:$G$603,$A38,资金日记账!$U$4:$U$603,"&lt;&gt;是",资金日记账!$V$4:$V$603,O$4),2))</f>
        <v/>
      </c>
      <c r="P38" s="76" t="str">
        <f ca="1">IF($A38="","",ROUND(SUMIFS(成本费用登记表!$H$4:$H$303,成本费用登记表!$D$4:$D$303,$A38,成本费用登记表!$AC$4:$AC$303,P$4)+SUMIFS(资金日记账!$I$4:$I$603,资金日记账!$G$4:$G$603,$A38,资金日记账!$U$4:$U$603,"&lt;&gt;是",资金日记账!$V$4:$V$603,P$4),2))</f>
        <v/>
      </c>
      <c r="Q38" s="76" t="str">
        <f ca="1">IF($A38="","",ROUND(SUMIFS(成本费用登记表!$H$4:$H$303,成本费用登记表!$D$4:$D$303,$A38,成本费用登记表!$AC$4:$AC$303,Q$4)+SUMIFS(资金日记账!$I$4:$I$603,资金日记账!$G$4:$G$603,$A38,资金日记账!$U$4:$U$603,"&lt;&gt;是",资金日记账!$V$4:$V$603,Q$4),2))</f>
        <v/>
      </c>
      <c r="R38" s="76" t="str">
        <f ca="1">IF($A38="","",ROUND(SUMIFS(成本费用登记表!$H$4:$H$303,成本费用登记表!$D$4:$D$303,$A38,成本费用登记表!$AC$4:$AC$303,R$4)+SUMIFS(资金日记账!$I$4:$I$603,资金日记账!$G$4:$G$603,$A38,资金日记账!$U$4:$U$603,"&lt;&gt;是",资金日记账!$V$4:$V$603,R$4),2))</f>
        <v/>
      </c>
      <c r="S38" s="76" t="str">
        <f ca="1">IF($A38="","",ROUND(SUMIFS(成本费用登记表!$H$4:$H$303,成本费用登记表!$D$4:$D$303,$A38,成本费用登记表!$AC$4:$AC$303,S$4)+SUMIFS(资金日记账!$I$4:$I$603,资金日记账!$G$4:$G$603,$A38,资金日记账!$U$4:$U$603,"&lt;&gt;是",资金日记账!$V$4:$V$603,S$4),2))</f>
        <v/>
      </c>
      <c r="T38" s="76" t="str">
        <f ca="1">IF($A38="","",ROUND(SUMIFS(成本费用登记表!$H$4:$H$303,成本费用登记表!$D$4:$D$303,$A38,成本费用登记表!$AC$4:$AC$303,T$4)+SUMIFS(资金日记账!$I$4:$I$603,资金日记账!$G$4:$G$603,$A38,资金日记账!$U$4:$U$603,"&lt;&gt;是",资金日记账!$V$4:$V$603,T$4),2))</f>
        <v/>
      </c>
      <c r="U38" s="76" t="str">
        <f ca="1">IF($A38="","",ROUND(SUMIFS(成本费用登记表!$H$4:$H$303,成本费用登记表!$D$4:$D$303,$A38,成本费用登记表!$AC$4:$AC$303,U$4)+SUMIFS(资金日记账!$I$4:$I$603,资金日记账!$G$4:$G$603,$A38,资金日记账!$U$4:$U$603,"&lt;&gt;是",资金日记账!$V$4:$V$603,U$4),2))</f>
        <v/>
      </c>
      <c r="V38" s="76" t="str">
        <f ca="1">IF($A38="","",ROUND(SUMIFS(成本费用登记表!$H$4:$H$303,成本费用登记表!$D$4:$D$303,$A38,成本费用登记表!$AC$4:$AC$303,V$4)+SUMIFS(资金日记账!$I$4:$I$603,资金日记账!$G$4:$G$603,$A38,资金日记账!$U$4:$U$603,"&lt;&gt;是",资金日记账!$V$4:$V$603,V$4),2))</f>
        <v/>
      </c>
      <c r="W38" s="76" t="str">
        <f ca="1">IF($A38="","",ROUND(SUMIFS(成本费用登记表!$H$4:$H$303,成本费用登记表!$D$4:$D$303,$A38,成本费用登记表!$AC$4:$AC$303,W$4)+SUMIFS(资金日记账!$I$4:$I$603,资金日记账!$G$4:$G$603,$A38,资金日记账!$U$4:$U$603,"&lt;&gt;是",资金日记账!$V$4:$V$603,W$4),2))</f>
        <v/>
      </c>
      <c r="X38" s="76" t="str">
        <f ca="1">IF($A38="","",ROUND(SUMIFS(成本费用登记表!$H$4:$H$303,成本费用登记表!$D$4:$D$303,$A38,成本费用登记表!$AC$4:$AC$303,X$4)+SUMIFS(资金日记账!$I$4:$I$603,资金日记账!$G$4:$G$603,$A38,资金日记账!$U$4:$U$603,"&lt;&gt;是",资金日记账!$V$4:$V$603,X$4),2))</f>
        <v/>
      </c>
      <c r="Y38" s="76" t="str">
        <f ca="1">IF($A38="","",ROUND(SUMIFS(成本费用登记表!$H$4:$H$303,成本费用登记表!$D$4:$D$303,$A38,成本费用登记表!$AC$4:$AC$303,Y$4)+SUMIFS(资金日记账!$I$4:$I$603,资金日记账!$G$4:$G$603,$A38,资金日记账!$U$4:$U$603,"&lt;&gt;是",资金日记账!$V$4:$V$603,Y$4),2))</f>
        <v/>
      </c>
      <c r="Z38" s="87" t="str">
        <f ca="1" t="shared" si="1"/>
        <v/>
      </c>
      <c r="AA38" s="76" t="str">
        <f>IF($A38="","",ROUND(SUMIF(成本费用登记表!$D$4:$D$303,$A38,成本费用登记表!$AA$4:$AA$303)+SUMIFS(资金日记账!$I$4:$I$603,资金日记账!$G$4:$G$603,$A38,资金日记账!$U$4:$U$603,"&lt;&gt;是"),2))</f>
        <v/>
      </c>
      <c r="AB38" s="76" t="str">
        <f ca="1" t="shared" si="2"/>
        <v/>
      </c>
    </row>
    <row r="39" spans="1:28">
      <c r="A39" s="86" t="str">
        <f>IFERROR(INDEX(_自动清单!$X$4:$X$63,35),"")</f>
        <v/>
      </c>
      <c r="B39" s="76" t="str">
        <f ca="1">IF($A39="","",ROUND(SUMIFS(成本费用登记表!$H$4:$H$303,成本费用登记表!$D$4:$D$303,$A39,成本费用登记表!$AC$4:$AC$303,B$4)+SUMIFS(资金日记账!$I$4:$I$603,资金日记账!$G$4:$G$603,$A39,资金日记账!$U$4:$U$603,"&lt;&gt;是",资金日记账!$V$4:$V$603,B$4),2))</f>
        <v/>
      </c>
      <c r="C39" s="76" t="str">
        <f ca="1">IF($A39="","",ROUND(SUMIFS(成本费用登记表!$H$4:$H$303,成本费用登记表!$D$4:$D$303,$A39,成本费用登记表!$AC$4:$AC$303,C$4)+SUMIFS(资金日记账!$I$4:$I$603,资金日记账!$G$4:$G$603,$A39,资金日记账!$U$4:$U$603,"&lt;&gt;是",资金日记账!$V$4:$V$603,C$4),2))</f>
        <v/>
      </c>
      <c r="D39" s="76" t="str">
        <f ca="1">IF($A39="","",ROUND(SUMIFS(成本费用登记表!$H$4:$H$303,成本费用登记表!$D$4:$D$303,$A39,成本费用登记表!$AC$4:$AC$303,D$4)+SUMIFS(资金日记账!$I$4:$I$603,资金日记账!$G$4:$G$603,$A39,资金日记账!$U$4:$U$603,"&lt;&gt;是",资金日记账!$V$4:$V$603,D$4),2))</f>
        <v/>
      </c>
      <c r="E39" s="76" t="str">
        <f ca="1">IF($A39="","",ROUND(SUMIFS(成本费用登记表!$H$4:$H$303,成本费用登记表!$D$4:$D$303,$A39,成本费用登记表!$AC$4:$AC$303,E$4)+SUMIFS(资金日记账!$I$4:$I$603,资金日记账!$G$4:$G$603,$A39,资金日记账!$U$4:$U$603,"&lt;&gt;是",资金日记账!$V$4:$V$603,E$4),2))</f>
        <v/>
      </c>
      <c r="F39" s="76" t="str">
        <f ca="1">IF($A39="","",ROUND(SUMIFS(成本费用登记表!$H$4:$H$303,成本费用登记表!$D$4:$D$303,$A39,成本费用登记表!$AC$4:$AC$303,F$4)+SUMIFS(资金日记账!$I$4:$I$603,资金日记账!$G$4:$G$603,$A39,资金日记账!$U$4:$U$603,"&lt;&gt;是",资金日记账!$V$4:$V$603,F$4),2))</f>
        <v/>
      </c>
      <c r="G39" s="76" t="str">
        <f ca="1">IF($A39="","",ROUND(SUMIFS(成本费用登记表!$H$4:$H$303,成本费用登记表!$D$4:$D$303,$A39,成本费用登记表!$AC$4:$AC$303,G$4)+SUMIFS(资金日记账!$I$4:$I$603,资金日记账!$G$4:$G$603,$A39,资金日记账!$U$4:$U$603,"&lt;&gt;是",资金日记账!$V$4:$V$603,G$4),2))</f>
        <v/>
      </c>
      <c r="H39" s="76" t="str">
        <f ca="1">IF($A39="","",ROUND(SUMIFS(成本费用登记表!$H$4:$H$303,成本费用登记表!$D$4:$D$303,$A39,成本费用登记表!$AC$4:$AC$303,H$4)+SUMIFS(资金日记账!$I$4:$I$603,资金日记账!$G$4:$G$603,$A39,资金日记账!$U$4:$U$603,"&lt;&gt;是",资金日记账!$V$4:$V$603,H$4),2))</f>
        <v/>
      </c>
      <c r="I39" s="76" t="str">
        <f ca="1">IF($A39="","",ROUND(SUMIFS(成本费用登记表!$H$4:$H$303,成本费用登记表!$D$4:$D$303,$A39,成本费用登记表!$AC$4:$AC$303,I$4)+SUMIFS(资金日记账!$I$4:$I$603,资金日记账!$G$4:$G$603,$A39,资金日记账!$U$4:$U$603,"&lt;&gt;是",资金日记账!$V$4:$V$603,I$4),2))</f>
        <v/>
      </c>
      <c r="J39" s="76" t="str">
        <f ca="1">IF($A39="","",ROUND(SUMIFS(成本费用登记表!$H$4:$H$303,成本费用登记表!$D$4:$D$303,$A39,成本费用登记表!$AC$4:$AC$303,J$4)+SUMIFS(资金日记账!$I$4:$I$603,资金日记账!$G$4:$G$603,$A39,资金日记账!$U$4:$U$603,"&lt;&gt;是",资金日记账!$V$4:$V$603,J$4),2))</f>
        <v/>
      </c>
      <c r="K39" s="76" t="str">
        <f ca="1">IF($A39="","",ROUND(SUMIFS(成本费用登记表!$H$4:$H$303,成本费用登记表!$D$4:$D$303,$A39,成本费用登记表!$AC$4:$AC$303,K$4)+SUMIFS(资金日记账!$I$4:$I$603,资金日记账!$G$4:$G$603,$A39,资金日记账!$U$4:$U$603,"&lt;&gt;是",资金日记账!$V$4:$V$603,K$4),2))</f>
        <v/>
      </c>
      <c r="L39" s="76" t="str">
        <f ca="1">IF($A39="","",ROUND(SUMIFS(成本费用登记表!$H$4:$H$303,成本费用登记表!$D$4:$D$303,$A39,成本费用登记表!$AC$4:$AC$303,L$4)+SUMIFS(资金日记账!$I$4:$I$603,资金日记账!$G$4:$G$603,$A39,资金日记账!$U$4:$U$603,"&lt;&gt;是",资金日记账!$V$4:$V$603,L$4),2))</f>
        <v/>
      </c>
      <c r="M39" s="76" t="str">
        <f ca="1">IF($A39="","",ROUND(SUMIFS(成本费用登记表!$H$4:$H$303,成本费用登记表!$D$4:$D$303,$A39,成本费用登记表!$AC$4:$AC$303,M$4)+SUMIFS(资金日记账!$I$4:$I$603,资金日记账!$G$4:$G$603,$A39,资金日记账!$U$4:$U$603,"&lt;&gt;是",资金日记账!$V$4:$V$603,M$4),2))</f>
        <v/>
      </c>
      <c r="N39" s="76" t="str">
        <f ca="1">IF($A39="","",ROUND(SUMIFS(成本费用登记表!$H$4:$H$303,成本费用登记表!$D$4:$D$303,$A39,成本费用登记表!$AC$4:$AC$303,N$4)+SUMIFS(资金日记账!$I$4:$I$603,资金日记账!$G$4:$G$603,$A39,资金日记账!$U$4:$U$603,"&lt;&gt;是",资金日记账!$V$4:$V$603,N$4),2))</f>
        <v/>
      </c>
      <c r="O39" s="76" t="str">
        <f ca="1">IF($A39="","",ROUND(SUMIFS(成本费用登记表!$H$4:$H$303,成本费用登记表!$D$4:$D$303,$A39,成本费用登记表!$AC$4:$AC$303,O$4)+SUMIFS(资金日记账!$I$4:$I$603,资金日记账!$G$4:$G$603,$A39,资金日记账!$U$4:$U$603,"&lt;&gt;是",资金日记账!$V$4:$V$603,O$4),2))</f>
        <v/>
      </c>
      <c r="P39" s="76" t="str">
        <f ca="1">IF($A39="","",ROUND(SUMIFS(成本费用登记表!$H$4:$H$303,成本费用登记表!$D$4:$D$303,$A39,成本费用登记表!$AC$4:$AC$303,P$4)+SUMIFS(资金日记账!$I$4:$I$603,资金日记账!$G$4:$G$603,$A39,资金日记账!$U$4:$U$603,"&lt;&gt;是",资金日记账!$V$4:$V$603,P$4),2))</f>
        <v/>
      </c>
      <c r="Q39" s="76" t="str">
        <f ca="1">IF($A39="","",ROUND(SUMIFS(成本费用登记表!$H$4:$H$303,成本费用登记表!$D$4:$D$303,$A39,成本费用登记表!$AC$4:$AC$303,Q$4)+SUMIFS(资金日记账!$I$4:$I$603,资金日记账!$G$4:$G$603,$A39,资金日记账!$U$4:$U$603,"&lt;&gt;是",资金日记账!$V$4:$V$603,Q$4),2))</f>
        <v/>
      </c>
      <c r="R39" s="76" t="str">
        <f ca="1">IF($A39="","",ROUND(SUMIFS(成本费用登记表!$H$4:$H$303,成本费用登记表!$D$4:$D$303,$A39,成本费用登记表!$AC$4:$AC$303,R$4)+SUMIFS(资金日记账!$I$4:$I$603,资金日记账!$G$4:$G$603,$A39,资金日记账!$U$4:$U$603,"&lt;&gt;是",资金日记账!$V$4:$V$603,R$4),2))</f>
        <v/>
      </c>
      <c r="S39" s="76" t="str">
        <f ca="1">IF($A39="","",ROUND(SUMIFS(成本费用登记表!$H$4:$H$303,成本费用登记表!$D$4:$D$303,$A39,成本费用登记表!$AC$4:$AC$303,S$4)+SUMIFS(资金日记账!$I$4:$I$603,资金日记账!$G$4:$G$603,$A39,资金日记账!$U$4:$U$603,"&lt;&gt;是",资金日记账!$V$4:$V$603,S$4),2))</f>
        <v/>
      </c>
      <c r="T39" s="76" t="str">
        <f ca="1">IF($A39="","",ROUND(SUMIFS(成本费用登记表!$H$4:$H$303,成本费用登记表!$D$4:$D$303,$A39,成本费用登记表!$AC$4:$AC$303,T$4)+SUMIFS(资金日记账!$I$4:$I$603,资金日记账!$G$4:$G$603,$A39,资金日记账!$U$4:$U$603,"&lt;&gt;是",资金日记账!$V$4:$V$603,T$4),2))</f>
        <v/>
      </c>
      <c r="U39" s="76" t="str">
        <f ca="1">IF($A39="","",ROUND(SUMIFS(成本费用登记表!$H$4:$H$303,成本费用登记表!$D$4:$D$303,$A39,成本费用登记表!$AC$4:$AC$303,U$4)+SUMIFS(资金日记账!$I$4:$I$603,资金日记账!$G$4:$G$603,$A39,资金日记账!$U$4:$U$603,"&lt;&gt;是",资金日记账!$V$4:$V$603,U$4),2))</f>
        <v/>
      </c>
      <c r="V39" s="76" t="str">
        <f ca="1">IF($A39="","",ROUND(SUMIFS(成本费用登记表!$H$4:$H$303,成本费用登记表!$D$4:$D$303,$A39,成本费用登记表!$AC$4:$AC$303,V$4)+SUMIFS(资金日记账!$I$4:$I$603,资金日记账!$G$4:$G$603,$A39,资金日记账!$U$4:$U$603,"&lt;&gt;是",资金日记账!$V$4:$V$603,V$4),2))</f>
        <v/>
      </c>
      <c r="W39" s="76" t="str">
        <f ca="1">IF($A39="","",ROUND(SUMIFS(成本费用登记表!$H$4:$H$303,成本费用登记表!$D$4:$D$303,$A39,成本费用登记表!$AC$4:$AC$303,W$4)+SUMIFS(资金日记账!$I$4:$I$603,资金日记账!$G$4:$G$603,$A39,资金日记账!$U$4:$U$603,"&lt;&gt;是",资金日记账!$V$4:$V$603,W$4),2))</f>
        <v/>
      </c>
      <c r="X39" s="76" t="str">
        <f ca="1">IF($A39="","",ROUND(SUMIFS(成本费用登记表!$H$4:$H$303,成本费用登记表!$D$4:$D$303,$A39,成本费用登记表!$AC$4:$AC$303,X$4)+SUMIFS(资金日记账!$I$4:$I$603,资金日记账!$G$4:$G$603,$A39,资金日记账!$U$4:$U$603,"&lt;&gt;是",资金日记账!$V$4:$V$603,X$4),2))</f>
        <v/>
      </c>
      <c r="Y39" s="76" t="str">
        <f ca="1">IF($A39="","",ROUND(SUMIFS(成本费用登记表!$H$4:$H$303,成本费用登记表!$D$4:$D$303,$A39,成本费用登记表!$AC$4:$AC$303,Y$4)+SUMIFS(资金日记账!$I$4:$I$603,资金日记账!$G$4:$G$603,$A39,资金日记账!$U$4:$U$603,"&lt;&gt;是",资金日记账!$V$4:$V$603,Y$4),2))</f>
        <v/>
      </c>
      <c r="Z39" s="87" t="str">
        <f ca="1" t="shared" si="1"/>
        <v/>
      </c>
      <c r="AA39" s="76" t="str">
        <f>IF($A39="","",ROUND(SUMIF(成本费用登记表!$D$4:$D$303,$A39,成本费用登记表!$AA$4:$AA$303)+SUMIFS(资金日记账!$I$4:$I$603,资金日记账!$G$4:$G$603,$A39,资金日记账!$U$4:$U$603,"&lt;&gt;是"),2))</f>
        <v/>
      </c>
      <c r="AB39" s="76" t="str">
        <f ca="1" t="shared" si="2"/>
        <v/>
      </c>
    </row>
    <row r="40" spans="1:28">
      <c r="A40" s="86" t="str">
        <f>IFERROR(INDEX(_自动清单!$X$4:$X$63,36),"")</f>
        <v/>
      </c>
      <c r="B40" s="76" t="str">
        <f ca="1">IF($A40="","",ROUND(SUMIFS(成本费用登记表!$H$4:$H$303,成本费用登记表!$D$4:$D$303,$A40,成本费用登记表!$AC$4:$AC$303,B$4)+SUMIFS(资金日记账!$I$4:$I$603,资金日记账!$G$4:$G$603,$A40,资金日记账!$U$4:$U$603,"&lt;&gt;是",资金日记账!$V$4:$V$603,B$4),2))</f>
        <v/>
      </c>
      <c r="C40" s="76" t="str">
        <f ca="1">IF($A40="","",ROUND(SUMIFS(成本费用登记表!$H$4:$H$303,成本费用登记表!$D$4:$D$303,$A40,成本费用登记表!$AC$4:$AC$303,C$4)+SUMIFS(资金日记账!$I$4:$I$603,资金日记账!$G$4:$G$603,$A40,资金日记账!$U$4:$U$603,"&lt;&gt;是",资金日记账!$V$4:$V$603,C$4),2))</f>
        <v/>
      </c>
      <c r="D40" s="76" t="str">
        <f ca="1">IF($A40="","",ROUND(SUMIFS(成本费用登记表!$H$4:$H$303,成本费用登记表!$D$4:$D$303,$A40,成本费用登记表!$AC$4:$AC$303,D$4)+SUMIFS(资金日记账!$I$4:$I$603,资金日记账!$G$4:$G$603,$A40,资金日记账!$U$4:$U$603,"&lt;&gt;是",资金日记账!$V$4:$V$603,D$4),2))</f>
        <v/>
      </c>
      <c r="E40" s="76" t="str">
        <f ca="1">IF($A40="","",ROUND(SUMIFS(成本费用登记表!$H$4:$H$303,成本费用登记表!$D$4:$D$303,$A40,成本费用登记表!$AC$4:$AC$303,E$4)+SUMIFS(资金日记账!$I$4:$I$603,资金日记账!$G$4:$G$603,$A40,资金日记账!$U$4:$U$603,"&lt;&gt;是",资金日记账!$V$4:$V$603,E$4),2))</f>
        <v/>
      </c>
      <c r="F40" s="76" t="str">
        <f ca="1">IF($A40="","",ROUND(SUMIFS(成本费用登记表!$H$4:$H$303,成本费用登记表!$D$4:$D$303,$A40,成本费用登记表!$AC$4:$AC$303,F$4)+SUMIFS(资金日记账!$I$4:$I$603,资金日记账!$G$4:$G$603,$A40,资金日记账!$U$4:$U$603,"&lt;&gt;是",资金日记账!$V$4:$V$603,F$4),2))</f>
        <v/>
      </c>
      <c r="G40" s="76" t="str">
        <f ca="1">IF($A40="","",ROUND(SUMIFS(成本费用登记表!$H$4:$H$303,成本费用登记表!$D$4:$D$303,$A40,成本费用登记表!$AC$4:$AC$303,G$4)+SUMIFS(资金日记账!$I$4:$I$603,资金日记账!$G$4:$G$603,$A40,资金日记账!$U$4:$U$603,"&lt;&gt;是",资金日记账!$V$4:$V$603,G$4),2))</f>
        <v/>
      </c>
      <c r="H40" s="76" t="str">
        <f ca="1">IF($A40="","",ROUND(SUMIFS(成本费用登记表!$H$4:$H$303,成本费用登记表!$D$4:$D$303,$A40,成本费用登记表!$AC$4:$AC$303,H$4)+SUMIFS(资金日记账!$I$4:$I$603,资金日记账!$G$4:$G$603,$A40,资金日记账!$U$4:$U$603,"&lt;&gt;是",资金日记账!$V$4:$V$603,H$4),2))</f>
        <v/>
      </c>
      <c r="I40" s="76" t="str">
        <f ca="1">IF($A40="","",ROUND(SUMIFS(成本费用登记表!$H$4:$H$303,成本费用登记表!$D$4:$D$303,$A40,成本费用登记表!$AC$4:$AC$303,I$4)+SUMIFS(资金日记账!$I$4:$I$603,资金日记账!$G$4:$G$603,$A40,资金日记账!$U$4:$U$603,"&lt;&gt;是",资金日记账!$V$4:$V$603,I$4),2))</f>
        <v/>
      </c>
      <c r="J40" s="76" t="str">
        <f ca="1">IF($A40="","",ROUND(SUMIFS(成本费用登记表!$H$4:$H$303,成本费用登记表!$D$4:$D$303,$A40,成本费用登记表!$AC$4:$AC$303,J$4)+SUMIFS(资金日记账!$I$4:$I$603,资金日记账!$G$4:$G$603,$A40,资金日记账!$U$4:$U$603,"&lt;&gt;是",资金日记账!$V$4:$V$603,J$4),2))</f>
        <v/>
      </c>
      <c r="K40" s="76" t="str">
        <f ca="1">IF($A40="","",ROUND(SUMIFS(成本费用登记表!$H$4:$H$303,成本费用登记表!$D$4:$D$303,$A40,成本费用登记表!$AC$4:$AC$303,K$4)+SUMIFS(资金日记账!$I$4:$I$603,资金日记账!$G$4:$G$603,$A40,资金日记账!$U$4:$U$603,"&lt;&gt;是",资金日记账!$V$4:$V$603,K$4),2))</f>
        <v/>
      </c>
      <c r="L40" s="76" t="str">
        <f ca="1">IF($A40="","",ROUND(SUMIFS(成本费用登记表!$H$4:$H$303,成本费用登记表!$D$4:$D$303,$A40,成本费用登记表!$AC$4:$AC$303,L$4)+SUMIFS(资金日记账!$I$4:$I$603,资金日记账!$G$4:$G$603,$A40,资金日记账!$U$4:$U$603,"&lt;&gt;是",资金日记账!$V$4:$V$603,L$4),2))</f>
        <v/>
      </c>
      <c r="M40" s="76" t="str">
        <f ca="1">IF($A40="","",ROUND(SUMIFS(成本费用登记表!$H$4:$H$303,成本费用登记表!$D$4:$D$303,$A40,成本费用登记表!$AC$4:$AC$303,M$4)+SUMIFS(资金日记账!$I$4:$I$603,资金日记账!$G$4:$G$603,$A40,资金日记账!$U$4:$U$603,"&lt;&gt;是",资金日记账!$V$4:$V$603,M$4),2))</f>
        <v/>
      </c>
      <c r="N40" s="76" t="str">
        <f ca="1">IF($A40="","",ROUND(SUMIFS(成本费用登记表!$H$4:$H$303,成本费用登记表!$D$4:$D$303,$A40,成本费用登记表!$AC$4:$AC$303,N$4)+SUMIFS(资金日记账!$I$4:$I$603,资金日记账!$G$4:$G$603,$A40,资金日记账!$U$4:$U$603,"&lt;&gt;是",资金日记账!$V$4:$V$603,N$4),2))</f>
        <v/>
      </c>
      <c r="O40" s="76" t="str">
        <f ca="1">IF($A40="","",ROUND(SUMIFS(成本费用登记表!$H$4:$H$303,成本费用登记表!$D$4:$D$303,$A40,成本费用登记表!$AC$4:$AC$303,O$4)+SUMIFS(资金日记账!$I$4:$I$603,资金日记账!$G$4:$G$603,$A40,资金日记账!$U$4:$U$603,"&lt;&gt;是",资金日记账!$V$4:$V$603,O$4),2))</f>
        <v/>
      </c>
      <c r="P40" s="76" t="str">
        <f ca="1">IF($A40="","",ROUND(SUMIFS(成本费用登记表!$H$4:$H$303,成本费用登记表!$D$4:$D$303,$A40,成本费用登记表!$AC$4:$AC$303,P$4)+SUMIFS(资金日记账!$I$4:$I$603,资金日记账!$G$4:$G$603,$A40,资金日记账!$U$4:$U$603,"&lt;&gt;是",资金日记账!$V$4:$V$603,P$4),2))</f>
        <v/>
      </c>
      <c r="Q40" s="76" t="str">
        <f ca="1">IF($A40="","",ROUND(SUMIFS(成本费用登记表!$H$4:$H$303,成本费用登记表!$D$4:$D$303,$A40,成本费用登记表!$AC$4:$AC$303,Q$4)+SUMIFS(资金日记账!$I$4:$I$603,资金日记账!$G$4:$G$603,$A40,资金日记账!$U$4:$U$603,"&lt;&gt;是",资金日记账!$V$4:$V$603,Q$4),2))</f>
        <v/>
      </c>
      <c r="R40" s="76" t="str">
        <f ca="1">IF($A40="","",ROUND(SUMIFS(成本费用登记表!$H$4:$H$303,成本费用登记表!$D$4:$D$303,$A40,成本费用登记表!$AC$4:$AC$303,R$4)+SUMIFS(资金日记账!$I$4:$I$603,资金日记账!$G$4:$G$603,$A40,资金日记账!$U$4:$U$603,"&lt;&gt;是",资金日记账!$V$4:$V$603,R$4),2))</f>
        <v/>
      </c>
      <c r="S40" s="76" t="str">
        <f ca="1">IF($A40="","",ROUND(SUMIFS(成本费用登记表!$H$4:$H$303,成本费用登记表!$D$4:$D$303,$A40,成本费用登记表!$AC$4:$AC$303,S$4)+SUMIFS(资金日记账!$I$4:$I$603,资金日记账!$G$4:$G$603,$A40,资金日记账!$U$4:$U$603,"&lt;&gt;是",资金日记账!$V$4:$V$603,S$4),2))</f>
        <v/>
      </c>
      <c r="T40" s="76" t="str">
        <f ca="1">IF($A40="","",ROUND(SUMIFS(成本费用登记表!$H$4:$H$303,成本费用登记表!$D$4:$D$303,$A40,成本费用登记表!$AC$4:$AC$303,T$4)+SUMIFS(资金日记账!$I$4:$I$603,资金日记账!$G$4:$G$603,$A40,资金日记账!$U$4:$U$603,"&lt;&gt;是",资金日记账!$V$4:$V$603,T$4),2))</f>
        <v/>
      </c>
      <c r="U40" s="76" t="str">
        <f ca="1">IF($A40="","",ROUND(SUMIFS(成本费用登记表!$H$4:$H$303,成本费用登记表!$D$4:$D$303,$A40,成本费用登记表!$AC$4:$AC$303,U$4)+SUMIFS(资金日记账!$I$4:$I$603,资金日记账!$G$4:$G$603,$A40,资金日记账!$U$4:$U$603,"&lt;&gt;是",资金日记账!$V$4:$V$603,U$4),2))</f>
        <v/>
      </c>
      <c r="V40" s="76" t="str">
        <f ca="1">IF($A40="","",ROUND(SUMIFS(成本费用登记表!$H$4:$H$303,成本费用登记表!$D$4:$D$303,$A40,成本费用登记表!$AC$4:$AC$303,V$4)+SUMIFS(资金日记账!$I$4:$I$603,资金日记账!$G$4:$G$603,$A40,资金日记账!$U$4:$U$603,"&lt;&gt;是",资金日记账!$V$4:$V$603,V$4),2))</f>
        <v/>
      </c>
      <c r="W40" s="76" t="str">
        <f ca="1">IF($A40="","",ROUND(SUMIFS(成本费用登记表!$H$4:$H$303,成本费用登记表!$D$4:$D$303,$A40,成本费用登记表!$AC$4:$AC$303,W$4)+SUMIFS(资金日记账!$I$4:$I$603,资金日记账!$G$4:$G$603,$A40,资金日记账!$U$4:$U$603,"&lt;&gt;是",资金日记账!$V$4:$V$603,W$4),2))</f>
        <v/>
      </c>
      <c r="X40" s="76" t="str">
        <f ca="1">IF($A40="","",ROUND(SUMIFS(成本费用登记表!$H$4:$H$303,成本费用登记表!$D$4:$D$303,$A40,成本费用登记表!$AC$4:$AC$303,X$4)+SUMIFS(资金日记账!$I$4:$I$603,资金日记账!$G$4:$G$603,$A40,资金日记账!$U$4:$U$603,"&lt;&gt;是",资金日记账!$V$4:$V$603,X$4),2))</f>
        <v/>
      </c>
      <c r="Y40" s="76" t="str">
        <f ca="1">IF($A40="","",ROUND(SUMIFS(成本费用登记表!$H$4:$H$303,成本费用登记表!$D$4:$D$303,$A40,成本费用登记表!$AC$4:$AC$303,Y$4)+SUMIFS(资金日记账!$I$4:$I$603,资金日记账!$G$4:$G$603,$A40,资金日记账!$U$4:$U$603,"&lt;&gt;是",资金日记账!$V$4:$V$603,Y$4),2))</f>
        <v/>
      </c>
      <c r="Z40" s="87" t="str">
        <f ca="1" t="shared" si="1"/>
        <v/>
      </c>
      <c r="AA40" s="76" t="str">
        <f>IF($A40="","",ROUND(SUMIF(成本费用登记表!$D$4:$D$303,$A40,成本费用登记表!$AA$4:$AA$303)+SUMIFS(资金日记账!$I$4:$I$603,资金日记账!$G$4:$G$603,$A40,资金日记账!$U$4:$U$603,"&lt;&gt;是"),2))</f>
        <v/>
      </c>
      <c r="AB40" s="76" t="str">
        <f ca="1" t="shared" si="2"/>
        <v/>
      </c>
    </row>
    <row r="41" spans="1:28">
      <c r="A41" s="86" t="str">
        <f>IFERROR(INDEX(_自动清单!$X$4:$X$63,37),"")</f>
        <v/>
      </c>
      <c r="B41" s="76" t="str">
        <f ca="1">IF($A41="","",ROUND(SUMIFS(成本费用登记表!$H$4:$H$303,成本费用登记表!$D$4:$D$303,$A41,成本费用登记表!$AC$4:$AC$303,B$4)+SUMIFS(资金日记账!$I$4:$I$603,资金日记账!$G$4:$G$603,$A41,资金日记账!$U$4:$U$603,"&lt;&gt;是",资金日记账!$V$4:$V$603,B$4),2))</f>
        <v/>
      </c>
      <c r="C41" s="76" t="str">
        <f ca="1">IF($A41="","",ROUND(SUMIFS(成本费用登记表!$H$4:$H$303,成本费用登记表!$D$4:$D$303,$A41,成本费用登记表!$AC$4:$AC$303,C$4)+SUMIFS(资金日记账!$I$4:$I$603,资金日记账!$G$4:$G$603,$A41,资金日记账!$U$4:$U$603,"&lt;&gt;是",资金日记账!$V$4:$V$603,C$4),2))</f>
        <v/>
      </c>
      <c r="D41" s="76" t="str">
        <f ca="1">IF($A41="","",ROUND(SUMIFS(成本费用登记表!$H$4:$H$303,成本费用登记表!$D$4:$D$303,$A41,成本费用登记表!$AC$4:$AC$303,D$4)+SUMIFS(资金日记账!$I$4:$I$603,资金日记账!$G$4:$G$603,$A41,资金日记账!$U$4:$U$603,"&lt;&gt;是",资金日记账!$V$4:$V$603,D$4),2))</f>
        <v/>
      </c>
      <c r="E41" s="76" t="str">
        <f ca="1">IF($A41="","",ROUND(SUMIFS(成本费用登记表!$H$4:$H$303,成本费用登记表!$D$4:$D$303,$A41,成本费用登记表!$AC$4:$AC$303,E$4)+SUMIFS(资金日记账!$I$4:$I$603,资金日记账!$G$4:$G$603,$A41,资金日记账!$U$4:$U$603,"&lt;&gt;是",资金日记账!$V$4:$V$603,E$4),2))</f>
        <v/>
      </c>
      <c r="F41" s="76" t="str">
        <f ca="1">IF($A41="","",ROUND(SUMIFS(成本费用登记表!$H$4:$H$303,成本费用登记表!$D$4:$D$303,$A41,成本费用登记表!$AC$4:$AC$303,F$4)+SUMIFS(资金日记账!$I$4:$I$603,资金日记账!$G$4:$G$603,$A41,资金日记账!$U$4:$U$603,"&lt;&gt;是",资金日记账!$V$4:$V$603,F$4),2))</f>
        <v/>
      </c>
      <c r="G41" s="76" t="str">
        <f ca="1">IF($A41="","",ROUND(SUMIFS(成本费用登记表!$H$4:$H$303,成本费用登记表!$D$4:$D$303,$A41,成本费用登记表!$AC$4:$AC$303,G$4)+SUMIFS(资金日记账!$I$4:$I$603,资金日记账!$G$4:$G$603,$A41,资金日记账!$U$4:$U$603,"&lt;&gt;是",资金日记账!$V$4:$V$603,G$4),2))</f>
        <v/>
      </c>
      <c r="H41" s="76" t="str">
        <f ca="1">IF($A41="","",ROUND(SUMIFS(成本费用登记表!$H$4:$H$303,成本费用登记表!$D$4:$D$303,$A41,成本费用登记表!$AC$4:$AC$303,H$4)+SUMIFS(资金日记账!$I$4:$I$603,资金日记账!$G$4:$G$603,$A41,资金日记账!$U$4:$U$603,"&lt;&gt;是",资金日记账!$V$4:$V$603,H$4),2))</f>
        <v/>
      </c>
      <c r="I41" s="76" t="str">
        <f ca="1">IF($A41="","",ROUND(SUMIFS(成本费用登记表!$H$4:$H$303,成本费用登记表!$D$4:$D$303,$A41,成本费用登记表!$AC$4:$AC$303,I$4)+SUMIFS(资金日记账!$I$4:$I$603,资金日记账!$G$4:$G$603,$A41,资金日记账!$U$4:$U$603,"&lt;&gt;是",资金日记账!$V$4:$V$603,I$4),2))</f>
        <v/>
      </c>
      <c r="J41" s="76" t="str">
        <f ca="1">IF($A41="","",ROUND(SUMIFS(成本费用登记表!$H$4:$H$303,成本费用登记表!$D$4:$D$303,$A41,成本费用登记表!$AC$4:$AC$303,J$4)+SUMIFS(资金日记账!$I$4:$I$603,资金日记账!$G$4:$G$603,$A41,资金日记账!$U$4:$U$603,"&lt;&gt;是",资金日记账!$V$4:$V$603,J$4),2))</f>
        <v/>
      </c>
      <c r="K41" s="76" t="str">
        <f ca="1">IF($A41="","",ROUND(SUMIFS(成本费用登记表!$H$4:$H$303,成本费用登记表!$D$4:$D$303,$A41,成本费用登记表!$AC$4:$AC$303,K$4)+SUMIFS(资金日记账!$I$4:$I$603,资金日记账!$G$4:$G$603,$A41,资金日记账!$U$4:$U$603,"&lt;&gt;是",资金日记账!$V$4:$V$603,K$4),2))</f>
        <v/>
      </c>
      <c r="L41" s="76" t="str">
        <f ca="1">IF($A41="","",ROUND(SUMIFS(成本费用登记表!$H$4:$H$303,成本费用登记表!$D$4:$D$303,$A41,成本费用登记表!$AC$4:$AC$303,L$4)+SUMIFS(资金日记账!$I$4:$I$603,资金日记账!$G$4:$G$603,$A41,资金日记账!$U$4:$U$603,"&lt;&gt;是",资金日记账!$V$4:$V$603,L$4),2))</f>
        <v/>
      </c>
      <c r="M41" s="76" t="str">
        <f ca="1">IF($A41="","",ROUND(SUMIFS(成本费用登记表!$H$4:$H$303,成本费用登记表!$D$4:$D$303,$A41,成本费用登记表!$AC$4:$AC$303,M$4)+SUMIFS(资金日记账!$I$4:$I$603,资金日记账!$G$4:$G$603,$A41,资金日记账!$U$4:$U$603,"&lt;&gt;是",资金日记账!$V$4:$V$603,M$4),2))</f>
        <v/>
      </c>
      <c r="N41" s="76" t="str">
        <f ca="1">IF($A41="","",ROUND(SUMIFS(成本费用登记表!$H$4:$H$303,成本费用登记表!$D$4:$D$303,$A41,成本费用登记表!$AC$4:$AC$303,N$4)+SUMIFS(资金日记账!$I$4:$I$603,资金日记账!$G$4:$G$603,$A41,资金日记账!$U$4:$U$603,"&lt;&gt;是",资金日记账!$V$4:$V$603,N$4),2))</f>
        <v/>
      </c>
      <c r="O41" s="76" t="str">
        <f ca="1">IF($A41="","",ROUND(SUMIFS(成本费用登记表!$H$4:$H$303,成本费用登记表!$D$4:$D$303,$A41,成本费用登记表!$AC$4:$AC$303,O$4)+SUMIFS(资金日记账!$I$4:$I$603,资金日记账!$G$4:$G$603,$A41,资金日记账!$U$4:$U$603,"&lt;&gt;是",资金日记账!$V$4:$V$603,O$4),2))</f>
        <v/>
      </c>
      <c r="P41" s="76" t="str">
        <f ca="1">IF($A41="","",ROUND(SUMIFS(成本费用登记表!$H$4:$H$303,成本费用登记表!$D$4:$D$303,$A41,成本费用登记表!$AC$4:$AC$303,P$4)+SUMIFS(资金日记账!$I$4:$I$603,资金日记账!$G$4:$G$603,$A41,资金日记账!$U$4:$U$603,"&lt;&gt;是",资金日记账!$V$4:$V$603,P$4),2))</f>
        <v/>
      </c>
      <c r="Q41" s="76" t="str">
        <f ca="1">IF($A41="","",ROUND(SUMIFS(成本费用登记表!$H$4:$H$303,成本费用登记表!$D$4:$D$303,$A41,成本费用登记表!$AC$4:$AC$303,Q$4)+SUMIFS(资金日记账!$I$4:$I$603,资金日记账!$G$4:$G$603,$A41,资金日记账!$U$4:$U$603,"&lt;&gt;是",资金日记账!$V$4:$V$603,Q$4),2))</f>
        <v/>
      </c>
      <c r="R41" s="76" t="str">
        <f ca="1">IF($A41="","",ROUND(SUMIFS(成本费用登记表!$H$4:$H$303,成本费用登记表!$D$4:$D$303,$A41,成本费用登记表!$AC$4:$AC$303,R$4)+SUMIFS(资金日记账!$I$4:$I$603,资金日记账!$G$4:$G$603,$A41,资金日记账!$U$4:$U$603,"&lt;&gt;是",资金日记账!$V$4:$V$603,R$4),2))</f>
        <v/>
      </c>
      <c r="S41" s="76" t="str">
        <f ca="1">IF($A41="","",ROUND(SUMIFS(成本费用登记表!$H$4:$H$303,成本费用登记表!$D$4:$D$303,$A41,成本费用登记表!$AC$4:$AC$303,S$4)+SUMIFS(资金日记账!$I$4:$I$603,资金日记账!$G$4:$G$603,$A41,资金日记账!$U$4:$U$603,"&lt;&gt;是",资金日记账!$V$4:$V$603,S$4),2))</f>
        <v/>
      </c>
      <c r="T41" s="76" t="str">
        <f ca="1">IF($A41="","",ROUND(SUMIFS(成本费用登记表!$H$4:$H$303,成本费用登记表!$D$4:$D$303,$A41,成本费用登记表!$AC$4:$AC$303,T$4)+SUMIFS(资金日记账!$I$4:$I$603,资金日记账!$G$4:$G$603,$A41,资金日记账!$U$4:$U$603,"&lt;&gt;是",资金日记账!$V$4:$V$603,T$4),2))</f>
        <v/>
      </c>
      <c r="U41" s="76" t="str">
        <f ca="1">IF($A41="","",ROUND(SUMIFS(成本费用登记表!$H$4:$H$303,成本费用登记表!$D$4:$D$303,$A41,成本费用登记表!$AC$4:$AC$303,U$4)+SUMIFS(资金日记账!$I$4:$I$603,资金日记账!$G$4:$G$603,$A41,资金日记账!$U$4:$U$603,"&lt;&gt;是",资金日记账!$V$4:$V$603,U$4),2))</f>
        <v/>
      </c>
      <c r="V41" s="76" t="str">
        <f ca="1">IF($A41="","",ROUND(SUMIFS(成本费用登记表!$H$4:$H$303,成本费用登记表!$D$4:$D$303,$A41,成本费用登记表!$AC$4:$AC$303,V$4)+SUMIFS(资金日记账!$I$4:$I$603,资金日记账!$G$4:$G$603,$A41,资金日记账!$U$4:$U$603,"&lt;&gt;是",资金日记账!$V$4:$V$603,V$4),2))</f>
        <v/>
      </c>
      <c r="W41" s="76" t="str">
        <f ca="1">IF($A41="","",ROUND(SUMIFS(成本费用登记表!$H$4:$H$303,成本费用登记表!$D$4:$D$303,$A41,成本费用登记表!$AC$4:$AC$303,W$4)+SUMIFS(资金日记账!$I$4:$I$603,资金日记账!$G$4:$G$603,$A41,资金日记账!$U$4:$U$603,"&lt;&gt;是",资金日记账!$V$4:$V$603,W$4),2))</f>
        <v/>
      </c>
      <c r="X41" s="76" t="str">
        <f ca="1">IF($A41="","",ROUND(SUMIFS(成本费用登记表!$H$4:$H$303,成本费用登记表!$D$4:$D$303,$A41,成本费用登记表!$AC$4:$AC$303,X$4)+SUMIFS(资金日记账!$I$4:$I$603,资金日记账!$G$4:$G$603,$A41,资金日记账!$U$4:$U$603,"&lt;&gt;是",资金日记账!$V$4:$V$603,X$4),2))</f>
        <v/>
      </c>
      <c r="Y41" s="76" t="str">
        <f ca="1">IF($A41="","",ROUND(SUMIFS(成本费用登记表!$H$4:$H$303,成本费用登记表!$D$4:$D$303,$A41,成本费用登记表!$AC$4:$AC$303,Y$4)+SUMIFS(资金日记账!$I$4:$I$603,资金日记账!$G$4:$G$603,$A41,资金日记账!$U$4:$U$603,"&lt;&gt;是",资金日记账!$V$4:$V$603,Y$4),2))</f>
        <v/>
      </c>
      <c r="Z41" s="87" t="str">
        <f ca="1" t="shared" si="1"/>
        <v/>
      </c>
      <c r="AA41" s="76" t="str">
        <f>IF($A41="","",ROUND(SUMIF(成本费用登记表!$D$4:$D$303,$A41,成本费用登记表!$AA$4:$AA$303)+SUMIFS(资金日记账!$I$4:$I$603,资金日记账!$G$4:$G$603,$A41,资金日记账!$U$4:$U$603,"&lt;&gt;是"),2))</f>
        <v/>
      </c>
      <c r="AB41" s="76" t="str">
        <f ca="1" t="shared" si="2"/>
        <v/>
      </c>
    </row>
    <row r="42" spans="1:28">
      <c r="A42" s="86" t="str">
        <f>IFERROR(INDEX(_自动清单!$X$4:$X$63,38),"")</f>
        <v/>
      </c>
      <c r="B42" s="76" t="str">
        <f ca="1">IF($A42="","",ROUND(SUMIFS(成本费用登记表!$H$4:$H$303,成本费用登记表!$D$4:$D$303,$A42,成本费用登记表!$AC$4:$AC$303,B$4)+SUMIFS(资金日记账!$I$4:$I$603,资金日记账!$G$4:$G$603,$A42,资金日记账!$U$4:$U$603,"&lt;&gt;是",资金日记账!$V$4:$V$603,B$4),2))</f>
        <v/>
      </c>
      <c r="C42" s="76" t="str">
        <f ca="1">IF($A42="","",ROUND(SUMIFS(成本费用登记表!$H$4:$H$303,成本费用登记表!$D$4:$D$303,$A42,成本费用登记表!$AC$4:$AC$303,C$4)+SUMIFS(资金日记账!$I$4:$I$603,资金日记账!$G$4:$G$603,$A42,资金日记账!$U$4:$U$603,"&lt;&gt;是",资金日记账!$V$4:$V$603,C$4),2))</f>
        <v/>
      </c>
      <c r="D42" s="76" t="str">
        <f ca="1">IF($A42="","",ROUND(SUMIFS(成本费用登记表!$H$4:$H$303,成本费用登记表!$D$4:$D$303,$A42,成本费用登记表!$AC$4:$AC$303,D$4)+SUMIFS(资金日记账!$I$4:$I$603,资金日记账!$G$4:$G$603,$A42,资金日记账!$U$4:$U$603,"&lt;&gt;是",资金日记账!$V$4:$V$603,D$4),2))</f>
        <v/>
      </c>
      <c r="E42" s="76" t="str">
        <f ca="1">IF($A42="","",ROUND(SUMIFS(成本费用登记表!$H$4:$H$303,成本费用登记表!$D$4:$D$303,$A42,成本费用登记表!$AC$4:$AC$303,E$4)+SUMIFS(资金日记账!$I$4:$I$603,资金日记账!$G$4:$G$603,$A42,资金日记账!$U$4:$U$603,"&lt;&gt;是",资金日记账!$V$4:$V$603,E$4),2))</f>
        <v/>
      </c>
      <c r="F42" s="76" t="str">
        <f ca="1">IF($A42="","",ROUND(SUMIFS(成本费用登记表!$H$4:$H$303,成本费用登记表!$D$4:$D$303,$A42,成本费用登记表!$AC$4:$AC$303,F$4)+SUMIFS(资金日记账!$I$4:$I$603,资金日记账!$G$4:$G$603,$A42,资金日记账!$U$4:$U$603,"&lt;&gt;是",资金日记账!$V$4:$V$603,F$4),2))</f>
        <v/>
      </c>
      <c r="G42" s="76" t="str">
        <f ca="1">IF($A42="","",ROUND(SUMIFS(成本费用登记表!$H$4:$H$303,成本费用登记表!$D$4:$D$303,$A42,成本费用登记表!$AC$4:$AC$303,G$4)+SUMIFS(资金日记账!$I$4:$I$603,资金日记账!$G$4:$G$603,$A42,资金日记账!$U$4:$U$603,"&lt;&gt;是",资金日记账!$V$4:$V$603,G$4),2))</f>
        <v/>
      </c>
      <c r="H42" s="76" t="str">
        <f ca="1">IF($A42="","",ROUND(SUMIFS(成本费用登记表!$H$4:$H$303,成本费用登记表!$D$4:$D$303,$A42,成本费用登记表!$AC$4:$AC$303,H$4)+SUMIFS(资金日记账!$I$4:$I$603,资金日记账!$G$4:$G$603,$A42,资金日记账!$U$4:$U$603,"&lt;&gt;是",资金日记账!$V$4:$V$603,H$4),2))</f>
        <v/>
      </c>
      <c r="I42" s="76" t="str">
        <f ca="1">IF($A42="","",ROUND(SUMIFS(成本费用登记表!$H$4:$H$303,成本费用登记表!$D$4:$D$303,$A42,成本费用登记表!$AC$4:$AC$303,I$4)+SUMIFS(资金日记账!$I$4:$I$603,资金日记账!$G$4:$G$603,$A42,资金日记账!$U$4:$U$603,"&lt;&gt;是",资金日记账!$V$4:$V$603,I$4),2))</f>
        <v/>
      </c>
      <c r="J42" s="76" t="str">
        <f ca="1">IF($A42="","",ROUND(SUMIFS(成本费用登记表!$H$4:$H$303,成本费用登记表!$D$4:$D$303,$A42,成本费用登记表!$AC$4:$AC$303,J$4)+SUMIFS(资金日记账!$I$4:$I$603,资金日记账!$G$4:$G$603,$A42,资金日记账!$U$4:$U$603,"&lt;&gt;是",资金日记账!$V$4:$V$603,J$4),2))</f>
        <v/>
      </c>
      <c r="K42" s="76" t="str">
        <f ca="1">IF($A42="","",ROUND(SUMIFS(成本费用登记表!$H$4:$H$303,成本费用登记表!$D$4:$D$303,$A42,成本费用登记表!$AC$4:$AC$303,K$4)+SUMIFS(资金日记账!$I$4:$I$603,资金日记账!$G$4:$G$603,$A42,资金日记账!$U$4:$U$603,"&lt;&gt;是",资金日记账!$V$4:$V$603,K$4),2))</f>
        <v/>
      </c>
      <c r="L42" s="76" t="str">
        <f ca="1">IF($A42="","",ROUND(SUMIFS(成本费用登记表!$H$4:$H$303,成本费用登记表!$D$4:$D$303,$A42,成本费用登记表!$AC$4:$AC$303,L$4)+SUMIFS(资金日记账!$I$4:$I$603,资金日记账!$G$4:$G$603,$A42,资金日记账!$U$4:$U$603,"&lt;&gt;是",资金日记账!$V$4:$V$603,L$4),2))</f>
        <v/>
      </c>
      <c r="M42" s="76" t="str">
        <f ca="1">IF($A42="","",ROUND(SUMIFS(成本费用登记表!$H$4:$H$303,成本费用登记表!$D$4:$D$303,$A42,成本费用登记表!$AC$4:$AC$303,M$4)+SUMIFS(资金日记账!$I$4:$I$603,资金日记账!$G$4:$G$603,$A42,资金日记账!$U$4:$U$603,"&lt;&gt;是",资金日记账!$V$4:$V$603,M$4),2))</f>
        <v/>
      </c>
      <c r="N42" s="76" t="str">
        <f ca="1">IF($A42="","",ROUND(SUMIFS(成本费用登记表!$H$4:$H$303,成本费用登记表!$D$4:$D$303,$A42,成本费用登记表!$AC$4:$AC$303,N$4)+SUMIFS(资金日记账!$I$4:$I$603,资金日记账!$G$4:$G$603,$A42,资金日记账!$U$4:$U$603,"&lt;&gt;是",资金日记账!$V$4:$V$603,N$4),2))</f>
        <v/>
      </c>
      <c r="O42" s="76" t="str">
        <f ca="1">IF($A42="","",ROUND(SUMIFS(成本费用登记表!$H$4:$H$303,成本费用登记表!$D$4:$D$303,$A42,成本费用登记表!$AC$4:$AC$303,O$4)+SUMIFS(资金日记账!$I$4:$I$603,资金日记账!$G$4:$G$603,$A42,资金日记账!$U$4:$U$603,"&lt;&gt;是",资金日记账!$V$4:$V$603,O$4),2))</f>
        <v/>
      </c>
      <c r="P42" s="76" t="str">
        <f ca="1">IF($A42="","",ROUND(SUMIFS(成本费用登记表!$H$4:$H$303,成本费用登记表!$D$4:$D$303,$A42,成本费用登记表!$AC$4:$AC$303,P$4)+SUMIFS(资金日记账!$I$4:$I$603,资金日记账!$G$4:$G$603,$A42,资金日记账!$U$4:$U$603,"&lt;&gt;是",资金日记账!$V$4:$V$603,P$4),2))</f>
        <v/>
      </c>
      <c r="Q42" s="76" t="str">
        <f ca="1">IF($A42="","",ROUND(SUMIFS(成本费用登记表!$H$4:$H$303,成本费用登记表!$D$4:$D$303,$A42,成本费用登记表!$AC$4:$AC$303,Q$4)+SUMIFS(资金日记账!$I$4:$I$603,资金日记账!$G$4:$G$603,$A42,资金日记账!$U$4:$U$603,"&lt;&gt;是",资金日记账!$V$4:$V$603,Q$4),2))</f>
        <v/>
      </c>
      <c r="R42" s="76" t="str">
        <f ca="1">IF($A42="","",ROUND(SUMIFS(成本费用登记表!$H$4:$H$303,成本费用登记表!$D$4:$D$303,$A42,成本费用登记表!$AC$4:$AC$303,R$4)+SUMIFS(资金日记账!$I$4:$I$603,资金日记账!$G$4:$G$603,$A42,资金日记账!$U$4:$U$603,"&lt;&gt;是",资金日记账!$V$4:$V$603,R$4),2))</f>
        <v/>
      </c>
      <c r="S42" s="76" t="str">
        <f ca="1">IF($A42="","",ROUND(SUMIFS(成本费用登记表!$H$4:$H$303,成本费用登记表!$D$4:$D$303,$A42,成本费用登记表!$AC$4:$AC$303,S$4)+SUMIFS(资金日记账!$I$4:$I$603,资金日记账!$G$4:$G$603,$A42,资金日记账!$U$4:$U$603,"&lt;&gt;是",资金日记账!$V$4:$V$603,S$4),2))</f>
        <v/>
      </c>
      <c r="T42" s="76" t="str">
        <f ca="1">IF($A42="","",ROUND(SUMIFS(成本费用登记表!$H$4:$H$303,成本费用登记表!$D$4:$D$303,$A42,成本费用登记表!$AC$4:$AC$303,T$4)+SUMIFS(资金日记账!$I$4:$I$603,资金日记账!$G$4:$G$603,$A42,资金日记账!$U$4:$U$603,"&lt;&gt;是",资金日记账!$V$4:$V$603,T$4),2))</f>
        <v/>
      </c>
      <c r="U42" s="76" t="str">
        <f ca="1">IF($A42="","",ROUND(SUMIFS(成本费用登记表!$H$4:$H$303,成本费用登记表!$D$4:$D$303,$A42,成本费用登记表!$AC$4:$AC$303,U$4)+SUMIFS(资金日记账!$I$4:$I$603,资金日记账!$G$4:$G$603,$A42,资金日记账!$U$4:$U$603,"&lt;&gt;是",资金日记账!$V$4:$V$603,U$4),2))</f>
        <v/>
      </c>
      <c r="V42" s="76" t="str">
        <f ca="1">IF($A42="","",ROUND(SUMIFS(成本费用登记表!$H$4:$H$303,成本费用登记表!$D$4:$D$303,$A42,成本费用登记表!$AC$4:$AC$303,V$4)+SUMIFS(资金日记账!$I$4:$I$603,资金日记账!$G$4:$G$603,$A42,资金日记账!$U$4:$U$603,"&lt;&gt;是",资金日记账!$V$4:$V$603,V$4),2))</f>
        <v/>
      </c>
      <c r="W42" s="76" t="str">
        <f ca="1">IF($A42="","",ROUND(SUMIFS(成本费用登记表!$H$4:$H$303,成本费用登记表!$D$4:$D$303,$A42,成本费用登记表!$AC$4:$AC$303,W$4)+SUMIFS(资金日记账!$I$4:$I$603,资金日记账!$G$4:$G$603,$A42,资金日记账!$U$4:$U$603,"&lt;&gt;是",资金日记账!$V$4:$V$603,W$4),2))</f>
        <v/>
      </c>
      <c r="X42" s="76" t="str">
        <f ca="1">IF($A42="","",ROUND(SUMIFS(成本费用登记表!$H$4:$H$303,成本费用登记表!$D$4:$D$303,$A42,成本费用登记表!$AC$4:$AC$303,X$4)+SUMIFS(资金日记账!$I$4:$I$603,资金日记账!$G$4:$G$603,$A42,资金日记账!$U$4:$U$603,"&lt;&gt;是",资金日记账!$V$4:$V$603,X$4),2))</f>
        <v/>
      </c>
      <c r="Y42" s="76" t="str">
        <f ca="1">IF($A42="","",ROUND(SUMIFS(成本费用登记表!$H$4:$H$303,成本费用登记表!$D$4:$D$303,$A42,成本费用登记表!$AC$4:$AC$303,Y$4)+SUMIFS(资金日记账!$I$4:$I$603,资金日记账!$G$4:$G$603,$A42,资金日记账!$U$4:$U$603,"&lt;&gt;是",资金日记账!$V$4:$V$603,Y$4),2))</f>
        <v/>
      </c>
      <c r="Z42" s="87" t="str">
        <f ca="1" t="shared" si="1"/>
        <v/>
      </c>
      <c r="AA42" s="76" t="str">
        <f>IF($A42="","",ROUND(SUMIF(成本费用登记表!$D$4:$D$303,$A42,成本费用登记表!$AA$4:$AA$303)+SUMIFS(资金日记账!$I$4:$I$603,资金日记账!$G$4:$G$603,$A42,资金日记账!$U$4:$U$603,"&lt;&gt;是"),2))</f>
        <v/>
      </c>
      <c r="AB42" s="76" t="str">
        <f ca="1" t="shared" si="2"/>
        <v/>
      </c>
    </row>
    <row r="43" spans="1:28">
      <c r="A43" s="86" t="str">
        <f>IFERROR(INDEX(_自动清单!$X$4:$X$63,39),"")</f>
        <v/>
      </c>
      <c r="B43" s="76" t="str">
        <f ca="1">IF($A43="","",ROUND(SUMIFS(成本费用登记表!$H$4:$H$303,成本费用登记表!$D$4:$D$303,$A43,成本费用登记表!$AC$4:$AC$303,B$4)+SUMIFS(资金日记账!$I$4:$I$603,资金日记账!$G$4:$G$603,$A43,资金日记账!$U$4:$U$603,"&lt;&gt;是",资金日记账!$V$4:$V$603,B$4),2))</f>
        <v/>
      </c>
      <c r="C43" s="76" t="str">
        <f ca="1">IF($A43="","",ROUND(SUMIFS(成本费用登记表!$H$4:$H$303,成本费用登记表!$D$4:$D$303,$A43,成本费用登记表!$AC$4:$AC$303,C$4)+SUMIFS(资金日记账!$I$4:$I$603,资金日记账!$G$4:$G$603,$A43,资金日记账!$U$4:$U$603,"&lt;&gt;是",资金日记账!$V$4:$V$603,C$4),2))</f>
        <v/>
      </c>
      <c r="D43" s="76" t="str">
        <f ca="1">IF($A43="","",ROUND(SUMIFS(成本费用登记表!$H$4:$H$303,成本费用登记表!$D$4:$D$303,$A43,成本费用登记表!$AC$4:$AC$303,D$4)+SUMIFS(资金日记账!$I$4:$I$603,资金日记账!$G$4:$G$603,$A43,资金日记账!$U$4:$U$603,"&lt;&gt;是",资金日记账!$V$4:$V$603,D$4),2))</f>
        <v/>
      </c>
      <c r="E43" s="76" t="str">
        <f ca="1">IF($A43="","",ROUND(SUMIFS(成本费用登记表!$H$4:$H$303,成本费用登记表!$D$4:$D$303,$A43,成本费用登记表!$AC$4:$AC$303,E$4)+SUMIFS(资金日记账!$I$4:$I$603,资金日记账!$G$4:$G$603,$A43,资金日记账!$U$4:$U$603,"&lt;&gt;是",资金日记账!$V$4:$V$603,E$4),2))</f>
        <v/>
      </c>
      <c r="F43" s="76" t="str">
        <f ca="1">IF($A43="","",ROUND(SUMIFS(成本费用登记表!$H$4:$H$303,成本费用登记表!$D$4:$D$303,$A43,成本费用登记表!$AC$4:$AC$303,F$4)+SUMIFS(资金日记账!$I$4:$I$603,资金日记账!$G$4:$G$603,$A43,资金日记账!$U$4:$U$603,"&lt;&gt;是",资金日记账!$V$4:$V$603,F$4),2))</f>
        <v/>
      </c>
      <c r="G43" s="76" t="str">
        <f ca="1">IF($A43="","",ROUND(SUMIFS(成本费用登记表!$H$4:$H$303,成本费用登记表!$D$4:$D$303,$A43,成本费用登记表!$AC$4:$AC$303,G$4)+SUMIFS(资金日记账!$I$4:$I$603,资金日记账!$G$4:$G$603,$A43,资金日记账!$U$4:$U$603,"&lt;&gt;是",资金日记账!$V$4:$V$603,G$4),2))</f>
        <v/>
      </c>
      <c r="H43" s="76" t="str">
        <f ca="1">IF($A43="","",ROUND(SUMIFS(成本费用登记表!$H$4:$H$303,成本费用登记表!$D$4:$D$303,$A43,成本费用登记表!$AC$4:$AC$303,H$4)+SUMIFS(资金日记账!$I$4:$I$603,资金日记账!$G$4:$G$603,$A43,资金日记账!$U$4:$U$603,"&lt;&gt;是",资金日记账!$V$4:$V$603,H$4),2))</f>
        <v/>
      </c>
      <c r="I43" s="76" t="str">
        <f ca="1">IF($A43="","",ROUND(SUMIFS(成本费用登记表!$H$4:$H$303,成本费用登记表!$D$4:$D$303,$A43,成本费用登记表!$AC$4:$AC$303,I$4)+SUMIFS(资金日记账!$I$4:$I$603,资金日记账!$G$4:$G$603,$A43,资金日记账!$U$4:$U$603,"&lt;&gt;是",资金日记账!$V$4:$V$603,I$4),2))</f>
        <v/>
      </c>
      <c r="J43" s="76" t="str">
        <f ca="1">IF($A43="","",ROUND(SUMIFS(成本费用登记表!$H$4:$H$303,成本费用登记表!$D$4:$D$303,$A43,成本费用登记表!$AC$4:$AC$303,J$4)+SUMIFS(资金日记账!$I$4:$I$603,资金日记账!$G$4:$G$603,$A43,资金日记账!$U$4:$U$603,"&lt;&gt;是",资金日记账!$V$4:$V$603,J$4),2))</f>
        <v/>
      </c>
      <c r="K43" s="76" t="str">
        <f ca="1">IF($A43="","",ROUND(SUMIFS(成本费用登记表!$H$4:$H$303,成本费用登记表!$D$4:$D$303,$A43,成本费用登记表!$AC$4:$AC$303,K$4)+SUMIFS(资金日记账!$I$4:$I$603,资金日记账!$G$4:$G$603,$A43,资金日记账!$U$4:$U$603,"&lt;&gt;是",资金日记账!$V$4:$V$603,K$4),2))</f>
        <v/>
      </c>
      <c r="L43" s="76" t="str">
        <f ca="1">IF($A43="","",ROUND(SUMIFS(成本费用登记表!$H$4:$H$303,成本费用登记表!$D$4:$D$303,$A43,成本费用登记表!$AC$4:$AC$303,L$4)+SUMIFS(资金日记账!$I$4:$I$603,资金日记账!$G$4:$G$603,$A43,资金日记账!$U$4:$U$603,"&lt;&gt;是",资金日记账!$V$4:$V$603,L$4),2))</f>
        <v/>
      </c>
      <c r="M43" s="76" t="str">
        <f ca="1">IF($A43="","",ROUND(SUMIFS(成本费用登记表!$H$4:$H$303,成本费用登记表!$D$4:$D$303,$A43,成本费用登记表!$AC$4:$AC$303,M$4)+SUMIFS(资金日记账!$I$4:$I$603,资金日记账!$G$4:$G$603,$A43,资金日记账!$U$4:$U$603,"&lt;&gt;是",资金日记账!$V$4:$V$603,M$4),2))</f>
        <v/>
      </c>
      <c r="N43" s="76" t="str">
        <f ca="1">IF($A43="","",ROUND(SUMIFS(成本费用登记表!$H$4:$H$303,成本费用登记表!$D$4:$D$303,$A43,成本费用登记表!$AC$4:$AC$303,N$4)+SUMIFS(资金日记账!$I$4:$I$603,资金日记账!$G$4:$G$603,$A43,资金日记账!$U$4:$U$603,"&lt;&gt;是",资金日记账!$V$4:$V$603,N$4),2))</f>
        <v/>
      </c>
      <c r="O43" s="76" t="str">
        <f ca="1">IF($A43="","",ROUND(SUMIFS(成本费用登记表!$H$4:$H$303,成本费用登记表!$D$4:$D$303,$A43,成本费用登记表!$AC$4:$AC$303,O$4)+SUMIFS(资金日记账!$I$4:$I$603,资金日记账!$G$4:$G$603,$A43,资金日记账!$U$4:$U$603,"&lt;&gt;是",资金日记账!$V$4:$V$603,O$4),2))</f>
        <v/>
      </c>
      <c r="P43" s="76" t="str">
        <f ca="1">IF($A43="","",ROUND(SUMIFS(成本费用登记表!$H$4:$H$303,成本费用登记表!$D$4:$D$303,$A43,成本费用登记表!$AC$4:$AC$303,P$4)+SUMIFS(资金日记账!$I$4:$I$603,资金日记账!$G$4:$G$603,$A43,资金日记账!$U$4:$U$603,"&lt;&gt;是",资金日记账!$V$4:$V$603,P$4),2))</f>
        <v/>
      </c>
      <c r="Q43" s="76" t="str">
        <f ca="1">IF($A43="","",ROUND(SUMIFS(成本费用登记表!$H$4:$H$303,成本费用登记表!$D$4:$D$303,$A43,成本费用登记表!$AC$4:$AC$303,Q$4)+SUMIFS(资金日记账!$I$4:$I$603,资金日记账!$G$4:$G$603,$A43,资金日记账!$U$4:$U$603,"&lt;&gt;是",资金日记账!$V$4:$V$603,Q$4),2))</f>
        <v/>
      </c>
      <c r="R43" s="76" t="str">
        <f ca="1">IF($A43="","",ROUND(SUMIFS(成本费用登记表!$H$4:$H$303,成本费用登记表!$D$4:$D$303,$A43,成本费用登记表!$AC$4:$AC$303,R$4)+SUMIFS(资金日记账!$I$4:$I$603,资金日记账!$G$4:$G$603,$A43,资金日记账!$U$4:$U$603,"&lt;&gt;是",资金日记账!$V$4:$V$603,R$4),2))</f>
        <v/>
      </c>
      <c r="S43" s="76" t="str">
        <f ca="1">IF($A43="","",ROUND(SUMIFS(成本费用登记表!$H$4:$H$303,成本费用登记表!$D$4:$D$303,$A43,成本费用登记表!$AC$4:$AC$303,S$4)+SUMIFS(资金日记账!$I$4:$I$603,资金日记账!$G$4:$G$603,$A43,资金日记账!$U$4:$U$603,"&lt;&gt;是",资金日记账!$V$4:$V$603,S$4),2))</f>
        <v/>
      </c>
      <c r="T43" s="76" t="str">
        <f ca="1">IF($A43="","",ROUND(SUMIFS(成本费用登记表!$H$4:$H$303,成本费用登记表!$D$4:$D$303,$A43,成本费用登记表!$AC$4:$AC$303,T$4)+SUMIFS(资金日记账!$I$4:$I$603,资金日记账!$G$4:$G$603,$A43,资金日记账!$U$4:$U$603,"&lt;&gt;是",资金日记账!$V$4:$V$603,T$4),2))</f>
        <v/>
      </c>
      <c r="U43" s="76" t="str">
        <f ca="1">IF($A43="","",ROUND(SUMIFS(成本费用登记表!$H$4:$H$303,成本费用登记表!$D$4:$D$303,$A43,成本费用登记表!$AC$4:$AC$303,U$4)+SUMIFS(资金日记账!$I$4:$I$603,资金日记账!$G$4:$G$603,$A43,资金日记账!$U$4:$U$603,"&lt;&gt;是",资金日记账!$V$4:$V$603,U$4),2))</f>
        <v/>
      </c>
      <c r="V43" s="76" t="str">
        <f ca="1">IF($A43="","",ROUND(SUMIFS(成本费用登记表!$H$4:$H$303,成本费用登记表!$D$4:$D$303,$A43,成本费用登记表!$AC$4:$AC$303,V$4)+SUMIFS(资金日记账!$I$4:$I$603,资金日记账!$G$4:$G$603,$A43,资金日记账!$U$4:$U$603,"&lt;&gt;是",资金日记账!$V$4:$V$603,V$4),2))</f>
        <v/>
      </c>
      <c r="W43" s="76" t="str">
        <f ca="1">IF($A43="","",ROUND(SUMIFS(成本费用登记表!$H$4:$H$303,成本费用登记表!$D$4:$D$303,$A43,成本费用登记表!$AC$4:$AC$303,W$4)+SUMIFS(资金日记账!$I$4:$I$603,资金日记账!$G$4:$G$603,$A43,资金日记账!$U$4:$U$603,"&lt;&gt;是",资金日记账!$V$4:$V$603,W$4),2))</f>
        <v/>
      </c>
      <c r="X43" s="76" t="str">
        <f ca="1">IF($A43="","",ROUND(SUMIFS(成本费用登记表!$H$4:$H$303,成本费用登记表!$D$4:$D$303,$A43,成本费用登记表!$AC$4:$AC$303,X$4)+SUMIFS(资金日记账!$I$4:$I$603,资金日记账!$G$4:$G$603,$A43,资金日记账!$U$4:$U$603,"&lt;&gt;是",资金日记账!$V$4:$V$603,X$4),2))</f>
        <v/>
      </c>
      <c r="Y43" s="76" t="str">
        <f ca="1">IF($A43="","",ROUND(SUMIFS(成本费用登记表!$H$4:$H$303,成本费用登记表!$D$4:$D$303,$A43,成本费用登记表!$AC$4:$AC$303,Y$4)+SUMIFS(资金日记账!$I$4:$I$603,资金日记账!$G$4:$G$603,$A43,资金日记账!$U$4:$U$603,"&lt;&gt;是",资金日记账!$V$4:$V$603,Y$4),2))</f>
        <v/>
      </c>
      <c r="Z43" s="87" t="str">
        <f ca="1" t="shared" si="1"/>
        <v/>
      </c>
      <c r="AA43" s="76" t="str">
        <f>IF($A43="","",ROUND(SUMIF(成本费用登记表!$D$4:$D$303,$A43,成本费用登记表!$AA$4:$AA$303)+SUMIFS(资金日记账!$I$4:$I$603,资金日记账!$G$4:$G$603,$A43,资金日记账!$U$4:$U$603,"&lt;&gt;是"),2))</f>
        <v/>
      </c>
      <c r="AB43" s="76" t="str">
        <f ca="1" t="shared" si="2"/>
        <v/>
      </c>
    </row>
    <row r="44" spans="1:28">
      <c r="A44" s="86" t="str">
        <f>IFERROR(INDEX(_自动清单!$X$4:$X$63,40),"")</f>
        <v/>
      </c>
      <c r="B44" s="76" t="str">
        <f ca="1">IF($A44="","",ROUND(SUMIFS(成本费用登记表!$H$4:$H$303,成本费用登记表!$D$4:$D$303,$A44,成本费用登记表!$AC$4:$AC$303,B$4)+SUMIFS(资金日记账!$I$4:$I$603,资金日记账!$G$4:$G$603,$A44,资金日记账!$U$4:$U$603,"&lt;&gt;是",资金日记账!$V$4:$V$603,B$4),2))</f>
        <v/>
      </c>
      <c r="C44" s="76" t="str">
        <f ca="1">IF($A44="","",ROUND(SUMIFS(成本费用登记表!$H$4:$H$303,成本费用登记表!$D$4:$D$303,$A44,成本费用登记表!$AC$4:$AC$303,C$4)+SUMIFS(资金日记账!$I$4:$I$603,资金日记账!$G$4:$G$603,$A44,资金日记账!$U$4:$U$603,"&lt;&gt;是",资金日记账!$V$4:$V$603,C$4),2))</f>
        <v/>
      </c>
      <c r="D44" s="76" t="str">
        <f ca="1">IF($A44="","",ROUND(SUMIFS(成本费用登记表!$H$4:$H$303,成本费用登记表!$D$4:$D$303,$A44,成本费用登记表!$AC$4:$AC$303,D$4)+SUMIFS(资金日记账!$I$4:$I$603,资金日记账!$G$4:$G$603,$A44,资金日记账!$U$4:$U$603,"&lt;&gt;是",资金日记账!$V$4:$V$603,D$4),2))</f>
        <v/>
      </c>
      <c r="E44" s="76" t="str">
        <f ca="1">IF($A44="","",ROUND(SUMIFS(成本费用登记表!$H$4:$H$303,成本费用登记表!$D$4:$D$303,$A44,成本费用登记表!$AC$4:$AC$303,E$4)+SUMIFS(资金日记账!$I$4:$I$603,资金日记账!$G$4:$G$603,$A44,资金日记账!$U$4:$U$603,"&lt;&gt;是",资金日记账!$V$4:$V$603,E$4),2))</f>
        <v/>
      </c>
      <c r="F44" s="76" t="str">
        <f ca="1">IF($A44="","",ROUND(SUMIFS(成本费用登记表!$H$4:$H$303,成本费用登记表!$D$4:$D$303,$A44,成本费用登记表!$AC$4:$AC$303,F$4)+SUMIFS(资金日记账!$I$4:$I$603,资金日记账!$G$4:$G$603,$A44,资金日记账!$U$4:$U$603,"&lt;&gt;是",资金日记账!$V$4:$V$603,F$4),2))</f>
        <v/>
      </c>
      <c r="G44" s="76" t="str">
        <f ca="1">IF($A44="","",ROUND(SUMIFS(成本费用登记表!$H$4:$H$303,成本费用登记表!$D$4:$D$303,$A44,成本费用登记表!$AC$4:$AC$303,G$4)+SUMIFS(资金日记账!$I$4:$I$603,资金日记账!$G$4:$G$603,$A44,资金日记账!$U$4:$U$603,"&lt;&gt;是",资金日记账!$V$4:$V$603,G$4),2))</f>
        <v/>
      </c>
      <c r="H44" s="76" t="str">
        <f ca="1">IF($A44="","",ROUND(SUMIFS(成本费用登记表!$H$4:$H$303,成本费用登记表!$D$4:$D$303,$A44,成本费用登记表!$AC$4:$AC$303,H$4)+SUMIFS(资金日记账!$I$4:$I$603,资金日记账!$G$4:$G$603,$A44,资金日记账!$U$4:$U$603,"&lt;&gt;是",资金日记账!$V$4:$V$603,H$4),2))</f>
        <v/>
      </c>
      <c r="I44" s="76" t="str">
        <f ca="1">IF($A44="","",ROUND(SUMIFS(成本费用登记表!$H$4:$H$303,成本费用登记表!$D$4:$D$303,$A44,成本费用登记表!$AC$4:$AC$303,I$4)+SUMIFS(资金日记账!$I$4:$I$603,资金日记账!$G$4:$G$603,$A44,资金日记账!$U$4:$U$603,"&lt;&gt;是",资金日记账!$V$4:$V$603,I$4),2))</f>
        <v/>
      </c>
      <c r="J44" s="76" t="str">
        <f ca="1">IF($A44="","",ROUND(SUMIFS(成本费用登记表!$H$4:$H$303,成本费用登记表!$D$4:$D$303,$A44,成本费用登记表!$AC$4:$AC$303,J$4)+SUMIFS(资金日记账!$I$4:$I$603,资金日记账!$G$4:$G$603,$A44,资金日记账!$U$4:$U$603,"&lt;&gt;是",资金日记账!$V$4:$V$603,J$4),2))</f>
        <v/>
      </c>
      <c r="K44" s="76" t="str">
        <f ca="1">IF($A44="","",ROUND(SUMIFS(成本费用登记表!$H$4:$H$303,成本费用登记表!$D$4:$D$303,$A44,成本费用登记表!$AC$4:$AC$303,K$4)+SUMIFS(资金日记账!$I$4:$I$603,资金日记账!$G$4:$G$603,$A44,资金日记账!$U$4:$U$603,"&lt;&gt;是",资金日记账!$V$4:$V$603,K$4),2))</f>
        <v/>
      </c>
      <c r="L44" s="76" t="str">
        <f ca="1">IF($A44="","",ROUND(SUMIFS(成本费用登记表!$H$4:$H$303,成本费用登记表!$D$4:$D$303,$A44,成本费用登记表!$AC$4:$AC$303,L$4)+SUMIFS(资金日记账!$I$4:$I$603,资金日记账!$G$4:$G$603,$A44,资金日记账!$U$4:$U$603,"&lt;&gt;是",资金日记账!$V$4:$V$603,L$4),2))</f>
        <v/>
      </c>
      <c r="M44" s="76" t="str">
        <f ca="1">IF($A44="","",ROUND(SUMIFS(成本费用登记表!$H$4:$H$303,成本费用登记表!$D$4:$D$303,$A44,成本费用登记表!$AC$4:$AC$303,M$4)+SUMIFS(资金日记账!$I$4:$I$603,资金日记账!$G$4:$G$603,$A44,资金日记账!$U$4:$U$603,"&lt;&gt;是",资金日记账!$V$4:$V$603,M$4),2))</f>
        <v/>
      </c>
      <c r="N44" s="76" t="str">
        <f ca="1">IF($A44="","",ROUND(SUMIFS(成本费用登记表!$H$4:$H$303,成本费用登记表!$D$4:$D$303,$A44,成本费用登记表!$AC$4:$AC$303,N$4)+SUMIFS(资金日记账!$I$4:$I$603,资金日记账!$G$4:$G$603,$A44,资金日记账!$U$4:$U$603,"&lt;&gt;是",资金日记账!$V$4:$V$603,N$4),2))</f>
        <v/>
      </c>
      <c r="O44" s="76" t="str">
        <f ca="1">IF($A44="","",ROUND(SUMIFS(成本费用登记表!$H$4:$H$303,成本费用登记表!$D$4:$D$303,$A44,成本费用登记表!$AC$4:$AC$303,O$4)+SUMIFS(资金日记账!$I$4:$I$603,资金日记账!$G$4:$G$603,$A44,资金日记账!$U$4:$U$603,"&lt;&gt;是",资金日记账!$V$4:$V$603,O$4),2))</f>
        <v/>
      </c>
      <c r="P44" s="76" t="str">
        <f ca="1">IF($A44="","",ROUND(SUMIFS(成本费用登记表!$H$4:$H$303,成本费用登记表!$D$4:$D$303,$A44,成本费用登记表!$AC$4:$AC$303,P$4)+SUMIFS(资金日记账!$I$4:$I$603,资金日记账!$G$4:$G$603,$A44,资金日记账!$U$4:$U$603,"&lt;&gt;是",资金日记账!$V$4:$V$603,P$4),2))</f>
        <v/>
      </c>
      <c r="Q44" s="76" t="str">
        <f ca="1">IF($A44="","",ROUND(SUMIFS(成本费用登记表!$H$4:$H$303,成本费用登记表!$D$4:$D$303,$A44,成本费用登记表!$AC$4:$AC$303,Q$4)+SUMIFS(资金日记账!$I$4:$I$603,资金日记账!$G$4:$G$603,$A44,资金日记账!$U$4:$U$603,"&lt;&gt;是",资金日记账!$V$4:$V$603,Q$4),2))</f>
        <v/>
      </c>
      <c r="R44" s="76" t="str">
        <f ca="1">IF($A44="","",ROUND(SUMIFS(成本费用登记表!$H$4:$H$303,成本费用登记表!$D$4:$D$303,$A44,成本费用登记表!$AC$4:$AC$303,R$4)+SUMIFS(资金日记账!$I$4:$I$603,资金日记账!$G$4:$G$603,$A44,资金日记账!$U$4:$U$603,"&lt;&gt;是",资金日记账!$V$4:$V$603,R$4),2))</f>
        <v/>
      </c>
      <c r="S44" s="76" t="str">
        <f ca="1">IF($A44="","",ROUND(SUMIFS(成本费用登记表!$H$4:$H$303,成本费用登记表!$D$4:$D$303,$A44,成本费用登记表!$AC$4:$AC$303,S$4)+SUMIFS(资金日记账!$I$4:$I$603,资金日记账!$G$4:$G$603,$A44,资金日记账!$U$4:$U$603,"&lt;&gt;是",资金日记账!$V$4:$V$603,S$4),2))</f>
        <v/>
      </c>
      <c r="T44" s="76" t="str">
        <f ca="1">IF($A44="","",ROUND(SUMIFS(成本费用登记表!$H$4:$H$303,成本费用登记表!$D$4:$D$303,$A44,成本费用登记表!$AC$4:$AC$303,T$4)+SUMIFS(资金日记账!$I$4:$I$603,资金日记账!$G$4:$G$603,$A44,资金日记账!$U$4:$U$603,"&lt;&gt;是",资金日记账!$V$4:$V$603,T$4),2))</f>
        <v/>
      </c>
      <c r="U44" s="76" t="str">
        <f ca="1">IF($A44="","",ROUND(SUMIFS(成本费用登记表!$H$4:$H$303,成本费用登记表!$D$4:$D$303,$A44,成本费用登记表!$AC$4:$AC$303,U$4)+SUMIFS(资金日记账!$I$4:$I$603,资金日记账!$G$4:$G$603,$A44,资金日记账!$U$4:$U$603,"&lt;&gt;是",资金日记账!$V$4:$V$603,U$4),2))</f>
        <v/>
      </c>
      <c r="V44" s="76" t="str">
        <f ca="1">IF($A44="","",ROUND(SUMIFS(成本费用登记表!$H$4:$H$303,成本费用登记表!$D$4:$D$303,$A44,成本费用登记表!$AC$4:$AC$303,V$4)+SUMIFS(资金日记账!$I$4:$I$603,资金日记账!$G$4:$G$603,$A44,资金日记账!$U$4:$U$603,"&lt;&gt;是",资金日记账!$V$4:$V$603,V$4),2))</f>
        <v/>
      </c>
      <c r="W44" s="76" t="str">
        <f ca="1">IF($A44="","",ROUND(SUMIFS(成本费用登记表!$H$4:$H$303,成本费用登记表!$D$4:$D$303,$A44,成本费用登记表!$AC$4:$AC$303,W$4)+SUMIFS(资金日记账!$I$4:$I$603,资金日记账!$G$4:$G$603,$A44,资金日记账!$U$4:$U$603,"&lt;&gt;是",资金日记账!$V$4:$V$603,W$4),2))</f>
        <v/>
      </c>
      <c r="X44" s="76" t="str">
        <f ca="1">IF($A44="","",ROUND(SUMIFS(成本费用登记表!$H$4:$H$303,成本费用登记表!$D$4:$D$303,$A44,成本费用登记表!$AC$4:$AC$303,X$4)+SUMIFS(资金日记账!$I$4:$I$603,资金日记账!$G$4:$G$603,$A44,资金日记账!$U$4:$U$603,"&lt;&gt;是",资金日记账!$V$4:$V$603,X$4),2))</f>
        <v/>
      </c>
      <c r="Y44" s="76" t="str">
        <f ca="1">IF($A44="","",ROUND(SUMIFS(成本费用登记表!$H$4:$H$303,成本费用登记表!$D$4:$D$303,$A44,成本费用登记表!$AC$4:$AC$303,Y$4)+SUMIFS(资金日记账!$I$4:$I$603,资金日记账!$G$4:$G$603,$A44,资金日记账!$U$4:$U$603,"&lt;&gt;是",资金日记账!$V$4:$V$603,Y$4),2))</f>
        <v/>
      </c>
      <c r="Z44" s="87" t="str">
        <f ca="1" t="shared" si="1"/>
        <v/>
      </c>
      <c r="AA44" s="76" t="str">
        <f>IF($A44="","",ROUND(SUMIF(成本费用登记表!$D$4:$D$303,$A44,成本费用登记表!$AA$4:$AA$303)+SUMIFS(资金日记账!$I$4:$I$603,资金日记账!$G$4:$G$603,$A44,资金日记账!$U$4:$U$603,"&lt;&gt;是"),2))</f>
        <v/>
      </c>
      <c r="AB44" s="76" t="str">
        <f ca="1" t="shared" si="2"/>
        <v/>
      </c>
    </row>
    <row r="45" spans="1:28">
      <c r="A45" s="86" t="str">
        <f>IFERROR(INDEX(_自动清单!$X$4:$X$63,41),"")</f>
        <v/>
      </c>
      <c r="B45" s="76" t="str">
        <f ca="1">IF($A45="","",ROUND(SUMIFS(成本费用登记表!$H$4:$H$303,成本费用登记表!$D$4:$D$303,$A45,成本费用登记表!$AC$4:$AC$303,B$4)+SUMIFS(资金日记账!$I$4:$I$603,资金日记账!$G$4:$G$603,$A45,资金日记账!$U$4:$U$603,"&lt;&gt;是",资金日记账!$V$4:$V$603,B$4),2))</f>
        <v/>
      </c>
      <c r="C45" s="76" t="str">
        <f ca="1">IF($A45="","",ROUND(SUMIFS(成本费用登记表!$H$4:$H$303,成本费用登记表!$D$4:$D$303,$A45,成本费用登记表!$AC$4:$AC$303,C$4)+SUMIFS(资金日记账!$I$4:$I$603,资金日记账!$G$4:$G$603,$A45,资金日记账!$U$4:$U$603,"&lt;&gt;是",资金日记账!$V$4:$V$603,C$4),2))</f>
        <v/>
      </c>
      <c r="D45" s="76" t="str">
        <f ca="1">IF($A45="","",ROUND(SUMIFS(成本费用登记表!$H$4:$H$303,成本费用登记表!$D$4:$D$303,$A45,成本费用登记表!$AC$4:$AC$303,D$4)+SUMIFS(资金日记账!$I$4:$I$603,资金日记账!$G$4:$G$603,$A45,资金日记账!$U$4:$U$603,"&lt;&gt;是",资金日记账!$V$4:$V$603,D$4),2))</f>
        <v/>
      </c>
      <c r="E45" s="76" t="str">
        <f ca="1">IF($A45="","",ROUND(SUMIFS(成本费用登记表!$H$4:$H$303,成本费用登记表!$D$4:$D$303,$A45,成本费用登记表!$AC$4:$AC$303,E$4)+SUMIFS(资金日记账!$I$4:$I$603,资金日记账!$G$4:$G$603,$A45,资金日记账!$U$4:$U$603,"&lt;&gt;是",资金日记账!$V$4:$V$603,E$4),2))</f>
        <v/>
      </c>
      <c r="F45" s="76" t="str">
        <f ca="1">IF($A45="","",ROUND(SUMIFS(成本费用登记表!$H$4:$H$303,成本费用登记表!$D$4:$D$303,$A45,成本费用登记表!$AC$4:$AC$303,F$4)+SUMIFS(资金日记账!$I$4:$I$603,资金日记账!$G$4:$G$603,$A45,资金日记账!$U$4:$U$603,"&lt;&gt;是",资金日记账!$V$4:$V$603,F$4),2))</f>
        <v/>
      </c>
      <c r="G45" s="76" t="str">
        <f ca="1">IF($A45="","",ROUND(SUMIFS(成本费用登记表!$H$4:$H$303,成本费用登记表!$D$4:$D$303,$A45,成本费用登记表!$AC$4:$AC$303,G$4)+SUMIFS(资金日记账!$I$4:$I$603,资金日记账!$G$4:$G$603,$A45,资金日记账!$U$4:$U$603,"&lt;&gt;是",资金日记账!$V$4:$V$603,G$4),2))</f>
        <v/>
      </c>
      <c r="H45" s="76" t="str">
        <f ca="1">IF($A45="","",ROUND(SUMIFS(成本费用登记表!$H$4:$H$303,成本费用登记表!$D$4:$D$303,$A45,成本费用登记表!$AC$4:$AC$303,H$4)+SUMIFS(资金日记账!$I$4:$I$603,资金日记账!$G$4:$G$603,$A45,资金日记账!$U$4:$U$603,"&lt;&gt;是",资金日记账!$V$4:$V$603,H$4),2))</f>
        <v/>
      </c>
      <c r="I45" s="76" t="str">
        <f ca="1">IF($A45="","",ROUND(SUMIFS(成本费用登记表!$H$4:$H$303,成本费用登记表!$D$4:$D$303,$A45,成本费用登记表!$AC$4:$AC$303,I$4)+SUMIFS(资金日记账!$I$4:$I$603,资金日记账!$G$4:$G$603,$A45,资金日记账!$U$4:$U$603,"&lt;&gt;是",资金日记账!$V$4:$V$603,I$4),2))</f>
        <v/>
      </c>
      <c r="J45" s="76" t="str">
        <f ca="1">IF($A45="","",ROUND(SUMIFS(成本费用登记表!$H$4:$H$303,成本费用登记表!$D$4:$D$303,$A45,成本费用登记表!$AC$4:$AC$303,J$4)+SUMIFS(资金日记账!$I$4:$I$603,资金日记账!$G$4:$G$603,$A45,资金日记账!$U$4:$U$603,"&lt;&gt;是",资金日记账!$V$4:$V$603,J$4),2))</f>
        <v/>
      </c>
      <c r="K45" s="76" t="str">
        <f ca="1">IF($A45="","",ROUND(SUMIFS(成本费用登记表!$H$4:$H$303,成本费用登记表!$D$4:$D$303,$A45,成本费用登记表!$AC$4:$AC$303,K$4)+SUMIFS(资金日记账!$I$4:$I$603,资金日记账!$G$4:$G$603,$A45,资金日记账!$U$4:$U$603,"&lt;&gt;是",资金日记账!$V$4:$V$603,K$4),2))</f>
        <v/>
      </c>
      <c r="L45" s="76" t="str">
        <f ca="1">IF($A45="","",ROUND(SUMIFS(成本费用登记表!$H$4:$H$303,成本费用登记表!$D$4:$D$303,$A45,成本费用登记表!$AC$4:$AC$303,L$4)+SUMIFS(资金日记账!$I$4:$I$603,资金日记账!$G$4:$G$603,$A45,资金日记账!$U$4:$U$603,"&lt;&gt;是",资金日记账!$V$4:$V$603,L$4),2))</f>
        <v/>
      </c>
      <c r="M45" s="76" t="str">
        <f ca="1">IF($A45="","",ROUND(SUMIFS(成本费用登记表!$H$4:$H$303,成本费用登记表!$D$4:$D$303,$A45,成本费用登记表!$AC$4:$AC$303,M$4)+SUMIFS(资金日记账!$I$4:$I$603,资金日记账!$G$4:$G$603,$A45,资金日记账!$U$4:$U$603,"&lt;&gt;是",资金日记账!$V$4:$V$603,M$4),2))</f>
        <v/>
      </c>
      <c r="N45" s="76" t="str">
        <f ca="1">IF($A45="","",ROUND(SUMIFS(成本费用登记表!$H$4:$H$303,成本费用登记表!$D$4:$D$303,$A45,成本费用登记表!$AC$4:$AC$303,N$4)+SUMIFS(资金日记账!$I$4:$I$603,资金日记账!$G$4:$G$603,$A45,资金日记账!$U$4:$U$603,"&lt;&gt;是",资金日记账!$V$4:$V$603,N$4),2))</f>
        <v/>
      </c>
      <c r="O45" s="76" t="str">
        <f ca="1">IF($A45="","",ROUND(SUMIFS(成本费用登记表!$H$4:$H$303,成本费用登记表!$D$4:$D$303,$A45,成本费用登记表!$AC$4:$AC$303,O$4)+SUMIFS(资金日记账!$I$4:$I$603,资金日记账!$G$4:$G$603,$A45,资金日记账!$U$4:$U$603,"&lt;&gt;是",资金日记账!$V$4:$V$603,O$4),2))</f>
        <v/>
      </c>
      <c r="P45" s="76" t="str">
        <f ca="1">IF($A45="","",ROUND(SUMIFS(成本费用登记表!$H$4:$H$303,成本费用登记表!$D$4:$D$303,$A45,成本费用登记表!$AC$4:$AC$303,P$4)+SUMIFS(资金日记账!$I$4:$I$603,资金日记账!$G$4:$G$603,$A45,资金日记账!$U$4:$U$603,"&lt;&gt;是",资金日记账!$V$4:$V$603,P$4),2))</f>
        <v/>
      </c>
      <c r="Q45" s="76" t="str">
        <f ca="1">IF($A45="","",ROUND(SUMIFS(成本费用登记表!$H$4:$H$303,成本费用登记表!$D$4:$D$303,$A45,成本费用登记表!$AC$4:$AC$303,Q$4)+SUMIFS(资金日记账!$I$4:$I$603,资金日记账!$G$4:$G$603,$A45,资金日记账!$U$4:$U$603,"&lt;&gt;是",资金日记账!$V$4:$V$603,Q$4),2))</f>
        <v/>
      </c>
      <c r="R45" s="76" t="str">
        <f ca="1">IF($A45="","",ROUND(SUMIFS(成本费用登记表!$H$4:$H$303,成本费用登记表!$D$4:$D$303,$A45,成本费用登记表!$AC$4:$AC$303,R$4)+SUMIFS(资金日记账!$I$4:$I$603,资金日记账!$G$4:$G$603,$A45,资金日记账!$U$4:$U$603,"&lt;&gt;是",资金日记账!$V$4:$V$603,R$4),2))</f>
        <v/>
      </c>
      <c r="S45" s="76" t="str">
        <f ca="1">IF($A45="","",ROUND(SUMIFS(成本费用登记表!$H$4:$H$303,成本费用登记表!$D$4:$D$303,$A45,成本费用登记表!$AC$4:$AC$303,S$4)+SUMIFS(资金日记账!$I$4:$I$603,资金日记账!$G$4:$G$603,$A45,资金日记账!$U$4:$U$603,"&lt;&gt;是",资金日记账!$V$4:$V$603,S$4),2))</f>
        <v/>
      </c>
      <c r="T45" s="76" t="str">
        <f ca="1">IF($A45="","",ROUND(SUMIFS(成本费用登记表!$H$4:$H$303,成本费用登记表!$D$4:$D$303,$A45,成本费用登记表!$AC$4:$AC$303,T$4)+SUMIFS(资金日记账!$I$4:$I$603,资金日记账!$G$4:$G$603,$A45,资金日记账!$U$4:$U$603,"&lt;&gt;是",资金日记账!$V$4:$V$603,T$4),2))</f>
        <v/>
      </c>
      <c r="U45" s="76" t="str">
        <f ca="1">IF($A45="","",ROUND(SUMIFS(成本费用登记表!$H$4:$H$303,成本费用登记表!$D$4:$D$303,$A45,成本费用登记表!$AC$4:$AC$303,U$4)+SUMIFS(资金日记账!$I$4:$I$603,资金日记账!$G$4:$G$603,$A45,资金日记账!$U$4:$U$603,"&lt;&gt;是",资金日记账!$V$4:$V$603,U$4),2))</f>
        <v/>
      </c>
      <c r="V45" s="76" t="str">
        <f ca="1">IF($A45="","",ROUND(SUMIFS(成本费用登记表!$H$4:$H$303,成本费用登记表!$D$4:$D$303,$A45,成本费用登记表!$AC$4:$AC$303,V$4)+SUMIFS(资金日记账!$I$4:$I$603,资金日记账!$G$4:$G$603,$A45,资金日记账!$U$4:$U$603,"&lt;&gt;是",资金日记账!$V$4:$V$603,V$4),2))</f>
        <v/>
      </c>
      <c r="W45" s="76" t="str">
        <f ca="1">IF($A45="","",ROUND(SUMIFS(成本费用登记表!$H$4:$H$303,成本费用登记表!$D$4:$D$303,$A45,成本费用登记表!$AC$4:$AC$303,W$4)+SUMIFS(资金日记账!$I$4:$I$603,资金日记账!$G$4:$G$603,$A45,资金日记账!$U$4:$U$603,"&lt;&gt;是",资金日记账!$V$4:$V$603,W$4),2))</f>
        <v/>
      </c>
      <c r="X45" s="76" t="str">
        <f ca="1">IF($A45="","",ROUND(SUMIFS(成本费用登记表!$H$4:$H$303,成本费用登记表!$D$4:$D$303,$A45,成本费用登记表!$AC$4:$AC$303,X$4)+SUMIFS(资金日记账!$I$4:$I$603,资金日记账!$G$4:$G$603,$A45,资金日记账!$U$4:$U$603,"&lt;&gt;是",资金日记账!$V$4:$V$603,X$4),2))</f>
        <v/>
      </c>
      <c r="Y45" s="76" t="str">
        <f ca="1">IF($A45="","",ROUND(SUMIFS(成本费用登记表!$H$4:$H$303,成本费用登记表!$D$4:$D$303,$A45,成本费用登记表!$AC$4:$AC$303,Y$4)+SUMIFS(资金日记账!$I$4:$I$603,资金日记账!$G$4:$G$603,$A45,资金日记账!$U$4:$U$603,"&lt;&gt;是",资金日记账!$V$4:$V$603,Y$4),2))</f>
        <v/>
      </c>
      <c r="Z45" s="87" t="str">
        <f ca="1" t="shared" si="1"/>
        <v/>
      </c>
      <c r="AA45" s="76" t="str">
        <f>IF($A45="","",ROUND(SUMIF(成本费用登记表!$D$4:$D$303,$A45,成本费用登记表!$AA$4:$AA$303)+SUMIFS(资金日记账!$I$4:$I$603,资金日记账!$G$4:$G$603,$A45,资金日记账!$U$4:$U$603,"&lt;&gt;是"),2))</f>
        <v/>
      </c>
      <c r="AB45" s="76" t="str">
        <f ca="1" t="shared" si="2"/>
        <v/>
      </c>
    </row>
    <row r="46" spans="1:28">
      <c r="A46" s="86" t="str">
        <f>IFERROR(INDEX(_自动清单!$X$4:$X$63,42),"")</f>
        <v/>
      </c>
      <c r="B46" s="76" t="str">
        <f ca="1">IF($A46="","",ROUND(SUMIFS(成本费用登记表!$H$4:$H$303,成本费用登记表!$D$4:$D$303,$A46,成本费用登记表!$AC$4:$AC$303,B$4)+SUMIFS(资金日记账!$I$4:$I$603,资金日记账!$G$4:$G$603,$A46,资金日记账!$U$4:$U$603,"&lt;&gt;是",资金日记账!$V$4:$V$603,B$4),2))</f>
        <v/>
      </c>
      <c r="C46" s="76" t="str">
        <f ca="1">IF($A46="","",ROUND(SUMIFS(成本费用登记表!$H$4:$H$303,成本费用登记表!$D$4:$D$303,$A46,成本费用登记表!$AC$4:$AC$303,C$4)+SUMIFS(资金日记账!$I$4:$I$603,资金日记账!$G$4:$G$603,$A46,资金日记账!$U$4:$U$603,"&lt;&gt;是",资金日记账!$V$4:$V$603,C$4),2))</f>
        <v/>
      </c>
      <c r="D46" s="76" t="str">
        <f ca="1">IF($A46="","",ROUND(SUMIFS(成本费用登记表!$H$4:$H$303,成本费用登记表!$D$4:$D$303,$A46,成本费用登记表!$AC$4:$AC$303,D$4)+SUMIFS(资金日记账!$I$4:$I$603,资金日记账!$G$4:$G$603,$A46,资金日记账!$U$4:$U$603,"&lt;&gt;是",资金日记账!$V$4:$V$603,D$4),2))</f>
        <v/>
      </c>
      <c r="E46" s="76" t="str">
        <f ca="1">IF($A46="","",ROUND(SUMIFS(成本费用登记表!$H$4:$H$303,成本费用登记表!$D$4:$D$303,$A46,成本费用登记表!$AC$4:$AC$303,E$4)+SUMIFS(资金日记账!$I$4:$I$603,资金日记账!$G$4:$G$603,$A46,资金日记账!$U$4:$U$603,"&lt;&gt;是",资金日记账!$V$4:$V$603,E$4),2))</f>
        <v/>
      </c>
      <c r="F46" s="76" t="str">
        <f ca="1">IF($A46="","",ROUND(SUMIFS(成本费用登记表!$H$4:$H$303,成本费用登记表!$D$4:$D$303,$A46,成本费用登记表!$AC$4:$AC$303,F$4)+SUMIFS(资金日记账!$I$4:$I$603,资金日记账!$G$4:$G$603,$A46,资金日记账!$U$4:$U$603,"&lt;&gt;是",资金日记账!$V$4:$V$603,F$4),2))</f>
        <v/>
      </c>
      <c r="G46" s="76" t="str">
        <f ca="1">IF($A46="","",ROUND(SUMIFS(成本费用登记表!$H$4:$H$303,成本费用登记表!$D$4:$D$303,$A46,成本费用登记表!$AC$4:$AC$303,G$4)+SUMIFS(资金日记账!$I$4:$I$603,资金日记账!$G$4:$G$603,$A46,资金日记账!$U$4:$U$603,"&lt;&gt;是",资金日记账!$V$4:$V$603,G$4),2))</f>
        <v/>
      </c>
      <c r="H46" s="76" t="str">
        <f ca="1">IF($A46="","",ROUND(SUMIFS(成本费用登记表!$H$4:$H$303,成本费用登记表!$D$4:$D$303,$A46,成本费用登记表!$AC$4:$AC$303,H$4)+SUMIFS(资金日记账!$I$4:$I$603,资金日记账!$G$4:$G$603,$A46,资金日记账!$U$4:$U$603,"&lt;&gt;是",资金日记账!$V$4:$V$603,H$4),2))</f>
        <v/>
      </c>
      <c r="I46" s="76" t="str">
        <f ca="1">IF($A46="","",ROUND(SUMIFS(成本费用登记表!$H$4:$H$303,成本费用登记表!$D$4:$D$303,$A46,成本费用登记表!$AC$4:$AC$303,I$4)+SUMIFS(资金日记账!$I$4:$I$603,资金日记账!$G$4:$G$603,$A46,资金日记账!$U$4:$U$603,"&lt;&gt;是",资金日记账!$V$4:$V$603,I$4),2))</f>
        <v/>
      </c>
      <c r="J46" s="76" t="str">
        <f ca="1">IF($A46="","",ROUND(SUMIFS(成本费用登记表!$H$4:$H$303,成本费用登记表!$D$4:$D$303,$A46,成本费用登记表!$AC$4:$AC$303,J$4)+SUMIFS(资金日记账!$I$4:$I$603,资金日记账!$G$4:$G$603,$A46,资金日记账!$U$4:$U$603,"&lt;&gt;是",资金日记账!$V$4:$V$603,J$4),2))</f>
        <v/>
      </c>
      <c r="K46" s="76" t="str">
        <f ca="1">IF($A46="","",ROUND(SUMIFS(成本费用登记表!$H$4:$H$303,成本费用登记表!$D$4:$D$303,$A46,成本费用登记表!$AC$4:$AC$303,K$4)+SUMIFS(资金日记账!$I$4:$I$603,资金日记账!$G$4:$G$603,$A46,资金日记账!$U$4:$U$603,"&lt;&gt;是",资金日记账!$V$4:$V$603,K$4),2))</f>
        <v/>
      </c>
      <c r="L46" s="76" t="str">
        <f ca="1">IF($A46="","",ROUND(SUMIFS(成本费用登记表!$H$4:$H$303,成本费用登记表!$D$4:$D$303,$A46,成本费用登记表!$AC$4:$AC$303,L$4)+SUMIFS(资金日记账!$I$4:$I$603,资金日记账!$G$4:$G$603,$A46,资金日记账!$U$4:$U$603,"&lt;&gt;是",资金日记账!$V$4:$V$603,L$4),2))</f>
        <v/>
      </c>
      <c r="M46" s="76" t="str">
        <f ca="1">IF($A46="","",ROUND(SUMIFS(成本费用登记表!$H$4:$H$303,成本费用登记表!$D$4:$D$303,$A46,成本费用登记表!$AC$4:$AC$303,M$4)+SUMIFS(资金日记账!$I$4:$I$603,资金日记账!$G$4:$G$603,$A46,资金日记账!$U$4:$U$603,"&lt;&gt;是",资金日记账!$V$4:$V$603,M$4),2))</f>
        <v/>
      </c>
      <c r="N46" s="76" t="str">
        <f ca="1">IF($A46="","",ROUND(SUMIFS(成本费用登记表!$H$4:$H$303,成本费用登记表!$D$4:$D$303,$A46,成本费用登记表!$AC$4:$AC$303,N$4)+SUMIFS(资金日记账!$I$4:$I$603,资金日记账!$G$4:$G$603,$A46,资金日记账!$U$4:$U$603,"&lt;&gt;是",资金日记账!$V$4:$V$603,N$4),2))</f>
        <v/>
      </c>
      <c r="O46" s="76" t="str">
        <f ca="1">IF($A46="","",ROUND(SUMIFS(成本费用登记表!$H$4:$H$303,成本费用登记表!$D$4:$D$303,$A46,成本费用登记表!$AC$4:$AC$303,O$4)+SUMIFS(资金日记账!$I$4:$I$603,资金日记账!$G$4:$G$603,$A46,资金日记账!$U$4:$U$603,"&lt;&gt;是",资金日记账!$V$4:$V$603,O$4),2))</f>
        <v/>
      </c>
      <c r="P46" s="76" t="str">
        <f ca="1">IF($A46="","",ROUND(SUMIFS(成本费用登记表!$H$4:$H$303,成本费用登记表!$D$4:$D$303,$A46,成本费用登记表!$AC$4:$AC$303,P$4)+SUMIFS(资金日记账!$I$4:$I$603,资金日记账!$G$4:$G$603,$A46,资金日记账!$U$4:$U$603,"&lt;&gt;是",资金日记账!$V$4:$V$603,P$4),2))</f>
        <v/>
      </c>
      <c r="Q46" s="76" t="str">
        <f ca="1">IF($A46="","",ROUND(SUMIFS(成本费用登记表!$H$4:$H$303,成本费用登记表!$D$4:$D$303,$A46,成本费用登记表!$AC$4:$AC$303,Q$4)+SUMIFS(资金日记账!$I$4:$I$603,资金日记账!$G$4:$G$603,$A46,资金日记账!$U$4:$U$603,"&lt;&gt;是",资金日记账!$V$4:$V$603,Q$4),2))</f>
        <v/>
      </c>
      <c r="R46" s="76" t="str">
        <f ca="1">IF($A46="","",ROUND(SUMIFS(成本费用登记表!$H$4:$H$303,成本费用登记表!$D$4:$D$303,$A46,成本费用登记表!$AC$4:$AC$303,R$4)+SUMIFS(资金日记账!$I$4:$I$603,资金日记账!$G$4:$G$603,$A46,资金日记账!$U$4:$U$603,"&lt;&gt;是",资金日记账!$V$4:$V$603,R$4),2))</f>
        <v/>
      </c>
      <c r="S46" s="76" t="str">
        <f ca="1">IF($A46="","",ROUND(SUMIFS(成本费用登记表!$H$4:$H$303,成本费用登记表!$D$4:$D$303,$A46,成本费用登记表!$AC$4:$AC$303,S$4)+SUMIFS(资金日记账!$I$4:$I$603,资金日记账!$G$4:$G$603,$A46,资金日记账!$U$4:$U$603,"&lt;&gt;是",资金日记账!$V$4:$V$603,S$4),2))</f>
        <v/>
      </c>
      <c r="T46" s="76" t="str">
        <f ca="1">IF($A46="","",ROUND(SUMIFS(成本费用登记表!$H$4:$H$303,成本费用登记表!$D$4:$D$303,$A46,成本费用登记表!$AC$4:$AC$303,T$4)+SUMIFS(资金日记账!$I$4:$I$603,资金日记账!$G$4:$G$603,$A46,资金日记账!$U$4:$U$603,"&lt;&gt;是",资金日记账!$V$4:$V$603,T$4),2))</f>
        <v/>
      </c>
      <c r="U46" s="76" t="str">
        <f ca="1">IF($A46="","",ROUND(SUMIFS(成本费用登记表!$H$4:$H$303,成本费用登记表!$D$4:$D$303,$A46,成本费用登记表!$AC$4:$AC$303,U$4)+SUMIFS(资金日记账!$I$4:$I$603,资金日记账!$G$4:$G$603,$A46,资金日记账!$U$4:$U$603,"&lt;&gt;是",资金日记账!$V$4:$V$603,U$4),2))</f>
        <v/>
      </c>
      <c r="V46" s="76" t="str">
        <f ca="1">IF($A46="","",ROUND(SUMIFS(成本费用登记表!$H$4:$H$303,成本费用登记表!$D$4:$D$303,$A46,成本费用登记表!$AC$4:$AC$303,V$4)+SUMIFS(资金日记账!$I$4:$I$603,资金日记账!$G$4:$G$603,$A46,资金日记账!$U$4:$U$603,"&lt;&gt;是",资金日记账!$V$4:$V$603,V$4),2))</f>
        <v/>
      </c>
      <c r="W46" s="76" t="str">
        <f ca="1">IF($A46="","",ROUND(SUMIFS(成本费用登记表!$H$4:$H$303,成本费用登记表!$D$4:$D$303,$A46,成本费用登记表!$AC$4:$AC$303,W$4)+SUMIFS(资金日记账!$I$4:$I$603,资金日记账!$G$4:$G$603,$A46,资金日记账!$U$4:$U$603,"&lt;&gt;是",资金日记账!$V$4:$V$603,W$4),2))</f>
        <v/>
      </c>
      <c r="X46" s="76" t="str">
        <f ca="1">IF($A46="","",ROUND(SUMIFS(成本费用登记表!$H$4:$H$303,成本费用登记表!$D$4:$D$303,$A46,成本费用登记表!$AC$4:$AC$303,X$4)+SUMIFS(资金日记账!$I$4:$I$603,资金日记账!$G$4:$G$603,$A46,资金日记账!$U$4:$U$603,"&lt;&gt;是",资金日记账!$V$4:$V$603,X$4),2))</f>
        <v/>
      </c>
      <c r="Y46" s="76" t="str">
        <f ca="1">IF($A46="","",ROUND(SUMIFS(成本费用登记表!$H$4:$H$303,成本费用登记表!$D$4:$D$303,$A46,成本费用登记表!$AC$4:$AC$303,Y$4)+SUMIFS(资金日记账!$I$4:$I$603,资金日记账!$G$4:$G$603,$A46,资金日记账!$U$4:$U$603,"&lt;&gt;是",资金日记账!$V$4:$V$603,Y$4),2))</f>
        <v/>
      </c>
      <c r="Z46" s="87" t="str">
        <f ca="1" t="shared" si="1"/>
        <v/>
      </c>
      <c r="AA46" s="76" t="str">
        <f>IF($A46="","",ROUND(SUMIF(成本费用登记表!$D$4:$D$303,$A46,成本费用登记表!$AA$4:$AA$303)+SUMIFS(资金日记账!$I$4:$I$603,资金日记账!$G$4:$G$603,$A46,资金日记账!$U$4:$U$603,"&lt;&gt;是"),2))</f>
        <v/>
      </c>
      <c r="AB46" s="76" t="str">
        <f ca="1" t="shared" si="2"/>
        <v/>
      </c>
    </row>
    <row r="47" spans="1:28">
      <c r="A47" s="86" t="str">
        <f>IFERROR(INDEX(_自动清单!$X$4:$X$63,43),"")</f>
        <v/>
      </c>
      <c r="B47" s="76" t="str">
        <f ca="1">IF($A47="","",ROUND(SUMIFS(成本费用登记表!$H$4:$H$303,成本费用登记表!$D$4:$D$303,$A47,成本费用登记表!$AC$4:$AC$303,B$4)+SUMIFS(资金日记账!$I$4:$I$603,资金日记账!$G$4:$G$603,$A47,资金日记账!$U$4:$U$603,"&lt;&gt;是",资金日记账!$V$4:$V$603,B$4),2))</f>
        <v/>
      </c>
      <c r="C47" s="76" t="str">
        <f ca="1">IF($A47="","",ROUND(SUMIFS(成本费用登记表!$H$4:$H$303,成本费用登记表!$D$4:$D$303,$A47,成本费用登记表!$AC$4:$AC$303,C$4)+SUMIFS(资金日记账!$I$4:$I$603,资金日记账!$G$4:$G$603,$A47,资金日记账!$U$4:$U$603,"&lt;&gt;是",资金日记账!$V$4:$V$603,C$4),2))</f>
        <v/>
      </c>
      <c r="D47" s="76" t="str">
        <f ca="1">IF($A47="","",ROUND(SUMIFS(成本费用登记表!$H$4:$H$303,成本费用登记表!$D$4:$D$303,$A47,成本费用登记表!$AC$4:$AC$303,D$4)+SUMIFS(资金日记账!$I$4:$I$603,资金日记账!$G$4:$G$603,$A47,资金日记账!$U$4:$U$603,"&lt;&gt;是",资金日记账!$V$4:$V$603,D$4),2))</f>
        <v/>
      </c>
      <c r="E47" s="76" t="str">
        <f ca="1">IF($A47="","",ROUND(SUMIFS(成本费用登记表!$H$4:$H$303,成本费用登记表!$D$4:$D$303,$A47,成本费用登记表!$AC$4:$AC$303,E$4)+SUMIFS(资金日记账!$I$4:$I$603,资金日记账!$G$4:$G$603,$A47,资金日记账!$U$4:$U$603,"&lt;&gt;是",资金日记账!$V$4:$V$603,E$4),2))</f>
        <v/>
      </c>
      <c r="F47" s="76" t="str">
        <f ca="1">IF($A47="","",ROUND(SUMIFS(成本费用登记表!$H$4:$H$303,成本费用登记表!$D$4:$D$303,$A47,成本费用登记表!$AC$4:$AC$303,F$4)+SUMIFS(资金日记账!$I$4:$I$603,资金日记账!$G$4:$G$603,$A47,资金日记账!$U$4:$U$603,"&lt;&gt;是",资金日记账!$V$4:$V$603,F$4),2))</f>
        <v/>
      </c>
      <c r="G47" s="76" t="str">
        <f ca="1">IF($A47="","",ROUND(SUMIFS(成本费用登记表!$H$4:$H$303,成本费用登记表!$D$4:$D$303,$A47,成本费用登记表!$AC$4:$AC$303,G$4)+SUMIFS(资金日记账!$I$4:$I$603,资金日记账!$G$4:$G$603,$A47,资金日记账!$U$4:$U$603,"&lt;&gt;是",资金日记账!$V$4:$V$603,G$4),2))</f>
        <v/>
      </c>
      <c r="H47" s="76" t="str">
        <f ca="1">IF($A47="","",ROUND(SUMIFS(成本费用登记表!$H$4:$H$303,成本费用登记表!$D$4:$D$303,$A47,成本费用登记表!$AC$4:$AC$303,H$4)+SUMIFS(资金日记账!$I$4:$I$603,资金日记账!$G$4:$G$603,$A47,资金日记账!$U$4:$U$603,"&lt;&gt;是",资金日记账!$V$4:$V$603,H$4),2))</f>
        <v/>
      </c>
      <c r="I47" s="76" t="str">
        <f ca="1">IF($A47="","",ROUND(SUMIFS(成本费用登记表!$H$4:$H$303,成本费用登记表!$D$4:$D$303,$A47,成本费用登记表!$AC$4:$AC$303,I$4)+SUMIFS(资金日记账!$I$4:$I$603,资金日记账!$G$4:$G$603,$A47,资金日记账!$U$4:$U$603,"&lt;&gt;是",资金日记账!$V$4:$V$603,I$4),2))</f>
        <v/>
      </c>
      <c r="J47" s="76" t="str">
        <f ca="1">IF($A47="","",ROUND(SUMIFS(成本费用登记表!$H$4:$H$303,成本费用登记表!$D$4:$D$303,$A47,成本费用登记表!$AC$4:$AC$303,J$4)+SUMIFS(资金日记账!$I$4:$I$603,资金日记账!$G$4:$G$603,$A47,资金日记账!$U$4:$U$603,"&lt;&gt;是",资金日记账!$V$4:$V$603,J$4),2))</f>
        <v/>
      </c>
      <c r="K47" s="76" t="str">
        <f ca="1">IF($A47="","",ROUND(SUMIFS(成本费用登记表!$H$4:$H$303,成本费用登记表!$D$4:$D$303,$A47,成本费用登记表!$AC$4:$AC$303,K$4)+SUMIFS(资金日记账!$I$4:$I$603,资金日记账!$G$4:$G$603,$A47,资金日记账!$U$4:$U$603,"&lt;&gt;是",资金日记账!$V$4:$V$603,K$4),2))</f>
        <v/>
      </c>
      <c r="L47" s="76" t="str">
        <f ca="1">IF($A47="","",ROUND(SUMIFS(成本费用登记表!$H$4:$H$303,成本费用登记表!$D$4:$D$303,$A47,成本费用登记表!$AC$4:$AC$303,L$4)+SUMIFS(资金日记账!$I$4:$I$603,资金日记账!$G$4:$G$603,$A47,资金日记账!$U$4:$U$603,"&lt;&gt;是",资金日记账!$V$4:$V$603,L$4),2))</f>
        <v/>
      </c>
      <c r="M47" s="76" t="str">
        <f ca="1">IF($A47="","",ROUND(SUMIFS(成本费用登记表!$H$4:$H$303,成本费用登记表!$D$4:$D$303,$A47,成本费用登记表!$AC$4:$AC$303,M$4)+SUMIFS(资金日记账!$I$4:$I$603,资金日记账!$G$4:$G$603,$A47,资金日记账!$U$4:$U$603,"&lt;&gt;是",资金日记账!$V$4:$V$603,M$4),2))</f>
        <v/>
      </c>
      <c r="N47" s="76" t="str">
        <f ca="1">IF($A47="","",ROUND(SUMIFS(成本费用登记表!$H$4:$H$303,成本费用登记表!$D$4:$D$303,$A47,成本费用登记表!$AC$4:$AC$303,N$4)+SUMIFS(资金日记账!$I$4:$I$603,资金日记账!$G$4:$G$603,$A47,资金日记账!$U$4:$U$603,"&lt;&gt;是",资金日记账!$V$4:$V$603,N$4),2))</f>
        <v/>
      </c>
      <c r="O47" s="76" t="str">
        <f ca="1">IF($A47="","",ROUND(SUMIFS(成本费用登记表!$H$4:$H$303,成本费用登记表!$D$4:$D$303,$A47,成本费用登记表!$AC$4:$AC$303,O$4)+SUMIFS(资金日记账!$I$4:$I$603,资金日记账!$G$4:$G$603,$A47,资金日记账!$U$4:$U$603,"&lt;&gt;是",资金日记账!$V$4:$V$603,O$4),2))</f>
        <v/>
      </c>
      <c r="P47" s="76" t="str">
        <f ca="1">IF($A47="","",ROUND(SUMIFS(成本费用登记表!$H$4:$H$303,成本费用登记表!$D$4:$D$303,$A47,成本费用登记表!$AC$4:$AC$303,P$4)+SUMIFS(资金日记账!$I$4:$I$603,资金日记账!$G$4:$G$603,$A47,资金日记账!$U$4:$U$603,"&lt;&gt;是",资金日记账!$V$4:$V$603,P$4),2))</f>
        <v/>
      </c>
      <c r="Q47" s="76" t="str">
        <f ca="1">IF($A47="","",ROUND(SUMIFS(成本费用登记表!$H$4:$H$303,成本费用登记表!$D$4:$D$303,$A47,成本费用登记表!$AC$4:$AC$303,Q$4)+SUMIFS(资金日记账!$I$4:$I$603,资金日记账!$G$4:$G$603,$A47,资金日记账!$U$4:$U$603,"&lt;&gt;是",资金日记账!$V$4:$V$603,Q$4),2))</f>
        <v/>
      </c>
      <c r="R47" s="76" t="str">
        <f ca="1">IF($A47="","",ROUND(SUMIFS(成本费用登记表!$H$4:$H$303,成本费用登记表!$D$4:$D$303,$A47,成本费用登记表!$AC$4:$AC$303,R$4)+SUMIFS(资金日记账!$I$4:$I$603,资金日记账!$G$4:$G$603,$A47,资金日记账!$U$4:$U$603,"&lt;&gt;是",资金日记账!$V$4:$V$603,R$4),2))</f>
        <v/>
      </c>
      <c r="S47" s="76" t="str">
        <f ca="1">IF($A47="","",ROUND(SUMIFS(成本费用登记表!$H$4:$H$303,成本费用登记表!$D$4:$D$303,$A47,成本费用登记表!$AC$4:$AC$303,S$4)+SUMIFS(资金日记账!$I$4:$I$603,资金日记账!$G$4:$G$603,$A47,资金日记账!$U$4:$U$603,"&lt;&gt;是",资金日记账!$V$4:$V$603,S$4),2))</f>
        <v/>
      </c>
      <c r="T47" s="76" t="str">
        <f ca="1">IF($A47="","",ROUND(SUMIFS(成本费用登记表!$H$4:$H$303,成本费用登记表!$D$4:$D$303,$A47,成本费用登记表!$AC$4:$AC$303,T$4)+SUMIFS(资金日记账!$I$4:$I$603,资金日记账!$G$4:$G$603,$A47,资金日记账!$U$4:$U$603,"&lt;&gt;是",资金日记账!$V$4:$V$603,T$4),2))</f>
        <v/>
      </c>
      <c r="U47" s="76" t="str">
        <f ca="1">IF($A47="","",ROUND(SUMIFS(成本费用登记表!$H$4:$H$303,成本费用登记表!$D$4:$D$303,$A47,成本费用登记表!$AC$4:$AC$303,U$4)+SUMIFS(资金日记账!$I$4:$I$603,资金日记账!$G$4:$G$603,$A47,资金日记账!$U$4:$U$603,"&lt;&gt;是",资金日记账!$V$4:$V$603,U$4),2))</f>
        <v/>
      </c>
      <c r="V47" s="76" t="str">
        <f ca="1">IF($A47="","",ROUND(SUMIFS(成本费用登记表!$H$4:$H$303,成本费用登记表!$D$4:$D$303,$A47,成本费用登记表!$AC$4:$AC$303,V$4)+SUMIFS(资金日记账!$I$4:$I$603,资金日记账!$G$4:$G$603,$A47,资金日记账!$U$4:$U$603,"&lt;&gt;是",资金日记账!$V$4:$V$603,V$4),2))</f>
        <v/>
      </c>
      <c r="W47" s="76" t="str">
        <f ca="1">IF($A47="","",ROUND(SUMIFS(成本费用登记表!$H$4:$H$303,成本费用登记表!$D$4:$D$303,$A47,成本费用登记表!$AC$4:$AC$303,W$4)+SUMIFS(资金日记账!$I$4:$I$603,资金日记账!$G$4:$G$603,$A47,资金日记账!$U$4:$U$603,"&lt;&gt;是",资金日记账!$V$4:$V$603,W$4),2))</f>
        <v/>
      </c>
      <c r="X47" s="76" t="str">
        <f ca="1">IF($A47="","",ROUND(SUMIFS(成本费用登记表!$H$4:$H$303,成本费用登记表!$D$4:$D$303,$A47,成本费用登记表!$AC$4:$AC$303,X$4)+SUMIFS(资金日记账!$I$4:$I$603,资金日记账!$G$4:$G$603,$A47,资金日记账!$U$4:$U$603,"&lt;&gt;是",资金日记账!$V$4:$V$603,X$4),2))</f>
        <v/>
      </c>
      <c r="Y47" s="76" t="str">
        <f ca="1">IF($A47="","",ROUND(SUMIFS(成本费用登记表!$H$4:$H$303,成本费用登记表!$D$4:$D$303,$A47,成本费用登记表!$AC$4:$AC$303,Y$4)+SUMIFS(资金日记账!$I$4:$I$603,资金日记账!$G$4:$G$603,$A47,资金日记账!$U$4:$U$603,"&lt;&gt;是",资金日记账!$V$4:$V$603,Y$4),2))</f>
        <v/>
      </c>
      <c r="Z47" s="87" t="str">
        <f ca="1" t="shared" si="1"/>
        <v/>
      </c>
      <c r="AA47" s="76" t="str">
        <f>IF($A47="","",ROUND(SUMIF(成本费用登记表!$D$4:$D$303,$A47,成本费用登记表!$AA$4:$AA$303)+SUMIFS(资金日记账!$I$4:$I$603,资金日记账!$G$4:$G$603,$A47,资金日记账!$U$4:$U$603,"&lt;&gt;是"),2))</f>
        <v/>
      </c>
      <c r="AB47" s="76" t="str">
        <f ca="1" t="shared" si="2"/>
        <v/>
      </c>
    </row>
    <row r="48" spans="1:28">
      <c r="A48" s="86" t="str">
        <f>IFERROR(INDEX(_自动清单!$X$4:$X$63,44),"")</f>
        <v/>
      </c>
      <c r="B48" s="76" t="str">
        <f ca="1">IF($A48="","",ROUND(SUMIFS(成本费用登记表!$H$4:$H$303,成本费用登记表!$D$4:$D$303,$A48,成本费用登记表!$AC$4:$AC$303,B$4)+SUMIFS(资金日记账!$I$4:$I$603,资金日记账!$G$4:$G$603,$A48,资金日记账!$U$4:$U$603,"&lt;&gt;是",资金日记账!$V$4:$V$603,B$4),2))</f>
        <v/>
      </c>
      <c r="C48" s="76" t="str">
        <f ca="1">IF($A48="","",ROUND(SUMIFS(成本费用登记表!$H$4:$H$303,成本费用登记表!$D$4:$D$303,$A48,成本费用登记表!$AC$4:$AC$303,C$4)+SUMIFS(资金日记账!$I$4:$I$603,资金日记账!$G$4:$G$603,$A48,资金日记账!$U$4:$U$603,"&lt;&gt;是",资金日记账!$V$4:$V$603,C$4),2))</f>
        <v/>
      </c>
      <c r="D48" s="76" t="str">
        <f ca="1">IF($A48="","",ROUND(SUMIFS(成本费用登记表!$H$4:$H$303,成本费用登记表!$D$4:$D$303,$A48,成本费用登记表!$AC$4:$AC$303,D$4)+SUMIFS(资金日记账!$I$4:$I$603,资金日记账!$G$4:$G$603,$A48,资金日记账!$U$4:$U$603,"&lt;&gt;是",资金日记账!$V$4:$V$603,D$4),2))</f>
        <v/>
      </c>
      <c r="E48" s="76" t="str">
        <f ca="1">IF($A48="","",ROUND(SUMIFS(成本费用登记表!$H$4:$H$303,成本费用登记表!$D$4:$D$303,$A48,成本费用登记表!$AC$4:$AC$303,E$4)+SUMIFS(资金日记账!$I$4:$I$603,资金日记账!$G$4:$G$603,$A48,资金日记账!$U$4:$U$603,"&lt;&gt;是",资金日记账!$V$4:$V$603,E$4),2))</f>
        <v/>
      </c>
      <c r="F48" s="76" t="str">
        <f ca="1">IF($A48="","",ROUND(SUMIFS(成本费用登记表!$H$4:$H$303,成本费用登记表!$D$4:$D$303,$A48,成本费用登记表!$AC$4:$AC$303,F$4)+SUMIFS(资金日记账!$I$4:$I$603,资金日记账!$G$4:$G$603,$A48,资金日记账!$U$4:$U$603,"&lt;&gt;是",资金日记账!$V$4:$V$603,F$4),2))</f>
        <v/>
      </c>
      <c r="G48" s="76" t="str">
        <f ca="1">IF($A48="","",ROUND(SUMIFS(成本费用登记表!$H$4:$H$303,成本费用登记表!$D$4:$D$303,$A48,成本费用登记表!$AC$4:$AC$303,G$4)+SUMIFS(资金日记账!$I$4:$I$603,资金日记账!$G$4:$G$603,$A48,资金日记账!$U$4:$U$603,"&lt;&gt;是",资金日记账!$V$4:$V$603,G$4),2))</f>
        <v/>
      </c>
      <c r="H48" s="76" t="str">
        <f ca="1">IF($A48="","",ROUND(SUMIFS(成本费用登记表!$H$4:$H$303,成本费用登记表!$D$4:$D$303,$A48,成本费用登记表!$AC$4:$AC$303,H$4)+SUMIFS(资金日记账!$I$4:$I$603,资金日记账!$G$4:$G$603,$A48,资金日记账!$U$4:$U$603,"&lt;&gt;是",资金日记账!$V$4:$V$603,H$4),2))</f>
        <v/>
      </c>
      <c r="I48" s="76" t="str">
        <f ca="1">IF($A48="","",ROUND(SUMIFS(成本费用登记表!$H$4:$H$303,成本费用登记表!$D$4:$D$303,$A48,成本费用登记表!$AC$4:$AC$303,I$4)+SUMIFS(资金日记账!$I$4:$I$603,资金日记账!$G$4:$G$603,$A48,资金日记账!$U$4:$U$603,"&lt;&gt;是",资金日记账!$V$4:$V$603,I$4),2))</f>
        <v/>
      </c>
      <c r="J48" s="76" t="str">
        <f ca="1">IF($A48="","",ROUND(SUMIFS(成本费用登记表!$H$4:$H$303,成本费用登记表!$D$4:$D$303,$A48,成本费用登记表!$AC$4:$AC$303,J$4)+SUMIFS(资金日记账!$I$4:$I$603,资金日记账!$G$4:$G$603,$A48,资金日记账!$U$4:$U$603,"&lt;&gt;是",资金日记账!$V$4:$V$603,J$4),2))</f>
        <v/>
      </c>
      <c r="K48" s="76" t="str">
        <f ca="1">IF($A48="","",ROUND(SUMIFS(成本费用登记表!$H$4:$H$303,成本费用登记表!$D$4:$D$303,$A48,成本费用登记表!$AC$4:$AC$303,K$4)+SUMIFS(资金日记账!$I$4:$I$603,资金日记账!$G$4:$G$603,$A48,资金日记账!$U$4:$U$603,"&lt;&gt;是",资金日记账!$V$4:$V$603,K$4),2))</f>
        <v/>
      </c>
      <c r="L48" s="76" t="str">
        <f ca="1">IF($A48="","",ROUND(SUMIFS(成本费用登记表!$H$4:$H$303,成本费用登记表!$D$4:$D$303,$A48,成本费用登记表!$AC$4:$AC$303,L$4)+SUMIFS(资金日记账!$I$4:$I$603,资金日记账!$G$4:$G$603,$A48,资金日记账!$U$4:$U$603,"&lt;&gt;是",资金日记账!$V$4:$V$603,L$4),2))</f>
        <v/>
      </c>
      <c r="M48" s="76" t="str">
        <f ca="1">IF($A48="","",ROUND(SUMIFS(成本费用登记表!$H$4:$H$303,成本费用登记表!$D$4:$D$303,$A48,成本费用登记表!$AC$4:$AC$303,M$4)+SUMIFS(资金日记账!$I$4:$I$603,资金日记账!$G$4:$G$603,$A48,资金日记账!$U$4:$U$603,"&lt;&gt;是",资金日记账!$V$4:$V$603,M$4),2))</f>
        <v/>
      </c>
      <c r="N48" s="76" t="str">
        <f ca="1">IF($A48="","",ROUND(SUMIFS(成本费用登记表!$H$4:$H$303,成本费用登记表!$D$4:$D$303,$A48,成本费用登记表!$AC$4:$AC$303,N$4)+SUMIFS(资金日记账!$I$4:$I$603,资金日记账!$G$4:$G$603,$A48,资金日记账!$U$4:$U$603,"&lt;&gt;是",资金日记账!$V$4:$V$603,N$4),2))</f>
        <v/>
      </c>
      <c r="O48" s="76" t="str">
        <f ca="1">IF($A48="","",ROUND(SUMIFS(成本费用登记表!$H$4:$H$303,成本费用登记表!$D$4:$D$303,$A48,成本费用登记表!$AC$4:$AC$303,O$4)+SUMIFS(资金日记账!$I$4:$I$603,资金日记账!$G$4:$G$603,$A48,资金日记账!$U$4:$U$603,"&lt;&gt;是",资金日记账!$V$4:$V$603,O$4),2))</f>
        <v/>
      </c>
      <c r="P48" s="76" t="str">
        <f ca="1">IF($A48="","",ROUND(SUMIFS(成本费用登记表!$H$4:$H$303,成本费用登记表!$D$4:$D$303,$A48,成本费用登记表!$AC$4:$AC$303,P$4)+SUMIFS(资金日记账!$I$4:$I$603,资金日记账!$G$4:$G$603,$A48,资金日记账!$U$4:$U$603,"&lt;&gt;是",资金日记账!$V$4:$V$603,P$4),2))</f>
        <v/>
      </c>
      <c r="Q48" s="76" t="str">
        <f ca="1">IF($A48="","",ROUND(SUMIFS(成本费用登记表!$H$4:$H$303,成本费用登记表!$D$4:$D$303,$A48,成本费用登记表!$AC$4:$AC$303,Q$4)+SUMIFS(资金日记账!$I$4:$I$603,资金日记账!$G$4:$G$603,$A48,资金日记账!$U$4:$U$603,"&lt;&gt;是",资金日记账!$V$4:$V$603,Q$4),2))</f>
        <v/>
      </c>
      <c r="R48" s="76" t="str">
        <f ca="1">IF($A48="","",ROUND(SUMIFS(成本费用登记表!$H$4:$H$303,成本费用登记表!$D$4:$D$303,$A48,成本费用登记表!$AC$4:$AC$303,R$4)+SUMIFS(资金日记账!$I$4:$I$603,资金日记账!$G$4:$G$603,$A48,资金日记账!$U$4:$U$603,"&lt;&gt;是",资金日记账!$V$4:$V$603,R$4),2))</f>
        <v/>
      </c>
      <c r="S48" s="76" t="str">
        <f ca="1">IF($A48="","",ROUND(SUMIFS(成本费用登记表!$H$4:$H$303,成本费用登记表!$D$4:$D$303,$A48,成本费用登记表!$AC$4:$AC$303,S$4)+SUMIFS(资金日记账!$I$4:$I$603,资金日记账!$G$4:$G$603,$A48,资金日记账!$U$4:$U$603,"&lt;&gt;是",资金日记账!$V$4:$V$603,S$4),2))</f>
        <v/>
      </c>
      <c r="T48" s="76" t="str">
        <f ca="1">IF($A48="","",ROUND(SUMIFS(成本费用登记表!$H$4:$H$303,成本费用登记表!$D$4:$D$303,$A48,成本费用登记表!$AC$4:$AC$303,T$4)+SUMIFS(资金日记账!$I$4:$I$603,资金日记账!$G$4:$G$603,$A48,资金日记账!$U$4:$U$603,"&lt;&gt;是",资金日记账!$V$4:$V$603,T$4),2))</f>
        <v/>
      </c>
      <c r="U48" s="76" t="str">
        <f ca="1">IF($A48="","",ROUND(SUMIFS(成本费用登记表!$H$4:$H$303,成本费用登记表!$D$4:$D$303,$A48,成本费用登记表!$AC$4:$AC$303,U$4)+SUMIFS(资金日记账!$I$4:$I$603,资金日记账!$G$4:$G$603,$A48,资金日记账!$U$4:$U$603,"&lt;&gt;是",资金日记账!$V$4:$V$603,U$4),2))</f>
        <v/>
      </c>
      <c r="V48" s="76" t="str">
        <f ca="1">IF($A48="","",ROUND(SUMIFS(成本费用登记表!$H$4:$H$303,成本费用登记表!$D$4:$D$303,$A48,成本费用登记表!$AC$4:$AC$303,V$4)+SUMIFS(资金日记账!$I$4:$I$603,资金日记账!$G$4:$G$603,$A48,资金日记账!$U$4:$U$603,"&lt;&gt;是",资金日记账!$V$4:$V$603,V$4),2))</f>
        <v/>
      </c>
      <c r="W48" s="76" t="str">
        <f ca="1">IF($A48="","",ROUND(SUMIFS(成本费用登记表!$H$4:$H$303,成本费用登记表!$D$4:$D$303,$A48,成本费用登记表!$AC$4:$AC$303,W$4)+SUMIFS(资金日记账!$I$4:$I$603,资金日记账!$G$4:$G$603,$A48,资金日记账!$U$4:$U$603,"&lt;&gt;是",资金日记账!$V$4:$V$603,W$4),2))</f>
        <v/>
      </c>
      <c r="X48" s="76" t="str">
        <f ca="1">IF($A48="","",ROUND(SUMIFS(成本费用登记表!$H$4:$H$303,成本费用登记表!$D$4:$D$303,$A48,成本费用登记表!$AC$4:$AC$303,X$4)+SUMIFS(资金日记账!$I$4:$I$603,资金日记账!$G$4:$G$603,$A48,资金日记账!$U$4:$U$603,"&lt;&gt;是",资金日记账!$V$4:$V$603,X$4),2))</f>
        <v/>
      </c>
      <c r="Y48" s="76" t="str">
        <f ca="1">IF($A48="","",ROUND(SUMIFS(成本费用登记表!$H$4:$H$303,成本费用登记表!$D$4:$D$303,$A48,成本费用登记表!$AC$4:$AC$303,Y$4)+SUMIFS(资金日记账!$I$4:$I$603,资金日记账!$G$4:$G$603,$A48,资金日记账!$U$4:$U$603,"&lt;&gt;是",资金日记账!$V$4:$V$603,Y$4),2))</f>
        <v/>
      </c>
      <c r="Z48" s="87" t="str">
        <f ca="1" t="shared" si="1"/>
        <v/>
      </c>
      <c r="AA48" s="76" t="str">
        <f>IF($A48="","",ROUND(SUMIF(成本费用登记表!$D$4:$D$303,$A48,成本费用登记表!$AA$4:$AA$303)+SUMIFS(资金日记账!$I$4:$I$603,资金日记账!$G$4:$G$603,$A48,资金日记账!$U$4:$U$603,"&lt;&gt;是"),2))</f>
        <v/>
      </c>
      <c r="AB48" s="76" t="str">
        <f ca="1" t="shared" si="2"/>
        <v/>
      </c>
    </row>
    <row r="49" spans="1:28">
      <c r="A49" s="86" t="str">
        <f>IFERROR(INDEX(_自动清单!$X$4:$X$63,45),"")</f>
        <v/>
      </c>
      <c r="B49" s="76" t="str">
        <f ca="1">IF($A49="","",ROUND(SUMIFS(成本费用登记表!$H$4:$H$303,成本费用登记表!$D$4:$D$303,$A49,成本费用登记表!$AC$4:$AC$303,B$4)+SUMIFS(资金日记账!$I$4:$I$603,资金日记账!$G$4:$G$603,$A49,资金日记账!$U$4:$U$603,"&lt;&gt;是",资金日记账!$V$4:$V$603,B$4),2))</f>
        <v/>
      </c>
      <c r="C49" s="76" t="str">
        <f ca="1">IF($A49="","",ROUND(SUMIFS(成本费用登记表!$H$4:$H$303,成本费用登记表!$D$4:$D$303,$A49,成本费用登记表!$AC$4:$AC$303,C$4)+SUMIFS(资金日记账!$I$4:$I$603,资金日记账!$G$4:$G$603,$A49,资金日记账!$U$4:$U$603,"&lt;&gt;是",资金日记账!$V$4:$V$603,C$4),2))</f>
        <v/>
      </c>
      <c r="D49" s="76" t="str">
        <f ca="1">IF($A49="","",ROUND(SUMIFS(成本费用登记表!$H$4:$H$303,成本费用登记表!$D$4:$D$303,$A49,成本费用登记表!$AC$4:$AC$303,D$4)+SUMIFS(资金日记账!$I$4:$I$603,资金日记账!$G$4:$G$603,$A49,资金日记账!$U$4:$U$603,"&lt;&gt;是",资金日记账!$V$4:$V$603,D$4),2))</f>
        <v/>
      </c>
      <c r="E49" s="76" t="str">
        <f ca="1">IF($A49="","",ROUND(SUMIFS(成本费用登记表!$H$4:$H$303,成本费用登记表!$D$4:$D$303,$A49,成本费用登记表!$AC$4:$AC$303,E$4)+SUMIFS(资金日记账!$I$4:$I$603,资金日记账!$G$4:$G$603,$A49,资金日记账!$U$4:$U$603,"&lt;&gt;是",资金日记账!$V$4:$V$603,E$4),2))</f>
        <v/>
      </c>
      <c r="F49" s="76" t="str">
        <f ca="1">IF($A49="","",ROUND(SUMIFS(成本费用登记表!$H$4:$H$303,成本费用登记表!$D$4:$D$303,$A49,成本费用登记表!$AC$4:$AC$303,F$4)+SUMIFS(资金日记账!$I$4:$I$603,资金日记账!$G$4:$G$603,$A49,资金日记账!$U$4:$U$603,"&lt;&gt;是",资金日记账!$V$4:$V$603,F$4),2))</f>
        <v/>
      </c>
      <c r="G49" s="76" t="str">
        <f ca="1">IF($A49="","",ROUND(SUMIFS(成本费用登记表!$H$4:$H$303,成本费用登记表!$D$4:$D$303,$A49,成本费用登记表!$AC$4:$AC$303,G$4)+SUMIFS(资金日记账!$I$4:$I$603,资金日记账!$G$4:$G$603,$A49,资金日记账!$U$4:$U$603,"&lt;&gt;是",资金日记账!$V$4:$V$603,G$4),2))</f>
        <v/>
      </c>
      <c r="H49" s="76" t="str">
        <f ca="1">IF($A49="","",ROUND(SUMIFS(成本费用登记表!$H$4:$H$303,成本费用登记表!$D$4:$D$303,$A49,成本费用登记表!$AC$4:$AC$303,H$4)+SUMIFS(资金日记账!$I$4:$I$603,资金日记账!$G$4:$G$603,$A49,资金日记账!$U$4:$U$603,"&lt;&gt;是",资金日记账!$V$4:$V$603,H$4),2))</f>
        <v/>
      </c>
      <c r="I49" s="76" t="str">
        <f ca="1">IF($A49="","",ROUND(SUMIFS(成本费用登记表!$H$4:$H$303,成本费用登记表!$D$4:$D$303,$A49,成本费用登记表!$AC$4:$AC$303,I$4)+SUMIFS(资金日记账!$I$4:$I$603,资金日记账!$G$4:$G$603,$A49,资金日记账!$U$4:$U$603,"&lt;&gt;是",资金日记账!$V$4:$V$603,I$4),2))</f>
        <v/>
      </c>
      <c r="J49" s="76" t="str">
        <f ca="1">IF($A49="","",ROUND(SUMIFS(成本费用登记表!$H$4:$H$303,成本费用登记表!$D$4:$D$303,$A49,成本费用登记表!$AC$4:$AC$303,J$4)+SUMIFS(资金日记账!$I$4:$I$603,资金日记账!$G$4:$G$603,$A49,资金日记账!$U$4:$U$603,"&lt;&gt;是",资金日记账!$V$4:$V$603,J$4),2))</f>
        <v/>
      </c>
      <c r="K49" s="76" t="str">
        <f ca="1">IF($A49="","",ROUND(SUMIFS(成本费用登记表!$H$4:$H$303,成本费用登记表!$D$4:$D$303,$A49,成本费用登记表!$AC$4:$AC$303,K$4)+SUMIFS(资金日记账!$I$4:$I$603,资金日记账!$G$4:$G$603,$A49,资金日记账!$U$4:$U$603,"&lt;&gt;是",资金日记账!$V$4:$V$603,K$4),2))</f>
        <v/>
      </c>
      <c r="L49" s="76" t="str">
        <f ca="1">IF($A49="","",ROUND(SUMIFS(成本费用登记表!$H$4:$H$303,成本费用登记表!$D$4:$D$303,$A49,成本费用登记表!$AC$4:$AC$303,L$4)+SUMIFS(资金日记账!$I$4:$I$603,资金日记账!$G$4:$G$603,$A49,资金日记账!$U$4:$U$603,"&lt;&gt;是",资金日记账!$V$4:$V$603,L$4),2))</f>
        <v/>
      </c>
      <c r="M49" s="76" t="str">
        <f ca="1">IF($A49="","",ROUND(SUMIFS(成本费用登记表!$H$4:$H$303,成本费用登记表!$D$4:$D$303,$A49,成本费用登记表!$AC$4:$AC$303,M$4)+SUMIFS(资金日记账!$I$4:$I$603,资金日记账!$G$4:$G$603,$A49,资金日记账!$U$4:$U$603,"&lt;&gt;是",资金日记账!$V$4:$V$603,M$4),2))</f>
        <v/>
      </c>
      <c r="N49" s="76" t="str">
        <f ca="1">IF($A49="","",ROUND(SUMIFS(成本费用登记表!$H$4:$H$303,成本费用登记表!$D$4:$D$303,$A49,成本费用登记表!$AC$4:$AC$303,N$4)+SUMIFS(资金日记账!$I$4:$I$603,资金日记账!$G$4:$G$603,$A49,资金日记账!$U$4:$U$603,"&lt;&gt;是",资金日记账!$V$4:$V$603,N$4),2))</f>
        <v/>
      </c>
      <c r="O49" s="76" t="str">
        <f ca="1">IF($A49="","",ROUND(SUMIFS(成本费用登记表!$H$4:$H$303,成本费用登记表!$D$4:$D$303,$A49,成本费用登记表!$AC$4:$AC$303,O$4)+SUMIFS(资金日记账!$I$4:$I$603,资金日记账!$G$4:$G$603,$A49,资金日记账!$U$4:$U$603,"&lt;&gt;是",资金日记账!$V$4:$V$603,O$4),2))</f>
        <v/>
      </c>
      <c r="P49" s="76" t="str">
        <f ca="1">IF($A49="","",ROUND(SUMIFS(成本费用登记表!$H$4:$H$303,成本费用登记表!$D$4:$D$303,$A49,成本费用登记表!$AC$4:$AC$303,P$4)+SUMIFS(资金日记账!$I$4:$I$603,资金日记账!$G$4:$G$603,$A49,资金日记账!$U$4:$U$603,"&lt;&gt;是",资金日记账!$V$4:$V$603,P$4),2))</f>
        <v/>
      </c>
      <c r="Q49" s="76" t="str">
        <f ca="1">IF($A49="","",ROUND(SUMIFS(成本费用登记表!$H$4:$H$303,成本费用登记表!$D$4:$D$303,$A49,成本费用登记表!$AC$4:$AC$303,Q$4)+SUMIFS(资金日记账!$I$4:$I$603,资金日记账!$G$4:$G$603,$A49,资金日记账!$U$4:$U$603,"&lt;&gt;是",资金日记账!$V$4:$V$603,Q$4),2))</f>
        <v/>
      </c>
      <c r="R49" s="76" t="str">
        <f ca="1">IF($A49="","",ROUND(SUMIFS(成本费用登记表!$H$4:$H$303,成本费用登记表!$D$4:$D$303,$A49,成本费用登记表!$AC$4:$AC$303,R$4)+SUMIFS(资金日记账!$I$4:$I$603,资金日记账!$G$4:$G$603,$A49,资金日记账!$U$4:$U$603,"&lt;&gt;是",资金日记账!$V$4:$V$603,R$4),2))</f>
        <v/>
      </c>
      <c r="S49" s="76" t="str">
        <f ca="1">IF($A49="","",ROUND(SUMIFS(成本费用登记表!$H$4:$H$303,成本费用登记表!$D$4:$D$303,$A49,成本费用登记表!$AC$4:$AC$303,S$4)+SUMIFS(资金日记账!$I$4:$I$603,资金日记账!$G$4:$G$603,$A49,资金日记账!$U$4:$U$603,"&lt;&gt;是",资金日记账!$V$4:$V$603,S$4),2))</f>
        <v/>
      </c>
      <c r="T49" s="76" t="str">
        <f ca="1">IF($A49="","",ROUND(SUMIFS(成本费用登记表!$H$4:$H$303,成本费用登记表!$D$4:$D$303,$A49,成本费用登记表!$AC$4:$AC$303,T$4)+SUMIFS(资金日记账!$I$4:$I$603,资金日记账!$G$4:$G$603,$A49,资金日记账!$U$4:$U$603,"&lt;&gt;是",资金日记账!$V$4:$V$603,T$4),2))</f>
        <v/>
      </c>
      <c r="U49" s="76" t="str">
        <f ca="1">IF($A49="","",ROUND(SUMIFS(成本费用登记表!$H$4:$H$303,成本费用登记表!$D$4:$D$303,$A49,成本费用登记表!$AC$4:$AC$303,U$4)+SUMIFS(资金日记账!$I$4:$I$603,资金日记账!$G$4:$G$603,$A49,资金日记账!$U$4:$U$603,"&lt;&gt;是",资金日记账!$V$4:$V$603,U$4),2))</f>
        <v/>
      </c>
      <c r="V49" s="76" t="str">
        <f ca="1">IF($A49="","",ROUND(SUMIFS(成本费用登记表!$H$4:$H$303,成本费用登记表!$D$4:$D$303,$A49,成本费用登记表!$AC$4:$AC$303,V$4)+SUMIFS(资金日记账!$I$4:$I$603,资金日记账!$G$4:$G$603,$A49,资金日记账!$U$4:$U$603,"&lt;&gt;是",资金日记账!$V$4:$V$603,V$4),2))</f>
        <v/>
      </c>
      <c r="W49" s="76" t="str">
        <f ca="1">IF($A49="","",ROUND(SUMIFS(成本费用登记表!$H$4:$H$303,成本费用登记表!$D$4:$D$303,$A49,成本费用登记表!$AC$4:$AC$303,W$4)+SUMIFS(资金日记账!$I$4:$I$603,资金日记账!$G$4:$G$603,$A49,资金日记账!$U$4:$U$603,"&lt;&gt;是",资金日记账!$V$4:$V$603,W$4),2))</f>
        <v/>
      </c>
      <c r="X49" s="76" t="str">
        <f ca="1">IF($A49="","",ROUND(SUMIFS(成本费用登记表!$H$4:$H$303,成本费用登记表!$D$4:$D$303,$A49,成本费用登记表!$AC$4:$AC$303,X$4)+SUMIFS(资金日记账!$I$4:$I$603,资金日记账!$G$4:$G$603,$A49,资金日记账!$U$4:$U$603,"&lt;&gt;是",资金日记账!$V$4:$V$603,X$4),2))</f>
        <v/>
      </c>
      <c r="Y49" s="76" t="str">
        <f ca="1">IF($A49="","",ROUND(SUMIFS(成本费用登记表!$H$4:$H$303,成本费用登记表!$D$4:$D$303,$A49,成本费用登记表!$AC$4:$AC$303,Y$4)+SUMIFS(资金日记账!$I$4:$I$603,资金日记账!$G$4:$G$603,$A49,资金日记账!$U$4:$U$603,"&lt;&gt;是",资金日记账!$V$4:$V$603,Y$4),2))</f>
        <v/>
      </c>
      <c r="Z49" s="87" t="str">
        <f ca="1" t="shared" si="1"/>
        <v/>
      </c>
      <c r="AA49" s="76" t="str">
        <f>IF($A49="","",ROUND(SUMIF(成本费用登记表!$D$4:$D$303,$A49,成本费用登记表!$AA$4:$AA$303)+SUMIFS(资金日记账!$I$4:$I$603,资金日记账!$G$4:$G$603,$A49,资金日记账!$U$4:$U$603,"&lt;&gt;是"),2))</f>
        <v/>
      </c>
      <c r="AB49" s="76" t="str">
        <f ca="1" t="shared" si="2"/>
        <v/>
      </c>
    </row>
    <row r="50" spans="1:28">
      <c r="A50" s="86" t="str">
        <f>IFERROR(INDEX(_自动清单!$X$4:$X$63,46),"")</f>
        <v/>
      </c>
      <c r="B50" s="76" t="str">
        <f ca="1">IF($A50="","",ROUND(SUMIFS(成本费用登记表!$H$4:$H$303,成本费用登记表!$D$4:$D$303,$A50,成本费用登记表!$AC$4:$AC$303,B$4)+SUMIFS(资金日记账!$I$4:$I$603,资金日记账!$G$4:$G$603,$A50,资金日记账!$U$4:$U$603,"&lt;&gt;是",资金日记账!$V$4:$V$603,B$4),2))</f>
        <v/>
      </c>
      <c r="C50" s="76" t="str">
        <f ca="1">IF($A50="","",ROUND(SUMIFS(成本费用登记表!$H$4:$H$303,成本费用登记表!$D$4:$D$303,$A50,成本费用登记表!$AC$4:$AC$303,C$4)+SUMIFS(资金日记账!$I$4:$I$603,资金日记账!$G$4:$G$603,$A50,资金日记账!$U$4:$U$603,"&lt;&gt;是",资金日记账!$V$4:$V$603,C$4),2))</f>
        <v/>
      </c>
      <c r="D50" s="76" t="str">
        <f ca="1">IF($A50="","",ROUND(SUMIFS(成本费用登记表!$H$4:$H$303,成本费用登记表!$D$4:$D$303,$A50,成本费用登记表!$AC$4:$AC$303,D$4)+SUMIFS(资金日记账!$I$4:$I$603,资金日记账!$G$4:$G$603,$A50,资金日记账!$U$4:$U$603,"&lt;&gt;是",资金日记账!$V$4:$V$603,D$4),2))</f>
        <v/>
      </c>
      <c r="E50" s="76" t="str">
        <f ca="1">IF($A50="","",ROUND(SUMIFS(成本费用登记表!$H$4:$H$303,成本费用登记表!$D$4:$D$303,$A50,成本费用登记表!$AC$4:$AC$303,E$4)+SUMIFS(资金日记账!$I$4:$I$603,资金日记账!$G$4:$G$603,$A50,资金日记账!$U$4:$U$603,"&lt;&gt;是",资金日记账!$V$4:$V$603,E$4),2))</f>
        <v/>
      </c>
      <c r="F50" s="76" t="str">
        <f ca="1">IF($A50="","",ROUND(SUMIFS(成本费用登记表!$H$4:$H$303,成本费用登记表!$D$4:$D$303,$A50,成本费用登记表!$AC$4:$AC$303,F$4)+SUMIFS(资金日记账!$I$4:$I$603,资金日记账!$G$4:$G$603,$A50,资金日记账!$U$4:$U$603,"&lt;&gt;是",资金日记账!$V$4:$V$603,F$4),2))</f>
        <v/>
      </c>
      <c r="G50" s="76" t="str">
        <f ca="1">IF($A50="","",ROUND(SUMIFS(成本费用登记表!$H$4:$H$303,成本费用登记表!$D$4:$D$303,$A50,成本费用登记表!$AC$4:$AC$303,G$4)+SUMIFS(资金日记账!$I$4:$I$603,资金日记账!$G$4:$G$603,$A50,资金日记账!$U$4:$U$603,"&lt;&gt;是",资金日记账!$V$4:$V$603,G$4),2))</f>
        <v/>
      </c>
      <c r="H50" s="76" t="str">
        <f ca="1">IF($A50="","",ROUND(SUMIFS(成本费用登记表!$H$4:$H$303,成本费用登记表!$D$4:$D$303,$A50,成本费用登记表!$AC$4:$AC$303,H$4)+SUMIFS(资金日记账!$I$4:$I$603,资金日记账!$G$4:$G$603,$A50,资金日记账!$U$4:$U$603,"&lt;&gt;是",资金日记账!$V$4:$V$603,H$4),2))</f>
        <v/>
      </c>
      <c r="I50" s="76" t="str">
        <f ca="1">IF($A50="","",ROUND(SUMIFS(成本费用登记表!$H$4:$H$303,成本费用登记表!$D$4:$D$303,$A50,成本费用登记表!$AC$4:$AC$303,I$4)+SUMIFS(资金日记账!$I$4:$I$603,资金日记账!$G$4:$G$603,$A50,资金日记账!$U$4:$U$603,"&lt;&gt;是",资金日记账!$V$4:$V$603,I$4),2))</f>
        <v/>
      </c>
      <c r="J50" s="76" t="str">
        <f ca="1">IF($A50="","",ROUND(SUMIFS(成本费用登记表!$H$4:$H$303,成本费用登记表!$D$4:$D$303,$A50,成本费用登记表!$AC$4:$AC$303,J$4)+SUMIFS(资金日记账!$I$4:$I$603,资金日记账!$G$4:$G$603,$A50,资金日记账!$U$4:$U$603,"&lt;&gt;是",资金日记账!$V$4:$V$603,J$4),2))</f>
        <v/>
      </c>
      <c r="K50" s="76" t="str">
        <f ca="1">IF($A50="","",ROUND(SUMIFS(成本费用登记表!$H$4:$H$303,成本费用登记表!$D$4:$D$303,$A50,成本费用登记表!$AC$4:$AC$303,K$4)+SUMIFS(资金日记账!$I$4:$I$603,资金日记账!$G$4:$G$603,$A50,资金日记账!$U$4:$U$603,"&lt;&gt;是",资金日记账!$V$4:$V$603,K$4),2))</f>
        <v/>
      </c>
      <c r="L50" s="76" t="str">
        <f ca="1">IF($A50="","",ROUND(SUMIFS(成本费用登记表!$H$4:$H$303,成本费用登记表!$D$4:$D$303,$A50,成本费用登记表!$AC$4:$AC$303,L$4)+SUMIFS(资金日记账!$I$4:$I$603,资金日记账!$G$4:$G$603,$A50,资金日记账!$U$4:$U$603,"&lt;&gt;是",资金日记账!$V$4:$V$603,L$4),2))</f>
        <v/>
      </c>
      <c r="M50" s="76" t="str">
        <f ca="1">IF($A50="","",ROUND(SUMIFS(成本费用登记表!$H$4:$H$303,成本费用登记表!$D$4:$D$303,$A50,成本费用登记表!$AC$4:$AC$303,M$4)+SUMIFS(资金日记账!$I$4:$I$603,资金日记账!$G$4:$G$603,$A50,资金日记账!$U$4:$U$603,"&lt;&gt;是",资金日记账!$V$4:$V$603,M$4),2))</f>
        <v/>
      </c>
      <c r="N50" s="76" t="str">
        <f ca="1">IF($A50="","",ROUND(SUMIFS(成本费用登记表!$H$4:$H$303,成本费用登记表!$D$4:$D$303,$A50,成本费用登记表!$AC$4:$AC$303,N$4)+SUMIFS(资金日记账!$I$4:$I$603,资金日记账!$G$4:$G$603,$A50,资金日记账!$U$4:$U$603,"&lt;&gt;是",资金日记账!$V$4:$V$603,N$4),2))</f>
        <v/>
      </c>
      <c r="O50" s="76" t="str">
        <f ca="1">IF($A50="","",ROUND(SUMIFS(成本费用登记表!$H$4:$H$303,成本费用登记表!$D$4:$D$303,$A50,成本费用登记表!$AC$4:$AC$303,O$4)+SUMIFS(资金日记账!$I$4:$I$603,资金日记账!$G$4:$G$603,$A50,资金日记账!$U$4:$U$603,"&lt;&gt;是",资金日记账!$V$4:$V$603,O$4),2))</f>
        <v/>
      </c>
      <c r="P50" s="76" t="str">
        <f ca="1">IF($A50="","",ROUND(SUMIFS(成本费用登记表!$H$4:$H$303,成本费用登记表!$D$4:$D$303,$A50,成本费用登记表!$AC$4:$AC$303,P$4)+SUMIFS(资金日记账!$I$4:$I$603,资金日记账!$G$4:$G$603,$A50,资金日记账!$U$4:$U$603,"&lt;&gt;是",资金日记账!$V$4:$V$603,P$4),2))</f>
        <v/>
      </c>
      <c r="Q50" s="76" t="str">
        <f ca="1">IF($A50="","",ROUND(SUMIFS(成本费用登记表!$H$4:$H$303,成本费用登记表!$D$4:$D$303,$A50,成本费用登记表!$AC$4:$AC$303,Q$4)+SUMIFS(资金日记账!$I$4:$I$603,资金日记账!$G$4:$G$603,$A50,资金日记账!$U$4:$U$603,"&lt;&gt;是",资金日记账!$V$4:$V$603,Q$4),2))</f>
        <v/>
      </c>
      <c r="R50" s="76" t="str">
        <f ca="1">IF($A50="","",ROUND(SUMIFS(成本费用登记表!$H$4:$H$303,成本费用登记表!$D$4:$D$303,$A50,成本费用登记表!$AC$4:$AC$303,R$4)+SUMIFS(资金日记账!$I$4:$I$603,资金日记账!$G$4:$G$603,$A50,资金日记账!$U$4:$U$603,"&lt;&gt;是",资金日记账!$V$4:$V$603,R$4),2))</f>
        <v/>
      </c>
      <c r="S50" s="76" t="str">
        <f ca="1">IF($A50="","",ROUND(SUMIFS(成本费用登记表!$H$4:$H$303,成本费用登记表!$D$4:$D$303,$A50,成本费用登记表!$AC$4:$AC$303,S$4)+SUMIFS(资金日记账!$I$4:$I$603,资金日记账!$G$4:$G$603,$A50,资金日记账!$U$4:$U$603,"&lt;&gt;是",资金日记账!$V$4:$V$603,S$4),2))</f>
        <v/>
      </c>
      <c r="T50" s="76" t="str">
        <f ca="1">IF($A50="","",ROUND(SUMIFS(成本费用登记表!$H$4:$H$303,成本费用登记表!$D$4:$D$303,$A50,成本费用登记表!$AC$4:$AC$303,T$4)+SUMIFS(资金日记账!$I$4:$I$603,资金日记账!$G$4:$G$603,$A50,资金日记账!$U$4:$U$603,"&lt;&gt;是",资金日记账!$V$4:$V$603,T$4),2))</f>
        <v/>
      </c>
      <c r="U50" s="76" t="str">
        <f ca="1">IF($A50="","",ROUND(SUMIFS(成本费用登记表!$H$4:$H$303,成本费用登记表!$D$4:$D$303,$A50,成本费用登记表!$AC$4:$AC$303,U$4)+SUMIFS(资金日记账!$I$4:$I$603,资金日记账!$G$4:$G$603,$A50,资金日记账!$U$4:$U$603,"&lt;&gt;是",资金日记账!$V$4:$V$603,U$4),2))</f>
        <v/>
      </c>
      <c r="V50" s="76" t="str">
        <f ca="1">IF($A50="","",ROUND(SUMIFS(成本费用登记表!$H$4:$H$303,成本费用登记表!$D$4:$D$303,$A50,成本费用登记表!$AC$4:$AC$303,V$4)+SUMIFS(资金日记账!$I$4:$I$603,资金日记账!$G$4:$G$603,$A50,资金日记账!$U$4:$U$603,"&lt;&gt;是",资金日记账!$V$4:$V$603,V$4),2))</f>
        <v/>
      </c>
      <c r="W50" s="76" t="str">
        <f ca="1">IF($A50="","",ROUND(SUMIFS(成本费用登记表!$H$4:$H$303,成本费用登记表!$D$4:$D$303,$A50,成本费用登记表!$AC$4:$AC$303,W$4)+SUMIFS(资金日记账!$I$4:$I$603,资金日记账!$G$4:$G$603,$A50,资金日记账!$U$4:$U$603,"&lt;&gt;是",资金日记账!$V$4:$V$603,W$4),2))</f>
        <v/>
      </c>
      <c r="X50" s="76" t="str">
        <f ca="1">IF($A50="","",ROUND(SUMIFS(成本费用登记表!$H$4:$H$303,成本费用登记表!$D$4:$D$303,$A50,成本费用登记表!$AC$4:$AC$303,X$4)+SUMIFS(资金日记账!$I$4:$I$603,资金日记账!$G$4:$G$603,$A50,资金日记账!$U$4:$U$603,"&lt;&gt;是",资金日记账!$V$4:$V$603,X$4),2))</f>
        <v/>
      </c>
      <c r="Y50" s="76" t="str">
        <f ca="1">IF($A50="","",ROUND(SUMIFS(成本费用登记表!$H$4:$H$303,成本费用登记表!$D$4:$D$303,$A50,成本费用登记表!$AC$4:$AC$303,Y$4)+SUMIFS(资金日记账!$I$4:$I$603,资金日记账!$G$4:$G$603,$A50,资金日记账!$U$4:$U$603,"&lt;&gt;是",资金日记账!$V$4:$V$603,Y$4),2))</f>
        <v/>
      </c>
      <c r="Z50" s="87" t="str">
        <f ca="1" t="shared" si="1"/>
        <v/>
      </c>
      <c r="AA50" s="76" t="str">
        <f>IF($A50="","",ROUND(SUMIF(成本费用登记表!$D$4:$D$303,$A50,成本费用登记表!$AA$4:$AA$303)+SUMIFS(资金日记账!$I$4:$I$603,资金日记账!$G$4:$G$603,$A50,资金日记账!$U$4:$U$603,"&lt;&gt;是"),2))</f>
        <v/>
      </c>
      <c r="AB50" s="76" t="str">
        <f ca="1" t="shared" si="2"/>
        <v/>
      </c>
    </row>
    <row r="51" spans="1:28">
      <c r="A51" s="86" t="str">
        <f>IFERROR(INDEX(_自动清单!$X$4:$X$63,47),"")</f>
        <v/>
      </c>
      <c r="B51" s="76" t="str">
        <f ca="1">IF($A51="","",ROUND(SUMIFS(成本费用登记表!$H$4:$H$303,成本费用登记表!$D$4:$D$303,$A51,成本费用登记表!$AC$4:$AC$303,B$4)+SUMIFS(资金日记账!$I$4:$I$603,资金日记账!$G$4:$G$603,$A51,资金日记账!$U$4:$U$603,"&lt;&gt;是",资金日记账!$V$4:$V$603,B$4),2))</f>
        <v/>
      </c>
      <c r="C51" s="76" t="str">
        <f ca="1">IF($A51="","",ROUND(SUMIFS(成本费用登记表!$H$4:$H$303,成本费用登记表!$D$4:$D$303,$A51,成本费用登记表!$AC$4:$AC$303,C$4)+SUMIFS(资金日记账!$I$4:$I$603,资金日记账!$G$4:$G$603,$A51,资金日记账!$U$4:$U$603,"&lt;&gt;是",资金日记账!$V$4:$V$603,C$4),2))</f>
        <v/>
      </c>
      <c r="D51" s="76" t="str">
        <f ca="1">IF($A51="","",ROUND(SUMIFS(成本费用登记表!$H$4:$H$303,成本费用登记表!$D$4:$D$303,$A51,成本费用登记表!$AC$4:$AC$303,D$4)+SUMIFS(资金日记账!$I$4:$I$603,资金日记账!$G$4:$G$603,$A51,资金日记账!$U$4:$U$603,"&lt;&gt;是",资金日记账!$V$4:$V$603,D$4),2))</f>
        <v/>
      </c>
      <c r="E51" s="76" t="str">
        <f ca="1">IF($A51="","",ROUND(SUMIFS(成本费用登记表!$H$4:$H$303,成本费用登记表!$D$4:$D$303,$A51,成本费用登记表!$AC$4:$AC$303,E$4)+SUMIFS(资金日记账!$I$4:$I$603,资金日记账!$G$4:$G$603,$A51,资金日记账!$U$4:$U$603,"&lt;&gt;是",资金日记账!$V$4:$V$603,E$4),2))</f>
        <v/>
      </c>
      <c r="F51" s="76" t="str">
        <f ca="1">IF($A51="","",ROUND(SUMIFS(成本费用登记表!$H$4:$H$303,成本费用登记表!$D$4:$D$303,$A51,成本费用登记表!$AC$4:$AC$303,F$4)+SUMIFS(资金日记账!$I$4:$I$603,资金日记账!$G$4:$G$603,$A51,资金日记账!$U$4:$U$603,"&lt;&gt;是",资金日记账!$V$4:$V$603,F$4),2))</f>
        <v/>
      </c>
      <c r="G51" s="76" t="str">
        <f ca="1">IF($A51="","",ROUND(SUMIFS(成本费用登记表!$H$4:$H$303,成本费用登记表!$D$4:$D$303,$A51,成本费用登记表!$AC$4:$AC$303,G$4)+SUMIFS(资金日记账!$I$4:$I$603,资金日记账!$G$4:$G$603,$A51,资金日记账!$U$4:$U$603,"&lt;&gt;是",资金日记账!$V$4:$V$603,G$4),2))</f>
        <v/>
      </c>
      <c r="H51" s="76" t="str">
        <f ca="1">IF($A51="","",ROUND(SUMIFS(成本费用登记表!$H$4:$H$303,成本费用登记表!$D$4:$D$303,$A51,成本费用登记表!$AC$4:$AC$303,H$4)+SUMIFS(资金日记账!$I$4:$I$603,资金日记账!$G$4:$G$603,$A51,资金日记账!$U$4:$U$603,"&lt;&gt;是",资金日记账!$V$4:$V$603,H$4),2))</f>
        <v/>
      </c>
      <c r="I51" s="76" t="str">
        <f ca="1">IF($A51="","",ROUND(SUMIFS(成本费用登记表!$H$4:$H$303,成本费用登记表!$D$4:$D$303,$A51,成本费用登记表!$AC$4:$AC$303,I$4)+SUMIFS(资金日记账!$I$4:$I$603,资金日记账!$G$4:$G$603,$A51,资金日记账!$U$4:$U$603,"&lt;&gt;是",资金日记账!$V$4:$V$603,I$4),2))</f>
        <v/>
      </c>
      <c r="J51" s="76" t="str">
        <f ca="1">IF($A51="","",ROUND(SUMIFS(成本费用登记表!$H$4:$H$303,成本费用登记表!$D$4:$D$303,$A51,成本费用登记表!$AC$4:$AC$303,J$4)+SUMIFS(资金日记账!$I$4:$I$603,资金日记账!$G$4:$G$603,$A51,资金日记账!$U$4:$U$603,"&lt;&gt;是",资金日记账!$V$4:$V$603,J$4),2))</f>
        <v/>
      </c>
      <c r="K51" s="76" t="str">
        <f ca="1">IF($A51="","",ROUND(SUMIFS(成本费用登记表!$H$4:$H$303,成本费用登记表!$D$4:$D$303,$A51,成本费用登记表!$AC$4:$AC$303,K$4)+SUMIFS(资金日记账!$I$4:$I$603,资金日记账!$G$4:$G$603,$A51,资金日记账!$U$4:$U$603,"&lt;&gt;是",资金日记账!$V$4:$V$603,K$4),2))</f>
        <v/>
      </c>
      <c r="L51" s="76" t="str">
        <f ca="1">IF($A51="","",ROUND(SUMIFS(成本费用登记表!$H$4:$H$303,成本费用登记表!$D$4:$D$303,$A51,成本费用登记表!$AC$4:$AC$303,L$4)+SUMIFS(资金日记账!$I$4:$I$603,资金日记账!$G$4:$G$603,$A51,资金日记账!$U$4:$U$603,"&lt;&gt;是",资金日记账!$V$4:$V$603,L$4),2))</f>
        <v/>
      </c>
      <c r="M51" s="76" t="str">
        <f ca="1">IF($A51="","",ROUND(SUMIFS(成本费用登记表!$H$4:$H$303,成本费用登记表!$D$4:$D$303,$A51,成本费用登记表!$AC$4:$AC$303,M$4)+SUMIFS(资金日记账!$I$4:$I$603,资金日记账!$G$4:$G$603,$A51,资金日记账!$U$4:$U$603,"&lt;&gt;是",资金日记账!$V$4:$V$603,M$4),2))</f>
        <v/>
      </c>
      <c r="N51" s="76" t="str">
        <f ca="1">IF($A51="","",ROUND(SUMIFS(成本费用登记表!$H$4:$H$303,成本费用登记表!$D$4:$D$303,$A51,成本费用登记表!$AC$4:$AC$303,N$4)+SUMIFS(资金日记账!$I$4:$I$603,资金日记账!$G$4:$G$603,$A51,资金日记账!$U$4:$U$603,"&lt;&gt;是",资金日记账!$V$4:$V$603,N$4),2))</f>
        <v/>
      </c>
      <c r="O51" s="76" t="str">
        <f ca="1">IF($A51="","",ROUND(SUMIFS(成本费用登记表!$H$4:$H$303,成本费用登记表!$D$4:$D$303,$A51,成本费用登记表!$AC$4:$AC$303,O$4)+SUMIFS(资金日记账!$I$4:$I$603,资金日记账!$G$4:$G$603,$A51,资金日记账!$U$4:$U$603,"&lt;&gt;是",资金日记账!$V$4:$V$603,O$4),2))</f>
        <v/>
      </c>
      <c r="P51" s="76" t="str">
        <f ca="1">IF($A51="","",ROUND(SUMIFS(成本费用登记表!$H$4:$H$303,成本费用登记表!$D$4:$D$303,$A51,成本费用登记表!$AC$4:$AC$303,P$4)+SUMIFS(资金日记账!$I$4:$I$603,资金日记账!$G$4:$G$603,$A51,资金日记账!$U$4:$U$603,"&lt;&gt;是",资金日记账!$V$4:$V$603,P$4),2))</f>
        <v/>
      </c>
      <c r="Q51" s="76" t="str">
        <f ca="1">IF($A51="","",ROUND(SUMIFS(成本费用登记表!$H$4:$H$303,成本费用登记表!$D$4:$D$303,$A51,成本费用登记表!$AC$4:$AC$303,Q$4)+SUMIFS(资金日记账!$I$4:$I$603,资金日记账!$G$4:$G$603,$A51,资金日记账!$U$4:$U$603,"&lt;&gt;是",资金日记账!$V$4:$V$603,Q$4),2))</f>
        <v/>
      </c>
      <c r="R51" s="76" t="str">
        <f ca="1">IF($A51="","",ROUND(SUMIFS(成本费用登记表!$H$4:$H$303,成本费用登记表!$D$4:$D$303,$A51,成本费用登记表!$AC$4:$AC$303,R$4)+SUMIFS(资金日记账!$I$4:$I$603,资金日记账!$G$4:$G$603,$A51,资金日记账!$U$4:$U$603,"&lt;&gt;是",资金日记账!$V$4:$V$603,R$4),2))</f>
        <v/>
      </c>
      <c r="S51" s="76" t="str">
        <f ca="1">IF($A51="","",ROUND(SUMIFS(成本费用登记表!$H$4:$H$303,成本费用登记表!$D$4:$D$303,$A51,成本费用登记表!$AC$4:$AC$303,S$4)+SUMIFS(资金日记账!$I$4:$I$603,资金日记账!$G$4:$G$603,$A51,资金日记账!$U$4:$U$603,"&lt;&gt;是",资金日记账!$V$4:$V$603,S$4),2))</f>
        <v/>
      </c>
      <c r="T51" s="76" t="str">
        <f ca="1">IF($A51="","",ROUND(SUMIFS(成本费用登记表!$H$4:$H$303,成本费用登记表!$D$4:$D$303,$A51,成本费用登记表!$AC$4:$AC$303,T$4)+SUMIFS(资金日记账!$I$4:$I$603,资金日记账!$G$4:$G$603,$A51,资金日记账!$U$4:$U$603,"&lt;&gt;是",资金日记账!$V$4:$V$603,T$4),2))</f>
        <v/>
      </c>
      <c r="U51" s="76" t="str">
        <f ca="1">IF($A51="","",ROUND(SUMIFS(成本费用登记表!$H$4:$H$303,成本费用登记表!$D$4:$D$303,$A51,成本费用登记表!$AC$4:$AC$303,U$4)+SUMIFS(资金日记账!$I$4:$I$603,资金日记账!$G$4:$G$603,$A51,资金日记账!$U$4:$U$603,"&lt;&gt;是",资金日记账!$V$4:$V$603,U$4),2))</f>
        <v/>
      </c>
      <c r="V51" s="76" t="str">
        <f ca="1">IF($A51="","",ROUND(SUMIFS(成本费用登记表!$H$4:$H$303,成本费用登记表!$D$4:$D$303,$A51,成本费用登记表!$AC$4:$AC$303,V$4)+SUMIFS(资金日记账!$I$4:$I$603,资金日记账!$G$4:$G$603,$A51,资金日记账!$U$4:$U$603,"&lt;&gt;是",资金日记账!$V$4:$V$603,V$4),2))</f>
        <v/>
      </c>
      <c r="W51" s="76" t="str">
        <f ca="1">IF($A51="","",ROUND(SUMIFS(成本费用登记表!$H$4:$H$303,成本费用登记表!$D$4:$D$303,$A51,成本费用登记表!$AC$4:$AC$303,W$4)+SUMIFS(资金日记账!$I$4:$I$603,资金日记账!$G$4:$G$603,$A51,资金日记账!$U$4:$U$603,"&lt;&gt;是",资金日记账!$V$4:$V$603,W$4),2))</f>
        <v/>
      </c>
      <c r="X51" s="76" t="str">
        <f ca="1">IF($A51="","",ROUND(SUMIFS(成本费用登记表!$H$4:$H$303,成本费用登记表!$D$4:$D$303,$A51,成本费用登记表!$AC$4:$AC$303,X$4)+SUMIFS(资金日记账!$I$4:$I$603,资金日记账!$G$4:$G$603,$A51,资金日记账!$U$4:$U$603,"&lt;&gt;是",资金日记账!$V$4:$V$603,X$4),2))</f>
        <v/>
      </c>
      <c r="Y51" s="76" t="str">
        <f ca="1">IF($A51="","",ROUND(SUMIFS(成本费用登记表!$H$4:$H$303,成本费用登记表!$D$4:$D$303,$A51,成本费用登记表!$AC$4:$AC$303,Y$4)+SUMIFS(资金日记账!$I$4:$I$603,资金日记账!$G$4:$G$603,$A51,资金日记账!$U$4:$U$603,"&lt;&gt;是",资金日记账!$V$4:$V$603,Y$4),2))</f>
        <v/>
      </c>
      <c r="Z51" s="87" t="str">
        <f ca="1" t="shared" si="1"/>
        <v/>
      </c>
      <c r="AA51" s="76" t="str">
        <f>IF($A51="","",ROUND(SUMIF(成本费用登记表!$D$4:$D$303,$A51,成本费用登记表!$AA$4:$AA$303)+SUMIFS(资金日记账!$I$4:$I$603,资金日记账!$G$4:$G$603,$A51,资金日记账!$U$4:$U$603,"&lt;&gt;是"),2))</f>
        <v/>
      </c>
      <c r="AB51" s="76" t="str">
        <f ca="1" t="shared" si="2"/>
        <v/>
      </c>
    </row>
    <row r="52" spans="1:28">
      <c r="A52" s="86" t="str">
        <f>IFERROR(INDEX(_自动清单!$X$4:$X$63,48),"")</f>
        <v/>
      </c>
      <c r="B52" s="76" t="str">
        <f ca="1">IF($A52="","",ROUND(SUMIFS(成本费用登记表!$H$4:$H$303,成本费用登记表!$D$4:$D$303,$A52,成本费用登记表!$AC$4:$AC$303,B$4)+SUMIFS(资金日记账!$I$4:$I$603,资金日记账!$G$4:$G$603,$A52,资金日记账!$U$4:$U$603,"&lt;&gt;是",资金日记账!$V$4:$V$603,B$4),2))</f>
        <v/>
      </c>
      <c r="C52" s="76" t="str">
        <f ca="1">IF($A52="","",ROUND(SUMIFS(成本费用登记表!$H$4:$H$303,成本费用登记表!$D$4:$D$303,$A52,成本费用登记表!$AC$4:$AC$303,C$4)+SUMIFS(资金日记账!$I$4:$I$603,资金日记账!$G$4:$G$603,$A52,资金日记账!$U$4:$U$603,"&lt;&gt;是",资金日记账!$V$4:$V$603,C$4),2))</f>
        <v/>
      </c>
      <c r="D52" s="76" t="str">
        <f ca="1">IF($A52="","",ROUND(SUMIFS(成本费用登记表!$H$4:$H$303,成本费用登记表!$D$4:$D$303,$A52,成本费用登记表!$AC$4:$AC$303,D$4)+SUMIFS(资金日记账!$I$4:$I$603,资金日记账!$G$4:$G$603,$A52,资金日记账!$U$4:$U$603,"&lt;&gt;是",资金日记账!$V$4:$V$603,D$4),2))</f>
        <v/>
      </c>
      <c r="E52" s="76" t="str">
        <f ca="1">IF($A52="","",ROUND(SUMIFS(成本费用登记表!$H$4:$H$303,成本费用登记表!$D$4:$D$303,$A52,成本费用登记表!$AC$4:$AC$303,E$4)+SUMIFS(资金日记账!$I$4:$I$603,资金日记账!$G$4:$G$603,$A52,资金日记账!$U$4:$U$603,"&lt;&gt;是",资金日记账!$V$4:$V$603,E$4),2))</f>
        <v/>
      </c>
      <c r="F52" s="76" t="str">
        <f ca="1">IF($A52="","",ROUND(SUMIFS(成本费用登记表!$H$4:$H$303,成本费用登记表!$D$4:$D$303,$A52,成本费用登记表!$AC$4:$AC$303,F$4)+SUMIFS(资金日记账!$I$4:$I$603,资金日记账!$G$4:$G$603,$A52,资金日记账!$U$4:$U$603,"&lt;&gt;是",资金日记账!$V$4:$V$603,F$4),2))</f>
        <v/>
      </c>
      <c r="G52" s="76" t="str">
        <f ca="1">IF($A52="","",ROUND(SUMIFS(成本费用登记表!$H$4:$H$303,成本费用登记表!$D$4:$D$303,$A52,成本费用登记表!$AC$4:$AC$303,G$4)+SUMIFS(资金日记账!$I$4:$I$603,资金日记账!$G$4:$G$603,$A52,资金日记账!$U$4:$U$603,"&lt;&gt;是",资金日记账!$V$4:$V$603,G$4),2))</f>
        <v/>
      </c>
      <c r="H52" s="76" t="str">
        <f ca="1">IF($A52="","",ROUND(SUMIFS(成本费用登记表!$H$4:$H$303,成本费用登记表!$D$4:$D$303,$A52,成本费用登记表!$AC$4:$AC$303,H$4)+SUMIFS(资金日记账!$I$4:$I$603,资金日记账!$G$4:$G$603,$A52,资金日记账!$U$4:$U$603,"&lt;&gt;是",资金日记账!$V$4:$V$603,H$4),2))</f>
        <v/>
      </c>
      <c r="I52" s="76" t="str">
        <f ca="1">IF($A52="","",ROUND(SUMIFS(成本费用登记表!$H$4:$H$303,成本费用登记表!$D$4:$D$303,$A52,成本费用登记表!$AC$4:$AC$303,I$4)+SUMIFS(资金日记账!$I$4:$I$603,资金日记账!$G$4:$G$603,$A52,资金日记账!$U$4:$U$603,"&lt;&gt;是",资金日记账!$V$4:$V$603,I$4),2))</f>
        <v/>
      </c>
      <c r="J52" s="76" t="str">
        <f ca="1">IF($A52="","",ROUND(SUMIFS(成本费用登记表!$H$4:$H$303,成本费用登记表!$D$4:$D$303,$A52,成本费用登记表!$AC$4:$AC$303,J$4)+SUMIFS(资金日记账!$I$4:$I$603,资金日记账!$G$4:$G$603,$A52,资金日记账!$U$4:$U$603,"&lt;&gt;是",资金日记账!$V$4:$V$603,J$4),2))</f>
        <v/>
      </c>
      <c r="K52" s="76" t="str">
        <f ca="1">IF($A52="","",ROUND(SUMIFS(成本费用登记表!$H$4:$H$303,成本费用登记表!$D$4:$D$303,$A52,成本费用登记表!$AC$4:$AC$303,K$4)+SUMIFS(资金日记账!$I$4:$I$603,资金日记账!$G$4:$G$603,$A52,资金日记账!$U$4:$U$603,"&lt;&gt;是",资金日记账!$V$4:$V$603,K$4),2))</f>
        <v/>
      </c>
      <c r="L52" s="76" t="str">
        <f ca="1">IF($A52="","",ROUND(SUMIFS(成本费用登记表!$H$4:$H$303,成本费用登记表!$D$4:$D$303,$A52,成本费用登记表!$AC$4:$AC$303,L$4)+SUMIFS(资金日记账!$I$4:$I$603,资金日记账!$G$4:$G$603,$A52,资金日记账!$U$4:$U$603,"&lt;&gt;是",资金日记账!$V$4:$V$603,L$4),2))</f>
        <v/>
      </c>
      <c r="M52" s="76" t="str">
        <f ca="1">IF($A52="","",ROUND(SUMIFS(成本费用登记表!$H$4:$H$303,成本费用登记表!$D$4:$D$303,$A52,成本费用登记表!$AC$4:$AC$303,M$4)+SUMIFS(资金日记账!$I$4:$I$603,资金日记账!$G$4:$G$603,$A52,资金日记账!$U$4:$U$603,"&lt;&gt;是",资金日记账!$V$4:$V$603,M$4),2))</f>
        <v/>
      </c>
      <c r="N52" s="76" t="str">
        <f ca="1">IF($A52="","",ROUND(SUMIFS(成本费用登记表!$H$4:$H$303,成本费用登记表!$D$4:$D$303,$A52,成本费用登记表!$AC$4:$AC$303,N$4)+SUMIFS(资金日记账!$I$4:$I$603,资金日记账!$G$4:$G$603,$A52,资金日记账!$U$4:$U$603,"&lt;&gt;是",资金日记账!$V$4:$V$603,N$4),2))</f>
        <v/>
      </c>
      <c r="O52" s="76" t="str">
        <f ca="1">IF($A52="","",ROUND(SUMIFS(成本费用登记表!$H$4:$H$303,成本费用登记表!$D$4:$D$303,$A52,成本费用登记表!$AC$4:$AC$303,O$4)+SUMIFS(资金日记账!$I$4:$I$603,资金日记账!$G$4:$G$603,$A52,资金日记账!$U$4:$U$603,"&lt;&gt;是",资金日记账!$V$4:$V$603,O$4),2))</f>
        <v/>
      </c>
      <c r="P52" s="76" t="str">
        <f ca="1">IF($A52="","",ROUND(SUMIFS(成本费用登记表!$H$4:$H$303,成本费用登记表!$D$4:$D$303,$A52,成本费用登记表!$AC$4:$AC$303,P$4)+SUMIFS(资金日记账!$I$4:$I$603,资金日记账!$G$4:$G$603,$A52,资金日记账!$U$4:$U$603,"&lt;&gt;是",资金日记账!$V$4:$V$603,P$4),2))</f>
        <v/>
      </c>
      <c r="Q52" s="76" t="str">
        <f ca="1">IF($A52="","",ROUND(SUMIFS(成本费用登记表!$H$4:$H$303,成本费用登记表!$D$4:$D$303,$A52,成本费用登记表!$AC$4:$AC$303,Q$4)+SUMIFS(资金日记账!$I$4:$I$603,资金日记账!$G$4:$G$603,$A52,资金日记账!$U$4:$U$603,"&lt;&gt;是",资金日记账!$V$4:$V$603,Q$4),2))</f>
        <v/>
      </c>
      <c r="R52" s="76" t="str">
        <f ca="1">IF($A52="","",ROUND(SUMIFS(成本费用登记表!$H$4:$H$303,成本费用登记表!$D$4:$D$303,$A52,成本费用登记表!$AC$4:$AC$303,R$4)+SUMIFS(资金日记账!$I$4:$I$603,资金日记账!$G$4:$G$603,$A52,资金日记账!$U$4:$U$603,"&lt;&gt;是",资金日记账!$V$4:$V$603,R$4),2))</f>
        <v/>
      </c>
      <c r="S52" s="76" t="str">
        <f ca="1">IF($A52="","",ROUND(SUMIFS(成本费用登记表!$H$4:$H$303,成本费用登记表!$D$4:$D$303,$A52,成本费用登记表!$AC$4:$AC$303,S$4)+SUMIFS(资金日记账!$I$4:$I$603,资金日记账!$G$4:$G$603,$A52,资金日记账!$U$4:$U$603,"&lt;&gt;是",资金日记账!$V$4:$V$603,S$4),2))</f>
        <v/>
      </c>
      <c r="T52" s="76" t="str">
        <f ca="1">IF($A52="","",ROUND(SUMIFS(成本费用登记表!$H$4:$H$303,成本费用登记表!$D$4:$D$303,$A52,成本费用登记表!$AC$4:$AC$303,T$4)+SUMIFS(资金日记账!$I$4:$I$603,资金日记账!$G$4:$G$603,$A52,资金日记账!$U$4:$U$603,"&lt;&gt;是",资金日记账!$V$4:$V$603,T$4),2))</f>
        <v/>
      </c>
      <c r="U52" s="76" t="str">
        <f ca="1">IF($A52="","",ROUND(SUMIFS(成本费用登记表!$H$4:$H$303,成本费用登记表!$D$4:$D$303,$A52,成本费用登记表!$AC$4:$AC$303,U$4)+SUMIFS(资金日记账!$I$4:$I$603,资金日记账!$G$4:$G$603,$A52,资金日记账!$U$4:$U$603,"&lt;&gt;是",资金日记账!$V$4:$V$603,U$4),2))</f>
        <v/>
      </c>
      <c r="V52" s="76" t="str">
        <f ca="1">IF($A52="","",ROUND(SUMIFS(成本费用登记表!$H$4:$H$303,成本费用登记表!$D$4:$D$303,$A52,成本费用登记表!$AC$4:$AC$303,V$4)+SUMIFS(资金日记账!$I$4:$I$603,资金日记账!$G$4:$G$603,$A52,资金日记账!$U$4:$U$603,"&lt;&gt;是",资金日记账!$V$4:$V$603,V$4),2))</f>
        <v/>
      </c>
      <c r="W52" s="76" t="str">
        <f ca="1">IF($A52="","",ROUND(SUMIFS(成本费用登记表!$H$4:$H$303,成本费用登记表!$D$4:$D$303,$A52,成本费用登记表!$AC$4:$AC$303,W$4)+SUMIFS(资金日记账!$I$4:$I$603,资金日记账!$G$4:$G$603,$A52,资金日记账!$U$4:$U$603,"&lt;&gt;是",资金日记账!$V$4:$V$603,W$4),2))</f>
        <v/>
      </c>
      <c r="X52" s="76" t="str">
        <f ca="1">IF($A52="","",ROUND(SUMIFS(成本费用登记表!$H$4:$H$303,成本费用登记表!$D$4:$D$303,$A52,成本费用登记表!$AC$4:$AC$303,X$4)+SUMIFS(资金日记账!$I$4:$I$603,资金日记账!$G$4:$G$603,$A52,资金日记账!$U$4:$U$603,"&lt;&gt;是",资金日记账!$V$4:$V$603,X$4),2))</f>
        <v/>
      </c>
      <c r="Y52" s="76" t="str">
        <f ca="1">IF($A52="","",ROUND(SUMIFS(成本费用登记表!$H$4:$H$303,成本费用登记表!$D$4:$D$303,$A52,成本费用登记表!$AC$4:$AC$303,Y$4)+SUMIFS(资金日记账!$I$4:$I$603,资金日记账!$G$4:$G$603,$A52,资金日记账!$U$4:$U$603,"&lt;&gt;是",资金日记账!$V$4:$V$603,Y$4),2))</f>
        <v/>
      </c>
      <c r="Z52" s="87" t="str">
        <f ca="1" t="shared" si="1"/>
        <v/>
      </c>
      <c r="AA52" s="76" t="str">
        <f>IF($A52="","",ROUND(SUMIF(成本费用登记表!$D$4:$D$303,$A52,成本费用登记表!$AA$4:$AA$303)+SUMIFS(资金日记账!$I$4:$I$603,资金日记账!$G$4:$G$603,$A52,资金日记账!$U$4:$U$603,"&lt;&gt;是"),2))</f>
        <v/>
      </c>
      <c r="AB52" s="76" t="str">
        <f ca="1" t="shared" si="2"/>
        <v/>
      </c>
    </row>
    <row r="53" spans="1:28">
      <c r="A53" s="86" t="str">
        <f>IFERROR(INDEX(_自动清单!$X$4:$X$63,49),"")</f>
        <v/>
      </c>
      <c r="B53" s="76" t="str">
        <f ca="1">IF($A53="","",ROUND(SUMIFS(成本费用登记表!$H$4:$H$303,成本费用登记表!$D$4:$D$303,$A53,成本费用登记表!$AC$4:$AC$303,B$4)+SUMIFS(资金日记账!$I$4:$I$603,资金日记账!$G$4:$G$603,$A53,资金日记账!$U$4:$U$603,"&lt;&gt;是",资金日记账!$V$4:$V$603,B$4),2))</f>
        <v/>
      </c>
      <c r="C53" s="76" t="str">
        <f ca="1">IF($A53="","",ROUND(SUMIFS(成本费用登记表!$H$4:$H$303,成本费用登记表!$D$4:$D$303,$A53,成本费用登记表!$AC$4:$AC$303,C$4)+SUMIFS(资金日记账!$I$4:$I$603,资金日记账!$G$4:$G$603,$A53,资金日记账!$U$4:$U$603,"&lt;&gt;是",资金日记账!$V$4:$V$603,C$4),2))</f>
        <v/>
      </c>
      <c r="D53" s="76" t="str">
        <f ca="1">IF($A53="","",ROUND(SUMIFS(成本费用登记表!$H$4:$H$303,成本费用登记表!$D$4:$D$303,$A53,成本费用登记表!$AC$4:$AC$303,D$4)+SUMIFS(资金日记账!$I$4:$I$603,资金日记账!$G$4:$G$603,$A53,资金日记账!$U$4:$U$603,"&lt;&gt;是",资金日记账!$V$4:$V$603,D$4),2))</f>
        <v/>
      </c>
      <c r="E53" s="76" t="str">
        <f ca="1">IF($A53="","",ROUND(SUMIFS(成本费用登记表!$H$4:$H$303,成本费用登记表!$D$4:$D$303,$A53,成本费用登记表!$AC$4:$AC$303,E$4)+SUMIFS(资金日记账!$I$4:$I$603,资金日记账!$G$4:$G$603,$A53,资金日记账!$U$4:$U$603,"&lt;&gt;是",资金日记账!$V$4:$V$603,E$4),2))</f>
        <v/>
      </c>
      <c r="F53" s="76" t="str">
        <f ca="1">IF($A53="","",ROUND(SUMIFS(成本费用登记表!$H$4:$H$303,成本费用登记表!$D$4:$D$303,$A53,成本费用登记表!$AC$4:$AC$303,F$4)+SUMIFS(资金日记账!$I$4:$I$603,资金日记账!$G$4:$G$603,$A53,资金日记账!$U$4:$U$603,"&lt;&gt;是",资金日记账!$V$4:$V$603,F$4),2))</f>
        <v/>
      </c>
      <c r="G53" s="76" t="str">
        <f ca="1">IF($A53="","",ROUND(SUMIFS(成本费用登记表!$H$4:$H$303,成本费用登记表!$D$4:$D$303,$A53,成本费用登记表!$AC$4:$AC$303,G$4)+SUMIFS(资金日记账!$I$4:$I$603,资金日记账!$G$4:$G$603,$A53,资金日记账!$U$4:$U$603,"&lt;&gt;是",资金日记账!$V$4:$V$603,G$4),2))</f>
        <v/>
      </c>
      <c r="H53" s="76" t="str">
        <f ca="1">IF($A53="","",ROUND(SUMIFS(成本费用登记表!$H$4:$H$303,成本费用登记表!$D$4:$D$303,$A53,成本费用登记表!$AC$4:$AC$303,H$4)+SUMIFS(资金日记账!$I$4:$I$603,资金日记账!$G$4:$G$603,$A53,资金日记账!$U$4:$U$603,"&lt;&gt;是",资金日记账!$V$4:$V$603,H$4),2))</f>
        <v/>
      </c>
      <c r="I53" s="76" t="str">
        <f ca="1">IF($A53="","",ROUND(SUMIFS(成本费用登记表!$H$4:$H$303,成本费用登记表!$D$4:$D$303,$A53,成本费用登记表!$AC$4:$AC$303,I$4)+SUMIFS(资金日记账!$I$4:$I$603,资金日记账!$G$4:$G$603,$A53,资金日记账!$U$4:$U$603,"&lt;&gt;是",资金日记账!$V$4:$V$603,I$4),2))</f>
        <v/>
      </c>
      <c r="J53" s="76" t="str">
        <f ca="1">IF($A53="","",ROUND(SUMIFS(成本费用登记表!$H$4:$H$303,成本费用登记表!$D$4:$D$303,$A53,成本费用登记表!$AC$4:$AC$303,J$4)+SUMIFS(资金日记账!$I$4:$I$603,资金日记账!$G$4:$G$603,$A53,资金日记账!$U$4:$U$603,"&lt;&gt;是",资金日记账!$V$4:$V$603,J$4),2))</f>
        <v/>
      </c>
      <c r="K53" s="76" t="str">
        <f ca="1">IF($A53="","",ROUND(SUMIFS(成本费用登记表!$H$4:$H$303,成本费用登记表!$D$4:$D$303,$A53,成本费用登记表!$AC$4:$AC$303,K$4)+SUMIFS(资金日记账!$I$4:$I$603,资金日记账!$G$4:$G$603,$A53,资金日记账!$U$4:$U$603,"&lt;&gt;是",资金日记账!$V$4:$V$603,K$4),2))</f>
        <v/>
      </c>
      <c r="L53" s="76" t="str">
        <f ca="1">IF($A53="","",ROUND(SUMIFS(成本费用登记表!$H$4:$H$303,成本费用登记表!$D$4:$D$303,$A53,成本费用登记表!$AC$4:$AC$303,L$4)+SUMIFS(资金日记账!$I$4:$I$603,资金日记账!$G$4:$G$603,$A53,资金日记账!$U$4:$U$603,"&lt;&gt;是",资金日记账!$V$4:$V$603,L$4),2))</f>
        <v/>
      </c>
      <c r="M53" s="76" t="str">
        <f ca="1">IF($A53="","",ROUND(SUMIFS(成本费用登记表!$H$4:$H$303,成本费用登记表!$D$4:$D$303,$A53,成本费用登记表!$AC$4:$AC$303,M$4)+SUMIFS(资金日记账!$I$4:$I$603,资金日记账!$G$4:$G$603,$A53,资金日记账!$U$4:$U$603,"&lt;&gt;是",资金日记账!$V$4:$V$603,M$4),2))</f>
        <v/>
      </c>
      <c r="N53" s="76" t="str">
        <f ca="1">IF($A53="","",ROUND(SUMIFS(成本费用登记表!$H$4:$H$303,成本费用登记表!$D$4:$D$303,$A53,成本费用登记表!$AC$4:$AC$303,N$4)+SUMIFS(资金日记账!$I$4:$I$603,资金日记账!$G$4:$G$603,$A53,资金日记账!$U$4:$U$603,"&lt;&gt;是",资金日记账!$V$4:$V$603,N$4),2))</f>
        <v/>
      </c>
      <c r="O53" s="76" t="str">
        <f ca="1">IF($A53="","",ROUND(SUMIFS(成本费用登记表!$H$4:$H$303,成本费用登记表!$D$4:$D$303,$A53,成本费用登记表!$AC$4:$AC$303,O$4)+SUMIFS(资金日记账!$I$4:$I$603,资金日记账!$G$4:$G$603,$A53,资金日记账!$U$4:$U$603,"&lt;&gt;是",资金日记账!$V$4:$V$603,O$4),2))</f>
        <v/>
      </c>
      <c r="P53" s="76" t="str">
        <f ca="1">IF($A53="","",ROUND(SUMIFS(成本费用登记表!$H$4:$H$303,成本费用登记表!$D$4:$D$303,$A53,成本费用登记表!$AC$4:$AC$303,P$4)+SUMIFS(资金日记账!$I$4:$I$603,资金日记账!$G$4:$G$603,$A53,资金日记账!$U$4:$U$603,"&lt;&gt;是",资金日记账!$V$4:$V$603,P$4),2))</f>
        <v/>
      </c>
      <c r="Q53" s="76" t="str">
        <f ca="1">IF($A53="","",ROUND(SUMIFS(成本费用登记表!$H$4:$H$303,成本费用登记表!$D$4:$D$303,$A53,成本费用登记表!$AC$4:$AC$303,Q$4)+SUMIFS(资金日记账!$I$4:$I$603,资金日记账!$G$4:$G$603,$A53,资金日记账!$U$4:$U$603,"&lt;&gt;是",资金日记账!$V$4:$V$603,Q$4),2))</f>
        <v/>
      </c>
      <c r="R53" s="76" t="str">
        <f ca="1">IF($A53="","",ROUND(SUMIFS(成本费用登记表!$H$4:$H$303,成本费用登记表!$D$4:$D$303,$A53,成本费用登记表!$AC$4:$AC$303,R$4)+SUMIFS(资金日记账!$I$4:$I$603,资金日记账!$G$4:$G$603,$A53,资金日记账!$U$4:$U$603,"&lt;&gt;是",资金日记账!$V$4:$V$603,R$4),2))</f>
        <v/>
      </c>
      <c r="S53" s="76" t="str">
        <f ca="1">IF($A53="","",ROUND(SUMIFS(成本费用登记表!$H$4:$H$303,成本费用登记表!$D$4:$D$303,$A53,成本费用登记表!$AC$4:$AC$303,S$4)+SUMIFS(资金日记账!$I$4:$I$603,资金日记账!$G$4:$G$603,$A53,资金日记账!$U$4:$U$603,"&lt;&gt;是",资金日记账!$V$4:$V$603,S$4),2))</f>
        <v/>
      </c>
      <c r="T53" s="76" t="str">
        <f ca="1">IF($A53="","",ROUND(SUMIFS(成本费用登记表!$H$4:$H$303,成本费用登记表!$D$4:$D$303,$A53,成本费用登记表!$AC$4:$AC$303,T$4)+SUMIFS(资金日记账!$I$4:$I$603,资金日记账!$G$4:$G$603,$A53,资金日记账!$U$4:$U$603,"&lt;&gt;是",资金日记账!$V$4:$V$603,T$4),2))</f>
        <v/>
      </c>
      <c r="U53" s="76" t="str">
        <f ca="1">IF($A53="","",ROUND(SUMIFS(成本费用登记表!$H$4:$H$303,成本费用登记表!$D$4:$D$303,$A53,成本费用登记表!$AC$4:$AC$303,U$4)+SUMIFS(资金日记账!$I$4:$I$603,资金日记账!$G$4:$G$603,$A53,资金日记账!$U$4:$U$603,"&lt;&gt;是",资金日记账!$V$4:$V$603,U$4),2))</f>
        <v/>
      </c>
      <c r="V53" s="76" t="str">
        <f ca="1">IF($A53="","",ROUND(SUMIFS(成本费用登记表!$H$4:$H$303,成本费用登记表!$D$4:$D$303,$A53,成本费用登记表!$AC$4:$AC$303,V$4)+SUMIFS(资金日记账!$I$4:$I$603,资金日记账!$G$4:$G$603,$A53,资金日记账!$U$4:$U$603,"&lt;&gt;是",资金日记账!$V$4:$V$603,V$4),2))</f>
        <v/>
      </c>
      <c r="W53" s="76" t="str">
        <f ca="1">IF($A53="","",ROUND(SUMIFS(成本费用登记表!$H$4:$H$303,成本费用登记表!$D$4:$D$303,$A53,成本费用登记表!$AC$4:$AC$303,W$4)+SUMIFS(资金日记账!$I$4:$I$603,资金日记账!$G$4:$G$603,$A53,资金日记账!$U$4:$U$603,"&lt;&gt;是",资金日记账!$V$4:$V$603,W$4),2))</f>
        <v/>
      </c>
      <c r="X53" s="76" t="str">
        <f ca="1">IF($A53="","",ROUND(SUMIFS(成本费用登记表!$H$4:$H$303,成本费用登记表!$D$4:$D$303,$A53,成本费用登记表!$AC$4:$AC$303,X$4)+SUMIFS(资金日记账!$I$4:$I$603,资金日记账!$G$4:$G$603,$A53,资金日记账!$U$4:$U$603,"&lt;&gt;是",资金日记账!$V$4:$V$603,X$4),2))</f>
        <v/>
      </c>
      <c r="Y53" s="76" t="str">
        <f ca="1">IF($A53="","",ROUND(SUMIFS(成本费用登记表!$H$4:$H$303,成本费用登记表!$D$4:$D$303,$A53,成本费用登记表!$AC$4:$AC$303,Y$4)+SUMIFS(资金日记账!$I$4:$I$603,资金日记账!$G$4:$G$603,$A53,资金日记账!$U$4:$U$603,"&lt;&gt;是",资金日记账!$V$4:$V$603,Y$4),2))</f>
        <v/>
      </c>
      <c r="Z53" s="87" t="str">
        <f ca="1" t="shared" si="1"/>
        <v/>
      </c>
      <c r="AA53" s="76" t="str">
        <f>IF($A53="","",ROUND(SUMIF(成本费用登记表!$D$4:$D$303,$A53,成本费用登记表!$AA$4:$AA$303)+SUMIFS(资金日记账!$I$4:$I$603,资金日记账!$G$4:$G$603,$A53,资金日记账!$U$4:$U$603,"&lt;&gt;是"),2))</f>
        <v/>
      </c>
      <c r="AB53" s="76" t="str">
        <f ca="1" t="shared" si="2"/>
        <v/>
      </c>
    </row>
    <row r="54" spans="1:28">
      <c r="A54" s="86" t="str">
        <f>IFERROR(INDEX(_自动清单!$X$4:$X$63,50),"")</f>
        <v/>
      </c>
      <c r="B54" s="76" t="str">
        <f ca="1">IF($A54="","",ROUND(SUMIFS(成本费用登记表!$H$4:$H$303,成本费用登记表!$D$4:$D$303,$A54,成本费用登记表!$AC$4:$AC$303,B$4)+SUMIFS(资金日记账!$I$4:$I$603,资金日记账!$G$4:$G$603,$A54,资金日记账!$U$4:$U$603,"&lt;&gt;是",资金日记账!$V$4:$V$603,B$4),2))</f>
        <v/>
      </c>
      <c r="C54" s="76" t="str">
        <f ca="1">IF($A54="","",ROUND(SUMIFS(成本费用登记表!$H$4:$H$303,成本费用登记表!$D$4:$D$303,$A54,成本费用登记表!$AC$4:$AC$303,C$4)+SUMIFS(资金日记账!$I$4:$I$603,资金日记账!$G$4:$G$603,$A54,资金日记账!$U$4:$U$603,"&lt;&gt;是",资金日记账!$V$4:$V$603,C$4),2))</f>
        <v/>
      </c>
      <c r="D54" s="76" t="str">
        <f ca="1">IF($A54="","",ROUND(SUMIFS(成本费用登记表!$H$4:$H$303,成本费用登记表!$D$4:$D$303,$A54,成本费用登记表!$AC$4:$AC$303,D$4)+SUMIFS(资金日记账!$I$4:$I$603,资金日记账!$G$4:$G$603,$A54,资金日记账!$U$4:$U$603,"&lt;&gt;是",资金日记账!$V$4:$V$603,D$4),2))</f>
        <v/>
      </c>
      <c r="E54" s="76" t="str">
        <f ca="1">IF($A54="","",ROUND(SUMIFS(成本费用登记表!$H$4:$H$303,成本费用登记表!$D$4:$D$303,$A54,成本费用登记表!$AC$4:$AC$303,E$4)+SUMIFS(资金日记账!$I$4:$I$603,资金日记账!$G$4:$G$603,$A54,资金日记账!$U$4:$U$603,"&lt;&gt;是",资金日记账!$V$4:$V$603,E$4),2))</f>
        <v/>
      </c>
      <c r="F54" s="76" t="str">
        <f ca="1">IF($A54="","",ROUND(SUMIFS(成本费用登记表!$H$4:$H$303,成本费用登记表!$D$4:$D$303,$A54,成本费用登记表!$AC$4:$AC$303,F$4)+SUMIFS(资金日记账!$I$4:$I$603,资金日记账!$G$4:$G$603,$A54,资金日记账!$U$4:$U$603,"&lt;&gt;是",资金日记账!$V$4:$V$603,F$4),2))</f>
        <v/>
      </c>
      <c r="G54" s="76" t="str">
        <f ca="1">IF($A54="","",ROUND(SUMIFS(成本费用登记表!$H$4:$H$303,成本费用登记表!$D$4:$D$303,$A54,成本费用登记表!$AC$4:$AC$303,G$4)+SUMIFS(资金日记账!$I$4:$I$603,资金日记账!$G$4:$G$603,$A54,资金日记账!$U$4:$U$603,"&lt;&gt;是",资金日记账!$V$4:$V$603,G$4),2))</f>
        <v/>
      </c>
      <c r="H54" s="76" t="str">
        <f ca="1">IF($A54="","",ROUND(SUMIFS(成本费用登记表!$H$4:$H$303,成本费用登记表!$D$4:$D$303,$A54,成本费用登记表!$AC$4:$AC$303,H$4)+SUMIFS(资金日记账!$I$4:$I$603,资金日记账!$G$4:$G$603,$A54,资金日记账!$U$4:$U$603,"&lt;&gt;是",资金日记账!$V$4:$V$603,H$4),2))</f>
        <v/>
      </c>
      <c r="I54" s="76" t="str">
        <f ca="1">IF($A54="","",ROUND(SUMIFS(成本费用登记表!$H$4:$H$303,成本费用登记表!$D$4:$D$303,$A54,成本费用登记表!$AC$4:$AC$303,I$4)+SUMIFS(资金日记账!$I$4:$I$603,资金日记账!$G$4:$G$603,$A54,资金日记账!$U$4:$U$603,"&lt;&gt;是",资金日记账!$V$4:$V$603,I$4),2))</f>
        <v/>
      </c>
      <c r="J54" s="76" t="str">
        <f ca="1">IF($A54="","",ROUND(SUMIFS(成本费用登记表!$H$4:$H$303,成本费用登记表!$D$4:$D$303,$A54,成本费用登记表!$AC$4:$AC$303,J$4)+SUMIFS(资金日记账!$I$4:$I$603,资金日记账!$G$4:$G$603,$A54,资金日记账!$U$4:$U$603,"&lt;&gt;是",资金日记账!$V$4:$V$603,J$4),2))</f>
        <v/>
      </c>
      <c r="K54" s="76" t="str">
        <f ca="1">IF($A54="","",ROUND(SUMIFS(成本费用登记表!$H$4:$H$303,成本费用登记表!$D$4:$D$303,$A54,成本费用登记表!$AC$4:$AC$303,K$4)+SUMIFS(资金日记账!$I$4:$I$603,资金日记账!$G$4:$G$603,$A54,资金日记账!$U$4:$U$603,"&lt;&gt;是",资金日记账!$V$4:$V$603,K$4),2))</f>
        <v/>
      </c>
      <c r="L54" s="76" t="str">
        <f ca="1">IF($A54="","",ROUND(SUMIFS(成本费用登记表!$H$4:$H$303,成本费用登记表!$D$4:$D$303,$A54,成本费用登记表!$AC$4:$AC$303,L$4)+SUMIFS(资金日记账!$I$4:$I$603,资金日记账!$G$4:$G$603,$A54,资金日记账!$U$4:$U$603,"&lt;&gt;是",资金日记账!$V$4:$V$603,L$4),2))</f>
        <v/>
      </c>
      <c r="M54" s="76" t="str">
        <f ca="1">IF($A54="","",ROUND(SUMIFS(成本费用登记表!$H$4:$H$303,成本费用登记表!$D$4:$D$303,$A54,成本费用登记表!$AC$4:$AC$303,M$4)+SUMIFS(资金日记账!$I$4:$I$603,资金日记账!$G$4:$G$603,$A54,资金日记账!$U$4:$U$603,"&lt;&gt;是",资金日记账!$V$4:$V$603,M$4),2))</f>
        <v/>
      </c>
      <c r="N54" s="76" t="str">
        <f ca="1">IF($A54="","",ROUND(SUMIFS(成本费用登记表!$H$4:$H$303,成本费用登记表!$D$4:$D$303,$A54,成本费用登记表!$AC$4:$AC$303,N$4)+SUMIFS(资金日记账!$I$4:$I$603,资金日记账!$G$4:$G$603,$A54,资金日记账!$U$4:$U$603,"&lt;&gt;是",资金日记账!$V$4:$V$603,N$4),2))</f>
        <v/>
      </c>
      <c r="O54" s="76" t="str">
        <f ca="1">IF($A54="","",ROUND(SUMIFS(成本费用登记表!$H$4:$H$303,成本费用登记表!$D$4:$D$303,$A54,成本费用登记表!$AC$4:$AC$303,O$4)+SUMIFS(资金日记账!$I$4:$I$603,资金日记账!$G$4:$G$603,$A54,资金日记账!$U$4:$U$603,"&lt;&gt;是",资金日记账!$V$4:$V$603,O$4),2))</f>
        <v/>
      </c>
      <c r="P54" s="76" t="str">
        <f ca="1">IF($A54="","",ROUND(SUMIFS(成本费用登记表!$H$4:$H$303,成本费用登记表!$D$4:$D$303,$A54,成本费用登记表!$AC$4:$AC$303,P$4)+SUMIFS(资金日记账!$I$4:$I$603,资金日记账!$G$4:$G$603,$A54,资金日记账!$U$4:$U$603,"&lt;&gt;是",资金日记账!$V$4:$V$603,P$4),2))</f>
        <v/>
      </c>
      <c r="Q54" s="76" t="str">
        <f ca="1">IF($A54="","",ROUND(SUMIFS(成本费用登记表!$H$4:$H$303,成本费用登记表!$D$4:$D$303,$A54,成本费用登记表!$AC$4:$AC$303,Q$4)+SUMIFS(资金日记账!$I$4:$I$603,资金日记账!$G$4:$G$603,$A54,资金日记账!$U$4:$U$603,"&lt;&gt;是",资金日记账!$V$4:$V$603,Q$4),2))</f>
        <v/>
      </c>
      <c r="R54" s="76" t="str">
        <f ca="1">IF($A54="","",ROUND(SUMIFS(成本费用登记表!$H$4:$H$303,成本费用登记表!$D$4:$D$303,$A54,成本费用登记表!$AC$4:$AC$303,R$4)+SUMIFS(资金日记账!$I$4:$I$603,资金日记账!$G$4:$G$603,$A54,资金日记账!$U$4:$U$603,"&lt;&gt;是",资金日记账!$V$4:$V$603,R$4),2))</f>
        <v/>
      </c>
      <c r="S54" s="76" t="str">
        <f ca="1">IF($A54="","",ROUND(SUMIFS(成本费用登记表!$H$4:$H$303,成本费用登记表!$D$4:$D$303,$A54,成本费用登记表!$AC$4:$AC$303,S$4)+SUMIFS(资金日记账!$I$4:$I$603,资金日记账!$G$4:$G$603,$A54,资金日记账!$U$4:$U$603,"&lt;&gt;是",资金日记账!$V$4:$V$603,S$4),2))</f>
        <v/>
      </c>
      <c r="T54" s="76" t="str">
        <f ca="1">IF($A54="","",ROUND(SUMIFS(成本费用登记表!$H$4:$H$303,成本费用登记表!$D$4:$D$303,$A54,成本费用登记表!$AC$4:$AC$303,T$4)+SUMIFS(资金日记账!$I$4:$I$603,资金日记账!$G$4:$G$603,$A54,资金日记账!$U$4:$U$603,"&lt;&gt;是",资金日记账!$V$4:$V$603,T$4),2))</f>
        <v/>
      </c>
      <c r="U54" s="76" t="str">
        <f ca="1">IF($A54="","",ROUND(SUMIFS(成本费用登记表!$H$4:$H$303,成本费用登记表!$D$4:$D$303,$A54,成本费用登记表!$AC$4:$AC$303,U$4)+SUMIFS(资金日记账!$I$4:$I$603,资金日记账!$G$4:$G$603,$A54,资金日记账!$U$4:$U$603,"&lt;&gt;是",资金日记账!$V$4:$V$603,U$4),2))</f>
        <v/>
      </c>
      <c r="V54" s="76" t="str">
        <f ca="1">IF($A54="","",ROUND(SUMIFS(成本费用登记表!$H$4:$H$303,成本费用登记表!$D$4:$D$303,$A54,成本费用登记表!$AC$4:$AC$303,V$4)+SUMIFS(资金日记账!$I$4:$I$603,资金日记账!$G$4:$G$603,$A54,资金日记账!$U$4:$U$603,"&lt;&gt;是",资金日记账!$V$4:$V$603,V$4),2))</f>
        <v/>
      </c>
      <c r="W54" s="76" t="str">
        <f ca="1">IF($A54="","",ROUND(SUMIFS(成本费用登记表!$H$4:$H$303,成本费用登记表!$D$4:$D$303,$A54,成本费用登记表!$AC$4:$AC$303,W$4)+SUMIFS(资金日记账!$I$4:$I$603,资金日记账!$G$4:$G$603,$A54,资金日记账!$U$4:$U$603,"&lt;&gt;是",资金日记账!$V$4:$V$603,W$4),2))</f>
        <v/>
      </c>
      <c r="X54" s="76" t="str">
        <f ca="1">IF($A54="","",ROUND(SUMIFS(成本费用登记表!$H$4:$H$303,成本费用登记表!$D$4:$D$303,$A54,成本费用登记表!$AC$4:$AC$303,X$4)+SUMIFS(资金日记账!$I$4:$I$603,资金日记账!$G$4:$G$603,$A54,资金日记账!$U$4:$U$603,"&lt;&gt;是",资金日记账!$V$4:$V$603,X$4),2))</f>
        <v/>
      </c>
      <c r="Y54" s="76" t="str">
        <f ca="1">IF($A54="","",ROUND(SUMIFS(成本费用登记表!$H$4:$H$303,成本费用登记表!$D$4:$D$303,$A54,成本费用登记表!$AC$4:$AC$303,Y$4)+SUMIFS(资金日记账!$I$4:$I$603,资金日记账!$G$4:$G$603,$A54,资金日记账!$U$4:$U$603,"&lt;&gt;是",资金日记账!$V$4:$V$603,Y$4),2))</f>
        <v/>
      </c>
      <c r="Z54" s="87" t="str">
        <f ca="1" t="shared" si="1"/>
        <v/>
      </c>
      <c r="AA54" s="76" t="str">
        <f>IF($A54="","",ROUND(SUMIF(成本费用登记表!$D$4:$D$303,$A54,成本费用登记表!$AA$4:$AA$303)+SUMIFS(资金日记账!$I$4:$I$603,资金日记账!$G$4:$G$603,$A54,资金日记账!$U$4:$U$603,"&lt;&gt;是"),2))</f>
        <v/>
      </c>
      <c r="AB54" s="76" t="str">
        <f ca="1" t="shared" si="2"/>
        <v/>
      </c>
    </row>
    <row r="55" spans="1:28">
      <c r="A55" s="86" t="str">
        <f>IFERROR(INDEX(_自动清单!$X$4:$X$63,51),"")</f>
        <v/>
      </c>
      <c r="B55" s="76" t="str">
        <f ca="1">IF($A55="","",ROUND(SUMIFS(成本费用登记表!$H$4:$H$303,成本费用登记表!$D$4:$D$303,$A55,成本费用登记表!$AC$4:$AC$303,B$4)+SUMIFS(资金日记账!$I$4:$I$603,资金日记账!$G$4:$G$603,$A55,资金日记账!$U$4:$U$603,"&lt;&gt;是",资金日记账!$V$4:$V$603,B$4),2))</f>
        <v/>
      </c>
      <c r="C55" s="76" t="str">
        <f ca="1">IF($A55="","",ROUND(SUMIFS(成本费用登记表!$H$4:$H$303,成本费用登记表!$D$4:$D$303,$A55,成本费用登记表!$AC$4:$AC$303,C$4)+SUMIFS(资金日记账!$I$4:$I$603,资金日记账!$G$4:$G$603,$A55,资金日记账!$U$4:$U$603,"&lt;&gt;是",资金日记账!$V$4:$V$603,C$4),2))</f>
        <v/>
      </c>
      <c r="D55" s="76" t="str">
        <f ca="1">IF($A55="","",ROUND(SUMIFS(成本费用登记表!$H$4:$H$303,成本费用登记表!$D$4:$D$303,$A55,成本费用登记表!$AC$4:$AC$303,D$4)+SUMIFS(资金日记账!$I$4:$I$603,资金日记账!$G$4:$G$603,$A55,资金日记账!$U$4:$U$603,"&lt;&gt;是",资金日记账!$V$4:$V$603,D$4),2))</f>
        <v/>
      </c>
      <c r="E55" s="76" t="str">
        <f ca="1">IF($A55="","",ROUND(SUMIFS(成本费用登记表!$H$4:$H$303,成本费用登记表!$D$4:$D$303,$A55,成本费用登记表!$AC$4:$AC$303,E$4)+SUMIFS(资金日记账!$I$4:$I$603,资金日记账!$G$4:$G$603,$A55,资金日记账!$U$4:$U$603,"&lt;&gt;是",资金日记账!$V$4:$V$603,E$4),2))</f>
        <v/>
      </c>
      <c r="F55" s="76" t="str">
        <f ca="1">IF($A55="","",ROUND(SUMIFS(成本费用登记表!$H$4:$H$303,成本费用登记表!$D$4:$D$303,$A55,成本费用登记表!$AC$4:$AC$303,F$4)+SUMIFS(资金日记账!$I$4:$I$603,资金日记账!$G$4:$G$603,$A55,资金日记账!$U$4:$U$603,"&lt;&gt;是",资金日记账!$V$4:$V$603,F$4),2))</f>
        <v/>
      </c>
      <c r="G55" s="76" t="str">
        <f ca="1">IF($A55="","",ROUND(SUMIFS(成本费用登记表!$H$4:$H$303,成本费用登记表!$D$4:$D$303,$A55,成本费用登记表!$AC$4:$AC$303,G$4)+SUMIFS(资金日记账!$I$4:$I$603,资金日记账!$G$4:$G$603,$A55,资金日记账!$U$4:$U$603,"&lt;&gt;是",资金日记账!$V$4:$V$603,G$4),2))</f>
        <v/>
      </c>
      <c r="H55" s="76" t="str">
        <f ca="1">IF($A55="","",ROUND(SUMIFS(成本费用登记表!$H$4:$H$303,成本费用登记表!$D$4:$D$303,$A55,成本费用登记表!$AC$4:$AC$303,H$4)+SUMIFS(资金日记账!$I$4:$I$603,资金日记账!$G$4:$G$603,$A55,资金日记账!$U$4:$U$603,"&lt;&gt;是",资金日记账!$V$4:$V$603,H$4),2))</f>
        <v/>
      </c>
      <c r="I55" s="76" t="str">
        <f ca="1">IF($A55="","",ROUND(SUMIFS(成本费用登记表!$H$4:$H$303,成本费用登记表!$D$4:$D$303,$A55,成本费用登记表!$AC$4:$AC$303,I$4)+SUMIFS(资金日记账!$I$4:$I$603,资金日记账!$G$4:$G$603,$A55,资金日记账!$U$4:$U$603,"&lt;&gt;是",资金日记账!$V$4:$V$603,I$4),2))</f>
        <v/>
      </c>
      <c r="J55" s="76" t="str">
        <f ca="1">IF($A55="","",ROUND(SUMIFS(成本费用登记表!$H$4:$H$303,成本费用登记表!$D$4:$D$303,$A55,成本费用登记表!$AC$4:$AC$303,J$4)+SUMIFS(资金日记账!$I$4:$I$603,资金日记账!$G$4:$G$603,$A55,资金日记账!$U$4:$U$603,"&lt;&gt;是",资金日记账!$V$4:$V$603,J$4),2))</f>
        <v/>
      </c>
      <c r="K55" s="76" t="str">
        <f ca="1">IF($A55="","",ROUND(SUMIFS(成本费用登记表!$H$4:$H$303,成本费用登记表!$D$4:$D$303,$A55,成本费用登记表!$AC$4:$AC$303,K$4)+SUMIFS(资金日记账!$I$4:$I$603,资金日记账!$G$4:$G$603,$A55,资金日记账!$U$4:$U$603,"&lt;&gt;是",资金日记账!$V$4:$V$603,K$4),2))</f>
        <v/>
      </c>
      <c r="L55" s="76" t="str">
        <f ca="1">IF($A55="","",ROUND(SUMIFS(成本费用登记表!$H$4:$H$303,成本费用登记表!$D$4:$D$303,$A55,成本费用登记表!$AC$4:$AC$303,L$4)+SUMIFS(资金日记账!$I$4:$I$603,资金日记账!$G$4:$G$603,$A55,资金日记账!$U$4:$U$603,"&lt;&gt;是",资金日记账!$V$4:$V$603,L$4),2))</f>
        <v/>
      </c>
      <c r="M55" s="76" t="str">
        <f ca="1">IF($A55="","",ROUND(SUMIFS(成本费用登记表!$H$4:$H$303,成本费用登记表!$D$4:$D$303,$A55,成本费用登记表!$AC$4:$AC$303,M$4)+SUMIFS(资金日记账!$I$4:$I$603,资金日记账!$G$4:$G$603,$A55,资金日记账!$U$4:$U$603,"&lt;&gt;是",资金日记账!$V$4:$V$603,M$4),2))</f>
        <v/>
      </c>
      <c r="N55" s="76" t="str">
        <f ca="1">IF($A55="","",ROUND(SUMIFS(成本费用登记表!$H$4:$H$303,成本费用登记表!$D$4:$D$303,$A55,成本费用登记表!$AC$4:$AC$303,N$4)+SUMIFS(资金日记账!$I$4:$I$603,资金日记账!$G$4:$G$603,$A55,资金日记账!$U$4:$U$603,"&lt;&gt;是",资金日记账!$V$4:$V$603,N$4),2))</f>
        <v/>
      </c>
      <c r="O55" s="76" t="str">
        <f ca="1">IF($A55="","",ROUND(SUMIFS(成本费用登记表!$H$4:$H$303,成本费用登记表!$D$4:$D$303,$A55,成本费用登记表!$AC$4:$AC$303,O$4)+SUMIFS(资金日记账!$I$4:$I$603,资金日记账!$G$4:$G$603,$A55,资金日记账!$U$4:$U$603,"&lt;&gt;是",资金日记账!$V$4:$V$603,O$4),2))</f>
        <v/>
      </c>
      <c r="P55" s="76" t="str">
        <f ca="1">IF($A55="","",ROUND(SUMIFS(成本费用登记表!$H$4:$H$303,成本费用登记表!$D$4:$D$303,$A55,成本费用登记表!$AC$4:$AC$303,P$4)+SUMIFS(资金日记账!$I$4:$I$603,资金日记账!$G$4:$G$603,$A55,资金日记账!$U$4:$U$603,"&lt;&gt;是",资金日记账!$V$4:$V$603,P$4),2))</f>
        <v/>
      </c>
      <c r="Q55" s="76" t="str">
        <f ca="1">IF($A55="","",ROUND(SUMIFS(成本费用登记表!$H$4:$H$303,成本费用登记表!$D$4:$D$303,$A55,成本费用登记表!$AC$4:$AC$303,Q$4)+SUMIFS(资金日记账!$I$4:$I$603,资金日记账!$G$4:$G$603,$A55,资金日记账!$U$4:$U$603,"&lt;&gt;是",资金日记账!$V$4:$V$603,Q$4),2))</f>
        <v/>
      </c>
      <c r="R55" s="76" t="str">
        <f ca="1">IF($A55="","",ROUND(SUMIFS(成本费用登记表!$H$4:$H$303,成本费用登记表!$D$4:$D$303,$A55,成本费用登记表!$AC$4:$AC$303,R$4)+SUMIFS(资金日记账!$I$4:$I$603,资金日记账!$G$4:$G$603,$A55,资金日记账!$U$4:$U$603,"&lt;&gt;是",资金日记账!$V$4:$V$603,R$4),2))</f>
        <v/>
      </c>
      <c r="S55" s="76" t="str">
        <f ca="1">IF($A55="","",ROUND(SUMIFS(成本费用登记表!$H$4:$H$303,成本费用登记表!$D$4:$D$303,$A55,成本费用登记表!$AC$4:$AC$303,S$4)+SUMIFS(资金日记账!$I$4:$I$603,资金日记账!$G$4:$G$603,$A55,资金日记账!$U$4:$U$603,"&lt;&gt;是",资金日记账!$V$4:$V$603,S$4),2))</f>
        <v/>
      </c>
      <c r="T55" s="76" t="str">
        <f ca="1">IF($A55="","",ROUND(SUMIFS(成本费用登记表!$H$4:$H$303,成本费用登记表!$D$4:$D$303,$A55,成本费用登记表!$AC$4:$AC$303,T$4)+SUMIFS(资金日记账!$I$4:$I$603,资金日记账!$G$4:$G$603,$A55,资金日记账!$U$4:$U$603,"&lt;&gt;是",资金日记账!$V$4:$V$603,T$4),2))</f>
        <v/>
      </c>
      <c r="U55" s="76" t="str">
        <f ca="1">IF($A55="","",ROUND(SUMIFS(成本费用登记表!$H$4:$H$303,成本费用登记表!$D$4:$D$303,$A55,成本费用登记表!$AC$4:$AC$303,U$4)+SUMIFS(资金日记账!$I$4:$I$603,资金日记账!$G$4:$G$603,$A55,资金日记账!$U$4:$U$603,"&lt;&gt;是",资金日记账!$V$4:$V$603,U$4),2))</f>
        <v/>
      </c>
      <c r="V55" s="76" t="str">
        <f ca="1">IF($A55="","",ROUND(SUMIFS(成本费用登记表!$H$4:$H$303,成本费用登记表!$D$4:$D$303,$A55,成本费用登记表!$AC$4:$AC$303,V$4)+SUMIFS(资金日记账!$I$4:$I$603,资金日记账!$G$4:$G$603,$A55,资金日记账!$U$4:$U$603,"&lt;&gt;是",资金日记账!$V$4:$V$603,V$4),2))</f>
        <v/>
      </c>
      <c r="W55" s="76" t="str">
        <f ca="1">IF($A55="","",ROUND(SUMIFS(成本费用登记表!$H$4:$H$303,成本费用登记表!$D$4:$D$303,$A55,成本费用登记表!$AC$4:$AC$303,W$4)+SUMIFS(资金日记账!$I$4:$I$603,资金日记账!$G$4:$G$603,$A55,资金日记账!$U$4:$U$603,"&lt;&gt;是",资金日记账!$V$4:$V$603,W$4),2))</f>
        <v/>
      </c>
      <c r="X55" s="76" t="str">
        <f ca="1">IF($A55="","",ROUND(SUMIFS(成本费用登记表!$H$4:$H$303,成本费用登记表!$D$4:$D$303,$A55,成本费用登记表!$AC$4:$AC$303,X$4)+SUMIFS(资金日记账!$I$4:$I$603,资金日记账!$G$4:$G$603,$A55,资金日记账!$U$4:$U$603,"&lt;&gt;是",资金日记账!$V$4:$V$603,X$4),2))</f>
        <v/>
      </c>
      <c r="Y55" s="76" t="str">
        <f ca="1">IF($A55="","",ROUND(SUMIFS(成本费用登记表!$H$4:$H$303,成本费用登记表!$D$4:$D$303,$A55,成本费用登记表!$AC$4:$AC$303,Y$4)+SUMIFS(资金日记账!$I$4:$I$603,资金日记账!$G$4:$G$603,$A55,资金日记账!$U$4:$U$603,"&lt;&gt;是",资金日记账!$V$4:$V$603,Y$4),2))</f>
        <v/>
      </c>
      <c r="Z55" s="87" t="str">
        <f ca="1" t="shared" si="1"/>
        <v/>
      </c>
      <c r="AA55" s="76" t="str">
        <f>IF($A55="","",ROUND(SUMIF(成本费用登记表!$D$4:$D$303,$A55,成本费用登记表!$AA$4:$AA$303)+SUMIFS(资金日记账!$I$4:$I$603,资金日记账!$G$4:$G$603,$A55,资金日记账!$U$4:$U$603,"&lt;&gt;是"),2))</f>
        <v/>
      </c>
      <c r="AB55" s="76" t="str">
        <f ca="1" t="shared" si="2"/>
        <v/>
      </c>
    </row>
    <row r="56" spans="1:28">
      <c r="A56" s="86" t="str">
        <f>IFERROR(INDEX(_自动清单!$X$4:$X$63,52),"")</f>
        <v/>
      </c>
      <c r="B56" s="76" t="str">
        <f ca="1">IF($A56="","",ROUND(SUMIFS(成本费用登记表!$H$4:$H$303,成本费用登记表!$D$4:$D$303,$A56,成本费用登记表!$AC$4:$AC$303,B$4)+SUMIFS(资金日记账!$I$4:$I$603,资金日记账!$G$4:$G$603,$A56,资金日记账!$U$4:$U$603,"&lt;&gt;是",资金日记账!$V$4:$V$603,B$4),2))</f>
        <v/>
      </c>
      <c r="C56" s="76" t="str">
        <f ca="1">IF($A56="","",ROUND(SUMIFS(成本费用登记表!$H$4:$H$303,成本费用登记表!$D$4:$D$303,$A56,成本费用登记表!$AC$4:$AC$303,C$4)+SUMIFS(资金日记账!$I$4:$I$603,资金日记账!$G$4:$G$603,$A56,资金日记账!$U$4:$U$603,"&lt;&gt;是",资金日记账!$V$4:$V$603,C$4),2))</f>
        <v/>
      </c>
      <c r="D56" s="76" t="str">
        <f ca="1">IF($A56="","",ROUND(SUMIFS(成本费用登记表!$H$4:$H$303,成本费用登记表!$D$4:$D$303,$A56,成本费用登记表!$AC$4:$AC$303,D$4)+SUMIFS(资金日记账!$I$4:$I$603,资金日记账!$G$4:$G$603,$A56,资金日记账!$U$4:$U$603,"&lt;&gt;是",资金日记账!$V$4:$V$603,D$4),2))</f>
        <v/>
      </c>
      <c r="E56" s="76" t="str">
        <f ca="1">IF($A56="","",ROUND(SUMIFS(成本费用登记表!$H$4:$H$303,成本费用登记表!$D$4:$D$303,$A56,成本费用登记表!$AC$4:$AC$303,E$4)+SUMIFS(资金日记账!$I$4:$I$603,资金日记账!$G$4:$G$603,$A56,资金日记账!$U$4:$U$603,"&lt;&gt;是",资金日记账!$V$4:$V$603,E$4),2))</f>
        <v/>
      </c>
      <c r="F56" s="76" t="str">
        <f ca="1">IF($A56="","",ROUND(SUMIFS(成本费用登记表!$H$4:$H$303,成本费用登记表!$D$4:$D$303,$A56,成本费用登记表!$AC$4:$AC$303,F$4)+SUMIFS(资金日记账!$I$4:$I$603,资金日记账!$G$4:$G$603,$A56,资金日记账!$U$4:$U$603,"&lt;&gt;是",资金日记账!$V$4:$V$603,F$4),2))</f>
        <v/>
      </c>
      <c r="G56" s="76" t="str">
        <f ca="1">IF($A56="","",ROUND(SUMIFS(成本费用登记表!$H$4:$H$303,成本费用登记表!$D$4:$D$303,$A56,成本费用登记表!$AC$4:$AC$303,G$4)+SUMIFS(资金日记账!$I$4:$I$603,资金日记账!$G$4:$G$603,$A56,资金日记账!$U$4:$U$603,"&lt;&gt;是",资金日记账!$V$4:$V$603,G$4),2))</f>
        <v/>
      </c>
      <c r="H56" s="76" t="str">
        <f ca="1">IF($A56="","",ROUND(SUMIFS(成本费用登记表!$H$4:$H$303,成本费用登记表!$D$4:$D$303,$A56,成本费用登记表!$AC$4:$AC$303,H$4)+SUMIFS(资金日记账!$I$4:$I$603,资金日记账!$G$4:$G$603,$A56,资金日记账!$U$4:$U$603,"&lt;&gt;是",资金日记账!$V$4:$V$603,H$4),2))</f>
        <v/>
      </c>
      <c r="I56" s="76" t="str">
        <f ca="1">IF($A56="","",ROUND(SUMIFS(成本费用登记表!$H$4:$H$303,成本费用登记表!$D$4:$D$303,$A56,成本费用登记表!$AC$4:$AC$303,I$4)+SUMIFS(资金日记账!$I$4:$I$603,资金日记账!$G$4:$G$603,$A56,资金日记账!$U$4:$U$603,"&lt;&gt;是",资金日记账!$V$4:$V$603,I$4),2))</f>
        <v/>
      </c>
      <c r="J56" s="76" t="str">
        <f ca="1">IF($A56="","",ROUND(SUMIFS(成本费用登记表!$H$4:$H$303,成本费用登记表!$D$4:$D$303,$A56,成本费用登记表!$AC$4:$AC$303,J$4)+SUMIFS(资金日记账!$I$4:$I$603,资金日记账!$G$4:$G$603,$A56,资金日记账!$U$4:$U$603,"&lt;&gt;是",资金日记账!$V$4:$V$603,J$4),2))</f>
        <v/>
      </c>
      <c r="K56" s="76" t="str">
        <f ca="1">IF($A56="","",ROUND(SUMIFS(成本费用登记表!$H$4:$H$303,成本费用登记表!$D$4:$D$303,$A56,成本费用登记表!$AC$4:$AC$303,K$4)+SUMIFS(资金日记账!$I$4:$I$603,资金日记账!$G$4:$G$603,$A56,资金日记账!$U$4:$U$603,"&lt;&gt;是",资金日记账!$V$4:$V$603,K$4),2))</f>
        <v/>
      </c>
      <c r="L56" s="76" t="str">
        <f ca="1">IF($A56="","",ROUND(SUMIFS(成本费用登记表!$H$4:$H$303,成本费用登记表!$D$4:$D$303,$A56,成本费用登记表!$AC$4:$AC$303,L$4)+SUMIFS(资金日记账!$I$4:$I$603,资金日记账!$G$4:$G$603,$A56,资金日记账!$U$4:$U$603,"&lt;&gt;是",资金日记账!$V$4:$V$603,L$4),2))</f>
        <v/>
      </c>
      <c r="M56" s="76" t="str">
        <f ca="1">IF($A56="","",ROUND(SUMIFS(成本费用登记表!$H$4:$H$303,成本费用登记表!$D$4:$D$303,$A56,成本费用登记表!$AC$4:$AC$303,M$4)+SUMIFS(资金日记账!$I$4:$I$603,资金日记账!$G$4:$G$603,$A56,资金日记账!$U$4:$U$603,"&lt;&gt;是",资金日记账!$V$4:$V$603,M$4),2))</f>
        <v/>
      </c>
      <c r="N56" s="76" t="str">
        <f ca="1">IF($A56="","",ROUND(SUMIFS(成本费用登记表!$H$4:$H$303,成本费用登记表!$D$4:$D$303,$A56,成本费用登记表!$AC$4:$AC$303,N$4)+SUMIFS(资金日记账!$I$4:$I$603,资金日记账!$G$4:$G$603,$A56,资金日记账!$U$4:$U$603,"&lt;&gt;是",资金日记账!$V$4:$V$603,N$4),2))</f>
        <v/>
      </c>
      <c r="O56" s="76" t="str">
        <f ca="1">IF($A56="","",ROUND(SUMIFS(成本费用登记表!$H$4:$H$303,成本费用登记表!$D$4:$D$303,$A56,成本费用登记表!$AC$4:$AC$303,O$4)+SUMIFS(资金日记账!$I$4:$I$603,资金日记账!$G$4:$G$603,$A56,资金日记账!$U$4:$U$603,"&lt;&gt;是",资金日记账!$V$4:$V$603,O$4),2))</f>
        <v/>
      </c>
      <c r="P56" s="76" t="str">
        <f ca="1">IF($A56="","",ROUND(SUMIFS(成本费用登记表!$H$4:$H$303,成本费用登记表!$D$4:$D$303,$A56,成本费用登记表!$AC$4:$AC$303,P$4)+SUMIFS(资金日记账!$I$4:$I$603,资金日记账!$G$4:$G$603,$A56,资金日记账!$U$4:$U$603,"&lt;&gt;是",资金日记账!$V$4:$V$603,P$4),2))</f>
        <v/>
      </c>
      <c r="Q56" s="76" t="str">
        <f ca="1">IF($A56="","",ROUND(SUMIFS(成本费用登记表!$H$4:$H$303,成本费用登记表!$D$4:$D$303,$A56,成本费用登记表!$AC$4:$AC$303,Q$4)+SUMIFS(资金日记账!$I$4:$I$603,资金日记账!$G$4:$G$603,$A56,资金日记账!$U$4:$U$603,"&lt;&gt;是",资金日记账!$V$4:$V$603,Q$4),2))</f>
        <v/>
      </c>
      <c r="R56" s="76" t="str">
        <f ca="1">IF($A56="","",ROUND(SUMIFS(成本费用登记表!$H$4:$H$303,成本费用登记表!$D$4:$D$303,$A56,成本费用登记表!$AC$4:$AC$303,R$4)+SUMIFS(资金日记账!$I$4:$I$603,资金日记账!$G$4:$G$603,$A56,资金日记账!$U$4:$U$603,"&lt;&gt;是",资金日记账!$V$4:$V$603,R$4),2))</f>
        <v/>
      </c>
      <c r="S56" s="76" t="str">
        <f ca="1">IF($A56="","",ROUND(SUMIFS(成本费用登记表!$H$4:$H$303,成本费用登记表!$D$4:$D$303,$A56,成本费用登记表!$AC$4:$AC$303,S$4)+SUMIFS(资金日记账!$I$4:$I$603,资金日记账!$G$4:$G$603,$A56,资金日记账!$U$4:$U$603,"&lt;&gt;是",资金日记账!$V$4:$V$603,S$4),2))</f>
        <v/>
      </c>
      <c r="T56" s="76" t="str">
        <f ca="1">IF($A56="","",ROUND(SUMIFS(成本费用登记表!$H$4:$H$303,成本费用登记表!$D$4:$D$303,$A56,成本费用登记表!$AC$4:$AC$303,T$4)+SUMIFS(资金日记账!$I$4:$I$603,资金日记账!$G$4:$G$603,$A56,资金日记账!$U$4:$U$603,"&lt;&gt;是",资金日记账!$V$4:$V$603,T$4),2))</f>
        <v/>
      </c>
      <c r="U56" s="76" t="str">
        <f ca="1">IF($A56="","",ROUND(SUMIFS(成本费用登记表!$H$4:$H$303,成本费用登记表!$D$4:$D$303,$A56,成本费用登记表!$AC$4:$AC$303,U$4)+SUMIFS(资金日记账!$I$4:$I$603,资金日记账!$G$4:$G$603,$A56,资金日记账!$U$4:$U$603,"&lt;&gt;是",资金日记账!$V$4:$V$603,U$4),2))</f>
        <v/>
      </c>
      <c r="V56" s="76" t="str">
        <f ca="1">IF($A56="","",ROUND(SUMIFS(成本费用登记表!$H$4:$H$303,成本费用登记表!$D$4:$D$303,$A56,成本费用登记表!$AC$4:$AC$303,V$4)+SUMIFS(资金日记账!$I$4:$I$603,资金日记账!$G$4:$G$603,$A56,资金日记账!$U$4:$U$603,"&lt;&gt;是",资金日记账!$V$4:$V$603,V$4),2))</f>
        <v/>
      </c>
      <c r="W56" s="76" t="str">
        <f ca="1">IF($A56="","",ROUND(SUMIFS(成本费用登记表!$H$4:$H$303,成本费用登记表!$D$4:$D$303,$A56,成本费用登记表!$AC$4:$AC$303,W$4)+SUMIFS(资金日记账!$I$4:$I$603,资金日记账!$G$4:$G$603,$A56,资金日记账!$U$4:$U$603,"&lt;&gt;是",资金日记账!$V$4:$V$603,W$4),2))</f>
        <v/>
      </c>
      <c r="X56" s="76" t="str">
        <f ca="1">IF($A56="","",ROUND(SUMIFS(成本费用登记表!$H$4:$H$303,成本费用登记表!$D$4:$D$303,$A56,成本费用登记表!$AC$4:$AC$303,X$4)+SUMIFS(资金日记账!$I$4:$I$603,资金日记账!$G$4:$G$603,$A56,资金日记账!$U$4:$U$603,"&lt;&gt;是",资金日记账!$V$4:$V$603,X$4),2))</f>
        <v/>
      </c>
      <c r="Y56" s="76" t="str">
        <f ca="1">IF($A56="","",ROUND(SUMIFS(成本费用登记表!$H$4:$H$303,成本费用登记表!$D$4:$D$303,$A56,成本费用登记表!$AC$4:$AC$303,Y$4)+SUMIFS(资金日记账!$I$4:$I$603,资金日记账!$G$4:$G$603,$A56,资金日记账!$U$4:$U$603,"&lt;&gt;是",资金日记账!$V$4:$V$603,Y$4),2))</f>
        <v/>
      </c>
      <c r="Z56" s="87" t="str">
        <f ca="1" t="shared" si="1"/>
        <v/>
      </c>
      <c r="AA56" s="76" t="str">
        <f>IF($A56="","",ROUND(SUMIF(成本费用登记表!$D$4:$D$303,$A56,成本费用登记表!$AA$4:$AA$303)+SUMIFS(资金日记账!$I$4:$I$603,资金日记账!$G$4:$G$603,$A56,资金日记账!$U$4:$U$603,"&lt;&gt;是"),2))</f>
        <v/>
      </c>
      <c r="AB56" s="76" t="str">
        <f ca="1" t="shared" si="2"/>
        <v/>
      </c>
    </row>
    <row r="57" spans="1:28">
      <c r="A57" s="86" t="str">
        <f>IFERROR(INDEX(_自动清单!$X$4:$X$63,53),"")</f>
        <v/>
      </c>
      <c r="B57" s="76" t="str">
        <f ca="1">IF($A57="","",ROUND(SUMIFS(成本费用登记表!$H$4:$H$303,成本费用登记表!$D$4:$D$303,$A57,成本费用登记表!$AC$4:$AC$303,B$4)+SUMIFS(资金日记账!$I$4:$I$603,资金日记账!$G$4:$G$603,$A57,资金日记账!$U$4:$U$603,"&lt;&gt;是",资金日记账!$V$4:$V$603,B$4),2))</f>
        <v/>
      </c>
      <c r="C57" s="76" t="str">
        <f ca="1">IF($A57="","",ROUND(SUMIFS(成本费用登记表!$H$4:$H$303,成本费用登记表!$D$4:$D$303,$A57,成本费用登记表!$AC$4:$AC$303,C$4)+SUMIFS(资金日记账!$I$4:$I$603,资金日记账!$G$4:$G$603,$A57,资金日记账!$U$4:$U$603,"&lt;&gt;是",资金日记账!$V$4:$V$603,C$4),2))</f>
        <v/>
      </c>
      <c r="D57" s="76" t="str">
        <f ca="1">IF($A57="","",ROUND(SUMIFS(成本费用登记表!$H$4:$H$303,成本费用登记表!$D$4:$D$303,$A57,成本费用登记表!$AC$4:$AC$303,D$4)+SUMIFS(资金日记账!$I$4:$I$603,资金日记账!$G$4:$G$603,$A57,资金日记账!$U$4:$U$603,"&lt;&gt;是",资金日记账!$V$4:$V$603,D$4),2))</f>
        <v/>
      </c>
      <c r="E57" s="76" t="str">
        <f ca="1">IF($A57="","",ROUND(SUMIFS(成本费用登记表!$H$4:$H$303,成本费用登记表!$D$4:$D$303,$A57,成本费用登记表!$AC$4:$AC$303,E$4)+SUMIFS(资金日记账!$I$4:$I$603,资金日记账!$G$4:$G$603,$A57,资金日记账!$U$4:$U$603,"&lt;&gt;是",资金日记账!$V$4:$V$603,E$4),2))</f>
        <v/>
      </c>
      <c r="F57" s="76" t="str">
        <f ca="1">IF($A57="","",ROUND(SUMIFS(成本费用登记表!$H$4:$H$303,成本费用登记表!$D$4:$D$303,$A57,成本费用登记表!$AC$4:$AC$303,F$4)+SUMIFS(资金日记账!$I$4:$I$603,资金日记账!$G$4:$G$603,$A57,资金日记账!$U$4:$U$603,"&lt;&gt;是",资金日记账!$V$4:$V$603,F$4),2))</f>
        <v/>
      </c>
      <c r="G57" s="76" t="str">
        <f ca="1">IF($A57="","",ROUND(SUMIFS(成本费用登记表!$H$4:$H$303,成本费用登记表!$D$4:$D$303,$A57,成本费用登记表!$AC$4:$AC$303,G$4)+SUMIFS(资金日记账!$I$4:$I$603,资金日记账!$G$4:$G$603,$A57,资金日记账!$U$4:$U$603,"&lt;&gt;是",资金日记账!$V$4:$V$603,G$4),2))</f>
        <v/>
      </c>
      <c r="H57" s="76" t="str">
        <f ca="1">IF($A57="","",ROUND(SUMIFS(成本费用登记表!$H$4:$H$303,成本费用登记表!$D$4:$D$303,$A57,成本费用登记表!$AC$4:$AC$303,H$4)+SUMIFS(资金日记账!$I$4:$I$603,资金日记账!$G$4:$G$603,$A57,资金日记账!$U$4:$U$603,"&lt;&gt;是",资金日记账!$V$4:$V$603,H$4),2))</f>
        <v/>
      </c>
      <c r="I57" s="76" t="str">
        <f ca="1">IF($A57="","",ROUND(SUMIFS(成本费用登记表!$H$4:$H$303,成本费用登记表!$D$4:$D$303,$A57,成本费用登记表!$AC$4:$AC$303,I$4)+SUMIFS(资金日记账!$I$4:$I$603,资金日记账!$G$4:$G$603,$A57,资金日记账!$U$4:$U$603,"&lt;&gt;是",资金日记账!$V$4:$V$603,I$4),2))</f>
        <v/>
      </c>
      <c r="J57" s="76" t="str">
        <f ca="1">IF($A57="","",ROUND(SUMIFS(成本费用登记表!$H$4:$H$303,成本费用登记表!$D$4:$D$303,$A57,成本费用登记表!$AC$4:$AC$303,J$4)+SUMIFS(资金日记账!$I$4:$I$603,资金日记账!$G$4:$G$603,$A57,资金日记账!$U$4:$U$603,"&lt;&gt;是",资金日记账!$V$4:$V$603,J$4),2))</f>
        <v/>
      </c>
      <c r="K57" s="76" t="str">
        <f ca="1">IF($A57="","",ROUND(SUMIFS(成本费用登记表!$H$4:$H$303,成本费用登记表!$D$4:$D$303,$A57,成本费用登记表!$AC$4:$AC$303,K$4)+SUMIFS(资金日记账!$I$4:$I$603,资金日记账!$G$4:$G$603,$A57,资金日记账!$U$4:$U$603,"&lt;&gt;是",资金日记账!$V$4:$V$603,K$4),2))</f>
        <v/>
      </c>
      <c r="L57" s="76" t="str">
        <f ca="1">IF($A57="","",ROUND(SUMIFS(成本费用登记表!$H$4:$H$303,成本费用登记表!$D$4:$D$303,$A57,成本费用登记表!$AC$4:$AC$303,L$4)+SUMIFS(资金日记账!$I$4:$I$603,资金日记账!$G$4:$G$603,$A57,资金日记账!$U$4:$U$603,"&lt;&gt;是",资金日记账!$V$4:$V$603,L$4),2))</f>
        <v/>
      </c>
      <c r="M57" s="76" t="str">
        <f ca="1">IF($A57="","",ROUND(SUMIFS(成本费用登记表!$H$4:$H$303,成本费用登记表!$D$4:$D$303,$A57,成本费用登记表!$AC$4:$AC$303,M$4)+SUMIFS(资金日记账!$I$4:$I$603,资金日记账!$G$4:$G$603,$A57,资金日记账!$U$4:$U$603,"&lt;&gt;是",资金日记账!$V$4:$V$603,M$4),2))</f>
        <v/>
      </c>
      <c r="N57" s="76" t="str">
        <f ca="1">IF($A57="","",ROUND(SUMIFS(成本费用登记表!$H$4:$H$303,成本费用登记表!$D$4:$D$303,$A57,成本费用登记表!$AC$4:$AC$303,N$4)+SUMIFS(资金日记账!$I$4:$I$603,资金日记账!$G$4:$G$603,$A57,资金日记账!$U$4:$U$603,"&lt;&gt;是",资金日记账!$V$4:$V$603,N$4),2))</f>
        <v/>
      </c>
      <c r="O57" s="76" t="str">
        <f ca="1">IF($A57="","",ROUND(SUMIFS(成本费用登记表!$H$4:$H$303,成本费用登记表!$D$4:$D$303,$A57,成本费用登记表!$AC$4:$AC$303,O$4)+SUMIFS(资金日记账!$I$4:$I$603,资金日记账!$G$4:$G$603,$A57,资金日记账!$U$4:$U$603,"&lt;&gt;是",资金日记账!$V$4:$V$603,O$4),2))</f>
        <v/>
      </c>
      <c r="P57" s="76" t="str">
        <f ca="1">IF($A57="","",ROUND(SUMIFS(成本费用登记表!$H$4:$H$303,成本费用登记表!$D$4:$D$303,$A57,成本费用登记表!$AC$4:$AC$303,P$4)+SUMIFS(资金日记账!$I$4:$I$603,资金日记账!$G$4:$G$603,$A57,资金日记账!$U$4:$U$603,"&lt;&gt;是",资金日记账!$V$4:$V$603,P$4),2))</f>
        <v/>
      </c>
      <c r="Q57" s="76" t="str">
        <f ca="1">IF($A57="","",ROUND(SUMIFS(成本费用登记表!$H$4:$H$303,成本费用登记表!$D$4:$D$303,$A57,成本费用登记表!$AC$4:$AC$303,Q$4)+SUMIFS(资金日记账!$I$4:$I$603,资金日记账!$G$4:$G$603,$A57,资金日记账!$U$4:$U$603,"&lt;&gt;是",资金日记账!$V$4:$V$603,Q$4),2))</f>
        <v/>
      </c>
      <c r="R57" s="76" t="str">
        <f ca="1">IF($A57="","",ROUND(SUMIFS(成本费用登记表!$H$4:$H$303,成本费用登记表!$D$4:$D$303,$A57,成本费用登记表!$AC$4:$AC$303,R$4)+SUMIFS(资金日记账!$I$4:$I$603,资金日记账!$G$4:$G$603,$A57,资金日记账!$U$4:$U$603,"&lt;&gt;是",资金日记账!$V$4:$V$603,R$4),2))</f>
        <v/>
      </c>
      <c r="S57" s="76" t="str">
        <f ca="1">IF($A57="","",ROUND(SUMIFS(成本费用登记表!$H$4:$H$303,成本费用登记表!$D$4:$D$303,$A57,成本费用登记表!$AC$4:$AC$303,S$4)+SUMIFS(资金日记账!$I$4:$I$603,资金日记账!$G$4:$G$603,$A57,资金日记账!$U$4:$U$603,"&lt;&gt;是",资金日记账!$V$4:$V$603,S$4),2))</f>
        <v/>
      </c>
      <c r="T57" s="76" t="str">
        <f ca="1">IF($A57="","",ROUND(SUMIFS(成本费用登记表!$H$4:$H$303,成本费用登记表!$D$4:$D$303,$A57,成本费用登记表!$AC$4:$AC$303,T$4)+SUMIFS(资金日记账!$I$4:$I$603,资金日记账!$G$4:$G$603,$A57,资金日记账!$U$4:$U$603,"&lt;&gt;是",资金日记账!$V$4:$V$603,T$4),2))</f>
        <v/>
      </c>
      <c r="U57" s="76" t="str">
        <f ca="1">IF($A57="","",ROUND(SUMIFS(成本费用登记表!$H$4:$H$303,成本费用登记表!$D$4:$D$303,$A57,成本费用登记表!$AC$4:$AC$303,U$4)+SUMIFS(资金日记账!$I$4:$I$603,资金日记账!$G$4:$G$603,$A57,资金日记账!$U$4:$U$603,"&lt;&gt;是",资金日记账!$V$4:$V$603,U$4),2))</f>
        <v/>
      </c>
      <c r="V57" s="76" t="str">
        <f ca="1">IF($A57="","",ROUND(SUMIFS(成本费用登记表!$H$4:$H$303,成本费用登记表!$D$4:$D$303,$A57,成本费用登记表!$AC$4:$AC$303,V$4)+SUMIFS(资金日记账!$I$4:$I$603,资金日记账!$G$4:$G$603,$A57,资金日记账!$U$4:$U$603,"&lt;&gt;是",资金日记账!$V$4:$V$603,V$4),2))</f>
        <v/>
      </c>
      <c r="W57" s="76" t="str">
        <f ca="1">IF($A57="","",ROUND(SUMIFS(成本费用登记表!$H$4:$H$303,成本费用登记表!$D$4:$D$303,$A57,成本费用登记表!$AC$4:$AC$303,W$4)+SUMIFS(资金日记账!$I$4:$I$603,资金日记账!$G$4:$G$603,$A57,资金日记账!$U$4:$U$603,"&lt;&gt;是",资金日记账!$V$4:$V$603,W$4),2))</f>
        <v/>
      </c>
      <c r="X57" s="76" t="str">
        <f ca="1">IF($A57="","",ROUND(SUMIFS(成本费用登记表!$H$4:$H$303,成本费用登记表!$D$4:$D$303,$A57,成本费用登记表!$AC$4:$AC$303,X$4)+SUMIFS(资金日记账!$I$4:$I$603,资金日记账!$G$4:$G$603,$A57,资金日记账!$U$4:$U$603,"&lt;&gt;是",资金日记账!$V$4:$V$603,X$4),2))</f>
        <v/>
      </c>
      <c r="Y57" s="76" t="str">
        <f ca="1">IF($A57="","",ROUND(SUMIFS(成本费用登记表!$H$4:$H$303,成本费用登记表!$D$4:$D$303,$A57,成本费用登记表!$AC$4:$AC$303,Y$4)+SUMIFS(资金日记账!$I$4:$I$603,资金日记账!$G$4:$G$603,$A57,资金日记账!$U$4:$U$603,"&lt;&gt;是",资金日记账!$V$4:$V$603,Y$4),2))</f>
        <v/>
      </c>
      <c r="Z57" s="87" t="str">
        <f ca="1" t="shared" si="1"/>
        <v/>
      </c>
      <c r="AA57" s="76" t="str">
        <f>IF($A57="","",ROUND(SUMIF(成本费用登记表!$D$4:$D$303,$A57,成本费用登记表!$AA$4:$AA$303)+SUMIFS(资金日记账!$I$4:$I$603,资金日记账!$G$4:$G$603,$A57,资金日记账!$U$4:$U$603,"&lt;&gt;是"),2))</f>
        <v/>
      </c>
      <c r="AB57" s="76" t="str">
        <f ca="1" t="shared" si="2"/>
        <v/>
      </c>
    </row>
    <row r="58" spans="1:28">
      <c r="A58" s="86" t="str">
        <f>IFERROR(INDEX(_自动清单!$X$4:$X$63,54),"")</f>
        <v/>
      </c>
      <c r="B58" s="76" t="str">
        <f ca="1">IF($A58="","",ROUND(SUMIFS(成本费用登记表!$H$4:$H$303,成本费用登记表!$D$4:$D$303,$A58,成本费用登记表!$AC$4:$AC$303,B$4)+SUMIFS(资金日记账!$I$4:$I$603,资金日记账!$G$4:$G$603,$A58,资金日记账!$U$4:$U$603,"&lt;&gt;是",资金日记账!$V$4:$V$603,B$4),2))</f>
        <v/>
      </c>
      <c r="C58" s="76" t="str">
        <f ca="1">IF($A58="","",ROUND(SUMIFS(成本费用登记表!$H$4:$H$303,成本费用登记表!$D$4:$D$303,$A58,成本费用登记表!$AC$4:$AC$303,C$4)+SUMIFS(资金日记账!$I$4:$I$603,资金日记账!$G$4:$G$603,$A58,资金日记账!$U$4:$U$603,"&lt;&gt;是",资金日记账!$V$4:$V$603,C$4),2))</f>
        <v/>
      </c>
      <c r="D58" s="76" t="str">
        <f ca="1">IF($A58="","",ROUND(SUMIFS(成本费用登记表!$H$4:$H$303,成本费用登记表!$D$4:$D$303,$A58,成本费用登记表!$AC$4:$AC$303,D$4)+SUMIFS(资金日记账!$I$4:$I$603,资金日记账!$G$4:$G$603,$A58,资金日记账!$U$4:$U$603,"&lt;&gt;是",资金日记账!$V$4:$V$603,D$4),2))</f>
        <v/>
      </c>
      <c r="E58" s="76" t="str">
        <f ca="1">IF($A58="","",ROUND(SUMIFS(成本费用登记表!$H$4:$H$303,成本费用登记表!$D$4:$D$303,$A58,成本费用登记表!$AC$4:$AC$303,E$4)+SUMIFS(资金日记账!$I$4:$I$603,资金日记账!$G$4:$G$603,$A58,资金日记账!$U$4:$U$603,"&lt;&gt;是",资金日记账!$V$4:$V$603,E$4),2))</f>
        <v/>
      </c>
      <c r="F58" s="76" t="str">
        <f ca="1">IF($A58="","",ROUND(SUMIFS(成本费用登记表!$H$4:$H$303,成本费用登记表!$D$4:$D$303,$A58,成本费用登记表!$AC$4:$AC$303,F$4)+SUMIFS(资金日记账!$I$4:$I$603,资金日记账!$G$4:$G$603,$A58,资金日记账!$U$4:$U$603,"&lt;&gt;是",资金日记账!$V$4:$V$603,F$4),2))</f>
        <v/>
      </c>
      <c r="G58" s="76" t="str">
        <f ca="1">IF($A58="","",ROUND(SUMIFS(成本费用登记表!$H$4:$H$303,成本费用登记表!$D$4:$D$303,$A58,成本费用登记表!$AC$4:$AC$303,G$4)+SUMIFS(资金日记账!$I$4:$I$603,资金日记账!$G$4:$G$603,$A58,资金日记账!$U$4:$U$603,"&lt;&gt;是",资金日记账!$V$4:$V$603,G$4),2))</f>
        <v/>
      </c>
      <c r="H58" s="76" t="str">
        <f ca="1">IF($A58="","",ROUND(SUMIFS(成本费用登记表!$H$4:$H$303,成本费用登记表!$D$4:$D$303,$A58,成本费用登记表!$AC$4:$AC$303,H$4)+SUMIFS(资金日记账!$I$4:$I$603,资金日记账!$G$4:$G$603,$A58,资金日记账!$U$4:$U$603,"&lt;&gt;是",资金日记账!$V$4:$V$603,H$4),2))</f>
        <v/>
      </c>
      <c r="I58" s="76" t="str">
        <f ca="1">IF($A58="","",ROUND(SUMIFS(成本费用登记表!$H$4:$H$303,成本费用登记表!$D$4:$D$303,$A58,成本费用登记表!$AC$4:$AC$303,I$4)+SUMIFS(资金日记账!$I$4:$I$603,资金日记账!$G$4:$G$603,$A58,资金日记账!$U$4:$U$603,"&lt;&gt;是",资金日记账!$V$4:$V$603,I$4),2))</f>
        <v/>
      </c>
      <c r="J58" s="76" t="str">
        <f ca="1">IF($A58="","",ROUND(SUMIFS(成本费用登记表!$H$4:$H$303,成本费用登记表!$D$4:$D$303,$A58,成本费用登记表!$AC$4:$AC$303,J$4)+SUMIFS(资金日记账!$I$4:$I$603,资金日记账!$G$4:$G$603,$A58,资金日记账!$U$4:$U$603,"&lt;&gt;是",资金日记账!$V$4:$V$603,J$4),2))</f>
        <v/>
      </c>
      <c r="K58" s="76" t="str">
        <f ca="1">IF($A58="","",ROUND(SUMIFS(成本费用登记表!$H$4:$H$303,成本费用登记表!$D$4:$D$303,$A58,成本费用登记表!$AC$4:$AC$303,K$4)+SUMIFS(资金日记账!$I$4:$I$603,资金日记账!$G$4:$G$603,$A58,资金日记账!$U$4:$U$603,"&lt;&gt;是",资金日记账!$V$4:$V$603,K$4),2))</f>
        <v/>
      </c>
      <c r="L58" s="76" t="str">
        <f ca="1">IF($A58="","",ROUND(SUMIFS(成本费用登记表!$H$4:$H$303,成本费用登记表!$D$4:$D$303,$A58,成本费用登记表!$AC$4:$AC$303,L$4)+SUMIFS(资金日记账!$I$4:$I$603,资金日记账!$G$4:$G$603,$A58,资金日记账!$U$4:$U$603,"&lt;&gt;是",资金日记账!$V$4:$V$603,L$4),2))</f>
        <v/>
      </c>
      <c r="M58" s="76" t="str">
        <f ca="1">IF($A58="","",ROUND(SUMIFS(成本费用登记表!$H$4:$H$303,成本费用登记表!$D$4:$D$303,$A58,成本费用登记表!$AC$4:$AC$303,M$4)+SUMIFS(资金日记账!$I$4:$I$603,资金日记账!$G$4:$G$603,$A58,资金日记账!$U$4:$U$603,"&lt;&gt;是",资金日记账!$V$4:$V$603,M$4),2))</f>
        <v/>
      </c>
      <c r="N58" s="76" t="str">
        <f ca="1">IF($A58="","",ROUND(SUMIFS(成本费用登记表!$H$4:$H$303,成本费用登记表!$D$4:$D$303,$A58,成本费用登记表!$AC$4:$AC$303,N$4)+SUMIFS(资金日记账!$I$4:$I$603,资金日记账!$G$4:$G$603,$A58,资金日记账!$U$4:$U$603,"&lt;&gt;是",资金日记账!$V$4:$V$603,N$4),2))</f>
        <v/>
      </c>
      <c r="O58" s="76" t="str">
        <f ca="1">IF($A58="","",ROUND(SUMIFS(成本费用登记表!$H$4:$H$303,成本费用登记表!$D$4:$D$303,$A58,成本费用登记表!$AC$4:$AC$303,O$4)+SUMIFS(资金日记账!$I$4:$I$603,资金日记账!$G$4:$G$603,$A58,资金日记账!$U$4:$U$603,"&lt;&gt;是",资金日记账!$V$4:$V$603,O$4),2))</f>
        <v/>
      </c>
      <c r="P58" s="76" t="str">
        <f ca="1">IF($A58="","",ROUND(SUMIFS(成本费用登记表!$H$4:$H$303,成本费用登记表!$D$4:$D$303,$A58,成本费用登记表!$AC$4:$AC$303,P$4)+SUMIFS(资金日记账!$I$4:$I$603,资金日记账!$G$4:$G$603,$A58,资金日记账!$U$4:$U$603,"&lt;&gt;是",资金日记账!$V$4:$V$603,P$4),2))</f>
        <v/>
      </c>
      <c r="Q58" s="76" t="str">
        <f ca="1">IF($A58="","",ROUND(SUMIFS(成本费用登记表!$H$4:$H$303,成本费用登记表!$D$4:$D$303,$A58,成本费用登记表!$AC$4:$AC$303,Q$4)+SUMIFS(资金日记账!$I$4:$I$603,资金日记账!$G$4:$G$603,$A58,资金日记账!$U$4:$U$603,"&lt;&gt;是",资金日记账!$V$4:$V$603,Q$4),2))</f>
        <v/>
      </c>
      <c r="R58" s="76" t="str">
        <f ca="1">IF($A58="","",ROUND(SUMIFS(成本费用登记表!$H$4:$H$303,成本费用登记表!$D$4:$D$303,$A58,成本费用登记表!$AC$4:$AC$303,R$4)+SUMIFS(资金日记账!$I$4:$I$603,资金日记账!$G$4:$G$603,$A58,资金日记账!$U$4:$U$603,"&lt;&gt;是",资金日记账!$V$4:$V$603,R$4),2))</f>
        <v/>
      </c>
      <c r="S58" s="76" t="str">
        <f ca="1">IF($A58="","",ROUND(SUMIFS(成本费用登记表!$H$4:$H$303,成本费用登记表!$D$4:$D$303,$A58,成本费用登记表!$AC$4:$AC$303,S$4)+SUMIFS(资金日记账!$I$4:$I$603,资金日记账!$G$4:$G$603,$A58,资金日记账!$U$4:$U$603,"&lt;&gt;是",资金日记账!$V$4:$V$603,S$4),2))</f>
        <v/>
      </c>
      <c r="T58" s="76" t="str">
        <f ca="1">IF($A58="","",ROUND(SUMIFS(成本费用登记表!$H$4:$H$303,成本费用登记表!$D$4:$D$303,$A58,成本费用登记表!$AC$4:$AC$303,T$4)+SUMIFS(资金日记账!$I$4:$I$603,资金日记账!$G$4:$G$603,$A58,资金日记账!$U$4:$U$603,"&lt;&gt;是",资金日记账!$V$4:$V$603,T$4),2))</f>
        <v/>
      </c>
      <c r="U58" s="76" t="str">
        <f ca="1">IF($A58="","",ROUND(SUMIFS(成本费用登记表!$H$4:$H$303,成本费用登记表!$D$4:$D$303,$A58,成本费用登记表!$AC$4:$AC$303,U$4)+SUMIFS(资金日记账!$I$4:$I$603,资金日记账!$G$4:$G$603,$A58,资金日记账!$U$4:$U$603,"&lt;&gt;是",资金日记账!$V$4:$V$603,U$4),2))</f>
        <v/>
      </c>
      <c r="V58" s="76" t="str">
        <f ca="1">IF($A58="","",ROUND(SUMIFS(成本费用登记表!$H$4:$H$303,成本费用登记表!$D$4:$D$303,$A58,成本费用登记表!$AC$4:$AC$303,V$4)+SUMIFS(资金日记账!$I$4:$I$603,资金日记账!$G$4:$G$603,$A58,资金日记账!$U$4:$U$603,"&lt;&gt;是",资金日记账!$V$4:$V$603,V$4),2))</f>
        <v/>
      </c>
      <c r="W58" s="76" t="str">
        <f ca="1">IF($A58="","",ROUND(SUMIFS(成本费用登记表!$H$4:$H$303,成本费用登记表!$D$4:$D$303,$A58,成本费用登记表!$AC$4:$AC$303,W$4)+SUMIFS(资金日记账!$I$4:$I$603,资金日记账!$G$4:$G$603,$A58,资金日记账!$U$4:$U$603,"&lt;&gt;是",资金日记账!$V$4:$V$603,W$4),2))</f>
        <v/>
      </c>
      <c r="X58" s="76" t="str">
        <f ca="1">IF($A58="","",ROUND(SUMIFS(成本费用登记表!$H$4:$H$303,成本费用登记表!$D$4:$D$303,$A58,成本费用登记表!$AC$4:$AC$303,X$4)+SUMIFS(资金日记账!$I$4:$I$603,资金日记账!$G$4:$G$603,$A58,资金日记账!$U$4:$U$603,"&lt;&gt;是",资金日记账!$V$4:$V$603,X$4),2))</f>
        <v/>
      </c>
      <c r="Y58" s="76" t="str">
        <f ca="1">IF($A58="","",ROUND(SUMIFS(成本费用登记表!$H$4:$H$303,成本费用登记表!$D$4:$D$303,$A58,成本费用登记表!$AC$4:$AC$303,Y$4)+SUMIFS(资金日记账!$I$4:$I$603,资金日记账!$G$4:$G$603,$A58,资金日记账!$U$4:$U$603,"&lt;&gt;是",资金日记账!$V$4:$V$603,Y$4),2))</f>
        <v/>
      </c>
      <c r="Z58" s="87" t="str">
        <f ca="1" t="shared" si="1"/>
        <v/>
      </c>
      <c r="AA58" s="76" t="str">
        <f>IF($A58="","",ROUND(SUMIF(成本费用登记表!$D$4:$D$303,$A58,成本费用登记表!$AA$4:$AA$303)+SUMIFS(资金日记账!$I$4:$I$603,资金日记账!$G$4:$G$603,$A58,资金日记账!$U$4:$U$603,"&lt;&gt;是"),2))</f>
        <v/>
      </c>
      <c r="AB58" s="76" t="str">
        <f ca="1" t="shared" si="2"/>
        <v/>
      </c>
    </row>
    <row r="59" spans="1:28">
      <c r="A59" s="86" t="str">
        <f>IFERROR(INDEX(_自动清单!$X$4:$X$63,55),"")</f>
        <v/>
      </c>
      <c r="B59" s="76" t="str">
        <f ca="1">IF($A59="","",ROUND(SUMIFS(成本费用登记表!$H$4:$H$303,成本费用登记表!$D$4:$D$303,$A59,成本费用登记表!$AC$4:$AC$303,B$4)+SUMIFS(资金日记账!$I$4:$I$603,资金日记账!$G$4:$G$603,$A59,资金日记账!$U$4:$U$603,"&lt;&gt;是",资金日记账!$V$4:$V$603,B$4),2))</f>
        <v/>
      </c>
      <c r="C59" s="76" t="str">
        <f ca="1">IF($A59="","",ROUND(SUMIFS(成本费用登记表!$H$4:$H$303,成本费用登记表!$D$4:$D$303,$A59,成本费用登记表!$AC$4:$AC$303,C$4)+SUMIFS(资金日记账!$I$4:$I$603,资金日记账!$G$4:$G$603,$A59,资金日记账!$U$4:$U$603,"&lt;&gt;是",资金日记账!$V$4:$V$603,C$4),2))</f>
        <v/>
      </c>
      <c r="D59" s="76" t="str">
        <f ca="1">IF($A59="","",ROUND(SUMIFS(成本费用登记表!$H$4:$H$303,成本费用登记表!$D$4:$D$303,$A59,成本费用登记表!$AC$4:$AC$303,D$4)+SUMIFS(资金日记账!$I$4:$I$603,资金日记账!$G$4:$G$603,$A59,资金日记账!$U$4:$U$603,"&lt;&gt;是",资金日记账!$V$4:$V$603,D$4),2))</f>
        <v/>
      </c>
      <c r="E59" s="76" t="str">
        <f ca="1">IF($A59="","",ROUND(SUMIFS(成本费用登记表!$H$4:$H$303,成本费用登记表!$D$4:$D$303,$A59,成本费用登记表!$AC$4:$AC$303,E$4)+SUMIFS(资金日记账!$I$4:$I$603,资金日记账!$G$4:$G$603,$A59,资金日记账!$U$4:$U$603,"&lt;&gt;是",资金日记账!$V$4:$V$603,E$4),2))</f>
        <v/>
      </c>
      <c r="F59" s="76" t="str">
        <f ca="1">IF($A59="","",ROUND(SUMIFS(成本费用登记表!$H$4:$H$303,成本费用登记表!$D$4:$D$303,$A59,成本费用登记表!$AC$4:$AC$303,F$4)+SUMIFS(资金日记账!$I$4:$I$603,资金日记账!$G$4:$G$603,$A59,资金日记账!$U$4:$U$603,"&lt;&gt;是",资金日记账!$V$4:$V$603,F$4),2))</f>
        <v/>
      </c>
      <c r="G59" s="76" t="str">
        <f ca="1">IF($A59="","",ROUND(SUMIFS(成本费用登记表!$H$4:$H$303,成本费用登记表!$D$4:$D$303,$A59,成本费用登记表!$AC$4:$AC$303,G$4)+SUMIFS(资金日记账!$I$4:$I$603,资金日记账!$G$4:$G$603,$A59,资金日记账!$U$4:$U$603,"&lt;&gt;是",资金日记账!$V$4:$V$603,G$4),2))</f>
        <v/>
      </c>
      <c r="H59" s="76" t="str">
        <f ca="1">IF($A59="","",ROUND(SUMIFS(成本费用登记表!$H$4:$H$303,成本费用登记表!$D$4:$D$303,$A59,成本费用登记表!$AC$4:$AC$303,H$4)+SUMIFS(资金日记账!$I$4:$I$603,资金日记账!$G$4:$G$603,$A59,资金日记账!$U$4:$U$603,"&lt;&gt;是",资金日记账!$V$4:$V$603,H$4),2))</f>
        <v/>
      </c>
      <c r="I59" s="76" t="str">
        <f ca="1">IF($A59="","",ROUND(SUMIFS(成本费用登记表!$H$4:$H$303,成本费用登记表!$D$4:$D$303,$A59,成本费用登记表!$AC$4:$AC$303,I$4)+SUMIFS(资金日记账!$I$4:$I$603,资金日记账!$G$4:$G$603,$A59,资金日记账!$U$4:$U$603,"&lt;&gt;是",资金日记账!$V$4:$V$603,I$4),2))</f>
        <v/>
      </c>
      <c r="J59" s="76" t="str">
        <f ca="1">IF($A59="","",ROUND(SUMIFS(成本费用登记表!$H$4:$H$303,成本费用登记表!$D$4:$D$303,$A59,成本费用登记表!$AC$4:$AC$303,J$4)+SUMIFS(资金日记账!$I$4:$I$603,资金日记账!$G$4:$G$603,$A59,资金日记账!$U$4:$U$603,"&lt;&gt;是",资金日记账!$V$4:$V$603,J$4),2))</f>
        <v/>
      </c>
      <c r="K59" s="76" t="str">
        <f ca="1">IF($A59="","",ROUND(SUMIFS(成本费用登记表!$H$4:$H$303,成本费用登记表!$D$4:$D$303,$A59,成本费用登记表!$AC$4:$AC$303,K$4)+SUMIFS(资金日记账!$I$4:$I$603,资金日记账!$G$4:$G$603,$A59,资金日记账!$U$4:$U$603,"&lt;&gt;是",资金日记账!$V$4:$V$603,K$4),2))</f>
        <v/>
      </c>
      <c r="L59" s="76" t="str">
        <f ca="1">IF($A59="","",ROUND(SUMIFS(成本费用登记表!$H$4:$H$303,成本费用登记表!$D$4:$D$303,$A59,成本费用登记表!$AC$4:$AC$303,L$4)+SUMIFS(资金日记账!$I$4:$I$603,资金日记账!$G$4:$G$603,$A59,资金日记账!$U$4:$U$603,"&lt;&gt;是",资金日记账!$V$4:$V$603,L$4),2))</f>
        <v/>
      </c>
      <c r="M59" s="76" t="str">
        <f ca="1">IF($A59="","",ROUND(SUMIFS(成本费用登记表!$H$4:$H$303,成本费用登记表!$D$4:$D$303,$A59,成本费用登记表!$AC$4:$AC$303,M$4)+SUMIFS(资金日记账!$I$4:$I$603,资金日记账!$G$4:$G$603,$A59,资金日记账!$U$4:$U$603,"&lt;&gt;是",资金日记账!$V$4:$V$603,M$4),2))</f>
        <v/>
      </c>
      <c r="N59" s="76" t="str">
        <f ca="1">IF($A59="","",ROUND(SUMIFS(成本费用登记表!$H$4:$H$303,成本费用登记表!$D$4:$D$303,$A59,成本费用登记表!$AC$4:$AC$303,N$4)+SUMIFS(资金日记账!$I$4:$I$603,资金日记账!$G$4:$G$603,$A59,资金日记账!$U$4:$U$603,"&lt;&gt;是",资金日记账!$V$4:$V$603,N$4),2))</f>
        <v/>
      </c>
      <c r="O59" s="76" t="str">
        <f ca="1">IF($A59="","",ROUND(SUMIFS(成本费用登记表!$H$4:$H$303,成本费用登记表!$D$4:$D$303,$A59,成本费用登记表!$AC$4:$AC$303,O$4)+SUMIFS(资金日记账!$I$4:$I$603,资金日记账!$G$4:$G$603,$A59,资金日记账!$U$4:$U$603,"&lt;&gt;是",资金日记账!$V$4:$V$603,O$4),2))</f>
        <v/>
      </c>
      <c r="P59" s="76" t="str">
        <f ca="1">IF($A59="","",ROUND(SUMIFS(成本费用登记表!$H$4:$H$303,成本费用登记表!$D$4:$D$303,$A59,成本费用登记表!$AC$4:$AC$303,P$4)+SUMIFS(资金日记账!$I$4:$I$603,资金日记账!$G$4:$G$603,$A59,资金日记账!$U$4:$U$603,"&lt;&gt;是",资金日记账!$V$4:$V$603,P$4),2))</f>
        <v/>
      </c>
      <c r="Q59" s="76" t="str">
        <f ca="1">IF($A59="","",ROUND(SUMIFS(成本费用登记表!$H$4:$H$303,成本费用登记表!$D$4:$D$303,$A59,成本费用登记表!$AC$4:$AC$303,Q$4)+SUMIFS(资金日记账!$I$4:$I$603,资金日记账!$G$4:$G$603,$A59,资金日记账!$U$4:$U$603,"&lt;&gt;是",资金日记账!$V$4:$V$603,Q$4),2))</f>
        <v/>
      </c>
      <c r="R59" s="76" t="str">
        <f ca="1">IF($A59="","",ROUND(SUMIFS(成本费用登记表!$H$4:$H$303,成本费用登记表!$D$4:$D$303,$A59,成本费用登记表!$AC$4:$AC$303,R$4)+SUMIFS(资金日记账!$I$4:$I$603,资金日记账!$G$4:$G$603,$A59,资金日记账!$U$4:$U$603,"&lt;&gt;是",资金日记账!$V$4:$V$603,R$4),2))</f>
        <v/>
      </c>
      <c r="S59" s="76" t="str">
        <f ca="1">IF($A59="","",ROUND(SUMIFS(成本费用登记表!$H$4:$H$303,成本费用登记表!$D$4:$D$303,$A59,成本费用登记表!$AC$4:$AC$303,S$4)+SUMIFS(资金日记账!$I$4:$I$603,资金日记账!$G$4:$G$603,$A59,资金日记账!$U$4:$U$603,"&lt;&gt;是",资金日记账!$V$4:$V$603,S$4),2))</f>
        <v/>
      </c>
      <c r="T59" s="76" t="str">
        <f ca="1">IF($A59="","",ROUND(SUMIFS(成本费用登记表!$H$4:$H$303,成本费用登记表!$D$4:$D$303,$A59,成本费用登记表!$AC$4:$AC$303,T$4)+SUMIFS(资金日记账!$I$4:$I$603,资金日记账!$G$4:$G$603,$A59,资金日记账!$U$4:$U$603,"&lt;&gt;是",资金日记账!$V$4:$V$603,T$4),2))</f>
        <v/>
      </c>
      <c r="U59" s="76" t="str">
        <f ca="1">IF($A59="","",ROUND(SUMIFS(成本费用登记表!$H$4:$H$303,成本费用登记表!$D$4:$D$303,$A59,成本费用登记表!$AC$4:$AC$303,U$4)+SUMIFS(资金日记账!$I$4:$I$603,资金日记账!$G$4:$G$603,$A59,资金日记账!$U$4:$U$603,"&lt;&gt;是",资金日记账!$V$4:$V$603,U$4),2))</f>
        <v/>
      </c>
      <c r="V59" s="76" t="str">
        <f ca="1">IF($A59="","",ROUND(SUMIFS(成本费用登记表!$H$4:$H$303,成本费用登记表!$D$4:$D$303,$A59,成本费用登记表!$AC$4:$AC$303,V$4)+SUMIFS(资金日记账!$I$4:$I$603,资金日记账!$G$4:$G$603,$A59,资金日记账!$U$4:$U$603,"&lt;&gt;是",资金日记账!$V$4:$V$603,V$4),2))</f>
        <v/>
      </c>
      <c r="W59" s="76" t="str">
        <f ca="1">IF($A59="","",ROUND(SUMIFS(成本费用登记表!$H$4:$H$303,成本费用登记表!$D$4:$D$303,$A59,成本费用登记表!$AC$4:$AC$303,W$4)+SUMIFS(资金日记账!$I$4:$I$603,资金日记账!$G$4:$G$603,$A59,资金日记账!$U$4:$U$603,"&lt;&gt;是",资金日记账!$V$4:$V$603,W$4),2))</f>
        <v/>
      </c>
      <c r="X59" s="76" t="str">
        <f ca="1">IF($A59="","",ROUND(SUMIFS(成本费用登记表!$H$4:$H$303,成本费用登记表!$D$4:$D$303,$A59,成本费用登记表!$AC$4:$AC$303,X$4)+SUMIFS(资金日记账!$I$4:$I$603,资金日记账!$G$4:$G$603,$A59,资金日记账!$U$4:$U$603,"&lt;&gt;是",资金日记账!$V$4:$V$603,X$4),2))</f>
        <v/>
      </c>
      <c r="Y59" s="76" t="str">
        <f ca="1">IF($A59="","",ROUND(SUMIFS(成本费用登记表!$H$4:$H$303,成本费用登记表!$D$4:$D$303,$A59,成本费用登记表!$AC$4:$AC$303,Y$4)+SUMIFS(资金日记账!$I$4:$I$603,资金日记账!$G$4:$G$603,$A59,资金日记账!$U$4:$U$603,"&lt;&gt;是",资金日记账!$V$4:$V$603,Y$4),2))</f>
        <v/>
      </c>
      <c r="Z59" s="87" t="str">
        <f ca="1" t="shared" si="1"/>
        <v/>
      </c>
      <c r="AA59" s="76" t="str">
        <f>IF($A59="","",ROUND(SUMIF(成本费用登记表!$D$4:$D$303,$A59,成本费用登记表!$AA$4:$AA$303)+SUMIFS(资金日记账!$I$4:$I$603,资金日记账!$G$4:$G$603,$A59,资金日记账!$U$4:$U$603,"&lt;&gt;是"),2))</f>
        <v/>
      </c>
      <c r="AB59" s="76" t="str">
        <f ca="1" t="shared" si="2"/>
        <v/>
      </c>
    </row>
    <row r="60" spans="1:28">
      <c r="A60" s="86" t="str">
        <f>IFERROR(INDEX(_自动清单!$X$4:$X$63,56),"")</f>
        <v/>
      </c>
      <c r="B60" s="76" t="str">
        <f ca="1">IF($A60="","",ROUND(SUMIFS(成本费用登记表!$H$4:$H$303,成本费用登记表!$D$4:$D$303,$A60,成本费用登记表!$AC$4:$AC$303,B$4)+SUMIFS(资金日记账!$I$4:$I$603,资金日记账!$G$4:$G$603,$A60,资金日记账!$U$4:$U$603,"&lt;&gt;是",资金日记账!$V$4:$V$603,B$4),2))</f>
        <v/>
      </c>
      <c r="C60" s="76" t="str">
        <f ca="1">IF($A60="","",ROUND(SUMIFS(成本费用登记表!$H$4:$H$303,成本费用登记表!$D$4:$D$303,$A60,成本费用登记表!$AC$4:$AC$303,C$4)+SUMIFS(资金日记账!$I$4:$I$603,资金日记账!$G$4:$G$603,$A60,资金日记账!$U$4:$U$603,"&lt;&gt;是",资金日记账!$V$4:$V$603,C$4),2))</f>
        <v/>
      </c>
      <c r="D60" s="76" t="str">
        <f ca="1">IF($A60="","",ROUND(SUMIFS(成本费用登记表!$H$4:$H$303,成本费用登记表!$D$4:$D$303,$A60,成本费用登记表!$AC$4:$AC$303,D$4)+SUMIFS(资金日记账!$I$4:$I$603,资金日记账!$G$4:$G$603,$A60,资金日记账!$U$4:$U$603,"&lt;&gt;是",资金日记账!$V$4:$V$603,D$4),2))</f>
        <v/>
      </c>
      <c r="E60" s="76" t="str">
        <f ca="1">IF($A60="","",ROUND(SUMIFS(成本费用登记表!$H$4:$H$303,成本费用登记表!$D$4:$D$303,$A60,成本费用登记表!$AC$4:$AC$303,E$4)+SUMIFS(资金日记账!$I$4:$I$603,资金日记账!$G$4:$G$603,$A60,资金日记账!$U$4:$U$603,"&lt;&gt;是",资金日记账!$V$4:$V$603,E$4),2))</f>
        <v/>
      </c>
      <c r="F60" s="76" t="str">
        <f ca="1">IF($A60="","",ROUND(SUMIFS(成本费用登记表!$H$4:$H$303,成本费用登记表!$D$4:$D$303,$A60,成本费用登记表!$AC$4:$AC$303,F$4)+SUMIFS(资金日记账!$I$4:$I$603,资金日记账!$G$4:$G$603,$A60,资金日记账!$U$4:$U$603,"&lt;&gt;是",资金日记账!$V$4:$V$603,F$4),2))</f>
        <v/>
      </c>
      <c r="G60" s="76" t="str">
        <f ca="1">IF($A60="","",ROUND(SUMIFS(成本费用登记表!$H$4:$H$303,成本费用登记表!$D$4:$D$303,$A60,成本费用登记表!$AC$4:$AC$303,G$4)+SUMIFS(资金日记账!$I$4:$I$603,资金日记账!$G$4:$G$603,$A60,资金日记账!$U$4:$U$603,"&lt;&gt;是",资金日记账!$V$4:$V$603,G$4),2))</f>
        <v/>
      </c>
      <c r="H60" s="76" t="str">
        <f ca="1">IF($A60="","",ROUND(SUMIFS(成本费用登记表!$H$4:$H$303,成本费用登记表!$D$4:$D$303,$A60,成本费用登记表!$AC$4:$AC$303,H$4)+SUMIFS(资金日记账!$I$4:$I$603,资金日记账!$G$4:$G$603,$A60,资金日记账!$U$4:$U$603,"&lt;&gt;是",资金日记账!$V$4:$V$603,H$4),2))</f>
        <v/>
      </c>
      <c r="I60" s="76" t="str">
        <f ca="1">IF($A60="","",ROUND(SUMIFS(成本费用登记表!$H$4:$H$303,成本费用登记表!$D$4:$D$303,$A60,成本费用登记表!$AC$4:$AC$303,I$4)+SUMIFS(资金日记账!$I$4:$I$603,资金日记账!$G$4:$G$603,$A60,资金日记账!$U$4:$U$603,"&lt;&gt;是",资金日记账!$V$4:$V$603,I$4),2))</f>
        <v/>
      </c>
      <c r="J60" s="76" t="str">
        <f ca="1">IF($A60="","",ROUND(SUMIFS(成本费用登记表!$H$4:$H$303,成本费用登记表!$D$4:$D$303,$A60,成本费用登记表!$AC$4:$AC$303,J$4)+SUMIFS(资金日记账!$I$4:$I$603,资金日记账!$G$4:$G$603,$A60,资金日记账!$U$4:$U$603,"&lt;&gt;是",资金日记账!$V$4:$V$603,J$4),2))</f>
        <v/>
      </c>
      <c r="K60" s="76" t="str">
        <f ca="1">IF($A60="","",ROUND(SUMIFS(成本费用登记表!$H$4:$H$303,成本费用登记表!$D$4:$D$303,$A60,成本费用登记表!$AC$4:$AC$303,K$4)+SUMIFS(资金日记账!$I$4:$I$603,资金日记账!$G$4:$G$603,$A60,资金日记账!$U$4:$U$603,"&lt;&gt;是",资金日记账!$V$4:$V$603,K$4),2))</f>
        <v/>
      </c>
      <c r="L60" s="76" t="str">
        <f ca="1">IF($A60="","",ROUND(SUMIFS(成本费用登记表!$H$4:$H$303,成本费用登记表!$D$4:$D$303,$A60,成本费用登记表!$AC$4:$AC$303,L$4)+SUMIFS(资金日记账!$I$4:$I$603,资金日记账!$G$4:$G$603,$A60,资金日记账!$U$4:$U$603,"&lt;&gt;是",资金日记账!$V$4:$V$603,L$4),2))</f>
        <v/>
      </c>
      <c r="M60" s="76" t="str">
        <f ca="1">IF($A60="","",ROUND(SUMIFS(成本费用登记表!$H$4:$H$303,成本费用登记表!$D$4:$D$303,$A60,成本费用登记表!$AC$4:$AC$303,M$4)+SUMIFS(资金日记账!$I$4:$I$603,资金日记账!$G$4:$G$603,$A60,资金日记账!$U$4:$U$603,"&lt;&gt;是",资金日记账!$V$4:$V$603,M$4),2))</f>
        <v/>
      </c>
      <c r="N60" s="76" t="str">
        <f ca="1">IF($A60="","",ROUND(SUMIFS(成本费用登记表!$H$4:$H$303,成本费用登记表!$D$4:$D$303,$A60,成本费用登记表!$AC$4:$AC$303,N$4)+SUMIFS(资金日记账!$I$4:$I$603,资金日记账!$G$4:$G$603,$A60,资金日记账!$U$4:$U$603,"&lt;&gt;是",资金日记账!$V$4:$V$603,N$4),2))</f>
        <v/>
      </c>
      <c r="O60" s="76" t="str">
        <f ca="1">IF($A60="","",ROUND(SUMIFS(成本费用登记表!$H$4:$H$303,成本费用登记表!$D$4:$D$303,$A60,成本费用登记表!$AC$4:$AC$303,O$4)+SUMIFS(资金日记账!$I$4:$I$603,资金日记账!$G$4:$G$603,$A60,资金日记账!$U$4:$U$603,"&lt;&gt;是",资金日记账!$V$4:$V$603,O$4),2))</f>
        <v/>
      </c>
      <c r="P60" s="76" t="str">
        <f ca="1">IF($A60="","",ROUND(SUMIFS(成本费用登记表!$H$4:$H$303,成本费用登记表!$D$4:$D$303,$A60,成本费用登记表!$AC$4:$AC$303,P$4)+SUMIFS(资金日记账!$I$4:$I$603,资金日记账!$G$4:$G$603,$A60,资金日记账!$U$4:$U$603,"&lt;&gt;是",资金日记账!$V$4:$V$603,P$4),2))</f>
        <v/>
      </c>
      <c r="Q60" s="76" t="str">
        <f ca="1">IF($A60="","",ROUND(SUMIFS(成本费用登记表!$H$4:$H$303,成本费用登记表!$D$4:$D$303,$A60,成本费用登记表!$AC$4:$AC$303,Q$4)+SUMIFS(资金日记账!$I$4:$I$603,资金日记账!$G$4:$G$603,$A60,资金日记账!$U$4:$U$603,"&lt;&gt;是",资金日记账!$V$4:$V$603,Q$4),2))</f>
        <v/>
      </c>
      <c r="R60" s="76" t="str">
        <f ca="1">IF($A60="","",ROUND(SUMIFS(成本费用登记表!$H$4:$H$303,成本费用登记表!$D$4:$D$303,$A60,成本费用登记表!$AC$4:$AC$303,R$4)+SUMIFS(资金日记账!$I$4:$I$603,资金日记账!$G$4:$G$603,$A60,资金日记账!$U$4:$U$603,"&lt;&gt;是",资金日记账!$V$4:$V$603,R$4),2))</f>
        <v/>
      </c>
      <c r="S60" s="76" t="str">
        <f ca="1">IF($A60="","",ROUND(SUMIFS(成本费用登记表!$H$4:$H$303,成本费用登记表!$D$4:$D$303,$A60,成本费用登记表!$AC$4:$AC$303,S$4)+SUMIFS(资金日记账!$I$4:$I$603,资金日记账!$G$4:$G$603,$A60,资金日记账!$U$4:$U$603,"&lt;&gt;是",资金日记账!$V$4:$V$603,S$4),2))</f>
        <v/>
      </c>
      <c r="T60" s="76" t="str">
        <f ca="1">IF($A60="","",ROUND(SUMIFS(成本费用登记表!$H$4:$H$303,成本费用登记表!$D$4:$D$303,$A60,成本费用登记表!$AC$4:$AC$303,T$4)+SUMIFS(资金日记账!$I$4:$I$603,资金日记账!$G$4:$G$603,$A60,资金日记账!$U$4:$U$603,"&lt;&gt;是",资金日记账!$V$4:$V$603,T$4),2))</f>
        <v/>
      </c>
      <c r="U60" s="76" t="str">
        <f ca="1">IF($A60="","",ROUND(SUMIFS(成本费用登记表!$H$4:$H$303,成本费用登记表!$D$4:$D$303,$A60,成本费用登记表!$AC$4:$AC$303,U$4)+SUMIFS(资金日记账!$I$4:$I$603,资金日记账!$G$4:$G$603,$A60,资金日记账!$U$4:$U$603,"&lt;&gt;是",资金日记账!$V$4:$V$603,U$4),2))</f>
        <v/>
      </c>
      <c r="V60" s="76" t="str">
        <f ca="1">IF($A60="","",ROUND(SUMIFS(成本费用登记表!$H$4:$H$303,成本费用登记表!$D$4:$D$303,$A60,成本费用登记表!$AC$4:$AC$303,V$4)+SUMIFS(资金日记账!$I$4:$I$603,资金日记账!$G$4:$G$603,$A60,资金日记账!$U$4:$U$603,"&lt;&gt;是",资金日记账!$V$4:$V$603,V$4),2))</f>
        <v/>
      </c>
      <c r="W60" s="76" t="str">
        <f ca="1">IF($A60="","",ROUND(SUMIFS(成本费用登记表!$H$4:$H$303,成本费用登记表!$D$4:$D$303,$A60,成本费用登记表!$AC$4:$AC$303,W$4)+SUMIFS(资金日记账!$I$4:$I$603,资金日记账!$G$4:$G$603,$A60,资金日记账!$U$4:$U$603,"&lt;&gt;是",资金日记账!$V$4:$V$603,W$4),2))</f>
        <v/>
      </c>
      <c r="X60" s="76" t="str">
        <f ca="1">IF($A60="","",ROUND(SUMIFS(成本费用登记表!$H$4:$H$303,成本费用登记表!$D$4:$D$303,$A60,成本费用登记表!$AC$4:$AC$303,X$4)+SUMIFS(资金日记账!$I$4:$I$603,资金日记账!$G$4:$G$603,$A60,资金日记账!$U$4:$U$603,"&lt;&gt;是",资金日记账!$V$4:$V$603,X$4),2))</f>
        <v/>
      </c>
      <c r="Y60" s="76" t="str">
        <f ca="1">IF($A60="","",ROUND(SUMIFS(成本费用登记表!$H$4:$H$303,成本费用登记表!$D$4:$D$303,$A60,成本费用登记表!$AC$4:$AC$303,Y$4)+SUMIFS(资金日记账!$I$4:$I$603,资金日记账!$G$4:$G$603,$A60,资金日记账!$U$4:$U$603,"&lt;&gt;是",资金日记账!$V$4:$V$603,Y$4),2))</f>
        <v/>
      </c>
      <c r="Z60" s="87" t="str">
        <f ca="1" t="shared" si="1"/>
        <v/>
      </c>
      <c r="AA60" s="76" t="str">
        <f>IF($A60="","",ROUND(SUMIF(成本费用登记表!$D$4:$D$303,$A60,成本费用登记表!$AA$4:$AA$303)+SUMIFS(资金日记账!$I$4:$I$603,资金日记账!$G$4:$G$603,$A60,资金日记账!$U$4:$U$603,"&lt;&gt;是"),2))</f>
        <v/>
      </c>
      <c r="AB60" s="76" t="str">
        <f ca="1" t="shared" si="2"/>
        <v/>
      </c>
    </row>
    <row r="61" spans="1:28">
      <c r="A61" s="86" t="str">
        <f>IFERROR(INDEX(_自动清单!$X$4:$X$63,57),"")</f>
        <v/>
      </c>
      <c r="B61" s="76" t="str">
        <f ca="1">IF($A61="","",ROUND(SUMIFS(成本费用登记表!$H$4:$H$303,成本费用登记表!$D$4:$D$303,$A61,成本费用登记表!$AC$4:$AC$303,B$4)+SUMIFS(资金日记账!$I$4:$I$603,资金日记账!$G$4:$G$603,$A61,资金日记账!$U$4:$U$603,"&lt;&gt;是",资金日记账!$V$4:$V$603,B$4),2))</f>
        <v/>
      </c>
      <c r="C61" s="76" t="str">
        <f ca="1">IF($A61="","",ROUND(SUMIFS(成本费用登记表!$H$4:$H$303,成本费用登记表!$D$4:$D$303,$A61,成本费用登记表!$AC$4:$AC$303,C$4)+SUMIFS(资金日记账!$I$4:$I$603,资金日记账!$G$4:$G$603,$A61,资金日记账!$U$4:$U$603,"&lt;&gt;是",资金日记账!$V$4:$V$603,C$4),2))</f>
        <v/>
      </c>
      <c r="D61" s="76" t="str">
        <f ca="1">IF($A61="","",ROUND(SUMIFS(成本费用登记表!$H$4:$H$303,成本费用登记表!$D$4:$D$303,$A61,成本费用登记表!$AC$4:$AC$303,D$4)+SUMIFS(资金日记账!$I$4:$I$603,资金日记账!$G$4:$G$603,$A61,资金日记账!$U$4:$U$603,"&lt;&gt;是",资金日记账!$V$4:$V$603,D$4),2))</f>
        <v/>
      </c>
      <c r="E61" s="76" t="str">
        <f ca="1">IF($A61="","",ROUND(SUMIFS(成本费用登记表!$H$4:$H$303,成本费用登记表!$D$4:$D$303,$A61,成本费用登记表!$AC$4:$AC$303,E$4)+SUMIFS(资金日记账!$I$4:$I$603,资金日记账!$G$4:$G$603,$A61,资金日记账!$U$4:$U$603,"&lt;&gt;是",资金日记账!$V$4:$V$603,E$4),2))</f>
        <v/>
      </c>
      <c r="F61" s="76" t="str">
        <f ca="1">IF($A61="","",ROUND(SUMIFS(成本费用登记表!$H$4:$H$303,成本费用登记表!$D$4:$D$303,$A61,成本费用登记表!$AC$4:$AC$303,F$4)+SUMIFS(资金日记账!$I$4:$I$603,资金日记账!$G$4:$G$603,$A61,资金日记账!$U$4:$U$603,"&lt;&gt;是",资金日记账!$V$4:$V$603,F$4),2))</f>
        <v/>
      </c>
      <c r="G61" s="76" t="str">
        <f ca="1">IF($A61="","",ROUND(SUMIFS(成本费用登记表!$H$4:$H$303,成本费用登记表!$D$4:$D$303,$A61,成本费用登记表!$AC$4:$AC$303,G$4)+SUMIFS(资金日记账!$I$4:$I$603,资金日记账!$G$4:$G$603,$A61,资金日记账!$U$4:$U$603,"&lt;&gt;是",资金日记账!$V$4:$V$603,G$4),2))</f>
        <v/>
      </c>
      <c r="H61" s="76" t="str">
        <f ca="1">IF($A61="","",ROUND(SUMIFS(成本费用登记表!$H$4:$H$303,成本费用登记表!$D$4:$D$303,$A61,成本费用登记表!$AC$4:$AC$303,H$4)+SUMIFS(资金日记账!$I$4:$I$603,资金日记账!$G$4:$G$603,$A61,资金日记账!$U$4:$U$603,"&lt;&gt;是",资金日记账!$V$4:$V$603,H$4),2))</f>
        <v/>
      </c>
      <c r="I61" s="76" t="str">
        <f ca="1">IF($A61="","",ROUND(SUMIFS(成本费用登记表!$H$4:$H$303,成本费用登记表!$D$4:$D$303,$A61,成本费用登记表!$AC$4:$AC$303,I$4)+SUMIFS(资金日记账!$I$4:$I$603,资金日记账!$G$4:$G$603,$A61,资金日记账!$U$4:$U$603,"&lt;&gt;是",资金日记账!$V$4:$V$603,I$4),2))</f>
        <v/>
      </c>
      <c r="J61" s="76" t="str">
        <f ca="1">IF($A61="","",ROUND(SUMIFS(成本费用登记表!$H$4:$H$303,成本费用登记表!$D$4:$D$303,$A61,成本费用登记表!$AC$4:$AC$303,J$4)+SUMIFS(资金日记账!$I$4:$I$603,资金日记账!$G$4:$G$603,$A61,资金日记账!$U$4:$U$603,"&lt;&gt;是",资金日记账!$V$4:$V$603,J$4),2))</f>
        <v/>
      </c>
      <c r="K61" s="76" t="str">
        <f ca="1">IF($A61="","",ROUND(SUMIFS(成本费用登记表!$H$4:$H$303,成本费用登记表!$D$4:$D$303,$A61,成本费用登记表!$AC$4:$AC$303,K$4)+SUMIFS(资金日记账!$I$4:$I$603,资金日记账!$G$4:$G$603,$A61,资金日记账!$U$4:$U$603,"&lt;&gt;是",资金日记账!$V$4:$V$603,K$4),2))</f>
        <v/>
      </c>
      <c r="L61" s="76" t="str">
        <f ca="1">IF($A61="","",ROUND(SUMIFS(成本费用登记表!$H$4:$H$303,成本费用登记表!$D$4:$D$303,$A61,成本费用登记表!$AC$4:$AC$303,L$4)+SUMIFS(资金日记账!$I$4:$I$603,资金日记账!$G$4:$G$603,$A61,资金日记账!$U$4:$U$603,"&lt;&gt;是",资金日记账!$V$4:$V$603,L$4),2))</f>
        <v/>
      </c>
      <c r="M61" s="76" t="str">
        <f ca="1">IF($A61="","",ROUND(SUMIFS(成本费用登记表!$H$4:$H$303,成本费用登记表!$D$4:$D$303,$A61,成本费用登记表!$AC$4:$AC$303,M$4)+SUMIFS(资金日记账!$I$4:$I$603,资金日记账!$G$4:$G$603,$A61,资金日记账!$U$4:$U$603,"&lt;&gt;是",资金日记账!$V$4:$V$603,M$4),2))</f>
        <v/>
      </c>
      <c r="N61" s="76" t="str">
        <f ca="1">IF($A61="","",ROUND(SUMIFS(成本费用登记表!$H$4:$H$303,成本费用登记表!$D$4:$D$303,$A61,成本费用登记表!$AC$4:$AC$303,N$4)+SUMIFS(资金日记账!$I$4:$I$603,资金日记账!$G$4:$G$603,$A61,资金日记账!$U$4:$U$603,"&lt;&gt;是",资金日记账!$V$4:$V$603,N$4),2))</f>
        <v/>
      </c>
      <c r="O61" s="76" t="str">
        <f ca="1">IF($A61="","",ROUND(SUMIFS(成本费用登记表!$H$4:$H$303,成本费用登记表!$D$4:$D$303,$A61,成本费用登记表!$AC$4:$AC$303,O$4)+SUMIFS(资金日记账!$I$4:$I$603,资金日记账!$G$4:$G$603,$A61,资金日记账!$U$4:$U$603,"&lt;&gt;是",资金日记账!$V$4:$V$603,O$4),2))</f>
        <v/>
      </c>
      <c r="P61" s="76" t="str">
        <f ca="1">IF($A61="","",ROUND(SUMIFS(成本费用登记表!$H$4:$H$303,成本费用登记表!$D$4:$D$303,$A61,成本费用登记表!$AC$4:$AC$303,P$4)+SUMIFS(资金日记账!$I$4:$I$603,资金日记账!$G$4:$G$603,$A61,资金日记账!$U$4:$U$603,"&lt;&gt;是",资金日记账!$V$4:$V$603,P$4),2))</f>
        <v/>
      </c>
      <c r="Q61" s="76" t="str">
        <f ca="1">IF($A61="","",ROUND(SUMIFS(成本费用登记表!$H$4:$H$303,成本费用登记表!$D$4:$D$303,$A61,成本费用登记表!$AC$4:$AC$303,Q$4)+SUMIFS(资金日记账!$I$4:$I$603,资金日记账!$G$4:$G$603,$A61,资金日记账!$U$4:$U$603,"&lt;&gt;是",资金日记账!$V$4:$V$603,Q$4),2))</f>
        <v/>
      </c>
      <c r="R61" s="76" t="str">
        <f ca="1">IF($A61="","",ROUND(SUMIFS(成本费用登记表!$H$4:$H$303,成本费用登记表!$D$4:$D$303,$A61,成本费用登记表!$AC$4:$AC$303,R$4)+SUMIFS(资金日记账!$I$4:$I$603,资金日记账!$G$4:$G$603,$A61,资金日记账!$U$4:$U$603,"&lt;&gt;是",资金日记账!$V$4:$V$603,R$4),2))</f>
        <v/>
      </c>
      <c r="S61" s="76" t="str">
        <f ca="1">IF($A61="","",ROUND(SUMIFS(成本费用登记表!$H$4:$H$303,成本费用登记表!$D$4:$D$303,$A61,成本费用登记表!$AC$4:$AC$303,S$4)+SUMIFS(资金日记账!$I$4:$I$603,资金日记账!$G$4:$G$603,$A61,资金日记账!$U$4:$U$603,"&lt;&gt;是",资金日记账!$V$4:$V$603,S$4),2))</f>
        <v/>
      </c>
      <c r="T61" s="76" t="str">
        <f ca="1">IF($A61="","",ROUND(SUMIFS(成本费用登记表!$H$4:$H$303,成本费用登记表!$D$4:$D$303,$A61,成本费用登记表!$AC$4:$AC$303,T$4)+SUMIFS(资金日记账!$I$4:$I$603,资金日记账!$G$4:$G$603,$A61,资金日记账!$U$4:$U$603,"&lt;&gt;是",资金日记账!$V$4:$V$603,T$4),2))</f>
        <v/>
      </c>
      <c r="U61" s="76" t="str">
        <f ca="1">IF($A61="","",ROUND(SUMIFS(成本费用登记表!$H$4:$H$303,成本费用登记表!$D$4:$D$303,$A61,成本费用登记表!$AC$4:$AC$303,U$4)+SUMIFS(资金日记账!$I$4:$I$603,资金日记账!$G$4:$G$603,$A61,资金日记账!$U$4:$U$603,"&lt;&gt;是",资金日记账!$V$4:$V$603,U$4),2))</f>
        <v/>
      </c>
      <c r="V61" s="76" t="str">
        <f ca="1">IF($A61="","",ROUND(SUMIFS(成本费用登记表!$H$4:$H$303,成本费用登记表!$D$4:$D$303,$A61,成本费用登记表!$AC$4:$AC$303,V$4)+SUMIFS(资金日记账!$I$4:$I$603,资金日记账!$G$4:$G$603,$A61,资金日记账!$U$4:$U$603,"&lt;&gt;是",资金日记账!$V$4:$V$603,V$4),2))</f>
        <v/>
      </c>
      <c r="W61" s="76" t="str">
        <f ca="1">IF($A61="","",ROUND(SUMIFS(成本费用登记表!$H$4:$H$303,成本费用登记表!$D$4:$D$303,$A61,成本费用登记表!$AC$4:$AC$303,W$4)+SUMIFS(资金日记账!$I$4:$I$603,资金日记账!$G$4:$G$603,$A61,资金日记账!$U$4:$U$603,"&lt;&gt;是",资金日记账!$V$4:$V$603,W$4),2))</f>
        <v/>
      </c>
      <c r="X61" s="76" t="str">
        <f ca="1">IF($A61="","",ROUND(SUMIFS(成本费用登记表!$H$4:$H$303,成本费用登记表!$D$4:$D$303,$A61,成本费用登记表!$AC$4:$AC$303,X$4)+SUMIFS(资金日记账!$I$4:$I$603,资金日记账!$G$4:$G$603,$A61,资金日记账!$U$4:$U$603,"&lt;&gt;是",资金日记账!$V$4:$V$603,X$4),2))</f>
        <v/>
      </c>
      <c r="Y61" s="76" t="str">
        <f ca="1">IF($A61="","",ROUND(SUMIFS(成本费用登记表!$H$4:$H$303,成本费用登记表!$D$4:$D$303,$A61,成本费用登记表!$AC$4:$AC$303,Y$4)+SUMIFS(资金日记账!$I$4:$I$603,资金日记账!$G$4:$G$603,$A61,资金日记账!$U$4:$U$603,"&lt;&gt;是",资金日记账!$V$4:$V$603,Y$4),2))</f>
        <v/>
      </c>
      <c r="Z61" s="87" t="str">
        <f ca="1" t="shared" si="1"/>
        <v/>
      </c>
      <c r="AA61" s="76" t="str">
        <f>IF($A61="","",ROUND(SUMIF(成本费用登记表!$D$4:$D$303,$A61,成本费用登记表!$AA$4:$AA$303)+SUMIFS(资金日记账!$I$4:$I$603,资金日记账!$G$4:$G$603,$A61,资金日记账!$U$4:$U$603,"&lt;&gt;是"),2))</f>
        <v/>
      </c>
      <c r="AB61" s="76" t="str">
        <f ca="1" t="shared" si="2"/>
        <v/>
      </c>
    </row>
    <row r="62" spans="1:28">
      <c r="A62" s="86" t="str">
        <f>IFERROR(INDEX(_自动清单!$X$4:$X$63,58),"")</f>
        <v/>
      </c>
      <c r="B62" s="76" t="str">
        <f ca="1">IF($A62="","",ROUND(SUMIFS(成本费用登记表!$H$4:$H$303,成本费用登记表!$D$4:$D$303,$A62,成本费用登记表!$AC$4:$AC$303,B$4)+SUMIFS(资金日记账!$I$4:$I$603,资金日记账!$G$4:$G$603,$A62,资金日记账!$U$4:$U$603,"&lt;&gt;是",资金日记账!$V$4:$V$603,B$4),2))</f>
        <v/>
      </c>
      <c r="C62" s="76" t="str">
        <f ca="1">IF($A62="","",ROUND(SUMIFS(成本费用登记表!$H$4:$H$303,成本费用登记表!$D$4:$D$303,$A62,成本费用登记表!$AC$4:$AC$303,C$4)+SUMIFS(资金日记账!$I$4:$I$603,资金日记账!$G$4:$G$603,$A62,资金日记账!$U$4:$U$603,"&lt;&gt;是",资金日记账!$V$4:$V$603,C$4),2))</f>
        <v/>
      </c>
      <c r="D62" s="76" t="str">
        <f ca="1">IF($A62="","",ROUND(SUMIFS(成本费用登记表!$H$4:$H$303,成本费用登记表!$D$4:$D$303,$A62,成本费用登记表!$AC$4:$AC$303,D$4)+SUMIFS(资金日记账!$I$4:$I$603,资金日记账!$G$4:$G$603,$A62,资金日记账!$U$4:$U$603,"&lt;&gt;是",资金日记账!$V$4:$V$603,D$4),2))</f>
        <v/>
      </c>
      <c r="E62" s="76" t="str">
        <f ca="1">IF($A62="","",ROUND(SUMIFS(成本费用登记表!$H$4:$H$303,成本费用登记表!$D$4:$D$303,$A62,成本费用登记表!$AC$4:$AC$303,E$4)+SUMIFS(资金日记账!$I$4:$I$603,资金日记账!$G$4:$G$603,$A62,资金日记账!$U$4:$U$603,"&lt;&gt;是",资金日记账!$V$4:$V$603,E$4),2))</f>
        <v/>
      </c>
      <c r="F62" s="76" t="str">
        <f ca="1">IF($A62="","",ROUND(SUMIFS(成本费用登记表!$H$4:$H$303,成本费用登记表!$D$4:$D$303,$A62,成本费用登记表!$AC$4:$AC$303,F$4)+SUMIFS(资金日记账!$I$4:$I$603,资金日记账!$G$4:$G$603,$A62,资金日记账!$U$4:$U$603,"&lt;&gt;是",资金日记账!$V$4:$V$603,F$4),2))</f>
        <v/>
      </c>
      <c r="G62" s="76" t="str">
        <f ca="1">IF($A62="","",ROUND(SUMIFS(成本费用登记表!$H$4:$H$303,成本费用登记表!$D$4:$D$303,$A62,成本费用登记表!$AC$4:$AC$303,G$4)+SUMIFS(资金日记账!$I$4:$I$603,资金日记账!$G$4:$G$603,$A62,资金日记账!$U$4:$U$603,"&lt;&gt;是",资金日记账!$V$4:$V$603,G$4),2))</f>
        <v/>
      </c>
      <c r="H62" s="76" t="str">
        <f ca="1">IF($A62="","",ROUND(SUMIFS(成本费用登记表!$H$4:$H$303,成本费用登记表!$D$4:$D$303,$A62,成本费用登记表!$AC$4:$AC$303,H$4)+SUMIFS(资金日记账!$I$4:$I$603,资金日记账!$G$4:$G$603,$A62,资金日记账!$U$4:$U$603,"&lt;&gt;是",资金日记账!$V$4:$V$603,H$4),2))</f>
        <v/>
      </c>
      <c r="I62" s="76" t="str">
        <f ca="1">IF($A62="","",ROUND(SUMIFS(成本费用登记表!$H$4:$H$303,成本费用登记表!$D$4:$D$303,$A62,成本费用登记表!$AC$4:$AC$303,I$4)+SUMIFS(资金日记账!$I$4:$I$603,资金日记账!$G$4:$G$603,$A62,资金日记账!$U$4:$U$603,"&lt;&gt;是",资金日记账!$V$4:$V$603,I$4),2))</f>
        <v/>
      </c>
      <c r="J62" s="76" t="str">
        <f ca="1">IF($A62="","",ROUND(SUMIFS(成本费用登记表!$H$4:$H$303,成本费用登记表!$D$4:$D$303,$A62,成本费用登记表!$AC$4:$AC$303,J$4)+SUMIFS(资金日记账!$I$4:$I$603,资金日记账!$G$4:$G$603,$A62,资金日记账!$U$4:$U$603,"&lt;&gt;是",资金日记账!$V$4:$V$603,J$4),2))</f>
        <v/>
      </c>
      <c r="K62" s="76" t="str">
        <f ca="1">IF($A62="","",ROUND(SUMIFS(成本费用登记表!$H$4:$H$303,成本费用登记表!$D$4:$D$303,$A62,成本费用登记表!$AC$4:$AC$303,K$4)+SUMIFS(资金日记账!$I$4:$I$603,资金日记账!$G$4:$G$603,$A62,资金日记账!$U$4:$U$603,"&lt;&gt;是",资金日记账!$V$4:$V$603,K$4),2))</f>
        <v/>
      </c>
      <c r="L62" s="76" t="str">
        <f ca="1">IF($A62="","",ROUND(SUMIFS(成本费用登记表!$H$4:$H$303,成本费用登记表!$D$4:$D$303,$A62,成本费用登记表!$AC$4:$AC$303,L$4)+SUMIFS(资金日记账!$I$4:$I$603,资金日记账!$G$4:$G$603,$A62,资金日记账!$U$4:$U$603,"&lt;&gt;是",资金日记账!$V$4:$V$603,L$4),2))</f>
        <v/>
      </c>
      <c r="M62" s="76" t="str">
        <f ca="1">IF($A62="","",ROUND(SUMIFS(成本费用登记表!$H$4:$H$303,成本费用登记表!$D$4:$D$303,$A62,成本费用登记表!$AC$4:$AC$303,M$4)+SUMIFS(资金日记账!$I$4:$I$603,资金日记账!$G$4:$G$603,$A62,资金日记账!$U$4:$U$603,"&lt;&gt;是",资金日记账!$V$4:$V$603,M$4),2))</f>
        <v/>
      </c>
      <c r="N62" s="76" t="str">
        <f ca="1">IF($A62="","",ROUND(SUMIFS(成本费用登记表!$H$4:$H$303,成本费用登记表!$D$4:$D$303,$A62,成本费用登记表!$AC$4:$AC$303,N$4)+SUMIFS(资金日记账!$I$4:$I$603,资金日记账!$G$4:$G$603,$A62,资金日记账!$U$4:$U$603,"&lt;&gt;是",资金日记账!$V$4:$V$603,N$4),2))</f>
        <v/>
      </c>
      <c r="O62" s="76" t="str">
        <f ca="1">IF($A62="","",ROUND(SUMIFS(成本费用登记表!$H$4:$H$303,成本费用登记表!$D$4:$D$303,$A62,成本费用登记表!$AC$4:$AC$303,O$4)+SUMIFS(资金日记账!$I$4:$I$603,资金日记账!$G$4:$G$603,$A62,资金日记账!$U$4:$U$603,"&lt;&gt;是",资金日记账!$V$4:$V$603,O$4),2))</f>
        <v/>
      </c>
      <c r="P62" s="76" t="str">
        <f ca="1">IF($A62="","",ROUND(SUMIFS(成本费用登记表!$H$4:$H$303,成本费用登记表!$D$4:$D$303,$A62,成本费用登记表!$AC$4:$AC$303,P$4)+SUMIFS(资金日记账!$I$4:$I$603,资金日记账!$G$4:$G$603,$A62,资金日记账!$U$4:$U$603,"&lt;&gt;是",资金日记账!$V$4:$V$603,P$4),2))</f>
        <v/>
      </c>
      <c r="Q62" s="76" t="str">
        <f ca="1">IF($A62="","",ROUND(SUMIFS(成本费用登记表!$H$4:$H$303,成本费用登记表!$D$4:$D$303,$A62,成本费用登记表!$AC$4:$AC$303,Q$4)+SUMIFS(资金日记账!$I$4:$I$603,资金日记账!$G$4:$G$603,$A62,资金日记账!$U$4:$U$603,"&lt;&gt;是",资金日记账!$V$4:$V$603,Q$4),2))</f>
        <v/>
      </c>
      <c r="R62" s="76" t="str">
        <f ca="1">IF($A62="","",ROUND(SUMIFS(成本费用登记表!$H$4:$H$303,成本费用登记表!$D$4:$D$303,$A62,成本费用登记表!$AC$4:$AC$303,R$4)+SUMIFS(资金日记账!$I$4:$I$603,资金日记账!$G$4:$G$603,$A62,资金日记账!$U$4:$U$603,"&lt;&gt;是",资金日记账!$V$4:$V$603,R$4),2))</f>
        <v/>
      </c>
      <c r="S62" s="76" t="str">
        <f ca="1">IF($A62="","",ROUND(SUMIFS(成本费用登记表!$H$4:$H$303,成本费用登记表!$D$4:$D$303,$A62,成本费用登记表!$AC$4:$AC$303,S$4)+SUMIFS(资金日记账!$I$4:$I$603,资金日记账!$G$4:$G$603,$A62,资金日记账!$U$4:$U$603,"&lt;&gt;是",资金日记账!$V$4:$V$603,S$4),2))</f>
        <v/>
      </c>
      <c r="T62" s="76" t="str">
        <f ca="1">IF($A62="","",ROUND(SUMIFS(成本费用登记表!$H$4:$H$303,成本费用登记表!$D$4:$D$303,$A62,成本费用登记表!$AC$4:$AC$303,T$4)+SUMIFS(资金日记账!$I$4:$I$603,资金日记账!$G$4:$G$603,$A62,资金日记账!$U$4:$U$603,"&lt;&gt;是",资金日记账!$V$4:$V$603,T$4),2))</f>
        <v/>
      </c>
      <c r="U62" s="76" t="str">
        <f ca="1">IF($A62="","",ROUND(SUMIFS(成本费用登记表!$H$4:$H$303,成本费用登记表!$D$4:$D$303,$A62,成本费用登记表!$AC$4:$AC$303,U$4)+SUMIFS(资金日记账!$I$4:$I$603,资金日记账!$G$4:$G$603,$A62,资金日记账!$U$4:$U$603,"&lt;&gt;是",资金日记账!$V$4:$V$603,U$4),2))</f>
        <v/>
      </c>
      <c r="V62" s="76" t="str">
        <f ca="1">IF($A62="","",ROUND(SUMIFS(成本费用登记表!$H$4:$H$303,成本费用登记表!$D$4:$D$303,$A62,成本费用登记表!$AC$4:$AC$303,V$4)+SUMIFS(资金日记账!$I$4:$I$603,资金日记账!$G$4:$G$603,$A62,资金日记账!$U$4:$U$603,"&lt;&gt;是",资金日记账!$V$4:$V$603,V$4),2))</f>
        <v/>
      </c>
      <c r="W62" s="76" t="str">
        <f ca="1">IF($A62="","",ROUND(SUMIFS(成本费用登记表!$H$4:$H$303,成本费用登记表!$D$4:$D$303,$A62,成本费用登记表!$AC$4:$AC$303,W$4)+SUMIFS(资金日记账!$I$4:$I$603,资金日记账!$G$4:$G$603,$A62,资金日记账!$U$4:$U$603,"&lt;&gt;是",资金日记账!$V$4:$V$603,W$4),2))</f>
        <v/>
      </c>
      <c r="X62" s="76" t="str">
        <f ca="1">IF($A62="","",ROUND(SUMIFS(成本费用登记表!$H$4:$H$303,成本费用登记表!$D$4:$D$303,$A62,成本费用登记表!$AC$4:$AC$303,X$4)+SUMIFS(资金日记账!$I$4:$I$603,资金日记账!$G$4:$G$603,$A62,资金日记账!$U$4:$U$603,"&lt;&gt;是",资金日记账!$V$4:$V$603,X$4),2))</f>
        <v/>
      </c>
      <c r="Y62" s="76" t="str">
        <f ca="1">IF($A62="","",ROUND(SUMIFS(成本费用登记表!$H$4:$H$303,成本费用登记表!$D$4:$D$303,$A62,成本费用登记表!$AC$4:$AC$303,Y$4)+SUMIFS(资金日记账!$I$4:$I$603,资金日记账!$G$4:$G$603,$A62,资金日记账!$U$4:$U$603,"&lt;&gt;是",资金日记账!$V$4:$V$603,Y$4),2))</f>
        <v/>
      </c>
      <c r="Z62" s="87" t="str">
        <f ca="1" t="shared" si="1"/>
        <v/>
      </c>
      <c r="AA62" s="76" t="str">
        <f>IF($A62="","",ROUND(SUMIF(成本费用登记表!$D$4:$D$303,$A62,成本费用登记表!$AA$4:$AA$303)+SUMIFS(资金日记账!$I$4:$I$603,资金日记账!$G$4:$G$603,$A62,资金日记账!$U$4:$U$603,"&lt;&gt;是"),2))</f>
        <v/>
      </c>
      <c r="AB62" s="76" t="str">
        <f ca="1" t="shared" si="2"/>
        <v/>
      </c>
    </row>
    <row r="63" spans="1:28">
      <c r="A63" s="86" t="str">
        <f>IFERROR(INDEX(_自动清单!$X$4:$X$63,59),"")</f>
        <v/>
      </c>
      <c r="B63" s="76" t="str">
        <f ca="1">IF($A63="","",ROUND(SUMIFS(成本费用登记表!$H$4:$H$303,成本费用登记表!$D$4:$D$303,$A63,成本费用登记表!$AC$4:$AC$303,B$4)+SUMIFS(资金日记账!$I$4:$I$603,资金日记账!$G$4:$G$603,$A63,资金日记账!$U$4:$U$603,"&lt;&gt;是",资金日记账!$V$4:$V$603,B$4),2))</f>
        <v/>
      </c>
      <c r="C63" s="76" t="str">
        <f ca="1">IF($A63="","",ROUND(SUMIFS(成本费用登记表!$H$4:$H$303,成本费用登记表!$D$4:$D$303,$A63,成本费用登记表!$AC$4:$AC$303,C$4)+SUMIFS(资金日记账!$I$4:$I$603,资金日记账!$G$4:$G$603,$A63,资金日记账!$U$4:$U$603,"&lt;&gt;是",资金日记账!$V$4:$V$603,C$4),2))</f>
        <v/>
      </c>
      <c r="D63" s="76" t="str">
        <f ca="1">IF($A63="","",ROUND(SUMIFS(成本费用登记表!$H$4:$H$303,成本费用登记表!$D$4:$D$303,$A63,成本费用登记表!$AC$4:$AC$303,D$4)+SUMIFS(资金日记账!$I$4:$I$603,资金日记账!$G$4:$G$603,$A63,资金日记账!$U$4:$U$603,"&lt;&gt;是",资金日记账!$V$4:$V$603,D$4),2))</f>
        <v/>
      </c>
      <c r="E63" s="76" t="str">
        <f ca="1">IF($A63="","",ROUND(SUMIFS(成本费用登记表!$H$4:$H$303,成本费用登记表!$D$4:$D$303,$A63,成本费用登记表!$AC$4:$AC$303,E$4)+SUMIFS(资金日记账!$I$4:$I$603,资金日记账!$G$4:$G$603,$A63,资金日记账!$U$4:$U$603,"&lt;&gt;是",资金日记账!$V$4:$V$603,E$4),2))</f>
        <v/>
      </c>
      <c r="F63" s="76" t="str">
        <f ca="1">IF($A63="","",ROUND(SUMIFS(成本费用登记表!$H$4:$H$303,成本费用登记表!$D$4:$D$303,$A63,成本费用登记表!$AC$4:$AC$303,F$4)+SUMIFS(资金日记账!$I$4:$I$603,资金日记账!$G$4:$G$603,$A63,资金日记账!$U$4:$U$603,"&lt;&gt;是",资金日记账!$V$4:$V$603,F$4),2))</f>
        <v/>
      </c>
      <c r="G63" s="76" t="str">
        <f ca="1">IF($A63="","",ROUND(SUMIFS(成本费用登记表!$H$4:$H$303,成本费用登记表!$D$4:$D$303,$A63,成本费用登记表!$AC$4:$AC$303,G$4)+SUMIFS(资金日记账!$I$4:$I$603,资金日记账!$G$4:$G$603,$A63,资金日记账!$U$4:$U$603,"&lt;&gt;是",资金日记账!$V$4:$V$603,G$4),2))</f>
        <v/>
      </c>
      <c r="H63" s="76" t="str">
        <f ca="1">IF($A63="","",ROUND(SUMIFS(成本费用登记表!$H$4:$H$303,成本费用登记表!$D$4:$D$303,$A63,成本费用登记表!$AC$4:$AC$303,H$4)+SUMIFS(资金日记账!$I$4:$I$603,资金日记账!$G$4:$G$603,$A63,资金日记账!$U$4:$U$603,"&lt;&gt;是",资金日记账!$V$4:$V$603,H$4),2))</f>
        <v/>
      </c>
      <c r="I63" s="76" t="str">
        <f ca="1">IF($A63="","",ROUND(SUMIFS(成本费用登记表!$H$4:$H$303,成本费用登记表!$D$4:$D$303,$A63,成本费用登记表!$AC$4:$AC$303,I$4)+SUMIFS(资金日记账!$I$4:$I$603,资金日记账!$G$4:$G$603,$A63,资金日记账!$U$4:$U$603,"&lt;&gt;是",资金日记账!$V$4:$V$603,I$4),2))</f>
        <v/>
      </c>
      <c r="J63" s="76" t="str">
        <f ca="1">IF($A63="","",ROUND(SUMIFS(成本费用登记表!$H$4:$H$303,成本费用登记表!$D$4:$D$303,$A63,成本费用登记表!$AC$4:$AC$303,J$4)+SUMIFS(资金日记账!$I$4:$I$603,资金日记账!$G$4:$G$603,$A63,资金日记账!$U$4:$U$603,"&lt;&gt;是",资金日记账!$V$4:$V$603,J$4),2))</f>
        <v/>
      </c>
      <c r="K63" s="76" t="str">
        <f ca="1">IF($A63="","",ROUND(SUMIFS(成本费用登记表!$H$4:$H$303,成本费用登记表!$D$4:$D$303,$A63,成本费用登记表!$AC$4:$AC$303,K$4)+SUMIFS(资金日记账!$I$4:$I$603,资金日记账!$G$4:$G$603,$A63,资金日记账!$U$4:$U$603,"&lt;&gt;是",资金日记账!$V$4:$V$603,K$4),2))</f>
        <v/>
      </c>
      <c r="L63" s="76" t="str">
        <f ca="1">IF($A63="","",ROUND(SUMIFS(成本费用登记表!$H$4:$H$303,成本费用登记表!$D$4:$D$303,$A63,成本费用登记表!$AC$4:$AC$303,L$4)+SUMIFS(资金日记账!$I$4:$I$603,资金日记账!$G$4:$G$603,$A63,资金日记账!$U$4:$U$603,"&lt;&gt;是",资金日记账!$V$4:$V$603,L$4),2))</f>
        <v/>
      </c>
      <c r="M63" s="76" t="str">
        <f ca="1">IF($A63="","",ROUND(SUMIFS(成本费用登记表!$H$4:$H$303,成本费用登记表!$D$4:$D$303,$A63,成本费用登记表!$AC$4:$AC$303,M$4)+SUMIFS(资金日记账!$I$4:$I$603,资金日记账!$G$4:$G$603,$A63,资金日记账!$U$4:$U$603,"&lt;&gt;是",资金日记账!$V$4:$V$603,M$4),2))</f>
        <v/>
      </c>
      <c r="N63" s="76" t="str">
        <f ca="1">IF($A63="","",ROUND(SUMIFS(成本费用登记表!$H$4:$H$303,成本费用登记表!$D$4:$D$303,$A63,成本费用登记表!$AC$4:$AC$303,N$4)+SUMIFS(资金日记账!$I$4:$I$603,资金日记账!$G$4:$G$603,$A63,资金日记账!$U$4:$U$603,"&lt;&gt;是",资金日记账!$V$4:$V$603,N$4),2))</f>
        <v/>
      </c>
      <c r="O63" s="76" t="str">
        <f ca="1">IF($A63="","",ROUND(SUMIFS(成本费用登记表!$H$4:$H$303,成本费用登记表!$D$4:$D$303,$A63,成本费用登记表!$AC$4:$AC$303,O$4)+SUMIFS(资金日记账!$I$4:$I$603,资金日记账!$G$4:$G$603,$A63,资金日记账!$U$4:$U$603,"&lt;&gt;是",资金日记账!$V$4:$V$603,O$4),2))</f>
        <v/>
      </c>
      <c r="P63" s="76" t="str">
        <f ca="1">IF($A63="","",ROUND(SUMIFS(成本费用登记表!$H$4:$H$303,成本费用登记表!$D$4:$D$303,$A63,成本费用登记表!$AC$4:$AC$303,P$4)+SUMIFS(资金日记账!$I$4:$I$603,资金日记账!$G$4:$G$603,$A63,资金日记账!$U$4:$U$603,"&lt;&gt;是",资金日记账!$V$4:$V$603,P$4),2))</f>
        <v/>
      </c>
      <c r="Q63" s="76" t="str">
        <f ca="1">IF($A63="","",ROUND(SUMIFS(成本费用登记表!$H$4:$H$303,成本费用登记表!$D$4:$D$303,$A63,成本费用登记表!$AC$4:$AC$303,Q$4)+SUMIFS(资金日记账!$I$4:$I$603,资金日记账!$G$4:$G$603,$A63,资金日记账!$U$4:$U$603,"&lt;&gt;是",资金日记账!$V$4:$V$603,Q$4),2))</f>
        <v/>
      </c>
      <c r="R63" s="76" t="str">
        <f ca="1">IF($A63="","",ROUND(SUMIFS(成本费用登记表!$H$4:$H$303,成本费用登记表!$D$4:$D$303,$A63,成本费用登记表!$AC$4:$AC$303,R$4)+SUMIFS(资金日记账!$I$4:$I$603,资金日记账!$G$4:$G$603,$A63,资金日记账!$U$4:$U$603,"&lt;&gt;是",资金日记账!$V$4:$V$603,R$4),2))</f>
        <v/>
      </c>
      <c r="S63" s="76" t="str">
        <f ca="1">IF($A63="","",ROUND(SUMIFS(成本费用登记表!$H$4:$H$303,成本费用登记表!$D$4:$D$303,$A63,成本费用登记表!$AC$4:$AC$303,S$4)+SUMIFS(资金日记账!$I$4:$I$603,资金日记账!$G$4:$G$603,$A63,资金日记账!$U$4:$U$603,"&lt;&gt;是",资金日记账!$V$4:$V$603,S$4),2))</f>
        <v/>
      </c>
      <c r="T63" s="76" t="str">
        <f ca="1">IF($A63="","",ROUND(SUMIFS(成本费用登记表!$H$4:$H$303,成本费用登记表!$D$4:$D$303,$A63,成本费用登记表!$AC$4:$AC$303,T$4)+SUMIFS(资金日记账!$I$4:$I$603,资金日记账!$G$4:$G$603,$A63,资金日记账!$U$4:$U$603,"&lt;&gt;是",资金日记账!$V$4:$V$603,T$4),2))</f>
        <v/>
      </c>
      <c r="U63" s="76" t="str">
        <f ca="1">IF($A63="","",ROUND(SUMIFS(成本费用登记表!$H$4:$H$303,成本费用登记表!$D$4:$D$303,$A63,成本费用登记表!$AC$4:$AC$303,U$4)+SUMIFS(资金日记账!$I$4:$I$603,资金日记账!$G$4:$G$603,$A63,资金日记账!$U$4:$U$603,"&lt;&gt;是",资金日记账!$V$4:$V$603,U$4),2))</f>
        <v/>
      </c>
      <c r="V63" s="76" t="str">
        <f ca="1">IF($A63="","",ROUND(SUMIFS(成本费用登记表!$H$4:$H$303,成本费用登记表!$D$4:$D$303,$A63,成本费用登记表!$AC$4:$AC$303,V$4)+SUMIFS(资金日记账!$I$4:$I$603,资金日记账!$G$4:$G$603,$A63,资金日记账!$U$4:$U$603,"&lt;&gt;是",资金日记账!$V$4:$V$603,V$4),2))</f>
        <v/>
      </c>
      <c r="W63" s="76" t="str">
        <f ca="1">IF($A63="","",ROUND(SUMIFS(成本费用登记表!$H$4:$H$303,成本费用登记表!$D$4:$D$303,$A63,成本费用登记表!$AC$4:$AC$303,W$4)+SUMIFS(资金日记账!$I$4:$I$603,资金日记账!$G$4:$G$603,$A63,资金日记账!$U$4:$U$603,"&lt;&gt;是",资金日记账!$V$4:$V$603,W$4),2))</f>
        <v/>
      </c>
      <c r="X63" s="76" t="str">
        <f ca="1">IF($A63="","",ROUND(SUMIFS(成本费用登记表!$H$4:$H$303,成本费用登记表!$D$4:$D$303,$A63,成本费用登记表!$AC$4:$AC$303,X$4)+SUMIFS(资金日记账!$I$4:$I$603,资金日记账!$G$4:$G$603,$A63,资金日记账!$U$4:$U$603,"&lt;&gt;是",资金日记账!$V$4:$V$603,X$4),2))</f>
        <v/>
      </c>
      <c r="Y63" s="76" t="str">
        <f ca="1">IF($A63="","",ROUND(SUMIFS(成本费用登记表!$H$4:$H$303,成本费用登记表!$D$4:$D$303,$A63,成本费用登记表!$AC$4:$AC$303,Y$4)+SUMIFS(资金日记账!$I$4:$I$603,资金日记账!$G$4:$G$603,$A63,资金日记账!$U$4:$U$603,"&lt;&gt;是",资金日记账!$V$4:$V$603,Y$4),2))</f>
        <v/>
      </c>
      <c r="Z63" s="87" t="str">
        <f ca="1" t="shared" si="1"/>
        <v/>
      </c>
      <c r="AA63" s="76" t="str">
        <f>IF($A63="","",ROUND(SUMIF(成本费用登记表!$D$4:$D$303,$A63,成本费用登记表!$AA$4:$AA$303)+SUMIFS(资金日记账!$I$4:$I$603,资金日记账!$G$4:$G$603,$A63,资金日记账!$U$4:$U$603,"&lt;&gt;是"),2))</f>
        <v/>
      </c>
      <c r="AB63" s="76" t="str">
        <f ca="1" t="shared" si="2"/>
        <v/>
      </c>
    </row>
    <row r="64" spans="1:28">
      <c r="A64" s="86" t="str">
        <f>IFERROR(INDEX(_自动清单!$X$4:$X$63,60),"")</f>
        <v/>
      </c>
      <c r="B64" s="76" t="str">
        <f ca="1">IF($A64="","",ROUND(SUMIFS(成本费用登记表!$H$4:$H$303,成本费用登记表!$D$4:$D$303,$A64,成本费用登记表!$AC$4:$AC$303,B$4)+SUMIFS(资金日记账!$I$4:$I$603,资金日记账!$G$4:$G$603,$A64,资金日记账!$U$4:$U$603,"&lt;&gt;是",资金日记账!$V$4:$V$603,B$4),2))</f>
        <v/>
      </c>
      <c r="C64" s="76" t="str">
        <f ca="1">IF($A64="","",ROUND(SUMIFS(成本费用登记表!$H$4:$H$303,成本费用登记表!$D$4:$D$303,$A64,成本费用登记表!$AC$4:$AC$303,C$4)+SUMIFS(资金日记账!$I$4:$I$603,资金日记账!$G$4:$G$603,$A64,资金日记账!$U$4:$U$603,"&lt;&gt;是",资金日记账!$V$4:$V$603,C$4),2))</f>
        <v/>
      </c>
      <c r="D64" s="76" t="str">
        <f ca="1">IF($A64="","",ROUND(SUMIFS(成本费用登记表!$H$4:$H$303,成本费用登记表!$D$4:$D$303,$A64,成本费用登记表!$AC$4:$AC$303,D$4)+SUMIFS(资金日记账!$I$4:$I$603,资金日记账!$G$4:$G$603,$A64,资金日记账!$U$4:$U$603,"&lt;&gt;是",资金日记账!$V$4:$V$603,D$4),2))</f>
        <v/>
      </c>
      <c r="E64" s="76" t="str">
        <f ca="1">IF($A64="","",ROUND(SUMIFS(成本费用登记表!$H$4:$H$303,成本费用登记表!$D$4:$D$303,$A64,成本费用登记表!$AC$4:$AC$303,E$4)+SUMIFS(资金日记账!$I$4:$I$603,资金日记账!$G$4:$G$603,$A64,资金日记账!$U$4:$U$603,"&lt;&gt;是",资金日记账!$V$4:$V$603,E$4),2))</f>
        <v/>
      </c>
      <c r="F64" s="76" t="str">
        <f ca="1">IF($A64="","",ROUND(SUMIFS(成本费用登记表!$H$4:$H$303,成本费用登记表!$D$4:$D$303,$A64,成本费用登记表!$AC$4:$AC$303,F$4)+SUMIFS(资金日记账!$I$4:$I$603,资金日记账!$G$4:$G$603,$A64,资金日记账!$U$4:$U$603,"&lt;&gt;是",资金日记账!$V$4:$V$603,F$4),2))</f>
        <v/>
      </c>
      <c r="G64" s="76" t="str">
        <f ca="1">IF($A64="","",ROUND(SUMIFS(成本费用登记表!$H$4:$H$303,成本费用登记表!$D$4:$D$303,$A64,成本费用登记表!$AC$4:$AC$303,G$4)+SUMIFS(资金日记账!$I$4:$I$603,资金日记账!$G$4:$G$603,$A64,资金日记账!$U$4:$U$603,"&lt;&gt;是",资金日记账!$V$4:$V$603,G$4),2))</f>
        <v/>
      </c>
      <c r="H64" s="76" t="str">
        <f ca="1">IF($A64="","",ROUND(SUMIFS(成本费用登记表!$H$4:$H$303,成本费用登记表!$D$4:$D$303,$A64,成本费用登记表!$AC$4:$AC$303,H$4)+SUMIFS(资金日记账!$I$4:$I$603,资金日记账!$G$4:$G$603,$A64,资金日记账!$U$4:$U$603,"&lt;&gt;是",资金日记账!$V$4:$V$603,H$4),2))</f>
        <v/>
      </c>
      <c r="I64" s="76" t="str">
        <f ca="1">IF($A64="","",ROUND(SUMIFS(成本费用登记表!$H$4:$H$303,成本费用登记表!$D$4:$D$303,$A64,成本费用登记表!$AC$4:$AC$303,I$4)+SUMIFS(资金日记账!$I$4:$I$603,资金日记账!$G$4:$G$603,$A64,资金日记账!$U$4:$U$603,"&lt;&gt;是",资金日记账!$V$4:$V$603,I$4),2))</f>
        <v/>
      </c>
      <c r="J64" s="76" t="str">
        <f ca="1">IF($A64="","",ROUND(SUMIFS(成本费用登记表!$H$4:$H$303,成本费用登记表!$D$4:$D$303,$A64,成本费用登记表!$AC$4:$AC$303,J$4)+SUMIFS(资金日记账!$I$4:$I$603,资金日记账!$G$4:$G$603,$A64,资金日记账!$U$4:$U$603,"&lt;&gt;是",资金日记账!$V$4:$V$603,J$4),2))</f>
        <v/>
      </c>
      <c r="K64" s="76" t="str">
        <f ca="1">IF($A64="","",ROUND(SUMIFS(成本费用登记表!$H$4:$H$303,成本费用登记表!$D$4:$D$303,$A64,成本费用登记表!$AC$4:$AC$303,K$4)+SUMIFS(资金日记账!$I$4:$I$603,资金日记账!$G$4:$G$603,$A64,资金日记账!$U$4:$U$603,"&lt;&gt;是",资金日记账!$V$4:$V$603,K$4),2))</f>
        <v/>
      </c>
      <c r="L64" s="76" t="str">
        <f ca="1">IF($A64="","",ROUND(SUMIFS(成本费用登记表!$H$4:$H$303,成本费用登记表!$D$4:$D$303,$A64,成本费用登记表!$AC$4:$AC$303,L$4)+SUMIFS(资金日记账!$I$4:$I$603,资金日记账!$G$4:$G$603,$A64,资金日记账!$U$4:$U$603,"&lt;&gt;是",资金日记账!$V$4:$V$603,L$4),2))</f>
        <v/>
      </c>
      <c r="M64" s="76" t="str">
        <f ca="1">IF($A64="","",ROUND(SUMIFS(成本费用登记表!$H$4:$H$303,成本费用登记表!$D$4:$D$303,$A64,成本费用登记表!$AC$4:$AC$303,M$4)+SUMIFS(资金日记账!$I$4:$I$603,资金日记账!$G$4:$G$603,$A64,资金日记账!$U$4:$U$603,"&lt;&gt;是",资金日记账!$V$4:$V$603,M$4),2))</f>
        <v/>
      </c>
      <c r="N64" s="76" t="str">
        <f ca="1">IF($A64="","",ROUND(SUMIFS(成本费用登记表!$H$4:$H$303,成本费用登记表!$D$4:$D$303,$A64,成本费用登记表!$AC$4:$AC$303,N$4)+SUMIFS(资金日记账!$I$4:$I$603,资金日记账!$G$4:$G$603,$A64,资金日记账!$U$4:$U$603,"&lt;&gt;是",资金日记账!$V$4:$V$603,N$4),2))</f>
        <v/>
      </c>
      <c r="O64" s="76" t="str">
        <f ca="1">IF($A64="","",ROUND(SUMIFS(成本费用登记表!$H$4:$H$303,成本费用登记表!$D$4:$D$303,$A64,成本费用登记表!$AC$4:$AC$303,O$4)+SUMIFS(资金日记账!$I$4:$I$603,资金日记账!$G$4:$G$603,$A64,资金日记账!$U$4:$U$603,"&lt;&gt;是",资金日记账!$V$4:$V$603,O$4),2))</f>
        <v/>
      </c>
      <c r="P64" s="76" t="str">
        <f ca="1">IF($A64="","",ROUND(SUMIFS(成本费用登记表!$H$4:$H$303,成本费用登记表!$D$4:$D$303,$A64,成本费用登记表!$AC$4:$AC$303,P$4)+SUMIFS(资金日记账!$I$4:$I$603,资金日记账!$G$4:$G$603,$A64,资金日记账!$U$4:$U$603,"&lt;&gt;是",资金日记账!$V$4:$V$603,P$4),2))</f>
        <v/>
      </c>
      <c r="Q64" s="76" t="str">
        <f ca="1">IF($A64="","",ROUND(SUMIFS(成本费用登记表!$H$4:$H$303,成本费用登记表!$D$4:$D$303,$A64,成本费用登记表!$AC$4:$AC$303,Q$4)+SUMIFS(资金日记账!$I$4:$I$603,资金日记账!$G$4:$G$603,$A64,资金日记账!$U$4:$U$603,"&lt;&gt;是",资金日记账!$V$4:$V$603,Q$4),2))</f>
        <v/>
      </c>
      <c r="R64" s="76" t="str">
        <f ca="1">IF($A64="","",ROUND(SUMIFS(成本费用登记表!$H$4:$H$303,成本费用登记表!$D$4:$D$303,$A64,成本费用登记表!$AC$4:$AC$303,R$4)+SUMIFS(资金日记账!$I$4:$I$603,资金日记账!$G$4:$G$603,$A64,资金日记账!$U$4:$U$603,"&lt;&gt;是",资金日记账!$V$4:$V$603,R$4),2))</f>
        <v/>
      </c>
      <c r="S64" s="76" t="str">
        <f ca="1">IF($A64="","",ROUND(SUMIFS(成本费用登记表!$H$4:$H$303,成本费用登记表!$D$4:$D$303,$A64,成本费用登记表!$AC$4:$AC$303,S$4)+SUMIFS(资金日记账!$I$4:$I$603,资金日记账!$G$4:$G$603,$A64,资金日记账!$U$4:$U$603,"&lt;&gt;是",资金日记账!$V$4:$V$603,S$4),2))</f>
        <v/>
      </c>
      <c r="T64" s="76" t="str">
        <f ca="1">IF($A64="","",ROUND(SUMIFS(成本费用登记表!$H$4:$H$303,成本费用登记表!$D$4:$D$303,$A64,成本费用登记表!$AC$4:$AC$303,T$4)+SUMIFS(资金日记账!$I$4:$I$603,资金日记账!$G$4:$G$603,$A64,资金日记账!$U$4:$U$603,"&lt;&gt;是",资金日记账!$V$4:$V$603,T$4),2))</f>
        <v/>
      </c>
      <c r="U64" s="76" t="str">
        <f ca="1">IF($A64="","",ROUND(SUMIFS(成本费用登记表!$H$4:$H$303,成本费用登记表!$D$4:$D$303,$A64,成本费用登记表!$AC$4:$AC$303,U$4)+SUMIFS(资金日记账!$I$4:$I$603,资金日记账!$G$4:$G$603,$A64,资金日记账!$U$4:$U$603,"&lt;&gt;是",资金日记账!$V$4:$V$603,U$4),2))</f>
        <v/>
      </c>
      <c r="V64" s="76" t="str">
        <f ca="1">IF($A64="","",ROUND(SUMIFS(成本费用登记表!$H$4:$H$303,成本费用登记表!$D$4:$D$303,$A64,成本费用登记表!$AC$4:$AC$303,V$4)+SUMIFS(资金日记账!$I$4:$I$603,资金日记账!$G$4:$G$603,$A64,资金日记账!$U$4:$U$603,"&lt;&gt;是",资金日记账!$V$4:$V$603,V$4),2))</f>
        <v/>
      </c>
      <c r="W64" s="76" t="str">
        <f ca="1">IF($A64="","",ROUND(SUMIFS(成本费用登记表!$H$4:$H$303,成本费用登记表!$D$4:$D$303,$A64,成本费用登记表!$AC$4:$AC$303,W$4)+SUMIFS(资金日记账!$I$4:$I$603,资金日记账!$G$4:$G$603,$A64,资金日记账!$U$4:$U$603,"&lt;&gt;是",资金日记账!$V$4:$V$603,W$4),2))</f>
        <v/>
      </c>
      <c r="X64" s="76" t="str">
        <f ca="1">IF($A64="","",ROUND(SUMIFS(成本费用登记表!$H$4:$H$303,成本费用登记表!$D$4:$D$303,$A64,成本费用登记表!$AC$4:$AC$303,X$4)+SUMIFS(资金日记账!$I$4:$I$603,资金日记账!$G$4:$G$603,$A64,资金日记账!$U$4:$U$603,"&lt;&gt;是",资金日记账!$V$4:$V$603,X$4),2))</f>
        <v/>
      </c>
      <c r="Y64" s="76" t="str">
        <f ca="1">IF($A64="","",ROUND(SUMIFS(成本费用登记表!$H$4:$H$303,成本费用登记表!$D$4:$D$303,$A64,成本费用登记表!$AC$4:$AC$303,Y$4)+SUMIFS(资金日记账!$I$4:$I$603,资金日记账!$G$4:$G$603,$A64,资金日记账!$U$4:$U$603,"&lt;&gt;是",资金日记账!$V$4:$V$603,Y$4),2))</f>
        <v/>
      </c>
      <c r="Z64" s="87" t="str">
        <f ca="1" t="shared" si="1"/>
        <v/>
      </c>
      <c r="AA64" s="76" t="str">
        <f>IF($A64="","",ROUND(SUMIF(成本费用登记表!$D$4:$D$303,$A64,成本费用登记表!$AA$4:$AA$303)+SUMIFS(资金日记账!$I$4:$I$603,资金日记账!$G$4:$G$603,$A64,资金日记账!$U$4:$U$603,"&lt;&gt;是"),2))</f>
        <v/>
      </c>
      <c r="AB64" s="76" t="str">
        <f ca="1" t="shared" si="2"/>
        <v/>
      </c>
    </row>
    <row r="65" spans="1:29">
      <c r="A65" s="79" t="s">
        <v>661</v>
      </c>
      <c r="B65" s="81">
        <f ca="1" t="shared" ref="B65:AC65" si="3">ROUND(SUM(B$5:B$64),2)</f>
        <v>0</v>
      </c>
      <c r="C65" s="81">
        <f ca="1" t="shared" si="3"/>
        <v>0</v>
      </c>
      <c r="D65" s="81">
        <f ca="1" t="shared" si="3"/>
        <v>0</v>
      </c>
      <c r="E65" s="81">
        <f ca="1" t="shared" si="3"/>
        <v>0</v>
      </c>
      <c r="F65" s="81">
        <f ca="1" t="shared" si="3"/>
        <v>0</v>
      </c>
      <c r="G65" s="81">
        <f ca="1" t="shared" si="3"/>
        <v>0</v>
      </c>
      <c r="H65" s="81">
        <f ca="1" t="shared" si="3"/>
        <v>0</v>
      </c>
      <c r="I65" s="81">
        <f ca="1" t="shared" si="3"/>
        <v>0</v>
      </c>
      <c r="J65" s="81">
        <f ca="1" t="shared" si="3"/>
        <v>0</v>
      </c>
      <c r="K65" s="81">
        <f ca="1" t="shared" si="3"/>
        <v>0</v>
      </c>
      <c r="L65" s="81">
        <f ca="1" t="shared" si="3"/>
        <v>0</v>
      </c>
      <c r="M65" s="81">
        <f ca="1" t="shared" si="3"/>
        <v>0</v>
      </c>
      <c r="N65" s="81">
        <f ca="1" t="shared" si="3"/>
        <v>0</v>
      </c>
      <c r="O65" s="81">
        <f ca="1" t="shared" si="3"/>
        <v>0</v>
      </c>
      <c r="P65" s="81">
        <f ca="1" t="shared" si="3"/>
        <v>0</v>
      </c>
      <c r="Q65" s="81">
        <f ca="1" t="shared" si="3"/>
        <v>0</v>
      </c>
      <c r="R65" s="81">
        <f ca="1" t="shared" si="3"/>
        <v>0</v>
      </c>
      <c r="S65" s="81">
        <f ca="1" t="shared" si="3"/>
        <v>0</v>
      </c>
      <c r="T65" s="81">
        <f ca="1" t="shared" si="3"/>
        <v>0</v>
      </c>
      <c r="U65" s="81">
        <f ca="1" t="shared" si="3"/>
        <v>0</v>
      </c>
      <c r="V65" s="81">
        <f ca="1" t="shared" si="3"/>
        <v>0</v>
      </c>
      <c r="W65" s="81">
        <f ca="1" t="shared" si="3"/>
        <v>0</v>
      </c>
      <c r="X65" s="81">
        <f ca="1" t="shared" si="3"/>
        <v>0</v>
      </c>
      <c r="Y65" s="81">
        <f ca="1" t="shared" si="3"/>
        <v>0</v>
      </c>
      <c r="Z65" s="81">
        <f ca="1" t="shared" si="3"/>
        <v>0</v>
      </c>
      <c r="AA65" s="81">
        <f t="shared" si="3"/>
        <v>0</v>
      </c>
      <c r="AB65" s="81">
        <f ca="1" t="shared" si="3"/>
        <v>0</v>
      </c>
      <c r="AC65" s="81">
        <f t="shared" si="3"/>
        <v>0</v>
      </c>
    </row>
    <row r="67" hidden="1" spans="1:29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idden="1" spans="1:29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</sheetData>
  <mergeCells count="3">
    <mergeCell ref="A1:AC1"/>
    <mergeCell ref="A2:D2"/>
    <mergeCell ref="G2:L2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I154"/>
  <sheetViews>
    <sheetView workbookViewId="0">
      <pane ySplit="3" topLeftCell="A4" activePane="bottomLeft" state="frozen"/>
      <selection/>
      <selection pane="bottomLeft" activeCell="I24" sqref="I24"/>
    </sheetView>
  </sheetViews>
  <sheetFormatPr defaultColWidth="9" defaultRowHeight="13.5"/>
  <cols>
    <col min="1" max="1" width="6" customWidth="1"/>
    <col min="2" max="2" width="18" customWidth="1"/>
    <col min="3" max="3" width="10" customWidth="1"/>
    <col min="4" max="6" width="14" customWidth="1"/>
    <col min="7" max="7" width="13" customWidth="1"/>
    <col min="8" max="8" width="14" customWidth="1"/>
    <col min="9" max="9" width="22" customWidth="1"/>
  </cols>
  <sheetData>
    <row r="1" ht="30" customHeight="1" spans="1:9">
      <c r="A1" s="71" t="s">
        <v>667</v>
      </c>
    </row>
    <row r="2" ht="18" customHeight="1" spans="1:9">
      <c r="A2" s="72" t="s">
        <v>668</v>
      </c>
    </row>
    <row r="3" ht="30" customHeight="1" spans="1:9">
      <c r="A3" s="73" t="s">
        <v>3</v>
      </c>
      <c r="B3" s="73" t="s">
        <v>669</v>
      </c>
      <c r="C3" s="73" t="s">
        <v>670</v>
      </c>
      <c r="D3" s="73" t="s">
        <v>671</v>
      </c>
      <c r="E3" s="73" t="s">
        <v>672</v>
      </c>
      <c r="F3" s="73" t="s">
        <v>624</v>
      </c>
      <c r="G3" s="73" t="s">
        <v>673</v>
      </c>
      <c r="H3" s="73" t="s">
        <v>674</v>
      </c>
      <c r="I3" s="73" t="s">
        <v>172</v>
      </c>
    </row>
    <row r="4" spans="1:9">
      <c r="A4" s="74" t="str">
        <f t="shared" ref="A4:A67" si="0">IF($B4="","",ROW()-3)</f>
        <v/>
      </c>
      <c r="B4" s="75" t="str">
        <f>IFERROR(INDEX(_自动清单!$AD$4:$AD$153,ROW()-3),"")</f>
        <v/>
      </c>
      <c r="C4" s="42" t="str">
        <f>IF($B4="","",COUNTIF(成本费用登记表!$C$4:$C$303,$B4))</f>
        <v/>
      </c>
      <c r="D4" s="76" t="str">
        <f>IF($B4="","",ROUND(SUMIF(成本费用登记表!$C$4:$C$303,$B4,成本费用登记表!$H$4:$H$303),2))</f>
        <v/>
      </c>
      <c r="E4" s="76" t="str">
        <f>IF($B4="","",ROUND(SUMIF(成本费用登记表!$C$4:$C$303,$B4,成本费用登记表!$AA$4:$AA$303),2))</f>
        <v/>
      </c>
      <c r="F4" s="76" t="str">
        <f t="shared" ref="F4:F67" si="1">IF($B4="","",ROUND(N($D4)-N($E4),2))</f>
        <v/>
      </c>
      <c r="G4" s="77" t="str">
        <f>IF(OR($B4="",N($C4)=0),"",IFERROR(INDEX(成本费用登记表!$B$4:$B$303,MATCH($B4,成本费用登记表!$C$4:$C$303,0)),""))</f>
        <v/>
      </c>
      <c r="H4" s="75" t="str">
        <f>IF(OR($B4="",N($C4)=0),"",IFERROR(INDEX(成本费用登记表!$D$4:$D$303,MATCH($B4,成本费用登记表!$C$4:$C$303,0)),""))</f>
        <v/>
      </c>
      <c r="I4" s="75" t="str">
        <f t="shared" ref="I4:I67" si="2">IF($B4="","",IF(N($F4)&gt;0,"⚠ 尚欠 "&amp;TEXT(N($F4),"#,##0.00")&amp;" 元","✔ 已结清"))</f>
        <v/>
      </c>
    </row>
    <row r="5" spans="1:9">
      <c r="A5" s="74" t="str">
        <f t="shared" si="0"/>
        <v/>
      </c>
      <c r="B5" s="75" t="str">
        <f>IFERROR(INDEX(_自动清单!$AD$4:$AD$153,ROW()-3),"")</f>
        <v/>
      </c>
      <c r="C5" s="42" t="str">
        <f>IF($B5="","",COUNTIF(成本费用登记表!$C$4:$C$303,$B5))</f>
        <v/>
      </c>
      <c r="D5" s="76" t="str">
        <f>IF($B5="","",ROUND(SUMIF(成本费用登记表!$C$4:$C$303,$B5,成本费用登记表!$H$4:$H$303),2))</f>
        <v/>
      </c>
      <c r="E5" s="76" t="str">
        <f>IF($B5="","",ROUND(SUMIF(成本费用登记表!$C$4:$C$303,$B5,成本费用登记表!$AA$4:$AA$303),2))</f>
        <v/>
      </c>
      <c r="F5" s="76" t="str">
        <f t="shared" si="1"/>
        <v/>
      </c>
      <c r="G5" s="77" t="str">
        <f>IF(OR($B5="",N($C5)=0),"",IFERROR(INDEX(成本费用登记表!$B$4:$B$303,MATCH($B5,成本费用登记表!$C$4:$C$303,0)),""))</f>
        <v/>
      </c>
      <c r="H5" s="75" t="str">
        <f>IF(OR($B5="",N($C5)=0),"",IFERROR(INDEX(成本费用登记表!$D$4:$D$303,MATCH($B5,成本费用登记表!$C$4:$C$303,0)),""))</f>
        <v/>
      </c>
      <c r="I5" s="75" t="str">
        <f t="shared" si="2"/>
        <v/>
      </c>
    </row>
    <row r="6" spans="1:9">
      <c r="A6" s="74" t="str">
        <f t="shared" si="0"/>
        <v/>
      </c>
      <c r="B6" s="75" t="str">
        <f>IFERROR(INDEX(_自动清单!$AD$4:$AD$153,ROW()-3),"")</f>
        <v/>
      </c>
      <c r="C6" s="42" t="str">
        <f>IF($B6="","",COUNTIF(成本费用登记表!$C$4:$C$303,$B6))</f>
        <v/>
      </c>
      <c r="D6" s="76" t="str">
        <f>IF($B6="","",ROUND(SUMIF(成本费用登记表!$C$4:$C$303,$B6,成本费用登记表!$H$4:$H$303),2))</f>
        <v/>
      </c>
      <c r="E6" s="76" t="str">
        <f>IF($B6="","",ROUND(SUMIF(成本费用登记表!$C$4:$C$303,$B6,成本费用登记表!$AA$4:$AA$303),2))</f>
        <v/>
      </c>
      <c r="F6" s="76" t="str">
        <f t="shared" si="1"/>
        <v/>
      </c>
      <c r="G6" s="77" t="str">
        <f>IF(OR($B6="",N($C6)=0),"",IFERROR(INDEX(成本费用登记表!$B$4:$B$303,MATCH($B6,成本费用登记表!$C$4:$C$303,0)),""))</f>
        <v/>
      </c>
      <c r="H6" s="75" t="str">
        <f>IF(OR($B6="",N($C6)=0),"",IFERROR(INDEX(成本费用登记表!$D$4:$D$303,MATCH($B6,成本费用登记表!$C$4:$C$303,0)),""))</f>
        <v/>
      </c>
      <c r="I6" s="75" t="str">
        <f t="shared" si="2"/>
        <v/>
      </c>
    </row>
    <row r="7" spans="1:9">
      <c r="A7" s="74" t="str">
        <f t="shared" si="0"/>
        <v/>
      </c>
      <c r="B7" s="75" t="str">
        <f>IFERROR(INDEX(_自动清单!$AD$4:$AD$153,ROW()-3),"")</f>
        <v/>
      </c>
      <c r="C7" s="42" t="str">
        <f>IF($B7="","",COUNTIF(成本费用登记表!$C$4:$C$303,$B7))</f>
        <v/>
      </c>
      <c r="D7" s="76" t="str">
        <f>IF($B7="","",ROUND(SUMIF(成本费用登记表!$C$4:$C$303,$B7,成本费用登记表!$H$4:$H$303),2))</f>
        <v/>
      </c>
      <c r="E7" s="76" t="str">
        <f>IF($B7="","",ROUND(SUMIF(成本费用登记表!$C$4:$C$303,$B7,成本费用登记表!$AA$4:$AA$303),2))</f>
        <v/>
      </c>
      <c r="F7" s="76" t="str">
        <f t="shared" si="1"/>
        <v/>
      </c>
      <c r="G7" s="77" t="str">
        <f>IF(OR($B7="",N($C7)=0),"",IFERROR(INDEX(成本费用登记表!$B$4:$B$303,MATCH($B7,成本费用登记表!$C$4:$C$303,0)),""))</f>
        <v/>
      </c>
      <c r="H7" s="75" t="str">
        <f>IF(OR($B7="",N($C7)=0),"",IFERROR(INDEX(成本费用登记表!$D$4:$D$303,MATCH($B7,成本费用登记表!$C$4:$C$303,0)),""))</f>
        <v/>
      </c>
      <c r="I7" s="75" t="str">
        <f t="shared" si="2"/>
        <v/>
      </c>
    </row>
    <row r="8" spans="1:9">
      <c r="A8" s="74" t="str">
        <f t="shared" si="0"/>
        <v/>
      </c>
      <c r="B8" s="75" t="str">
        <f>IFERROR(INDEX(_自动清单!$AD$4:$AD$153,ROW()-3),"")</f>
        <v/>
      </c>
      <c r="C8" s="42" t="str">
        <f>IF($B8="","",COUNTIF(成本费用登记表!$C$4:$C$303,$B8))</f>
        <v/>
      </c>
      <c r="D8" s="76" t="str">
        <f>IF($B8="","",ROUND(SUMIF(成本费用登记表!$C$4:$C$303,$B8,成本费用登记表!$H$4:$H$303),2))</f>
        <v/>
      </c>
      <c r="E8" s="76" t="str">
        <f>IF($B8="","",ROUND(SUMIF(成本费用登记表!$C$4:$C$303,$B8,成本费用登记表!$AA$4:$AA$303),2))</f>
        <v/>
      </c>
      <c r="F8" s="76" t="str">
        <f t="shared" si="1"/>
        <v/>
      </c>
      <c r="G8" s="77" t="str">
        <f>IF(OR($B8="",N($C8)=0),"",IFERROR(INDEX(成本费用登记表!$B$4:$B$303,MATCH($B8,成本费用登记表!$C$4:$C$303,0)),""))</f>
        <v/>
      </c>
      <c r="H8" s="75" t="str">
        <f>IF(OR($B8="",N($C8)=0),"",IFERROR(INDEX(成本费用登记表!$D$4:$D$303,MATCH($B8,成本费用登记表!$C$4:$C$303,0)),""))</f>
        <v/>
      </c>
      <c r="I8" s="75" t="str">
        <f t="shared" si="2"/>
        <v/>
      </c>
    </row>
    <row r="9" spans="1:9">
      <c r="A9" s="74" t="str">
        <f t="shared" si="0"/>
        <v/>
      </c>
      <c r="B9" s="75" t="str">
        <f>IFERROR(INDEX(_自动清单!$AD$4:$AD$153,ROW()-3),"")</f>
        <v/>
      </c>
      <c r="C9" s="42" t="str">
        <f>IF($B9="","",COUNTIF(成本费用登记表!$C$4:$C$303,$B9))</f>
        <v/>
      </c>
      <c r="D9" s="76" t="str">
        <f>IF($B9="","",ROUND(SUMIF(成本费用登记表!$C$4:$C$303,$B9,成本费用登记表!$H$4:$H$303),2))</f>
        <v/>
      </c>
      <c r="E9" s="76" t="str">
        <f>IF($B9="","",ROUND(SUMIF(成本费用登记表!$C$4:$C$303,$B9,成本费用登记表!$AA$4:$AA$303),2))</f>
        <v/>
      </c>
      <c r="F9" s="76" t="str">
        <f t="shared" si="1"/>
        <v/>
      </c>
      <c r="G9" s="77" t="str">
        <f>IF(OR($B9="",N($C9)=0),"",IFERROR(INDEX(成本费用登记表!$B$4:$B$303,MATCH($B9,成本费用登记表!$C$4:$C$303,0)),""))</f>
        <v/>
      </c>
      <c r="H9" s="75" t="str">
        <f>IF(OR($B9="",N($C9)=0),"",IFERROR(INDEX(成本费用登记表!$D$4:$D$303,MATCH($B9,成本费用登记表!$C$4:$C$303,0)),""))</f>
        <v/>
      </c>
      <c r="I9" s="75" t="str">
        <f t="shared" si="2"/>
        <v/>
      </c>
    </row>
    <row r="10" spans="1:9">
      <c r="A10" s="74" t="str">
        <f t="shared" si="0"/>
        <v/>
      </c>
      <c r="B10" s="75" t="str">
        <f>IFERROR(INDEX(_自动清单!$AD$4:$AD$153,ROW()-3),"")</f>
        <v/>
      </c>
      <c r="C10" s="42" t="str">
        <f>IF($B10="","",COUNTIF(成本费用登记表!$C$4:$C$303,$B10))</f>
        <v/>
      </c>
      <c r="D10" s="76" t="str">
        <f>IF($B10="","",ROUND(SUMIF(成本费用登记表!$C$4:$C$303,$B10,成本费用登记表!$H$4:$H$303),2))</f>
        <v/>
      </c>
      <c r="E10" s="76" t="str">
        <f>IF($B10="","",ROUND(SUMIF(成本费用登记表!$C$4:$C$303,$B10,成本费用登记表!$AA$4:$AA$303),2))</f>
        <v/>
      </c>
      <c r="F10" s="76" t="str">
        <f t="shared" si="1"/>
        <v/>
      </c>
      <c r="G10" s="77" t="str">
        <f>IF(OR($B10="",N($C10)=0),"",IFERROR(INDEX(成本费用登记表!$B$4:$B$303,MATCH($B10,成本费用登记表!$C$4:$C$303,0)),""))</f>
        <v/>
      </c>
      <c r="H10" s="75" t="str">
        <f>IF(OR($B10="",N($C10)=0),"",IFERROR(INDEX(成本费用登记表!$D$4:$D$303,MATCH($B10,成本费用登记表!$C$4:$C$303,0)),""))</f>
        <v/>
      </c>
      <c r="I10" s="75" t="str">
        <f t="shared" si="2"/>
        <v/>
      </c>
    </row>
    <row r="11" spans="1:9">
      <c r="A11" s="74" t="str">
        <f t="shared" si="0"/>
        <v/>
      </c>
      <c r="B11" s="75" t="str">
        <f>IFERROR(INDEX(_自动清单!$AD$4:$AD$153,ROW()-3),"")</f>
        <v/>
      </c>
      <c r="C11" s="42" t="str">
        <f>IF($B11="","",COUNTIF(成本费用登记表!$C$4:$C$303,$B11))</f>
        <v/>
      </c>
      <c r="D11" s="76" t="str">
        <f>IF($B11="","",ROUND(SUMIF(成本费用登记表!$C$4:$C$303,$B11,成本费用登记表!$H$4:$H$303),2))</f>
        <v/>
      </c>
      <c r="E11" s="76" t="str">
        <f>IF($B11="","",ROUND(SUMIF(成本费用登记表!$C$4:$C$303,$B11,成本费用登记表!$AA$4:$AA$303),2))</f>
        <v/>
      </c>
      <c r="F11" s="76" t="str">
        <f t="shared" si="1"/>
        <v/>
      </c>
      <c r="G11" s="77" t="str">
        <f>IF(OR($B11="",N($C11)=0),"",IFERROR(INDEX(成本费用登记表!$B$4:$B$303,MATCH($B11,成本费用登记表!$C$4:$C$303,0)),""))</f>
        <v/>
      </c>
      <c r="H11" s="75" t="str">
        <f>IF(OR($B11="",N($C11)=0),"",IFERROR(INDEX(成本费用登记表!$D$4:$D$303,MATCH($B11,成本费用登记表!$C$4:$C$303,0)),""))</f>
        <v/>
      </c>
      <c r="I11" s="75" t="str">
        <f t="shared" si="2"/>
        <v/>
      </c>
    </row>
    <row r="12" spans="1:9">
      <c r="A12" s="74" t="str">
        <f t="shared" si="0"/>
        <v/>
      </c>
      <c r="B12" s="75" t="str">
        <f>IFERROR(INDEX(_自动清单!$AD$4:$AD$153,ROW()-3),"")</f>
        <v/>
      </c>
      <c r="C12" s="42" t="str">
        <f>IF($B12="","",COUNTIF(成本费用登记表!$C$4:$C$303,$B12))</f>
        <v/>
      </c>
      <c r="D12" s="76" t="str">
        <f>IF($B12="","",ROUND(SUMIF(成本费用登记表!$C$4:$C$303,$B12,成本费用登记表!$H$4:$H$303),2))</f>
        <v/>
      </c>
      <c r="E12" s="76" t="str">
        <f>IF($B12="","",ROUND(SUMIF(成本费用登记表!$C$4:$C$303,$B12,成本费用登记表!$AA$4:$AA$303),2))</f>
        <v/>
      </c>
      <c r="F12" s="76" t="str">
        <f t="shared" si="1"/>
        <v/>
      </c>
      <c r="G12" s="77" t="str">
        <f>IF(OR($B12="",N($C12)=0),"",IFERROR(INDEX(成本费用登记表!$B$4:$B$303,MATCH($B12,成本费用登记表!$C$4:$C$303,0)),""))</f>
        <v/>
      </c>
      <c r="H12" s="75" t="str">
        <f>IF(OR($B12="",N($C12)=0),"",IFERROR(INDEX(成本费用登记表!$D$4:$D$303,MATCH($B12,成本费用登记表!$C$4:$C$303,0)),""))</f>
        <v/>
      </c>
      <c r="I12" s="75" t="str">
        <f t="shared" si="2"/>
        <v/>
      </c>
    </row>
    <row r="13" spans="1:9">
      <c r="A13" s="74" t="str">
        <f t="shared" si="0"/>
        <v/>
      </c>
      <c r="B13" s="75" t="str">
        <f>IFERROR(INDEX(_自动清单!$AD$4:$AD$153,ROW()-3),"")</f>
        <v/>
      </c>
      <c r="C13" s="42" t="str">
        <f>IF($B13="","",COUNTIF(成本费用登记表!$C$4:$C$303,$B13))</f>
        <v/>
      </c>
      <c r="D13" s="76" t="str">
        <f>IF($B13="","",ROUND(SUMIF(成本费用登记表!$C$4:$C$303,$B13,成本费用登记表!$H$4:$H$303),2))</f>
        <v/>
      </c>
      <c r="E13" s="76" t="str">
        <f>IF($B13="","",ROUND(SUMIF(成本费用登记表!$C$4:$C$303,$B13,成本费用登记表!$AA$4:$AA$303),2))</f>
        <v/>
      </c>
      <c r="F13" s="76" t="str">
        <f t="shared" si="1"/>
        <v/>
      </c>
      <c r="G13" s="77" t="str">
        <f>IF(OR($B13="",N($C13)=0),"",IFERROR(INDEX(成本费用登记表!$B$4:$B$303,MATCH($B13,成本费用登记表!$C$4:$C$303,0)),""))</f>
        <v/>
      </c>
      <c r="H13" s="75" t="str">
        <f>IF(OR($B13="",N($C13)=0),"",IFERROR(INDEX(成本费用登记表!$D$4:$D$303,MATCH($B13,成本费用登记表!$C$4:$C$303,0)),""))</f>
        <v/>
      </c>
      <c r="I13" s="75" t="str">
        <f t="shared" si="2"/>
        <v/>
      </c>
    </row>
    <row r="14" spans="1:9">
      <c r="A14" s="74" t="str">
        <f t="shared" si="0"/>
        <v/>
      </c>
      <c r="B14" s="75" t="str">
        <f>IFERROR(INDEX(_自动清单!$AD$4:$AD$153,ROW()-3),"")</f>
        <v/>
      </c>
      <c r="C14" s="42" t="str">
        <f>IF($B14="","",COUNTIF(成本费用登记表!$C$4:$C$303,$B14))</f>
        <v/>
      </c>
      <c r="D14" s="76" t="str">
        <f>IF($B14="","",ROUND(SUMIF(成本费用登记表!$C$4:$C$303,$B14,成本费用登记表!$H$4:$H$303),2))</f>
        <v/>
      </c>
      <c r="E14" s="76" t="str">
        <f>IF($B14="","",ROUND(SUMIF(成本费用登记表!$C$4:$C$303,$B14,成本费用登记表!$AA$4:$AA$303),2))</f>
        <v/>
      </c>
      <c r="F14" s="76" t="str">
        <f t="shared" si="1"/>
        <v/>
      </c>
      <c r="G14" s="77" t="str">
        <f>IF(OR($B14="",N($C14)=0),"",IFERROR(INDEX(成本费用登记表!$B$4:$B$303,MATCH($B14,成本费用登记表!$C$4:$C$303,0)),""))</f>
        <v/>
      </c>
      <c r="H14" s="75" t="str">
        <f>IF(OR($B14="",N($C14)=0),"",IFERROR(INDEX(成本费用登记表!$D$4:$D$303,MATCH($B14,成本费用登记表!$C$4:$C$303,0)),""))</f>
        <v/>
      </c>
      <c r="I14" s="75" t="str">
        <f t="shared" si="2"/>
        <v/>
      </c>
    </row>
    <row r="15" spans="1:9">
      <c r="A15" s="74" t="str">
        <f t="shared" si="0"/>
        <v/>
      </c>
      <c r="B15" s="75" t="str">
        <f>IFERROR(INDEX(_自动清单!$AD$4:$AD$153,ROW()-3),"")</f>
        <v/>
      </c>
      <c r="C15" s="42" t="str">
        <f>IF($B15="","",COUNTIF(成本费用登记表!$C$4:$C$303,$B15))</f>
        <v/>
      </c>
      <c r="D15" s="76" t="str">
        <f>IF($B15="","",ROUND(SUMIF(成本费用登记表!$C$4:$C$303,$B15,成本费用登记表!$H$4:$H$303),2))</f>
        <v/>
      </c>
      <c r="E15" s="76" t="str">
        <f>IF($B15="","",ROUND(SUMIF(成本费用登记表!$C$4:$C$303,$B15,成本费用登记表!$AA$4:$AA$303),2))</f>
        <v/>
      </c>
      <c r="F15" s="76" t="str">
        <f t="shared" si="1"/>
        <v/>
      </c>
      <c r="G15" s="77" t="str">
        <f>IF(OR($B15="",N($C15)=0),"",IFERROR(INDEX(成本费用登记表!$B$4:$B$303,MATCH($B15,成本费用登记表!$C$4:$C$303,0)),""))</f>
        <v/>
      </c>
      <c r="H15" s="75" t="str">
        <f>IF(OR($B15="",N($C15)=0),"",IFERROR(INDEX(成本费用登记表!$D$4:$D$303,MATCH($B15,成本费用登记表!$C$4:$C$303,0)),""))</f>
        <v/>
      </c>
      <c r="I15" s="75" t="str">
        <f t="shared" si="2"/>
        <v/>
      </c>
    </row>
    <row r="16" spans="1:9">
      <c r="A16" s="74" t="str">
        <f t="shared" si="0"/>
        <v/>
      </c>
      <c r="B16" s="75" t="str">
        <f>IFERROR(INDEX(_自动清单!$AD$4:$AD$153,ROW()-3),"")</f>
        <v/>
      </c>
      <c r="C16" s="42" t="str">
        <f>IF($B16="","",COUNTIF(成本费用登记表!$C$4:$C$303,$B16))</f>
        <v/>
      </c>
      <c r="D16" s="76" t="str">
        <f>IF($B16="","",ROUND(SUMIF(成本费用登记表!$C$4:$C$303,$B16,成本费用登记表!$H$4:$H$303),2))</f>
        <v/>
      </c>
      <c r="E16" s="76" t="str">
        <f>IF($B16="","",ROUND(SUMIF(成本费用登记表!$C$4:$C$303,$B16,成本费用登记表!$AA$4:$AA$303),2))</f>
        <v/>
      </c>
      <c r="F16" s="76" t="str">
        <f t="shared" si="1"/>
        <v/>
      </c>
      <c r="G16" s="77" t="str">
        <f>IF(OR($B16="",N($C16)=0),"",IFERROR(INDEX(成本费用登记表!$B$4:$B$303,MATCH($B16,成本费用登记表!$C$4:$C$303,0)),""))</f>
        <v/>
      </c>
      <c r="H16" s="75" t="str">
        <f>IF(OR($B16="",N($C16)=0),"",IFERROR(INDEX(成本费用登记表!$D$4:$D$303,MATCH($B16,成本费用登记表!$C$4:$C$303,0)),""))</f>
        <v/>
      </c>
      <c r="I16" s="75" t="str">
        <f t="shared" si="2"/>
        <v/>
      </c>
    </row>
    <row r="17" spans="1:9">
      <c r="A17" s="74" t="str">
        <f t="shared" si="0"/>
        <v/>
      </c>
      <c r="B17" s="75" t="str">
        <f>IFERROR(INDEX(_自动清单!$AD$4:$AD$153,ROW()-3),"")</f>
        <v/>
      </c>
      <c r="C17" s="42" t="str">
        <f>IF($B17="","",COUNTIF(成本费用登记表!$C$4:$C$303,$B17))</f>
        <v/>
      </c>
      <c r="D17" s="76" t="str">
        <f>IF($B17="","",ROUND(SUMIF(成本费用登记表!$C$4:$C$303,$B17,成本费用登记表!$H$4:$H$303),2))</f>
        <v/>
      </c>
      <c r="E17" s="76" t="str">
        <f>IF($B17="","",ROUND(SUMIF(成本费用登记表!$C$4:$C$303,$B17,成本费用登记表!$AA$4:$AA$303),2))</f>
        <v/>
      </c>
      <c r="F17" s="76" t="str">
        <f t="shared" si="1"/>
        <v/>
      </c>
      <c r="G17" s="77" t="str">
        <f>IF(OR($B17="",N($C17)=0),"",IFERROR(INDEX(成本费用登记表!$B$4:$B$303,MATCH($B17,成本费用登记表!$C$4:$C$303,0)),""))</f>
        <v/>
      </c>
      <c r="H17" s="75" t="str">
        <f>IF(OR($B17="",N($C17)=0),"",IFERROR(INDEX(成本费用登记表!$D$4:$D$303,MATCH($B17,成本费用登记表!$C$4:$C$303,0)),""))</f>
        <v/>
      </c>
      <c r="I17" s="75" t="str">
        <f t="shared" si="2"/>
        <v/>
      </c>
    </row>
    <row r="18" spans="1:9">
      <c r="A18" s="74" t="str">
        <f t="shared" si="0"/>
        <v/>
      </c>
      <c r="B18" s="75" t="str">
        <f>IFERROR(INDEX(_自动清单!$AD$4:$AD$153,ROW()-3),"")</f>
        <v/>
      </c>
      <c r="C18" s="42" t="str">
        <f>IF($B18="","",COUNTIF(成本费用登记表!$C$4:$C$303,$B18))</f>
        <v/>
      </c>
      <c r="D18" s="76" t="str">
        <f>IF($B18="","",ROUND(SUMIF(成本费用登记表!$C$4:$C$303,$B18,成本费用登记表!$H$4:$H$303),2))</f>
        <v/>
      </c>
      <c r="E18" s="76" t="str">
        <f>IF($B18="","",ROUND(SUMIF(成本费用登记表!$C$4:$C$303,$B18,成本费用登记表!$AA$4:$AA$303),2))</f>
        <v/>
      </c>
      <c r="F18" s="76" t="str">
        <f t="shared" si="1"/>
        <v/>
      </c>
      <c r="G18" s="77" t="str">
        <f>IF(OR($B18="",N($C18)=0),"",IFERROR(INDEX(成本费用登记表!$B$4:$B$303,MATCH($B18,成本费用登记表!$C$4:$C$303,0)),""))</f>
        <v/>
      </c>
      <c r="H18" s="75" t="str">
        <f>IF(OR($B18="",N($C18)=0),"",IFERROR(INDEX(成本费用登记表!$D$4:$D$303,MATCH($B18,成本费用登记表!$C$4:$C$303,0)),""))</f>
        <v/>
      </c>
      <c r="I18" s="75" t="str">
        <f t="shared" si="2"/>
        <v/>
      </c>
    </row>
    <row r="19" spans="1:9">
      <c r="A19" s="74" t="str">
        <f t="shared" si="0"/>
        <v/>
      </c>
      <c r="B19" s="75" t="str">
        <f>IFERROR(INDEX(_自动清单!$AD$4:$AD$153,ROW()-3),"")</f>
        <v/>
      </c>
      <c r="C19" s="42" t="str">
        <f>IF($B19="","",COUNTIF(成本费用登记表!$C$4:$C$303,$B19))</f>
        <v/>
      </c>
      <c r="D19" s="76" t="str">
        <f>IF($B19="","",ROUND(SUMIF(成本费用登记表!$C$4:$C$303,$B19,成本费用登记表!$H$4:$H$303),2))</f>
        <v/>
      </c>
      <c r="E19" s="76" t="str">
        <f>IF($B19="","",ROUND(SUMIF(成本费用登记表!$C$4:$C$303,$B19,成本费用登记表!$AA$4:$AA$303),2))</f>
        <v/>
      </c>
      <c r="F19" s="76" t="str">
        <f t="shared" si="1"/>
        <v/>
      </c>
      <c r="G19" s="77" t="str">
        <f>IF(OR($B19="",N($C19)=0),"",IFERROR(INDEX(成本费用登记表!$B$4:$B$303,MATCH($B19,成本费用登记表!$C$4:$C$303,0)),""))</f>
        <v/>
      </c>
      <c r="H19" s="75" t="str">
        <f>IF(OR($B19="",N($C19)=0),"",IFERROR(INDEX(成本费用登记表!$D$4:$D$303,MATCH($B19,成本费用登记表!$C$4:$C$303,0)),""))</f>
        <v/>
      </c>
      <c r="I19" s="75" t="str">
        <f t="shared" si="2"/>
        <v/>
      </c>
    </row>
    <row r="20" spans="1:9">
      <c r="A20" s="74" t="str">
        <f t="shared" si="0"/>
        <v/>
      </c>
      <c r="B20" s="75" t="str">
        <f>IFERROR(INDEX(_自动清单!$AD$4:$AD$153,ROW()-3),"")</f>
        <v/>
      </c>
      <c r="C20" s="42" t="str">
        <f>IF($B20="","",COUNTIF(成本费用登记表!$C$4:$C$303,$B20))</f>
        <v/>
      </c>
      <c r="D20" s="76" t="str">
        <f>IF($B20="","",ROUND(SUMIF(成本费用登记表!$C$4:$C$303,$B20,成本费用登记表!$H$4:$H$303),2))</f>
        <v/>
      </c>
      <c r="E20" s="76" t="str">
        <f>IF($B20="","",ROUND(SUMIF(成本费用登记表!$C$4:$C$303,$B20,成本费用登记表!$AA$4:$AA$303),2))</f>
        <v/>
      </c>
      <c r="F20" s="76" t="str">
        <f t="shared" si="1"/>
        <v/>
      </c>
      <c r="G20" s="77" t="str">
        <f>IF(OR($B20="",N($C20)=0),"",IFERROR(INDEX(成本费用登记表!$B$4:$B$303,MATCH($B20,成本费用登记表!$C$4:$C$303,0)),""))</f>
        <v/>
      </c>
      <c r="H20" s="75" t="str">
        <f>IF(OR($B20="",N($C20)=0),"",IFERROR(INDEX(成本费用登记表!$D$4:$D$303,MATCH($B20,成本费用登记表!$C$4:$C$303,0)),""))</f>
        <v/>
      </c>
      <c r="I20" s="75" t="str">
        <f t="shared" si="2"/>
        <v/>
      </c>
    </row>
    <row r="21" spans="1:9">
      <c r="A21" s="74" t="str">
        <f t="shared" si="0"/>
        <v/>
      </c>
      <c r="B21" s="75" t="str">
        <f>IFERROR(INDEX(_自动清单!$AD$4:$AD$153,ROW()-3),"")</f>
        <v/>
      </c>
      <c r="C21" s="42" t="str">
        <f>IF($B21="","",COUNTIF(成本费用登记表!$C$4:$C$303,$B21))</f>
        <v/>
      </c>
      <c r="D21" s="76" t="str">
        <f>IF($B21="","",ROUND(SUMIF(成本费用登记表!$C$4:$C$303,$B21,成本费用登记表!$H$4:$H$303),2))</f>
        <v/>
      </c>
      <c r="E21" s="76" t="str">
        <f>IF($B21="","",ROUND(SUMIF(成本费用登记表!$C$4:$C$303,$B21,成本费用登记表!$AA$4:$AA$303),2))</f>
        <v/>
      </c>
      <c r="F21" s="76" t="str">
        <f t="shared" si="1"/>
        <v/>
      </c>
      <c r="G21" s="77" t="str">
        <f>IF(OR($B21="",N($C21)=0),"",IFERROR(INDEX(成本费用登记表!$B$4:$B$303,MATCH($B21,成本费用登记表!$C$4:$C$303,0)),""))</f>
        <v/>
      </c>
      <c r="H21" s="75" t="str">
        <f>IF(OR($B21="",N($C21)=0),"",IFERROR(INDEX(成本费用登记表!$D$4:$D$303,MATCH($B21,成本费用登记表!$C$4:$C$303,0)),""))</f>
        <v/>
      </c>
      <c r="I21" s="75" t="str">
        <f t="shared" si="2"/>
        <v/>
      </c>
    </row>
    <row r="22" spans="1:9">
      <c r="A22" s="74" t="str">
        <f t="shared" si="0"/>
        <v/>
      </c>
      <c r="B22" s="75" t="str">
        <f>IFERROR(INDEX(_自动清单!$AD$4:$AD$153,ROW()-3),"")</f>
        <v/>
      </c>
      <c r="C22" s="42" t="str">
        <f>IF($B22="","",COUNTIF(成本费用登记表!$C$4:$C$303,$B22))</f>
        <v/>
      </c>
      <c r="D22" s="76" t="str">
        <f>IF($B22="","",ROUND(SUMIF(成本费用登记表!$C$4:$C$303,$B22,成本费用登记表!$H$4:$H$303),2))</f>
        <v/>
      </c>
      <c r="E22" s="76" t="str">
        <f>IF($B22="","",ROUND(SUMIF(成本费用登记表!$C$4:$C$303,$B22,成本费用登记表!$AA$4:$AA$303),2))</f>
        <v/>
      </c>
      <c r="F22" s="76" t="str">
        <f t="shared" si="1"/>
        <v/>
      </c>
      <c r="G22" s="77" t="str">
        <f>IF(OR($B22="",N($C22)=0),"",IFERROR(INDEX(成本费用登记表!$B$4:$B$303,MATCH($B22,成本费用登记表!$C$4:$C$303,0)),""))</f>
        <v/>
      </c>
      <c r="H22" s="75" t="str">
        <f>IF(OR($B22="",N($C22)=0),"",IFERROR(INDEX(成本费用登记表!$D$4:$D$303,MATCH($B22,成本费用登记表!$C$4:$C$303,0)),""))</f>
        <v/>
      </c>
      <c r="I22" s="75" t="str">
        <f t="shared" si="2"/>
        <v/>
      </c>
    </row>
    <row r="23" spans="1:9">
      <c r="A23" s="74" t="str">
        <f t="shared" si="0"/>
        <v/>
      </c>
      <c r="B23" s="75" t="str">
        <f>IFERROR(INDEX(_自动清单!$AD$4:$AD$153,ROW()-3),"")</f>
        <v/>
      </c>
      <c r="C23" s="42" t="str">
        <f>IF($B23="","",COUNTIF(成本费用登记表!$C$4:$C$303,$B23))</f>
        <v/>
      </c>
      <c r="D23" s="76" t="str">
        <f>IF($B23="","",ROUND(SUMIF(成本费用登记表!$C$4:$C$303,$B23,成本费用登记表!$H$4:$H$303),2))</f>
        <v/>
      </c>
      <c r="E23" s="76" t="str">
        <f>IF($B23="","",ROUND(SUMIF(成本费用登记表!$C$4:$C$303,$B23,成本费用登记表!$AA$4:$AA$303),2))</f>
        <v/>
      </c>
      <c r="F23" s="76" t="str">
        <f t="shared" si="1"/>
        <v/>
      </c>
      <c r="G23" s="77" t="str">
        <f>IF(OR($B23="",N($C23)=0),"",IFERROR(INDEX(成本费用登记表!$B$4:$B$303,MATCH($B23,成本费用登记表!$C$4:$C$303,0)),""))</f>
        <v/>
      </c>
      <c r="H23" s="75" t="str">
        <f>IF(OR($B23="",N($C23)=0),"",IFERROR(INDEX(成本费用登记表!$D$4:$D$303,MATCH($B23,成本费用登记表!$C$4:$C$303,0)),""))</f>
        <v/>
      </c>
      <c r="I23" s="75" t="str">
        <f t="shared" si="2"/>
        <v/>
      </c>
    </row>
    <row r="24" spans="1:9">
      <c r="A24" s="74" t="str">
        <f t="shared" si="0"/>
        <v/>
      </c>
      <c r="B24" s="75" t="str">
        <f>IFERROR(INDEX(_自动清单!$AD$4:$AD$153,ROW()-3),"")</f>
        <v/>
      </c>
      <c r="C24" s="42" t="str">
        <f>IF($B24="","",COUNTIF(成本费用登记表!$C$4:$C$303,$B24))</f>
        <v/>
      </c>
      <c r="D24" s="76" t="str">
        <f>IF($B24="","",ROUND(SUMIF(成本费用登记表!$C$4:$C$303,$B24,成本费用登记表!$H$4:$H$303),2))</f>
        <v/>
      </c>
      <c r="E24" s="76" t="str">
        <f>IF($B24="","",ROUND(SUMIF(成本费用登记表!$C$4:$C$303,$B24,成本费用登记表!$AA$4:$AA$303),2))</f>
        <v/>
      </c>
      <c r="F24" s="76" t="str">
        <f t="shared" si="1"/>
        <v/>
      </c>
      <c r="G24" s="77" t="str">
        <f>IF(OR($B24="",N($C24)=0),"",IFERROR(INDEX(成本费用登记表!$B$4:$B$303,MATCH($B24,成本费用登记表!$C$4:$C$303,0)),""))</f>
        <v/>
      </c>
      <c r="H24" s="75" t="str">
        <f>IF(OR($B24="",N($C24)=0),"",IFERROR(INDEX(成本费用登记表!$D$4:$D$303,MATCH($B24,成本费用登记表!$C$4:$C$303,0)),""))</f>
        <v/>
      </c>
      <c r="I24" s="75" t="str">
        <f t="shared" si="2"/>
        <v/>
      </c>
    </row>
    <row r="25" spans="1:9">
      <c r="A25" s="74" t="str">
        <f t="shared" si="0"/>
        <v/>
      </c>
      <c r="B25" s="75" t="str">
        <f>IFERROR(INDEX(_自动清单!$AD$4:$AD$153,ROW()-3),"")</f>
        <v/>
      </c>
      <c r="C25" s="42" t="str">
        <f>IF($B25="","",COUNTIF(成本费用登记表!$C$4:$C$303,$B25))</f>
        <v/>
      </c>
      <c r="D25" s="76" t="str">
        <f>IF($B25="","",ROUND(SUMIF(成本费用登记表!$C$4:$C$303,$B25,成本费用登记表!$H$4:$H$303),2))</f>
        <v/>
      </c>
      <c r="E25" s="76" t="str">
        <f>IF($B25="","",ROUND(SUMIF(成本费用登记表!$C$4:$C$303,$B25,成本费用登记表!$AA$4:$AA$303),2))</f>
        <v/>
      </c>
      <c r="F25" s="76" t="str">
        <f t="shared" si="1"/>
        <v/>
      </c>
      <c r="G25" s="77" t="str">
        <f>IF(OR($B25="",N($C25)=0),"",IFERROR(INDEX(成本费用登记表!$B$4:$B$303,MATCH($B25,成本费用登记表!$C$4:$C$303,0)),""))</f>
        <v/>
      </c>
      <c r="H25" s="75" t="str">
        <f>IF(OR($B25="",N($C25)=0),"",IFERROR(INDEX(成本费用登记表!$D$4:$D$303,MATCH($B25,成本费用登记表!$C$4:$C$303,0)),""))</f>
        <v/>
      </c>
      <c r="I25" s="75" t="str">
        <f t="shared" si="2"/>
        <v/>
      </c>
    </row>
    <row r="26" spans="1:9">
      <c r="A26" s="74" t="str">
        <f t="shared" si="0"/>
        <v/>
      </c>
      <c r="B26" s="75" t="str">
        <f>IFERROR(INDEX(_自动清单!$AD$4:$AD$153,ROW()-3),"")</f>
        <v/>
      </c>
      <c r="C26" s="42" t="str">
        <f>IF($B26="","",COUNTIF(成本费用登记表!$C$4:$C$303,$B26))</f>
        <v/>
      </c>
      <c r="D26" s="76" t="str">
        <f>IF($B26="","",ROUND(SUMIF(成本费用登记表!$C$4:$C$303,$B26,成本费用登记表!$H$4:$H$303),2))</f>
        <v/>
      </c>
      <c r="E26" s="76" t="str">
        <f>IF($B26="","",ROUND(SUMIF(成本费用登记表!$C$4:$C$303,$B26,成本费用登记表!$AA$4:$AA$303),2))</f>
        <v/>
      </c>
      <c r="F26" s="76" t="str">
        <f t="shared" si="1"/>
        <v/>
      </c>
      <c r="G26" s="77" t="str">
        <f>IF(OR($B26="",N($C26)=0),"",IFERROR(INDEX(成本费用登记表!$B$4:$B$303,MATCH($B26,成本费用登记表!$C$4:$C$303,0)),""))</f>
        <v/>
      </c>
      <c r="H26" s="75" t="str">
        <f>IF(OR($B26="",N($C26)=0),"",IFERROR(INDEX(成本费用登记表!$D$4:$D$303,MATCH($B26,成本费用登记表!$C$4:$C$303,0)),""))</f>
        <v/>
      </c>
      <c r="I26" s="75" t="str">
        <f t="shared" si="2"/>
        <v/>
      </c>
    </row>
    <row r="27" spans="1:9">
      <c r="A27" s="74" t="str">
        <f t="shared" si="0"/>
        <v/>
      </c>
      <c r="B27" s="75" t="str">
        <f>IFERROR(INDEX(_自动清单!$AD$4:$AD$153,ROW()-3),"")</f>
        <v/>
      </c>
      <c r="C27" s="42" t="str">
        <f>IF($B27="","",COUNTIF(成本费用登记表!$C$4:$C$303,$B27))</f>
        <v/>
      </c>
      <c r="D27" s="76" t="str">
        <f>IF($B27="","",ROUND(SUMIF(成本费用登记表!$C$4:$C$303,$B27,成本费用登记表!$H$4:$H$303),2))</f>
        <v/>
      </c>
      <c r="E27" s="76" t="str">
        <f>IF($B27="","",ROUND(SUMIF(成本费用登记表!$C$4:$C$303,$B27,成本费用登记表!$AA$4:$AA$303),2))</f>
        <v/>
      </c>
      <c r="F27" s="76" t="str">
        <f t="shared" si="1"/>
        <v/>
      </c>
      <c r="G27" s="77" t="str">
        <f>IF(OR($B27="",N($C27)=0),"",IFERROR(INDEX(成本费用登记表!$B$4:$B$303,MATCH($B27,成本费用登记表!$C$4:$C$303,0)),""))</f>
        <v/>
      </c>
      <c r="H27" s="75" t="str">
        <f>IF(OR($B27="",N($C27)=0),"",IFERROR(INDEX(成本费用登记表!$D$4:$D$303,MATCH($B27,成本费用登记表!$C$4:$C$303,0)),""))</f>
        <v/>
      </c>
      <c r="I27" s="75" t="str">
        <f t="shared" si="2"/>
        <v/>
      </c>
    </row>
    <row r="28" spans="1:9">
      <c r="A28" s="74" t="str">
        <f t="shared" si="0"/>
        <v/>
      </c>
      <c r="B28" s="75" t="str">
        <f>IFERROR(INDEX(_自动清单!$AD$4:$AD$153,ROW()-3),"")</f>
        <v/>
      </c>
      <c r="C28" s="42" t="str">
        <f>IF($B28="","",COUNTIF(成本费用登记表!$C$4:$C$303,$B28))</f>
        <v/>
      </c>
      <c r="D28" s="76" t="str">
        <f>IF($B28="","",ROUND(SUMIF(成本费用登记表!$C$4:$C$303,$B28,成本费用登记表!$H$4:$H$303),2))</f>
        <v/>
      </c>
      <c r="E28" s="76" t="str">
        <f>IF($B28="","",ROUND(SUMIF(成本费用登记表!$C$4:$C$303,$B28,成本费用登记表!$AA$4:$AA$303),2))</f>
        <v/>
      </c>
      <c r="F28" s="76" t="str">
        <f t="shared" si="1"/>
        <v/>
      </c>
      <c r="G28" s="77" t="str">
        <f>IF(OR($B28="",N($C28)=0),"",IFERROR(INDEX(成本费用登记表!$B$4:$B$303,MATCH($B28,成本费用登记表!$C$4:$C$303,0)),""))</f>
        <v/>
      </c>
      <c r="H28" s="75" t="str">
        <f>IF(OR($B28="",N($C28)=0),"",IFERROR(INDEX(成本费用登记表!$D$4:$D$303,MATCH($B28,成本费用登记表!$C$4:$C$303,0)),""))</f>
        <v/>
      </c>
      <c r="I28" s="75" t="str">
        <f t="shared" si="2"/>
        <v/>
      </c>
    </row>
    <row r="29" spans="1:9">
      <c r="A29" s="74" t="str">
        <f t="shared" si="0"/>
        <v/>
      </c>
      <c r="B29" s="75" t="str">
        <f>IFERROR(INDEX(_自动清单!$AD$4:$AD$153,ROW()-3),"")</f>
        <v/>
      </c>
      <c r="C29" s="42" t="str">
        <f>IF($B29="","",COUNTIF(成本费用登记表!$C$4:$C$303,$B29))</f>
        <v/>
      </c>
      <c r="D29" s="76" t="str">
        <f>IF($B29="","",ROUND(SUMIF(成本费用登记表!$C$4:$C$303,$B29,成本费用登记表!$H$4:$H$303),2))</f>
        <v/>
      </c>
      <c r="E29" s="76" t="str">
        <f>IF($B29="","",ROUND(SUMIF(成本费用登记表!$C$4:$C$303,$B29,成本费用登记表!$AA$4:$AA$303),2))</f>
        <v/>
      </c>
      <c r="F29" s="76" t="str">
        <f t="shared" si="1"/>
        <v/>
      </c>
      <c r="G29" s="77" t="str">
        <f>IF(OR($B29="",N($C29)=0),"",IFERROR(INDEX(成本费用登记表!$B$4:$B$303,MATCH($B29,成本费用登记表!$C$4:$C$303,0)),""))</f>
        <v/>
      </c>
      <c r="H29" s="75" t="str">
        <f>IF(OR($B29="",N($C29)=0),"",IFERROR(INDEX(成本费用登记表!$D$4:$D$303,MATCH($B29,成本费用登记表!$C$4:$C$303,0)),""))</f>
        <v/>
      </c>
      <c r="I29" s="75" t="str">
        <f t="shared" si="2"/>
        <v/>
      </c>
    </row>
    <row r="30" spans="1:9">
      <c r="A30" s="74" t="str">
        <f t="shared" si="0"/>
        <v/>
      </c>
      <c r="B30" s="75" t="str">
        <f>IFERROR(INDEX(_自动清单!$AD$4:$AD$153,ROW()-3),"")</f>
        <v/>
      </c>
      <c r="C30" s="42" t="str">
        <f>IF($B30="","",COUNTIF(成本费用登记表!$C$4:$C$303,$B30))</f>
        <v/>
      </c>
      <c r="D30" s="76" t="str">
        <f>IF($B30="","",ROUND(SUMIF(成本费用登记表!$C$4:$C$303,$B30,成本费用登记表!$H$4:$H$303),2))</f>
        <v/>
      </c>
      <c r="E30" s="76" t="str">
        <f>IF($B30="","",ROUND(SUMIF(成本费用登记表!$C$4:$C$303,$B30,成本费用登记表!$AA$4:$AA$303),2))</f>
        <v/>
      </c>
      <c r="F30" s="76" t="str">
        <f t="shared" si="1"/>
        <v/>
      </c>
      <c r="G30" s="77" t="str">
        <f>IF(OR($B30="",N($C30)=0),"",IFERROR(INDEX(成本费用登记表!$B$4:$B$303,MATCH($B30,成本费用登记表!$C$4:$C$303,0)),""))</f>
        <v/>
      </c>
      <c r="H30" s="75" t="str">
        <f>IF(OR($B30="",N($C30)=0),"",IFERROR(INDEX(成本费用登记表!$D$4:$D$303,MATCH($B30,成本费用登记表!$C$4:$C$303,0)),""))</f>
        <v/>
      </c>
      <c r="I30" s="75" t="str">
        <f t="shared" si="2"/>
        <v/>
      </c>
    </row>
    <row r="31" spans="1:9">
      <c r="A31" s="74" t="str">
        <f t="shared" si="0"/>
        <v/>
      </c>
      <c r="B31" s="75" t="str">
        <f>IFERROR(INDEX(_自动清单!$AD$4:$AD$153,ROW()-3),"")</f>
        <v/>
      </c>
      <c r="C31" s="42" t="str">
        <f>IF($B31="","",COUNTIF(成本费用登记表!$C$4:$C$303,$B31))</f>
        <v/>
      </c>
      <c r="D31" s="76" t="str">
        <f>IF($B31="","",ROUND(SUMIF(成本费用登记表!$C$4:$C$303,$B31,成本费用登记表!$H$4:$H$303),2))</f>
        <v/>
      </c>
      <c r="E31" s="76" t="str">
        <f>IF($B31="","",ROUND(SUMIF(成本费用登记表!$C$4:$C$303,$B31,成本费用登记表!$AA$4:$AA$303),2))</f>
        <v/>
      </c>
      <c r="F31" s="76" t="str">
        <f t="shared" si="1"/>
        <v/>
      </c>
      <c r="G31" s="77" t="str">
        <f>IF(OR($B31="",N($C31)=0),"",IFERROR(INDEX(成本费用登记表!$B$4:$B$303,MATCH($B31,成本费用登记表!$C$4:$C$303,0)),""))</f>
        <v/>
      </c>
      <c r="H31" s="75" t="str">
        <f>IF(OR($B31="",N($C31)=0),"",IFERROR(INDEX(成本费用登记表!$D$4:$D$303,MATCH($B31,成本费用登记表!$C$4:$C$303,0)),""))</f>
        <v/>
      </c>
      <c r="I31" s="75" t="str">
        <f t="shared" si="2"/>
        <v/>
      </c>
    </row>
    <row r="32" spans="1:9">
      <c r="A32" s="74" t="str">
        <f t="shared" si="0"/>
        <v/>
      </c>
      <c r="B32" s="75" t="str">
        <f>IFERROR(INDEX(_自动清单!$AD$4:$AD$153,ROW()-3),"")</f>
        <v/>
      </c>
      <c r="C32" s="42" t="str">
        <f>IF($B32="","",COUNTIF(成本费用登记表!$C$4:$C$303,$B32))</f>
        <v/>
      </c>
      <c r="D32" s="76" t="str">
        <f>IF($B32="","",ROUND(SUMIF(成本费用登记表!$C$4:$C$303,$B32,成本费用登记表!$H$4:$H$303),2))</f>
        <v/>
      </c>
      <c r="E32" s="76" t="str">
        <f>IF($B32="","",ROUND(SUMIF(成本费用登记表!$C$4:$C$303,$B32,成本费用登记表!$AA$4:$AA$303),2))</f>
        <v/>
      </c>
      <c r="F32" s="76" t="str">
        <f t="shared" si="1"/>
        <v/>
      </c>
      <c r="G32" s="77" t="str">
        <f>IF(OR($B32="",N($C32)=0),"",IFERROR(INDEX(成本费用登记表!$B$4:$B$303,MATCH($B32,成本费用登记表!$C$4:$C$303,0)),""))</f>
        <v/>
      </c>
      <c r="H32" s="75" t="str">
        <f>IF(OR($B32="",N($C32)=0),"",IFERROR(INDEX(成本费用登记表!$D$4:$D$303,MATCH($B32,成本费用登记表!$C$4:$C$303,0)),""))</f>
        <v/>
      </c>
      <c r="I32" s="75" t="str">
        <f t="shared" si="2"/>
        <v/>
      </c>
    </row>
    <row r="33" spans="1:9">
      <c r="A33" s="74" t="str">
        <f t="shared" si="0"/>
        <v/>
      </c>
      <c r="B33" s="75" t="str">
        <f>IFERROR(INDEX(_自动清单!$AD$4:$AD$153,ROW()-3),"")</f>
        <v/>
      </c>
      <c r="C33" s="42" t="str">
        <f>IF($B33="","",COUNTIF(成本费用登记表!$C$4:$C$303,$B33))</f>
        <v/>
      </c>
      <c r="D33" s="76" t="str">
        <f>IF($B33="","",ROUND(SUMIF(成本费用登记表!$C$4:$C$303,$B33,成本费用登记表!$H$4:$H$303),2))</f>
        <v/>
      </c>
      <c r="E33" s="76" t="str">
        <f>IF($B33="","",ROUND(SUMIF(成本费用登记表!$C$4:$C$303,$B33,成本费用登记表!$AA$4:$AA$303),2))</f>
        <v/>
      </c>
      <c r="F33" s="76" t="str">
        <f t="shared" si="1"/>
        <v/>
      </c>
      <c r="G33" s="77" t="str">
        <f>IF(OR($B33="",N($C33)=0),"",IFERROR(INDEX(成本费用登记表!$B$4:$B$303,MATCH($B33,成本费用登记表!$C$4:$C$303,0)),""))</f>
        <v/>
      </c>
      <c r="H33" s="75" t="str">
        <f>IF(OR($B33="",N($C33)=0),"",IFERROR(INDEX(成本费用登记表!$D$4:$D$303,MATCH($B33,成本费用登记表!$C$4:$C$303,0)),""))</f>
        <v/>
      </c>
      <c r="I33" s="75" t="str">
        <f t="shared" si="2"/>
        <v/>
      </c>
    </row>
    <row r="34" spans="1:9">
      <c r="A34" s="74" t="str">
        <f t="shared" si="0"/>
        <v/>
      </c>
      <c r="B34" s="75" t="str">
        <f>IFERROR(INDEX(_自动清单!$AD$4:$AD$153,ROW()-3),"")</f>
        <v/>
      </c>
      <c r="C34" s="42" t="str">
        <f>IF($B34="","",COUNTIF(成本费用登记表!$C$4:$C$303,$B34))</f>
        <v/>
      </c>
      <c r="D34" s="76" t="str">
        <f>IF($B34="","",ROUND(SUMIF(成本费用登记表!$C$4:$C$303,$B34,成本费用登记表!$H$4:$H$303),2))</f>
        <v/>
      </c>
      <c r="E34" s="76" t="str">
        <f>IF($B34="","",ROUND(SUMIF(成本费用登记表!$C$4:$C$303,$B34,成本费用登记表!$AA$4:$AA$303),2))</f>
        <v/>
      </c>
      <c r="F34" s="76" t="str">
        <f t="shared" si="1"/>
        <v/>
      </c>
      <c r="G34" s="77" t="str">
        <f>IF(OR($B34="",N($C34)=0),"",IFERROR(INDEX(成本费用登记表!$B$4:$B$303,MATCH($B34,成本费用登记表!$C$4:$C$303,0)),""))</f>
        <v/>
      </c>
      <c r="H34" s="75" t="str">
        <f>IF(OR($B34="",N($C34)=0),"",IFERROR(INDEX(成本费用登记表!$D$4:$D$303,MATCH($B34,成本费用登记表!$C$4:$C$303,0)),""))</f>
        <v/>
      </c>
      <c r="I34" s="75" t="str">
        <f t="shared" si="2"/>
        <v/>
      </c>
    </row>
    <row r="35" spans="1:9">
      <c r="A35" s="74" t="str">
        <f t="shared" si="0"/>
        <v/>
      </c>
      <c r="B35" s="75" t="str">
        <f>IFERROR(INDEX(_自动清单!$AD$4:$AD$153,ROW()-3),"")</f>
        <v/>
      </c>
      <c r="C35" s="42" t="str">
        <f>IF($B35="","",COUNTIF(成本费用登记表!$C$4:$C$303,$B35))</f>
        <v/>
      </c>
      <c r="D35" s="76" t="str">
        <f>IF($B35="","",ROUND(SUMIF(成本费用登记表!$C$4:$C$303,$B35,成本费用登记表!$H$4:$H$303),2))</f>
        <v/>
      </c>
      <c r="E35" s="76" t="str">
        <f>IF($B35="","",ROUND(SUMIF(成本费用登记表!$C$4:$C$303,$B35,成本费用登记表!$AA$4:$AA$303),2))</f>
        <v/>
      </c>
      <c r="F35" s="76" t="str">
        <f t="shared" si="1"/>
        <v/>
      </c>
      <c r="G35" s="77" t="str">
        <f>IF(OR($B35="",N($C35)=0),"",IFERROR(INDEX(成本费用登记表!$B$4:$B$303,MATCH($B35,成本费用登记表!$C$4:$C$303,0)),""))</f>
        <v/>
      </c>
      <c r="H35" s="75" t="str">
        <f>IF(OR($B35="",N($C35)=0),"",IFERROR(INDEX(成本费用登记表!$D$4:$D$303,MATCH($B35,成本费用登记表!$C$4:$C$303,0)),""))</f>
        <v/>
      </c>
      <c r="I35" s="75" t="str">
        <f t="shared" si="2"/>
        <v/>
      </c>
    </row>
    <row r="36" spans="1:9">
      <c r="A36" s="74" t="str">
        <f t="shared" si="0"/>
        <v/>
      </c>
      <c r="B36" s="75" t="str">
        <f>IFERROR(INDEX(_自动清单!$AD$4:$AD$153,ROW()-3),"")</f>
        <v/>
      </c>
      <c r="C36" s="42" t="str">
        <f>IF($B36="","",COUNTIF(成本费用登记表!$C$4:$C$303,$B36))</f>
        <v/>
      </c>
      <c r="D36" s="76" t="str">
        <f>IF($B36="","",ROUND(SUMIF(成本费用登记表!$C$4:$C$303,$B36,成本费用登记表!$H$4:$H$303),2))</f>
        <v/>
      </c>
      <c r="E36" s="76" t="str">
        <f>IF($B36="","",ROUND(SUMIF(成本费用登记表!$C$4:$C$303,$B36,成本费用登记表!$AA$4:$AA$303),2))</f>
        <v/>
      </c>
      <c r="F36" s="76" t="str">
        <f t="shared" si="1"/>
        <v/>
      </c>
      <c r="G36" s="77" t="str">
        <f>IF(OR($B36="",N($C36)=0),"",IFERROR(INDEX(成本费用登记表!$B$4:$B$303,MATCH($B36,成本费用登记表!$C$4:$C$303,0)),""))</f>
        <v/>
      </c>
      <c r="H36" s="75" t="str">
        <f>IF(OR($B36="",N($C36)=0),"",IFERROR(INDEX(成本费用登记表!$D$4:$D$303,MATCH($B36,成本费用登记表!$C$4:$C$303,0)),""))</f>
        <v/>
      </c>
      <c r="I36" s="75" t="str">
        <f t="shared" si="2"/>
        <v/>
      </c>
    </row>
    <row r="37" spans="1:9">
      <c r="A37" s="74" t="str">
        <f t="shared" si="0"/>
        <v/>
      </c>
      <c r="B37" s="75" t="str">
        <f>IFERROR(INDEX(_自动清单!$AD$4:$AD$153,ROW()-3),"")</f>
        <v/>
      </c>
      <c r="C37" s="42" t="str">
        <f>IF($B37="","",COUNTIF(成本费用登记表!$C$4:$C$303,$B37))</f>
        <v/>
      </c>
      <c r="D37" s="76" t="str">
        <f>IF($B37="","",ROUND(SUMIF(成本费用登记表!$C$4:$C$303,$B37,成本费用登记表!$H$4:$H$303),2))</f>
        <v/>
      </c>
      <c r="E37" s="76" t="str">
        <f>IF($B37="","",ROUND(SUMIF(成本费用登记表!$C$4:$C$303,$B37,成本费用登记表!$AA$4:$AA$303),2))</f>
        <v/>
      </c>
      <c r="F37" s="76" t="str">
        <f t="shared" si="1"/>
        <v/>
      </c>
      <c r="G37" s="77" t="str">
        <f>IF(OR($B37="",N($C37)=0),"",IFERROR(INDEX(成本费用登记表!$B$4:$B$303,MATCH($B37,成本费用登记表!$C$4:$C$303,0)),""))</f>
        <v/>
      </c>
      <c r="H37" s="75" t="str">
        <f>IF(OR($B37="",N($C37)=0),"",IFERROR(INDEX(成本费用登记表!$D$4:$D$303,MATCH($B37,成本费用登记表!$C$4:$C$303,0)),""))</f>
        <v/>
      </c>
      <c r="I37" s="75" t="str">
        <f t="shared" si="2"/>
        <v/>
      </c>
    </row>
    <row r="38" spans="1:9">
      <c r="A38" s="74" t="str">
        <f t="shared" si="0"/>
        <v/>
      </c>
      <c r="B38" s="75" t="str">
        <f>IFERROR(INDEX(_自动清单!$AD$4:$AD$153,ROW()-3),"")</f>
        <v/>
      </c>
      <c r="C38" s="42" t="str">
        <f>IF($B38="","",COUNTIF(成本费用登记表!$C$4:$C$303,$B38))</f>
        <v/>
      </c>
      <c r="D38" s="76" t="str">
        <f>IF($B38="","",ROUND(SUMIF(成本费用登记表!$C$4:$C$303,$B38,成本费用登记表!$H$4:$H$303),2))</f>
        <v/>
      </c>
      <c r="E38" s="76" t="str">
        <f>IF($B38="","",ROUND(SUMIF(成本费用登记表!$C$4:$C$303,$B38,成本费用登记表!$AA$4:$AA$303),2))</f>
        <v/>
      </c>
      <c r="F38" s="76" t="str">
        <f t="shared" si="1"/>
        <v/>
      </c>
      <c r="G38" s="77" t="str">
        <f>IF(OR($B38="",N($C38)=0),"",IFERROR(INDEX(成本费用登记表!$B$4:$B$303,MATCH($B38,成本费用登记表!$C$4:$C$303,0)),""))</f>
        <v/>
      </c>
      <c r="H38" s="75" t="str">
        <f>IF(OR($B38="",N($C38)=0),"",IFERROR(INDEX(成本费用登记表!$D$4:$D$303,MATCH($B38,成本费用登记表!$C$4:$C$303,0)),""))</f>
        <v/>
      </c>
      <c r="I38" s="75" t="str">
        <f t="shared" si="2"/>
        <v/>
      </c>
    </row>
    <row r="39" spans="1:9">
      <c r="A39" s="74" t="str">
        <f t="shared" si="0"/>
        <v/>
      </c>
      <c r="B39" s="75" t="str">
        <f>IFERROR(INDEX(_自动清单!$AD$4:$AD$153,ROW()-3),"")</f>
        <v/>
      </c>
      <c r="C39" s="42" t="str">
        <f>IF($B39="","",COUNTIF(成本费用登记表!$C$4:$C$303,$B39))</f>
        <v/>
      </c>
      <c r="D39" s="76" t="str">
        <f>IF($B39="","",ROUND(SUMIF(成本费用登记表!$C$4:$C$303,$B39,成本费用登记表!$H$4:$H$303),2))</f>
        <v/>
      </c>
      <c r="E39" s="76" t="str">
        <f>IF($B39="","",ROUND(SUMIF(成本费用登记表!$C$4:$C$303,$B39,成本费用登记表!$AA$4:$AA$303),2))</f>
        <v/>
      </c>
      <c r="F39" s="76" t="str">
        <f t="shared" si="1"/>
        <v/>
      </c>
      <c r="G39" s="77" t="str">
        <f>IF(OR($B39="",N($C39)=0),"",IFERROR(INDEX(成本费用登记表!$B$4:$B$303,MATCH($B39,成本费用登记表!$C$4:$C$303,0)),""))</f>
        <v/>
      </c>
      <c r="H39" s="75" t="str">
        <f>IF(OR($B39="",N($C39)=0),"",IFERROR(INDEX(成本费用登记表!$D$4:$D$303,MATCH($B39,成本费用登记表!$C$4:$C$303,0)),""))</f>
        <v/>
      </c>
      <c r="I39" s="75" t="str">
        <f t="shared" si="2"/>
        <v/>
      </c>
    </row>
    <row r="40" spans="1:9">
      <c r="A40" s="74" t="str">
        <f t="shared" si="0"/>
        <v/>
      </c>
      <c r="B40" s="75" t="str">
        <f>IFERROR(INDEX(_自动清单!$AD$4:$AD$153,ROW()-3),"")</f>
        <v/>
      </c>
      <c r="C40" s="42" t="str">
        <f>IF($B40="","",COUNTIF(成本费用登记表!$C$4:$C$303,$B40))</f>
        <v/>
      </c>
      <c r="D40" s="76" t="str">
        <f>IF($B40="","",ROUND(SUMIF(成本费用登记表!$C$4:$C$303,$B40,成本费用登记表!$H$4:$H$303),2))</f>
        <v/>
      </c>
      <c r="E40" s="76" t="str">
        <f>IF($B40="","",ROUND(SUMIF(成本费用登记表!$C$4:$C$303,$B40,成本费用登记表!$AA$4:$AA$303),2))</f>
        <v/>
      </c>
      <c r="F40" s="76" t="str">
        <f t="shared" si="1"/>
        <v/>
      </c>
      <c r="G40" s="77" t="str">
        <f>IF(OR($B40="",N($C40)=0),"",IFERROR(INDEX(成本费用登记表!$B$4:$B$303,MATCH($B40,成本费用登记表!$C$4:$C$303,0)),""))</f>
        <v/>
      </c>
      <c r="H40" s="75" t="str">
        <f>IF(OR($B40="",N($C40)=0),"",IFERROR(INDEX(成本费用登记表!$D$4:$D$303,MATCH($B40,成本费用登记表!$C$4:$C$303,0)),""))</f>
        <v/>
      </c>
      <c r="I40" s="75" t="str">
        <f t="shared" si="2"/>
        <v/>
      </c>
    </row>
    <row r="41" spans="1:9">
      <c r="A41" s="74" t="str">
        <f t="shared" si="0"/>
        <v/>
      </c>
      <c r="B41" s="75" t="str">
        <f>IFERROR(INDEX(_自动清单!$AD$4:$AD$153,ROW()-3),"")</f>
        <v/>
      </c>
      <c r="C41" s="42" t="str">
        <f>IF($B41="","",COUNTIF(成本费用登记表!$C$4:$C$303,$B41))</f>
        <v/>
      </c>
      <c r="D41" s="76" t="str">
        <f>IF($B41="","",ROUND(SUMIF(成本费用登记表!$C$4:$C$303,$B41,成本费用登记表!$H$4:$H$303),2))</f>
        <v/>
      </c>
      <c r="E41" s="76" t="str">
        <f>IF($B41="","",ROUND(SUMIF(成本费用登记表!$C$4:$C$303,$B41,成本费用登记表!$AA$4:$AA$303),2))</f>
        <v/>
      </c>
      <c r="F41" s="76" t="str">
        <f t="shared" si="1"/>
        <v/>
      </c>
      <c r="G41" s="77" t="str">
        <f>IF(OR($B41="",N($C41)=0),"",IFERROR(INDEX(成本费用登记表!$B$4:$B$303,MATCH($B41,成本费用登记表!$C$4:$C$303,0)),""))</f>
        <v/>
      </c>
      <c r="H41" s="75" t="str">
        <f>IF(OR($B41="",N($C41)=0),"",IFERROR(INDEX(成本费用登记表!$D$4:$D$303,MATCH($B41,成本费用登记表!$C$4:$C$303,0)),""))</f>
        <v/>
      </c>
      <c r="I41" s="75" t="str">
        <f t="shared" si="2"/>
        <v/>
      </c>
    </row>
    <row r="42" spans="1:9">
      <c r="A42" s="74" t="str">
        <f t="shared" si="0"/>
        <v/>
      </c>
      <c r="B42" s="75" t="str">
        <f>IFERROR(INDEX(_自动清单!$AD$4:$AD$153,ROW()-3),"")</f>
        <v/>
      </c>
      <c r="C42" s="42" t="str">
        <f>IF($B42="","",COUNTIF(成本费用登记表!$C$4:$C$303,$B42))</f>
        <v/>
      </c>
      <c r="D42" s="76" t="str">
        <f>IF($B42="","",ROUND(SUMIF(成本费用登记表!$C$4:$C$303,$B42,成本费用登记表!$H$4:$H$303),2))</f>
        <v/>
      </c>
      <c r="E42" s="76" t="str">
        <f>IF($B42="","",ROUND(SUMIF(成本费用登记表!$C$4:$C$303,$B42,成本费用登记表!$AA$4:$AA$303),2))</f>
        <v/>
      </c>
      <c r="F42" s="76" t="str">
        <f t="shared" si="1"/>
        <v/>
      </c>
      <c r="G42" s="77" t="str">
        <f>IF(OR($B42="",N($C42)=0),"",IFERROR(INDEX(成本费用登记表!$B$4:$B$303,MATCH($B42,成本费用登记表!$C$4:$C$303,0)),""))</f>
        <v/>
      </c>
      <c r="H42" s="75" t="str">
        <f>IF(OR($B42="",N($C42)=0),"",IFERROR(INDEX(成本费用登记表!$D$4:$D$303,MATCH($B42,成本费用登记表!$C$4:$C$303,0)),""))</f>
        <v/>
      </c>
      <c r="I42" s="75" t="str">
        <f t="shared" si="2"/>
        <v/>
      </c>
    </row>
    <row r="43" spans="1:9">
      <c r="A43" s="74" t="str">
        <f t="shared" si="0"/>
        <v/>
      </c>
      <c r="B43" s="75" t="str">
        <f>IFERROR(INDEX(_自动清单!$AD$4:$AD$153,ROW()-3),"")</f>
        <v/>
      </c>
      <c r="C43" s="42" t="str">
        <f>IF($B43="","",COUNTIF(成本费用登记表!$C$4:$C$303,$B43))</f>
        <v/>
      </c>
      <c r="D43" s="76" t="str">
        <f>IF($B43="","",ROUND(SUMIF(成本费用登记表!$C$4:$C$303,$B43,成本费用登记表!$H$4:$H$303),2))</f>
        <v/>
      </c>
      <c r="E43" s="76" t="str">
        <f>IF($B43="","",ROUND(SUMIF(成本费用登记表!$C$4:$C$303,$B43,成本费用登记表!$AA$4:$AA$303),2))</f>
        <v/>
      </c>
      <c r="F43" s="76" t="str">
        <f t="shared" si="1"/>
        <v/>
      </c>
      <c r="G43" s="77" t="str">
        <f>IF(OR($B43="",N($C43)=0),"",IFERROR(INDEX(成本费用登记表!$B$4:$B$303,MATCH($B43,成本费用登记表!$C$4:$C$303,0)),""))</f>
        <v/>
      </c>
      <c r="H43" s="75" t="str">
        <f>IF(OR($B43="",N($C43)=0),"",IFERROR(INDEX(成本费用登记表!$D$4:$D$303,MATCH($B43,成本费用登记表!$C$4:$C$303,0)),""))</f>
        <v/>
      </c>
      <c r="I43" s="75" t="str">
        <f t="shared" si="2"/>
        <v/>
      </c>
    </row>
    <row r="44" spans="1:9">
      <c r="A44" s="74" t="str">
        <f t="shared" si="0"/>
        <v/>
      </c>
      <c r="B44" s="75" t="str">
        <f>IFERROR(INDEX(_自动清单!$AD$4:$AD$153,ROW()-3),"")</f>
        <v/>
      </c>
      <c r="C44" s="42" t="str">
        <f>IF($B44="","",COUNTIF(成本费用登记表!$C$4:$C$303,$B44))</f>
        <v/>
      </c>
      <c r="D44" s="76" t="str">
        <f>IF($B44="","",ROUND(SUMIF(成本费用登记表!$C$4:$C$303,$B44,成本费用登记表!$H$4:$H$303),2))</f>
        <v/>
      </c>
      <c r="E44" s="76" t="str">
        <f>IF($B44="","",ROUND(SUMIF(成本费用登记表!$C$4:$C$303,$B44,成本费用登记表!$AA$4:$AA$303),2))</f>
        <v/>
      </c>
      <c r="F44" s="76" t="str">
        <f t="shared" si="1"/>
        <v/>
      </c>
      <c r="G44" s="77" t="str">
        <f>IF(OR($B44="",N($C44)=0),"",IFERROR(INDEX(成本费用登记表!$B$4:$B$303,MATCH($B44,成本费用登记表!$C$4:$C$303,0)),""))</f>
        <v/>
      </c>
      <c r="H44" s="75" t="str">
        <f>IF(OR($B44="",N($C44)=0),"",IFERROR(INDEX(成本费用登记表!$D$4:$D$303,MATCH($B44,成本费用登记表!$C$4:$C$303,0)),""))</f>
        <v/>
      </c>
      <c r="I44" s="75" t="str">
        <f t="shared" si="2"/>
        <v/>
      </c>
    </row>
    <row r="45" spans="1:9">
      <c r="A45" s="74" t="str">
        <f t="shared" si="0"/>
        <v/>
      </c>
      <c r="B45" s="75" t="str">
        <f>IFERROR(INDEX(_自动清单!$AD$4:$AD$153,ROW()-3),"")</f>
        <v/>
      </c>
      <c r="C45" s="42" t="str">
        <f>IF($B45="","",COUNTIF(成本费用登记表!$C$4:$C$303,$B45))</f>
        <v/>
      </c>
      <c r="D45" s="76" t="str">
        <f>IF($B45="","",ROUND(SUMIF(成本费用登记表!$C$4:$C$303,$B45,成本费用登记表!$H$4:$H$303),2))</f>
        <v/>
      </c>
      <c r="E45" s="76" t="str">
        <f>IF($B45="","",ROUND(SUMIF(成本费用登记表!$C$4:$C$303,$B45,成本费用登记表!$AA$4:$AA$303),2))</f>
        <v/>
      </c>
      <c r="F45" s="76" t="str">
        <f t="shared" si="1"/>
        <v/>
      </c>
      <c r="G45" s="77" t="str">
        <f>IF(OR($B45="",N($C45)=0),"",IFERROR(INDEX(成本费用登记表!$B$4:$B$303,MATCH($B45,成本费用登记表!$C$4:$C$303,0)),""))</f>
        <v/>
      </c>
      <c r="H45" s="75" t="str">
        <f>IF(OR($B45="",N($C45)=0),"",IFERROR(INDEX(成本费用登记表!$D$4:$D$303,MATCH($B45,成本费用登记表!$C$4:$C$303,0)),""))</f>
        <v/>
      </c>
      <c r="I45" s="75" t="str">
        <f t="shared" si="2"/>
        <v/>
      </c>
    </row>
    <row r="46" spans="1:9">
      <c r="A46" s="74" t="str">
        <f t="shared" si="0"/>
        <v/>
      </c>
      <c r="B46" s="75" t="str">
        <f>IFERROR(INDEX(_自动清单!$AD$4:$AD$153,ROW()-3),"")</f>
        <v/>
      </c>
      <c r="C46" s="42" t="str">
        <f>IF($B46="","",COUNTIF(成本费用登记表!$C$4:$C$303,$B46))</f>
        <v/>
      </c>
      <c r="D46" s="76" t="str">
        <f>IF($B46="","",ROUND(SUMIF(成本费用登记表!$C$4:$C$303,$B46,成本费用登记表!$H$4:$H$303),2))</f>
        <v/>
      </c>
      <c r="E46" s="76" t="str">
        <f>IF($B46="","",ROUND(SUMIF(成本费用登记表!$C$4:$C$303,$B46,成本费用登记表!$AA$4:$AA$303),2))</f>
        <v/>
      </c>
      <c r="F46" s="76" t="str">
        <f t="shared" si="1"/>
        <v/>
      </c>
      <c r="G46" s="77" t="str">
        <f>IF(OR($B46="",N($C46)=0),"",IFERROR(INDEX(成本费用登记表!$B$4:$B$303,MATCH($B46,成本费用登记表!$C$4:$C$303,0)),""))</f>
        <v/>
      </c>
      <c r="H46" s="75" t="str">
        <f>IF(OR($B46="",N($C46)=0),"",IFERROR(INDEX(成本费用登记表!$D$4:$D$303,MATCH($B46,成本费用登记表!$C$4:$C$303,0)),""))</f>
        <v/>
      </c>
      <c r="I46" s="75" t="str">
        <f t="shared" si="2"/>
        <v/>
      </c>
    </row>
    <row r="47" spans="1:9">
      <c r="A47" s="74" t="str">
        <f t="shared" si="0"/>
        <v/>
      </c>
      <c r="B47" s="75" t="str">
        <f>IFERROR(INDEX(_自动清单!$AD$4:$AD$153,ROW()-3),"")</f>
        <v/>
      </c>
      <c r="C47" s="42" t="str">
        <f>IF($B47="","",COUNTIF(成本费用登记表!$C$4:$C$303,$B47))</f>
        <v/>
      </c>
      <c r="D47" s="76" t="str">
        <f>IF($B47="","",ROUND(SUMIF(成本费用登记表!$C$4:$C$303,$B47,成本费用登记表!$H$4:$H$303),2))</f>
        <v/>
      </c>
      <c r="E47" s="76" t="str">
        <f>IF($B47="","",ROUND(SUMIF(成本费用登记表!$C$4:$C$303,$B47,成本费用登记表!$AA$4:$AA$303),2))</f>
        <v/>
      </c>
      <c r="F47" s="76" t="str">
        <f t="shared" si="1"/>
        <v/>
      </c>
      <c r="G47" s="77" t="str">
        <f>IF(OR($B47="",N($C47)=0),"",IFERROR(INDEX(成本费用登记表!$B$4:$B$303,MATCH($B47,成本费用登记表!$C$4:$C$303,0)),""))</f>
        <v/>
      </c>
      <c r="H47" s="75" t="str">
        <f>IF(OR($B47="",N($C47)=0),"",IFERROR(INDEX(成本费用登记表!$D$4:$D$303,MATCH($B47,成本费用登记表!$C$4:$C$303,0)),""))</f>
        <v/>
      </c>
      <c r="I47" s="75" t="str">
        <f t="shared" si="2"/>
        <v/>
      </c>
    </row>
    <row r="48" spans="1:9">
      <c r="A48" s="74" t="str">
        <f t="shared" si="0"/>
        <v/>
      </c>
      <c r="B48" s="75" t="str">
        <f>IFERROR(INDEX(_自动清单!$AD$4:$AD$153,ROW()-3),"")</f>
        <v/>
      </c>
      <c r="C48" s="42" t="str">
        <f>IF($B48="","",COUNTIF(成本费用登记表!$C$4:$C$303,$B48))</f>
        <v/>
      </c>
      <c r="D48" s="76" t="str">
        <f>IF($B48="","",ROUND(SUMIF(成本费用登记表!$C$4:$C$303,$B48,成本费用登记表!$H$4:$H$303),2))</f>
        <v/>
      </c>
      <c r="E48" s="76" t="str">
        <f>IF($B48="","",ROUND(SUMIF(成本费用登记表!$C$4:$C$303,$B48,成本费用登记表!$AA$4:$AA$303),2))</f>
        <v/>
      </c>
      <c r="F48" s="76" t="str">
        <f t="shared" si="1"/>
        <v/>
      </c>
      <c r="G48" s="77" t="str">
        <f>IF(OR($B48="",N($C48)=0),"",IFERROR(INDEX(成本费用登记表!$B$4:$B$303,MATCH($B48,成本费用登记表!$C$4:$C$303,0)),""))</f>
        <v/>
      </c>
      <c r="H48" s="75" t="str">
        <f>IF(OR($B48="",N($C48)=0),"",IFERROR(INDEX(成本费用登记表!$D$4:$D$303,MATCH($B48,成本费用登记表!$C$4:$C$303,0)),""))</f>
        <v/>
      </c>
      <c r="I48" s="75" t="str">
        <f t="shared" si="2"/>
        <v/>
      </c>
    </row>
    <row r="49" spans="1:9">
      <c r="A49" s="74" t="str">
        <f t="shared" si="0"/>
        <v/>
      </c>
      <c r="B49" s="75" t="str">
        <f>IFERROR(INDEX(_自动清单!$AD$4:$AD$153,ROW()-3),"")</f>
        <v/>
      </c>
      <c r="C49" s="42" t="str">
        <f>IF($B49="","",COUNTIF(成本费用登记表!$C$4:$C$303,$B49))</f>
        <v/>
      </c>
      <c r="D49" s="76" t="str">
        <f>IF($B49="","",ROUND(SUMIF(成本费用登记表!$C$4:$C$303,$B49,成本费用登记表!$H$4:$H$303),2))</f>
        <v/>
      </c>
      <c r="E49" s="76" t="str">
        <f>IF($B49="","",ROUND(SUMIF(成本费用登记表!$C$4:$C$303,$B49,成本费用登记表!$AA$4:$AA$303),2))</f>
        <v/>
      </c>
      <c r="F49" s="76" t="str">
        <f t="shared" si="1"/>
        <v/>
      </c>
      <c r="G49" s="77" t="str">
        <f>IF(OR($B49="",N($C49)=0),"",IFERROR(INDEX(成本费用登记表!$B$4:$B$303,MATCH($B49,成本费用登记表!$C$4:$C$303,0)),""))</f>
        <v/>
      </c>
      <c r="H49" s="75" t="str">
        <f>IF(OR($B49="",N($C49)=0),"",IFERROR(INDEX(成本费用登记表!$D$4:$D$303,MATCH($B49,成本费用登记表!$C$4:$C$303,0)),""))</f>
        <v/>
      </c>
      <c r="I49" s="75" t="str">
        <f t="shared" si="2"/>
        <v/>
      </c>
    </row>
    <row r="50" spans="1:9">
      <c r="A50" s="74" t="str">
        <f t="shared" si="0"/>
        <v/>
      </c>
      <c r="B50" s="75" t="str">
        <f>IFERROR(INDEX(_自动清单!$AD$4:$AD$153,ROW()-3),"")</f>
        <v/>
      </c>
      <c r="C50" s="42" t="str">
        <f>IF($B50="","",COUNTIF(成本费用登记表!$C$4:$C$303,$B50))</f>
        <v/>
      </c>
      <c r="D50" s="76" t="str">
        <f>IF($B50="","",ROUND(SUMIF(成本费用登记表!$C$4:$C$303,$B50,成本费用登记表!$H$4:$H$303),2))</f>
        <v/>
      </c>
      <c r="E50" s="76" t="str">
        <f>IF($B50="","",ROUND(SUMIF(成本费用登记表!$C$4:$C$303,$B50,成本费用登记表!$AA$4:$AA$303),2))</f>
        <v/>
      </c>
      <c r="F50" s="76" t="str">
        <f t="shared" si="1"/>
        <v/>
      </c>
      <c r="G50" s="77" t="str">
        <f>IF(OR($B50="",N($C50)=0),"",IFERROR(INDEX(成本费用登记表!$B$4:$B$303,MATCH($B50,成本费用登记表!$C$4:$C$303,0)),""))</f>
        <v/>
      </c>
      <c r="H50" s="75" t="str">
        <f>IF(OR($B50="",N($C50)=0),"",IFERROR(INDEX(成本费用登记表!$D$4:$D$303,MATCH($B50,成本费用登记表!$C$4:$C$303,0)),""))</f>
        <v/>
      </c>
      <c r="I50" s="75" t="str">
        <f t="shared" si="2"/>
        <v/>
      </c>
    </row>
    <row r="51" spans="1:9">
      <c r="A51" s="74" t="str">
        <f t="shared" si="0"/>
        <v/>
      </c>
      <c r="B51" s="75" t="str">
        <f>IFERROR(INDEX(_自动清单!$AD$4:$AD$153,ROW()-3),"")</f>
        <v/>
      </c>
      <c r="C51" s="42" t="str">
        <f>IF($B51="","",COUNTIF(成本费用登记表!$C$4:$C$303,$B51))</f>
        <v/>
      </c>
      <c r="D51" s="76" t="str">
        <f>IF($B51="","",ROUND(SUMIF(成本费用登记表!$C$4:$C$303,$B51,成本费用登记表!$H$4:$H$303),2))</f>
        <v/>
      </c>
      <c r="E51" s="76" t="str">
        <f>IF($B51="","",ROUND(SUMIF(成本费用登记表!$C$4:$C$303,$B51,成本费用登记表!$AA$4:$AA$303),2))</f>
        <v/>
      </c>
      <c r="F51" s="76" t="str">
        <f t="shared" si="1"/>
        <v/>
      </c>
      <c r="G51" s="77" t="str">
        <f>IF(OR($B51="",N($C51)=0),"",IFERROR(INDEX(成本费用登记表!$B$4:$B$303,MATCH($B51,成本费用登记表!$C$4:$C$303,0)),""))</f>
        <v/>
      </c>
      <c r="H51" s="75" t="str">
        <f>IF(OR($B51="",N($C51)=0),"",IFERROR(INDEX(成本费用登记表!$D$4:$D$303,MATCH($B51,成本费用登记表!$C$4:$C$303,0)),""))</f>
        <v/>
      </c>
      <c r="I51" s="75" t="str">
        <f t="shared" si="2"/>
        <v/>
      </c>
    </row>
    <row r="52" spans="1:9">
      <c r="A52" s="74" t="str">
        <f t="shared" si="0"/>
        <v/>
      </c>
      <c r="B52" s="75" t="str">
        <f>IFERROR(INDEX(_自动清单!$AD$4:$AD$153,ROW()-3),"")</f>
        <v/>
      </c>
      <c r="C52" s="42" t="str">
        <f>IF($B52="","",COUNTIF(成本费用登记表!$C$4:$C$303,$B52))</f>
        <v/>
      </c>
      <c r="D52" s="76" t="str">
        <f>IF($B52="","",ROUND(SUMIF(成本费用登记表!$C$4:$C$303,$B52,成本费用登记表!$H$4:$H$303),2))</f>
        <v/>
      </c>
      <c r="E52" s="76" t="str">
        <f>IF($B52="","",ROUND(SUMIF(成本费用登记表!$C$4:$C$303,$B52,成本费用登记表!$AA$4:$AA$303),2))</f>
        <v/>
      </c>
      <c r="F52" s="76" t="str">
        <f t="shared" si="1"/>
        <v/>
      </c>
      <c r="G52" s="77" t="str">
        <f>IF(OR($B52="",N($C52)=0),"",IFERROR(INDEX(成本费用登记表!$B$4:$B$303,MATCH($B52,成本费用登记表!$C$4:$C$303,0)),""))</f>
        <v/>
      </c>
      <c r="H52" s="75" t="str">
        <f>IF(OR($B52="",N($C52)=0),"",IFERROR(INDEX(成本费用登记表!$D$4:$D$303,MATCH($B52,成本费用登记表!$C$4:$C$303,0)),""))</f>
        <v/>
      </c>
      <c r="I52" s="75" t="str">
        <f t="shared" si="2"/>
        <v/>
      </c>
    </row>
    <row r="53" spans="1:9">
      <c r="A53" s="74" t="str">
        <f t="shared" si="0"/>
        <v/>
      </c>
      <c r="B53" s="75" t="str">
        <f>IFERROR(INDEX(_自动清单!$AD$4:$AD$153,ROW()-3),"")</f>
        <v/>
      </c>
      <c r="C53" s="42" t="str">
        <f>IF($B53="","",COUNTIF(成本费用登记表!$C$4:$C$303,$B53))</f>
        <v/>
      </c>
      <c r="D53" s="76" t="str">
        <f>IF($B53="","",ROUND(SUMIF(成本费用登记表!$C$4:$C$303,$B53,成本费用登记表!$H$4:$H$303),2))</f>
        <v/>
      </c>
      <c r="E53" s="76" t="str">
        <f>IF($B53="","",ROUND(SUMIF(成本费用登记表!$C$4:$C$303,$B53,成本费用登记表!$AA$4:$AA$303),2))</f>
        <v/>
      </c>
      <c r="F53" s="76" t="str">
        <f t="shared" si="1"/>
        <v/>
      </c>
      <c r="G53" s="77" t="str">
        <f>IF(OR($B53="",N($C53)=0),"",IFERROR(INDEX(成本费用登记表!$B$4:$B$303,MATCH($B53,成本费用登记表!$C$4:$C$303,0)),""))</f>
        <v/>
      </c>
      <c r="H53" s="75" t="str">
        <f>IF(OR($B53="",N($C53)=0),"",IFERROR(INDEX(成本费用登记表!$D$4:$D$303,MATCH($B53,成本费用登记表!$C$4:$C$303,0)),""))</f>
        <v/>
      </c>
      <c r="I53" s="75" t="str">
        <f t="shared" si="2"/>
        <v/>
      </c>
    </row>
    <row r="54" spans="1:9">
      <c r="A54" s="74" t="str">
        <f t="shared" si="0"/>
        <v/>
      </c>
      <c r="B54" s="75" t="str">
        <f>IFERROR(INDEX(_自动清单!$AD$4:$AD$153,ROW()-3),"")</f>
        <v/>
      </c>
      <c r="C54" s="42" t="str">
        <f>IF($B54="","",COUNTIF(成本费用登记表!$C$4:$C$303,$B54))</f>
        <v/>
      </c>
      <c r="D54" s="76" t="str">
        <f>IF($B54="","",ROUND(SUMIF(成本费用登记表!$C$4:$C$303,$B54,成本费用登记表!$H$4:$H$303),2))</f>
        <v/>
      </c>
      <c r="E54" s="76" t="str">
        <f>IF($B54="","",ROUND(SUMIF(成本费用登记表!$C$4:$C$303,$B54,成本费用登记表!$AA$4:$AA$303),2))</f>
        <v/>
      </c>
      <c r="F54" s="76" t="str">
        <f t="shared" si="1"/>
        <v/>
      </c>
      <c r="G54" s="77" t="str">
        <f>IF(OR($B54="",N($C54)=0),"",IFERROR(INDEX(成本费用登记表!$B$4:$B$303,MATCH($B54,成本费用登记表!$C$4:$C$303,0)),""))</f>
        <v/>
      </c>
      <c r="H54" s="75" t="str">
        <f>IF(OR($B54="",N($C54)=0),"",IFERROR(INDEX(成本费用登记表!$D$4:$D$303,MATCH($B54,成本费用登记表!$C$4:$C$303,0)),""))</f>
        <v/>
      </c>
      <c r="I54" s="75" t="str">
        <f t="shared" si="2"/>
        <v/>
      </c>
    </row>
    <row r="55" spans="1:9">
      <c r="A55" s="74" t="str">
        <f t="shared" si="0"/>
        <v/>
      </c>
      <c r="B55" s="75" t="str">
        <f>IFERROR(INDEX(_自动清单!$AD$4:$AD$153,ROW()-3),"")</f>
        <v/>
      </c>
      <c r="C55" s="42" t="str">
        <f>IF($B55="","",COUNTIF(成本费用登记表!$C$4:$C$303,$B55))</f>
        <v/>
      </c>
      <c r="D55" s="76" t="str">
        <f>IF($B55="","",ROUND(SUMIF(成本费用登记表!$C$4:$C$303,$B55,成本费用登记表!$H$4:$H$303),2))</f>
        <v/>
      </c>
      <c r="E55" s="76" t="str">
        <f>IF($B55="","",ROUND(SUMIF(成本费用登记表!$C$4:$C$303,$B55,成本费用登记表!$AA$4:$AA$303),2))</f>
        <v/>
      </c>
      <c r="F55" s="76" t="str">
        <f t="shared" si="1"/>
        <v/>
      </c>
      <c r="G55" s="77" t="str">
        <f>IF(OR($B55="",N($C55)=0),"",IFERROR(INDEX(成本费用登记表!$B$4:$B$303,MATCH($B55,成本费用登记表!$C$4:$C$303,0)),""))</f>
        <v/>
      </c>
      <c r="H55" s="75" t="str">
        <f>IF(OR($B55="",N($C55)=0),"",IFERROR(INDEX(成本费用登记表!$D$4:$D$303,MATCH($B55,成本费用登记表!$C$4:$C$303,0)),""))</f>
        <v/>
      </c>
      <c r="I55" s="75" t="str">
        <f t="shared" si="2"/>
        <v/>
      </c>
    </row>
    <row r="56" spans="1:9">
      <c r="A56" s="74" t="str">
        <f t="shared" si="0"/>
        <v/>
      </c>
      <c r="B56" s="75" t="str">
        <f>IFERROR(INDEX(_自动清单!$AD$4:$AD$153,ROW()-3),"")</f>
        <v/>
      </c>
      <c r="C56" s="42" t="str">
        <f>IF($B56="","",COUNTIF(成本费用登记表!$C$4:$C$303,$B56))</f>
        <v/>
      </c>
      <c r="D56" s="76" t="str">
        <f>IF($B56="","",ROUND(SUMIF(成本费用登记表!$C$4:$C$303,$B56,成本费用登记表!$H$4:$H$303),2))</f>
        <v/>
      </c>
      <c r="E56" s="76" t="str">
        <f>IF($B56="","",ROUND(SUMIF(成本费用登记表!$C$4:$C$303,$B56,成本费用登记表!$AA$4:$AA$303),2))</f>
        <v/>
      </c>
      <c r="F56" s="76" t="str">
        <f t="shared" si="1"/>
        <v/>
      </c>
      <c r="G56" s="77" t="str">
        <f>IF(OR($B56="",N($C56)=0),"",IFERROR(INDEX(成本费用登记表!$B$4:$B$303,MATCH($B56,成本费用登记表!$C$4:$C$303,0)),""))</f>
        <v/>
      </c>
      <c r="H56" s="75" t="str">
        <f>IF(OR($B56="",N($C56)=0),"",IFERROR(INDEX(成本费用登记表!$D$4:$D$303,MATCH($B56,成本费用登记表!$C$4:$C$303,0)),""))</f>
        <v/>
      </c>
      <c r="I56" s="75" t="str">
        <f t="shared" si="2"/>
        <v/>
      </c>
    </row>
    <row r="57" spans="1:9">
      <c r="A57" s="74" t="str">
        <f t="shared" si="0"/>
        <v/>
      </c>
      <c r="B57" s="75" t="str">
        <f>IFERROR(INDEX(_自动清单!$AD$4:$AD$153,ROW()-3),"")</f>
        <v/>
      </c>
      <c r="C57" s="42" t="str">
        <f>IF($B57="","",COUNTIF(成本费用登记表!$C$4:$C$303,$B57))</f>
        <v/>
      </c>
      <c r="D57" s="76" t="str">
        <f>IF($B57="","",ROUND(SUMIF(成本费用登记表!$C$4:$C$303,$B57,成本费用登记表!$H$4:$H$303),2))</f>
        <v/>
      </c>
      <c r="E57" s="76" t="str">
        <f>IF($B57="","",ROUND(SUMIF(成本费用登记表!$C$4:$C$303,$B57,成本费用登记表!$AA$4:$AA$303),2))</f>
        <v/>
      </c>
      <c r="F57" s="76" t="str">
        <f t="shared" si="1"/>
        <v/>
      </c>
      <c r="G57" s="77" t="str">
        <f>IF(OR($B57="",N($C57)=0),"",IFERROR(INDEX(成本费用登记表!$B$4:$B$303,MATCH($B57,成本费用登记表!$C$4:$C$303,0)),""))</f>
        <v/>
      </c>
      <c r="H57" s="75" t="str">
        <f>IF(OR($B57="",N($C57)=0),"",IFERROR(INDEX(成本费用登记表!$D$4:$D$303,MATCH($B57,成本费用登记表!$C$4:$C$303,0)),""))</f>
        <v/>
      </c>
      <c r="I57" s="75" t="str">
        <f t="shared" si="2"/>
        <v/>
      </c>
    </row>
    <row r="58" spans="1:9">
      <c r="A58" s="74" t="str">
        <f t="shared" si="0"/>
        <v/>
      </c>
      <c r="B58" s="75" t="str">
        <f>IFERROR(INDEX(_自动清单!$AD$4:$AD$153,ROW()-3),"")</f>
        <v/>
      </c>
      <c r="C58" s="42" t="str">
        <f>IF($B58="","",COUNTIF(成本费用登记表!$C$4:$C$303,$B58))</f>
        <v/>
      </c>
      <c r="D58" s="76" t="str">
        <f>IF($B58="","",ROUND(SUMIF(成本费用登记表!$C$4:$C$303,$B58,成本费用登记表!$H$4:$H$303),2))</f>
        <v/>
      </c>
      <c r="E58" s="76" t="str">
        <f>IF($B58="","",ROUND(SUMIF(成本费用登记表!$C$4:$C$303,$B58,成本费用登记表!$AA$4:$AA$303),2))</f>
        <v/>
      </c>
      <c r="F58" s="76" t="str">
        <f t="shared" si="1"/>
        <v/>
      </c>
      <c r="G58" s="77" t="str">
        <f>IF(OR($B58="",N($C58)=0),"",IFERROR(INDEX(成本费用登记表!$B$4:$B$303,MATCH($B58,成本费用登记表!$C$4:$C$303,0)),""))</f>
        <v/>
      </c>
      <c r="H58" s="75" t="str">
        <f>IF(OR($B58="",N($C58)=0),"",IFERROR(INDEX(成本费用登记表!$D$4:$D$303,MATCH($B58,成本费用登记表!$C$4:$C$303,0)),""))</f>
        <v/>
      </c>
      <c r="I58" s="75" t="str">
        <f t="shared" si="2"/>
        <v/>
      </c>
    </row>
    <row r="59" spans="1:9">
      <c r="A59" s="74" t="str">
        <f t="shared" si="0"/>
        <v/>
      </c>
      <c r="B59" s="75" t="str">
        <f>IFERROR(INDEX(_自动清单!$AD$4:$AD$153,ROW()-3),"")</f>
        <v/>
      </c>
      <c r="C59" s="42" t="str">
        <f>IF($B59="","",COUNTIF(成本费用登记表!$C$4:$C$303,$B59))</f>
        <v/>
      </c>
      <c r="D59" s="76" t="str">
        <f>IF($B59="","",ROUND(SUMIF(成本费用登记表!$C$4:$C$303,$B59,成本费用登记表!$H$4:$H$303),2))</f>
        <v/>
      </c>
      <c r="E59" s="76" t="str">
        <f>IF($B59="","",ROUND(SUMIF(成本费用登记表!$C$4:$C$303,$B59,成本费用登记表!$AA$4:$AA$303),2))</f>
        <v/>
      </c>
      <c r="F59" s="76" t="str">
        <f t="shared" si="1"/>
        <v/>
      </c>
      <c r="G59" s="77" t="str">
        <f>IF(OR($B59="",N($C59)=0),"",IFERROR(INDEX(成本费用登记表!$B$4:$B$303,MATCH($B59,成本费用登记表!$C$4:$C$303,0)),""))</f>
        <v/>
      </c>
      <c r="H59" s="75" t="str">
        <f>IF(OR($B59="",N($C59)=0),"",IFERROR(INDEX(成本费用登记表!$D$4:$D$303,MATCH($B59,成本费用登记表!$C$4:$C$303,0)),""))</f>
        <v/>
      </c>
      <c r="I59" s="75" t="str">
        <f t="shared" si="2"/>
        <v/>
      </c>
    </row>
    <row r="60" spans="1:9">
      <c r="A60" s="74" t="str">
        <f t="shared" si="0"/>
        <v/>
      </c>
      <c r="B60" s="75" t="str">
        <f>IFERROR(INDEX(_自动清单!$AD$4:$AD$153,ROW()-3),"")</f>
        <v/>
      </c>
      <c r="C60" s="42" t="str">
        <f>IF($B60="","",COUNTIF(成本费用登记表!$C$4:$C$303,$B60))</f>
        <v/>
      </c>
      <c r="D60" s="76" t="str">
        <f>IF($B60="","",ROUND(SUMIF(成本费用登记表!$C$4:$C$303,$B60,成本费用登记表!$H$4:$H$303),2))</f>
        <v/>
      </c>
      <c r="E60" s="76" t="str">
        <f>IF($B60="","",ROUND(SUMIF(成本费用登记表!$C$4:$C$303,$B60,成本费用登记表!$AA$4:$AA$303),2))</f>
        <v/>
      </c>
      <c r="F60" s="76" t="str">
        <f t="shared" si="1"/>
        <v/>
      </c>
      <c r="G60" s="77" t="str">
        <f>IF(OR($B60="",N($C60)=0),"",IFERROR(INDEX(成本费用登记表!$B$4:$B$303,MATCH($B60,成本费用登记表!$C$4:$C$303,0)),""))</f>
        <v/>
      </c>
      <c r="H60" s="75" t="str">
        <f>IF(OR($B60="",N($C60)=0),"",IFERROR(INDEX(成本费用登记表!$D$4:$D$303,MATCH($B60,成本费用登记表!$C$4:$C$303,0)),""))</f>
        <v/>
      </c>
      <c r="I60" s="75" t="str">
        <f t="shared" si="2"/>
        <v/>
      </c>
    </row>
    <row r="61" spans="1:9">
      <c r="A61" s="74" t="str">
        <f t="shared" si="0"/>
        <v/>
      </c>
      <c r="B61" s="75" t="str">
        <f>IFERROR(INDEX(_自动清单!$AD$4:$AD$153,ROW()-3),"")</f>
        <v/>
      </c>
      <c r="C61" s="42" t="str">
        <f>IF($B61="","",COUNTIF(成本费用登记表!$C$4:$C$303,$B61))</f>
        <v/>
      </c>
      <c r="D61" s="76" t="str">
        <f>IF($B61="","",ROUND(SUMIF(成本费用登记表!$C$4:$C$303,$B61,成本费用登记表!$H$4:$H$303),2))</f>
        <v/>
      </c>
      <c r="E61" s="76" t="str">
        <f>IF($B61="","",ROUND(SUMIF(成本费用登记表!$C$4:$C$303,$B61,成本费用登记表!$AA$4:$AA$303),2))</f>
        <v/>
      </c>
      <c r="F61" s="76" t="str">
        <f t="shared" si="1"/>
        <v/>
      </c>
      <c r="G61" s="77" t="str">
        <f>IF(OR($B61="",N($C61)=0),"",IFERROR(INDEX(成本费用登记表!$B$4:$B$303,MATCH($B61,成本费用登记表!$C$4:$C$303,0)),""))</f>
        <v/>
      </c>
      <c r="H61" s="75" t="str">
        <f>IF(OR($B61="",N($C61)=0),"",IFERROR(INDEX(成本费用登记表!$D$4:$D$303,MATCH($B61,成本费用登记表!$C$4:$C$303,0)),""))</f>
        <v/>
      </c>
      <c r="I61" s="75" t="str">
        <f t="shared" si="2"/>
        <v/>
      </c>
    </row>
    <row r="62" spans="1:9">
      <c r="A62" s="74" t="str">
        <f t="shared" si="0"/>
        <v/>
      </c>
      <c r="B62" s="75" t="str">
        <f>IFERROR(INDEX(_自动清单!$AD$4:$AD$153,ROW()-3),"")</f>
        <v/>
      </c>
      <c r="C62" s="42" t="str">
        <f>IF($B62="","",COUNTIF(成本费用登记表!$C$4:$C$303,$B62))</f>
        <v/>
      </c>
      <c r="D62" s="76" t="str">
        <f>IF($B62="","",ROUND(SUMIF(成本费用登记表!$C$4:$C$303,$B62,成本费用登记表!$H$4:$H$303),2))</f>
        <v/>
      </c>
      <c r="E62" s="76" t="str">
        <f>IF($B62="","",ROUND(SUMIF(成本费用登记表!$C$4:$C$303,$B62,成本费用登记表!$AA$4:$AA$303),2))</f>
        <v/>
      </c>
      <c r="F62" s="76" t="str">
        <f t="shared" si="1"/>
        <v/>
      </c>
      <c r="G62" s="77" t="str">
        <f>IF(OR($B62="",N($C62)=0),"",IFERROR(INDEX(成本费用登记表!$B$4:$B$303,MATCH($B62,成本费用登记表!$C$4:$C$303,0)),""))</f>
        <v/>
      </c>
      <c r="H62" s="75" t="str">
        <f>IF(OR($B62="",N($C62)=0),"",IFERROR(INDEX(成本费用登记表!$D$4:$D$303,MATCH($B62,成本费用登记表!$C$4:$C$303,0)),""))</f>
        <v/>
      </c>
      <c r="I62" s="75" t="str">
        <f t="shared" si="2"/>
        <v/>
      </c>
    </row>
    <row r="63" spans="1:9">
      <c r="A63" s="74" t="str">
        <f t="shared" si="0"/>
        <v/>
      </c>
      <c r="B63" s="75" t="str">
        <f>IFERROR(INDEX(_自动清单!$AD$4:$AD$153,ROW()-3),"")</f>
        <v/>
      </c>
      <c r="C63" s="42" t="str">
        <f>IF($B63="","",COUNTIF(成本费用登记表!$C$4:$C$303,$B63))</f>
        <v/>
      </c>
      <c r="D63" s="76" t="str">
        <f>IF($B63="","",ROUND(SUMIF(成本费用登记表!$C$4:$C$303,$B63,成本费用登记表!$H$4:$H$303),2))</f>
        <v/>
      </c>
      <c r="E63" s="76" t="str">
        <f>IF($B63="","",ROUND(SUMIF(成本费用登记表!$C$4:$C$303,$B63,成本费用登记表!$AA$4:$AA$303),2))</f>
        <v/>
      </c>
      <c r="F63" s="76" t="str">
        <f t="shared" si="1"/>
        <v/>
      </c>
      <c r="G63" s="77" t="str">
        <f>IF(OR($B63="",N($C63)=0),"",IFERROR(INDEX(成本费用登记表!$B$4:$B$303,MATCH($B63,成本费用登记表!$C$4:$C$303,0)),""))</f>
        <v/>
      </c>
      <c r="H63" s="75" t="str">
        <f>IF(OR($B63="",N($C63)=0),"",IFERROR(INDEX(成本费用登记表!$D$4:$D$303,MATCH($B63,成本费用登记表!$C$4:$C$303,0)),""))</f>
        <v/>
      </c>
      <c r="I63" s="75" t="str">
        <f t="shared" si="2"/>
        <v/>
      </c>
    </row>
    <row r="64" spans="1:9">
      <c r="A64" s="74" t="str">
        <f t="shared" si="0"/>
        <v/>
      </c>
      <c r="B64" s="75" t="str">
        <f>IFERROR(INDEX(_自动清单!$AD$4:$AD$153,ROW()-3),"")</f>
        <v/>
      </c>
      <c r="C64" s="42" t="str">
        <f>IF($B64="","",COUNTIF(成本费用登记表!$C$4:$C$303,$B64))</f>
        <v/>
      </c>
      <c r="D64" s="76" t="str">
        <f>IF($B64="","",ROUND(SUMIF(成本费用登记表!$C$4:$C$303,$B64,成本费用登记表!$H$4:$H$303),2))</f>
        <v/>
      </c>
      <c r="E64" s="76" t="str">
        <f>IF($B64="","",ROUND(SUMIF(成本费用登记表!$C$4:$C$303,$B64,成本费用登记表!$AA$4:$AA$303),2))</f>
        <v/>
      </c>
      <c r="F64" s="76" t="str">
        <f t="shared" si="1"/>
        <v/>
      </c>
      <c r="G64" s="77" t="str">
        <f>IF(OR($B64="",N($C64)=0),"",IFERROR(INDEX(成本费用登记表!$B$4:$B$303,MATCH($B64,成本费用登记表!$C$4:$C$303,0)),""))</f>
        <v/>
      </c>
      <c r="H64" s="75" t="str">
        <f>IF(OR($B64="",N($C64)=0),"",IFERROR(INDEX(成本费用登记表!$D$4:$D$303,MATCH($B64,成本费用登记表!$C$4:$C$303,0)),""))</f>
        <v/>
      </c>
      <c r="I64" s="75" t="str">
        <f t="shared" si="2"/>
        <v/>
      </c>
    </row>
    <row r="65" spans="1:9">
      <c r="A65" s="74" t="str">
        <f t="shared" si="0"/>
        <v/>
      </c>
      <c r="B65" s="75" t="str">
        <f>IFERROR(INDEX(_自动清单!$AD$4:$AD$153,ROW()-3),"")</f>
        <v/>
      </c>
      <c r="C65" s="42" t="str">
        <f>IF($B65="","",COUNTIF(成本费用登记表!$C$4:$C$303,$B65))</f>
        <v/>
      </c>
      <c r="D65" s="76" t="str">
        <f>IF($B65="","",ROUND(SUMIF(成本费用登记表!$C$4:$C$303,$B65,成本费用登记表!$H$4:$H$303),2))</f>
        <v/>
      </c>
      <c r="E65" s="76" t="str">
        <f>IF($B65="","",ROUND(SUMIF(成本费用登记表!$C$4:$C$303,$B65,成本费用登记表!$AA$4:$AA$303),2))</f>
        <v/>
      </c>
      <c r="F65" s="76" t="str">
        <f t="shared" si="1"/>
        <v/>
      </c>
      <c r="G65" s="77" t="str">
        <f>IF(OR($B65="",N($C65)=0),"",IFERROR(INDEX(成本费用登记表!$B$4:$B$303,MATCH($B65,成本费用登记表!$C$4:$C$303,0)),""))</f>
        <v/>
      </c>
      <c r="H65" s="75" t="str">
        <f>IF(OR($B65="",N($C65)=0),"",IFERROR(INDEX(成本费用登记表!$D$4:$D$303,MATCH($B65,成本费用登记表!$C$4:$C$303,0)),""))</f>
        <v/>
      </c>
      <c r="I65" s="75" t="str">
        <f t="shared" si="2"/>
        <v/>
      </c>
    </row>
    <row r="66" spans="1:9">
      <c r="A66" s="74" t="str">
        <f t="shared" si="0"/>
        <v/>
      </c>
      <c r="B66" s="75" t="str">
        <f>IFERROR(INDEX(_自动清单!$AD$4:$AD$153,ROW()-3),"")</f>
        <v/>
      </c>
      <c r="C66" s="42" t="str">
        <f>IF($B66="","",COUNTIF(成本费用登记表!$C$4:$C$303,$B66))</f>
        <v/>
      </c>
      <c r="D66" s="76" t="str">
        <f>IF($B66="","",ROUND(SUMIF(成本费用登记表!$C$4:$C$303,$B66,成本费用登记表!$H$4:$H$303),2))</f>
        <v/>
      </c>
      <c r="E66" s="76" t="str">
        <f>IF($B66="","",ROUND(SUMIF(成本费用登记表!$C$4:$C$303,$B66,成本费用登记表!$AA$4:$AA$303),2))</f>
        <v/>
      </c>
      <c r="F66" s="76" t="str">
        <f t="shared" si="1"/>
        <v/>
      </c>
      <c r="G66" s="77" t="str">
        <f>IF(OR($B66="",N($C66)=0),"",IFERROR(INDEX(成本费用登记表!$B$4:$B$303,MATCH($B66,成本费用登记表!$C$4:$C$303,0)),""))</f>
        <v/>
      </c>
      <c r="H66" s="75" t="str">
        <f>IF(OR($B66="",N($C66)=0),"",IFERROR(INDEX(成本费用登记表!$D$4:$D$303,MATCH($B66,成本费用登记表!$C$4:$C$303,0)),""))</f>
        <v/>
      </c>
      <c r="I66" s="75" t="str">
        <f t="shared" si="2"/>
        <v/>
      </c>
    </row>
    <row r="67" spans="1:9">
      <c r="A67" s="74" t="str">
        <f t="shared" si="0"/>
        <v/>
      </c>
      <c r="B67" s="75" t="str">
        <f>IFERROR(INDEX(_自动清单!$AD$4:$AD$153,ROW()-3),"")</f>
        <v/>
      </c>
      <c r="C67" s="42" t="str">
        <f>IF($B67="","",COUNTIF(成本费用登记表!$C$4:$C$303,$B67))</f>
        <v/>
      </c>
      <c r="D67" s="76" t="str">
        <f>IF($B67="","",ROUND(SUMIF(成本费用登记表!$C$4:$C$303,$B67,成本费用登记表!$H$4:$H$303),2))</f>
        <v/>
      </c>
      <c r="E67" s="76" t="str">
        <f>IF($B67="","",ROUND(SUMIF(成本费用登记表!$C$4:$C$303,$B67,成本费用登记表!$AA$4:$AA$303),2))</f>
        <v/>
      </c>
      <c r="F67" s="76" t="str">
        <f t="shared" si="1"/>
        <v/>
      </c>
      <c r="G67" s="77" t="str">
        <f>IF(OR($B67="",N($C67)=0),"",IFERROR(INDEX(成本费用登记表!$B$4:$B$303,MATCH($B67,成本费用登记表!$C$4:$C$303,0)),""))</f>
        <v/>
      </c>
      <c r="H67" s="75" t="str">
        <f>IF(OR($B67="",N($C67)=0),"",IFERROR(INDEX(成本费用登记表!$D$4:$D$303,MATCH($B67,成本费用登记表!$C$4:$C$303,0)),""))</f>
        <v/>
      </c>
      <c r="I67" s="75" t="str">
        <f t="shared" si="2"/>
        <v/>
      </c>
    </row>
    <row r="68" spans="1:9">
      <c r="A68" s="74" t="str">
        <f t="shared" ref="A68:A131" si="3">IF($B68="","",ROW()-3)</f>
        <v/>
      </c>
      <c r="B68" s="75" t="str">
        <f>IFERROR(INDEX(_自动清单!$AD$4:$AD$153,ROW()-3),"")</f>
        <v/>
      </c>
      <c r="C68" s="42" t="str">
        <f>IF($B68="","",COUNTIF(成本费用登记表!$C$4:$C$303,$B68))</f>
        <v/>
      </c>
      <c r="D68" s="76" t="str">
        <f>IF($B68="","",ROUND(SUMIF(成本费用登记表!$C$4:$C$303,$B68,成本费用登记表!$H$4:$H$303),2))</f>
        <v/>
      </c>
      <c r="E68" s="76" t="str">
        <f>IF($B68="","",ROUND(SUMIF(成本费用登记表!$C$4:$C$303,$B68,成本费用登记表!$AA$4:$AA$303),2))</f>
        <v/>
      </c>
      <c r="F68" s="76" t="str">
        <f t="shared" ref="F68:F131" si="4">IF($B68="","",ROUND(N($D68)-N($E68),2))</f>
        <v/>
      </c>
      <c r="G68" s="77" t="str">
        <f>IF(OR($B68="",N($C68)=0),"",IFERROR(INDEX(成本费用登记表!$B$4:$B$303,MATCH($B68,成本费用登记表!$C$4:$C$303,0)),""))</f>
        <v/>
      </c>
      <c r="H68" s="75" t="str">
        <f>IF(OR($B68="",N($C68)=0),"",IFERROR(INDEX(成本费用登记表!$D$4:$D$303,MATCH($B68,成本费用登记表!$C$4:$C$303,0)),""))</f>
        <v/>
      </c>
      <c r="I68" s="75" t="str">
        <f t="shared" ref="I68:I131" si="5">IF($B68="","",IF(N($F68)&gt;0,"⚠ 尚欠 "&amp;TEXT(N($F68),"#,##0.00")&amp;" 元","✔ 已结清"))</f>
        <v/>
      </c>
    </row>
    <row r="69" spans="1:9">
      <c r="A69" s="74" t="str">
        <f t="shared" si="3"/>
        <v/>
      </c>
      <c r="B69" s="75" t="str">
        <f>IFERROR(INDEX(_自动清单!$AD$4:$AD$153,ROW()-3),"")</f>
        <v/>
      </c>
      <c r="C69" s="42" t="str">
        <f>IF($B69="","",COUNTIF(成本费用登记表!$C$4:$C$303,$B69))</f>
        <v/>
      </c>
      <c r="D69" s="76" t="str">
        <f>IF($B69="","",ROUND(SUMIF(成本费用登记表!$C$4:$C$303,$B69,成本费用登记表!$H$4:$H$303),2))</f>
        <v/>
      </c>
      <c r="E69" s="76" t="str">
        <f>IF($B69="","",ROUND(SUMIF(成本费用登记表!$C$4:$C$303,$B69,成本费用登记表!$AA$4:$AA$303),2))</f>
        <v/>
      </c>
      <c r="F69" s="76" t="str">
        <f t="shared" si="4"/>
        <v/>
      </c>
      <c r="G69" s="77" t="str">
        <f>IF(OR($B69="",N($C69)=0),"",IFERROR(INDEX(成本费用登记表!$B$4:$B$303,MATCH($B69,成本费用登记表!$C$4:$C$303,0)),""))</f>
        <v/>
      </c>
      <c r="H69" s="75" t="str">
        <f>IF(OR($B69="",N($C69)=0),"",IFERROR(INDEX(成本费用登记表!$D$4:$D$303,MATCH($B69,成本费用登记表!$C$4:$C$303,0)),""))</f>
        <v/>
      </c>
      <c r="I69" s="75" t="str">
        <f t="shared" si="5"/>
        <v/>
      </c>
    </row>
    <row r="70" spans="1:9">
      <c r="A70" s="74" t="str">
        <f t="shared" si="3"/>
        <v/>
      </c>
      <c r="B70" s="75" t="str">
        <f>IFERROR(INDEX(_自动清单!$AD$4:$AD$153,ROW()-3),"")</f>
        <v/>
      </c>
      <c r="C70" s="42" t="str">
        <f>IF($B70="","",COUNTIF(成本费用登记表!$C$4:$C$303,$B70))</f>
        <v/>
      </c>
      <c r="D70" s="76" t="str">
        <f>IF($B70="","",ROUND(SUMIF(成本费用登记表!$C$4:$C$303,$B70,成本费用登记表!$H$4:$H$303),2))</f>
        <v/>
      </c>
      <c r="E70" s="76" t="str">
        <f>IF($B70="","",ROUND(SUMIF(成本费用登记表!$C$4:$C$303,$B70,成本费用登记表!$AA$4:$AA$303),2))</f>
        <v/>
      </c>
      <c r="F70" s="76" t="str">
        <f t="shared" si="4"/>
        <v/>
      </c>
      <c r="G70" s="77" t="str">
        <f>IF(OR($B70="",N($C70)=0),"",IFERROR(INDEX(成本费用登记表!$B$4:$B$303,MATCH($B70,成本费用登记表!$C$4:$C$303,0)),""))</f>
        <v/>
      </c>
      <c r="H70" s="75" t="str">
        <f>IF(OR($B70="",N($C70)=0),"",IFERROR(INDEX(成本费用登记表!$D$4:$D$303,MATCH($B70,成本费用登记表!$C$4:$C$303,0)),""))</f>
        <v/>
      </c>
      <c r="I70" s="75" t="str">
        <f t="shared" si="5"/>
        <v/>
      </c>
    </row>
    <row r="71" spans="1:9">
      <c r="A71" s="74" t="str">
        <f t="shared" si="3"/>
        <v/>
      </c>
      <c r="B71" s="75" t="str">
        <f>IFERROR(INDEX(_自动清单!$AD$4:$AD$153,ROW()-3),"")</f>
        <v/>
      </c>
      <c r="C71" s="42" t="str">
        <f>IF($B71="","",COUNTIF(成本费用登记表!$C$4:$C$303,$B71))</f>
        <v/>
      </c>
      <c r="D71" s="76" t="str">
        <f>IF($B71="","",ROUND(SUMIF(成本费用登记表!$C$4:$C$303,$B71,成本费用登记表!$H$4:$H$303),2))</f>
        <v/>
      </c>
      <c r="E71" s="76" t="str">
        <f>IF($B71="","",ROUND(SUMIF(成本费用登记表!$C$4:$C$303,$B71,成本费用登记表!$AA$4:$AA$303),2))</f>
        <v/>
      </c>
      <c r="F71" s="76" t="str">
        <f t="shared" si="4"/>
        <v/>
      </c>
      <c r="G71" s="77" t="str">
        <f>IF(OR($B71="",N($C71)=0),"",IFERROR(INDEX(成本费用登记表!$B$4:$B$303,MATCH($B71,成本费用登记表!$C$4:$C$303,0)),""))</f>
        <v/>
      </c>
      <c r="H71" s="75" t="str">
        <f>IF(OR($B71="",N($C71)=0),"",IFERROR(INDEX(成本费用登记表!$D$4:$D$303,MATCH($B71,成本费用登记表!$C$4:$C$303,0)),""))</f>
        <v/>
      </c>
      <c r="I71" s="75" t="str">
        <f t="shared" si="5"/>
        <v/>
      </c>
    </row>
    <row r="72" spans="1:9">
      <c r="A72" s="74" t="str">
        <f t="shared" si="3"/>
        <v/>
      </c>
      <c r="B72" s="75" t="str">
        <f>IFERROR(INDEX(_自动清单!$AD$4:$AD$153,ROW()-3),"")</f>
        <v/>
      </c>
      <c r="C72" s="42" t="str">
        <f>IF($B72="","",COUNTIF(成本费用登记表!$C$4:$C$303,$B72))</f>
        <v/>
      </c>
      <c r="D72" s="76" t="str">
        <f>IF($B72="","",ROUND(SUMIF(成本费用登记表!$C$4:$C$303,$B72,成本费用登记表!$H$4:$H$303),2))</f>
        <v/>
      </c>
      <c r="E72" s="76" t="str">
        <f>IF($B72="","",ROUND(SUMIF(成本费用登记表!$C$4:$C$303,$B72,成本费用登记表!$AA$4:$AA$303),2))</f>
        <v/>
      </c>
      <c r="F72" s="76" t="str">
        <f t="shared" si="4"/>
        <v/>
      </c>
      <c r="G72" s="77" t="str">
        <f>IF(OR($B72="",N($C72)=0),"",IFERROR(INDEX(成本费用登记表!$B$4:$B$303,MATCH($B72,成本费用登记表!$C$4:$C$303,0)),""))</f>
        <v/>
      </c>
      <c r="H72" s="75" t="str">
        <f>IF(OR($B72="",N($C72)=0),"",IFERROR(INDEX(成本费用登记表!$D$4:$D$303,MATCH($B72,成本费用登记表!$C$4:$C$303,0)),""))</f>
        <v/>
      </c>
      <c r="I72" s="75" t="str">
        <f t="shared" si="5"/>
        <v/>
      </c>
    </row>
    <row r="73" spans="1:9">
      <c r="A73" s="74" t="str">
        <f t="shared" si="3"/>
        <v/>
      </c>
      <c r="B73" s="75" t="str">
        <f>IFERROR(INDEX(_自动清单!$AD$4:$AD$153,ROW()-3),"")</f>
        <v/>
      </c>
      <c r="C73" s="42" t="str">
        <f>IF($B73="","",COUNTIF(成本费用登记表!$C$4:$C$303,$B73))</f>
        <v/>
      </c>
      <c r="D73" s="76" t="str">
        <f>IF($B73="","",ROUND(SUMIF(成本费用登记表!$C$4:$C$303,$B73,成本费用登记表!$H$4:$H$303),2))</f>
        <v/>
      </c>
      <c r="E73" s="76" t="str">
        <f>IF($B73="","",ROUND(SUMIF(成本费用登记表!$C$4:$C$303,$B73,成本费用登记表!$AA$4:$AA$303),2))</f>
        <v/>
      </c>
      <c r="F73" s="76" t="str">
        <f t="shared" si="4"/>
        <v/>
      </c>
      <c r="G73" s="77" t="str">
        <f>IF(OR($B73="",N($C73)=0),"",IFERROR(INDEX(成本费用登记表!$B$4:$B$303,MATCH($B73,成本费用登记表!$C$4:$C$303,0)),""))</f>
        <v/>
      </c>
      <c r="H73" s="75" t="str">
        <f>IF(OR($B73="",N($C73)=0),"",IFERROR(INDEX(成本费用登记表!$D$4:$D$303,MATCH($B73,成本费用登记表!$C$4:$C$303,0)),""))</f>
        <v/>
      </c>
      <c r="I73" s="75" t="str">
        <f t="shared" si="5"/>
        <v/>
      </c>
    </row>
    <row r="74" spans="1:9">
      <c r="A74" s="74" t="str">
        <f t="shared" si="3"/>
        <v/>
      </c>
      <c r="B74" s="75" t="str">
        <f>IFERROR(INDEX(_自动清单!$AD$4:$AD$153,ROW()-3),"")</f>
        <v/>
      </c>
      <c r="C74" s="42" t="str">
        <f>IF($B74="","",COUNTIF(成本费用登记表!$C$4:$C$303,$B74))</f>
        <v/>
      </c>
      <c r="D74" s="76" t="str">
        <f>IF($B74="","",ROUND(SUMIF(成本费用登记表!$C$4:$C$303,$B74,成本费用登记表!$H$4:$H$303),2))</f>
        <v/>
      </c>
      <c r="E74" s="76" t="str">
        <f>IF($B74="","",ROUND(SUMIF(成本费用登记表!$C$4:$C$303,$B74,成本费用登记表!$AA$4:$AA$303),2))</f>
        <v/>
      </c>
      <c r="F74" s="76" t="str">
        <f t="shared" si="4"/>
        <v/>
      </c>
      <c r="G74" s="77" t="str">
        <f>IF(OR($B74="",N($C74)=0),"",IFERROR(INDEX(成本费用登记表!$B$4:$B$303,MATCH($B74,成本费用登记表!$C$4:$C$303,0)),""))</f>
        <v/>
      </c>
      <c r="H74" s="75" t="str">
        <f>IF(OR($B74="",N($C74)=0),"",IFERROR(INDEX(成本费用登记表!$D$4:$D$303,MATCH($B74,成本费用登记表!$C$4:$C$303,0)),""))</f>
        <v/>
      </c>
      <c r="I74" s="75" t="str">
        <f t="shared" si="5"/>
        <v/>
      </c>
    </row>
    <row r="75" spans="1:9">
      <c r="A75" s="74" t="str">
        <f t="shared" si="3"/>
        <v/>
      </c>
      <c r="B75" s="75" t="str">
        <f>IFERROR(INDEX(_自动清单!$AD$4:$AD$153,ROW()-3),"")</f>
        <v/>
      </c>
      <c r="C75" s="42" t="str">
        <f>IF($B75="","",COUNTIF(成本费用登记表!$C$4:$C$303,$B75))</f>
        <v/>
      </c>
      <c r="D75" s="76" t="str">
        <f>IF($B75="","",ROUND(SUMIF(成本费用登记表!$C$4:$C$303,$B75,成本费用登记表!$H$4:$H$303),2))</f>
        <v/>
      </c>
      <c r="E75" s="76" t="str">
        <f>IF($B75="","",ROUND(SUMIF(成本费用登记表!$C$4:$C$303,$B75,成本费用登记表!$AA$4:$AA$303),2))</f>
        <v/>
      </c>
      <c r="F75" s="76" t="str">
        <f t="shared" si="4"/>
        <v/>
      </c>
      <c r="G75" s="77" t="str">
        <f>IF(OR($B75="",N($C75)=0),"",IFERROR(INDEX(成本费用登记表!$B$4:$B$303,MATCH($B75,成本费用登记表!$C$4:$C$303,0)),""))</f>
        <v/>
      </c>
      <c r="H75" s="75" t="str">
        <f>IF(OR($B75="",N($C75)=0),"",IFERROR(INDEX(成本费用登记表!$D$4:$D$303,MATCH($B75,成本费用登记表!$C$4:$C$303,0)),""))</f>
        <v/>
      </c>
      <c r="I75" s="75" t="str">
        <f t="shared" si="5"/>
        <v/>
      </c>
    </row>
    <row r="76" spans="1:9">
      <c r="A76" s="74" t="str">
        <f t="shared" si="3"/>
        <v/>
      </c>
      <c r="B76" s="75" t="str">
        <f>IFERROR(INDEX(_自动清单!$AD$4:$AD$153,ROW()-3),"")</f>
        <v/>
      </c>
      <c r="C76" s="42" t="str">
        <f>IF($B76="","",COUNTIF(成本费用登记表!$C$4:$C$303,$B76))</f>
        <v/>
      </c>
      <c r="D76" s="76" t="str">
        <f>IF($B76="","",ROUND(SUMIF(成本费用登记表!$C$4:$C$303,$B76,成本费用登记表!$H$4:$H$303),2))</f>
        <v/>
      </c>
      <c r="E76" s="76" t="str">
        <f>IF($B76="","",ROUND(SUMIF(成本费用登记表!$C$4:$C$303,$B76,成本费用登记表!$AA$4:$AA$303),2))</f>
        <v/>
      </c>
      <c r="F76" s="76" t="str">
        <f t="shared" si="4"/>
        <v/>
      </c>
      <c r="G76" s="77" t="str">
        <f>IF(OR($B76="",N($C76)=0),"",IFERROR(INDEX(成本费用登记表!$B$4:$B$303,MATCH($B76,成本费用登记表!$C$4:$C$303,0)),""))</f>
        <v/>
      </c>
      <c r="H76" s="75" t="str">
        <f>IF(OR($B76="",N($C76)=0),"",IFERROR(INDEX(成本费用登记表!$D$4:$D$303,MATCH($B76,成本费用登记表!$C$4:$C$303,0)),""))</f>
        <v/>
      </c>
      <c r="I76" s="75" t="str">
        <f t="shared" si="5"/>
        <v/>
      </c>
    </row>
    <row r="77" spans="1:9">
      <c r="A77" s="74" t="str">
        <f t="shared" si="3"/>
        <v/>
      </c>
      <c r="B77" s="75" t="str">
        <f>IFERROR(INDEX(_自动清单!$AD$4:$AD$153,ROW()-3),"")</f>
        <v/>
      </c>
      <c r="C77" s="42" t="str">
        <f>IF($B77="","",COUNTIF(成本费用登记表!$C$4:$C$303,$B77))</f>
        <v/>
      </c>
      <c r="D77" s="76" t="str">
        <f>IF($B77="","",ROUND(SUMIF(成本费用登记表!$C$4:$C$303,$B77,成本费用登记表!$H$4:$H$303),2))</f>
        <v/>
      </c>
      <c r="E77" s="76" t="str">
        <f>IF($B77="","",ROUND(SUMIF(成本费用登记表!$C$4:$C$303,$B77,成本费用登记表!$AA$4:$AA$303),2))</f>
        <v/>
      </c>
      <c r="F77" s="76" t="str">
        <f t="shared" si="4"/>
        <v/>
      </c>
      <c r="G77" s="77" t="str">
        <f>IF(OR($B77="",N($C77)=0),"",IFERROR(INDEX(成本费用登记表!$B$4:$B$303,MATCH($B77,成本费用登记表!$C$4:$C$303,0)),""))</f>
        <v/>
      </c>
      <c r="H77" s="75" t="str">
        <f>IF(OR($B77="",N($C77)=0),"",IFERROR(INDEX(成本费用登记表!$D$4:$D$303,MATCH($B77,成本费用登记表!$C$4:$C$303,0)),""))</f>
        <v/>
      </c>
      <c r="I77" s="75" t="str">
        <f t="shared" si="5"/>
        <v/>
      </c>
    </row>
    <row r="78" spans="1:9">
      <c r="A78" s="74" t="str">
        <f t="shared" si="3"/>
        <v/>
      </c>
      <c r="B78" s="75" t="str">
        <f>IFERROR(INDEX(_自动清单!$AD$4:$AD$153,ROW()-3),"")</f>
        <v/>
      </c>
      <c r="C78" s="42" t="str">
        <f>IF($B78="","",COUNTIF(成本费用登记表!$C$4:$C$303,$B78))</f>
        <v/>
      </c>
      <c r="D78" s="76" t="str">
        <f>IF($B78="","",ROUND(SUMIF(成本费用登记表!$C$4:$C$303,$B78,成本费用登记表!$H$4:$H$303),2))</f>
        <v/>
      </c>
      <c r="E78" s="76" t="str">
        <f>IF($B78="","",ROUND(SUMIF(成本费用登记表!$C$4:$C$303,$B78,成本费用登记表!$AA$4:$AA$303),2))</f>
        <v/>
      </c>
      <c r="F78" s="76" t="str">
        <f t="shared" si="4"/>
        <v/>
      </c>
      <c r="G78" s="77" t="str">
        <f>IF(OR($B78="",N($C78)=0),"",IFERROR(INDEX(成本费用登记表!$B$4:$B$303,MATCH($B78,成本费用登记表!$C$4:$C$303,0)),""))</f>
        <v/>
      </c>
      <c r="H78" s="75" t="str">
        <f>IF(OR($B78="",N($C78)=0),"",IFERROR(INDEX(成本费用登记表!$D$4:$D$303,MATCH($B78,成本费用登记表!$C$4:$C$303,0)),""))</f>
        <v/>
      </c>
      <c r="I78" s="75" t="str">
        <f t="shared" si="5"/>
        <v/>
      </c>
    </row>
    <row r="79" spans="1:9">
      <c r="A79" s="74" t="str">
        <f t="shared" si="3"/>
        <v/>
      </c>
      <c r="B79" s="75" t="str">
        <f>IFERROR(INDEX(_自动清单!$AD$4:$AD$153,ROW()-3),"")</f>
        <v/>
      </c>
      <c r="C79" s="42" t="str">
        <f>IF($B79="","",COUNTIF(成本费用登记表!$C$4:$C$303,$B79))</f>
        <v/>
      </c>
      <c r="D79" s="76" t="str">
        <f>IF($B79="","",ROUND(SUMIF(成本费用登记表!$C$4:$C$303,$B79,成本费用登记表!$H$4:$H$303),2))</f>
        <v/>
      </c>
      <c r="E79" s="76" t="str">
        <f>IF($B79="","",ROUND(SUMIF(成本费用登记表!$C$4:$C$303,$B79,成本费用登记表!$AA$4:$AA$303),2))</f>
        <v/>
      </c>
      <c r="F79" s="76" t="str">
        <f t="shared" si="4"/>
        <v/>
      </c>
      <c r="G79" s="77" t="str">
        <f>IF(OR($B79="",N($C79)=0),"",IFERROR(INDEX(成本费用登记表!$B$4:$B$303,MATCH($B79,成本费用登记表!$C$4:$C$303,0)),""))</f>
        <v/>
      </c>
      <c r="H79" s="75" t="str">
        <f>IF(OR($B79="",N($C79)=0),"",IFERROR(INDEX(成本费用登记表!$D$4:$D$303,MATCH($B79,成本费用登记表!$C$4:$C$303,0)),""))</f>
        <v/>
      </c>
      <c r="I79" s="75" t="str">
        <f t="shared" si="5"/>
        <v/>
      </c>
    </row>
    <row r="80" spans="1:9">
      <c r="A80" s="74" t="str">
        <f t="shared" si="3"/>
        <v/>
      </c>
      <c r="B80" s="75" t="str">
        <f>IFERROR(INDEX(_自动清单!$AD$4:$AD$153,ROW()-3),"")</f>
        <v/>
      </c>
      <c r="C80" s="42" t="str">
        <f>IF($B80="","",COUNTIF(成本费用登记表!$C$4:$C$303,$B80))</f>
        <v/>
      </c>
      <c r="D80" s="76" t="str">
        <f>IF($B80="","",ROUND(SUMIF(成本费用登记表!$C$4:$C$303,$B80,成本费用登记表!$H$4:$H$303),2))</f>
        <v/>
      </c>
      <c r="E80" s="76" t="str">
        <f>IF($B80="","",ROUND(SUMIF(成本费用登记表!$C$4:$C$303,$B80,成本费用登记表!$AA$4:$AA$303),2))</f>
        <v/>
      </c>
      <c r="F80" s="76" t="str">
        <f t="shared" si="4"/>
        <v/>
      </c>
      <c r="G80" s="77" t="str">
        <f>IF(OR($B80="",N($C80)=0),"",IFERROR(INDEX(成本费用登记表!$B$4:$B$303,MATCH($B80,成本费用登记表!$C$4:$C$303,0)),""))</f>
        <v/>
      </c>
      <c r="H80" s="75" t="str">
        <f>IF(OR($B80="",N($C80)=0),"",IFERROR(INDEX(成本费用登记表!$D$4:$D$303,MATCH($B80,成本费用登记表!$C$4:$C$303,0)),""))</f>
        <v/>
      </c>
      <c r="I80" s="75" t="str">
        <f t="shared" si="5"/>
        <v/>
      </c>
    </row>
    <row r="81" spans="1:9">
      <c r="A81" s="74" t="str">
        <f t="shared" si="3"/>
        <v/>
      </c>
      <c r="B81" s="75" t="str">
        <f>IFERROR(INDEX(_自动清单!$AD$4:$AD$153,ROW()-3),"")</f>
        <v/>
      </c>
      <c r="C81" s="42" t="str">
        <f>IF($B81="","",COUNTIF(成本费用登记表!$C$4:$C$303,$B81))</f>
        <v/>
      </c>
      <c r="D81" s="76" t="str">
        <f>IF($B81="","",ROUND(SUMIF(成本费用登记表!$C$4:$C$303,$B81,成本费用登记表!$H$4:$H$303),2))</f>
        <v/>
      </c>
      <c r="E81" s="76" t="str">
        <f>IF($B81="","",ROUND(SUMIF(成本费用登记表!$C$4:$C$303,$B81,成本费用登记表!$AA$4:$AA$303),2))</f>
        <v/>
      </c>
      <c r="F81" s="76" t="str">
        <f t="shared" si="4"/>
        <v/>
      </c>
      <c r="G81" s="77" t="str">
        <f>IF(OR($B81="",N($C81)=0),"",IFERROR(INDEX(成本费用登记表!$B$4:$B$303,MATCH($B81,成本费用登记表!$C$4:$C$303,0)),""))</f>
        <v/>
      </c>
      <c r="H81" s="75" t="str">
        <f>IF(OR($B81="",N($C81)=0),"",IFERROR(INDEX(成本费用登记表!$D$4:$D$303,MATCH($B81,成本费用登记表!$C$4:$C$303,0)),""))</f>
        <v/>
      </c>
      <c r="I81" s="75" t="str">
        <f t="shared" si="5"/>
        <v/>
      </c>
    </row>
    <row r="82" spans="1:9">
      <c r="A82" s="74" t="str">
        <f t="shared" si="3"/>
        <v/>
      </c>
      <c r="B82" s="75" t="str">
        <f>IFERROR(INDEX(_自动清单!$AD$4:$AD$153,ROW()-3),"")</f>
        <v/>
      </c>
      <c r="C82" s="42" t="str">
        <f>IF($B82="","",COUNTIF(成本费用登记表!$C$4:$C$303,$B82))</f>
        <v/>
      </c>
      <c r="D82" s="76" t="str">
        <f>IF($B82="","",ROUND(SUMIF(成本费用登记表!$C$4:$C$303,$B82,成本费用登记表!$H$4:$H$303),2))</f>
        <v/>
      </c>
      <c r="E82" s="76" t="str">
        <f>IF($B82="","",ROUND(SUMIF(成本费用登记表!$C$4:$C$303,$B82,成本费用登记表!$AA$4:$AA$303),2))</f>
        <v/>
      </c>
      <c r="F82" s="76" t="str">
        <f t="shared" si="4"/>
        <v/>
      </c>
      <c r="G82" s="77" t="str">
        <f>IF(OR($B82="",N($C82)=0),"",IFERROR(INDEX(成本费用登记表!$B$4:$B$303,MATCH($B82,成本费用登记表!$C$4:$C$303,0)),""))</f>
        <v/>
      </c>
      <c r="H82" s="75" t="str">
        <f>IF(OR($B82="",N($C82)=0),"",IFERROR(INDEX(成本费用登记表!$D$4:$D$303,MATCH($B82,成本费用登记表!$C$4:$C$303,0)),""))</f>
        <v/>
      </c>
      <c r="I82" s="75" t="str">
        <f t="shared" si="5"/>
        <v/>
      </c>
    </row>
    <row r="83" spans="1:9">
      <c r="A83" s="74" t="str">
        <f t="shared" si="3"/>
        <v/>
      </c>
      <c r="B83" s="75" t="str">
        <f>IFERROR(INDEX(_自动清单!$AD$4:$AD$153,ROW()-3),"")</f>
        <v/>
      </c>
      <c r="C83" s="42" t="str">
        <f>IF($B83="","",COUNTIF(成本费用登记表!$C$4:$C$303,$B83))</f>
        <v/>
      </c>
      <c r="D83" s="76" t="str">
        <f>IF($B83="","",ROUND(SUMIF(成本费用登记表!$C$4:$C$303,$B83,成本费用登记表!$H$4:$H$303),2))</f>
        <v/>
      </c>
      <c r="E83" s="76" t="str">
        <f>IF($B83="","",ROUND(SUMIF(成本费用登记表!$C$4:$C$303,$B83,成本费用登记表!$AA$4:$AA$303),2))</f>
        <v/>
      </c>
      <c r="F83" s="76" t="str">
        <f t="shared" si="4"/>
        <v/>
      </c>
      <c r="G83" s="77" t="str">
        <f>IF(OR($B83="",N($C83)=0),"",IFERROR(INDEX(成本费用登记表!$B$4:$B$303,MATCH($B83,成本费用登记表!$C$4:$C$303,0)),""))</f>
        <v/>
      </c>
      <c r="H83" s="75" t="str">
        <f>IF(OR($B83="",N($C83)=0),"",IFERROR(INDEX(成本费用登记表!$D$4:$D$303,MATCH($B83,成本费用登记表!$C$4:$C$303,0)),""))</f>
        <v/>
      </c>
      <c r="I83" s="75" t="str">
        <f t="shared" si="5"/>
        <v/>
      </c>
    </row>
    <row r="84" spans="1:9">
      <c r="A84" s="74" t="str">
        <f t="shared" si="3"/>
        <v/>
      </c>
      <c r="B84" s="75" t="str">
        <f>IFERROR(INDEX(_自动清单!$AD$4:$AD$153,ROW()-3),"")</f>
        <v/>
      </c>
      <c r="C84" s="42" t="str">
        <f>IF($B84="","",COUNTIF(成本费用登记表!$C$4:$C$303,$B84))</f>
        <v/>
      </c>
      <c r="D84" s="76" t="str">
        <f>IF($B84="","",ROUND(SUMIF(成本费用登记表!$C$4:$C$303,$B84,成本费用登记表!$H$4:$H$303),2))</f>
        <v/>
      </c>
      <c r="E84" s="76" t="str">
        <f>IF($B84="","",ROUND(SUMIF(成本费用登记表!$C$4:$C$303,$B84,成本费用登记表!$AA$4:$AA$303),2))</f>
        <v/>
      </c>
      <c r="F84" s="76" t="str">
        <f t="shared" si="4"/>
        <v/>
      </c>
      <c r="G84" s="77" t="str">
        <f>IF(OR($B84="",N($C84)=0),"",IFERROR(INDEX(成本费用登记表!$B$4:$B$303,MATCH($B84,成本费用登记表!$C$4:$C$303,0)),""))</f>
        <v/>
      </c>
      <c r="H84" s="75" t="str">
        <f>IF(OR($B84="",N($C84)=0),"",IFERROR(INDEX(成本费用登记表!$D$4:$D$303,MATCH($B84,成本费用登记表!$C$4:$C$303,0)),""))</f>
        <v/>
      </c>
      <c r="I84" s="75" t="str">
        <f t="shared" si="5"/>
        <v/>
      </c>
    </row>
    <row r="85" spans="1:9">
      <c r="A85" s="74" t="str">
        <f t="shared" si="3"/>
        <v/>
      </c>
      <c r="B85" s="75" t="str">
        <f>IFERROR(INDEX(_自动清单!$AD$4:$AD$153,ROW()-3),"")</f>
        <v/>
      </c>
      <c r="C85" s="42" t="str">
        <f>IF($B85="","",COUNTIF(成本费用登记表!$C$4:$C$303,$B85))</f>
        <v/>
      </c>
      <c r="D85" s="76" t="str">
        <f>IF($B85="","",ROUND(SUMIF(成本费用登记表!$C$4:$C$303,$B85,成本费用登记表!$H$4:$H$303),2))</f>
        <v/>
      </c>
      <c r="E85" s="76" t="str">
        <f>IF($B85="","",ROUND(SUMIF(成本费用登记表!$C$4:$C$303,$B85,成本费用登记表!$AA$4:$AA$303),2))</f>
        <v/>
      </c>
      <c r="F85" s="76" t="str">
        <f t="shared" si="4"/>
        <v/>
      </c>
      <c r="G85" s="77" t="str">
        <f>IF(OR($B85="",N($C85)=0),"",IFERROR(INDEX(成本费用登记表!$B$4:$B$303,MATCH($B85,成本费用登记表!$C$4:$C$303,0)),""))</f>
        <v/>
      </c>
      <c r="H85" s="75" t="str">
        <f>IF(OR($B85="",N($C85)=0),"",IFERROR(INDEX(成本费用登记表!$D$4:$D$303,MATCH($B85,成本费用登记表!$C$4:$C$303,0)),""))</f>
        <v/>
      </c>
      <c r="I85" s="75" t="str">
        <f t="shared" si="5"/>
        <v/>
      </c>
    </row>
    <row r="86" spans="1:9">
      <c r="A86" s="74" t="str">
        <f t="shared" si="3"/>
        <v/>
      </c>
      <c r="B86" s="75" t="str">
        <f>IFERROR(INDEX(_自动清单!$AD$4:$AD$153,ROW()-3),"")</f>
        <v/>
      </c>
      <c r="C86" s="42" t="str">
        <f>IF($B86="","",COUNTIF(成本费用登记表!$C$4:$C$303,$B86))</f>
        <v/>
      </c>
      <c r="D86" s="76" t="str">
        <f>IF($B86="","",ROUND(SUMIF(成本费用登记表!$C$4:$C$303,$B86,成本费用登记表!$H$4:$H$303),2))</f>
        <v/>
      </c>
      <c r="E86" s="76" t="str">
        <f>IF($B86="","",ROUND(SUMIF(成本费用登记表!$C$4:$C$303,$B86,成本费用登记表!$AA$4:$AA$303),2))</f>
        <v/>
      </c>
      <c r="F86" s="76" t="str">
        <f t="shared" si="4"/>
        <v/>
      </c>
      <c r="G86" s="77" t="str">
        <f>IF(OR($B86="",N($C86)=0),"",IFERROR(INDEX(成本费用登记表!$B$4:$B$303,MATCH($B86,成本费用登记表!$C$4:$C$303,0)),""))</f>
        <v/>
      </c>
      <c r="H86" s="75" t="str">
        <f>IF(OR($B86="",N($C86)=0),"",IFERROR(INDEX(成本费用登记表!$D$4:$D$303,MATCH($B86,成本费用登记表!$C$4:$C$303,0)),""))</f>
        <v/>
      </c>
      <c r="I86" s="75" t="str">
        <f t="shared" si="5"/>
        <v/>
      </c>
    </row>
    <row r="87" spans="1:9">
      <c r="A87" s="74" t="str">
        <f t="shared" si="3"/>
        <v/>
      </c>
      <c r="B87" s="75" t="str">
        <f>IFERROR(INDEX(_自动清单!$AD$4:$AD$153,ROW()-3),"")</f>
        <v/>
      </c>
      <c r="C87" s="42" t="str">
        <f>IF($B87="","",COUNTIF(成本费用登记表!$C$4:$C$303,$B87))</f>
        <v/>
      </c>
      <c r="D87" s="76" t="str">
        <f>IF($B87="","",ROUND(SUMIF(成本费用登记表!$C$4:$C$303,$B87,成本费用登记表!$H$4:$H$303),2))</f>
        <v/>
      </c>
      <c r="E87" s="76" t="str">
        <f>IF($B87="","",ROUND(SUMIF(成本费用登记表!$C$4:$C$303,$B87,成本费用登记表!$AA$4:$AA$303),2))</f>
        <v/>
      </c>
      <c r="F87" s="76" t="str">
        <f t="shared" si="4"/>
        <v/>
      </c>
      <c r="G87" s="77" t="str">
        <f>IF(OR($B87="",N($C87)=0),"",IFERROR(INDEX(成本费用登记表!$B$4:$B$303,MATCH($B87,成本费用登记表!$C$4:$C$303,0)),""))</f>
        <v/>
      </c>
      <c r="H87" s="75" t="str">
        <f>IF(OR($B87="",N($C87)=0),"",IFERROR(INDEX(成本费用登记表!$D$4:$D$303,MATCH($B87,成本费用登记表!$C$4:$C$303,0)),""))</f>
        <v/>
      </c>
      <c r="I87" s="75" t="str">
        <f t="shared" si="5"/>
        <v/>
      </c>
    </row>
    <row r="88" spans="1:9">
      <c r="A88" s="74" t="str">
        <f t="shared" si="3"/>
        <v/>
      </c>
      <c r="B88" s="75" t="str">
        <f>IFERROR(INDEX(_自动清单!$AD$4:$AD$153,ROW()-3),"")</f>
        <v/>
      </c>
      <c r="C88" s="42" t="str">
        <f>IF($B88="","",COUNTIF(成本费用登记表!$C$4:$C$303,$B88))</f>
        <v/>
      </c>
      <c r="D88" s="76" t="str">
        <f>IF($B88="","",ROUND(SUMIF(成本费用登记表!$C$4:$C$303,$B88,成本费用登记表!$H$4:$H$303),2))</f>
        <v/>
      </c>
      <c r="E88" s="76" t="str">
        <f>IF($B88="","",ROUND(SUMIF(成本费用登记表!$C$4:$C$303,$B88,成本费用登记表!$AA$4:$AA$303),2))</f>
        <v/>
      </c>
      <c r="F88" s="76" t="str">
        <f t="shared" si="4"/>
        <v/>
      </c>
      <c r="G88" s="77" t="str">
        <f>IF(OR($B88="",N($C88)=0),"",IFERROR(INDEX(成本费用登记表!$B$4:$B$303,MATCH($B88,成本费用登记表!$C$4:$C$303,0)),""))</f>
        <v/>
      </c>
      <c r="H88" s="75" t="str">
        <f>IF(OR($B88="",N($C88)=0),"",IFERROR(INDEX(成本费用登记表!$D$4:$D$303,MATCH($B88,成本费用登记表!$C$4:$C$303,0)),""))</f>
        <v/>
      </c>
      <c r="I88" s="75" t="str">
        <f t="shared" si="5"/>
        <v/>
      </c>
    </row>
    <row r="89" spans="1:9">
      <c r="A89" s="74" t="str">
        <f t="shared" si="3"/>
        <v/>
      </c>
      <c r="B89" s="75" t="str">
        <f>IFERROR(INDEX(_自动清单!$AD$4:$AD$153,ROW()-3),"")</f>
        <v/>
      </c>
      <c r="C89" s="42" t="str">
        <f>IF($B89="","",COUNTIF(成本费用登记表!$C$4:$C$303,$B89))</f>
        <v/>
      </c>
      <c r="D89" s="76" t="str">
        <f>IF($B89="","",ROUND(SUMIF(成本费用登记表!$C$4:$C$303,$B89,成本费用登记表!$H$4:$H$303),2))</f>
        <v/>
      </c>
      <c r="E89" s="76" t="str">
        <f>IF($B89="","",ROUND(SUMIF(成本费用登记表!$C$4:$C$303,$B89,成本费用登记表!$AA$4:$AA$303),2))</f>
        <v/>
      </c>
      <c r="F89" s="76" t="str">
        <f t="shared" si="4"/>
        <v/>
      </c>
      <c r="G89" s="77" t="str">
        <f>IF(OR($B89="",N($C89)=0),"",IFERROR(INDEX(成本费用登记表!$B$4:$B$303,MATCH($B89,成本费用登记表!$C$4:$C$303,0)),""))</f>
        <v/>
      </c>
      <c r="H89" s="75" t="str">
        <f>IF(OR($B89="",N($C89)=0),"",IFERROR(INDEX(成本费用登记表!$D$4:$D$303,MATCH($B89,成本费用登记表!$C$4:$C$303,0)),""))</f>
        <v/>
      </c>
      <c r="I89" s="75" t="str">
        <f t="shared" si="5"/>
        <v/>
      </c>
    </row>
    <row r="90" spans="1:9">
      <c r="A90" s="74" t="str">
        <f t="shared" si="3"/>
        <v/>
      </c>
      <c r="B90" s="75" t="str">
        <f>IFERROR(INDEX(_自动清单!$AD$4:$AD$153,ROW()-3),"")</f>
        <v/>
      </c>
      <c r="C90" s="42" t="str">
        <f>IF($B90="","",COUNTIF(成本费用登记表!$C$4:$C$303,$B90))</f>
        <v/>
      </c>
      <c r="D90" s="76" t="str">
        <f>IF($B90="","",ROUND(SUMIF(成本费用登记表!$C$4:$C$303,$B90,成本费用登记表!$H$4:$H$303),2))</f>
        <v/>
      </c>
      <c r="E90" s="76" t="str">
        <f>IF($B90="","",ROUND(SUMIF(成本费用登记表!$C$4:$C$303,$B90,成本费用登记表!$AA$4:$AA$303),2))</f>
        <v/>
      </c>
      <c r="F90" s="76" t="str">
        <f t="shared" si="4"/>
        <v/>
      </c>
      <c r="G90" s="77" t="str">
        <f>IF(OR($B90="",N($C90)=0),"",IFERROR(INDEX(成本费用登记表!$B$4:$B$303,MATCH($B90,成本费用登记表!$C$4:$C$303,0)),""))</f>
        <v/>
      </c>
      <c r="H90" s="75" t="str">
        <f>IF(OR($B90="",N($C90)=0),"",IFERROR(INDEX(成本费用登记表!$D$4:$D$303,MATCH($B90,成本费用登记表!$C$4:$C$303,0)),""))</f>
        <v/>
      </c>
      <c r="I90" s="75" t="str">
        <f t="shared" si="5"/>
        <v/>
      </c>
    </row>
    <row r="91" spans="1:9">
      <c r="A91" s="74" t="str">
        <f t="shared" si="3"/>
        <v/>
      </c>
      <c r="B91" s="75" t="str">
        <f>IFERROR(INDEX(_自动清单!$AD$4:$AD$153,ROW()-3),"")</f>
        <v/>
      </c>
      <c r="C91" s="42" t="str">
        <f>IF($B91="","",COUNTIF(成本费用登记表!$C$4:$C$303,$B91))</f>
        <v/>
      </c>
      <c r="D91" s="76" t="str">
        <f>IF($B91="","",ROUND(SUMIF(成本费用登记表!$C$4:$C$303,$B91,成本费用登记表!$H$4:$H$303),2))</f>
        <v/>
      </c>
      <c r="E91" s="76" t="str">
        <f>IF($B91="","",ROUND(SUMIF(成本费用登记表!$C$4:$C$303,$B91,成本费用登记表!$AA$4:$AA$303),2))</f>
        <v/>
      </c>
      <c r="F91" s="76" t="str">
        <f t="shared" si="4"/>
        <v/>
      </c>
      <c r="G91" s="77" t="str">
        <f>IF(OR($B91="",N($C91)=0),"",IFERROR(INDEX(成本费用登记表!$B$4:$B$303,MATCH($B91,成本费用登记表!$C$4:$C$303,0)),""))</f>
        <v/>
      </c>
      <c r="H91" s="75" t="str">
        <f>IF(OR($B91="",N($C91)=0),"",IFERROR(INDEX(成本费用登记表!$D$4:$D$303,MATCH($B91,成本费用登记表!$C$4:$C$303,0)),""))</f>
        <v/>
      </c>
      <c r="I91" s="75" t="str">
        <f t="shared" si="5"/>
        <v/>
      </c>
    </row>
    <row r="92" spans="1:9">
      <c r="A92" s="74" t="str">
        <f t="shared" si="3"/>
        <v/>
      </c>
      <c r="B92" s="75" t="str">
        <f>IFERROR(INDEX(_自动清单!$AD$4:$AD$153,ROW()-3),"")</f>
        <v/>
      </c>
      <c r="C92" s="42" t="str">
        <f>IF($B92="","",COUNTIF(成本费用登记表!$C$4:$C$303,$B92))</f>
        <v/>
      </c>
      <c r="D92" s="76" t="str">
        <f>IF($B92="","",ROUND(SUMIF(成本费用登记表!$C$4:$C$303,$B92,成本费用登记表!$H$4:$H$303),2))</f>
        <v/>
      </c>
      <c r="E92" s="76" t="str">
        <f>IF($B92="","",ROUND(SUMIF(成本费用登记表!$C$4:$C$303,$B92,成本费用登记表!$AA$4:$AA$303),2))</f>
        <v/>
      </c>
      <c r="F92" s="76" t="str">
        <f t="shared" si="4"/>
        <v/>
      </c>
      <c r="G92" s="77" t="str">
        <f>IF(OR($B92="",N($C92)=0),"",IFERROR(INDEX(成本费用登记表!$B$4:$B$303,MATCH($B92,成本费用登记表!$C$4:$C$303,0)),""))</f>
        <v/>
      </c>
      <c r="H92" s="75" t="str">
        <f>IF(OR($B92="",N($C92)=0),"",IFERROR(INDEX(成本费用登记表!$D$4:$D$303,MATCH($B92,成本费用登记表!$C$4:$C$303,0)),""))</f>
        <v/>
      </c>
      <c r="I92" s="75" t="str">
        <f t="shared" si="5"/>
        <v/>
      </c>
    </row>
    <row r="93" spans="1:9">
      <c r="A93" s="74" t="str">
        <f t="shared" si="3"/>
        <v/>
      </c>
      <c r="B93" s="75" t="str">
        <f>IFERROR(INDEX(_自动清单!$AD$4:$AD$153,ROW()-3),"")</f>
        <v/>
      </c>
      <c r="C93" s="42" t="str">
        <f>IF($B93="","",COUNTIF(成本费用登记表!$C$4:$C$303,$B93))</f>
        <v/>
      </c>
      <c r="D93" s="76" t="str">
        <f>IF($B93="","",ROUND(SUMIF(成本费用登记表!$C$4:$C$303,$B93,成本费用登记表!$H$4:$H$303),2))</f>
        <v/>
      </c>
      <c r="E93" s="76" t="str">
        <f>IF($B93="","",ROUND(SUMIF(成本费用登记表!$C$4:$C$303,$B93,成本费用登记表!$AA$4:$AA$303),2))</f>
        <v/>
      </c>
      <c r="F93" s="76" t="str">
        <f t="shared" si="4"/>
        <v/>
      </c>
      <c r="G93" s="77" t="str">
        <f>IF(OR($B93="",N($C93)=0),"",IFERROR(INDEX(成本费用登记表!$B$4:$B$303,MATCH($B93,成本费用登记表!$C$4:$C$303,0)),""))</f>
        <v/>
      </c>
      <c r="H93" s="75" t="str">
        <f>IF(OR($B93="",N($C93)=0),"",IFERROR(INDEX(成本费用登记表!$D$4:$D$303,MATCH($B93,成本费用登记表!$C$4:$C$303,0)),""))</f>
        <v/>
      </c>
      <c r="I93" s="75" t="str">
        <f t="shared" si="5"/>
        <v/>
      </c>
    </row>
    <row r="94" spans="1:9">
      <c r="A94" s="74" t="str">
        <f t="shared" si="3"/>
        <v/>
      </c>
      <c r="B94" s="75" t="str">
        <f>IFERROR(INDEX(_自动清单!$AD$4:$AD$153,ROW()-3),"")</f>
        <v/>
      </c>
      <c r="C94" s="42" t="str">
        <f>IF($B94="","",COUNTIF(成本费用登记表!$C$4:$C$303,$B94))</f>
        <v/>
      </c>
      <c r="D94" s="76" t="str">
        <f>IF($B94="","",ROUND(SUMIF(成本费用登记表!$C$4:$C$303,$B94,成本费用登记表!$H$4:$H$303),2))</f>
        <v/>
      </c>
      <c r="E94" s="76" t="str">
        <f>IF($B94="","",ROUND(SUMIF(成本费用登记表!$C$4:$C$303,$B94,成本费用登记表!$AA$4:$AA$303),2))</f>
        <v/>
      </c>
      <c r="F94" s="76" t="str">
        <f t="shared" si="4"/>
        <v/>
      </c>
      <c r="G94" s="77" t="str">
        <f>IF(OR($B94="",N($C94)=0),"",IFERROR(INDEX(成本费用登记表!$B$4:$B$303,MATCH($B94,成本费用登记表!$C$4:$C$303,0)),""))</f>
        <v/>
      </c>
      <c r="H94" s="75" t="str">
        <f>IF(OR($B94="",N($C94)=0),"",IFERROR(INDEX(成本费用登记表!$D$4:$D$303,MATCH($B94,成本费用登记表!$C$4:$C$303,0)),""))</f>
        <v/>
      </c>
      <c r="I94" s="75" t="str">
        <f t="shared" si="5"/>
        <v/>
      </c>
    </row>
    <row r="95" spans="1:9">
      <c r="A95" s="74" t="str">
        <f t="shared" si="3"/>
        <v/>
      </c>
      <c r="B95" s="75" t="str">
        <f>IFERROR(INDEX(_自动清单!$AD$4:$AD$153,ROW()-3),"")</f>
        <v/>
      </c>
      <c r="C95" s="42" t="str">
        <f>IF($B95="","",COUNTIF(成本费用登记表!$C$4:$C$303,$B95))</f>
        <v/>
      </c>
      <c r="D95" s="76" t="str">
        <f>IF($B95="","",ROUND(SUMIF(成本费用登记表!$C$4:$C$303,$B95,成本费用登记表!$H$4:$H$303),2))</f>
        <v/>
      </c>
      <c r="E95" s="76" t="str">
        <f>IF($B95="","",ROUND(SUMIF(成本费用登记表!$C$4:$C$303,$B95,成本费用登记表!$AA$4:$AA$303),2))</f>
        <v/>
      </c>
      <c r="F95" s="76" t="str">
        <f t="shared" si="4"/>
        <v/>
      </c>
      <c r="G95" s="77" t="str">
        <f>IF(OR($B95="",N($C95)=0),"",IFERROR(INDEX(成本费用登记表!$B$4:$B$303,MATCH($B95,成本费用登记表!$C$4:$C$303,0)),""))</f>
        <v/>
      </c>
      <c r="H95" s="75" t="str">
        <f>IF(OR($B95="",N($C95)=0),"",IFERROR(INDEX(成本费用登记表!$D$4:$D$303,MATCH($B95,成本费用登记表!$C$4:$C$303,0)),""))</f>
        <v/>
      </c>
      <c r="I95" s="75" t="str">
        <f t="shared" si="5"/>
        <v/>
      </c>
    </row>
    <row r="96" spans="1:9">
      <c r="A96" s="74" t="str">
        <f t="shared" si="3"/>
        <v/>
      </c>
      <c r="B96" s="75" t="str">
        <f>IFERROR(INDEX(_自动清单!$AD$4:$AD$153,ROW()-3),"")</f>
        <v/>
      </c>
      <c r="C96" s="42" t="str">
        <f>IF($B96="","",COUNTIF(成本费用登记表!$C$4:$C$303,$B96))</f>
        <v/>
      </c>
      <c r="D96" s="76" t="str">
        <f>IF($B96="","",ROUND(SUMIF(成本费用登记表!$C$4:$C$303,$B96,成本费用登记表!$H$4:$H$303),2))</f>
        <v/>
      </c>
      <c r="E96" s="76" t="str">
        <f>IF($B96="","",ROUND(SUMIF(成本费用登记表!$C$4:$C$303,$B96,成本费用登记表!$AA$4:$AA$303),2))</f>
        <v/>
      </c>
      <c r="F96" s="76" t="str">
        <f t="shared" si="4"/>
        <v/>
      </c>
      <c r="G96" s="77" t="str">
        <f>IF(OR($B96="",N($C96)=0),"",IFERROR(INDEX(成本费用登记表!$B$4:$B$303,MATCH($B96,成本费用登记表!$C$4:$C$303,0)),""))</f>
        <v/>
      </c>
      <c r="H96" s="75" t="str">
        <f>IF(OR($B96="",N($C96)=0),"",IFERROR(INDEX(成本费用登记表!$D$4:$D$303,MATCH($B96,成本费用登记表!$C$4:$C$303,0)),""))</f>
        <v/>
      </c>
      <c r="I96" s="75" t="str">
        <f t="shared" si="5"/>
        <v/>
      </c>
    </row>
    <row r="97" spans="1:9">
      <c r="A97" s="74" t="str">
        <f t="shared" si="3"/>
        <v/>
      </c>
      <c r="B97" s="75" t="str">
        <f>IFERROR(INDEX(_自动清单!$AD$4:$AD$153,ROW()-3),"")</f>
        <v/>
      </c>
      <c r="C97" s="42" t="str">
        <f>IF($B97="","",COUNTIF(成本费用登记表!$C$4:$C$303,$B97))</f>
        <v/>
      </c>
      <c r="D97" s="76" t="str">
        <f>IF($B97="","",ROUND(SUMIF(成本费用登记表!$C$4:$C$303,$B97,成本费用登记表!$H$4:$H$303),2))</f>
        <v/>
      </c>
      <c r="E97" s="76" t="str">
        <f>IF($B97="","",ROUND(SUMIF(成本费用登记表!$C$4:$C$303,$B97,成本费用登记表!$AA$4:$AA$303),2))</f>
        <v/>
      </c>
      <c r="F97" s="76" t="str">
        <f t="shared" si="4"/>
        <v/>
      </c>
      <c r="G97" s="77" t="str">
        <f>IF(OR($B97="",N($C97)=0),"",IFERROR(INDEX(成本费用登记表!$B$4:$B$303,MATCH($B97,成本费用登记表!$C$4:$C$303,0)),""))</f>
        <v/>
      </c>
      <c r="H97" s="75" t="str">
        <f>IF(OR($B97="",N($C97)=0),"",IFERROR(INDEX(成本费用登记表!$D$4:$D$303,MATCH($B97,成本费用登记表!$C$4:$C$303,0)),""))</f>
        <v/>
      </c>
      <c r="I97" s="75" t="str">
        <f t="shared" si="5"/>
        <v/>
      </c>
    </row>
    <row r="98" spans="1:9">
      <c r="A98" s="74" t="str">
        <f t="shared" si="3"/>
        <v/>
      </c>
      <c r="B98" s="75" t="str">
        <f>IFERROR(INDEX(_自动清单!$AD$4:$AD$153,ROW()-3),"")</f>
        <v/>
      </c>
      <c r="C98" s="42" t="str">
        <f>IF($B98="","",COUNTIF(成本费用登记表!$C$4:$C$303,$B98))</f>
        <v/>
      </c>
      <c r="D98" s="76" t="str">
        <f>IF($B98="","",ROUND(SUMIF(成本费用登记表!$C$4:$C$303,$B98,成本费用登记表!$H$4:$H$303),2))</f>
        <v/>
      </c>
      <c r="E98" s="76" t="str">
        <f>IF($B98="","",ROUND(SUMIF(成本费用登记表!$C$4:$C$303,$B98,成本费用登记表!$AA$4:$AA$303),2))</f>
        <v/>
      </c>
      <c r="F98" s="76" t="str">
        <f t="shared" si="4"/>
        <v/>
      </c>
      <c r="G98" s="77" t="str">
        <f>IF(OR($B98="",N($C98)=0),"",IFERROR(INDEX(成本费用登记表!$B$4:$B$303,MATCH($B98,成本费用登记表!$C$4:$C$303,0)),""))</f>
        <v/>
      </c>
      <c r="H98" s="75" t="str">
        <f>IF(OR($B98="",N($C98)=0),"",IFERROR(INDEX(成本费用登记表!$D$4:$D$303,MATCH($B98,成本费用登记表!$C$4:$C$303,0)),""))</f>
        <v/>
      </c>
      <c r="I98" s="75" t="str">
        <f t="shared" si="5"/>
        <v/>
      </c>
    </row>
    <row r="99" spans="1:9">
      <c r="A99" s="74" t="str">
        <f t="shared" si="3"/>
        <v/>
      </c>
      <c r="B99" s="75" t="str">
        <f>IFERROR(INDEX(_自动清单!$AD$4:$AD$153,ROW()-3),"")</f>
        <v/>
      </c>
      <c r="C99" s="42" t="str">
        <f>IF($B99="","",COUNTIF(成本费用登记表!$C$4:$C$303,$B99))</f>
        <v/>
      </c>
      <c r="D99" s="76" t="str">
        <f>IF($B99="","",ROUND(SUMIF(成本费用登记表!$C$4:$C$303,$B99,成本费用登记表!$H$4:$H$303),2))</f>
        <v/>
      </c>
      <c r="E99" s="76" t="str">
        <f>IF($B99="","",ROUND(SUMIF(成本费用登记表!$C$4:$C$303,$B99,成本费用登记表!$AA$4:$AA$303),2))</f>
        <v/>
      </c>
      <c r="F99" s="76" t="str">
        <f t="shared" si="4"/>
        <v/>
      </c>
      <c r="G99" s="77" t="str">
        <f>IF(OR($B99="",N($C99)=0),"",IFERROR(INDEX(成本费用登记表!$B$4:$B$303,MATCH($B99,成本费用登记表!$C$4:$C$303,0)),""))</f>
        <v/>
      </c>
      <c r="H99" s="75" t="str">
        <f>IF(OR($B99="",N($C99)=0),"",IFERROR(INDEX(成本费用登记表!$D$4:$D$303,MATCH($B99,成本费用登记表!$C$4:$C$303,0)),""))</f>
        <v/>
      </c>
      <c r="I99" s="75" t="str">
        <f t="shared" si="5"/>
        <v/>
      </c>
    </row>
    <row r="100" spans="1:9">
      <c r="A100" s="74" t="str">
        <f t="shared" si="3"/>
        <v/>
      </c>
      <c r="B100" s="75" t="str">
        <f>IFERROR(INDEX(_自动清单!$AD$4:$AD$153,ROW()-3),"")</f>
        <v/>
      </c>
      <c r="C100" s="42" t="str">
        <f>IF($B100="","",COUNTIF(成本费用登记表!$C$4:$C$303,$B100))</f>
        <v/>
      </c>
      <c r="D100" s="76" t="str">
        <f>IF($B100="","",ROUND(SUMIF(成本费用登记表!$C$4:$C$303,$B100,成本费用登记表!$H$4:$H$303),2))</f>
        <v/>
      </c>
      <c r="E100" s="76" t="str">
        <f>IF($B100="","",ROUND(SUMIF(成本费用登记表!$C$4:$C$303,$B100,成本费用登记表!$AA$4:$AA$303),2))</f>
        <v/>
      </c>
      <c r="F100" s="76" t="str">
        <f t="shared" si="4"/>
        <v/>
      </c>
      <c r="G100" s="77" t="str">
        <f>IF(OR($B100="",N($C100)=0),"",IFERROR(INDEX(成本费用登记表!$B$4:$B$303,MATCH($B100,成本费用登记表!$C$4:$C$303,0)),""))</f>
        <v/>
      </c>
      <c r="H100" s="75" t="str">
        <f>IF(OR($B100="",N($C100)=0),"",IFERROR(INDEX(成本费用登记表!$D$4:$D$303,MATCH($B100,成本费用登记表!$C$4:$C$303,0)),""))</f>
        <v/>
      </c>
      <c r="I100" s="75" t="str">
        <f t="shared" si="5"/>
        <v/>
      </c>
    </row>
    <row r="101" spans="1:9">
      <c r="A101" s="74" t="str">
        <f t="shared" si="3"/>
        <v/>
      </c>
      <c r="B101" s="75" t="str">
        <f>IFERROR(INDEX(_自动清单!$AD$4:$AD$153,ROW()-3),"")</f>
        <v/>
      </c>
      <c r="C101" s="42" t="str">
        <f>IF($B101="","",COUNTIF(成本费用登记表!$C$4:$C$303,$B101))</f>
        <v/>
      </c>
      <c r="D101" s="76" t="str">
        <f>IF($B101="","",ROUND(SUMIF(成本费用登记表!$C$4:$C$303,$B101,成本费用登记表!$H$4:$H$303),2))</f>
        <v/>
      </c>
      <c r="E101" s="76" t="str">
        <f>IF($B101="","",ROUND(SUMIF(成本费用登记表!$C$4:$C$303,$B101,成本费用登记表!$AA$4:$AA$303),2))</f>
        <v/>
      </c>
      <c r="F101" s="76" t="str">
        <f t="shared" si="4"/>
        <v/>
      </c>
      <c r="G101" s="77" t="str">
        <f>IF(OR($B101="",N($C101)=0),"",IFERROR(INDEX(成本费用登记表!$B$4:$B$303,MATCH($B101,成本费用登记表!$C$4:$C$303,0)),""))</f>
        <v/>
      </c>
      <c r="H101" s="75" t="str">
        <f>IF(OR($B101="",N($C101)=0),"",IFERROR(INDEX(成本费用登记表!$D$4:$D$303,MATCH($B101,成本费用登记表!$C$4:$C$303,0)),""))</f>
        <v/>
      </c>
      <c r="I101" s="75" t="str">
        <f t="shared" si="5"/>
        <v/>
      </c>
    </row>
    <row r="102" spans="1:9">
      <c r="A102" s="74" t="str">
        <f t="shared" si="3"/>
        <v/>
      </c>
      <c r="B102" s="75" t="str">
        <f>IFERROR(INDEX(_自动清单!$AD$4:$AD$153,ROW()-3),"")</f>
        <v/>
      </c>
      <c r="C102" s="42" t="str">
        <f>IF($B102="","",COUNTIF(成本费用登记表!$C$4:$C$303,$B102))</f>
        <v/>
      </c>
      <c r="D102" s="76" t="str">
        <f>IF($B102="","",ROUND(SUMIF(成本费用登记表!$C$4:$C$303,$B102,成本费用登记表!$H$4:$H$303),2))</f>
        <v/>
      </c>
      <c r="E102" s="76" t="str">
        <f>IF($B102="","",ROUND(SUMIF(成本费用登记表!$C$4:$C$303,$B102,成本费用登记表!$AA$4:$AA$303),2))</f>
        <v/>
      </c>
      <c r="F102" s="76" t="str">
        <f t="shared" si="4"/>
        <v/>
      </c>
      <c r="G102" s="77" t="str">
        <f>IF(OR($B102="",N($C102)=0),"",IFERROR(INDEX(成本费用登记表!$B$4:$B$303,MATCH($B102,成本费用登记表!$C$4:$C$303,0)),""))</f>
        <v/>
      </c>
      <c r="H102" s="75" t="str">
        <f>IF(OR($B102="",N($C102)=0),"",IFERROR(INDEX(成本费用登记表!$D$4:$D$303,MATCH($B102,成本费用登记表!$C$4:$C$303,0)),""))</f>
        <v/>
      </c>
      <c r="I102" s="75" t="str">
        <f t="shared" si="5"/>
        <v/>
      </c>
    </row>
    <row r="103" spans="1:9">
      <c r="A103" s="74" t="str">
        <f t="shared" si="3"/>
        <v/>
      </c>
      <c r="B103" s="75" t="str">
        <f>IFERROR(INDEX(_自动清单!$AD$4:$AD$153,ROW()-3),"")</f>
        <v/>
      </c>
      <c r="C103" s="42" t="str">
        <f>IF($B103="","",COUNTIF(成本费用登记表!$C$4:$C$303,$B103))</f>
        <v/>
      </c>
      <c r="D103" s="76" t="str">
        <f>IF($B103="","",ROUND(SUMIF(成本费用登记表!$C$4:$C$303,$B103,成本费用登记表!$H$4:$H$303),2))</f>
        <v/>
      </c>
      <c r="E103" s="76" t="str">
        <f>IF($B103="","",ROUND(SUMIF(成本费用登记表!$C$4:$C$303,$B103,成本费用登记表!$AA$4:$AA$303),2))</f>
        <v/>
      </c>
      <c r="F103" s="76" t="str">
        <f t="shared" si="4"/>
        <v/>
      </c>
      <c r="G103" s="77" t="str">
        <f>IF(OR($B103="",N($C103)=0),"",IFERROR(INDEX(成本费用登记表!$B$4:$B$303,MATCH($B103,成本费用登记表!$C$4:$C$303,0)),""))</f>
        <v/>
      </c>
      <c r="H103" s="75" t="str">
        <f>IF(OR($B103="",N($C103)=0),"",IFERROR(INDEX(成本费用登记表!$D$4:$D$303,MATCH($B103,成本费用登记表!$C$4:$C$303,0)),""))</f>
        <v/>
      </c>
      <c r="I103" s="75" t="str">
        <f t="shared" si="5"/>
        <v/>
      </c>
    </row>
    <row r="104" spans="1:9">
      <c r="A104" s="74" t="str">
        <f t="shared" si="3"/>
        <v/>
      </c>
      <c r="B104" s="75" t="str">
        <f>IFERROR(INDEX(_自动清单!$AD$4:$AD$153,ROW()-3),"")</f>
        <v/>
      </c>
      <c r="C104" s="42" t="str">
        <f>IF($B104="","",COUNTIF(成本费用登记表!$C$4:$C$303,$B104))</f>
        <v/>
      </c>
      <c r="D104" s="76" t="str">
        <f>IF($B104="","",ROUND(SUMIF(成本费用登记表!$C$4:$C$303,$B104,成本费用登记表!$H$4:$H$303),2))</f>
        <v/>
      </c>
      <c r="E104" s="76" t="str">
        <f>IF($B104="","",ROUND(SUMIF(成本费用登记表!$C$4:$C$303,$B104,成本费用登记表!$AA$4:$AA$303),2))</f>
        <v/>
      </c>
      <c r="F104" s="76" t="str">
        <f t="shared" si="4"/>
        <v/>
      </c>
      <c r="G104" s="77" t="str">
        <f>IF(OR($B104="",N($C104)=0),"",IFERROR(INDEX(成本费用登记表!$B$4:$B$303,MATCH($B104,成本费用登记表!$C$4:$C$303,0)),""))</f>
        <v/>
      </c>
      <c r="H104" s="75" t="str">
        <f>IF(OR($B104="",N($C104)=0),"",IFERROR(INDEX(成本费用登记表!$D$4:$D$303,MATCH($B104,成本费用登记表!$C$4:$C$303,0)),""))</f>
        <v/>
      </c>
      <c r="I104" s="75" t="str">
        <f t="shared" si="5"/>
        <v/>
      </c>
    </row>
    <row r="105" spans="1:9">
      <c r="A105" s="74" t="str">
        <f t="shared" si="3"/>
        <v/>
      </c>
      <c r="B105" s="75" t="str">
        <f>IFERROR(INDEX(_自动清单!$AD$4:$AD$153,ROW()-3),"")</f>
        <v/>
      </c>
      <c r="C105" s="42" t="str">
        <f>IF($B105="","",COUNTIF(成本费用登记表!$C$4:$C$303,$B105))</f>
        <v/>
      </c>
      <c r="D105" s="76" t="str">
        <f>IF($B105="","",ROUND(SUMIF(成本费用登记表!$C$4:$C$303,$B105,成本费用登记表!$H$4:$H$303),2))</f>
        <v/>
      </c>
      <c r="E105" s="76" t="str">
        <f>IF($B105="","",ROUND(SUMIF(成本费用登记表!$C$4:$C$303,$B105,成本费用登记表!$AA$4:$AA$303),2))</f>
        <v/>
      </c>
      <c r="F105" s="76" t="str">
        <f t="shared" si="4"/>
        <v/>
      </c>
      <c r="G105" s="77" t="str">
        <f>IF(OR($B105="",N($C105)=0),"",IFERROR(INDEX(成本费用登记表!$B$4:$B$303,MATCH($B105,成本费用登记表!$C$4:$C$303,0)),""))</f>
        <v/>
      </c>
      <c r="H105" s="75" t="str">
        <f>IF(OR($B105="",N($C105)=0),"",IFERROR(INDEX(成本费用登记表!$D$4:$D$303,MATCH($B105,成本费用登记表!$C$4:$C$303,0)),""))</f>
        <v/>
      </c>
      <c r="I105" s="75" t="str">
        <f t="shared" si="5"/>
        <v/>
      </c>
    </row>
    <row r="106" spans="1:9">
      <c r="A106" s="74" t="str">
        <f t="shared" si="3"/>
        <v/>
      </c>
      <c r="B106" s="75" t="str">
        <f>IFERROR(INDEX(_自动清单!$AD$4:$AD$153,ROW()-3),"")</f>
        <v/>
      </c>
      <c r="C106" s="42" t="str">
        <f>IF($B106="","",COUNTIF(成本费用登记表!$C$4:$C$303,$B106))</f>
        <v/>
      </c>
      <c r="D106" s="76" t="str">
        <f>IF($B106="","",ROUND(SUMIF(成本费用登记表!$C$4:$C$303,$B106,成本费用登记表!$H$4:$H$303),2))</f>
        <v/>
      </c>
      <c r="E106" s="76" t="str">
        <f>IF($B106="","",ROUND(SUMIF(成本费用登记表!$C$4:$C$303,$B106,成本费用登记表!$AA$4:$AA$303),2))</f>
        <v/>
      </c>
      <c r="F106" s="76" t="str">
        <f t="shared" si="4"/>
        <v/>
      </c>
      <c r="G106" s="77" t="str">
        <f>IF(OR($B106="",N($C106)=0),"",IFERROR(INDEX(成本费用登记表!$B$4:$B$303,MATCH($B106,成本费用登记表!$C$4:$C$303,0)),""))</f>
        <v/>
      </c>
      <c r="H106" s="75" t="str">
        <f>IF(OR($B106="",N($C106)=0),"",IFERROR(INDEX(成本费用登记表!$D$4:$D$303,MATCH($B106,成本费用登记表!$C$4:$C$303,0)),""))</f>
        <v/>
      </c>
      <c r="I106" s="75" t="str">
        <f t="shared" si="5"/>
        <v/>
      </c>
    </row>
    <row r="107" spans="1:9">
      <c r="A107" s="74" t="str">
        <f t="shared" si="3"/>
        <v/>
      </c>
      <c r="B107" s="75" t="str">
        <f>IFERROR(INDEX(_自动清单!$AD$4:$AD$153,ROW()-3),"")</f>
        <v/>
      </c>
      <c r="C107" s="42" t="str">
        <f>IF($B107="","",COUNTIF(成本费用登记表!$C$4:$C$303,$B107))</f>
        <v/>
      </c>
      <c r="D107" s="76" t="str">
        <f>IF($B107="","",ROUND(SUMIF(成本费用登记表!$C$4:$C$303,$B107,成本费用登记表!$H$4:$H$303),2))</f>
        <v/>
      </c>
      <c r="E107" s="76" t="str">
        <f>IF($B107="","",ROUND(SUMIF(成本费用登记表!$C$4:$C$303,$B107,成本费用登记表!$AA$4:$AA$303),2))</f>
        <v/>
      </c>
      <c r="F107" s="76" t="str">
        <f t="shared" si="4"/>
        <v/>
      </c>
      <c r="G107" s="77" t="str">
        <f>IF(OR($B107="",N($C107)=0),"",IFERROR(INDEX(成本费用登记表!$B$4:$B$303,MATCH($B107,成本费用登记表!$C$4:$C$303,0)),""))</f>
        <v/>
      </c>
      <c r="H107" s="75" t="str">
        <f>IF(OR($B107="",N($C107)=0),"",IFERROR(INDEX(成本费用登记表!$D$4:$D$303,MATCH($B107,成本费用登记表!$C$4:$C$303,0)),""))</f>
        <v/>
      </c>
      <c r="I107" s="75" t="str">
        <f t="shared" si="5"/>
        <v/>
      </c>
    </row>
    <row r="108" spans="1:9">
      <c r="A108" s="74" t="str">
        <f t="shared" si="3"/>
        <v/>
      </c>
      <c r="B108" s="75" t="str">
        <f>IFERROR(INDEX(_自动清单!$AD$4:$AD$153,ROW()-3),"")</f>
        <v/>
      </c>
      <c r="C108" s="42" t="str">
        <f>IF($B108="","",COUNTIF(成本费用登记表!$C$4:$C$303,$B108))</f>
        <v/>
      </c>
      <c r="D108" s="76" t="str">
        <f>IF($B108="","",ROUND(SUMIF(成本费用登记表!$C$4:$C$303,$B108,成本费用登记表!$H$4:$H$303),2))</f>
        <v/>
      </c>
      <c r="E108" s="76" t="str">
        <f>IF($B108="","",ROUND(SUMIF(成本费用登记表!$C$4:$C$303,$B108,成本费用登记表!$AA$4:$AA$303),2))</f>
        <v/>
      </c>
      <c r="F108" s="76" t="str">
        <f t="shared" si="4"/>
        <v/>
      </c>
      <c r="G108" s="77" t="str">
        <f>IF(OR($B108="",N($C108)=0),"",IFERROR(INDEX(成本费用登记表!$B$4:$B$303,MATCH($B108,成本费用登记表!$C$4:$C$303,0)),""))</f>
        <v/>
      </c>
      <c r="H108" s="75" t="str">
        <f>IF(OR($B108="",N($C108)=0),"",IFERROR(INDEX(成本费用登记表!$D$4:$D$303,MATCH($B108,成本费用登记表!$C$4:$C$303,0)),""))</f>
        <v/>
      </c>
      <c r="I108" s="75" t="str">
        <f t="shared" si="5"/>
        <v/>
      </c>
    </row>
    <row r="109" spans="1:9">
      <c r="A109" s="74" t="str">
        <f t="shared" si="3"/>
        <v/>
      </c>
      <c r="B109" s="75" t="str">
        <f>IFERROR(INDEX(_自动清单!$AD$4:$AD$153,ROW()-3),"")</f>
        <v/>
      </c>
      <c r="C109" s="42" t="str">
        <f>IF($B109="","",COUNTIF(成本费用登记表!$C$4:$C$303,$B109))</f>
        <v/>
      </c>
      <c r="D109" s="76" t="str">
        <f>IF($B109="","",ROUND(SUMIF(成本费用登记表!$C$4:$C$303,$B109,成本费用登记表!$H$4:$H$303),2))</f>
        <v/>
      </c>
      <c r="E109" s="76" t="str">
        <f>IF($B109="","",ROUND(SUMIF(成本费用登记表!$C$4:$C$303,$B109,成本费用登记表!$AA$4:$AA$303),2))</f>
        <v/>
      </c>
      <c r="F109" s="76" t="str">
        <f t="shared" si="4"/>
        <v/>
      </c>
      <c r="G109" s="77" t="str">
        <f>IF(OR($B109="",N($C109)=0),"",IFERROR(INDEX(成本费用登记表!$B$4:$B$303,MATCH($B109,成本费用登记表!$C$4:$C$303,0)),""))</f>
        <v/>
      </c>
      <c r="H109" s="75" t="str">
        <f>IF(OR($B109="",N($C109)=0),"",IFERROR(INDEX(成本费用登记表!$D$4:$D$303,MATCH($B109,成本费用登记表!$C$4:$C$303,0)),""))</f>
        <v/>
      </c>
      <c r="I109" s="75" t="str">
        <f t="shared" si="5"/>
        <v/>
      </c>
    </row>
    <row r="110" spans="1:9">
      <c r="A110" s="74" t="str">
        <f t="shared" si="3"/>
        <v/>
      </c>
      <c r="B110" s="75" t="str">
        <f>IFERROR(INDEX(_自动清单!$AD$4:$AD$153,ROW()-3),"")</f>
        <v/>
      </c>
      <c r="C110" s="42" t="str">
        <f>IF($B110="","",COUNTIF(成本费用登记表!$C$4:$C$303,$B110))</f>
        <v/>
      </c>
      <c r="D110" s="76" t="str">
        <f>IF($B110="","",ROUND(SUMIF(成本费用登记表!$C$4:$C$303,$B110,成本费用登记表!$H$4:$H$303),2))</f>
        <v/>
      </c>
      <c r="E110" s="76" t="str">
        <f>IF($B110="","",ROUND(SUMIF(成本费用登记表!$C$4:$C$303,$B110,成本费用登记表!$AA$4:$AA$303),2))</f>
        <v/>
      </c>
      <c r="F110" s="76" t="str">
        <f t="shared" si="4"/>
        <v/>
      </c>
      <c r="G110" s="77" t="str">
        <f>IF(OR($B110="",N($C110)=0),"",IFERROR(INDEX(成本费用登记表!$B$4:$B$303,MATCH($B110,成本费用登记表!$C$4:$C$303,0)),""))</f>
        <v/>
      </c>
      <c r="H110" s="75" t="str">
        <f>IF(OR($B110="",N($C110)=0),"",IFERROR(INDEX(成本费用登记表!$D$4:$D$303,MATCH($B110,成本费用登记表!$C$4:$C$303,0)),""))</f>
        <v/>
      </c>
      <c r="I110" s="75" t="str">
        <f t="shared" si="5"/>
        <v/>
      </c>
    </row>
    <row r="111" spans="1:9">
      <c r="A111" s="74" t="str">
        <f t="shared" si="3"/>
        <v/>
      </c>
      <c r="B111" s="75" t="str">
        <f>IFERROR(INDEX(_自动清单!$AD$4:$AD$153,ROW()-3),"")</f>
        <v/>
      </c>
      <c r="C111" s="42" t="str">
        <f>IF($B111="","",COUNTIF(成本费用登记表!$C$4:$C$303,$B111))</f>
        <v/>
      </c>
      <c r="D111" s="76" t="str">
        <f>IF($B111="","",ROUND(SUMIF(成本费用登记表!$C$4:$C$303,$B111,成本费用登记表!$H$4:$H$303),2))</f>
        <v/>
      </c>
      <c r="E111" s="76" t="str">
        <f>IF($B111="","",ROUND(SUMIF(成本费用登记表!$C$4:$C$303,$B111,成本费用登记表!$AA$4:$AA$303),2))</f>
        <v/>
      </c>
      <c r="F111" s="76" t="str">
        <f t="shared" si="4"/>
        <v/>
      </c>
      <c r="G111" s="77" t="str">
        <f>IF(OR($B111="",N($C111)=0),"",IFERROR(INDEX(成本费用登记表!$B$4:$B$303,MATCH($B111,成本费用登记表!$C$4:$C$303,0)),""))</f>
        <v/>
      </c>
      <c r="H111" s="75" t="str">
        <f>IF(OR($B111="",N($C111)=0),"",IFERROR(INDEX(成本费用登记表!$D$4:$D$303,MATCH($B111,成本费用登记表!$C$4:$C$303,0)),""))</f>
        <v/>
      </c>
      <c r="I111" s="75" t="str">
        <f t="shared" si="5"/>
        <v/>
      </c>
    </row>
    <row r="112" spans="1:9">
      <c r="A112" s="74" t="str">
        <f t="shared" si="3"/>
        <v/>
      </c>
      <c r="B112" s="75" t="str">
        <f>IFERROR(INDEX(_自动清单!$AD$4:$AD$153,ROW()-3),"")</f>
        <v/>
      </c>
      <c r="C112" s="42" t="str">
        <f>IF($B112="","",COUNTIF(成本费用登记表!$C$4:$C$303,$B112))</f>
        <v/>
      </c>
      <c r="D112" s="76" t="str">
        <f>IF($B112="","",ROUND(SUMIF(成本费用登记表!$C$4:$C$303,$B112,成本费用登记表!$H$4:$H$303),2))</f>
        <v/>
      </c>
      <c r="E112" s="76" t="str">
        <f>IF($B112="","",ROUND(SUMIF(成本费用登记表!$C$4:$C$303,$B112,成本费用登记表!$AA$4:$AA$303),2))</f>
        <v/>
      </c>
      <c r="F112" s="76" t="str">
        <f t="shared" si="4"/>
        <v/>
      </c>
      <c r="G112" s="77" t="str">
        <f>IF(OR($B112="",N($C112)=0),"",IFERROR(INDEX(成本费用登记表!$B$4:$B$303,MATCH($B112,成本费用登记表!$C$4:$C$303,0)),""))</f>
        <v/>
      </c>
      <c r="H112" s="75" t="str">
        <f>IF(OR($B112="",N($C112)=0),"",IFERROR(INDEX(成本费用登记表!$D$4:$D$303,MATCH($B112,成本费用登记表!$C$4:$C$303,0)),""))</f>
        <v/>
      </c>
      <c r="I112" s="75" t="str">
        <f t="shared" si="5"/>
        <v/>
      </c>
    </row>
    <row r="113" spans="1:9">
      <c r="A113" s="74" t="str">
        <f t="shared" si="3"/>
        <v/>
      </c>
      <c r="B113" s="75" t="str">
        <f>IFERROR(INDEX(_自动清单!$AD$4:$AD$153,ROW()-3),"")</f>
        <v/>
      </c>
      <c r="C113" s="42" t="str">
        <f>IF($B113="","",COUNTIF(成本费用登记表!$C$4:$C$303,$B113))</f>
        <v/>
      </c>
      <c r="D113" s="76" t="str">
        <f>IF($B113="","",ROUND(SUMIF(成本费用登记表!$C$4:$C$303,$B113,成本费用登记表!$H$4:$H$303),2))</f>
        <v/>
      </c>
      <c r="E113" s="76" t="str">
        <f>IF($B113="","",ROUND(SUMIF(成本费用登记表!$C$4:$C$303,$B113,成本费用登记表!$AA$4:$AA$303),2))</f>
        <v/>
      </c>
      <c r="F113" s="76" t="str">
        <f t="shared" si="4"/>
        <v/>
      </c>
      <c r="G113" s="77" t="str">
        <f>IF(OR($B113="",N($C113)=0),"",IFERROR(INDEX(成本费用登记表!$B$4:$B$303,MATCH($B113,成本费用登记表!$C$4:$C$303,0)),""))</f>
        <v/>
      </c>
      <c r="H113" s="75" t="str">
        <f>IF(OR($B113="",N($C113)=0),"",IFERROR(INDEX(成本费用登记表!$D$4:$D$303,MATCH($B113,成本费用登记表!$C$4:$C$303,0)),""))</f>
        <v/>
      </c>
      <c r="I113" s="75" t="str">
        <f t="shared" si="5"/>
        <v/>
      </c>
    </row>
    <row r="114" spans="1:9">
      <c r="A114" s="74" t="str">
        <f t="shared" si="3"/>
        <v/>
      </c>
      <c r="B114" s="75" t="str">
        <f>IFERROR(INDEX(_自动清单!$AD$4:$AD$153,ROW()-3),"")</f>
        <v/>
      </c>
      <c r="C114" s="42" t="str">
        <f>IF($B114="","",COUNTIF(成本费用登记表!$C$4:$C$303,$B114))</f>
        <v/>
      </c>
      <c r="D114" s="76" t="str">
        <f>IF($B114="","",ROUND(SUMIF(成本费用登记表!$C$4:$C$303,$B114,成本费用登记表!$H$4:$H$303),2))</f>
        <v/>
      </c>
      <c r="E114" s="76" t="str">
        <f>IF($B114="","",ROUND(SUMIF(成本费用登记表!$C$4:$C$303,$B114,成本费用登记表!$AA$4:$AA$303),2))</f>
        <v/>
      </c>
      <c r="F114" s="76" t="str">
        <f t="shared" si="4"/>
        <v/>
      </c>
      <c r="G114" s="77" t="str">
        <f>IF(OR($B114="",N($C114)=0),"",IFERROR(INDEX(成本费用登记表!$B$4:$B$303,MATCH($B114,成本费用登记表!$C$4:$C$303,0)),""))</f>
        <v/>
      </c>
      <c r="H114" s="75" t="str">
        <f>IF(OR($B114="",N($C114)=0),"",IFERROR(INDEX(成本费用登记表!$D$4:$D$303,MATCH($B114,成本费用登记表!$C$4:$C$303,0)),""))</f>
        <v/>
      </c>
      <c r="I114" s="75" t="str">
        <f t="shared" si="5"/>
        <v/>
      </c>
    </row>
    <row r="115" spans="1:9">
      <c r="A115" s="74" t="str">
        <f t="shared" si="3"/>
        <v/>
      </c>
      <c r="B115" s="75" t="str">
        <f>IFERROR(INDEX(_自动清单!$AD$4:$AD$153,ROW()-3),"")</f>
        <v/>
      </c>
      <c r="C115" s="42" t="str">
        <f>IF($B115="","",COUNTIF(成本费用登记表!$C$4:$C$303,$B115))</f>
        <v/>
      </c>
      <c r="D115" s="76" t="str">
        <f>IF($B115="","",ROUND(SUMIF(成本费用登记表!$C$4:$C$303,$B115,成本费用登记表!$H$4:$H$303),2))</f>
        <v/>
      </c>
      <c r="E115" s="76" t="str">
        <f>IF($B115="","",ROUND(SUMIF(成本费用登记表!$C$4:$C$303,$B115,成本费用登记表!$AA$4:$AA$303),2))</f>
        <v/>
      </c>
      <c r="F115" s="76" t="str">
        <f t="shared" si="4"/>
        <v/>
      </c>
      <c r="G115" s="77" t="str">
        <f>IF(OR($B115="",N($C115)=0),"",IFERROR(INDEX(成本费用登记表!$B$4:$B$303,MATCH($B115,成本费用登记表!$C$4:$C$303,0)),""))</f>
        <v/>
      </c>
      <c r="H115" s="75" t="str">
        <f>IF(OR($B115="",N($C115)=0),"",IFERROR(INDEX(成本费用登记表!$D$4:$D$303,MATCH($B115,成本费用登记表!$C$4:$C$303,0)),""))</f>
        <v/>
      </c>
      <c r="I115" s="75" t="str">
        <f t="shared" si="5"/>
        <v/>
      </c>
    </row>
    <row r="116" spans="1:9">
      <c r="A116" s="74" t="str">
        <f t="shared" si="3"/>
        <v/>
      </c>
      <c r="B116" s="75" t="str">
        <f>IFERROR(INDEX(_自动清单!$AD$4:$AD$153,ROW()-3),"")</f>
        <v/>
      </c>
      <c r="C116" s="42" t="str">
        <f>IF($B116="","",COUNTIF(成本费用登记表!$C$4:$C$303,$B116))</f>
        <v/>
      </c>
      <c r="D116" s="76" t="str">
        <f>IF($B116="","",ROUND(SUMIF(成本费用登记表!$C$4:$C$303,$B116,成本费用登记表!$H$4:$H$303),2))</f>
        <v/>
      </c>
      <c r="E116" s="76" t="str">
        <f>IF($B116="","",ROUND(SUMIF(成本费用登记表!$C$4:$C$303,$B116,成本费用登记表!$AA$4:$AA$303),2))</f>
        <v/>
      </c>
      <c r="F116" s="76" t="str">
        <f t="shared" si="4"/>
        <v/>
      </c>
      <c r="G116" s="77" t="str">
        <f>IF(OR($B116="",N($C116)=0),"",IFERROR(INDEX(成本费用登记表!$B$4:$B$303,MATCH($B116,成本费用登记表!$C$4:$C$303,0)),""))</f>
        <v/>
      </c>
      <c r="H116" s="75" t="str">
        <f>IF(OR($B116="",N($C116)=0),"",IFERROR(INDEX(成本费用登记表!$D$4:$D$303,MATCH($B116,成本费用登记表!$C$4:$C$303,0)),""))</f>
        <v/>
      </c>
      <c r="I116" s="75" t="str">
        <f t="shared" si="5"/>
        <v/>
      </c>
    </row>
    <row r="117" spans="1:9">
      <c r="A117" s="74" t="str">
        <f t="shared" si="3"/>
        <v/>
      </c>
      <c r="B117" s="75" t="str">
        <f>IFERROR(INDEX(_自动清单!$AD$4:$AD$153,ROW()-3),"")</f>
        <v/>
      </c>
      <c r="C117" s="42" t="str">
        <f>IF($B117="","",COUNTIF(成本费用登记表!$C$4:$C$303,$B117))</f>
        <v/>
      </c>
      <c r="D117" s="76" t="str">
        <f>IF($B117="","",ROUND(SUMIF(成本费用登记表!$C$4:$C$303,$B117,成本费用登记表!$H$4:$H$303),2))</f>
        <v/>
      </c>
      <c r="E117" s="76" t="str">
        <f>IF($B117="","",ROUND(SUMIF(成本费用登记表!$C$4:$C$303,$B117,成本费用登记表!$AA$4:$AA$303),2))</f>
        <v/>
      </c>
      <c r="F117" s="76" t="str">
        <f t="shared" si="4"/>
        <v/>
      </c>
      <c r="G117" s="77" t="str">
        <f>IF(OR($B117="",N($C117)=0),"",IFERROR(INDEX(成本费用登记表!$B$4:$B$303,MATCH($B117,成本费用登记表!$C$4:$C$303,0)),""))</f>
        <v/>
      </c>
      <c r="H117" s="75" t="str">
        <f>IF(OR($B117="",N($C117)=0),"",IFERROR(INDEX(成本费用登记表!$D$4:$D$303,MATCH($B117,成本费用登记表!$C$4:$C$303,0)),""))</f>
        <v/>
      </c>
      <c r="I117" s="75" t="str">
        <f t="shared" si="5"/>
        <v/>
      </c>
    </row>
    <row r="118" spans="1:9">
      <c r="A118" s="74" t="str">
        <f t="shared" si="3"/>
        <v/>
      </c>
      <c r="B118" s="75" t="str">
        <f>IFERROR(INDEX(_自动清单!$AD$4:$AD$153,ROW()-3),"")</f>
        <v/>
      </c>
      <c r="C118" s="42" t="str">
        <f>IF($B118="","",COUNTIF(成本费用登记表!$C$4:$C$303,$B118))</f>
        <v/>
      </c>
      <c r="D118" s="76" t="str">
        <f>IF($B118="","",ROUND(SUMIF(成本费用登记表!$C$4:$C$303,$B118,成本费用登记表!$H$4:$H$303),2))</f>
        <v/>
      </c>
      <c r="E118" s="76" t="str">
        <f>IF($B118="","",ROUND(SUMIF(成本费用登记表!$C$4:$C$303,$B118,成本费用登记表!$AA$4:$AA$303),2))</f>
        <v/>
      </c>
      <c r="F118" s="76" t="str">
        <f t="shared" si="4"/>
        <v/>
      </c>
      <c r="G118" s="77" t="str">
        <f>IF(OR($B118="",N($C118)=0),"",IFERROR(INDEX(成本费用登记表!$B$4:$B$303,MATCH($B118,成本费用登记表!$C$4:$C$303,0)),""))</f>
        <v/>
      </c>
      <c r="H118" s="75" t="str">
        <f>IF(OR($B118="",N($C118)=0),"",IFERROR(INDEX(成本费用登记表!$D$4:$D$303,MATCH($B118,成本费用登记表!$C$4:$C$303,0)),""))</f>
        <v/>
      </c>
      <c r="I118" s="75" t="str">
        <f t="shared" si="5"/>
        <v/>
      </c>
    </row>
    <row r="119" spans="1:9">
      <c r="A119" s="74" t="str">
        <f t="shared" si="3"/>
        <v/>
      </c>
      <c r="B119" s="75" t="str">
        <f>IFERROR(INDEX(_自动清单!$AD$4:$AD$153,ROW()-3),"")</f>
        <v/>
      </c>
      <c r="C119" s="42" t="str">
        <f>IF($B119="","",COUNTIF(成本费用登记表!$C$4:$C$303,$B119))</f>
        <v/>
      </c>
      <c r="D119" s="76" t="str">
        <f>IF($B119="","",ROUND(SUMIF(成本费用登记表!$C$4:$C$303,$B119,成本费用登记表!$H$4:$H$303),2))</f>
        <v/>
      </c>
      <c r="E119" s="76" t="str">
        <f>IF($B119="","",ROUND(SUMIF(成本费用登记表!$C$4:$C$303,$B119,成本费用登记表!$AA$4:$AA$303),2))</f>
        <v/>
      </c>
      <c r="F119" s="76" t="str">
        <f t="shared" si="4"/>
        <v/>
      </c>
      <c r="G119" s="77" t="str">
        <f>IF(OR($B119="",N($C119)=0),"",IFERROR(INDEX(成本费用登记表!$B$4:$B$303,MATCH($B119,成本费用登记表!$C$4:$C$303,0)),""))</f>
        <v/>
      </c>
      <c r="H119" s="75" t="str">
        <f>IF(OR($B119="",N($C119)=0),"",IFERROR(INDEX(成本费用登记表!$D$4:$D$303,MATCH($B119,成本费用登记表!$C$4:$C$303,0)),""))</f>
        <v/>
      </c>
      <c r="I119" s="75" t="str">
        <f t="shared" si="5"/>
        <v/>
      </c>
    </row>
    <row r="120" spans="1:9">
      <c r="A120" s="74" t="str">
        <f t="shared" si="3"/>
        <v/>
      </c>
      <c r="B120" s="75" t="str">
        <f>IFERROR(INDEX(_自动清单!$AD$4:$AD$153,ROW()-3),"")</f>
        <v/>
      </c>
      <c r="C120" s="42" t="str">
        <f>IF($B120="","",COUNTIF(成本费用登记表!$C$4:$C$303,$B120))</f>
        <v/>
      </c>
      <c r="D120" s="76" t="str">
        <f>IF($B120="","",ROUND(SUMIF(成本费用登记表!$C$4:$C$303,$B120,成本费用登记表!$H$4:$H$303),2))</f>
        <v/>
      </c>
      <c r="E120" s="76" t="str">
        <f>IF($B120="","",ROUND(SUMIF(成本费用登记表!$C$4:$C$303,$B120,成本费用登记表!$AA$4:$AA$303),2))</f>
        <v/>
      </c>
      <c r="F120" s="76" t="str">
        <f t="shared" si="4"/>
        <v/>
      </c>
      <c r="G120" s="77" t="str">
        <f>IF(OR($B120="",N($C120)=0),"",IFERROR(INDEX(成本费用登记表!$B$4:$B$303,MATCH($B120,成本费用登记表!$C$4:$C$303,0)),""))</f>
        <v/>
      </c>
      <c r="H120" s="75" t="str">
        <f>IF(OR($B120="",N($C120)=0),"",IFERROR(INDEX(成本费用登记表!$D$4:$D$303,MATCH($B120,成本费用登记表!$C$4:$C$303,0)),""))</f>
        <v/>
      </c>
      <c r="I120" s="75" t="str">
        <f t="shared" si="5"/>
        <v/>
      </c>
    </row>
    <row r="121" spans="1:9">
      <c r="A121" s="74" t="str">
        <f t="shared" si="3"/>
        <v/>
      </c>
      <c r="B121" s="75" t="str">
        <f>IFERROR(INDEX(_自动清单!$AD$4:$AD$153,ROW()-3),"")</f>
        <v/>
      </c>
      <c r="C121" s="42" t="str">
        <f>IF($B121="","",COUNTIF(成本费用登记表!$C$4:$C$303,$B121))</f>
        <v/>
      </c>
      <c r="D121" s="76" t="str">
        <f>IF($B121="","",ROUND(SUMIF(成本费用登记表!$C$4:$C$303,$B121,成本费用登记表!$H$4:$H$303),2))</f>
        <v/>
      </c>
      <c r="E121" s="76" t="str">
        <f>IF($B121="","",ROUND(SUMIF(成本费用登记表!$C$4:$C$303,$B121,成本费用登记表!$AA$4:$AA$303),2))</f>
        <v/>
      </c>
      <c r="F121" s="76" t="str">
        <f t="shared" si="4"/>
        <v/>
      </c>
      <c r="G121" s="77" t="str">
        <f>IF(OR($B121="",N($C121)=0),"",IFERROR(INDEX(成本费用登记表!$B$4:$B$303,MATCH($B121,成本费用登记表!$C$4:$C$303,0)),""))</f>
        <v/>
      </c>
      <c r="H121" s="75" t="str">
        <f>IF(OR($B121="",N($C121)=0),"",IFERROR(INDEX(成本费用登记表!$D$4:$D$303,MATCH($B121,成本费用登记表!$C$4:$C$303,0)),""))</f>
        <v/>
      </c>
      <c r="I121" s="75" t="str">
        <f t="shared" si="5"/>
        <v/>
      </c>
    </row>
    <row r="122" spans="1:9">
      <c r="A122" s="74" t="str">
        <f t="shared" si="3"/>
        <v/>
      </c>
      <c r="B122" s="75" t="str">
        <f>IFERROR(INDEX(_自动清单!$AD$4:$AD$153,ROW()-3),"")</f>
        <v/>
      </c>
      <c r="C122" s="42" t="str">
        <f>IF($B122="","",COUNTIF(成本费用登记表!$C$4:$C$303,$B122))</f>
        <v/>
      </c>
      <c r="D122" s="76" t="str">
        <f>IF($B122="","",ROUND(SUMIF(成本费用登记表!$C$4:$C$303,$B122,成本费用登记表!$H$4:$H$303),2))</f>
        <v/>
      </c>
      <c r="E122" s="76" t="str">
        <f>IF($B122="","",ROUND(SUMIF(成本费用登记表!$C$4:$C$303,$B122,成本费用登记表!$AA$4:$AA$303),2))</f>
        <v/>
      </c>
      <c r="F122" s="76" t="str">
        <f t="shared" si="4"/>
        <v/>
      </c>
      <c r="G122" s="77" t="str">
        <f>IF(OR($B122="",N($C122)=0),"",IFERROR(INDEX(成本费用登记表!$B$4:$B$303,MATCH($B122,成本费用登记表!$C$4:$C$303,0)),""))</f>
        <v/>
      </c>
      <c r="H122" s="75" t="str">
        <f>IF(OR($B122="",N($C122)=0),"",IFERROR(INDEX(成本费用登记表!$D$4:$D$303,MATCH($B122,成本费用登记表!$C$4:$C$303,0)),""))</f>
        <v/>
      </c>
      <c r="I122" s="75" t="str">
        <f t="shared" si="5"/>
        <v/>
      </c>
    </row>
    <row r="123" spans="1:9">
      <c r="A123" s="74" t="str">
        <f t="shared" si="3"/>
        <v/>
      </c>
      <c r="B123" s="75" t="str">
        <f>IFERROR(INDEX(_自动清单!$AD$4:$AD$153,ROW()-3),"")</f>
        <v/>
      </c>
      <c r="C123" s="42" t="str">
        <f>IF($B123="","",COUNTIF(成本费用登记表!$C$4:$C$303,$B123))</f>
        <v/>
      </c>
      <c r="D123" s="76" t="str">
        <f>IF($B123="","",ROUND(SUMIF(成本费用登记表!$C$4:$C$303,$B123,成本费用登记表!$H$4:$H$303),2))</f>
        <v/>
      </c>
      <c r="E123" s="76" t="str">
        <f>IF($B123="","",ROUND(SUMIF(成本费用登记表!$C$4:$C$303,$B123,成本费用登记表!$AA$4:$AA$303),2))</f>
        <v/>
      </c>
      <c r="F123" s="76" t="str">
        <f t="shared" si="4"/>
        <v/>
      </c>
      <c r="G123" s="77" t="str">
        <f>IF(OR($B123="",N($C123)=0),"",IFERROR(INDEX(成本费用登记表!$B$4:$B$303,MATCH($B123,成本费用登记表!$C$4:$C$303,0)),""))</f>
        <v/>
      </c>
      <c r="H123" s="75" t="str">
        <f>IF(OR($B123="",N($C123)=0),"",IFERROR(INDEX(成本费用登记表!$D$4:$D$303,MATCH($B123,成本费用登记表!$C$4:$C$303,0)),""))</f>
        <v/>
      </c>
      <c r="I123" s="75" t="str">
        <f t="shared" si="5"/>
        <v/>
      </c>
    </row>
    <row r="124" spans="1:9">
      <c r="A124" s="74" t="str">
        <f t="shared" si="3"/>
        <v/>
      </c>
      <c r="B124" s="75" t="str">
        <f>IFERROR(INDEX(_自动清单!$AD$4:$AD$153,ROW()-3),"")</f>
        <v/>
      </c>
      <c r="C124" s="42" t="str">
        <f>IF($B124="","",COUNTIF(成本费用登记表!$C$4:$C$303,$B124))</f>
        <v/>
      </c>
      <c r="D124" s="76" t="str">
        <f>IF($B124="","",ROUND(SUMIF(成本费用登记表!$C$4:$C$303,$B124,成本费用登记表!$H$4:$H$303),2))</f>
        <v/>
      </c>
      <c r="E124" s="76" t="str">
        <f>IF($B124="","",ROUND(SUMIF(成本费用登记表!$C$4:$C$303,$B124,成本费用登记表!$AA$4:$AA$303),2))</f>
        <v/>
      </c>
      <c r="F124" s="76" t="str">
        <f t="shared" si="4"/>
        <v/>
      </c>
      <c r="G124" s="77" t="str">
        <f>IF(OR($B124="",N($C124)=0),"",IFERROR(INDEX(成本费用登记表!$B$4:$B$303,MATCH($B124,成本费用登记表!$C$4:$C$303,0)),""))</f>
        <v/>
      </c>
      <c r="H124" s="75" t="str">
        <f>IF(OR($B124="",N($C124)=0),"",IFERROR(INDEX(成本费用登记表!$D$4:$D$303,MATCH($B124,成本费用登记表!$C$4:$C$303,0)),""))</f>
        <v/>
      </c>
      <c r="I124" s="75" t="str">
        <f t="shared" si="5"/>
        <v/>
      </c>
    </row>
    <row r="125" spans="1:9">
      <c r="A125" s="74" t="str">
        <f t="shared" si="3"/>
        <v/>
      </c>
      <c r="B125" s="75" t="str">
        <f>IFERROR(INDEX(_自动清单!$AD$4:$AD$153,ROW()-3),"")</f>
        <v/>
      </c>
      <c r="C125" s="42" t="str">
        <f>IF($B125="","",COUNTIF(成本费用登记表!$C$4:$C$303,$B125))</f>
        <v/>
      </c>
      <c r="D125" s="76" t="str">
        <f>IF($B125="","",ROUND(SUMIF(成本费用登记表!$C$4:$C$303,$B125,成本费用登记表!$H$4:$H$303),2))</f>
        <v/>
      </c>
      <c r="E125" s="76" t="str">
        <f>IF($B125="","",ROUND(SUMIF(成本费用登记表!$C$4:$C$303,$B125,成本费用登记表!$AA$4:$AA$303),2))</f>
        <v/>
      </c>
      <c r="F125" s="76" t="str">
        <f t="shared" si="4"/>
        <v/>
      </c>
      <c r="G125" s="77" t="str">
        <f>IF(OR($B125="",N($C125)=0),"",IFERROR(INDEX(成本费用登记表!$B$4:$B$303,MATCH($B125,成本费用登记表!$C$4:$C$303,0)),""))</f>
        <v/>
      </c>
      <c r="H125" s="75" t="str">
        <f>IF(OR($B125="",N($C125)=0),"",IFERROR(INDEX(成本费用登记表!$D$4:$D$303,MATCH($B125,成本费用登记表!$C$4:$C$303,0)),""))</f>
        <v/>
      </c>
      <c r="I125" s="75" t="str">
        <f t="shared" si="5"/>
        <v/>
      </c>
    </row>
    <row r="126" spans="1:9">
      <c r="A126" s="74" t="str">
        <f t="shared" si="3"/>
        <v/>
      </c>
      <c r="B126" s="75" t="str">
        <f>IFERROR(INDEX(_自动清单!$AD$4:$AD$153,ROW()-3),"")</f>
        <v/>
      </c>
      <c r="C126" s="42" t="str">
        <f>IF($B126="","",COUNTIF(成本费用登记表!$C$4:$C$303,$B126))</f>
        <v/>
      </c>
      <c r="D126" s="76" t="str">
        <f>IF($B126="","",ROUND(SUMIF(成本费用登记表!$C$4:$C$303,$B126,成本费用登记表!$H$4:$H$303),2))</f>
        <v/>
      </c>
      <c r="E126" s="76" t="str">
        <f>IF($B126="","",ROUND(SUMIF(成本费用登记表!$C$4:$C$303,$B126,成本费用登记表!$AA$4:$AA$303),2))</f>
        <v/>
      </c>
      <c r="F126" s="76" t="str">
        <f t="shared" si="4"/>
        <v/>
      </c>
      <c r="G126" s="77" t="str">
        <f>IF(OR($B126="",N($C126)=0),"",IFERROR(INDEX(成本费用登记表!$B$4:$B$303,MATCH($B126,成本费用登记表!$C$4:$C$303,0)),""))</f>
        <v/>
      </c>
      <c r="H126" s="75" t="str">
        <f>IF(OR($B126="",N($C126)=0),"",IFERROR(INDEX(成本费用登记表!$D$4:$D$303,MATCH($B126,成本费用登记表!$C$4:$C$303,0)),""))</f>
        <v/>
      </c>
      <c r="I126" s="75" t="str">
        <f t="shared" si="5"/>
        <v/>
      </c>
    </row>
    <row r="127" spans="1:9">
      <c r="A127" s="74" t="str">
        <f t="shared" si="3"/>
        <v/>
      </c>
      <c r="B127" s="75" t="str">
        <f>IFERROR(INDEX(_自动清单!$AD$4:$AD$153,ROW()-3),"")</f>
        <v/>
      </c>
      <c r="C127" s="42" t="str">
        <f>IF($B127="","",COUNTIF(成本费用登记表!$C$4:$C$303,$B127))</f>
        <v/>
      </c>
      <c r="D127" s="76" t="str">
        <f>IF($B127="","",ROUND(SUMIF(成本费用登记表!$C$4:$C$303,$B127,成本费用登记表!$H$4:$H$303),2))</f>
        <v/>
      </c>
      <c r="E127" s="76" t="str">
        <f>IF($B127="","",ROUND(SUMIF(成本费用登记表!$C$4:$C$303,$B127,成本费用登记表!$AA$4:$AA$303),2))</f>
        <v/>
      </c>
      <c r="F127" s="76" t="str">
        <f t="shared" si="4"/>
        <v/>
      </c>
      <c r="G127" s="77" t="str">
        <f>IF(OR($B127="",N($C127)=0),"",IFERROR(INDEX(成本费用登记表!$B$4:$B$303,MATCH($B127,成本费用登记表!$C$4:$C$303,0)),""))</f>
        <v/>
      </c>
      <c r="H127" s="75" t="str">
        <f>IF(OR($B127="",N($C127)=0),"",IFERROR(INDEX(成本费用登记表!$D$4:$D$303,MATCH($B127,成本费用登记表!$C$4:$C$303,0)),""))</f>
        <v/>
      </c>
      <c r="I127" s="75" t="str">
        <f t="shared" si="5"/>
        <v/>
      </c>
    </row>
    <row r="128" spans="1:9">
      <c r="A128" s="74" t="str">
        <f t="shared" si="3"/>
        <v/>
      </c>
      <c r="B128" s="75" t="str">
        <f>IFERROR(INDEX(_自动清单!$AD$4:$AD$153,ROW()-3),"")</f>
        <v/>
      </c>
      <c r="C128" s="42" t="str">
        <f>IF($B128="","",COUNTIF(成本费用登记表!$C$4:$C$303,$B128))</f>
        <v/>
      </c>
      <c r="D128" s="76" t="str">
        <f>IF($B128="","",ROUND(SUMIF(成本费用登记表!$C$4:$C$303,$B128,成本费用登记表!$H$4:$H$303),2))</f>
        <v/>
      </c>
      <c r="E128" s="76" t="str">
        <f>IF($B128="","",ROUND(SUMIF(成本费用登记表!$C$4:$C$303,$B128,成本费用登记表!$AA$4:$AA$303),2))</f>
        <v/>
      </c>
      <c r="F128" s="76" t="str">
        <f t="shared" si="4"/>
        <v/>
      </c>
      <c r="G128" s="77" t="str">
        <f>IF(OR($B128="",N($C128)=0),"",IFERROR(INDEX(成本费用登记表!$B$4:$B$303,MATCH($B128,成本费用登记表!$C$4:$C$303,0)),""))</f>
        <v/>
      </c>
      <c r="H128" s="75" t="str">
        <f>IF(OR($B128="",N($C128)=0),"",IFERROR(INDEX(成本费用登记表!$D$4:$D$303,MATCH($B128,成本费用登记表!$C$4:$C$303,0)),""))</f>
        <v/>
      </c>
      <c r="I128" s="75" t="str">
        <f t="shared" si="5"/>
        <v/>
      </c>
    </row>
    <row r="129" spans="1:9">
      <c r="A129" s="74" t="str">
        <f t="shared" si="3"/>
        <v/>
      </c>
      <c r="B129" s="75" t="str">
        <f>IFERROR(INDEX(_自动清单!$AD$4:$AD$153,ROW()-3),"")</f>
        <v/>
      </c>
      <c r="C129" s="42" t="str">
        <f>IF($B129="","",COUNTIF(成本费用登记表!$C$4:$C$303,$B129))</f>
        <v/>
      </c>
      <c r="D129" s="76" t="str">
        <f>IF($B129="","",ROUND(SUMIF(成本费用登记表!$C$4:$C$303,$B129,成本费用登记表!$H$4:$H$303),2))</f>
        <v/>
      </c>
      <c r="E129" s="76" t="str">
        <f>IF($B129="","",ROUND(SUMIF(成本费用登记表!$C$4:$C$303,$B129,成本费用登记表!$AA$4:$AA$303),2))</f>
        <v/>
      </c>
      <c r="F129" s="76" t="str">
        <f t="shared" si="4"/>
        <v/>
      </c>
      <c r="G129" s="77" t="str">
        <f>IF(OR($B129="",N($C129)=0),"",IFERROR(INDEX(成本费用登记表!$B$4:$B$303,MATCH($B129,成本费用登记表!$C$4:$C$303,0)),""))</f>
        <v/>
      </c>
      <c r="H129" s="75" t="str">
        <f>IF(OR($B129="",N($C129)=0),"",IFERROR(INDEX(成本费用登记表!$D$4:$D$303,MATCH($B129,成本费用登记表!$C$4:$C$303,0)),""))</f>
        <v/>
      </c>
      <c r="I129" s="75" t="str">
        <f t="shared" si="5"/>
        <v/>
      </c>
    </row>
    <row r="130" spans="1:9">
      <c r="A130" s="74" t="str">
        <f t="shared" si="3"/>
        <v/>
      </c>
      <c r="B130" s="75" t="str">
        <f>IFERROR(INDEX(_自动清单!$AD$4:$AD$153,ROW()-3),"")</f>
        <v/>
      </c>
      <c r="C130" s="42" t="str">
        <f>IF($B130="","",COUNTIF(成本费用登记表!$C$4:$C$303,$B130))</f>
        <v/>
      </c>
      <c r="D130" s="76" t="str">
        <f>IF($B130="","",ROUND(SUMIF(成本费用登记表!$C$4:$C$303,$B130,成本费用登记表!$H$4:$H$303),2))</f>
        <v/>
      </c>
      <c r="E130" s="76" t="str">
        <f>IF($B130="","",ROUND(SUMIF(成本费用登记表!$C$4:$C$303,$B130,成本费用登记表!$AA$4:$AA$303),2))</f>
        <v/>
      </c>
      <c r="F130" s="76" t="str">
        <f t="shared" si="4"/>
        <v/>
      </c>
      <c r="G130" s="77" t="str">
        <f>IF(OR($B130="",N($C130)=0),"",IFERROR(INDEX(成本费用登记表!$B$4:$B$303,MATCH($B130,成本费用登记表!$C$4:$C$303,0)),""))</f>
        <v/>
      </c>
      <c r="H130" s="75" t="str">
        <f>IF(OR($B130="",N($C130)=0),"",IFERROR(INDEX(成本费用登记表!$D$4:$D$303,MATCH($B130,成本费用登记表!$C$4:$C$303,0)),""))</f>
        <v/>
      </c>
      <c r="I130" s="75" t="str">
        <f t="shared" si="5"/>
        <v/>
      </c>
    </row>
    <row r="131" spans="1:9">
      <c r="A131" s="74" t="str">
        <f t="shared" si="3"/>
        <v/>
      </c>
      <c r="B131" s="75" t="str">
        <f>IFERROR(INDEX(_自动清单!$AD$4:$AD$153,ROW()-3),"")</f>
        <v/>
      </c>
      <c r="C131" s="42" t="str">
        <f>IF($B131="","",COUNTIF(成本费用登记表!$C$4:$C$303,$B131))</f>
        <v/>
      </c>
      <c r="D131" s="76" t="str">
        <f>IF($B131="","",ROUND(SUMIF(成本费用登记表!$C$4:$C$303,$B131,成本费用登记表!$H$4:$H$303),2))</f>
        <v/>
      </c>
      <c r="E131" s="76" t="str">
        <f>IF($B131="","",ROUND(SUMIF(成本费用登记表!$C$4:$C$303,$B131,成本费用登记表!$AA$4:$AA$303),2))</f>
        <v/>
      </c>
      <c r="F131" s="76" t="str">
        <f t="shared" si="4"/>
        <v/>
      </c>
      <c r="G131" s="77" t="str">
        <f>IF(OR($B131="",N($C131)=0),"",IFERROR(INDEX(成本费用登记表!$B$4:$B$303,MATCH($B131,成本费用登记表!$C$4:$C$303,0)),""))</f>
        <v/>
      </c>
      <c r="H131" s="75" t="str">
        <f>IF(OR($B131="",N($C131)=0),"",IFERROR(INDEX(成本费用登记表!$D$4:$D$303,MATCH($B131,成本费用登记表!$C$4:$C$303,0)),""))</f>
        <v/>
      </c>
      <c r="I131" s="75" t="str">
        <f t="shared" si="5"/>
        <v/>
      </c>
    </row>
    <row r="132" spans="1:9">
      <c r="A132" s="74" t="str">
        <f t="shared" ref="A132:A153" si="6">IF($B132="","",ROW()-3)</f>
        <v/>
      </c>
      <c r="B132" s="75" t="str">
        <f>IFERROR(INDEX(_自动清单!$AD$4:$AD$153,ROW()-3),"")</f>
        <v/>
      </c>
      <c r="C132" s="42" t="str">
        <f>IF($B132="","",COUNTIF(成本费用登记表!$C$4:$C$303,$B132))</f>
        <v/>
      </c>
      <c r="D132" s="76" t="str">
        <f>IF($B132="","",ROUND(SUMIF(成本费用登记表!$C$4:$C$303,$B132,成本费用登记表!$H$4:$H$303),2))</f>
        <v/>
      </c>
      <c r="E132" s="76" t="str">
        <f>IF($B132="","",ROUND(SUMIF(成本费用登记表!$C$4:$C$303,$B132,成本费用登记表!$AA$4:$AA$303),2))</f>
        <v/>
      </c>
      <c r="F132" s="76" t="str">
        <f t="shared" ref="F132:F153" si="7">IF($B132="","",ROUND(N($D132)-N($E132),2))</f>
        <v/>
      </c>
      <c r="G132" s="77" t="str">
        <f>IF(OR($B132="",N($C132)=0),"",IFERROR(INDEX(成本费用登记表!$B$4:$B$303,MATCH($B132,成本费用登记表!$C$4:$C$303,0)),""))</f>
        <v/>
      </c>
      <c r="H132" s="75" t="str">
        <f>IF(OR($B132="",N($C132)=0),"",IFERROR(INDEX(成本费用登记表!$D$4:$D$303,MATCH($B132,成本费用登记表!$C$4:$C$303,0)),""))</f>
        <v/>
      </c>
      <c r="I132" s="75" t="str">
        <f t="shared" ref="I132:I153" si="8">IF($B132="","",IF(N($F132)&gt;0,"⚠ 尚欠 "&amp;TEXT(N($F132),"#,##0.00")&amp;" 元","✔ 已结清"))</f>
        <v/>
      </c>
    </row>
    <row r="133" spans="1:9">
      <c r="A133" s="74" t="str">
        <f t="shared" si="6"/>
        <v/>
      </c>
      <c r="B133" s="75" t="str">
        <f>IFERROR(INDEX(_自动清单!$AD$4:$AD$153,ROW()-3),"")</f>
        <v/>
      </c>
      <c r="C133" s="42" t="str">
        <f>IF($B133="","",COUNTIF(成本费用登记表!$C$4:$C$303,$B133))</f>
        <v/>
      </c>
      <c r="D133" s="76" t="str">
        <f>IF($B133="","",ROUND(SUMIF(成本费用登记表!$C$4:$C$303,$B133,成本费用登记表!$H$4:$H$303),2))</f>
        <v/>
      </c>
      <c r="E133" s="76" t="str">
        <f>IF($B133="","",ROUND(SUMIF(成本费用登记表!$C$4:$C$303,$B133,成本费用登记表!$AA$4:$AA$303),2))</f>
        <v/>
      </c>
      <c r="F133" s="76" t="str">
        <f t="shared" si="7"/>
        <v/>
      </c>
      <c r="G133" s="77" t="str">
        <f>IF(OR($B133="",N($C133)=0),"",IFERROR(INDEX(成本费用登记表!$B$4:$B$303,MATCH($B133,成本费用登记表!$C$4:$C$303,0)),""))</f>
        <v/>
      </c>
      <c r="H133" s="75" t="str">
        <f>IF(OR($B133="",N($C133)=0),"",IFERROR(INDEX(成本费用登记表!$D$4:$D$303,MATCH($B133,成本费用登记表!$C$4:$C$303,0)),""))</f>
        <v/>
      </c>
      <c r="I133" s="75" t="str">
        <f t="shared" si="8"/>
        <v/>
      </c>
    </row>
    <row r="134" spans="1:9">
      <c r="A134" s="74" t="str">
        <f t="shared" si="6"/>
        <v/>
      </c>
      <c r="B134" s="75" t="str">
        <f>IFERROR(INDEX(_自动清单!$AD$4:$AD$153,ROW()-3),"")</f>
        <v/>
      </c>
      <c r="C134" s="42" t="str">
        <f>IF($B134="","",COUNTIF(成本费用登记表!$C$4:$C$303,$B134))</f>
        <v/>
      </c>
      <c r="D134" s="76" t="str">
        <f>IF($B134="","",ROUND(SUMIF(成本费用登记表!$C$4:$C$303,$B134,成本费用登记表!$H$4:$H$303),2))</f>
        <v/>
      </c>
      <c r="E134" s="76" t="str">
        <f>IF($B134="","",ROUND(SUMIF(成本费用登记表!$C$4:$C$303,$B134,成本费用登记表!$AA$4:$AA$303),2))</f>
        <v/>
      </c>
      <c r="F134" s="76" t="str">
        <f t="shared" si="7"/>
        <v/>
      </c>
      <c r="G134" s="77" t="str">
        <f>IF(OR($B134="",N($C134)=0),"",IFERROR(INDEX(成本费用登记表!$B$4:$B$303,MATCH($B134,成本费用登记表!$C$4:$C$303,0)),""))</f>
        <v/>
      </c>
      <c r="H134" s="75" t="str">
        <f>IF(OR($B134="",N($C134)=0),"",IFERROR(INDEX(成本费用登记表!$D$4:$D$303,MATCH($B134,成本费用登记表!$C$4:$C$303,0)),""))</f>
        <v/>
      </c>
      <c r="I134" s="75" t="str">
        <f t="shared" si="8"/>
        <v/>
      </c>
    </row>
    <row r="135" spans="1:9">
      <c r="A135" s="74" t="str">
        <f t="shared" si="6"/>
        <v/>
      </c>
      <c r="B135" s="75" t="str">
        <f>IFERROR(INDEX(_自动清单!$AD$4:$AD$153,ROW()-3),"")</f>
        <v/>
      </c>
      <c r="C135" s="42" t="str">
        <f>IF($B135="","",COUNTIF(成本费用登记表!$C$4:$C$303,$B135))</f>
        <v/>
      </c>
      <c r="D135" s="76" t="str">
        <f>IF($B135="","",ROUND(SUMIF(成本费用登记表!$C$4:$C$303,$B135,成本费用登记表!$H$4:$H$303),2))</f>
        <v/>
      </c>
      <c r="E135" s="76" t="str">
        <f>IF($B135="","",ROUND(SUMIF(成本费用登记表!$C$4:$C$303,$B135,成本费用登记表!$AA$4:$AA$303),2))</f>
        <v/>
      </c>
      <c r="F135" s="76" t="str">
        <f t="shared" si="7"/>
        <v/>
      </c>
      <c r="G135" s="77" t="str">
        <f>IF(OR($B135="",N($C135)=0),"",IFERROR(INDEX(成本费用登记表!$B$4:$B$303,MATCH($B135,成本费用登记表!$C$4:$C$303,0)),""))</f>
        <v/>
      </c>
      <c r="H135" s="75" t="str">
        <f>IF(OR($B135="",N($C135)=0),"",IFERROR(INDEX(成本费用登记表!$D$4:$D$303,MATCH($B135,成本费用登记表!$C$4:$C$303,0)),""))</f>
        <v/>
      </c>
      <c r="I135" s="75" t="str">
        <f t="shared" si="8"/>
        <v/>
      </c>
    </row>
    <row r="136" spans="1:9">
      <c r="A136" s="74" t="str">
        <f t="shared" si="6"/>
        <v/>
      </c>
      <c r="B136" s="75" t="str">
        <f>IFERROR(INDEX(_自动清单!$AD$4:$AD$153,ROW()-3),"")</f>
        <v/>
      </c>
      <c r="C136" s="42" t="str">
        <f>IF($B136="","",COUNTIF(成本费用登记表!$C$4:$C$303,$B136))</f>
        <v/>
      </c>
      <c r="D136" s="76" t="str">
        <f>IF($B136="","",ROUND(SUMIF(成本费用登记表!$C$4:$C$303,$B136,成本费用登记表!$H$4:$H$303),2))</f>
        <v/>
      </c>
      <c r="E136" s="76" t="str">
        <f>IF($B136="","",ROUND(SUMIF(成本费用登记表!$C$4:$C$303,$B136,成本费用登记表!$AA$4:$AA$303),2))</f>
        <v/>
      </c>
      <c r="F136" s="76" t="str">
        <f t="shared" si="7"/>
        <v/>
      </c>
      <c r="G136" s="77" t="str">
        <f>IF(OR($B136="",N($C136)=0),"",IFERROR(INDEX(成本费用登记表!$B$4:$B$303,MATCH($B136,成本费用登记表!$C$4:$C$303,0)),""))</f>
        <v/>
      </c>
      <c r="H136" s="75" t="str">
        <f>IF(OR($B136="",N($C136)=0),"",IFERROR(INDEX(成本费用登记表!$D$4:$D$303,MATCH($B136,成本费用登记表!$C$4:$C$303,0)),""))</f>
        <v/>
      </c>
      <c r="I136" s="75" t="str">
        <f t="shared" si="8"/>
        <v/>
      </c>
    </row>
    <row r="137" spans="1:9">
      <c r="A137" s="74" t="str">
        <f t="shared" si="6"/>
        <v/>
      </c>
      <c r="B137" s="75" t="str">
        <f>IFERROR(INDEX(_自动清单!$AD$4:$AD$153,ROW()-3),"")</f>
        <v/>
      </c>
      <c r="C137" s="42" t="str">
        <f>IF($B137="","",COUNTIF(成本费用登记表!$C$4:$C$303,$B137))</f>
        <v/>
      </c>
      <c r="D137" s="76" t="str">
        <f>IF($B137="","",ROUND(SUMIF(成本费用登记表!$C$4:$C$303,$B137,成本费用登记表!$H$4:$H$303),2))</f>
        <v/>
      </c>
      <c r="E137" s="76" t="str">
        <f>IF($B137="","",ROUND(SUMIF(成本费用登记表!$C$4:$C$303,$B137,成本费用登记表!$AA$4:$AA$303),2))</f>
        <v/>
      </c>
      <c r="F137" s="76" t="str">
        <f t="shared" si="7"/>
        <v/>
      </c>
      <c r="G137" s="77" t="str">
        <f>IF(OR($B137="",N($C137)=0),"",IFERROR(INDEX(成本费用登记表!$B$4:$B$303,MATCH($B137,成本费用登记表!$C$4:$C$303,0)),""))</f>
        <v/>
      </c>
      <c r="H137" s="75" t="str">
        <f>IF(OR($B137="",N($C137)=0),"",IFERROR(INDEX(成本费用登记表!$D$4:$D$303,MATCH($B137,成本费用登记表!$C$4:$C$303,0)),""))</f>
        <v/>
      </c>
      <c r="I137" s="75" t="str">
        <f t="shared" si="8"/>
        <v/>
      </c>
    </row>
    <row r="138" spans="1:9">
      <c r="A138" s="74" t="str">
        <f t="shared" si="6"/>
        <v/>
      </c>
      <c r="B138" s="75" t="str">
        <f>IFERROR(INDEX(_自动清单!$AD$4:$AD$153,ROW()-3),"")</f>
        <v/>
      </c>
      <c r="C138" s="42" t="str">
        <f>IF($B138="","",COUNTIF(成本费用登记表!$C$4:$C$303,$B138))</f>
        <v/>
      </c>
      <c r="D138" s="76" t="str">
        <f>IF($B138="","",ROUND(SUMIF(成本费用登记表!$C$4:$C$303,$B138,成本费用登记表!$H$4:$H$303),2))</f>
        <v/>
      </c>
      <c r="E138" s="76" t="str">
        <f>IF($B138="","",ROUND(SUMIF(成本费用登记表!$C$4:$C$303,$B138,成本费用登记表!$AA$4:$AA$303),2))</f>
        <v/>
      </c>
      <c r="F138" s="76" t="str">
        <f t="shared" si="7"/>
        <v/>
      </c>
      <c r="G138" s="77" t="str">
        <f>IF(OR($B138="",N($C138)=0),"",IFERROR(INDEX(成本费用登记表!$B$4:$B$303,MATCH($B138,成本费用登记表!$C$4:$C$303,0)),""))</f>
        <v/>
      </c>
      <c r="H138" s="75" t="str">
        <f>IF(OR($B138="",N($C138)=0),"",IFERROR(INDEX(成本费用登记表!$D$4:$D$303,MATCH($B138,成本费用登记表!$C$4:$C$303,0)),""))</f>
        <v/>
      </c>
      <c r="I138" s="75" t="str">
        <f t="shared" si="8"/>
        <v/>
      </c>
    </row>
    <row r="139" spans="1:9">
      <c r="A139" s="74" t="str">
        <f t="shared" si="6"/>
        <v/>
      </c>
      <c r="B139" s="75" t="str">
        <f>IFERROR(INDEX(_自动清单!$AD$4:$AD$153,ROW()-3),"")</f>
        <v/>
      </c>
      <c r="C139" s="42" t="str">
        <f>IF($B139="","",COUNTIF(成本费用登记表!$C$4:$C$303,$B139))</f>
        <v/>
      </c>
      <c r="D139" s="76" t="str">
        <f>IF($B139="","",ROUND(SUMIF(成本费用登记表!$C$4:$C$303,$B139,成本费用登记表!$H$4:$H$303),2))</f>
        <v/>
      </c>
      <c r="E139" s="76" t="str">
        <f>IF($B139="","",ROUND(SUMIF(成本费用登记表!$C$4:$C$303,$B139,成本费用登记表!$AA$4:$AA$303),2))</f>
        <v/>
      </c>
      <c r="F139" s="76" t="str">
        <f t="shared" si="7"/>
        <v/>
      </c>
      <c r="G139" s="77" t="str">
        <f>IF(OR($B139="",N($C139)=0),"",IFERROR(INDEX(成本费用登记表!$B$4:$B$303,MATCH($B139,成本费用登记表!$C$4:$C$303,0)),""))</f>
        <v/>
      </c>
      <c r="H139" s="75" t="str">
        <f>IF(OR($B139="",N($C139)=0),"",IFERROR(INDEX(成本费用登记表!$D$4:$D$303,MATCH($B139,成本费用登记表!$C$4:$C$303,0)),""))</f>
        <v/>
      </c>
      <c r="I139" s="75" t="str">
        <f t="shared" si="8"/>
        <v/>
      </c>
    </row>
    <row r="140" spans="1:9">
      <c r="A140" s="74" t="str">
        <f t="shared" si="6"/>
        <v/>
      </c>
      <c r="B140" s="75" t="str">
        <f>IFERROR(INDEX(_自动清单!$AD$4:$AD$153,ROW()-3),"")</f>
        <v/>
      </c>
      <c r="C140" s="42" t="str">
        <f>IF($B140="","",COUNTIF(成本费用登记表!$C$4:$C$303,$B140))</f>
        <v/>
      </c>
      <c r="D140" s="76" t="str">
        <f>IF($B140="","",ROUND(SUMIF(成本费用登记表!$C$4:$C$303,$B140,成本费用登记表!$H$4:$H$303),2))</f>
        <v/>
      </c>
      <c r="E140" s="76" t="str">
        <f>IF($B140="","",ROUND(SUMIF(成本费用登记表!$C$4:$C$303,$B140,成本费用登记表!$AA$4:$AA$303),2))</f>
        <v/>
      </c>
      <c r="F140" s="76" t="str">
        <f t="shared" si="7"/>
        <v/>
      </c>
      <c r="G140" s="77" t="str">
        <f>IF(OR($B140="",N($C140)=0),"",IFERROR(INDEX(成本费用登记表!$B$4:$B$303,MATCH($B140,成本费用登记表!$C$4:$C$303,0)),""))</f>
        <v/>
      </c>
      <c r="H140" s="75" t="str">
        <f>IF(OR($B140="",N($C140)=0),"",IFERROR(INDEX(成本费用登记表!$D$4:$D$303,MATCH($B140,成本费用登记表!$C$4:$C$303,0)),""))</f>
        <v/>
      </c>
      <c r="I140" s="75" t="str">
        <f t="shared" si="8"/>
        <v/>
      </c>
    </row>
    <row r="141" spans="1:9">
      <c r="A141" s="74" t="str">
        <f t="shared" si="6"/>
        <v/>
      </c>
      <c r="B141" s="75" t="str">
        <f>IFERROR(INDEX(_自动清单!$AD$4:$AD$153,ROW()-3),"")</f>
        <v/>
      </c>
      <c r="C141" s="42" t="str">
        <f>IF($B141="","",COUNTIF(成本费用登记表!$C$4:$C$303,$B141))</f>
        <v/>
      </c>
      <c r="D141" s="76" t="str">
        <f>IF($B141="","",ROUND(SUMIF(成本费用登记表!$C$4:$C$303,$B141,成本费用登记表!$H$4:$H$303),2))</f>
        <v/>
      </c>
      <c r="E141" s="76" t="str">
        <f>IF($B141="","",ROUND(SUMIF(成本费用登记表!$C$4:$C$303,$B141,成本费用登记表!$AA$4:$AA$303),2))</f>
        <v/>
      </c>
      <c r="F141" s="76" t="str">
        <f t="shared" si="7"/>
        <v/>
      </c>
      <c r="G141" s="77" t="str">
        <f>IF(OR($B141="",N($C141)=0),"",IFERROR(INDEX(成本费用登记表!$B$4:$B$303,MATCH($B141,成本费用登记表!$C$4:$C$303,0)),""))</f>
        <v/>
      </c>
      <c r="H141" s="75" t="str">
        <f>IF(OR($B141="",N($C141)=0),"",IFERROR(INDEX(成本费用登记表!$D$4:$D$303,MATCH($B141,成本费用登记表!$C$4:$C$303,0)),""))</f>
        <v/>
      </c>
      <c r="I141" s="75" t="str">
        <f t="shared" si="8"/>
        <v/>
      </c>
    </row>
    <row r="142" spans="1:9">
      <c r="A142" s="74" t="str">
        <f t="shared" si="6"/>
        <v/>
      </c>
      <c r="B142" s="75" t="str">
        <f>IFERROR(INDEX(_自动清单!$AD$4:$AD$153,ROW()-3),"")</f>
        <v/>
      </c>
      <c r="C142" s="42" t="str">
        <f>IF($B142="","",COUNTIF(成本费用登记表!$C$4:$C$303,$B142))</f>
        <v/>
      </c>
      <c r="D142" s="76" t="str">
        <f>IF($B142="","",ROUND(SUMIF(成本费用登记表!$C$4:$C$303,$B142,成本费用登记表!$H$4:$H$303),2))</f>
        <v/>
      </c>
      <c r="E142" s="76" t="str">
        <f>IF($B142="","",ROUND(SUMIF(成本费用登记表!$C$4:$C$303,$B142,成本费用登记表!$AA$4:$AA$303),2))</f>
        <v/>
      </c>
      <c r="F142" s="76" t="str">
        <f t="shared" si="7"/>
        <v/>
      </c>
      <c r="G142" s="77" t="str">
        <f>IF(OR($B142="",N($C142)=0),"",IFERROR(INDEX(成本费用登记表!$B$4:$B$303,MATCH($B142,成本费用登记表!$C$4:$C$303,0)),""))</f>
        <v/>
      </c>
      <c r="H142" s="75" t="str">
        <f>IF(OR($B142="",N($C142)=0),"",IFERROR(INDEX(成本费用登记表!$D$4:$D$303,MATCH($B142,成本费用登记表!$C$4:$C$303,0)),""))</f>
        <v/>
      </c>
      <c r="I142" s="75" t="str">
        <f t="shared" si="8"/>
        <v/>
      </c>
    </row>
    <row r="143" spans="1:9">
      <c r="A143" s="74" t="str">
        <f t="shared" si="6"/>
        <v/>
      </c>
      <c r="B143" s="75" t="str">
        <f>IFERROR(INDEX(_自动清单!$AD$4:$AD$153,ROW()-3),"")</f>
        <v/>
      </c>
      <c r="C143" s="42" t="str">
        <f>IF($B143="","",COUNTIF(成本费用登记表!$C$4:$C$303,$B143))</f>
        <v/>
      </c>
      <c r="D143" s="76" t="str">
        <f>IF($B143="","",ROUND(SUMIF(成本费用登记表!$C$4:$C$303,$B143,成本费用登记表!$H$4:$H$303),2))</f>
        <v/>
      </c>
      <c r="E143" s="76" t="str">
        <f>IF($B143="","",ROUND(SUMIF(成本费用登记表!$C$4:$C$303,$B143,成本费用登记表!$AA$4:$AA$303),2))</f>
        <v/>
      </c>
      <c r="F143" s="76" t="str">
        <f t="shared" si="7"/>
        <v/>
      </c>
      <c r="G143" s="77" t="str">
        <f>IF(OR($B143="",N($C143)=0),"",IFERROR(INDEX(成本费用登记表!$B$4:$B$303,MATCH($B143,成本费用登记表!$C$4:$C$303,0)),""))</f>
        <v/>
      </c>
      <c r="H143" s="75" t="str">
        <f>IF(OR($B143="",N($C143)=0),"",IFERROR(INDEX(成本费用登记表!$D$4:$D$303,MATCH($B143,成本费用登记表!$C$4:$C$303,0)),""))</f>
        <v/>
      </c>
      <c r="I143" s="75" t="str">
        <f t="shared" si="8"/>
        <v/>
      </c>
    </row>
    <row r="144" spans="1:9">
      <c r="A144" s="74" t="str">
        <f t="shared" si="6"/>
        <v/>
      </c>
      <c r="B144" s="75" t="str">
        <f>IFERROR(INDEX(_自动清单!$AD$4:$AD$153,ROW()-3),"")</f>
        <v/>
      </c>
      <c r="C144" s="42" t="str">
        <f>IF($B144="","",COUNTIF(成本费用登记表!$C$4:$C$303,$B144))</f>
        <v/>
      </c>
      <c r="D144" s="76" t="str">
        <f>IF($B144="","",ROUND(SUMIF(成本费用登记表!$C$4:$C$303,$B144,成本费用登记表!$H$4:$H$303),2))</f>
        <v/>
      </c>
      <c r="E144" s="76" t="str">
        <f>IF($B144="","",ROUND(SUMIF(成本费用登记表!$C$4:$C$303,$B144,成本费用登记表!$AA$4:$AA$303),2))</f>
        <v/>
      </c>
      <c r="F144" s="76" t="str">
        <f t="shared" si="7"/>
        <v/>
      </c>
      <c r="G144" s="77" t="str">
        <f>IF(OR($B144="",N($C144)=0),"",IFERROR(INDEX(成本费用登记表!$B$4:$B$303,MATCH($B144,成本费用登记表!$C$4:$C$303,0)),""))</f>
        <v/>
      </c>
      <c r="H144" s="75" t="str">
        <f>IF(OR($B144="",N($C144)=0),"",IFERROR(INDEX(成本费用登记表!$D$4:$D$303,MATCH($B144,成本费用登记表!$C$4:$C$303,0)),""))</f>
        <v/>
      </c>
      <c r="I144" s="75" t="str">
        <f t="shared" si="8"/>
        <v/>
      </c>
    </row>
    <row r="145" spans="1:9">
      <c r="A145" s="74" t="str">
        <f t="shared" si="6"/>
        <v/>
      </c>
      <c r="B145" s="75" t="str">
        <f>IFERROR(INDEX(_自动清单!$AD$4:$AD$153,ROW()-3),"")</f>
        <v/>
      </c>
      <c r="C145" s="42" t="str">
        <f>IF($B145="","",COUNTIF(成本费用登记表!$C$4:$C$303,$B145))</f>
        <v/>
      </c>
      <c r="D145" s="76" t="str">
        <f>IF($B145="","",ROUND(SUMIF(成本费用登记表!$C$4:$C$303,$B145,成本费用登记表!$H$4:$H$303),2))</f>
        <v/>
      </c>
      <c r="E145" s="76" t="str">
        <f>IF($B145="","",ROUND(SUMIF(成本费用登记表!$C$4:$C$303,$B145,成本费用登记表!$AA$4:$AA$303),2))</f>
        <v/>
      </c>
      <c r="F145" s="76" t="str">
        <f t="shared" si="7"/>
        <v/>
      </c>
      <c r="G145" s="77" t="str">
        <f>IF(OR($B145="",N($C145)=0),"",IFERROR(INDEX(成本费用登记表!$B$4:$B$303,MATCH($B145,成本费用登记表!$C$4:$C$303,0)),""))</f>
        <v/>
      </c>
      <c r="H145" s="75" t="str">
        <f>IF(OR($B145="",N($C145)=0),"",IFERROR(INDEX(成本费用登记表!$D$4:$D$303,MATCH($B145,成本费用登记表!$C$4:$C$303,0)),""))</f>
        <v/>
      </c>
      <c r="I145" s="75" t="str">
        <f t="shared" si="8"/>
        <v/>
      </c>
    </row>
    <row r="146" spans="1:9">
      <c r="A146" s="74" t="str">
        <f t="shared" si="6"/>
        <v/>
      </c>
      <c r="B146" s="75" t="str">
        <f>IFERROR(INDEX(_自动清单!$AD$4:$AD$153,ROW()-3),"")</f>
        <v/>
      </c>
      <c r="C146" s="42" t="str">
        <f>IF($B146="","",COUNTIF(成本费用登记表!$C$4:$C$303,$B146))</f>
        <v/>
      </c>
      <c r="D146" s="76" t="str">
        <f>IF($B146="","",ROUND(SUMIF(成本费用登记表!$C$4:$C$303,$B146,成本费用登记表!$H$4:$H$303),2))</f>
        <v/>
      </c>
      <c r="E146" s="76" t="str">
        <f>IF($B146="","",ROUND(SUMIF(成本费用登记表!$C$4:$C$303,$B146,成本费用登记表!$AA$4:$AA$303),2))</f>
        <v/>
      </c>
      <c r="F146" s="76" t="str">
        <f t="shared" si="7"/>
        <v/>
      </c>
      <c r="G146" s="77" t="str">
        <f>IF(OR($B146="",N($C146)=0),"",IFERROR(INDEX(成本费用登记表!$B$4:$B$303,MATCH($B146,成本费用登记表!$C$4:$C$303,0)),""))</f>
        <v/>
      </c>
      <c r="H146" s="75" t="str">
        <f>IF(OR($B146="",N($C146)=0),"",IFERROR(INDEX(成本费用登记表!$D$4:$D$303,MATCH($B146,成本费用登记表!$C$4:$C$303,0)),""))</f>
        <v/>
      </c>
      <c r="I146" s="75" t="str">
        <f t="shared" si="8"/>
        <v/>
      </c>
    </row>
    <row r="147" spans="1:9">
      <c r="A147" s="74" t="str">
        <f t="shared" si="6"/>
        <v/>
      </c>
      <c r="B147" s="75" t="str">
        <f>IFERROR(INDEX(_自动清单!$AD$4:$AD$153,ROW()-3),"")</f>
        <v/>
      </c>
      <c r="C147" s="42" t="str">
        <f>IF($B147="","",COUNTIF(成本费用登记表!$C$4:$C$303,$B147))</f>
        <v/>
      </c>
      <c r="D147" s="76" t="str">
        <f>IF($B147="","",ROUND(SUMIF(成本费用登记表!$C$4:$C$303,$B147,成本费用登记表!$H$4:$H$303),2))</f>
        <v/>
      </c>
      <c r="E147" s="76" t="str">
        <f>IF($B147="","",ROUND(SUMIF(成本费用登记表!$C$4:$C$303,$B147,成本费用登记表!$AA$4:$AA$303),2))</f>
        <v/>
      </c>
      <c r="F147" s="76" t="str">
        <f t="shared" si="7"/>
        <v/>
      </c>
      <c r="G147" s="77" t="str">
        <f>IF(OR($B147="",N($C147)=0),"",IFERROR(INDEX(成本费用登记表!$B$4:$B$303,MATCH($B147,成本费用登记表!$C$4:$C$303,0)),""))</f>
        <v/>
      </c>
      <c r="H147" s="75" t="str">
        <f>IF(OR($B147="",N($C147)=0),"",IFERROR(INDEX(成本费用登记表!$D$4:$D$303,MATCH($B147,成本费用登记表!$C$4:$C$303,0)),""))</f>
        <v/>
      </c>
      <c r="I147" s="75" t="str">
        <f t="shared" si="8"/>
        <v/>
      </c>
    </row>
    <row r="148" spans="1:9">
      <c r="A148" s="74" t="str">
        <f t="shared" si="6"/>
        <v/>
      </c>
      <c r="B148" s="75" t="str">
        <f>IFERROR(INDEX(_自动清单!$AD$4:$AD$153,ROW()-3),"")</f>
        <v/>
      </c>
      <c r="C148" s="42" t="str">
        <f>IF($B148="","",COUNTIF(成本费用登记表!$C$4:$C$303,$B148))</f>
        <v/>
      </c>
      <c r="D148" s="76" t="str">
        <f>IF($B148="","",ROUND(SUMIF(成本费用登记表!$C$4:$C$303,$B148,成本费用登记表!$H$4:$H$303),2))</f>
        <v/>
      </c>
      <c r="E148" s="76" t="str">
        <f>IF($B148="","",ROUND(SUMIF(成本费用登记表!$C$4:$C$303,$B148,成本费用登记表!$AA$4:$AA$303),2))</f>
        <v/>
      </c>
      <c r="F148" s="76" t="str">
        <f t="shared" si="7"/>
        <v/>
      </c>
      <c r="G148" s="77" t="str">
        <f>IF(OR($B148="",N($C148)=0),"",IFERROR(INDEX(成本费用登记表!$B$4:$B$303,MATCH($B148,成本费用登记表!$C$4:$C$303,0)),""))</f>
        <v/>
      </c>
      <c r="H148" s="75" t="str">
        <f>IF(OR($B148="",N($C148)=0),"",IFERROR(INDEX(成本费用登记表!$D$4:$D$303,MATCH($B148,成本费用登记表!$C$4:$C$303,0)),""))</f>
        <v/>
      </c>
      <c r="I148" s="75" t="str">
        <f t="shared" si="8"/>
        <v/>
      </c>
    </row>
    <row r="149" spans="1:9">
      <c r="A149" s="74" t="str">
        <f t="shared" si="6"/>
        <v/>
      </c>
      <c r="B149" s="75" t="str">
        <f>IFERROR(INDEX(_自动清单!$AD$4:$AD$153,ROW()-3),"")</f>
        <v/>
      </c>
      <c r="C149" s="42" t="str">
        <f>IF($B149="","",COUNTIF(成本费用登记表!$C$4:$C$303,$B149))</f>
        <v/>
      </c>
      <c r="D149" s="76" t="str">
        <f>IF($B149="","",ROUND(SUMIF(成本费用登记表!$C$4:$C$303,$B149,成本费用登记表!$H$4:$H$303),2))</f>
        <v/>
      </c>
      <c r="E149" s="76" t="str">
        <f>IF($B149="","",ROUND(SUMIF(成本费用登记表!$C$4:$C$303,$B149,成本费用登记表!$AA$4:$AA$303),2))</f>
        <v/>
      </c>
      <c r="F149" s="76" t="str">
        <f t="shared" si="7"/>
        <v/>
      </c>
      <c r="G149" s="77" t="str">
        <f>IF(OR($B149="",N($C149)=0),"",IFERROR(INDEX(成本费用登记表!$B$4:$B$303,MATCH($B149,成本费用登记表!$C$4:$C$303,0)),""))</f>
        <v/>
      </c>
      <c r="H149" s="75" t="str">
        <f>IF(OR($B149="",N($C149)=0),"",IFERROR(INDEX(成本费用登记表!$D$4:$D$303,MATCH($B149,成本费用登记表!$C$4:$C$303,0)),""))</f>
        <v/>
      </c>
      <c r="I149" s="75" t="str">
        <f t="shared" si="8"/>
        <v/>
      </c>
    </row>
    <row r="150" spans="1:9">
      <c r="A150" s="74" t="str">
        <f t="shared" si="6"/>
        <v/>
      </c>
      <c r="B150" s="75" t="str">
        <f>IFERROR(INDEX(_自动清单!$AD$4:$AD$153,ROW()-3),"")</f>
        <v/>
      </c>
      <c r="C150" s="42" t="str">
        <f>IF($B150="","",COUNTIF(成本费用登记表!$C$4:$C$303,$B150))</f>
        <v/>
      </c>
      <c r="D150" s="76" t="str">
        <f>IF($B150="","",ROUND(SUMIF(成本费用登记表!$C$4:$C$303,$B150,成本费用登记表!$H$4:$H$303),2))</f>
        <v/>
      </c>
      <c r="E150" s="76" t="str">
        <f>IF($B150="","",ROUND(SUMIF(成本费用登记表!$C$4:$C$303,$B150,成本费用登记表!$AA$4:$AA$303),2))</f>
        <v/>
      </c>
      <c r="F150" s="76" t="str">
        <f t="shared" si="7"/>
        <v/>
      </c>
      <c r="G150" s="77" t="str">
        <f>IF(OR($B150="",N($C150)=0),"",IFERROR(INDEX(成本费用登记表!$B$4:$B$303,MATCH($B150,成本费用登记表!$C$4:$C$303,0)),""))</f>
        <v/>
      </c>
      <c r="H150" s="75" t="str">
        <f>IF(OR($B150="",N($C150)=0),"",IFERROR(INDEX(成本费用登记表!$D$4:$D$303,MATCH($B150,成本费用登记表!$C$4:$C$303,0)),""))</f>
        <v/>
      </c>
      <c r="I150" s="75" t="str">
        <f t="shared" si="8"/>
        <v/>
      </c>
    </row>
    <row r="151" spans="1:9">
      <c r="A151" s="74" t="str">
        <f t="shared" si="6"/>
        <v/>
      </c>
      <c r="B151" s="75" t="str">
        <f>IFERROR(INDEX(_自动清单!$AD$4:$AD$153,ROW()-3),"")</f>
        <v/>
      </c>
      <c r="C151" s="42" t="str">
        <f>IF($B151="","",COUNTIF(成本费用登记表!$C$4:$C$303,$B151))</f>
        <v/>
      </c>
      <c r="D151" s="76" t="str">
        <f>IF($B151="","",ROUND(SUMIF(成本费用登记表!$C$4:$C$303,$B151,成本费用登记表!$H$4:$H$303),2))</f>
        <v/>
      </c>
      <c r="E151" s="76" t="str">
        <f>IF($B151="","",ROUND(SUMIF(成本费用登记表!$C$4:$C$303,$B151,成本费用登记表!$AA$4:$AA$303),2))</f>
        <v/>
      </c>
      <c r="F151" s="76" t="str">
        <f t="shared" si="7"/>
        <v/>
      </c>
      <c r="G151" s="77" t="str">
        <f>IF(OR($B151="",N($C151)=0),"",IFERROR(INDEX(成本费用登记表!$B$4:$B$303,MATCH($B151,成本费用登记表!$C$4:$C$303,0)),""))</f>
        <v/>
      </c>
      <c r="H151" s="75" t="str">
        <f>IF(OR($B151="",N($C151)=0),"",IFERROR(INDEX(成本费用登记表!$D$4:$D$303,MATCH($B151,成本费用登记表!$C$4:$C$303,0)),""))</f>
        <v/>
      </c>
      <c r="I151" s="75" t="str">
        <f t="shared" si="8"/>
        <v/>
      </c>
    </row>
    <row r="152" spans="1:9">
      <c r="A152" s="74" t="str">
        <f t="shared" si="6"/>
        <v/>
      </c>
      <c r="B152" s="75" t="str">
        <f>IFERROR(INDEX(_自动清单!$AD$4:$AD$153,ROW()-3),"")</f>
        <v/>
      </c>
      <c r="C152" s="42" t="str">
        <f>IF($B152="","",COUNTIF(成本费用登记表!$C$4:$C$303,$B152))</f>
        <v/>
      </c>
      <c r="D152" s="76" t="str">
        <f>IF($B152="","",ROUND(SUMIF(成本费用登记表!$C$4:$C$303,$B152,成本费用登记表!$H$4:$H$303),2))</f>
        <v/>
      </c>
      <c r="E152" s="76" t="str">
        <f>IF($B152="","",ROUND(SUMIF(成本费用登记表!$C$4:$C$303,$B152,成本费用登记表!$AA$4:$AA$303),2))</f>
        <v/>
      </c>
      <c r="F152" s="76" t="str">
        <f t="shared" si="7"/>
        <v/>
      </c>
      <c r="G152" s="77" t="str">
        <f>IF(OR($B152="",N($C152)=0),"",IFERROR(INDEX(成本费用登记表!$B$4:$B$303,MATCH($B152,成本费用登记表!$C$4:$C$303,0)),""))</f>
        <v/>
      </c>
      <c r="H152" s="75" t="str">
        <f>IF(OR($B152="",N($C152)=0),"",IFERROR(INDEX(成本费用登记表!$D$4:$D$303,MATCH($B152,成本费用登记表!$C$4:$C$303,0)),""))</f>
        <v/>
      </c>
      <c r="I152" s="75" t="str">
        <f t="shared" si="8"/>
        <v/>
      </c>
    </row>
    <row r="153" spans="1:9">
      <c r="A153" s="74" t="str">
        <f t="shared" si="6"/>
        <v/>
      </c>
      <c r="B153" s="75" t="str">
        <f>IFERROR(INDEX(_自动清单!$AD$4:$AD$153,ROW()-3),"")</f>
        <v/>
      </c>
      <c r="C153" s="42" t="str">
        <f>IF($B153="","",COUNTIF(成本费用登记表!$C$4:$C$303,$B153))</f>
        <v/>
      </c>
      <c r="D153" s="76" t="str">
        <f>IF($B153="","",ROUND(SUMIF(成本费用登记表!$C$4:$C$303,$B153,成本费用登记表!$H$4:$H$303),2))</f>
        <v/>
      </c>
      <c r="E153" s="76" t="str">
        <f>IF($B153="","",ROUND(SUMIF(成本费用登记表!$C$4:$C$303,$B153,成本费用登记表!$AA$4:$AA$303),2))</f>
        <v/>
      </c>
      <c r="F153" s="76" t="str">
        <f t="shared" si="7"/>
        <v/>
      </c>
      <c r="G153" s="77" t="str">
        <f>IF(OR($B153="",N($C153)=0),"",IFERROR(INDEX(成本费用登记表!$B$4:$B$303,MATCH($B153,成本费用登记表!$C$4:$C$303,0)),""))</f>
        <v/>
      </c>
      <c r="H153" s="75" t="str">
        <f>IF(OR($B153="",N($C153)=0),"",IFERROR(INDEX(成本费用登记表!$D$4:$D$303,MATCH($B153,成本费用登记表!$C$4:$C$303,0)),""))</f>
        <v/>
      </c>
      <c r="I153" s="75" t="str">
        <f t="shared" si="8"/>
        <v/>
      </c>
    </row>
    <row r="154" spans="1:9">
      <c r="A154" s="78"/>
      <c r="B154" s="79" t="s">
        <v>220</v>
      </c>
      <c r="C154" s="80">
        <f>ROUND(SUM(C4:C153),2)</f>
        <v>0</v>
      </c>
      <c r="D154" s="81">
        <f>ROUND(SUM(D4:D153),2)</f>
        <v>0</v>
      </c>
      <c r="E154" s="81">
        <f>ROUND(SUM(E4:E153),2)</f>
        <v>0</v>
      </c>
      <c r="F154" s="81">
        <f>ROUND(SUM(F4:F153),2)</f>
        <v>0</v>
      </c>
      <c r="G154" s="78"/>
      <c r="H154" s="78"/>
      <c r="I154" s="78"/>
    </row>
  </sheetData>
  <mergeCells count="2">
    <mergeCell ref="A1:I1"/>
    <mergeCell ref="A2:I2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C70"/>
    <pageSetUpPr fitToPage="1"/>
  </sheetPr>
  <dimension ref="A1:R309"/>
  <sheetViews>
    <sheetView showGridLines="0" workbookViewId="0">
      <pane ySplit="5" topLeftCell="A6" activePane="bottomLeft" state="frozen"/>
      <selection/>
      <selection pane="bottomLeft" activeCell="G10" sqref="G10"/>
    </sheetView>
  </sheetViews>
  <sheetFormatPr defaultColWidth="9" defaultRowHeight="13.5"/>
  <cols>
    <col min="1" max="1" width="13" customWidth="1"/>
    <col min="2" max="2" width="25" customWidth="1"/>
    <col min="3" max="3" width="9" customWidth="1"/>
    <col min="4" max="4" width="12" customWidth="1"/>
    <col min="5" max="5" width="11" customWidth="1"/>
    <col min="6" max="6" width="15" customWidth="1"/>
    <col min="7" max="7" width="13" customWidth="1"/>
    <col min="8" max="8" width="23" customWidth="1"/>
  </cols>
  <sheetData>
    <row r="1" ht="54" customHeight="1" spans="1:18">
      <c r="A1" s="33" t="s">
        <v>675</v>
      </c>
      <c r="G1" s="34" t="s">
        <v>676</v>
      </c>
      <c r="H1" s="35"/>
      <c r="R1" s="3" t="str">
        <f>IF(ROUND(N($F$58),2)=0,"零元整",IF(ROUND(N($F$58),2)&lt;0,"负","")&amp;SUBSTITUTE(SUBSTITUTE(TEXT(INT(ABS(ROUND(N($F$58),2))),"[DBNum2]G/通用格式")&amp;"元"&amp;TEXT(RIGHT(TEXT(ABS(ROUND(N($F$58),2)),"0.00"),2),"[DBNum2]0角0分"),"零角",IF(ABS(ROUND(N($F$58),2))&lt;1,"","零")),"零分","整"))</f>
        <v>零元整</v>
      </c>
    </row>
    <row r="2" ht="24" customHeight="1" spans="1:18">
      <c r="A2" s="36" t="s">
        <v>677</v>
      </c>
      <c r="B2" s="37" t="s">
        <v>678</v>
      </c>
      <c r="C2" s="38"/>
      <c r="D2" s="39"/>
      <c r="E2" s="40" t="s">
        <v>679</v>
      </c>
      <c r="F2" s="7"/>
      <c r="G2" s="40" t="s">
        <v>680</v>
      </c>
      <c r="H2" s="7"/>
    </row>
    <row r="3" ht="24" customHeight="1" spans="1:18">
      <c r="A3" s="36" t="s">
        <v>681</v>
      </c>
      <c r="B3" s="41" t="str">
        <f>IF($B$2="","","按项目汇总，共 "&amp;N(_自动清单!$J$1)&amp;" 行")</f>
        <v>按项目汇总，共 0 行</v>
      </c>
      <c r="C3" s="38"/>
      <c r="D3" s="39"/>
      <c r="E3" s="40" t="s">
        <v>682</v>
      </c>
      <c r="F3" s="42">
        <f>N(_自动清单!$J$1)</f>
        <v>0</v>
      </c>
      <c r="G3" s="40" t="s">
        <v>683</v>
      </c>
      <c r="H3" s="43" t="s">
        <v>684</v>
      </c>
    </row>
    <row r="4" ht="24" customHeight="1" spans="1:18">
      <c r="A4" s="36" t="s">
        <v>685</v>
      </c>
      <c r="B4" s="44"/>
      <c r="C4" s="38"/>
      <c r="D4" s="39"/>
      <c r="E4" s="40" t="s">
        <v>686</v>
      </c>
      <c r="F4" s="45" t="s">
        <v>687</v>
      </c>
      <c r="G4" s="46"/>
      <c r="H4" s="38"/>
    </row>
    <row r="5" ht="26" customHeight="1" spans="1:18">
      <c r="A5" s="47" t="s">
        <v>688</v>
      </c>
      <c r="B5" s="47" t="s">
        <v>689</v>
      </c>
      <c r="C5" s="47" t="s">
        <v>690</v>
      </c>
      <c r="D5" s="47" t="s">
        <v>691</v>
      </c>
      <c r="E5" s="47" t="s">
        <v>692</v>
      </c>
      <c r="F5" s="47" t="s">
        <v>232</v>
      </c>
      <c r="G5" s="47" t="s">
        <v>628</v>
      </c>
      <c r="H5" s="47" t="s">
        <v>693</v>
      </c>
    </row>
    <row r="6" ht="19" customHeight="1" spans="1:18">
      <c r="A6" s="48" t="str">
        <f>IFERROR(INDEX(_自动清单!$I$4:$I$910,MATCH(ROW()-5,_自动清单!$H$4:$H$910,0)),"")</f>
        <v/>
      </c>
      <c r="B6" s="49" t="str">
        <f>IFERROR(INDEX(_自动清单!$J$4:$J$910,MATCH(ROW()-5,_自动清单!$H$4:$H$910,0)),"")</f>
        <v/>
      </c>
      <c r="C6" s="50" t="str">
        <f>IFERROR(INDEX(_自动清单!$K$4:$K$910,MATCH(ROW()-5,_自动清单!$H$4:$H$910,0)),"")</f>
        <v/>
      </c>
      <c r="D6" s="51" t="str">
        <f>IFERROR(INDEX(_自动清单!$L$4:$L$910,MATCH(ROW()-5,_自动清单!$H$4:$H$910,0)),"")</f>
        <v/>
      </c>
      <c r="E6" s="52" t="str">
        <f>IFERROR(INDEX(_自动清单!$M$4:$M$910,MATCH(ROW()-5,_自动清单!$H$4:$H$910,0)),"")</f>
        <v/>
      </c>
      <c r="F6" s="52" t="str">
        <f>IFERROR(INDEX(_自动清单!$N$4:$N$910,MATCH(ROW()-5,_自动清单!$H$4:$H$910,0)),"")</f>
        <v/>
      </c>
      <c r="G6" s="52" t="str">
        <f>IFERROR(INDEX(_自动清单!$O$4:$O$910,MATCH(ROW()-5,_自动清单!$H$4:$H$910,0)),"")</f>
        <v/>
      </c>
      <c r="H6" s="49" t="str">
        <f>IFERROR(INDEX(_自动清单!$P$4:$P$910,MATCH(ROW()-5,_自动清单!$H$4:$H$910,0)),"")</f>
        <v/>
      </c>
    </row>
    <row r="7" ht="19" customHeight="1" spans="1:18">
      <c r="A7" s="48" t="str">
        <f>IFERROR(INDEX(_自动清单!$I$4:$I$910,MATCH(ROW()-5,_自动清单!$H$4:$H$910,0)),"")</f>
        <v/>
      </c>
      <c r="B7" s="49" t="str">
        <f>IFERROR(INDEX(_自动清单!$J$4:$J$910,MATCH(ROW()-5,_自动清单!$H$4:$H$910,0)),"")</f>
        <v/>
      </c>
      <c r="C7" s="50" t="str">
        <f>IFERROR(INDEX(_自动清单!$K$4:$K$910,MATCH(ROW()-5,_自动清单!$H$4:$H$910,0)),"")</f>
        <v/>
      </c>
      <c r="D7" s="51" t="str">
        <f>IFERROR(INDEX(_自动清单!$L$4:$L$910,MATCH(ROW()-5,_自动清单!$H$4:$H$910,0)),"")</f>
        <v/>
      </c>
      <c r="E7" s="52" t="str">
        <f>IFERROR(INDEX(_自动清单!$M$4:$M$910,MATCH(ROW()-5,_自动清单!$H$4:$H$910,0)),"")</f>
        <v/>
      </c>
      <c r="F7" s="52" t="str">
        <f>IFERROR(INDEX(_自动清单!$N$4:$N$910,MATCH(ROW()-5,_自动清单!$H$4:$H$910,0)),"")</f>
        <v/>
      </c>
      <c r="G7" s="52" t="str">
        <f>IFERROR(INDEX(_自动清单!$O$4:$O$910,MATCH(ROW()-5,_自动清单!$H$4:$H$910,0)),"")</f>
        <v/>
      </c>
      <c r="H7" s="49" t="str">
        <f>IFERROR(INDEX(_自动清单!$P$4:$P$910,MATCH(ROW()-5,_自动清单!$H$4:$H$910,0)),"")</f>
        <v/>
      </c>
    </row>
    <row r="8" ht="19" customHeight="1" spans="1:18">
      <c r="A8" s="48" t="str">
        <f>IFERROR(INDEX(_自动清单!$I$4:$I$910,MATCH(ROW()-5,_自动清单!$H$4:$H$910,0)),"")</f>
        <v/>
      </c>
      <c r="B8" s="49" t="str">
        <f>IFERROR(INDEX(_自动清单!$J$4:$J$910,MATCH(ROW()-5,_自动清单!$H$4:$H$910,0)),"")</f>
        <v/>
      </c>
      <c r="C8" s="50" t="str">
        <f>IFERROR(INDEX(_自动清单!$K$4:$K$910,MATCH(ROW()-5,_自动清单!$H$4:$H$910,0)),"")</f>
        <v/>
      </c>
      <c r="D8" s="51" t="str">
        <f>IFERROR(INDEX(_自动清单!$L$4:$L$910,MATCH(ROW()-5,_自动清单!$H$4:$H$910,0)),"")</f>
        <v/>
      </c>
      <c r="E8" s="52" t="str">
        <f>IFERROR(INDEX(_自动清单!$M$4:$M$910,MATCH(ROW()-5,_自动清单!$H$4:$H$910,0)),"")</f>
        <v/>
      </c>
      <c r="F8" s="52" t="str">
        <f>IFERROR(INDEX(_自动清单!$N$4:$N$910,MATCH(ROW()-5,_自动清单!$H$4:$H$910,0)),"")</f>
        <v/>
      </c>
      <c r="G8" s="52" t="str">
        <f>IFERROR(INDEX(_自动清单!$O$4:$O$910,MATCH(ROW()-5,_自动清单!$H$4:$H$910,0)),"")</f>
        <v/>
      </c>
      <c r="H8" s="49" t="str">
        <f>IFERROR(INDEX(_自动清单!$P$4:$P$910,MATCH(ROW()-5,_自动清单!$H$4:$H$910,0)),"")</f>
        <v/>
      </c>
    </row>
    <row r="9" ht="19" customHeight="1" spans="1:18">
      <c r="A9" s="48" t="str">
        <f>IFERROR(INDEX(_自动清单!$I$4:$I$910,MATCH(ROW()-5,_自动清单!$H$4:$H$910,0)),"")</f>
        <v/>
      </c>
      <c r="B9" s="49" t="str">
        <f>IFERROR(INDEX(_自动清单!$J$4:$J$910,MATCH(ROW()-5,_自动清单!$H$4:$H$910,0)),"")</f>
        <v/>
      </c>
      <c r="C9" s="50" t="str">
        <f>IFERROR(INDEX(_自动清单!$K$4:$K$910,MATCH(ROW()-5,_自动清单!$H$4:$H$910,0)),"")</f>
        <v/>
      </c>
      <c r="D9" s="51" t="str">
        <f>IFERROR(INDEX(_自动清单!$L$4:$L$910,MATCH(ROW()-5,_自动清单!$H$4:$H$910,0)),"")</f>
        <v/>
      </c>
      <c r="E9" s="52" t="str">
        <f>IFERROR(INDEX(_自动清单!$M$4:$M$910,MATCH(ROW()-5,_自动清单!$H$4:$H$910,0)),"")</f>
        <v/>
      </c>
      <c r="F9" s="52" t="str">
        <f>IFERROR(INDEX(_自动清单!$N$4:$N$910,MATCH(ROW()-5,_自动清单!$H$4:$H$910,0)),"")</f>
        <v/>
      </c>
      <c r="G9" s="52" t="str">
        <f>IFERROR(INDEX(_自动清单!$O$4:$O$910,MATCH(ROW()-5,_自动清单!$H$4:$H$910,0)),"")</f>
        <v/>
      </c>
      <c r="H9" s="49" t="str">
        <f>IFERROR(INDEX(_自动清单!$P$4:$P$910,MATCH(ROW()-5,_自动清单!$H$4:$H$910,0)),"")</f>
        <v/>
      </c>
    </row>
    <row r="10" ht="19" customHeight="1" spans="1:18">
      <c r="A10" s="48" t="str">
        <f>IFERROR(INDEX(_自动清单!$I$4:$I$910,MATCH(ROW()-5,_自动清单!$H$4:$H$910,0)),"")</f>
        <v/>
      </c>
      <c r="B10" s="49" t="str">
        <f>IFERROR(INDEX(_自动清单!$J$4:$J$910,MATCH(ROW()-5,_自动清单!$H$4:$H$910,0)),"")</f>
        <v/>
      </c>
      <c r="C10" s="50" t="str">
        <f>IFERROR(INDEX(_自动清单!$K$4:$K$910,MATCH(ROW()-5,_自动清单!$H$4:$H$910,0)),"")</f>
        <v/>
      </c>
      <c r="D10" s="51" t="str">
        <f>IFERROR(INDEX(_自动清单!$L$4:$L$910,MATCH(ROW()-5,_自动清单!$H$4:$H$910,0)),"")</f>
        <v/>
      </c>
      <c r="E10" s="52" t="str">
        <f>IFERROR(INDEX(_自动清单!$M$4:$M$910,MATCH(ROW()-5,_自动清单!$H$4:$H$910,0)),"")</f>
        <v/>
      </c>
      <c r="F10" s="52" t="str">
        <f>IFERROR(INDEX(_自动清单!$N$4:$N$910,MATCH(ROW()-5,_自动清单!$H$4:$H$910,0)),"")</f>
        <v/>
      </c>
      <c r="G10" s="52" t="str">
        <f>IFERROR(INDEX(_自动清单!$O$4:$O$910,MATCH(ROW()-5,_自动清单!$H$4:$H$910,0)),"")</f>
        <v/>
      </c>
      <c r="H10" s="49" t="str">
        <f>IFERROR(INDEX(_自动清单!$P$4:$P$910,MATCH(ROW()-5,_自动清单!$H$4:$H$910,0)),"")</f>
        <v/>
      </c>
    </row>
    <row r="11" ht="19" customHeight="1" spans="1:18">
      <c r="A11" s="48" t="str">
        <f>IFERROR(INDEX(_自动清单!$I$4:$I$910,MATCH(ROW()-5,_自动清单!$H$4:$H$910,0)),"")</f>
        <v/>
      </c>
      <c r="B11" s="49" t="str">
        <f>IFERROR(INDEX(_自动清单!$J$4:$J$910,MATCH(ROW()-5,_自动清单!$H$4:$H$910,0)),"")</f>
        <v/>
      </c>
      <c r="C11" s="50" t="str">
        <f>IFERROR(INDEX(_自动清单!$K$4:$K$910,MATCH(ROW()-5,_自动清单!$H$4:$H$910,0)),"")</f>
        <v/>
      </c>
      <c r="D11" s="51" t="str">
        <f>IFERROR(INDEX(_自动清单!$L$4:$L$910,MATCH(ROW()-5,_自动清单!$H$4:$H$910,0)),"")</f>
        <v/>
      </c>
      <c r="E11" s="52" t="str">
        <f>IFERROR(INDEX(_自动清单!$M$4:$M$910,MATCH(ROW()-5,_自动清单!$H$4:$H$910,0)),"")</f>
        <v/>
      </c>
      <c r="F11" s="52" t="str">
        <f>IFERROR(INDEX(_自动清单!$N$4:$N$910,MATCH(ROW()-5,_自动清单!$H$4:$H$910,0)),"")</f>
        <v/>
      </c>
      <c r="G11" s="52" t="str">
        <f>IFERROR(INDEX(_自动清单!$O$4:$O$910,MATCH(ROW()-5,_自动清单!$H$4:$H$910,0)),"")</f>
        <v/>
      </c>
      <c r="H11" s="49" t="str">
        <f>IFERROR(INDEX(_自动清单!$P$4:$P$910,MATCH(ROW()-5,_自动清单!$H$4:$H$910,0)),"")</f>
        <v/>
      </c>
    </row>
    <row r="12" ht="19" customHeight="1" spans="1:18">
      <c r="A12" s="48" t="str">
        <f>IFERROR(INDEX(_自动清单!$I$4:$I$910,MATCH(ROW()-5,_自动清单!$H$4:$H$910,0)),"")</f>
        <v/>
      </c>
      <c r="B12" s="49" t="str">
        <f>IFERROR(INDEX(_自动清单!$J$4:$J$910,MATCH(ROW()-5,_自动清单!$H$4:$H$910,0)),"")</f>
        <v/>
      </c>
      <c r="C12" s="50" t="str">
        <f>IFERROR(INDEX(_自动清单!$K$4:$K$910,MATCH(ROW()-5,_自动清单!$H$4:$H$910,0)),"")</f>
        <v/>
      </c>
      <c r="D12" s="51" t="str">
        <f>IFERROR(INDEX(_自动清单!$L$4:$L$910,MATCH(ROW()-5,_自动清单!$H$4:$H$910,0)),"")</f>
        <v/>
      </c>
      <c r="E12" s="52" t="str">
        <f>IFERROR(INDEX(_自动清单!$M$4:$M$910,MATCH(ROW()-5,_自动清单!$H$4:$H$910,0)),"")</f>
        <v/>
      </c>
      <c r="F12" s="52" t="str">
        <f>IFERROR(INDEX(_自动清单!$N$4:$N$910,MATCH(ROW()-5,_自动清单!$H$4:$H$910,0)),"")</f>
        <v/>
      </c>
      <c r="G12" s="52" t="str">
        <f>IFERROR(INDEX(_自动清单!$O$4:$O$910,MATCH(ROW()-5,_自动清单!$H$4:$H$910,0)),"")</f>
        <v/>
      </c>
      <c r="H12" s="49" t="str">
        <f>IFERROR(INDEX(_自动清单!$P$4:$P$910,MATCH(ROW()-5,_自动清单!$H$4:$H$910,0)),"")</f>
        <v/>
      </c>
    </row>
    <row r="13" ht="19" customHeight="1" spans="1:18">
      <c r="A13" s="48" t="str">
        <f>IFERROR(INDEX(_自动清单!$I$4:$I$910,MATCH(ROW()-5,_自动清单!$H$4:$H$910,0)),"")</f>
        <v/>
      </c>
      <c r="B13" s="49" t="str">
        <f>IFERROR(INDEX(_自动清单!$J$4:$J$910,MATCH(ROW()-5,_自动清单!$H$4:$H$910,0)),"")</f>
        <v/>
      </c>
      <c r="C13" s="50" t="str">
        <f>IFERROR(INDEX(_自动清单!$K$4:$K$910,MATCH(ROW()-5,_自动清单!$H$4:$H$910,0)),"")</f>
        <v/>
      </c>
      <c r="D13" s="51" t="str">
        <f>IFERROR(INDEX(_自动清单!$L$4:$L$910,MATCH(ROW()-5,_自动清单!$H$4:$H$910,0)),"")</f>
        <v/>
      </c>
      <c r="E13" s="52" t="str">
        <f>IFERROR(INDEX(_自动清单!$M$4:$M$910,MATCH(ROW()-5,_自动清单!$H$4:$H$910,0)),"")</f>
        <v/>
      </c>
      <c r="F13" s="52" t="str">
        <f>IFERROR(INDEX(_自动清单!$N$4:$N$910,MATCH(ROW()-5,_自动清单!$H$4:$H$910,0)),"")</f>
        <v/>
      </c>
      <c r="G13" s="52" t="str">
        <f>IFERROR(INDEX(_自动清单!$O$4:$O$910,MATCH(ROW()-5,_自动清单!$H$4:$H$910,0)),"")</f>
        <v/>
      </c>
      <c r="H13" s="49" t="str">
        <f>IFERROR(INDEX(_自动清单!$P$4:$P$910,MATCH(ROW()-5,_自动清单!$H$4:$H$910,0)),"")</f>
        <v/>
      </c>
    </row>
    <row r="14" ht="19" customHeight="1" spans="1:18">
      <c r="A14" s="48" t="str">
        <f>IFERROR(INDEX(_自动清单!$I$4:$I$910,MATCH(ROW()-5,_自动清单!$H$4:$H$910,0)),"")</f>
        <v/>
      </c>
      <c r="B14" s="49" t="str">
        <f>IFERROR(INDEX(_自动清单!$J$4:$J$910,MATCH(ROW()-5,_自动清单!$H$4:$H$910,0)),"")</f>
        <v/>
      </c>
      <c r="C14" s="50" t="str">
        <f>IFERROR(INDEX(_自动清单!$K$4:$K$910,MATCH(ROW()-5,_自动清单!$H$4:$H$910,0)),"")</f>
        <v/>
      </c>
      <c r="D14" s="51" t="str">
        <f>IFERROR(INDEX(_自动清单!$L$4:$L$910,MATCH(ROW()-5,_自动清单!$H$4:$H$910,0)),"")</f>
        <v/>
      </c>
      <c r="E14" s="52" t="str">
        <f>IFERROR(INDEX(_自动清单!$M$4:$M$910,MATCH(ROW()-5,_自动清单!$H$4:$H$910,0)),"")</f>
        <v/>
      </c>
      <c r="F14" s="52" t="str">
        <f>IFERROR(INDEX(_自动清单!$N$4:$N$910,MATCH(ROW()-5,_自动清单!$H$4:$H$910,0)),"")</f>
        <v/>
      </c>
      <c r="G14" s="52" t="str">
        <f>IFERROR(INDEX(_自动清单!$O$4:$O$910,MATCH(ROW()-5,_自动清单!$H$4:$H$910,0)),"")</f>
        <v/>
      </c>
      <c r="H14" s="49" t="str">
        <f>IFERROR(INDEX(_自动清单!$P$4:$P$910,MATCH(ROW()-5,_自动清单!$H$4:$H$910,0)),"")</f>
        <v/>
      </c>
    </row>
    <row r="15" ht="19" customHeight="1" spans="1:18">
      <c r="A15" s="48" t="str">
        <f>IFERROR(INDEX(_自动清单!$I$4:$I$910,MATCH(ROW()-5,_自动清单!$H$4:$H$910,0)),"")</f>
        <v/>
      </c>
      <c r="B15" s="49" t="str">
        <f>IFERROR(INDEX(_自动清单!$J$4:$J$910,MATCH(ROW()-5,_自动清单!$H$4:$H$910,0)),"")</f>
        <v/>
      </c>
      <c r="C15" s="50" t="str">
        <f>IFERROR(INDEX(_自动清单!$K$4:$K$910,MATCH(ROW()-5,_自动清单!$H$4:$H$910,0)),"")</f>
        <v/>
      </c>
      <c r="D15" s="51" t="str">
        <f>IFERROR(INDEX(_自动清单!$L$4:$L$910,MATCH(ROW()-5,_自动清单!$H$4:$H$910,0)),"")</f>
        <v/>
      </c>
      <c r="E15" s="52" t="str">
        <f>IFERROR(INDEX(_自动清单!$M$4:$M$910,MATCH(ROW()-5,_自动清单!$H$4:$H$910,0)),"")</f>
        <v/>
      </c>
      <c r="F15" s="52" t="str">
        <f>IFERROR(INDEX(_自动清单!$N$4:$N$910,MATCH(ROW()-5,_自动清单!$H$4:$H$910,0)),"")</f>
        <v/>
      </c>
      <c r="G15" s="52" t="str">
        <f>IFERROR(INDEX(_自动清单!$O$4:$O$910,MATCH(ROW()-5,_自动清单!$H$4:$H$910,0)),"")</f>
        <v/>
      </c>
      <c r="H15" s="49" t="str">
        <f>IFERROR(INDEX(_自动清单!$P$4:$P$910,MATCH(ROW()-5,_自动清单!$H$4:$H$910,0)),"")</f>
        <v/>
      </c>
    </row>
    <row r="16" ht="19" customHeight="1" spans="1:18">
      <c r="A16" s="48" t="str">
        <f>IFERROR(INDEX(_自动清单!$I$4:$I$910,MATCH(ROW()-5,_自动清单!$H$4:$H$910,0)),"")</f>
        <v/>
      </c>
      <c r="B16" s="49" t="str">
        <f>IFERROR(INDEX(_自动清单!$J$4:$J$910,MATCH(ROW()-5,_自动清单!$H$4:$H$910,0)),"")</f>
        <v/>
      </c>
      <c r="C16" s="50" t="str">
        <f>IFERROR(INDEX(_自动清单!$K$4:$K$910,MATCH(ROW()-5,_自动清单!$H$4:$H$910,0)),"")</f>
        <v/>
      </c>
      <c r="D16" s="51" t="str">
        <f>IFERROR(INDEX(_自动清单!$L$4:$L$910,MATCH(ROW()-5,_自动清单!$H$4:$H$910,0)),"")</f>
        <v/>
      </c>
      <c r="E16" s="52" t="str">
        <f>IFERROR(INDEX(_自动清单!$M$4:$M$910,MATCH(ROW()-5,_自动清单!$H$4:$H$910,0)),"")</f>
        <v/>
      </c>
      <c r="F16" s="52" t="str">
        <f>IFERROR(INDEX(_自动清单!$N$4:$N$910,MATCH(ROW()-5,_自动清单!$H$4:$H$910,0)),"")</f>
        <v/>
      </c>
      <c r="G16" s="52" t="str">
        <f>IFERROR(INDEX(_自动清单!$O$4:$O$910,MATCH(ROW()-5,_自动清单!$H$4:$H$910,0)),"")</f>
        <v/>
      </c>
      <c r="H16" s="49" t="str">
        <f>IFERROR(INDEX(_自动清单!$P$4:$P$910,MATCH(ROW()-5,_自动清单!$H$4:$H$910,0)),"")</f>
        <v/>
      </c>
    </row>
    <row r="17" ht="19" customHeight="1" spans="1:8">
      <c r="A17" s="48" t="str">
        <f>IFERROR(INDEX(_自动清单!$I$4:$I$910,MATCH(ROW()-5,_自动清单!$H$4:$H$910,0)),"")</f>
        <v/>
      </c>
      <c r="B17" s="49" t="str">
        <f>IFERROR(INDEX(_自动清单!$J$4:$J$910,MATCH(ROW()-5,_自动清单!$H$4:$H$910,0)),"")</f>
        <v/>
      </c>
      <c r="C17" s="50" t="str">
        <f>IFERROR(INDEX(_自动清单!$K$4:$K$910,MATCH(ROW()-5,_自动清单!$H$4:$H$910,0)),"")</f>
        <v/>
      </c>
      <c r="D17" s="51" t="str">
        <f>IFERROR(INDEX(_自动清单!$L$4:$L$910,MATCH(ROW()-5,_自动清单!$H$4:$H$910,0)),"")</f>
        <v/>
      </c>
      <c r="E17" s="52" t="str">
        <f>IFERROR(INDEX(_自动清单!$M$4:$M$910,MATCH(ROW()-5,_自动清单!$H$4:$H$910,0)),"")</f>
        <v/>
      </c>
      <c r="F17" s="52" t="str">
        <f>IFERROR(INDEX(_自动清单!$N$4:$N$910,MATCH(ROW()-5,_自动清单!$H$4:$H$910,0)),"")</f>
        <v/>
      </c>
      <c r="G17" s="52" t="str">
        <f>IFERROR(INDEX(_自动清单!$O$4:$O$910,MATCH(ROW()-5,_自动清单!$H$4:$H$910,0)),"")</f>
        <v/>
      </c>
      <c r="H17" s="49" t="str">
        <f>IFERROR(INDEX(_自动清单!$P$4:$P$910,MATCH(ROW()-5,_自动清单!$H$4:$H$910,0)),"")</f>
        <v/>
      </c>
    </row>
    <row r="18" ht="19" customHeight="1" spans="1:8">
      <c r="A18" s="48" t="str">
        <f>IFERROR(INDEX(_自动清单!$I$4:$I$910,MATCH(ROW()-5,_自动清单!$H$4:$H$910,0)),"")</f>
        <v/>
      </c>
      <c r="B18" s="49" t="str">
        <f>IFERROR(INDEX(_自动清单!$J$4:$J$910,MATCH(ROW()-5,_自动清单!$H$4:$H$910,0)),"")</f>
        <v/>
      </c>
      <c r="C18" s="50" t="str">
        <f>IFERROR(INDEX(_自动清单!$K$4:$K$910,MATCH(ROW()-5,_自动清单!$H$4:$H$910,0)),"")</f>
        <v/>
      </c>
      <c r="D18" s="51" t="str">
        <f>IFERROR(INDEX(_自动清单!$L$4:$L$910,MATCH(ROW()-5,_自动清单!$H$4:$H$910,0)),"")</f>
        <v/>
      </c>
      <c r="E18" s="52" t="str">
        <f>IFERROR(INDEX(_自动清单!$M$4:$M$910,MATCH(ROW()-5,_自动清单!$H$4:$H$910,0)),"")</f>
        <v/>
      </c>
      <c r="F18" s="52" t="str">
        <f>IFERROR(INDEX(_自动清单!$N$4:$N$910,MATCH(ROW()-5,_自动清单!$H$4:$H$910,0)),"")</f>
        <v/>
      </c>
      <c r="G18" s="52" t="str">
        <f>IFERROR(INDEX(_自动清单!$O$4:$O$910,MATCH(ROW()-5,_自动清单!$H$4:$H$910,0)),"")</f>
        <v/>
      </c>
      <c r="H18" s="49" t="str">
        <f>IFERROR(INDEX(_自动清单!$P$4:$P$910,MATCH(ROW()-5,_自动清单!$H$4:$H$910,0)),"")</f>
        <v/>
      </c>
    </row>
    <row r="19" ht="19" customHeight="1" spans="1:8">
      <c r="A19" s="48" t="str">
        <f>IFERROR(INDEX(_自动清单!$I$4:$I$910,MATCH(ROW()-5,_自动清单!$H$4:$H$910,0)),"")</f>
        <v/>
      </c>
      <c r="B19" s="49" t="str">
        <f>IFERROR(INDEX(_自动清单!$J$4:$J$910,MATCH(ROW()-5,_自动清单!$H$4:$H$910,0)),"")</f>
        <v/>
      </c>
      <c r="C19" s="50" t="str">
        <f>IFERROR(INDEX(_自动清单!$K$4:$K$910,MATCH(ROW()-5,_自动清单!$H$4:$H$910,0)),"")</f>
        <v/>
      </c>
      <c r="D19" s="51" t="str">
        <f>IFERROR(INDEX(_自动清单!$L$4:$L$910,MATCH(ROW()-5,_自动清单!$H$4:$H$910,0)),"")</f>
        <v/>
      </c>
      <c r="E19" s="52" t="str">
        <f>IFERROR(INDEX(_自动清单!$M$4:$M$910,MATCH(ROW()-5,_自动清单!$H$4:$H$910,0)),"")</f>
        <v/>
      </c>
      <c r="F19" s="52" t="str">
        <f>IFERROR(INDEX(_自动清单!$N$4:$N$910,MATCH(ROW()-5,_自动清单!$H$4:$H$910,0)),"")</f>
        <v/>
      </c>
      <c r="G19" s="52" t="str">
        <f>IFERROR(INDEX(_自动清单!$O$4:$O$910,MATCH(ROW()-5,_自动清单!$H$4:$H$910,0)),"")</f>
        <v/>
      </c>
      <c r="H19" s="49" t="str">
        <f>IFERROR(INDEX(_自动清单!$P$4:$P$910,MATCH(ROW()-5,_自动清单!$H$4:$H$910,0)),"")</f>
        <v/>
      </c>
    </row>
    <row r="20" ht="19" customHeight="1" spans="1:8">
      <c r="A20" s="48" t="str">
        <f>IFERROR(INDEX(_自动清单!$I$4:$I$910,MATCH(ROW()-5,_自动清单!$H$4:$H$910,0)),"")</f>
        <v/>
      </c>
      <c r="B20" s="49" t="str">
        <f>IFERROR(INDEX(_自动清单!$J$4:$J$910,MATCH(ROW()-5,_自动清单!$H$4:$H$910,0)),"")</f>
        <v/>
      </c>
      <c r="C20" s="50" t="str">
        <f>IFERROR(INDEX(_自动清单!$K$4:$K$910,MATCH(ROW()-5,_自动清单!$H$4:$H$910,0)),"")</f>
        <v/>
      </c>
      <c r="D20" s="51" t="str">
        <f>IFERROR(INDEX(_自动清单!$L$4:$L$910,MATCH(ROW()-5,_自动清单!$H$4:$H$910,0)),"")</f>
        <v/>
      </c>
      <c r="E20" s="52" t="str">
        <f>IFERROR(INDEX(_自动清单!$M$4:$M$910,MATCH(ROW()-5,_自动清单!$H$4:$H$910,0)),"")</f>
        <v/>
      </c>
      <c r="F20" s="52" t="str">
        <f>IFERROR(INDEX(_自动清单!$N$4:$N$910,MATCH(ROW()-5,_自动清单!$H$4:$H$910,0)),"")</f>
        <v/>
      </c>
      <c r="G20" s="52" t="str">
        <f>IFERROR(INDEX(_自动清单!$O$4:$O$910,MATCH(ROW()-5,_自动清单!$H$4:$H$910,0)),"")</f>
        <v/>
      </c>
      <c r="H20" s="49" t="str">
        <f>IFERROR(INDEX(_自动清单!$P$4:$P$910,MATCH(ROW()-5,_自动清单!$H$4:$H$910,0)),"")</f>
        <v/>
      </c>
    </row>
    <row r="21" ht="19" customHeight="1" spans="1:8">
      <c r="A21" s="48" t="str">
        <f>IFERROR(INDEX(_自动清单!$I$4:$I$910,MATCH(ROW()-5,_自动清单!$H$4:$H$910,0)),"")</f>
        <v/>
      </c>
      <c r="B21" s="49" t="str">
        <f>IFERROR(INDEX(_自动清单!$J$4:$J$910,MATCH(ROW()-5,_自动清单!$H$4:$H$910,0)),"")</f>
        <v/>
      </c>
      <c r="C21" s="50" t="str">
        <f>IFERROR(INDEX(_自动清单!$K$4:$K$910,MATCH(ROW()-5,_自动清单!$H$4:$H$910,0)),"")</f>
        <v/>
      </c>
      <c r="D21" s="51" t="str">
        <f>IFERROR(INDEX(_自动清单!$L$4:$L$910,MATCH(ROW()-5,_自动清单!$H$4:$H$910,0)),"")</f>
        <v/>
      </c>
      <c r="E21" s="52" t="str">
        <f>IFERROR(INDEX(_自动清单!$M$4:$M$910,MATCH(ROW()-5,_自动清单!$H$4:$H$910,0)),"")</f>
        <v/>
      </c>
      <c r="F21" s="52" t="str">
        <f>IFERROR(INDEX(_自动清单!$N$4:$N$910,MATCH(ROW()-5,_自动清单!$H$4:$H$910,0)),"")</f>
        <v/>
      </c>
      <c r="G21" s="52" t="str">
        <f>IFERROR(INDEX(_自动清单!$O$4:$O$910,MATCH(ROW()-5,_自动清单!$H$4:$H$910,0)),"")</f>
        <v/>
      </c>
      <c r="H21" s="49" t="str">
        <f>IFERROR(INDEX(_自动清单!$P$4:$P$910,MATCH(ROW()-5,_自动清单!$H$4:$H$910,0)),"")</f>
        <v/>
      </c>
    </row>
    <row r="22" ht="19" customHeight="1" spans="1:8">
      <c r="A22" s="48" t="str">
        <f>IFERROR(INDEX(_自动清单!$I$4:$I$910,MATCH(ROW()-5,_自动清单!$H$4:$H$910,0)),"")</f>
        <v/>
      </c>
      <c r="B22" s="49" t="str">
        <f>IFERROR(INDEX(_自动清单!$J$4:$J$910,MATCH(ROW()-5,_自动清单!$H$4:$H$910,0)),"")</f>
        <v/>
      </c>
      <c r="C22" s="50" t="str">
        <f>IFERROR(INDEX(_自动清单!$K$4:$K$910,MATCH(ROW()-5,_自动清单!$H$4:$H$910,0)),"")</f>
        <v/>
      </c>
      <c r="D22" s="51" t="str">
        <f>IFERROR(INDEX(_自动清单!$L$4:$L$910,MATCH(ROW()-5,_自动清单!$H$4:$H$910,0)),"")</f>
        <v/>
      </c>
      <c r="E22" s="52" t="str">
        <f>IFERROR(INDEX(_自动清单!$M$4:$M$910,MATCH(ROW()-5,_自动清单!$H$4:$H$910,0)),"")</f>
        <v/>
      </c>
      <c r="F22" s="52" t="str">
        <f>IFERROR(INDEX(_自动清单!$N$4:$N$910,MATCH(ROW()-5,_自动清单!$H$4:$H$910,0)),"")</f>
        <v/>
      </c>
      <c r="G22" s="52" t="str">
        <f>IFERROR(INDEX(_自动清单!$O$4:$O$910,MATCH(ROW()-5,_自动清单!$H$4:$H$910,0)),"")</f>
        <v/>
      </c>
      <c r="H22" s="49" t="str">
        <f>IFERROR(INDEX(_自动清单!$P$4:$P$910,MATCH(ROW()-5,_自动清单!$H$4:$H$910,0)),"")</f>
        <v/>
      </c>
    </row>
    <row r="23" ht="19" customHeight="1" spans="1:8">
      <c r="A23" s="48" t="str">
        <f>IFERROR(INDEX(_自动清单!$I$4:$I$910,MATCH(ROW()-5,_自动清单!$H$4:$H$910,0)),"")</f>
        <v/>
      </c>
      <c r="B23" s="49" t="str">
        <f>IFERROR(INDEX(_自动清单!$J$4:$J$910,MATCH(ROW()-5,_自动清单!$H$4:$H$910,0)),"")</f>
        <v/>
      </c>
      <c r="C23" s="50" t="str">
        <f>IFERROR(INDEX(_自动清单!$K$4:$K$910,MATCH(ROW()-5,_自动清单!$H$4:$H$910,0)),"")</f>
        <v/>
      </c>
      <c r="D23" s="51" t="str">
        <f>IFERROR(INDEX(_自动清单!$L$4:$L$910,MATCH(ROW()-5,_自动清单!$H$4:$H$910,0)),"")</f>
        <v/>
      </c>
      <c r="E23" s="52" t="str">
        <f>IFERROR(INDEX(_自动清单!$M$4:$M$910,MATCH(ROW()-5,_自动清单!$H$4:$H$910,0)),"")</f>
        <v/>
      </c>
      <c r="F23" s="52" t="str">
        <f>IFERROR(INDEX(_自动清单!$N$4:$N$910,MATCH(ROW()-5,_自动清单!$H$4:$H$910,0)),"")</f>
        <v/>
      </c>
      <c r="G23" s="52" t="str">
        <f>IFERROR(INDEX(_自动清单!$O$4:$O$910,MATCH(ROW()-5,_自动清单!$H$4:$H$910,0)),"")</f>
        <v/>
      </c>
      <c r="H23" s="49" t="str">
        <f>IFERROR(INDEX(_自动清单!$P$4:$P$910,MATCH(ROW()-5,_自动清单!$H$4:$H$910,0)),"")</f>
        <v/>
      </c>
    </row>
    <row r="24" ht="19" customHeight="1" spans="1:8">
      <c r="A24" s="48" t="str">
        <f>IFERROR(INDEX(_自动清单!$I$4:$I$910,MATCH(ROW()-5,_自动清单!$H$4:$H$910,0)),"")</f>
        <v/>
      </c>
      <c r="B24" s="49" t="str">
        <f>IFERROR(INDEX(_自动清单!$J$4:$J$910,MATCH(ROW()-5,_自动清单!$H$4:$H$910,0)),"")</f>
        <v/>
      </c>
      <c r="C24" s="50" t="str">
        <f>IFERROR(INDEX(_自动清单!$K$4:$K$910,MATCH(ROW()-5,_自动清单!$H$4:$H$910,0)),"")</f>
        <v/>
      </c>
      <c r="D24" s="51" t="str">
        <f>IFERROR(INDEX(_自动清单!$L$4:$L$910,MATCH(ROW()-5,_自动清单!$H$4:$H$910,0)),"")</f>
        <v/>
      </c>
      <c r="E24" s="52" t="str">
        <f>IFERROR(INDEX(_自动清单!$M$4:$M$910,MATCH(ROW()-5,_自动清单!$H$4:$H$910,0)),"")</f>
        <v/>
      </c>
      <c r="F24" s="52" t="str">
        <f>IFERROR(INDEX(_自动清单!$N$4:$N$910,MATCH(ROW()-5,_自动清单!$H$4:$H$910,0)),"")</f>
        <v/>
      </c>
      <c r="G24" s="52" t="str">
        <f>IFERROR(INDEX(_自动清单!$O$4:$O$910,MATCH(ROW()-5,_自动清单!$H$4:$H$910,0)),"")</f>
        <v/>
      </c>
      <c r="H24" s="49" t="str">
        <f>IFERROR(INDEX(_自动清单!$P$4:$P$910,MATCH(ROW()-5,_自动清单!$H$4:$H$910,0)),"")</f>
        <v/>
      </c>
    </row>
    <row r="25" ht="19" customHeight="1" spans="1:8">
      <c r="A25" s="48" t="str">
        <f>IFERROR(INDEX(_自动清单!$I$4:$I$910,MATCH(ROW()-5,_自动清单!$H$4:$H$910,0)),"")</f>
        <v/>
      </c>
      <c r="B25" s="49" t="str">
        <f>IFERROR(INDEX(_自动清单!$J$4:$J$910,MATCH(ROW()-5,_自动清单!$H$4:$H$910,0)),"")</f>
        <v/>
      </c>
      <c r="C25" s="50" t="str">
        <f>IFERROR(INDEX(_自动清单!$K$4:$K$910,MATCH(ROW()-5,_自动清单!$H$4:$H$910,0)),"")</f>
        <v/>
      </c>
      <c r="D25" s="51" t="str">
        <f>IFERROR(INDEX(_自动清单!$L$4:$L$910,MATCH(ROW()-5,_自动清单!$H$4:$H$910,0)),"")</f>
        <v/>
      </c>
      <c r="E25" s="52" t="str">
        <f>IFERROR(INDEX(_自动清单!$M$4:$M$910,MATCH(ROW()-5,_自动清单!$H$4:$H$910,0)),"")</f>
        <v/>
      </c>
      <c r="F25" s="52" t="str">
        <f>IFERROR(INDEX(_自动清单!$N$4:$N$910,MATCH(ROW()-5,_自动清单!$H$4:$H$910,0)),"")</f>
        <v/>
      </c>
      <c r="G25" s="52" t="str">
        <f>IFERROR(INDEX(_自动清单!$O$4:$O$910,MATCH(ROW()-5,_自动清单!$H$4:$H$910,0)),"")</f>
        <v/>
      </c>
      <c r="H25" s="49" t="str">
        <f>IFERROR(INDEX(_自动清单!$P$4:$P$910,MATCH(ROW()-5,_自动清单!$H$4:$H$910,0)),"")</f>
        <v/>
      </c>
    </row>
    <row r="26" ht="19" customHeight="1" spans="1:8">
      <c r="A26" s="48" t="str">
        <f>IFERROR(INDEX(_自动清单!$I$4:$I$910,MATCH(ROW()-5,_自动清单!$H$4:$H$910,0)),"")</f>
        <v/>
      </c>
      <c r="B26" s="49" t="str">
        <f>IFERROR(INDEX(_自动清单!$J$4:$J$910,MATCH(ROW()-5,_自动清单!$H$4:$H$910,0)),"")</f>
        <v/>
      </c>
      <c r="C26" s="50" t="str">
        <f>IFERROR(INDEX(_自动清单!$K$4:$K$910,MATCH(ROW()-5,_自动清单!$H$4:$H$910,0)),"")</f>
        <v/>
      </c>
      <c r="D26" s="51" t="str">
        <f>IFERROR(INDEX(_自动清单!$L$4:$L$910,MATCH(ROW()-5,_自动清单!$H$4:$H$910,0)),"")</f>
        <v/>
      </c>
      <c r="E26" s="52" t="str">
        <f>IFERROR(INDEX(_自动清单!$M$4:$M$910,MATCH(ROW()-5,_自动清单!$H$4:$H$910,0)),"")</f>
        <v/>
      </c>
      <c r="F26" s="52" t="str">
        <f>IFERROR(INDEX(_自动清单!$N$4:$N$910,MATCH(ROW()-5,_自动清单!$H$4:$H$910,0)),"")</f>
        <v/>
      </c>
      <c r="G26" s="52" t="str">
        <f>IFERROR(INDEX(_自动清单!$O$4:$O$910,MATCH(ROW()-5,_自动清单!$H$4:$H$910,0)),"")</f>
        <v/>
      </c>
      <c r="H26" s="49" t="str">
        <f>IFERROR(INDEX(_自动清单!$P$4:$P$910,MATCH(ROW()-5,_自动清单!$H$4:$H$910,0)),"")</f>
        <v/>
      </c>
    </row>
    <row r="27" ht="19" customHeight="1" spans="1:8">
      <c r="A27" s="48" t="str">
        <f>IFERROR(INDEX(_自动清单!$I$4:$I$910,MATCH(ROW()-5,_自动清单!$H$4:$H$910,0)),"")</f>
        <v/>
      </c>
      <c r="B27" s="49" t="str">
        <f>IFERROR(INDEX(_自动清单!$J$4:$J$910,MATCH(ROW()-5,_自动清单!$H$4:$H$910,0)),"")</f>
        <v/>
      </c>
      <c r="C27" s="50" t="str">
        <f>IFERROR(INDEX(_自动清单!$K$4:$K$910,MATCH(ROW()-5,_自动清单!$H$4:$H$910,0)),"")</f>
        <v/>
      </c>
      <c r="D27" s="51" t="str">
        <f>IFERROR(INDEX(_自动清单!$L$4:$L$910,MATCH(ROW()-5,_自动清单!$H$4:$H$910,0)),"")</f>
        <v/>
      </c>
      <c r="E27" s="52" t="str">
        <f>IFERROR(INDEX(_自动清单!$M$4:$M$910,MATCH(ROW()-5,_自动清单!$H$4:$H$910,0)),"")</f>
        <v/>
      </c>
      <c r="F27" s="52" t="str">
        <f>IFERROR(INDEX(_自动清单!$N$4:$N$910,MATCH(ROW()-5,_自动清单!$H$4:$H$910,0)),"")</f>
        <v/>
      </c>
      <c r="G27" s="52" t="str">
        <f>IFERROR(INDEX(_自动清单!$O$4:$O$910,MATCH(ROW()-5,_自动清单!$H$4:$H$910,0)),"")</f>
        <v/>
      </c>
      <c r="H27" s="49" t="str">
        <f>IFERROR(INDEX(_自动清单!$P$4:$P$910,MATCH(ROW()-5,_自动清单!$H$4:$H$910,0)),"")</f>
        <v/>
      </c>
    </row>
    <row r="28" ht="19" customHeight="1" spans="1:8">
      <c r="A28" s="48" t="str">
        <f>IFERROR(INDEX(_自动清单!$I$4:$I$910,MATCH(ROW()-5,_自动清单!$H$4:$H$910,0)),"")</f>
        <v/>
      </c>
      <c r="B28" s="49" t="str">
        <f>IFERROR(INDEX(_自动清单!$J$4:$J$910,MATCH(ROW()-5,_自动清单!$H$4:$H$910,0)),"")</f>
        <v/>
      </c>
      <c r="C28" s="50" t="str">
        <f>IFERROR(INDEX(_自动清单!$K$4:$K$910,MATCH(ROW()-5,_自动清单!$H$4:$H$910,0)),"")</f>
        <v/>
      </c>
      <c r="D28" s="51" t="str">
        <f>IFERROR(INDEX(_自动清单!$L$4:$L$910,MATCH(ROW()-5,_自动清单!$H$4:$H$910,0)),"")</f>
        <v/>
      </c>
      <c r="E28" s="52" t="str">
        <f>IFERROR(INDEX(_自动清单!$M$4:$M$910,MATCH(ROW()-5,_自动清单!$H$4:$H$910,0)),"")</f>
        <v/>
      </c>
      <c r="F28" s="52" t="str">
        <f>IFERROR(INDEX(_自动清单!$N$4:$N$910,MATCH(ROW()-5,_自动清单!$H$4:$H$910,0)),"")</f>
        <v/>
      </c>
      <c r="G28" s="52" t="str">
        <f>IFERROR(INDEX(_自动清单!$O$4:$O$910,MATCH(ROW()-5,_自动清单!$H$4:$H$910,0)),"")</f>
        <v/>
      </c>
      <c r="H28" s="49" t="str">
        <f>IFERROR(INDEX(_自动清单!$P$4:$P$910,MATCH(ROW()-5,_自动清单!$H$4:$H$910,0)),"")</f>
        <v/>
      </c>
    </row>
    <row r="29" ht="19" customHeight="1" spans="1:8">
      <c r="A29" s="48" t="str">
        <f>IFERROR(INDEX(_自动清单!$I$4:$I$910,MATCH(ROW()-5,_自动清单!$H$4:$H$910,0)),"")</f>
        <v/>
      </c>
      <c r="B29" s="49" t="str">
        <f>IFERROR(INDEX(_自动清单!$J$4:$J$910,MATCH(ROW()-5,_自动清单!$H$4:$H$910,0)),"")</f>
        <v/>
      </c>
      <c r="C29" s="50" t="str">
        <f>IFERROR(INDEX(_自动清单!$K$4:$K$910,MATCH(ROW()-5,_自动清单!$H$4:$H$910,0)),"")</f>
        <v/>
      </c>
      <c r="D29" s="51" t="str">
        <f>IFERROR(INDEX(_自动清单!$L$4:$L$910,MATCH(ROW()-5,_自动清单!$H$4:$H$910,0)),"")</f>
        <v/>
      </c>
      <c r="E29" s="52" t="str">
        <f>IFERROR(INDEX(_自动清单!$M$4:$M$910,MATCH(ROW()-5,_自动清单!$H$4:$H$910,0)),"")</f>
        <v/>
      </c>
      <c r="F29" s="52" t="str">
        <f>IFERROR(INDEX(_自动清单!$N$4:$N$910,MATCH(ROW()-5,_自动清单!$H$4:$H$910,0)),"")</f>
        <v/>
      </c>
      <c r="G29" s="52" t="str">
        <f>IFERROR(INDEX(_自动清单!$O$4:$O$910,MATCH(ROW()-5,_自动清单!$H$4:$H$910,0)),"")</f>
        <v/>
      </c>
      <c r="H29" s="49" t="str">
        <f>IFERROR(INDEX(_自动清单!$P$4:$P$910,MATCH(ROW()-5,_自动清单!$H$4:$H$910,0)),"")</f>
        <v/>
      </c>
    </row>
    <row r="30" ht="19" customHeight="1" spans="1:8">
      <c r="A30" s="48" t="str">
        <f>IFERROR(INDEX(_自动清单!$I$4:$I$910,MATCH(ROW()-5,_自动清单!$H$4:$H$910,0)),"")</f>
        <v/>
      </c>
      <c r="B30" s="49" t="str">
        <f>IFERROR(INDEX(_自动清单!$J$4:$J$910,MATCH(ROW()-5,_自动清单!$H$4:$H$910,0)),"")</f>
        <v/>
      </c>
      <c r="C30" s="50" t="str">
        <f>IFERROR(INDEX(_自动清单!$K$4:$K$910,MATCH(ROW()-5,_自动清单!$H$4:$H$910,0)),"")</f>
        <v/>
      </c>
      <c r="D30" s="51" t="str">
        <f>IFERROR(INDEX(_自动清单!$L$4:$L$910,MATCH(ROW()-5,_自动清单!$H$4:$H$910,0)),"")</f>
        <v/>
      </c>
      <c r="E30" s="52" t="str">
        <f>IFERROR(INDEX(_自动清单!$M$4:$M$910,MATCH(ROW()-5,_自动清单!$H$4:$H$910,0)),"")</f>
        <v/>
      </c>
      <c r="F30" s="52" t="str">
        <f>IFERROR(INDEX(_自动清单!$N$4:$N$910,MATCH(ROW()-5,_自动清单!$H$4:$H$910,0)),"")</f>
        <v/>
      </c>
      <c r="G30" s="52" t="str">
        <f>IFERROR(INDEX(_自动清单!$O$4:$O$910,MATCH(ROW()-5,_自动清单!$H$4:$H$910,0)),"")</f>
        <v/>
      </c>
      <c r="H30" s="49" t="str">
        <f>IFERROR(INDEX(_自动清单!$P$4:$P$910,MATCH(ROW()-5,_自动清单!$H$4:$H$910,0)),"")</f>
        <v/>
      </c>
    </row>
    <row r="31" ht="19" customHeight="1" spans="1:8">
      <c r="A31" s="48" t="str">
        <f>IFERROR(INDEX(_自动清单!$I$4:$I$910,MATCH(ROW()-5,_自动清单!$H$4:$H$910,0)),"")</f>
        <v/>
      </c>
      <c r="B31" s="49" t="str">
        <f>IFERROR(INDEX(_自动清单!$J$4:$J$910,MATCH(ROW()-5,_自动清单!$H$4:$H$910,0)),"")</f>
        <v/>
      </c>
      <c r="C31" s="50" t="str">
        <f>IFERROR(INDEX(_自动清单!$K$4:$K$910,MATCH(ROW()-5,_自动清单!$H$4:$H$910,0)),"")</f>
        <v/>
      </c>
      <c r="D31" s="51" t="str">
        <f>IFERROR(INDEX(_自动清单!$L$4:$L$910,MATCH(ROW()-5,_自动清单!$H$4:$H$910,0)),"")</f>
        <v/>
      </c>
      <c r="E31" s="52" t="str">
        <f>IFERROR(INDEX(_自动清单!$M$4:$M$910,MATCH(ROW()-5,_自动清单!$H$4:$H$910,0)),"")</f>
        <v/>
      </c>
      <c r="F31" s="52" t="str">
        <f>IFERROR(INDEX(_自动清单!$N$4:$N$910,MATCH(ROW()-5,_自动清单!$H$4:$H$910,0)),"")</f>
        <v/>
      </c>
      <c r="G31" s="52" t="str">
        <f>IFERROR(INDEX(_自动清单!$O$4:$O$910,MATCH(ROW()-5,_自动清单!$H$4:$H$910,0)),"")</f>
        <v/>
      </c>
      <c r="H31" s="49" t="str">
        <f>IFERROR(INDEX(_自动清单!$P$4:$P$910,MATCH(ROW()-5,_自动清单!$H$4:$H$910,0)),"")</f>
        <v/>
      </c>
    </row>
    <row r="32" ht="19" customHeight="1" spans="1:8">
      <c r="A32" s="48" t="str">
        <f>IFERROR(INDEX(_自动清单!$I$4:$I$910,MATCH(ROW()-5,_自动清单!$H$4:$H$910,0)),"")</f>
        <v/>
      </c>
      <c r="B32" s="49" t="str">
        <f>IFERROR(INDEX(_自动清单!$J$4:$J$910,MATCH(ROW()-5,_自动清单!$H$4:$H$910,0)),"")</f>
        <v/>
      </c>
      <c r="C32" s="50" t="str">
        <f>IFERROR(INDEX(_自动清单!$K$4:$K$910,MATCH(ROW()-5,_自动清单!$H$4:$H$910,0)),"")</f>
        <v/>
      </c>
      <c r="D32" s="51" t="str">
        <f>IFERROR(INDEX(_自动清单!$L$4:$L$910,MATCH(ROW()-5,_自动清单!$H$4:$H$910,0)),"")</f>
        <v/>
      </c>
      <c r="E32" s="52" t="str">
        <f>IFERROR(INDEX(_自动清单!$M$4:$M$910,MATCH(ROW()-5,_自动清单!$H$4:$H$910,0)),"")</f>
        <v/>
      </c>
      <c r="F32" s="52" t="str">
        <f>IFERROR(INDEX(_自动清单!$N$4:$N$910,MATCH(ROW()-5,_自动清单!$H$4:$H$910,0)),"")</f>
        <v/>
      </c>
      <c r="G32" s="52" t="str">
        <f>IFERROR(INDEX(_自动清单!$O$4:$O$910,MATCH(ROW()-5,_自动清单!$H$4:$H$910,0)),"")</f>
        <v/>
      </c>
      <c r="H32" s="49" t="str">
        <f>IFERROR(INDEX(_自动清单!$P$4:$P$910,MATCH(ROW()-5,_自动清单!$H$4:$H$910,0)),"")</f>
        <v/>
      </c>
    </row>
    <row r="33" ht="19" customHeight="1" spans="1:8">
      <c r="A33" s="48" t="str">
        <f>IFERROR(INDEX(_自动清单!$I$4:$I$910,MATCH(ROW()-5,_自动清单!$H$4:$H$910,0)),"")</f>
        <v/>
      </c>
      <c r="B33" s="49" t="str">
        <f>IFERROR(INDEX(_自动清单!$J$4:$J$910,MATCH(ROW()-5,_自动清单!$H$4:$H$910,0)),"")</f>
        <v/>
      </c>
      <c r="C33" s="50" t="str">
        <f>IFERROR(INDEX(_自动清单!$K$4:$K$910,MATCH(ROW()-5,_自动清单!$H$4:$H$910,0)),"")</f>
        <v/>
      </c>
      <c r="D33" s="51" t="str">
        <f>IFERROR(INDEX(_自动清单!$L$4:$L$910,MATCH(ROW()-5,_自动清单!$H$4:$H$910,0)),"")</f>
        <v/>
      </c>
      <c r="E33" s="52" t="str">
        <f>IFERROR(INDEX(_自动清单!$M$4:$M$910,MATCH(ROW()-5,_自动清单!$H$4:$H$910,0)),"")</f>
        <v/>
      </c>
      <c r="F33" s="52" t="str">
        <f>IFERROR(INDEX(_自动清单!$N$4:$N$910,MATCH(ROW()-5,_自动清单!$H$4:$H$910,0)),"")</f>
        <v/>
      </c>
      <c r="G33" s="52" t="str">
        <f>IFERROR(INDEX(_自动清单!$O$4:$O$910,MATCH(ROW()-5,_自动清单!$H$4:$H$910,0)),"")</f>
        <v/>
      </c>
      <c r="H33" s="49" t="str">
        <f>IFERROR(INDEX(_自动清单!$P$4:$P$910,MATCH(ROW()-5,_自动清单!$H$4:$H$910,0)),"")</f>
        <v/>
      </c>
    </row>
    <row r="34" ht="19" customHeight="1" spans="1:8">
      <c r="A34" s="48" t="str">
        <f>IFERROR(INDEX(_自动清单!$I$4:$I$910,MATCH(ROW()-5,_自动清单!$H$4:$H$910,0)),"")</f>
        <v/>
      </c>
      <c r="B34" s="49" t="str">
        <f>IFERROR(INDEX(_自动清单!$J$4:$J$910,MATCH(ROW()-5,_自动清单!$H$4:$H$910,0)),"")</f>
        <v/>
      </c>
      <c r="C34" s="50" t="str">
        <f>IFERROR(INDEX(_自动清单!$K$4:$K$910,MATCH(ROW()-5,_自动清单!$H$4:$H$910,0)),"")</f>
        <v/>
      </c>
      <c r="D34" s="51" t="str">
        <f>IFERROR(INDEX(_自动清单!$L$4:$L$910,MATCH(ROW()-5,_自动清单!$H$4:$H$910,0)),"")</f>
        <v/>
      </c>
      <c r="E34" s="52" t="str">
        <f>IFERROR(INDEX(_自动清单!$M$4:$M$910,MATCH(ROW()-5,_自动清单!$H$4:$H$910,0)),"")</f>
        <v/>
      </c>
      <c r="F34" s="52" t="str">
        <f>IFERROR(INDEX(_自动清单!$N$4:$N$910,MATCH(ROW()-5,_自动清单!$H$4:$H$910,0)),"")</f>
        <v/>
      </c>
      <c r="G34" s="52" t="str">
        <f>IFERROR(INDEX(_自动清单!$O$4:$O$910,MATCH(ROW()-5,_自动清单!$H$4:$H$910,0)),"")</f>
        <v/>
      </c>
      <c r="H34" s="49" t="str">
        <f>IFERROR(INDEX(_自动清单!$P$4:$P$910,MATCH(ROW()-5,_自动清单!$H$4:$H$910,0)),"")</f>
        <v/>
      </c>
    </row>
    <row r="35" ht="19" customHeight="1" spans="1:8">
      <c r="A35" s="48" t="str">
        <f>IFERROR(INDEX(_自动清单!$I$4:$I$910,MATCH(ROW()-5,_自动清单!$H$4:$H$910,0)),"")</f>
        <v/>
      </c>
      <c r="B35" s="49" t="str">
        <f>IFERROR(INDEX(_自动清单!$J$4:$J$910,MATCH(ROW()-5,_自动清单!$H$4:$H$910,0)),"")</f>
        <v/>
      </c>
      <c r="C35" s="50" t="str">
        <f>IFERROR(INDEX(_自动清单!$K$4:$K$910,MATCH(ROW()-5,_自动清单!$H$4:$H$910,0)),"")</f>
        <v/>
      </c>
      <c r="D35" s="51" t="str">
        <f>IFERROR(INDEX(_自动清单!$L$4:$L$910,MATCH(ROW()-5,_自动清单!$H$4:$H$910,0)),"")</f>
        <v/>
      </c>
      <c r="E35" s="52" t="str">
        <f>IFERROR(INDEX(_自动清单!$M$4:$M$910,MATCH(ROW()-5,_自动清单!$H$4:$H$910,0)),"")</f>
        <v/>
      </c>
      <c r="F35" s="52" t="str">
        <f>IFERROR(INDEX(_自动清单!$N$4:$N$910,MATCH(ROW()-5,_自动清单!$H$4:$H$910,0)),"")</f>
        <v/>
      </c>
      <c r="G35" s="52" t="str">
        <f>IFERROR(INDEX(_自动清单!$O$4:$O$910,MATCH(ROW()-5,_自动清单!$H$4:$H$910,0)),"")</f>
        <v/>
      </c>
      <c r="H35" s="49" t="str">
        <f>IFERROR(INDEX(_自动清单!$P$4:$P$910,MATCH(ROW()-5,_自动清单!$H$4:$H$910,0)),"")</f>
        <v/>
      </c>
    </row>
    <row r="36" ht="19" customHeight="1" spans="1:8">
      <c r="A36" s="48" t="str">
        <f>IFERROR(INDEX(_自动清单!$I$4:$I$910,MATCH(ROW()-5,_自动清单!$H$4:$H$910,0)),"")</f>
        <v/>
      </c>
      <c r="B36" s="49" t="str">
        <f>IFERROR(INDEX(_自动清单!$J$4:$J$910,MATCH(ROW()-5,_自动清单!$H$4:$H$910,0)),"")</f>
        <v/>
      </c>
      <c r="C36" s="50" t="str">
        <f>IFERROR(INDEX(_自动清单!$K$4:$K$910,MATCH(ROW()-5,_自动清单!$H$4:$H$910,0)),"")</f>
        <v/>
      </c>
      <c r="D36" s="51" t="str">
        <f>IFERROR(INDEX(_自动清单!$L$4:$L$910,MATCH(ROW()-5,_自动清单!$H$4:$H$910,0)),"")</f>
        <v/>
      </c>
      <c r="E36" s="52" t="str">
        <f>IFERROR(INDEX(_自动清单!$M$4:$M$910,MATCH(ROW()-5,_自动清单!$H$4:$H$910,0)),"")</f>
        <v/>
      </c>
      <c r="F36" s="52" t="str">
        <f>IFERROR(INDEX(_自动清单!$N$4:$N$910,MATCH(ROW()-5,_自动清单!$H$4:$H$910,0)),"")</f>
        <v/>
      </c>
      <c r="G36" s="52" t="str">
        <f>IFERROR(INDEX(_自动清单!$O$4:$O$910,MATCH(ROW()-5,_自动清单!$H$4:$H$910,0)),"")</f>
        <v/>
      </c>
      <c r="H36" s="49" t="str">
        <f>IFERROR(INDEX(_自动清单!$P$4:$P$910,MATCH(ROW()-5,_自动清单!$H$4:$H$910,0)),"")</f>
        <v/>
      </c>
    </row>
    <row r="37" ht="19" customHeight="1" spans="1:8">
      <c r="A37" s="48" t="str">
        <f>IFERROR(INDEX(_自动清单!$I$4:$I$910,MATCH(ROW()-5,_自动清单!$H$4:$H$910,0)),"")</f>
        <v/>
      </c>
      <c r="B37" s="49" t="str">
        <f>IFERROR(INDEX(_自动清单!$J$4:$J$910,MATCH(ROW()-5,_自动清单!$H$4:$H$910,0)),"")</f>
        <v/>
      </c>
      <c r="C37" s="50" t="str">
        <f>IFERROR(INDEX(_自动清单!$K$4:$K$910,MATCH(ROW()-5,_自动清单!$H$4:$H$910,0)),"")</f>
        <v/>
      </c>
      <c r="D37" s="51" t="str">
        <f>IFERROR(INDEX(_自动清单!$L$4:$L$910,MATCH(ROW()-5,_自动清单!$H$4:$H$910,0)),"")</f>
        <v/>
      </c>
      <c r="E37" s="52" t="str">
        <f>IFERROR(INDEX(_自动清单!$M$4:$M$910,MATCH(ROW()-5,_自动清单!$H$4:$H$910,0)),"")</f>
        <v/>
      </c>
      <c r="F37" s="52" t="str">
        <f>IFERROR(INDEX(_自动清单!$N$4:$N$910,MATCH(ROW()-5,_自动清单!$H$4:$H$910,0)),"")</f>
        <v/>
      </c>
      <c r="G37" s="52" t="str">
        <f>IFERROR(INDEX(_自动清单!$O$4:$O$910,MATCH(ROW()-5,_自动清单!$H$4:$H$910,0)),"")</f>
        <v/>
      </c>
      <c r="H37" s="49" t="str">
        <f>IFERROR(INDEX(_自动清单!$P$4:$P$910,MATCH(ROW()-5,_自动清单!$H$4:$H$910,0)),"")</f>
        <v/>
      </c>
    </row>
    <row r="38" ht="19" customHeight="1" spans="1:8">
      <c r="A38" s="48" t="str">
        <f>IFERROR(INDEX(_自动清单!$I$4:$I$910,MATCH(ROW()-5,_自动清单!$H$4:$H$910,0)),"")</f>
        <v/>
      </c>
      <c r="B38" s="49" t="str">
        <f>IFERROR(INDEX(_自动清单!$J$4:$J$910,MATCH(ROW()-5,_自动清单!$H$4:$H$910,0)),"")</f>
        <v/>
      </c>
      <c r="C38" s="50" t="str">
        <f>IFERROR(INDEX(_自动清单!$K$4:$K$910,MATCH(ROW()-5,_自动清单!$H$4:$H$910,0)),"")</f>
        <v/>
      </c>
      <c r="D38" s="51" t="str">
        <f>IFERROR(INDEX(_自动清单!$L$4:$L$910,MATCH(ROW()-5,_自动清单!$H$4:$H$910,0)),"")</f>
        <v/>
      </c>
      <c r="E38" s="52" t="str">
        <f>IFERROR(INDEX(_自动清单!$M$4:$M$910,MATCH(ROW()-5,_自动清单!$H$4:$H$910,0)),"")</f>
        <v/>
      </c>
      <c r="F38" s="52" t="str">
        <f>IFERROR(INDEX(_自动清单!$N$4:$N$910,MATCH(ROW()-5,_自动清单!$H$4:$H$910,0)),"")</f>
        <v/>
      </c>
      <c r="G38" s="52" t="str">
        <f>IFERROR(INDEX(_自动清单!$O$4:$O$910,MATCH(ROW()-5,_自动清单!$H$4:$H$910,0)),"")</f>
        <v/>
      </c>
      <c r="H38" s="49" t="str">
        <f>IFERROR(INDEX(_自动清单!$P$4:$P$910,MATCH(ROW()-5,_自动清单!$H$4:$H$910,0)),"")</f>
        <v/>
      </c>
    </row>
    <row r="39" ht="19" customHeight="1" spans="1:8">
      <c r="A39" s="48" t="str">
        <f>IFERROR(INDEX(_自动清单!$I$4:$I$910,MATCH(ROW()-5,_自动清单!$H$4:$H$910,0)),"")</f>
        <v/>
      </c>
      <c r="B39" s="49" t="str">
        <f>IFERROR(INDEX(_自动清单!$J$4:$J$910,MATCH(ROW()-5,_自动清单!$H$4:$H$910,0)),"")</f>
        <v/>
      </c>
      <c r="C39" s="50" t="str">
        <f>IFERROR(INDEX(_自动清单!$K$4:$K$910,MATCH(ROW()-5,_自动清单!$H$4:$H$910,0)),"")</f>
        <v/>
      </c>
      <c r="D39" s="51" t="str">
        <f>IFERROR(INDEX(_自动清单!$L$4:$L$910,MATCH(ROW()-5,_自动清单!$H$4:$H$910,0)),"")</f>
        <v/>
      </c>
      <c r="E39" s="52" t="str">
        <f>IFERROR(INDEX(_自动清单!$M$4:$M$910,MATCH(ROW()-5,_自动清单!$H$4:$H$910,0)),"")</f>
        <v/>
      </c>
      <c r="F39" s="52" t="str">
        <f>IFERROR(INDEX(_自动清单!$N$4:$N$910,MATCH(ROW()-5,_自动清单!$H$4:$H$910,0)),"")</f>
        <v/>
      </c>
      <c r="G39" s="52" t="str">
        <f>IFERROR(INDEX(_自动清单!$O$4:$O$910,MATCH(ROW()-5,_自动清单!$H$4:$H$910,0)),"")</f>
        <v/>
      </c>
      <c r="H39" s="49" t="str">
        <f>IFERROR(INDEX(_自动清单!$P$4:$P$910,MATCH(ROW()-5,_自动清单!$H$4:$H$910,0)),"")</f>
        <v/>
      </c>
    </row>
    <row r="40" ht="19" customHeight="1" spans="1:8">
      <c r="A40" s="48" t="str">
        <f>IFERROR(INDEX(_自动清单!$I$4:$I$910,MATCH(ROW()-5,_自动清单!$H$4:$H$910,0)),"")</f>
        <v/>
      </c>
      <c r="B40" s="49" t="str">
        <f>IFERROR(INDEX(_自动清单!$J$4:$J$910,MATCH(ROW()-5,_自动清单!$H$4:$H$910,0)),"")</f>
        <v/>
      </c>
      <c r="C40" s="50" t="str">
        <f>IFERROR(INDEX(_自动清单!$K$4:$K$910,MATCH(ROW()-5,_自动清单!$H$4:$H$910,0)),"")</f>
        <v/>
      </c>
      <c r="D40" s="51" t="str">
        <f>IFERROR(INDEX(_自动清单!$L$4:$L$910,MATCH(ROW()-5,_自动清单!$H$4:$H$910,0)),"")</f>
        <v/>
      </c>
      <c r="E40" s="52" t="str">
        <f>IFERROR(INDEX(_自动清单!$M$4:$M$910,MATCH(ROW()-5,_自动清单!$H$4:$H$910,0)),"")</f>
        <v/>
      </c>
      <c r="F40" s="52" t="str">
        <f>IFERROR(INDEX(_自动清单!$N$4:$N$910,MATCH(ROW()-5,_自动清单!$H$4:$H$910,0)),"")</f>
        <v/>
      </c>
      <c r="G40" s="52" t="str">
        <f>IFERROR(INDEX(_自动清单!$O$4:$O$910,MATCH(ROW()-5,_自动清单!$H$4:$H$910,0)),"")</f>
        <v/>
      </c>
      <c r="H40" s="49" t="str">
        <f>IFERROR(INDEX(_自动清单!$P$4:$P$910,MATCH(ROW()-5,_自动清单!$H$4:$H$910,0)),"")</f>
        <v/>
      </c>
    </row>
    <row r="41" ht="19" customHeight="1" spans="1:8">
      <c r="A41" s="48" t="str">
        <f>IFERROR(INDEX(_自动清单!$I$4:$I$910,MATCH(ROW()-5,_自动清单!$H$4:$H$910,0)),"")</f>
        <v/>
      </c>
      <c r="B41" s="49" t="str">
        <f>IFERROR(INDEX(_自动清单!$J$4:$J$910,MATCH(ROW()-5,_自动清单!$H$4:$H$910,0)),"")</f>
        <v/>
      </c>
      <c r="C41" s="50" t="str">
        <f>IFERROR(INDEX(_自动清单!$K$4:$K$910,MATCH(ROW()-5,_自动清单!$H$4:$H$910,0)),"")</f>
        <v/>
      </c>
      <c r="D41" s="51" t="str">
        <f>IFERROR(INDEX(_自动清单!$L$4:$L$910,MATCH(ROW()-5,_自动清单!$H$4:$H$910,0)),"")</f>
        <v/>
      </c>
      <c r="E41" s="52" t="str">
        <f>IFERROR(INDEX(_自动清单!$M$4:$M$910,MATCH(ROW()-5,_自动清单!$H$4:$H$910,0)),"")</f>
        <v/>
      </c>
      <c r="F41" s="52" t="str">
        <f>IFERROR(INDEX(_自动清单!$N$4:$N$910,MATCH(ROW()-5,_自动清单!$H$4:$H$910,0)),"")</f>
        <v/>
      </c>
      <c r="G41" s="52" t="str">
        <f>IFERROR(INDEX(_自动清单!$O$4:$O$910,MATCH(ROW()-5,_自动清单!$H$4:$H$910,0)),"")</f>
        <v/>
      </c>
      <c r="H41" s="49" t="str">
        <f>IFERROR(INDEX(_自动清单!$P$4:$P$910,MATCH(ROW()-5,_自动清单!$H$4:$H$910,0)),"")</f>
        <v/>
      </c>
    </row>
    <row r="42" ht="19" customHeight="1" spans="1:8">
      <c r="A42" s="48" t="str">
        <f>IFERROR(INDEX(_自动清单!$I$4:$I$910,MATCH(ROW()-5,_自动清单!$H$4:$H$910,0)),"")</f>
        <v/>
      </c>
      <c r="B42" s="49" t="str">
        <f>IFERROR(INDEX(_自动清单!$J$4:$J$910,MATCH(ROW()-5,_自动清单!$H$4:$H$910,0)),"")</f>
        <v/>
      </c>
      <c r="C42" s="50" t="str">
        <f>IFERROR(INDEX(_自动清单!$K$4:$K$910,MATCH(ROW()-5,_自动清单!$H$4:$H$910,0)),"")</f>
        <v/>
      </c>
      <c r="D42" s="51" t="str">
        <f>IFERROR(INDEX(_自动清单!$L$4:$L$910,MATCH(ROW()-5,_自动清单!$H$4:$H$910,0)),"")</f>
        <v/>
      </c>
      <c r="E42" s="52" t="str">
        <f>IFERROR(INDEX(_自动清单!$M$4:$M$910,MATCH(ROW()-5,_自动清单!$H$4:$H$910,0)),"")</f>
        <v/>
      </c>
      <c r="F42" s="52" t="str">
        <f>IFERROR(INDEX(_自动清单!$N$4:$N$910,MATCH(ROW()-5,_自动清单!$H$4:$H$910,0)),"")</f>
        <v/>
      </c>
      <c r="G42" s="52" t="str">
        <f>IFERROR(INDEX(_自动清单!$O$4:$O$910,MATCH(ROW()-5,_自动清单!$H$4:$H$910,0)),"")</f>
        <v/>
      </c>
      <c r="H42" s="49" t="str">
        <f>IFERROR(INDEX(_自动清单!$P$4:$P$910,MATCH(ROW()-5,_自动清单!$H$4:$H$910,0)),"")</f>
        <v/>
      </c>
    </row>
    <row r="43" ht="19" customHeight="1" spans="1:8">
      <c r="A43" s="48" t="str">
        <f>IFERROR(INDEX(_自动清单!$I$4:$I$910,MATCH(ROW()-5,_自动清单!$H$4:$H$910,0)),"")</f>
        <v/>
      </c>
      <c r="B43" s="49" t="str">
        <f>IFERROR(INDEX(_自动清单!$J$4:$J$910,MATCH(ROW()-5,_自动清单!$H$4:$H$910,0)),"")</f>
        <v/>
      </c>
      <c r="C43" s="50" t="str">
        <f>IFERROR(INDEX(_自动清单!$K$4:$K$910,MATCH(ROW()-5,_自动清单!$H$4:$H$910,0)),"")</f>
        <v/>
      </c>
      <c r="D43" s="51" t="str">
        <f>IFERROR(INDEX(_自动清单!$L$4:$L$910,MATCH(ROW()-5,_自动清单!$H$4:$H$910,0)),"")</f>
        <v/>
      </c>
      <c r="E43" s="52" t="str">
        <f>IFERROR(INDEX(_自动清单!$M$4:$M$910,MATCH(ROW()-5,_自动清单!$H$4:$H$910,0)),"")</f>
        <v/>
      </c>
      <c r="F43" s="52" t="str">
        <f>IFERROR(INDEX(_自动清单!$N$4:$N$910,MATCH(ROW()-5,_自动清单!$H$4:$H$910,0)),"")</f>
        <v/>
      </c>
      <c r="G43" s="52" t="str">
        <f>IFERROR(INDEX(_自动清单!$O$4:$O$910,MATCH(ROW()-5,_自动清单!$H$4:$H$910,0)),"")</f>
        <v/>
      </c>
      <c r="H43" s="49" t="str">
        <f>IFERROR(INDEX(_自动清单!$P$4:$P$910,MATCH(ROW()-5,_自动清单!$H$4:$H$910,0)),"")</f>
        <v/>
      </c>
    </row>
    <row r="44" ht="19" customHeight="1" spans="1:8">
      <c r="A44" s="48" t="str">
        <f>IFERROR(INDEX(_自动清单!$I$4:$I$910,MATCH(ROW()-5,_自动清单!$H$4:$H$910,0)),"")</f>
        <v/>
      </c>
      <c r="B44" s="49" t="str">
        <f>IFERROR(INDEX(_自动清单!$J$4:$J$910,MATCH(ROW()-5,_自动清单!$H$4:$H$910,0)),"")</f>
        <v/>
      </c>
      <c r="C44" s="50" t="str">
        <f>IFERROR(INDEX(_自动清单!$K$4:$K$910,MATCH(ROW()-5,_自动清单!$H$4:$H$910,0)),"")</f>
        <v/>
      </c>
      <c r="D44" s="51" t="str">
        <f>IFERROR(INDEX(_自动清单!$L$4:$L$910,MATCH(ROW()-5,_自动清单!$H$4:$H$910,0)),"")</f>
        <v/>
      </c>
      <c r="E44" s="52" t="str">
        <f>IFERROR(INDEX(_自动清单!$M$4:$M$910,MATCH(ROW()-5,_自动清单!$H$4:$H$910,0)),"")</f>
        <v/>
      </c>
      <c r="F44" s="52" t="str">
        <f>IFERROR(INDEX(_自动清单!$N$4:$N$910,MATCH(ROW()-5,_自动清单!$H$4:$H$910,0)),"")</f>
        <v/>
      </c>
      <c r="G44" s="52" t="str">
        <f>IFERROR(INDEX(_自动清单!$O$4:$O$910,MATCH(ROW()-5,_自动清单!$H$4:$H$910,0)),"")</f>
        <v/>
      </c>
      <c r="H44" s="49" t="str">
        <f>IFERROR(INDEX(_自动清单!$P$4:$P$910,MATCH(ROW()-5,_自动清单!$H$4:$H$910,0)),"")</f>
        <v/>
      </c>
    </row>
    <row r="45" ht="19" customHeight="1" spans="1:8">
      <c r="A45" s="48" t="str">
        <f>IFERROR(INDEX(_自动清单!$I$4:$I$910,MATCH(ROW()-5,_自动清单!$H$4:$H$910,0)),"")</f>
        <v/>
      </c>
      <c r="B45" s="49" t="str">
        <f>IFERROR(INDEX(_自动清单!$J$4:$J$910,MATCH(ROW()-5,_自动清单!$H$4:$H$910,0)),"")</f>
        <v/>
      </c>
      <c r="C45" s="50" t="str">
        <f>IFERROR(INDEX(_自动清单!$K$4:$K$910,MATCH(ROW()-5,_自动清单!$H$4:$H$910,0)),"")</f>
        <v/>
      </c>
      <c r="D45" s="51" t="str">
        <f>IFERROR(INDEX(_自动清单!$L$4:$L$910,MATCH(ROW()-5,_自动清单!$H$4:$H$910,0)),"")</f>
        <v/>
      </c>
      <c r="E45" s="52" t="str">
        <f>IFERROR(INDEX(_自动清单!$M$4:$M$910,MATCH(ROW()-5,_自动清单!$H$4:$H$910,0)),"")</f>
        <v/>
      </c>
      <c r="F45" s="52" t="str">
        <f>IFERROR(INDEX(_自动清单!$N$4:$N$910,MATCH(ROW()-5,_自动清单!$H$4:$H$910,0)),"")</f>
        <v/>
      </c>
      <c r="G45" s="52" t="str">
        <f>IFERROR(INDEX(_自动清单!$O$4:$O$910,MATCH(ROW()-5,_自动清单!$H$4:$H$910,0)),"")</f>
        <v/>
      </c>
      <c r="H45" s="49" t="str">
        <f>IFERROR(INDEX(_自动清单!$P$4:$P$910,MATCH(ROW()-5,_自动清单!$H$4:$H$910,0)),"")</f>
        <v/>
      </c>
    </row>
    <row r="46" ht="19" customHeight="1" spans="1:8">
      <c r="A46" s="48" t="str">
        <f>IFERROR(INDEX(_自动清单!$I$4:$I$910,MATCH(ROW()-5,_自动清单!$H$4:$H$910,0)),"")</f>
        <v/>
      </c>
      <c r="B46" s="49" t="str">
        <f>IFERROR(INDEX(_自动清单!$J$4:$J$910,MATCH(ROW()-5,_自动清单!$H$4:$H$910,0)),"")</f>
        <v/>
      </c>
      <c r="C46" s="50" t="str">
        <f>IFERROR(INDEX(_自动清单!$K$4:$K$910,MATCH(ROW()-5,_自动清单!$H$4:$H$910,0)),"")</f>
        <v/>
      </c>
      <c r="D46" s="51" t="str">
        <f>IFERROR(INDEX(_自动清单!$L$4:$L$910,MATCH(ROW()-5,_自动清单!$H$4:$H$910,0)),"")</f>
        <v/>
      </c>
      <c r="E46" s="52" t="str">
        <f>IFERROR(INDEX(_自动清单!$M$4:$M$910,MATCH(ROW()-5,_自动清单!$H$4:$H$910,0)),"")</f>
        <v/>
      </c>
      <c r="F46" s="52" t="str">
        <f>IFERROR(INDEX(_自动清单!$N$4:$N$910,MATCH(ROW()-5,_自动清单!$H$4:$H$910,0)),"")</f>
        <v/>
      </c>
      <c r="G46" s="52" t="str">
        <f>IFERROR(INDEX(_自动清单!$O$4:$O$910,MATCH(ROW()-5,_自动清单!$H$4:$H$910,0)),"")</f>
        <v/>
      </c>
      <c r="H46" s="49" t="str">
        <f>IFERROR(INDEX(_自动清单!$P$4:$P$910,MATCH(ROW()-5,_自动清单!$H$4:$H$910,0)),"")</f>
        <v/>
      </c>
    </row>
    <row r="47" ht="19" customHeight="1" spans="1:8">
      <c r="A47" s="48" t="str">
        <f>IFERROR(INDEX(_自动清单!$I$4:$I$910,MATCH(ROW()-5,_自动清单!$H$4:$H$910,0)),"")</f>
        <v/>
      </c>
      <c r="B47" s="49" t="str">
        <f>IFERROR(INDEX(_自动清单!$J$4:$J$910,MATCH(ROW()-5,_自动清单!$H$4:$H$910,0)),"")</f>
        <v/>
      </c>
      <c r="C47" s="50" t="str">
        <f>IFERROR(INDEX(_自动清单!$K$4:$K$910,MATCH(ROW()-5,_自动清单!$H$4:$H$910,0)),"")</f>
        <v/>
      </c>
      <c r="D47" s="51" t="str">
        <f>IFERROR(INDEX(_自动清单!$L$4:$L$910,MATCH(ROW()-5,_自动清单!$H$4:$H$910,0)),"")</f>
        <v/>
      </c>
      <c r="E47" s="52" t="str">
        <f>IFERROR(INDEX(_自动清单!$M$4:$M$910,MATCH(ROW()-5,_自动清单!$H$4:$H$910,0)),"")</f>
        <v/>
      </c>
      <c r="F47" s="52" t="str">
        <f>IFERROR(INDEX(_自动清单!$N$4:$N$910,MATCH(ROW()-5,_自动清单!$H$4:$H$910,0)),"")</f>
        <v/>
      </c>
      <c r="G47" s="52" t="str">
        <f>IFERROR(INDEX(_自动清单!$O$4:$O$910,MATCH(ROW()-5,_自动清单!$H$4:$H$910,0)),"")</f>
        <v/>
      </c>
      <c r="H47" s="49" t="str">
        <f>IFERROR(INDEX(_自动清单!$P$4:$P$910,MATCH(ROW()-5,_自动清单!$H$4:$H$910,0)),"")</f>
        <v/>
      </c>
    </row>
    <row r="48" ht="19" customHeight="1" spans="1:8">
      <c r="A48" s="48" t="str">
        <f>IFERROR(INDEX(_自动清单!$I$4:$I$910,MATCH(ROW()-5,_自动清单!$H$4:$H$910,0)),"")</f>
        <v/>
      </c>
      <c r="B48" s="49" t="str">
        <f>IFERROR(INDEX(_自动清单!$J$4:$J$910,MATCH(ROW()-5,_自动清单!$H$4:$H$910,0)),"")</f>
        <v/>
      </c>
      <c r="C48" s="50" t="str">
        <f>IFERROR(INDEX(_自动清单!$K$4:$K$910,MATCH(ROW()-5,_自动清单!$H$4:$H$910,0)),"")</f>
        <v/>
      </c>
      <c r="D48" s="51" t="str">
        <f>IFERROR(INDEX(_自动清单!$L$4:$L$910,MATCH(ROW()-5,_自动清单!$H$4:$H$910,0)),"")</f>
        <v/>
      </c>
      <c r="E48" s="52" t="str">
        <f>IFERROR(INDEX(_自动清单!$M$4:$M$910,MATCH(ROW()-5,_自动清单!$H$4:$H$910,0)),"")</f>
        <v/>
      </c>
      <c r="F48" s="52" t="str">
        <f>IFERROR(INDEX(_自动清单!$N$4:$N$910,MATCH(ROW()-5,_自动清单!$H$4:$H$910,0)),"")</f>
        <v/>
      </c>
      <c r="G48" s="52" t="str">
        <f>IFERROR(INDEX(_自动清单!$O$4:$O$910,MATCH(ROW()-5,_自动清单!$H$4:$H$910,0)),"")</f>
        <v/>
      </c>
      <c r="H48" s="49" t="str">
        <f>IFERROR(INDEX(_自动清单!$P$4:$P$910,MATCH(ROW()-5,_自动清单!$H$4:$H$910,0)),"")</f>
        <v/>
      </c>
    </row>
    <row r="49" ht="19" customHeight="1" spans="1:8">
      <c r="A49" s="48" t="str">
        <f>IFERROR(INDEX(_自动清单!$I$4:$I$910,MATCH(ROW()-5,_自动清单!$H$4:$H$910,0)),"")</f>
        <v/>
      </c>
      <c r="B49" s="49" t="str">
        <f>IFERROR(INDEX(_自动清单!$J$4:$J$910,MATCH(ROW()-5,_自动清单!$H$4:$H$910,0)),"")</f>
        <v/>
      </c>
      <c r="C49" s="50" t="str">
        <f>IFERROR(INDEX(_自动清单!$K$4:$K$910,MATCH(ROW()-5,_自动清单!$H$4:$H$910,0)),"")</f>
        <v/>
      </c>
      <c r="D49" s="51" t="str">
        <f>IFERROR(INDEX(_自动清单!$L$4:$L$910,MATCH(ROW()-5,_自动清单!$H$4:$H$910,0)),"")</f>
        <v/>
      </c>
      <c r="E49" s="52" t="str">
        <f>IFERROR(INDEX(_自动清单!$M$4:$M$910,MATCH(ROW()-5,_自动清单!$H$4:$H$910,0)),"")</f>
        <v/>
      </c>
      <c r="F49" s="52" t="str">
        <f>IFERROR(INDEX(_自动清单!$N$4:$N$910,MATCH(ROW()-5,_自动清单!$H$4:$H$910,0)),"")</f>
        <v/>
      </c>
      <c r="G49" s="52" t="str">
        <f>IFERROR(INDEX(_自动清单!$O$4:$O$910,MATCH(ROW()-5,_自动清单!$H$4:$H$910,0)),"")</f>
        <v/>
      </c>
      <c r="H49" s="49" t="str">
        <f>IFERROR(INDEX(_自动清单!$P$4:$P$910,MATCH(ROW()-5,_自动清单!$H$4:$H$910,0)),"")</f>
        <v/>
      </c>
    </row>
    <row r="50" ht="19" customHeight="1" spans="1:8">
      <c r="A50" s="48" t="str">
        <f>IFERROR(INDEX(_自动清单!$I$4:$I$910,MATCH(ROW()-5,_自动清单!$H$4:$H$910,0)),"")</f>
        <v/>
      </c>
      <c r="B50" s="49" t="str">
        <f>IFERROR(INDEX(_自动清单!$J$4:$J$910,MATCH(ROW()-5,_自动清单!$H$4:$H$910,0)),"")</f>
        <v/>
      </c>
      <c r="C50" s="50" t="str">
        <f>IFERROR(INDEX(_自动清单!$K$4:$K$910,MATCH(ROW()-5,_自动清单!$H$4:$H$910,0)),"")</f>
        <v/>
      </c>
      <c r="D50" s="51" t="str">
        <f>IFERROR(INDEX(_自动清单!$L$4:$L$910,MATCH(ROW()-5,_自动清单!$H$4:$H$910,0)),"")</f>
        <v/>
      </c>
      <c r="E50" s="52" t="str">
        <f>IFERROR(INDEX(_自动清单!$M$4:$M$910,MATCH(ROW()-5,_自动清单!$H$4:$H$910,0)),"")</f>
        <v/>
      </c>
      <c r="F50" s="52" t="str">
        <f>IFERROR(INDEX(_自动清单!$N$4:$N$910,MATCH(ROW()-5,_自动清单!$H$4:$H$910,0)),"")</f>
        <v/>
      </c>
      <c r="G50" s="52" t="str">
        <f>IFERROR(INDEX(_自动清单!$O$4:$O$910,MATCH(ROW()-5,_自动清单!$H$4:$H$910,0)),"")</f>
        <v/>
      </c>
      <c r="H50" s="49" t="str">
        <f>IFERROR(INDEX(_自动清单!$P$4:$P$910,MATCH(ROW()-5,_自动清单!$H$4:$H$910,0)),"")</f>
        <v/>
      </c>
    </row>
    <row r="51" ht="19" customHeight="1" spans="1:8">
      <c r="A51" s="48" t="str">
        <f>IFERROR(INDEX(_自动清单!$I$4:$I$910,MATCH(ROW()-5,_自动清单!$H$4:$H$910,0)),"")</f>
        <v/>
      </c>
      <c r="B51" s="49" t="str">
        <f>IFERROR(INDEX(_自动清单!$J$4:$J$910,MATCH(ROW()-5,_自动清单!$H$4:$H$910,0)),"")</f>
        <v/>
      </c>
      <c r="C51" s="50" t="str">
        <f>IFERROR(INDEX(_自动清单!$K$4:$K$910,MATCH(ROW()-5,_自动清单!$H$4:$H$910,0)),"")</f>
        <v/>
      </c>
      <c r="D51" s="51" t="str">
        <f>IFERROR(INDEX(_自动清单!$L$4:$L$910,MATCH(ROW()-5,_自动清单!$H$4:$H$910,0)),"")</f>
        <v/>
      </c>
      <c r="E51" s="52" t="str">
        <f>IFERROR(INDEX(_自动清单!$M$4:$M$910,MATCH(ROW()-5,_自动清单!$H$4:$H$910,0)),"")</f>
        <v/>
      </c>
      <c r="F51" s="52" t="str">
        <f>IFERROR(INDEX(_自动清单!$N$4:$N$910,MATCH(ROW()-5,_自动清单!$H$4:$H$910,0)),"")</f>
        <v/>
      </c>
      <c r="G51" s="52" t="str">
        <f>IFERROR(INDEX(_自动清单!$O$4:$O$910,MATCH(ROW()-5,_自动清单!$H$4:$H$910,0)),"")</f>
        <v/>
      </c>
      <c r="H51" s="49" t="str">
        <f>IFERROR(INDEX(_自动清单!$P$4:$P$910,MATCH(ROW()-5,_自动清单!$H$4:$H$910,0)),"")</f>
        <v/>
      </c>
    </row>
    <row r="52" ht="19" customHeight="1" spans="1:8">
      <c r="A52" s="48" t="str">
        <f>IFERROR(INDEX(_自动清单!$I$4:$I$910,MATCH(ROW()-5,_自动清单!$H$4:$H$910,0)),"")</f>
        <v/>
      </c>
      <c r="B52" s="49" t="str">
        <f>IFERROR(INDEX(_自动清单!$J$4:$J$910,MATCH(ROW()-5,_自动清单!$H$4:$H$910,0)),"")</f>
        <v/>
      </c>
      <c r="C52" s="50" t="str">
        <f>IFERROR(INDEX(_自动清单!$K$4:$K$910,MATCH(ROW()-5,_自动清单!$H$4:$H$910,0)),"")</f>
        <v/>
      </c>
      <c r="D52" s="51" t="str">
        <f>IFERROR(INDEX(_自动清单!$L$4:$L$910,MATCH(ROW()-5,_自动清单!$H$4:$H$910,0)),"")</f>
        <v/>
      </c>
      <c r="E52" s="52" t="str">
        <f>IFERROR(INDEX(_自动清单!$M$4:$M$910,MATCH(ROW()-5,_自动清单!$H$4:$H$910,0)),"")</f>
        <v/>
      </c>
      <c r="F52" s="52" t="str">
        <f>IFERROR(INDEX(_自动清单!$N$4:$N$910,MATCH(ROW()-5,_自动清单!$H$4:$H$910,0)),"")</f>
        <v/>
      </c>
      <c r="G52" s="52" t="str">
        <f>IFERROR(INDEX(_自动清单!$O$4:$O$910,MATCH(ROW()-5,_自动清单!$H$4:$H$910,0)),"")</f>
        <v/>
      </c>
      <c r="H52" s="49" t="str">
        <f>IFERROR(INDEX(_自动清单!$P$4:$P$910,MATCH(ROW()-5,_自动清单!$H$4:$H$910,0)),"")</f>
        <v/>
      </c>
    </row>
    <row r="53" ht="19" customHeight="1" spans="1:8">
      <c r="A53" s="48" t="str">
        <f>IFERROR(INDEX(_自动清单!$I$4:$I$910,MATCH(ROW()-5,_自动清单!$H$4:$H$910,0)),"")</f>
        <v/>
      </c>
      <c r="B53" s="49" t="str">
        <f>IFERROR(INDEX(_自动清单!$J$4:$J$910,MATCH(ROW()-5,_自动清单!$H$4:$H$910,0)),"")</f>
        <v/>
      </c>
      <c r="C53" s="50" t="str">
        <f>IFERROR(INDEX(_自动清单!$K$4:$K$910,MATCH(ROW()-5,_自动清单!$H$4:$H$910,0)),"")</f>
        <v/>
      </c>
      <c r="D53" s="51" t="str">
        <f>IFERROR(INDEX(_自动清单!$L$4:$L$910,MATCH(ROW()-5,_自动清单!$H$4:$H$910,0)),"")</f>
        <v/>
      </c>
      <c r="E53" s="52" t="str">
        <f>IFERROR(INDEX(_自动清单!$M$4:$M$910,MATCH(ROW()-5,_自动清单!$H$4:$H$910,0)),"")</f>
        <v/>
      </c>
      <c r="F53" s="52" t="str">
        <f>IFERROR(INDEX(_自动清单!$N$4:$N$910,MATCH(ROW()-5,_自动清单!$H$4:$H$910,0)),"")</f>
        <v/>
      </c>
      <c r="G53" s="52" t="str">
        <f>IFERROR(INDEX(_自动清单!$O$4:$O$910,MATCH(ROW()-5,_自动清单!$H$4:$H$910,0)),"")</f>
        <v/>
      </c>
      <c r="H53" s="49" t="str">
        <f>IFERROR(INDEX(_自动清单!$P$4:$P$910,MATCH(ROW()-5,_自动清单!$H$4:$H$910,0)),"")</f>
        <v/>
      </c>
    </row>
    <row r="54" ht="19" customHeight="1" spans="1:8">
      <c r="A54" s="48" t="str">
        <f>IFERROR(INDEX(_自动清单!$I$4:$I$910,MATCH(ROW()-5,_自动清单!$H$4:$H$910,0)),"")</f>
        <v/>
      </c>
      <c r="B54" s="49" t="str">
        <f>IFERROR(INDEX(_自动清单!$J$4:$J$910,MATCH(ROW()-5,_自动清单!$H$4:$H$910,0)),"")</f>
        <v/>
      </c>
      <c r="C54" s="50" t="str">
        <f>IFERROR(INDEX(_自动清单!$K$4:$K$910,MATCH(ROW()-5,_自动清单!$H$4:$H$910,0)),"")</f>
        <v/>
      </c>
      <c r="D54" s="51" t="str">
        <f>IFERROR(INDEX(_自动清单!$L$4:$L$910,MATCH(ROW()-5,_自动清单!$H$4:$H$910,0)),"")</f>
        <v/>
      </c>
      <c r="E54" s="52" t="str">
        <f>IFERROR(INDEX(_自动清单!$M$4:$M$910,MATCH(ROW()-5,_自动清单!$H$4:$H$910,0)),"")</f>
        <v/>
      </c>
      <c r="F54" s="52" t="str">
        <f>IFERROR(INDEX(_自动清单!$N$4:$N$910,MATCH(ROW()-5,_自动清单!$H$4:$H$910,0)),"")</f>
        <v/>
      </c>
      <c r="G54" s="52" t="str">
        <f>IFERROR(INDEX(_自动清单!$O$4:$O$910,MATCH(ROW()-5,_自动清单!$H$4:$H$910,0)),"")</f>
        <v/>
      </c>
      <c r="H54" s="49" t="str">
        <f>IFERROR(INDEX(_自动清单!$P$4:$P$910,MATCH(ROW()-5,_自动清单!$H$4:$H$910,0)),"")</f>
        <v/>
      </c>
    </row>
    <row r="55" ht="19" customHeight="1" spans="1:8">
      <c r="A55" s="48" t="str">
        <f>IFERROR(INDEX(_自动清单!$I$4:$I$910,MATCH(ROW()-5,_自动清单!$H$4:$H$910,0)),"")</f>
        <v/>
      </c>
      <c r="B55" s="49" t="str">
        <f>IFERROR(INDEX(_自动清单!$J$4:$J$910,MATCH(ROW()-5,_自动清单!$H$4:$H$910,0)),"")</f>
        <v/>
      </c>
      <c r="C55" s="50" t="str">
        <f>IFERROR(INDEX(_自动清单!$K$4:$K$910,MATCH(ROW()-5,_自动清单!$H$4:$H$910,0)),"")</f>
        <v/>
      </c>
      <c r="D55" s="51" t="str">
        <f>IFERROR(INDEX(_自动清单!$L$4:$L$910,MATCH(ROW()-5,_自动清单!$H$4:$H$910,0)),"")</f>
        <v/>
      </c>
      <c r="E55" s="52" t="str">
        <f>IFERROR(INDEX(_自动清单!$M$4:$M$910,MATCH(ROW()-5,_自动清单!$H$4:$H$910,0)),"")</f>
        <v/>
      </c>
      <c r="F55" s="52" t="str">
        <f>IFERROR(INDEX(_自动清单!$N$4:$N$910,MATCH(ROW()-5,_自动清单!$H$4:$H$910,0)),"")</f>
        <v/>
      </c>
      <c r="G55" s="52" t="str">
        <f>IFERROR(INDEX(_自动清单!$O$4:$O$910,MATCH(ROW()-5,_自动清单!$H$4:$H$910,0)),"")</f>
        <v/>
      </c>
      <c r="H55" s="49" t="str">
        <f>IFERROR(INDEX(_自动清单!$P$4:$P$910,MATCH(ROW()-5,_自动清单!$H$4:$H$910,0)),"")</f>
        <v/>
      </c>
    </row>
    <row r="56" ht="24" customHeight="1" spans="1:8">
      <c r="A56" s="53" t="str">
        <f ca="1">IF($H$2="","对账日期：　"&amp;TEXT(TODAY(),"yyyy 年 m 月 d 日"),"对账日期：　"&amp;TEXT($H$2,"yyyy 年 m 月 d 日"))</f>
        <v>对账日期：　2026 年 9 月 14 日</v>
      </c>
      <c r="B56" s="54"/>
      <c r="C56" s="54"/>
      <c r="D56" s="55"/>
      <c r="E56" s="56" t="s">
        <v>694</v>
      </c>
      <c r="F56" s="57">
        <f>ROUND(SUM($F$6:$F$55),2)</f>
        <v>0</v>
      </c>
      <c r="G56" s="52"/>
      <c r="H56" s="49"/>
    </row>
    <row r="57" ht="24" customHeight="1" spans="1:8">
      <c r="A57" s="53" t="str">
        <f>"对账时段：　"&amp;IF($F$2="","不限",TEXT($F$2,"yyyy/ m/ d"))&amp;"　--　"&amp;IF($H$2="","不限",TEXT($H$2,"yyyy/ m/ d"))</f>
        <v>对账时段：　不限　--　不限</v>
      </c>
      <c r="B57" s="54"/>
      <c r="C57" s="54"/>
      <c r="D57" s="55"/>
      <c r="E57" s="56" t="s">
        <v>695</v>
      </c>
      <c r="F57" s="57">
        <f>ROUND(SUM($G$6:$G$55),2)</f>
        <v>0</v>
      </c>
      <c r="G57" s="52"/>
      <c r="H57" s="49"/>
    </row>
    <row r="58" ht="24" customHeight="1" spans="1:8">
      <c r="A58" s="58" t="str">
        <f>"是否含税：　"&amp;IF($H$3="","（请在 H3 选择）",$H$3)</f>
        <v>是否含税：　不含税</v>
      </c>
      <c r="B58" s="54"/>
      <c r="C58" s="54"/>
      <c r="D58" s="55"/>
      <c r="E58" s="59" t="s">
        <v>696</v>
      </c>
      <c r="F58" s="57">
        <f>ROUND(N($F$56)-N($F$57),2)</f>
        <v>0</v>
      </c>
      <c r="G58" s="52"/>
      <c r="H58" s="49"/>
    </row>
    <row r="59" ht="26" customHeight="1" spans="1:8">
      <c r="A59" s="60" t="s">
        <v>697</v>
      </c>
      <c r="B59" s="54"/>
      <c r="C59" s="54"/>
      <c r="D59" s="54"/>
      <c r="E59" s="55"/>
      <c r="F59" s="61" t="str">
        <f>IF(OR(ISNUMBER(SEARCH("通用格式",$R$1)),ISNUMBER(SEARCH("G/",$R$1)),ISERROR($R$1)),"人民币 "&amp;TEXT(ROUND(N($F$58),2),"¥#,##0.00"),$R$1)</f>
        <v>零元整</v>
      </c>
      <c r="G59" s="54"/>
      <c r="H59" s="55"/>
    </row>
    <row r="60" ht="19" customHeight="1" spans="1:8">
      <c r="A60" s="62"/>
      <c r="B60" s="63"/>
      <c r="C60" s="64"/>
      <c r="D60" s="65"/>
      <c r="E60" s="66"/>
      <c r="F60" s="66"/>
      <c r="G60" s="66"/>
      <c r="H60" s="63"/>
    </row>
    <row r="61" ht="19" customHeight="1" spans="1:8">
      <c r="A61" s="62"/>
      <c r="B61" s="63"/>
      <c r="C61" s="64"/>
      <c r="D61" s="65"/>
      <c r="E61" s="66"/>
      <c r="F61" s="66"/>
      <c r="G61" s="66"/>
      <c r="H61" s="63"/>
    </row>
    <row r="62" ht="19" customHeight="1" spans="1:8">
      <c r="A62" s="62"/>
      <c r="B62" s="63"/>
      <c r="C62" s="64"/>
      <c r="D62" s="65"/>
      <c r="E62" s="66"/>
      <c r="F62" s="66"/>
      <c r="G62" s="66"/>
      <c r="H62" s="63"/>
    </row>
    <row r="63" ht="19" customHeight="1" spans="1:8">
      <c r="A63" s="62"/>
      <c r="B63" s="63"/>
      <c r="C63" s="64"/>
      <c r="D63" s="65"/>
      <c r="E63" s="66"/>
      <c r="F63" s="66"/>
      <c r="G63" s="66"/>
      <c r="H63" s="63"/>
    </row>
    <row r="64" ht="19" customHeight="1" spans="1:8">
      <c r="A64" s="62"/>
      <c r="B64" s="63"/>
      <c r="C64" s="64"/>
      <c r="D64" s="65"/>
      <c r="E64" s="66"/>
      <c r="F64" s="66"/>
      <c r="G64" s="66"/>
      <c r="H64" s="63"/>
    </row>
    <row r="65" ht="19" customHeight="1" spans="1:8">
      <c r="A65" s="62"/>
      <c r="B65" s="63"/>
      <c r="C65" s="64"/>
      <c r="D65" s="65"/>
      <c r="E65" s="66"/>
      <c r="F65" s="66"/>
      <c r="G65" s="66"/>
      <c r="H65" s="63"/>
    </row>
    <row r="66" ht="19" customHeight="1" spans="1:8">
      <c r="A66" s="62"/>
      <c r="B66" s="63"/>
      <c r="C66" s="64"/>
      <c r="D66" s="65"/>
      <c r="E66" s="66"/>
      <c r="F66" s="66"/>
      <c r="G66" s="66"/>
      <c r="H66" s="63"/>
    </row>
    <row r="67" ht="19" customHeight="1" spans="1:8">
      <c r="A67" s="62"/>
      <c r="B67" s="63"/>
      <c r="C67" s="64"/>
      <c r="D67" s="65"/>
      <c r="E67" s="66"/>
      <c r="F67" s="66"/>
      <c r="G67" s="66"/>
      <c r="H67" s="63"/>
    </row>
    <row r="68" ht="19" customHeight="1" spans="1:8">
      <c r="A68" s="62"/>
      <c r="B68" s="63"/>
      <c r="C68" s="64"/>
      <c r="D68" s="65"/>
      <c r="E68" s="66"/>
      <c r="F68" s="66"/>
      <c r="G68" s="66"/>
      <c r="H68" s="63"/>
    </row>
    <row r="69" ht="19" customHeight="1" spans="1:8">
      <c r="A69" s="62"/>
      <c r="B69" s="63"/>
      <c r="C69" s="64"/>
      <c r="D69" s="65"/>
      <c r="E69" s="66"/>
      <c r="F69" s="66"/>
      <c r="G69" s="66"/>
      <c r="H69" s="63"/>
    </row>
    <row r="70" ht="19" customHeight="1" spans="1:8">
      <c r="A70" s="62"/>
      <c r="B70" s="63"/>
      <c r="C70" s="64"/>
      <c r="D70" s="65"/>
      <c r="E70" s="66"/>
      <c r="F70" s="66"/>
      <c r="G70" s="66"/>
      <c r="H70" s="63"/>
    </row>
    <row r="71" ht="19" customHeight="1" spans="1:8">
      <c r="A71" s="62"/>
      <c r="B71" s="63"/>
      <c r="C71" s="64"/>
      <c r="D71" s="65"/>
      <c r="E71" s="66"/>
      <c r="F71" s="66"/>
      <c r="G71" s="66"/>
      <c r="H71" s="63"/>
    </row>
    <row r="72" ht="19" customHeight="1" spans="1:8">
      <c r="A72" s="62"/>
      <c r="B72" s="63"/>
      <c r="C72" s="64"/>
      <c r="D72" s="65"/>
      <c r="E72" s="66"/>
      <c r="F72" s="66"/>
      <c r="G72" s="66"/>
      <c r="H72" s="63"/>
    </row>
    <row r="73" ht="19" customHeight="1" spans="1:8">
      <c r="A73" s="62"/>
      <c r="B73" s="63"/>
      <c r="C73" s="64"/>
      <c r="D73" s="65"/>
      <c r="E73" s="66"/>
      <c r="F73" s="66"/>
      <c r="G73" s="66"/>
      <c r="H73" s="63"/>
    </row>
    <row r="74" ht="19" customHeight="1" spans="1:8">
      <c r="A74" s="62"/>
      <c r="B74" s="63"/>
      <c r="C74" s="64"/>
      <c r="D74" s="65"/>
      <c r="E74" s="66"/>
      <c r="F74" s="66"/>
      <c r="G74" s="66"/>
      <c r="H74" s="63"/>
    </row>
    <row r="75" ht="19" customHeight="1" spans="1:8">
      <c r="A75" s="62"/>
      <c r="B75" s="63"/>
      <c r="C75" s="64"/>
      <c r="D75" s="65"/>
      <c r="E75" s="66"/>
      <c r="F75" s="66"/>
      <c r="G75" s="66"/>
      <c r="H75" s="63"/>
    </row>
    <row r="76" ht="19" customHeight="1" spans="1:8">
      <c r="A76" s="62"/>
      <c r="B76" s="63"/>
      <c r="C76" s="64"/>
      <c r="D76" s="65"/>
      <c r="E76" s="66"/>
      <c r="F76" s="66"/>
      <c r="G76" s="66"/>
      <c r="H76" s="63"/>
    </row>
    <row r="77" ht="19" customHeight="1" spans="1:8">
      <c r="A77" s="62"/>
      <c r="B77" s="63"/>
      <c r="C77" s="64"/>
      <c r="D77" s="65"/>
      <c r="E77" s="66"/>
      <c r="F77" s="66"/>
      <c r="G77" s="66"/>
      <c r="H77" s="63"/>
    </row>
    <row r="78" ht="19" customHeight="1" spans="1:8">
      <c r="A78" s="62"/>
      <c r="B78" s="63"/>
      <c r="C78" s="64"/>
      <c r="D78" s="65"/>
      <c r="E78" s="66"/>
      <c r="F78" s="66"/>
      <c r="G78" s="66"/>
      <c r="H78" s="63"/>
    </row>
    <row r="79" ht="19" customHeight="1" spans="1:8">
      <c r="A79" s="62"/>
      <c r="B79" s="63"/>
      <c r="C79" s="64"/>
      <c r="D79" s="65"/>
      <c r="E79" s="66"/>
      <c r="F79" s="66"/>
      <c r="G79" s="66"/>
      <c r="H79" s="63"/>
    </row>
    <row r="80" ht="19" customHeight="1" spans="1:8">
      <c r="A80" s="62"/>
      <c r="B80" s="63"/>
      <c r="C80" s="64"/>
      <c r="D80" s="65"/>
      <c r="E80" s="66"/>
      <c r="F80" s="66"/>
      <c r="G80" s="66"/>
      <c r="H80" s="63"/>
    </row>
    <row r="81" ht="19" customHeight="1" spans="1:8">
      <c r="A81" s="62"/>
      <c r="B81" s="63"/>
      <c r="C81" s="64"/>
      <c r="D81" s="65"/>
      <c r="E81" s="66"/>
      <c r="F81" s="66"/>
      <c r="G81" s="66"/>
      <c r="H81" s="63"/>
    </row>
    <row r="82" ht="19" customHeight="1" spans="1:8">
      <c r="A82" s="62"/>
      <c r="B82" s="63"/>
      <c r="C82" s="64"/>
      <c r="D82" s="65"/>
      <c r="E82" s="66"/>
      <c r="F82" s="66"/>
      <c r="G82" s="66"/>
      <c r="H82" s="63"/>
    </row>
    <row r="83" ht="19" customHeight="1" spans="1:8">
      <c r="A83" s="62"/>
      <c r="B83" s="63"/>
      <c r="C83" s="64"/>
      <c r="D83" s="65"/>
      <c r="E83" s="66"/>
      <c r="F83" s="66"/>
      <c r="G83" s="66"/>
      <c r="H83" s="63"/>
    </row>
    <row r="84" ht="19" customHeight="1" spans="1:8">
      <c r="A84" s="62"/>
      <c r="B84" s="63"/>
      <c r="C84" s="64"/>
      <c r="D84" s="65"/>
      <c r="E84" s="66"/>
      <c r="F84" s="66"/>
      <c r="G84" s="66"/>
      <c r="H84" s="63"/>
    </row>
    <row r="85" ht="19" customHeight="1" spans="1:8">
      <c r="A85" s="62"/>
      <c r="B85" s="63"/>
      <c r="C85" s="64"/>
      <c r="D85" s="65"/>
      <c r="E85" s="66"/>
      <c r="F85" s="66"/>
      <c r="G85" s="66"/>
      <c r="H85" s="63"/>
    </row>
    <row r="86" ht="19" customHeight="1" spans="1:8">
      <c r="A86" s="62"/>
      <c r="B86" s="63"/>
      <c r="C86" s="64"/>
      <c r="D86" s="65"/>
      <c r="E86" s="66"/>
      <c r="F86" s="66"/>
      <c r="G86" s="66"/>
      <c r="H86" s="63"/>
    </row>
    <row r="87" ht="19" customHeight="1" spans="1:8">
      <c r="A87" s="62"/>
      <c r="B87" s="63"/>
      <c r="C87" s="64"/>
      <c r="D87" s="65"/>
      <c r="E87" s="66"/>
      <c r="F87" s="66"/>
      <c r="G87" s="66"/>
      <c r="H87" s="63"/>
    </row>
    <row r="88" ht="19" customHeight="1" spans="1:8">
      <c r="A88" s="62"/>
      <c r="B88" s="63"/>
      <c r="C88" s="64"/>
      <c r="D88" s="65"/>
      <c r="E88" s="66"/>
      <c r="F88" s="66"/>
      <c r="G88" s="66"/>
      <c r="H88" s="63"/>
    </row>
    <row r="89" ht="19" customHeight="1" spans="1:8">
      <c r="A89" s="62"/>
      <c r="B89" s="63"/>
      <c r="C89" s="64"/>
      <c r="D89" s="65"/>
      <c r="E89" s="66"/>
      <c r="F89" s="66"/>
      <c r="G89" s="66"/>
      <c r="H89" s="63"/>
    </row>
    <row r="90" ht="19" customHeight="1" spans="1:8">
      <c r="A90" s="62"/>
      <c r="B90" s="63"/>
      <c r="C90" s="64"/>
      <c r="D90" s="65"/>
      <c r="E90" s="66"/>
      <c r="F90" s="66"/>
      <c r="G90" s="66"/>
      <c r="H90" s="63"/>
    </row>
    <row r="91" ht="19" customHeight="1" spans="1:8">
      <c r="A91" s="62"/>
      <c r="B91" s="63"/>
      <c r="C91" s="64"/>
      <c r="D91" s="65"/>
      <c r="E91" s="66"/>
      <c r="F91" s="66"/>
      <c r="G91" s="66"/>
      <c r="H91" s="63"/>
    </row>
    <row r="92" ht="19" customHeight="1" spans="1:8">
      <c r="A92" s="62"/>
      <c r="B92" s="63"/>
      <c r="C92" s="64"/>
      <c r="D92" s="65"/>
      <c r="E92" s="66"/>
      <c r="F92" s="66"/>
      <c r="G92" s="66"/>
      <c r="H92" s="63"/>
    </row>
    <row r="93" ht="19" customHeight="1" spans="1:8">
      <c r="A93" s="62"/>
      <c r="B93" s="63"/>
      <c r="C93" s="64"/>
      <c r="D93" s="65"/>
      <c r="E93" s="66"/>
      <c r="F93" s="66"/>
      <c r="G93" s="66"/>
      <c r="H93" s="63"/>
    </row>
    <row r="94" ht="19" customHeight="1" spans="1:8">
      <c r="A94" s="62"/>
      <c r="B94" s="63"/>
      <c r="C94" s="64"/>
      <c r="D94" s="65"/>
      <c r="E94" s="66"/>
      <c r="F94" s="66"/>
      <c r="G94" s="66"/>
      <c r="H94" s="63"/>
    </row>
    <row r="95" ht="19" customHeight="1" spans="1:8">
      <c r="A95" s="62"/>
      <c r="B95" s="63"/>
      <c r="C95" s="64"/>
      <c r="D95" s="65"/>
      <c r="E95" s="66"/>
      <c r="F95" s="66"/>
      <c r="G95" s="66"/>
      <c r="H95" s="63"/>
    </row>
    <row r="96" ht="19" customHeight="1" spans="1:8">
      <c r="A96" s="62"/>
      <c r="B96" s="63"/>
      <c r="C96" s="64"/>
      <c r="D96" s="65"/>
      <c r="E96" s="66"/>
      <c r="F96" s="66"/>
      <c r="G96" s="66"/>
      <c r="H96" s="63"/>
    </row>
    <row r="97" ht="19" customHeight="1" spans="1:8">
      <c r="A97" s="62"/>
      <c r="B97" s="63"/>
      <c r="C97" s="64"/>
      <c r="D97" s="65"/>
      <c r="E97" s="66"/>
      <c r="F97" s="66"/>
      <c r="G97" s="66"/>
      <c r="H97" s="63"/>
    </row>
    <row r="98" ht="19" customHeight="1" spans="1:8">
      <c r="A98" s="62"/>
      <c r="B98" s="63"/>
      <c r="C98" s="64"/>
      <c r="D98" s="65"/>
      <c r="E98" s="66"/>
      <c r="F98" s="66"/>
      <c r="G98" s="66"/>
      <c r="H98" s="63"/>
    </row>
    <row r="99" ht="19" customHeight="1" spans="1:8">
      <c r="A99" s="62"/>
      <c r="B99" s="63"/>
      <c r="C99" s="64"/>
      <c r="D99" s="65"/>
      <c r="E99" s="66"/>
      <c r="F99" s="66"/>
      <c r="G99" s="66"/>
      <c r="H99" s="63"/>
    </row>
    <row r="100" ht="19" customHeight="1" spans="1:8">
      <c r="A100" s="62"/>
      <c r="B100" s="63"/>
      <c r="C100" s="64"/>
      <c r="D100" s="65"/>
      <c r="E100" s="66"/>
      <c r="F100" s="66"/>
      <c r="G100" s="66"/>
      <c r="H100" s="63"/>
    </row>
    <row r="101" ht="19" customHeight="1" spans="1:8">
      <c r="A101" s="62"/>
      <c r="B101" s="63"/>
      <c r="C101" s="64"/>
      <c r="D101" s="65"/>
      <c r="E101" s="66"/>
      <c r="F101" s="66"/>
      <c r="G101" s="66"/>
      <c r="H101" s="63"/>
    </row>
    <row r="102" ht="19" customHeight="1" spans="1:8">
      <c r="A102" s="62"/>
      <c r="B102" s="63"/>
      <c r="C102" s="64"/>
      <c r="D102" s="65"/>
      <c r="E102" s="66"/>
      <c r="F102" s="66"/>
      <c r="G102" s="66"/>
      <c r="H102" s="63"/>
    </row>
    <row r="103" ht="19" customHeight="1" spans="1:8">
      <c r="A103" s="62"/>
      <c r="B103" s="63"/>
      <c r="C103" s="64"/>
      <c r="D103" s="65"/>
      <c r="E103" s="66"/>
      <c r="F103" s="66"/>
      <c r="G103" s="66"/>
      <c r="H103" s="63"/>
    </row>
    <row r="104" ht="19" customHeight="1" spans="1:8">
      <c r="A104" s="62"/>
      <c r="B104" s="63"/>
      <c r="C104" s="64"/>
      <c r="D104" s="65"/>
      <c r="E104" s="66"/>
      <c r="F104" s="66"/>
      <c r="G104" s="66"/>
      <c r="H104" s="63"/>
    </row>
    <row r="105" ht="19" customHeight="1" spans="1:8">
      <c r="A105" s="62"/>
      <c r="B105" s="63"/>
      <c r="C105" s="64"/>
      <c r="D105" s="65"/>
      <c r="E105" s="66"/>
      <c r="F105" s="66"/>
      <c r="G105" s="66"/>
      <c r="H105" s="63"/>
    </row>
    <row r="106" ht="19" customHeight="1" spans="1:8">
      <c r="A106" s="62"/>
      <c r="B106" s="63"/>
      <c r="C106" s="64"/>
      <c r="D106" s="65"/>
      <c r="E106" s="66"/>
      <c r="F106" s="66"/>
      <c r="G106" s="66"/>
      <c r="H106" s="63"/>
    </row>
    <row r="107" ht="19" customHeight="1" spans="1:8">
      <c r="A107" s="62"/>
      <c r="B107" s="63"/>
      <c r="C107" s="64"/>
      <c r="D107" s="65"/>
      <c r="E107" s="66"/>
      <c r="F107" s="66"/>
      <c r="G107" s="66"/>
      <c r="H107" s="63"/>
    </row>
    <row r="108" ht="19" customHeight="1" spans="1:8">
      <c r="A108" s="62"/>
      <c r="B108" s="63"/>
      <c r="C108" s="64"/>
      <c r="D108" s="65"/>
      <c r="E108" s="66"/>
      <c r="F108" s="66"/>
      <c r="G108" s="66"/>
      <c r="H108" s="63"/>
    </row>
    <row r="109" ht="19" customHeight="1" spans="1:8">
      <c r="A109" s="62"/>
      <c r="B109" s="63"/>
      <c r="C109" s="64"/>
      <c r="D109" s="65"/>
      <c r="E109" s="66"/>
      <c r="F109" s="66"/>
      <c r="G109" s="66"/>
      <c r="H109" s="63"/>
    </row>
    <row r="110" ht="19" customHeight="1" spans="1:8">
      <c r="A110" s="62"/>
      <c r="B110" s="63"/>
      <c r="C110" s="64"/>
      <c r="D110" s="65"/>
      <c r="E110" s="66"/>
      <c r="F110" s="66"/>
      <c r="G110" s="66"/>
      <c r="H110" s="63"/>
    </row>
    <row r="111" ht="19" customHeight="1" spans="1:8">
      <c r="A111" s="62"/>
      <c r="B111" s="63"/>
      <c r="C111" s="64"/>
      <c r="D111" s="65"/>
      <c r="E111" s="66"/>
      <c r="F111" s="66"/>
      <c r="G111" s="66"/>
      <c r="H111" s="63"/>
    </row>
    <row r="112" ht="19" customHeight="1" spans="1:8">
      <c r="A112" s="62"/>
      <c r="B112" s="63"/>
      <c r="C112" s="64"/>
      <c r="D112" s="65"/>
      <c r="E112" s="66"/>
      <c r="F112" s="66"/>
      <c r="G112" s="66"/>
      <c r="H112" s="63"/>
    </row>
    <row r="113" ht="19" customHeight="1" spans="1:8">
      <c r="A113" s="62"/>
      <c r="B113" s="63"/>
      <c r="C113" s="64"/>
      <c r="D113" s="65"/>
      <c r="E113" s="66"/>
      <c r="F113" s="66"/>
      <c r="G113" s="66"/>
      <c r="H113" s="63"/>
    </row>
    <row r="114" ht="19" customHeight="1" spans="1:8">
      <c r="A114" s="62"/>
      <c r="B114" s="63"/>
      <c r="C114" s="64"/>
      <c r="D114" s="65"/>
      <c r="E114" s="66"/>
      <c r="F114" s="66"/>
      <c r="G114" s="66"/>
      <c r="H114" s="63"/>
    </row>
    <row r="115" ht="19" customHeight="1" spans="1:8">
      <c r="A115" s="62"/>
      <c r="B115" s="63"/>
      <c r="C115" s="64"/>
      <c r="D115" s="65"/>
      <c r="E115" s="66"/>
      <c r="F115" s="66"/>
      <c r="G115" s="66"/>
      <c r="H115" s="63"/>
    </row>
    <row r="116" ht="19" customHeight="1" spans="1:8">
      <c r="A116" s="62"/>
      <c r="B116" s="63"/>
      <c r="C116" s="64"/>
      <c r="D116" s="65"/>
      <c r="E116" s="66"/>
      <c r="F116" s="66"/>
      <c r="G116" s="66"/>
      <c r="H116" s="63"/>
    </row>
    <row r="117" ht="19" customHeight="1" spans="1:8">
      <c r="A117" s="62"/>
      <c r="B117" s="63"/>
      <c r="C117" s="64"/>
      <c r="D117" s="65"/>
      <c r="E117" s="66"/>
      <c r="F117" s="66"/>
      <c r="G117" s="66"/>
      <c r="H117" s="63"/>
    </row>
    <row r="118" ht="19" customHeight="1" spans="1:8">
      <c r="A118" s="62"/>
      <c r="B118" s="63"/>
      <c r="C118" s="64"/>
      <c r="D118" s="65"/>
      <c r="E118" s="66"/>
      <c r="F118" s="66"/>
      <c r="G118" s="66"/>
      <c r="H118" s="63"/>
    </row>
    <row r="119" ht="19" customHeight="1" spans="1:8">
      <c r="A119" s="62"/>
      <c r="B119" s="63"/>
      <c r="C119" s="64"/>
      <c r="D119" s="65"/>
      <c r="E119" s="66"/>
      <c r="F119" s="66"/>
      <c r="G119" s="66"/>
      <c r="H119" s="63"/>
    </row>
    <row r="120" ht="19" customHeight="1" spans="1:8">
      <c r="A120" s="62"/>
      <c r="B120" s="63"/>
      <c r="C120" s="64"/>
      <c r="D120" s="65"/>
      <c r="E120" s="66"/>
      <c r="F120" s="66"/>
      <c r="G120" s="66"/>
      <c r="H120" s="63"/>
    </row>
    <row r="121" ht="19" customHeight="1" spans="1:8">
      <c r="A121" s="62"/>
      <c r="B121" s="63"/>
      <c r="C121" s="64"/>
      <c r="D121" s="65"/>
      <c r="E121" s="66"/>
      <c r="F121" s="66"/>
      <c r="G121" s="66"/>
      <c r="H121" s="63"/>
    </row>
    <row r="122" ht="19" customHeight="1" spans="1:8">
      <c r="A122" s="62"/>
      <c r="B122" s="63"/>
      <c r="C122" s="64"/>
      <c r="D122" s="65"/>
      <c r="E122" s="66"/>
      <c r="F122" s="66"/>
      <c r="G122" s="66"/>
      <c r="H122" s="63"/>
    </row>
    <row r="123" ht="19" customHeight="1" spans="1:8">
      <c r="A123" s="62"/>
      <c r="B123" s="63"/>
      <c r="C123" s="64"/>
      <c r="D123" s="65"/>
      <c r="E123" s="66"/>
      <c r="F123" s="66"/>
      <c r="G123" s="66"/>
      <c r="H123" s="63"/>
    </row>
    <row r="124" ht="19" customHeight="1" spans="1:8">
      <c r="A124" s="62"/>
      <c r="B124" s="63"/>
      <c r="C124" s="64"/>
      <c r="D124" s="65"/>
      <c r="E124" s="66"/>
      <c r="F124" s="66"/>
      <c r="G124" s="66"/>
      <c r="H124" s="63"/>
    </row>
    <row r="125" ht="19" customHeight="1" spans="1:8">
      <c r="A125" s="62"/>
      <c r="B125" s="63"/>
      <c r="C125" s="64"/>
      <c r="D125" s="65"/>
      <c r="E125" s="66"/>
      <c r="F125" s="66"/>
      <c r="G125" s="66"/>
      <c r="H125" s="63"/>
    </row>
    <row r="126" ht="19" customHeight="1" spans="1:8">
      <c r="A126" s="62"/>
      <c r="B126" s="63"/>
      <c r="C126" s="64"/>
      <c r="D126" s="65"/>
      <c r="E126" s="66"/>
      <c r="F126" s="66"/>
      <c r="G126" s="66"/>
      <c r="H126" s="63"/>
    </row>
    <row r="127" ht="19" customHeight="1" spans="1:8">
      <c r="A127" s="62"/>
      <c r="B127" s="63"/>
      <c r="C127" s="64"/>
      <c r="D127" s="65"/>
      <c r="E127" s="66"/>
      <c r="F127" s="66"/>
      <c r="G127" s="66"/>
      <c r="H127" s="63"/>
    </row>
    <row r="128" ht="19" customHeight="1" spans="1:8">
      <c r="A128" s="62"/>
      <c r="B128" s="63"/>
      <c r="C128" s="64"/>
      <c r="D128" s="65"/>
      <c r="E128" s="66"/>
      <c r="F128" s="66"/>
      <c r="G128" s="66"/>
      <c r="H128" s="63"/>
    </row>
    <row r="129" ht="19" customHeight="1" spans="1:8">
      <c r="A129" s="62"/>
      <c r="B129" s="63"/>
      <c r="C129" s="64"/>
      <c r="D129" s="65"/>
      <c r="E129" s="66"/>
      <c r="F129" s="66"/>
      <c r="G129" s="66"/>
      <c r="H129" s="63"/>
    </row>
    <row r="130" ht="19" customHeight="1" spans="1:8">
      <c r="A130" s="62"/>
      <c r="B130" s="63"/>
      <c r="C130" s="64"/>
      <c r="D130" s="65"/>
      <c r="E130" s="66"/>
      <c r="F130" s="66"/>
      <c r="G130" s="66"/>
      <c r="H130" s="63"/>
    </row>
    <row r="131" ht="19" customHeight="1" spans="1:8">
      <c r="A131" s="62"/>
      <c r="B131" s="63"/>
      <c r="C131" s="64"/>
      <c r="D131" s="65"/>
      <c r="E131" s="66"/>
      <c r="F131" s="66"/>
      <c r="G131" s="66"/>
      <c r="H131" s="63"/>
    </row>
    <row r="132" ht="19" customHeight="1" spans="1:8">
      <c r="A132" s="62"/>
      <c r="B132" s="63"/>
      <c r="C132" s="64"/>
      <c r="D132" s="65"/>
      <c r="E132" s="66"/>
      <c r="F132" s="66"/>
      <c r="G132" s="66"/>
      <c r="H132" s="63"/>
    </row>
    <row r="133" ht="19" customHeight="1" spans="1:8">
      <c r="A133" s="62"/>
      <c r="B133" s="63"/>
      <c r="C133" s="64"/>
      <c r="D133" s="65"/>
      <c r="E133" s="66"/>
      <c r="F133" s="66"/>
      <c r="G133" s="66"/>
      <c r="H133" s="63"/>
    </row>
    <row r="134" ht="19" customHeight="1" spans="1:8">
      <c r="A134" s="62"/>
      <c r="B134" s="63"/>
      <c r="C134" s="64"/>
      <c r="D134" s="65"/>
      <c r="E134" s="66"/>
      <c r="F134" s="66"/>
      <c r="G134" s="66"/>
      <c r="H134" s="63"/>
    </row>
    <row r="135" ht="19" customHeight="1" spans="1:8">
      <c r="A135" s="62"/>
      <c r="B135" s="63"/>
      <c r="C135" s="64"/>
      <c r="D135" s="65"/>
      <c r="E135" s="66"/>
      <c r="F135" s="66"/>
      <c r="G135" s="66"/>
      <c r="H135" s="63"/>
    </row>
    <row r="136" ht="19" customHeight="1" spans="1:8">
      <c r="A136" s="62"/>
      <c r="B136" s="63"/>
      <c r="C136" s="64"/>
      <c r="D136" s="65"/>
      <c r="E136" s="66"/>
      <c r="F136" s="66"/>
      <c r="G136" s="66"/>
      <c r="H136" s="63"/>
    </row>
    <row r="137" ht="19" customHeight="1" spans="1:8">
      <c r="A137" s="62"/>
      <c r="B137" s="63"/>
      <c r="C137" s="64"/>
      <c r="D137" s="65"/>
      <c r="E137" s="66"/>
      <c r="F137" s="66"/>
      <c r="G137" s="66"/>
      <c r="H137" s="63"/>
    </row>
    <row r="138" ht="19" customHeight="1" spans="1:8">
      <c r="A138" s="62"/>
      <c r="B138" s="63"/>
      <c r="C138" s="64"/>
      <c r="D138" s="65"/>
      <c r="E138" s="66"/>
      <c r="F138" s="66"/>
      <c r="G138" s="66"/>
      <c r="H138" s="63"/>
    </row>
    <row r="139" ht="19" customHeight="1" spans="1:8">
      <c r="A139" s="62"/>
      <c r="B139" s="63"/>
      <c r="C139" s="64"/>
      <c r="D139" s="65"/>
      <c r="E139" s="66"/>
      <c r="F139" s="66"/>
      <c r="G139" s="66"/>
      <c r="H139" s="63"/>
    </row>
    <row r="140" ht="19" customHeight="1" spans="1:8">
      <c r="A140" s="62"/>
      <c r="B140" s="63"/>
      <c r="C140" s="64"/>
      <c r="D140" s="65"/>
      <c r="E140" s="66"/>
      <c r="F140" s="66"/>
      <c r="G140" s="66"/>
      <c r="H140" s="63"/>
    </row>
    <row r="141" ht="19" customHeight="1" spans="1:8">
      <c r="A141" s="62"/>
      <c r="B141" s="63"/>
      <c r="C141" s="64"/>
      <c r="D141" s="65"/>
      <c r="E141" s="66"/>
      <c r="F141" s="66"/>
      <c r="G141" s="66"/>
      <c r="H141" s="63"/>
    </row>
    <row r="142" ht="19" customHeight="1" spans="1:8">
      <c r="A142" s="62"/>
      <c r="B142" s="63"/>
      <c r="C142" s="64"/>
      <c r="D142" s="65"/>
      <c r="E142" s="66"/>
      <c r="F142" s="66"/>
      <c r="G142" s="66"/>
      <c r="H142" s="63"/>
    </row>
    <row r="143" ht="19" customHeight="1" spans="1:8">
      <c r="A143" s="62"/>
      <c r="B143" s="63"/>
      <c r="C143" s="64"/>
      <c r="D143" s="65"/>
      <c r="E143" s="66"/>
      <c r="F143" s="66"/>
      <c r="G143" s="66"/>
      <c r="H143" s="63"/>
    </row>
    <row r="144" ht="19" customHeight="1" spans="1:8">
      <c r="A144" s="62"/>
      <c r="B144" s="63"/>
      <c r="C144" s="64"/>
      <c r="D144" s="65"/>
      <c r="E144" s="66"/>
      <c r="F144" s="66"/>
      <c r="G144" s="66"/>
      <c r="H144" s="63"/>
    </row>
    <row r="145" ht="19" customHeight="1" spans="1:8">
      <c r="A145" s="62"/>
      <c r="B145" s="63"/>
      <c r="C145" s="64"/>
      <c r="D145" s="65"/>
      <c r="E145" s="66"/>
      <c r="F145" s="66"/>
      <c r="G145" s="66"/>
      <c r="H145" s="63"/>
    </row>
    <row r="146" ht="19" customHeight="1" spans="1:8">
      <c r="A146" s="62"/>
      <c r="B146" s="63"/>
      <c r="C146" s="64"/>
      <c r="D146" s="65"/>
      <c r="E146" s="66"/>
      <c r="F146" s="66"/>
      <c r="G146" s="66"/>
      <c r="H146" s="63"/>
    </row>
    <row r="147" ht="19" customHeight="1" spans="1:8">
      <c r="A147" s="62"/>
      <c r="B147" s="63"/>
      <c r="C147" s="64"/>
      <c r="D147" s="65"/>
      <c r="E147" s="66"/>
      <c r="F147" s="66"/>
      <c r="G147" s="66"/>
      <c r="H147" s="63"/>
    </row>
    <row r="148" ht="19" customHeight="1" spans="1:8">
      <c r="A148" s="62"/>
      <c r="B148" s="63"/>
      <c r="C148" s="64"/>
      <c r="D148" s="65"/>
      <c r="E148" s="66"/>
      <c r="F148" s="66"/>
      <c r="G148" s="66"/>
      <c r="H148" s="63"/>
    </row>
    <row r="149" ht="19" customHeight="1" spans="1:8">
      <c r="A149" s="62"/>
      <c r="B149" s="63"/>
      <c r="C149" s="64"/>
      <c r="D149" s="65"/>
      <c r="E149" s="66"/>
      <c r="F149" s="66"/>
      <c r="G149" s="66"/>
      <c r="H149" s="63"/>
    </row>
    <row r="150" ht="19" customHeight="1" spans="1:8">
      <c r="A150" s="62"/>
      <c r="B150" s="63"/>
      <c r="C150" s="64"/>
      <c r="D150" s="65"/>
      <c r="E150" s="66"/>
      <c r="F150" s="66"/>
      <c r="G150" s="66"/>
      <c r="H150" s="63"/>
    </row>
    <row r="151" ht="19" customHeight="1" spans="1:8">
      <c r="A151" s="62"/>
      <c r="B151" s="63"/>
      <c r="C151" s="64"/>
      <c r="D151" s="65"/>
      <c r="E151" s="66"/>
      <c r="F151" s="66"/>
      <c r="G151" s="66"/>
      <c r="H151" s="63"/>
    </row>
    <row r="152" ht="19" customHeight="1" spans="1:8">
      <c r="A152" s="62"/>
      <c r="B152" s="63"/>
      <c r="C152" s="64"/>
      <c r="D152" s="65"/>
      <c r="E152" s="66"/>
      <c r="F152" s="66"/>
      <c r="G152" s="66"/>
      <c r="H152" s="63"/>
    </row>
    <row r="153" ht="19" customHeight="1" spans="1:8">
      <c r="A153" s="62"/>
      <c r="B153" s="63"/>
      <c r="C153" s="64"/>
      <c r="D153" s="65"/>
      <c r="E153" s="66"/>
      <c r="F153" s="66"/>
      <c r="G153" s="66"/>
      <c r="H153" s="63"/>
    </row>
    <row r="154" ht="19" customHeight="1" spans="1:8">
      <c r="A154" s="62"/>
      <c r="B154" s="63"/>
      <c r="C154" s="64"/>
      <c r="D154" s="65"/>
      <c r="E154" s="66"/>
      <c r="F154" s="66"/>
      <c r="G154" s="66"/>
      <c r="H154" s="63"/>
    </row>
    <row r="155" ht="19" customHeight="1" spans="1:8">
      <c r="A155" s="62"/>
      <c r="B155" s="63"/>
      <c r="C155" s="64"/>
      <c r="D155" s="65"/>
      <c r="E155" s="66"/>
      <c r="F155" s="66"/>
      <c r="G155" s="66"/>
      <c r="H155" s="63"/>
    </row>
    <row r="156" ht="19" customHeight="1" spans="1:8">
      <c r="A156" s="62"/>
      <c r="B156" s="63"/>
      <c r="C156" s="64"/>
      <c r="D156" s="65"/>
      <c r="E156" s="66"/>
      <c r="F156" s="66"/>
      <c r="G156" s="66"/>
      <c r="H156" s="63"/>
    </row>
    <row r="157" ht="19" customHeight="1" spans="1:8">
      <c r="A157" s="62"/>
      <c r="B157" s="63"/>
      <c r="C157" s="64"/>
      <c r="D157" s="65"/>
      <c r="E157" s="66"/>
      <c r="F157" s="66"/>
      <c r="G157" s="66"/>
      <c r="H157" s="63"/>
    </row>
    <row r="158" ht="19" customHeight="1" spans="1:8">
      <c r="A158" s="62"/>
      <c r="B158" s="63"/>
      <c r="C158" s="64"/>
      <c r="D158" s="65"/>
      <c r="E158" s="66"/>
      <c r="F158" s="66"/>
      <c r="G158" s="66"/>
      <c r="H158" s="63"/>
    </row>
    <row r="159" ht="19" customHeight="1" spans="1:8">
      <c r="A159" s="62"/>
      <c r="B159" s="63"/>
      <c r="C159" s="64"/>
      <c r="D159" s="65"/>
      <c r="E159" s="66"/>
      <c r="F159" s="66"/>
      <c r="G159" s="66"/>
      <c r="H159" s="63"/>
    </row>
    <row r="160" ht="19" customHeight="1" spans="1:8">
      <c r="A160" s="62"/>
      <c r="B160" s="63"/>
      <c r="C160" s="64"/>
      <c r="D160" s="65"/>
      <c r="E160" s="66"/>
      <c r="F160" s="66"/>
      <c r="G160" s="66"/>
      <c r="H160" s="63"/>
    </row>
    <row r="161" ht="19" customHeight="1" spans="1:8">
      <c r="A161" s="62"/>
      <c r="B161" s="63"/>
      <c r="C161" s="64"/>
      <c r="D161" s="65"/>
      <c r="E161" s="66"/>
      <c r="F161" s="66"/>
      <c r="G161" s="66"/>
      <c r="H161" s="63"/>
    </row>
    <row r="162" ht="19" customHeight="1" spans="1:8">
      <c r="A162" s="62"/>
      <c r="B162" s="63"/>
      <c r="C162" s="64"/>
      <c r="D162" s="65"/>
      <c r="E162" s="66"/>
      <c r="F162" s="66"/>
      <c r="G162" s="66"/>
      <c r="H162" s="63"/>
    </row>
    <row r="163" ht="19" customHeight="1" spans="1:8">
      <c r="A163" s="62"/>
      <c r="B163" s="63"/>
      <c r="C163" s="64"/>
      <c r="D163" s="65"/>
      <c r="E163" s="66"/>
      <c r="F163" s="66"/>
      <c r="G163" s="66"/>
      <c r="H163" s="63"/>
    </row>
    <row r="164" ht="19" customHeight="1" spans="1:8">
      <c r="A164" s="62"/>
      <c r="B164" s="63"/>
      <c r="C164" s="64"/>
      <c r="D164" s="65"/>
      <c r="E164" s="66"/>
      <c r="F164" s="66"/>
      <c r="G164" s="66"/>
      <c r="H164" s="63"/>
    </row>
    <row r="165" ht="19" customHeight="1" spans="1:8">
      <c r="A165" s="62"/>
      <c r="B165" s="63"/>
      <c r="C165" s="64"/>
      <c r="D165" s="65"/>
      <c r="E165" s="66"/>
      <c r="F165" s="66"/>
      <c r="G165" s="66"/>
      <c r="H165" s="63"/>
    </row>
    <row r="166" ht="19" customHeight="1" spans="1:8">
      <c r="A166" s="62"/>
      <c r="B166" s="63"/>
      <c r="C166" s="64"/>
      <c r="D166" s="65"/>
      <c r="E166" s="66"/>
      <c r="F166" s="66"/>
      <c r="G166" s="66"/>
      <c r="H166" s="63"/>
    </row>
    <row r="167" ht="19" customHeight="1" spans="1:8">
      <c r="A167" s="62"/>
      <c r="B167" s="63"/>
      <c r="C167" s="64"/>
      <c r="D167" s="65"/>
      <c r="E167" s="66"/>
      <c r="F167" s="66"/>
      <c r="G167" s="66"/>
      <c r="H167" s="63"/>
    </row>
    <row r="168" ht="19" customHeight="1" spans="1:8">
      <c r="A168" s="62"/>
      <c r="B168" s="63"/>
      <c r="C168" s="64"/>
      <c r="D168" s="65"/>
      <c r="E168" s="66"/>
      <c r="F168" s="66"/>
      <c r="G168" s="66"/>
      <c r="H168" s="63"/>
    </row>
    <row r="169" ht="19" customHeight="1" spans="1:8">
      <c r="A169" s="62"/>
      <c r="B169" s="63"/>
      <c r="C169" s="64"/>
      <c r="D169" s="65"/>
      <c r="E169" s="66"/>
      <c r="F169" s="66"/>
      <c r="G169" s="66"/>
      <c r="H169" s="63"/>
    </row>
    <row r="170" ht="19" customHeight="1" spans="1:8">
      <c r="A170" s="62"/>
      <c r="B170" s="63"/>
      <c r="C170" s="64"/>
      <c r="D170" s="65"/>
      <c r="E170" s="66"/>
      <c r="F170" s="66"/>
      <c r="G170" s="66"/>
      <c r="H170" s="63"/>
    </row>
    <row r="171" ht="19" customHeight="1" spans="1:8">
      <c r="A171" s="62"/>
      <c r="B171" s="63"/>
      <c r="C171" s="64"/>
      <c r="D171" s="65"/>
      <c r="E171" s="66"/>
      <c r="F171" s="66"/>
      <c r="G171" s="66"/>
      <c r="H171" s="63"/>
    </row>
    <row r="172" ht="19" customHeight="1" spans="1:8">
      <c r="A172" s="62"/>
      <c r="B172" s="63"/>
      <c r="C172" s="64"/>
      <c r="D172" s="65"/>
      <c r="E172" s="66"/>
      <c r="F172" s="66"/>
      <c r="G172" s="66"/>
      <c r="H172" s="63"/>
    </row>
    <row r="173" ht="19" customHeight="1" spans="1:8">
      <c r="A173" s="62"/>
      <c r="B173" s="63"/>
      <c r="C173" s="64"/>
      <c r="D173" s="65"/>
      <c r="E173" s="66"/>
      <c r="F173" s="66"/>
      <c r="G173" s="66"/>
      <c r="H173" s="63"/>
    </row>
    <row r="174" ht="19" customHeight="1" spans="1:8">
      <c r="A174" s="62"/>
      <c r="B174" s="63"/>
      <c r="C174" s="64"/>
      <c r="D174" s="65"/>
      <c r="E174" s="66"/>
      <c r="F174" s="66"/>
      <c r="G174" s="66"/>
      <c r="H174" s="63"/>
    </row>
    <row r="175" ht="19" customHeight="1" spans="1:8">
      <c r="A175" s="62"/>
      <c r="B175" s="63"/>
      <c r="C175" s="64"/>
      <c r="D175" s="65"/>
      <c r="E175" s="66"/>
      <c r="F175" s="66"/>
      <c r="G175" s="66"/>
      <c r="H175" s="63"/>
    </row>
    <row r="176" ht="19" customHeight="1" spans="1:8">
      <c r="A176" s="62"/>
      <c r="B176" s="63"/>
      <c r="C176" s="64"/>
      <c r="D176" s="65"/>
      <c r="E176" s="66"/>
      <c r="F176" s="66"/>
      <c r="G176" s="66"/>
      <c r="H176" s="63"/>
    </row>
    <row r="177" ht="19" customHeight="1" spans="1:8">
      <c r="A177" s="62"/>
      <c r="B177" s="63"/>
      <c r="C177" s="64"/>
      <c r="D177" s="65"/>
      <c r="E177" s="66"/>
      <c r="F177" s="66"/>
      <c r="G177" s="66"/>
      <c r="H177" s="63"/>
    </row>
    <row r="178" ht="19" customHeight="1" spans="1:8">
      <c r="A178" s="62"/>
      <c r="B178" s="63"/>
      <c r="C178" s="64"/>
      <c r="D178" s="65"/>
      <c r="E178" s="66"/>
      <c r="F178" s="66"/>
      <c r="G178" s="66"/>
      <c r="H178" s="63"/>
    </row>
    <row r="179" ht="19" customHeight="1" spans="1:8">
      <c r="A179" s="62"/>
      <c r="B179" s="63"/>
      <c r="C179" s="64"/>
      <c r="D179" s="65"/>
      <c r="E179" s="66"/>
      <c r="F179" s="66"/>
      <c r="G179" s="66"/>
      <c r="H179" s="63"/>
    </row>
    <row r="180" ht="19" customHeight="1" spans="1:8">
      <c r="A180" s="62"/>
      <c r="B180" s="63"/>
      <c r="C180" s="64"/>
      <c r="D180" s="65"/>
      <c r="E180" s="66"/>
      <c r="F180" s="66"/>
      <c r="G180" s="66"/>
      <c r="H180" s="63"/>
    </row>
    <row r="181" ht="19" customHeight="1" spans="1:8">
      <c r="A181" s="62"/>
      <c r="B181" s="63"/>
      <c r="C181" s="64"/>
      <c r="D181" s="65"/>
      <c r="E181" s="66"/>
      <c r="F181" s="66"/>
      <c r="G181" s="66"/>
      <c r="H181" s="63"/>
    </row>
    <row r="182" ht="19" customHeight="1" spans="1:8">
      <c r="A182" s="62"/>
      <c r="B182" s="63"/>
      <c r="C182" s="64"/>
      <c r="D182" s="65"/>
      <c r="E182" s="66"/>
      <c r="F182" s="66"/>
      <c r="G182" s="66"/>
      <c r="H182" s="63"/>
    </row>
    <row r="183" ht="19" customHeight="1" spans="1:8">
      <c r="A183" s="62"/>
      <c r="B183" s="63"/>
      <c r="C183" s="64"/>
      <c r="D183" s="65"/>
      <c r="E183" s="66"/>
      <c r="F183" s="66"/>
      <c r="G183" s="66"/>
      <c r="H183" s="63"/>
    </row>
    <row r="184" ht="19" customHeight="1" spans="1:8">
      <c r="A184" s="62"/>
      <c r="B184" s="63"/>
      <c r="C184" s="64"/>
      <c r="D184" s="65"/>
      <c r="E184" s="66"/>
      <c r="F184" s="66"/>
      <c r="G184" s="66"/>
      <c r="H184" s="63"/>
    </row>
    <row r="185" ht="19" customHeight="1" spans="1:8">
      <c r="A185" s="62"/>
      <c r="B185" s="63"/>
      <c r="C185" s="64"/>
      <c r="D185" s="65"/>
      <c r="E185" s="66"/>
      <c r="F185" s="66"/>
      <c r="G185" s="66"/>
      <c r="H185" s="63"/>
    </row>
    <row r="186" ht="19" customHeight="1" spans="1:8">
      <c r="A186" s="62"/>
      <c r="B186" s="63"/>
      <c r="C186" s="64"/>
      <c r="D186" s="65"/>
      <c r="E186" s="66"/>
      <c r="F186" s="66"/>
      <c r="G186" s="66"/>
      <c r="H186" s="63"/>
    </row>
    <row r="187" ht="19" customHeight="1" spans="1:8">
      <c r="A187" s="62"/>
      <c r="B187" s="63"/>
      <c r="C187" s="64"/>
      <c r="D187" s="65"/>
      <c r="E187" s="66"/>
      <c r="F187" s="66"/>
      <c r="G187" s="66"/>
      <c r="H187" s="63"/>
    </row>
    <row r="188" ht="19" customHeight="1" spans="1:8">
      <c r="A188" s="62"/>
      <c r="B188" s="63"/>
      <c r="C188" s="64"/>
      <c r="D188" s="65"/>
      <c r="E188" s="66"/>
      <c r="F188" s="66"/>
      <c r="G188" s="66"/>
      <c r="H188" s="63"/>
    </row>
    <row r="189" ht="19" customHeight="1" spans="1:8">
      <c r="A189" s="62"/>
      <c r="B189" s="63"/>
      <c r="C189" s="64"/>
      <c r="D189" s="65"/>
      <c r="E189" s="66"/>
      <c r="F189" s="66"/>
      <c r="G189" s="66"/>
      <c r="H189" s="63"/>
    </row>
    <row r="190" ht="19" customHeight="1" spans="1:8">
      <c r="A190" s="62"/>
      <c r="B190" s="63"/>
      <c r="C190" s="64"/>
      <c r="D190" s="65"/>
      <c r="E190" s="66"/>
      <c r="F190" s="66"/>
      <c r="G190" s="66"/>
      <c r="H190" s="63"/>
    </row>
    <row r="191" ht="19" customHeight="1" spans="1:8">
      <c r="A191" s="62"/>
      <c r="B191" s="63"/>
      <c r="C191" s="64"/>
      <c r="D191" s="65"/>
      <c r="E191" s="66"/>
      <c r="F191" s="66"/>
      <c r="G191" s="66"/>
      <c r="H191" s="63"/>
    </row>
    <row r="192" ht="19" customHeight="1" spans="1:8">
      <c r="A192" s="62"/>
      <c r="B192" s="63"/>
      <c r="C192" s="64"/>
      <c r="D192" s="65"/>
      <c r="E192" s="66"/>
      <c r="F192" s="66"/>
      <c r="G192" s="66"/>
      <c r="H192" s="63"/>
    </row>
    <row r="193" ht="19" customHeight="1" spans="1:8">
      <c r="A193" s="62"/>
      <c r="B193" s="63"/>
      <c r="C193" s="64"/>
      <c r="D193" s="65"/>
      <c r="E193" s="66"/>
      <c r="F193" s="66"/>
      <c r="G193" s="66"/>
      <c r="H193" s="63"/>
    </row>
    <row r="194" ht="19" customHeight="1" spans="1:8">
      <c r="A194" s="62"/>
      <c r="B194" s="63"/>
      <c r="C194" s="64"/>
      <c r="D194" s="65"/>
      <c r="E194" s="66"/>
      <c r="F194" s="66"/>
      <c r="G194" s="66"/>
      <c r="H194" s="63"/>
    </row>
    <row r="195" ht="19" customHeight="1" spans="1:8">
      <c r="A195" s="62"/>
      <c r="B195" s="63"/>
      <c r="C195" s="64"/>
      <c r="D195" s="65"/>
      <c r="E195" s="66"/>
      <c r="F195" s="66"/>
      <c r="G195" s="66"/>
      <c r="H195" s="63"/>
    </row>
    <row r="196" ht="19" customHeight="1" spans="1:8">
      <c r="A196" s="62"/>
      <c r="B196" s="63"/>
      <c r="C196" s="64"/>
      <c r="D196" s="65"/>
      <c r="E196" s="66"/>
      <c r="F196" s="66"/>
      <c r="G196" s="66"/>
      <c r="H196" s="63"/>
    </row>
    <row r="197" ht="19" customHeight="1" spans="1:8">
      <c r="A197" s="62"/>
      <c r="B197" s="63"/>
      <c r="C197" s="64"/>
      <c r="D197" s="65"/>
      <c r="E197" s="66"/>
      <c r="F197" s="66"/>
      <c r="G197" s="66"/>
      <c r="H197" s="63"/>
    </row>
    <row r="198" ht="19" customHeight="1" spans="1:8">
      <c r="A198" s="62"/>
      <c r="B198" s="63"/>
      <c r="C198" s="64"/>
      <c r="D198" s="65"/>
      <c r="E198" s="66"/>
      <c r="F198" s="66"/>
      <c r="G198" s="66"/>
      <c r="H198" s="63"/>
    </row>
    <row r="199" ht="19" customHeight="1" spans="1:8">
      <c r="A199" s="62"/>
      <c r="B199" s="63"/>
      <c r="C199" s="64"/>
      <c r="D199" s="65"/>
      <c r="E199" s="66"/>
      <c r="F199" s="66"/>
      <c r="G199" s="66"/>
      <c r="H199" s="63"/>
    </row>
    <row r="200" ht="19" customHeight="1" spans="1:8">
      <c r="A200" s="62"/>
      <c r="B200" s="63"/>
      <c r="C200" s="64"/>
      <c r="D200" s="65"/>
      <c r="E200" s="66"/>
      <c r="F200" s="66"/>
      <c r="G200" s="66"/>
      <c r="H200" s="63"/>
    </row>
    <row r="201" ht="19" customHeight="1" spans="1:8">
      <c r="A201" s="62"/>
      <c r="B201" s="63"/>
      <c r="C201" s="64"/>
      <c r="D201" s="65"/>
      <c r="E201" s="66"/>
      <c r="F201" s="66"/>
      <c r="G201" s="66"/>
      <c r="H201" s="63"/>
    </row>
    <row r="202" ht="19" customHeight="1" spans="1:8">
      <c r="A202" s="62"/>
      <c r="B202" s="63"/>
      <c r="C202" s="64"/>
      <c r="D202" s="65"/>
      <c r="E202" s="66"/>
      <c r="F202" s="66"/>
      <c r="G202" s="66"/>
      <c r="H202" s="63"/>
    </row>
    <row r="203" ht="19" customHeight="1" spans="1:8">
      <c r="A203" s="62"/>
      <c r="B203" s="63"/>
      <c r="C203" s="64"/>
      <c r="D203" s="65"/>
      <c r="E203" s="66"/>
      <c r="F203" s="66"/>
      <c r="G203" s="66"/>
      <c r="H203" s="63"/>
    </row>
    <row r="204" ht="19" customHeight="1" spans="1:8">
      <c r="A204" s="62"/>
      <c r="B204" s="63"/>
      <c r="C204" s="64"/>
      <c r="D204" s="65"/>
      <c r="E204" s="66"/>
      <c r="F204" s="66"/>
      <c r="G204" s="66"/>
      <c r="H204" s="63"/>
    </row>
    <row r="205" ht="19" customHeight="1" spans="1:8">
      <c r="A205" s="62"/>
      <c r="B205" s="63"/>
      <c r="C205" s="64"/>
      <c r="D205" s="65"/>
      <c r="E205" s="66"/>
      <c r="F205" s="66"/>
      <c r="G205" s="66"/>
      <c r="H205" s="63"/>
    </row>
    <row r="206" ht="19" customHeight="1" spans="1:8">
      <c r="A206" s="62"/>
      <c r="B206" s="63"/>
      <c r="C206" s="64"/>
      <c r="D206" s="65"/>
      <c r="E206" s="66"/>
      <c r="F206" s="66"/>
      <c r="G206" s="66"/>
      <c r="H206" s="63"/>
    </row>
    <row r="207" ht="19" customHeight="1" spans="1:8">
      <c r="A207" s="62"/>
      <c r="B207" s="63"/>
      <c r="C207" s="64"/>
      <c r="D207" s="65"/>
      <c r="E207" s="66"/>
      <c r="F207" s="66"/>
      <c r="G207" s="66"/>
      <c r="H207" s="63"/>
    </row>
    <row r="208" ht="19" customHeight="1" spans="1:8">
      <c r="A208" s="62"/>
      <c r="B208" s="63"/>
      <c r="C208" s="64"/>
      <c r="D208" s="65"/>
      <c r="E208" s="66"/>
      <c r="F208" s="66"/>
      <c r="G208" s="66"/>
      <c r="H208" s="63"/>
    </row>
    <row r="209" ht="19" customHeight="1" spans="1:8">
      <c r="A209" s="62"/>
      <c r="B209" s="63"/>
      <c r="C209" s="64"/>
      <c r="D209" s="65"/>
      <c r="E209" s="66"/>
      <c r="F209" s="66"/>
      <c r="G209" s="66"/>
      <c r="H209" s="63"/>
    </row>
    <row r="210" ht="19" customHeight="1" spans="1:8">
      <c r="A210" s="62"/>
      <c r="B210" s="63"/>
      <c r="C210" s="64"/>
      <c r="D210" s="65"/>
      <c r="E210" s="66"/>
      <c r="F210" s="66"/>
      <c r="G210" s="66"/>
      <c r="H210" s="63"/>
    </row>
    <row r="211" ht="19" customHeight="1" spans="1:8">
      <c r="A211" s="62"/>
      <c r="B211" s="63"/>
      <c r="C211" s="64"/>
      <c r="D211" s="65"/>
      <c r="E211" s="66"/>
      <c r="F211" s="66"/>
      <c r="G211" s="66"/>
      <c r="H211" s="63"/>
    </row>
    <row r="212" ht="19" customHeight="1" spans="1:8">
      <c r="A212" s="62"/>
      <c r="B212" s="63"/>
      <c r="C212" s="64"/>
      <c r="D212" s="65"/>
      <c r="E212" s="66"/>
      <c r="F212" s="66"/>
      <c r="G212" s="66"/>
      <c r="H212" s="63"/>
    </row>
    <row r="213" ht="19" customHeight="1" spans="1:8">
      <c r="A213" s="62"/>
      <c r="B213" s="63"/>
      <c r="C213" s="64"/>
      <c r="D213" s="65"/>
      <c r="E213" s="66"/>
      <c r="F213" s="66"/>
      <c r="G213" s="66"/>
      <c r="H213" s="63"/>
    </row>
    <row r="214" ht="19" customHeight="1" spans="1:8">
      <c r="A214" s="62"/>
      <c r="B214" s="63"/>
      <c r="C214" s="64"/>
      <c r="D214" s="65"/>
      <c r="E214" s="66"/>
      <c r="F214" s="66"/>
      <c r="G214" s="66"/>
      <c r="H214" s="63"/>
    </row>
    <row r="215" ht="19" customHeight="1" spans="1:8">
      <c r="A215" s="62"/>
      <c r="B215" s="63"/>
      <c r="C215" s="64"/>
      <c r="D215" s="65"/>
      <c r="E215" s="66"/>
      <c r="F215" s="66"/>
      <c r="G215" s="66"/>
      <c r="H215" s="63"/>
    </row>
    <row r="216" ht="19" customHeight="1" spans="1:8">
      <c r="A216" s="62"/>
      <c r="B216" s="63"/>
      <c r="C216" s="64"/>
      <c r="D216" s="65"/>
      <c r="E216" s="66"/>
      <c r="F216" s="66"/>
      <c r="G216" s="66"/>
      <c r="H216" s="63"/>
    </row>
    <row r="217" ht="19" customHeight="1" spans="1:8">
      <c r="A217" s="62"/>
      <c r="B217" s="63"/>
      <c r="C217" s="64"/>
      <c r="D217" s="65"/>
      <c r="E217" s="66"/>
      <c r="F217" s="66"/>
      <c r="G217" s="66"/>
      <c r="H217" s="63"/>
    </row>
    <row r="218" ht="19" customHeight="1" spans="1:8">
      <c r="A218" s="62"/>
      <c r="B218" s="63"/>
      <c r="C218" s="64"/>
      <c r="D218" s="65"/>
      <c r="E218" s="66"/>
      <c r="F218" s="66"/>
      <c r="G218" s="66"/>
      <c r="H218" s="63"/>
    </row>
    <row r="219" ht="19" customHeight="1" spans="1:8">
      <c r="A219" s="62"/>
      <c r="B219" s="63"/>
      <c r="C219" s="64"/>
      <c r="D219" s="65"/>
      <c r="E219" s="66"/>
      <c r="F219" s="66"/>
      <c r="G219" s="66"/>
      <c r="H219" s="63"/>
    </row>
    <row r="220" ht="19" customHeight="1" spans="1:8">
      <c r="A220" s="62"/>
      <c r="B220" s="63"/>
      <c r="C220" s="64"/>
      <c r="D220" s="65"/>
      <c r="E220" s="66"/>
      <c r="F220" s="66"/>
      <c r="G220" s="66"/>
      <c r="H220" s="63"/>
    </row>
    <row r="221" ht="19" customHeight="1" spans="1:8">
      <c r="A221" s="62"/>
      <c r="B221" s="63"/>
      <c r="C221" s="64"/>
      <c r="D221" s="65"/>
      <c r="E221" s="66"/>
      <c r="F221" s="66"/>
      <c r="G221" s="66"/>
      <c r="H221" s="63"/>
    </row>
    <row r="222" ht="19" customHeight="1" spans="1:8">
      <c r="A222" s="62"/>
      <c r="B222" s="63"/>
      <c r="C222" s="64"/>
      <c r="D222" s="65"/>
      <c r="E222" s="66"/>
      <c r="F222" s="66"/>
      <c r="G222" s="66"/>
      <c r="H222" s="63"/>
    </row>
    <row r="223" ht="19" customHeight="1" spans="1:8">
      <c r="A223" s="62"/>
      <c r="B223" s="63"/>
      <c r="C223" s="64"/>
      <c r="D223" s="65"/>
      <c r="E223" s="66"/>
      <c r="F223" s="66"/>
      <c r="G223" s="66"/>
      <c r="H223" s="63"/>
    </row>
    <row r="224" ht="19" customHeight="1" spans="1:8">
      <c r="A224" s="62"/>
      <c r="B224" s="63"/>
      <c r="C224" s="64"/>
      <c r="D224" s="65"/>
      <c r="E224" s="66"/>
      <c r="F224" s="66"/>
      <c r="G224" s="66"/>
      <c r="H224" s="63"/>
    </row>
    <row r="225" ht="19" customHeight="1" spans="1:8">
      <c r="A225" s="62"/>
      <c r="B225" s="63"/>
      <c r="C225" s="64"/>
      <c r="D225" s="65"/>
      <c r="E225" s="66"/>
      <c r="F225" s="66"/>
      <c r="G225" s="66"/>
      <c r="H225" s="63"/>
    </row>
    <row r="226" ht="19" customHeight="1" spans="1:8">
      <c r="A226" s="62"/>
      <c r="B226" s="63"/>
      <c r="C226" s="64"/>
      <c r="D226" s="65"/>
      <c r="E226" s="66"/>
      <c r="F226" s="66"/>
      <c r="G226" s="66"/>
      <c r="H226" s="63"/>
    </row>
    <row r="227" ht="19" customHeight="1" spans="1:8">
      <c r="A227" s="62"/>
      <c r="B227" s="63"/>
      <c r="C227" s="64"/>
      <c r="D227" s="65"/>
      <c r="E227" s="66"/>
      <c r="F227" s="66"/>
      <c r="G227" s="66"/>
      <c r="H227" s="63"/>
    </row>
    <row r="228" ht="19" customHeight="1" spans="1:8">
      <c r="A228" s="62"/>
      <c r="B228" s="63"/>
      <c r="C228" s="64"/>
      <c r="D228" s="65"/>
      <c r="E228" s="66"/>
      <c r="F228" s="66"/>
      <c r="G228" s="66"/>
      <c r="H228" s="63"/>
    </row>
    <row r="229" ht="19" customHeight="1" spans="1:8">
      <c r="A229" s="62"/>
      <c r="B229" s="63"/>
      <c r="C229" s="64"/>
      <c r="D229" s="65"/>
      <c r="E229" s="66"/>
      <c r="F229" s="66"/>
      <c r="G229" s="66"/>
      <c r="H229" s="63"/>
    </row>
    <row r="230" ht="19" customHeight="1" spans="1:8">
      <c r="A230" s="62"/>
      <c r="B230" s="63"/>
      <c r="C230" s="64"/>
      <c r="D230" s="65"/>
      <c r="E230" s="66"/>
      <c r="F230" s="66"/>
      <c r="G230" s="66"/>
      <c r="H230" s="63"/>
    </row>
    <row r="231" ht="19" customHeight="1" spans="1:8">
      <c r="A231" s="62"/>
      <c r="B231" s="63"/>
      <c r="C231" s="64"/>
      <c r="D231" s="65"/>
      <c r="E231" s="66"/>
      <c r="F231" s="66"/>
      <c r="G231" s="66"/>
      <c r="H231" s="63"/>
    </row>
    <row r="232" ht="19" customHeight="1" spans="1:8">
      <c r="A232" s="62"/>
      <c r="B232" s="63"/>
      <c r="C232" s="64"/>
      <c r="D232" s="65"/>
      <c r="E232" s="66"/>
      <c r="F232" s="66"/>
      <c r="G232" s="66"/>
      <c r="H232" s="63"/>
    </row>
    <row r="233" ht="19" customHeight="1" spans="1:8">
      <c r="A233" s="62"/>
      <c r="B233" s="63"/>
      <c r="C233" s="64"/>
      <c r="D233" s="65"/>
      <c r="E233" s="66"/>
      <c r="F233" s="66"/>
      <c r="G233" s="66"/>
      <c r="H233" s="63"/>
    </row>
    <row r="234" ht="19" customHeight="1" spans="1:8">
      <c r="A234" s="62"/>
      <c r="B234" s="63"/>
      <c r="C234" s="64"/>
      <c r="D234" s="65"/>
      <c r="E234" s="66"/>
      <c r="F234" s="66"/>
      <c r="G234" s="66"/>
      <c r="H234" s="63"/>
    </row>
    <row r="235" ht="19" customHeight="1" spans="1:8">
      <c r="A235" s="62"/>
      <c r="B235" s="63"/>
      <c r="C235" s="64"/>
      <c r="D235" s="65"/>
      <c r="E235" s="66"/>
      <c r="F235" s="66"/>
      <c r="G235" s="66"/>
      <c r="H235" s="63"/>
    </row>
    <row r="236" ht="19" customHeight="1" spans="1:8">
      <c r="A236" s="62"/>
      <c r="B236" s="63"/>
      <c r="C236" s="64"/>
      <c r="D236" s="65"/>
      <c r="E236" s="66"/>
      <c r="F236" s="66"/>
      <c r="G236" s="66"/>
      <c r="H236" s="63"/>
    </row>
    <row r="237" ht="19" customHeight="1" spans="1:8">
      <c r="A237" s="62"/>
      <c r="B237" s="63"/>
      <c r="C237" s="64"/>
      <c r="D237" s="65"/>
      <c r="E237" s="66"/>
      <c r="F237" s="66"/>
      <c r="G237" s="66"/>
      <c r="H237" s="63"/>
    </row>
    <row r="238" ht="19" customHeight="1" spans="1:8">
      <c r="A238" s="62"/>
      <c r="B238" s="63"/>
      <c r="C238" s="64"/>
      <c r="D238" s="65"/>
      <c r="E238" s="66"/>
      <c r="F238" s="66"/>
      <c r="G238" s="66"/>
      <c r="H238" s="63"/>
    </row>
    <row r="239" ht="19" customHeight="1" spans="1:8">
      <c r="A239" s="62"/>
      <c r="B239" s="63"/>
      <c r="C239" s="64"/>
      <c r="D239" s="65"/>
      <c r="E239" s="66"/>
      <c r="F239" s="66"/>
      <c r="G239" s="66"/>
      <c r="H239" s="63"/>
    </row>
    <row r="240" ht="19" customHeight="1" spans="1:8">
      <c r="A240" s="62"/>
      <c r="B240" s="63"/>
      <c r="C240" s="64"/>
      <c r="D240" s="65"/>
      <c r="E240" s="66"/>
      <c r="F240" s="66"/>
      <c r="G240" s="66"/>
      <c r="H240" s="63"/>
    </row>
    <row r="241" ht="19" customHeight="1" spans="1:8">
      <c r="A241" s="62"/>
      <c r="B241" s="63"/>
      <c r="C241" s="64"/>
      <c r="D241" s="65"/>
      <c r="E241" s="66"/>
      <c r="F241" s="66"/>
      <c r="G241" s="66"/>
      <c r="H241" s="63"/>
    </row>
    <row r="242" ht="19" customHeight="1" spans="1:8">
      <c r="A242" s="62"/>
      <c r="B242" s="63"/>
      <c r="C242" s="64"/>
      <c r="D242" s="65"/>
      <c r="E242" s="66"/>
      <c r="F242" s="66"/>
      <c r="G242" s="66"/>
      <c r="H242" s="63"/>
    </row>
    <row r="243" ht="19" customHeight="1" spans="1:8">
      <c r="A243" s="62"/>
      <c r="B243" s="63"/>
      <c r="C243" s="64"/>
      <c r="D243" s="65"/>
      <c r="E243" s="66"/>
      <c r="F243" s="66"/>
      <c r="G243" s="66"/>
      <c r="H243" s="63"/>
    </row>
    <row r="244" ht="19" customHeight="1" spans="1:8">
      <c r="A244" s="62"/>
      <c r="B244" s="63"/>
      <c r="C244" s="64"/>
      <c r="D244" s="65"/>
      <c r="E244" s="66"/>
      <c r="F244" s="66"/>
      <c r="G244" s="66"/>
      <c r="H244" s="63"/>
    </row>
    <row r="245" ht="19" customHeight="1" spans="1:8">
      <c r="A245" s="62"/>
      <c r="B245" s="63"/>
      <c r="C245" s="64"/>
      <c r="D245" s="65"/>
      <c r="E245" s="66"/>
      <c r="F245" s="66"/>
      <c r="G245" s="66"/>
      <c r="H245" s="63"/>
    </row>
    <row r="246" ht="19" customHeight="1" spans="1:8">
      <c r="A246" s="62"/>
      <c r="B246" s="63"/>
      <c r="C246" s="64"/>
      <c r="D246" s="65"/>
      <c r="E246" s="66"/>
      <c r="F246" s="66"/>
      <c r="G246" s="66"/>
      <c r="H246" s="63"/>
    </row>
    <row r="247" ht="19" customHeight="1" spans="1:8">
      <c r="A247" s="62"/>
      <c r="B247" s="63"/>
      <c r="C247" s="64"/>
      <c r="D247" s="65"/>
      <c r="E247" s="66"/>
      <c r="F247" s="66"/>
      <c r="G247" s="66"/>
      <c r="H247" s="63"/>
    </row>
    <row r="248" ht="19" customHeight="1" spans="1:8">
      <c r="A248" s="62"/>
      <c r="B248" s="63"/>
      <c r="C248" s="64"/>
      <c r="D248" s="65"/>
      <c r="E248" s="66"/>
      <c r="F248" s="66"/>
      <c r="G248" s="66"/>
      <c r="H248" s="63"/>
    </row>
    <row r="249" ht="19" customHeight="1" spans="1:8">
      <c r="A249" s="62"/>
      <c r="B249" s="63"/>
      <c r="C249" s="64"/>
      <c r="D249" s="65"/>
      <c r="E249" s="66"/>
      <c r="F249" s="66"/>
      <c r="G249" s="66"/>
      <c r="H249" s="63"/>
    </row>
    <row r="250" ht="19" customHeight="1" spans="1:8">
      <c r="A250" s="62"/>
      <c r="B250" s="63"/>
      <c r="C250" s="64"/>
      <c r="D250" s="65"/>
      <c r="E250" s="66"/>
      <c r="F250" s="66"/>
      <c r="G250" s="66"/>
      <c r="H250" s="63"/>
    </row>
    <row r="251" ht="19" customHeight="1" spans="1:8">
      <c r="A251" s="62"/>
      <c r="B251" s="63"/>
      <c r="C251" s="64"/>
      <c r="D251" s="65"/>
      <c r="E251" s="66"/>
      <c r="F251" s="66"/>
      <c r="G251" s="66"/>
      <c r="H251" s="63"/>
    </row>
    <row r="252" ht="19" customHeight="1" spans="1:8">
      <c r="A252" s="62"/>
      <c r="B252" s="63"/>
      <c r="C252" s="64"/>
      <c r="D252" s="65"/>
      <c r="E252" s="66"/>
      <c r="F252" s="66"/>
      <c r="G252" s="66"/>
      <c r="H252" s="63"/>
    </row>
    <row r="253" ht="19" customHeight="1" spans="1:8">
      <c r="A253" s="62"/>
      <c r="B253" s="63"/>
      <c r="C253" s="64"/>
      <c r="D253" s="65"/>
      <c r="E253" s="66"/>
      <c r="F253" s="66"/>
      <c r="G253" s="66"/>
      <c r="H253" s="63"/>
    </row>
    <row r="254" ht="19" customHeight="1" spans="1:8">
      <c r="A254" s="62"/>
      <c r="B254" s="63"/>
      <c r="C254" s="64"/>
      <c r="D254" s="65"/>
      <c r="E254" s="66"/>
      <c r="F254" s="66"/>
      <c r="G254" s="66"/>
      <c r="H254" s="63"/>
    </row>
    <row r="255" ht="19" customHeight="1" spans="1:8">
      <c r="A255" s="62"/>
      <c r="B255" s="63"/>
      <c r="C255" s="64"/>
      <c r="D255" s="65"/>
      <c r="E255" s="66"/>
      <c r="F255" s="66"/>
      <c r="G255" s="66"/>
      <c r="H255" s="63"/>
    </row>
    <row r="256" ht="19" customHeight="1" spans="1:8">
      <c r="A256" s="62"/>
      <c r="B256" s="63"/>
      <c r="C256" s="64"/>
      <c r="D256" s="65"/>
      <c r="E256" s="66"/>
      <c r="F256" s="66"/>
      <c r="G256" s="66"/>
      <c r="H256" s="63"/>
    </row>
    <row r="257" ht="19" customHeight="1" spans="1:8">
      <c r="A257" s="62"/>
      <c r="B257" s="63"/>
      <c r="C257" s="64"/>
      <c r="D257" s="65"/>
      <c r="E257" s="66"/>
      <c r="F257" s="66"/>
      <c r="G257" s="66"/>
      <c r="H257" s="63"/>
    </row>
    <row r="258" ht="19" customHeight="1" spans="1:8">
      <c r="A258" s="62"/>
      <c r="B258" s="63"/>
      <c r="C258" s="64"/>
      <c r="D258" s="65"/>
      <c r="E258" s="66"/>
      <c r="F258" s="66"/>
      <c r="G258" s="66"/>
      <c r="H258" s="63"/>
    </row>
    <row r="259" ht="19" customHeight="1" spans="1:8">
      <c r="A259" s="62"/>
      <c r="B259" s="63"/>
      <c r="C259" s="64"/>
      <c r="D259" s="65"/>
      <c r="E259" s="66"/>
      <c r="F259" s="66"/>
      <c r="G259" s="66"/>
      <c r="H259" s="63"/>
    </row>
    <row r="260" ht="19" customHeight="1" spans="1:8">
      <c r="A260" s="62"/>
      <c r="B260" s="63"/>
      <c r="C260" s="64"/>
      <c r="D260" s="65"/>
      <c r="E260" s="66"/>
      <c r="F260" s="66"/>
      <c r="G260" s="66"/>
      <c r="H260" s="63"/>
    </row>
    <row r="261" ht="19" customHeight="1" spans="1:8">
      <c r="A261" s="62"/>
      <c r="B261" s="63"/>
      <c r="C261" s="64"/>
      <c r="D261" s="65"/>
      <c r="E261" s="66"/>
      <c r="F261" s="66"/>
      <c r="G261" s="66"/>
      <c r="H261" s="63"/>
    </row>
    <row r="262" ht="19" customHeight="1" spans="1:8">
      <c r="A262" s="62"/>
      <c r="B262" s="63"/>
      <c r="C262" s="64"/>
      <c r="D262" s="65"/>
      <c r="E262" s="66"/>
      <c r="F262" s="66"/>
      <c r="G262" s="66"/>
      <c r="H262" s="63"/>
    </row>
    <row r="263" ht="19" customHeight="1" spans="1:8">
      <c r="A263" s="62"/>
      <c r="B263" s="63"/>
      <c r="C263" s="64"/>
      <c r="D263" s="65"/>
      <c r="E263" s="66"/>
      <c r="F263" s="66"/>
      <c r="G263" s="66"/>
      <c r="H263" s="63"/>
    </row>
    <row r="264" ht="19" customHeight="1" spans="1:8">
      <c r="A264" s="62"/>
      <c r="B264" s="63"/>
      <c r="C264" s="64"/>
      <c r="D264" s="65"/>
      <c r="E264" s="66"/>
      <c r="F264" s="66"/>
      <c r="G264" s="66"/>
      <c r="H264" s="63"/>
    </row>
    <row r="265" ht="19" customHeight="1" spans="1:8">
      <c r="A265" s="62"/>
      <c r="B265" s="63"/>
      <c r="C265" s="64"/>
      <c r="D265" s="65"/>
      <c r="E265" s="66"/>
      <c r="F265" s="66"/>
      <c r="G265" s="66"/>
      <c r="H265" s="63"/>
    </row>
    <row r="266" ht="19" customHeight="1" spans="1:8">
      <c r="A266" s="62"/>
      <c r="B266" s="63"/>
      <c r="C266" s="64"/>
      <c r="D266" s="65"/>
      <c r="E266" s="66"/>
      <c r="F266" s="66"/>
      <c r="G266" s="66"/>
      <c r="H266" s="63"/>
    </row>
    <row r="267" ht="19" customHeight="1" spans="1:8">
      <c r="A267" s="62"/>
      <c r="B267" s="63"/>
      <c r="C267" s="64"/>
      <c r="D267" s="65"/>
      <c r="E267" s="66"/>
      <c r="F267" s="66"/>
      <c r="G267" s="66"/>
      <c r="H267" s="63"/>
    </row>
    <row r="268" ht="19" customHeight="1" spans="1:8">
      <c r="A268" s="62"/>
      <c r="B268" s="63"/>
      <c r="C268" s="64"/>
      <c r="D268" s="65"/>
      <c r="E268" s="66"/>
      <c r="F268" s="66"/>
      <c r="G268" s="66"/>
      <c r="H268" s="63"/>
    </row>
    <row r="269" ht="19" customHeight="1" spans="1:8">
      <c r="A269" s="62"/>
      <c r="B269" s="63"/>
      <c r="C269" s="64"/>
      <c r="D269" s="65"/>
      <c r="E269" s="66"/>
      <c r="F269" s="66"/>
      <c r="G269" s="66"/>
      <c r="H269" s="63"/>
    </row>
    <row r="270" ht="19" customHeight="1" spans="1:8">
      <c r="A270" s="62"/>
      <c r="B270" s="63"/>
      <c r="C270" s="64"/>
      <c r="D270" s="65"/>
      <c r="E270" s="66"/>
      <c r="F270" s="66"/>
      <c r="G270" s="66"/>
      <c r="H270" s="63"/>
    </row>
    <row r="271" ht="19" customHeight="1" spans="1:8">
      <c r="A271" s="62"/>
      <c r="B271" s="63"/>
      <c r="C271" s="64"/>
      <c r="D271" s="65"/>
      <c r="E271" s="66"/>
      <c r="F271" s="66"/>
      <c r="G271" s="66"/>
      <c r="H271" s="63"/>
    </row>
    <row r="272" ht="19" customHeight="1" spans="1:8">
      <c r="A272" s="62"/>
      <c r="B272" s="63"/>
      <c r="C272" s="64"/>
      <c r="D272" s="65"/>
      <c r="E272" s="66"/>
      <c r="F272" s="66"/>
      <c r="G272" s="66"/>
      <c r="H272" s="63"/>
    </row>
    <row r="273" ht="19" customHeight="1" spans="1:8">
      <c r="A273" s="62"/>
      <c r="B273" s="63"/>
      <c r="C273" s="64"/>
      <c r="D273" s="65"/>
      <c r="E273" s="66"/>
      <c r="F273" s="66"/>
      <c r="G273" s="66"/>
      <c r="H273" s="63"/>
    </row>
    <row r="274" ht="19" customHeight="1" spans="1:8">
      <c r="A274" s="62"/>
      <c r="B274" s="63"/>
      <c r="C274" s="64"/>
      <c r="D274" s="65"/>
      <c r="E274" s="66"/>
      <c r="F274" s="66"/>
      <c r="G274" s="66"/>
      <c r="H274" s="63"/>
    </row>
    <row r="275" ht="19" customHeight="1" spans="1:8">
      <c r="A275" s="62"/>
      <c r="B275" s="63"/>
      <c r="C275" s="64"/>
      <c r="D275" s="65"/>
      <c r="E275" s="66"/>
      <c r="F275" s="66"/>
      <c r="G275" s="66"/>
      <c r="H275" s="63"/>
    </row>
    <row r="276" ht="19" customHeight="1" spans="1:8">
      <c r="A276" s="62"/>
      <c r="B276" s="63"/>
      <c r="C276" s="64"/>
      <c r="D276" s="65"/>
      <c r="E276" s="66"/>
      <c r="F276" s="66"/>
      <c r="G276" s="66"/>
      <c r="H276" s="63"/>
    </row>
    <row r="277" ht="19" customHeight="1" spans="1:8">
      <c r="A277" s="62"/>
      <c r="B277" s="63"/>
      <c r="C277" s="64"/>
      <c r="D277" s="65"/>
      <c r="E277" s="66"/>
      <c r="F277" s="66"/>
      <c r="G277" s="66"/>
      <c r="H277" s="63"/>
    </row>
    <row r="278" ht="19" customHeight="1" spans="1:8">
      <c r="A278" s="62"/>
      <c r="B278" s="63"/>
      <c r="C278" s="64"/>
      <c r="D278" s="65"/>
      <c r="E278" s="66"/>
      <c r="F278" s="66"/>
      <c r="G278" s="66"/>
      <c r="H278" s="63"/>
    </row>
    <row r="279" ht="19" customHeight="1" spans="1:8">
      <c r="A279" s="62"/>
      <c r="B279" s="63"/>
      <c r="C279" s="64"/>
      <c r="D279" s="65"/>
      <c r="E279" s="66"/>
      <c r="F279" s="66"/>
      <c r="G279" s="66"/>
      <c r="H279" s="63"/>
    </row>
    <row r="280" ht="19" customHeight="1" spans="1:8">
      <c r="A280" s="62"/>
      <c r="B280" s="63"/>
      <c r="C280" s="64"/>
      <c r="D280" s="65"/>
      <c r="E280" s="66"/>
      <c r="F280" s="66"/>
      <c r="G280" s="66"/>
      <c r="H280" s="63"/>
    </row>
    <row r="281" ht="19" customHeight="1" spans="1:8">
      <c r="A281" s="62"/>
      <c r="B281" s="63"/>
      <c r="C281" s="64"/>
      <c r="D281" s="65"/>
      <c r="E281" s="66"/>
      <c r="F281" s="66"/>
      <c r="G281" s="66"/>
      <c r="H281" s="63"/>
    </row>
    <row r="282" ht="19" customHeight="1" spans="1:8">
      <c r="A282" s="62"/>
      <c r="B282" s="63"/>
      <c r="C282" s="64"/>
      <c r="D282" s="65"/>
      <c r="E282" s="66"/>
      <c r="F282" s="66"/>
      <c r="G282" s="66"/>
      <c r="H282" s="63"/>
    </row>
    <row r="283" ht="19" customHeight="1" spans="1:8">
      <c r="A283" s="62"/>
      <c r="B283" s="63"/>
      <c r="C283" s="64"/>
      <c r="D283" s="65"/>
      <c r="E283" s="66"/>
      <c r="F283" s="66"/>
      <c r="G283" s="66"/>
      <c r="H283" s="63"/>
    </row>
    <row r="284" ht="19" customHeight="1" spans="1:8">
      <c r="A284" s="62"/>
      <c r="B284" s="63"/>
      <c r="C284" s="64"/>
      <c r="D284" s="65"/>
      <c r="E284" s="66"/>
      <c r="F284" s="66"/>
      <c r="G284" s="66"/>
      <c r="H284" s="63"/>
    </row>
    <row r="285" ht="19" customHeight="1" spans="1:8">
      <c r="A285" s="62"/>
      <c r="B285" s="63"/>
      <c r="C285" s="64"/>
      <c r="D285" s="65"/>
      <c r="E285" s="66"/>
      <c r="F285" s="66"/>
      <c r="G285" s="66"/>
      <c r="H285" s="63"/>
    </row>
    <row r="286" ht="19" customHeight="1" spans="1:8">
      <c r="A286" s="62"/>
      <c r="B286" s="63"/>
      <c r="C286" s="64"/>
      <c r="D286" s="65"/>
      <c r="E286" s="66"/>
      <c r="F286" s="66"/>
      <c r="G286" s="66"/>
      <c r="H286" s="63"/>
    </row>
    <row r="287" ht="19" customHeight="1" spans="1:8">
      <c r="A287" s="62"/>
      <c r="B287" s="63"/>
      <c r="C287" s="64"/>
      <c r="D287" s="65"/>
      <c r="E287" s="66"/>
      <c r="F287" s="66"/>
      <c r="G287" s="66"/>
      <c r="H287" s="63"/>
    </row>
    <row r="288" ht="19" customHeight="1" spans="1:8">
      <c r="A288" s="62"/>
      <c r="B288" s="63"/>
      <c r="C288" s="64"/>
      <c r="D288" s="65"/>
      <c r="E288" s="66"/>
      <c r="F288" s="66"/>
      <c r="G288" s="66"/>
      <c r="H288" s="63"/>
    </row>
    <row r="289" ht="19" customHeight="1" spans="1:8">
      <c r="A289" s="62"/>
      <c r="B289" s="63"/>
      <c r="C289" s="64"/>
      <c r="D289" s="65"/>
      <c r="E289" s="66"/>
      <c r="F289" s="66"/>
      <c r="G289" s="66"/>
      <c r="H289" s="63"/>
    </row>
    <row r="290" ht="19" customHeight="1" spans="1:8">
      <c r="A290" s="62"/>
      <c r="B290" s="63"/>
      <c r="C290" s="64"/>
      <c r="D290" s="65"/>
      <c r="E290" s="66"/>
      <c r="F290" s="66"/>
      <c r="G290" s="66"/>
      <c r="H290" s="63"/>
    </row>
    <row r="291" ht="19" customHeight="1" spans="1:8">
      <c r="A291" s="62"/>
      <c r="B291" s="63"/>
      <c r="C291" s="64"/>
      <c r="D291" s="65"/>
      <c r="E291" s="66"/>
      <c r="F291" s="66"/>
      <c r="G291" s="66"/>
      <c r="H291" s="63"/>
    </row>
    <row r="292" ht="19" customHeight="1" spans="1:8">
      <c r="A292" s="62"/>
      <c r="B292" s="63"/>
      <c r="C292" s="64"/>
      <c r="D292" s="65"/>
      <c r="E292" s="66"/>
      <c r="F292" s="66"/>
      <c r="G292" s="66"/>
      <c r="H292" s="63"/>
    </row>
    <row r="293" ht="19" customHeight="1" spans="1:8">
      <c r="A293" s="62"/>
      <c r="B293" s="63"/>
      <c r="C293" s="64"/>
      <c r="D293" s="65"/>
      <c r="E293" s="66"/>
      <c r="F293" s="66"/>
      <c r="G293" s="66"/>
      <c r="H293" s="63"/>
    </row>
    <row r="294" ht="19" customHeight="1" spans="1:8">
      <c r="A294" s="62"/>
      <c r="B294" s="63"/>
      <c r="C294" s="64"/>
      <c r="D294" s="65"/>
      <c r="E294" s="66"/>
      <c r="F294" s="66"/>
      <c r="G294" s="66"/>
      <c r="H294" s="63"/>
    </row>
    <row r="295" ht="19" customHeight="1" spans="1:8">
      <c r="A295" s="62"/>
      <c r="B295" s="63"/>
      <c r="C295" s="64"/>
      <c r="D295" s="65"/>
      <c r="E295" s="66"/>
      <c r="F295" s="66"/>
      <c r="G295" s="66"/>
      <c r="H295" s="63"/>
    </row>
    <row r="296" ht="19" customHeight="1" spans="1:8">
      <c r="A296" s="62"/>
      <c r="B296" s="63"/>
      <c r="C296" s="64"/>
      <c r="D296" s="65"/>
      <c r="E296" s="66"/>
      <c r="F296" s="66"/>
      <c r="G296" s="66"/>
      <c r="H296" s="63"/>
    </row>
    <row r="297" ht="19" customHeight="1" spans="1:8">
      <c r="A297" s="62"/>
      <c r="B297" s="63"/>
      <c r="C297" s="64"/>
      <c r="D297" s="65"/>
      <c r="E297" s="66"/>
      <c r="F297" s="66"/>
      <c r="G297" s="66"/>
      <c r="H297" s="63"/>
    </row>
    <row r="298" ht="19" customHeight="1" spans="1:8">
      <c r="A298" s="62"/>
      <c r="B298" s="63"/>
      <c r="C298" s="64"/>
      <c r="D298" s="65"/>
      <c r="E298" s="66"/>
      <c r="F298" s="66"/>
      <c r="G298" s="66"/>
      <c r="H298" s="63"/>
    </row>
    <row r="299" ht="19" customHeight="1" spans="1:8">
      <c r="A299" s="62"/>
      <c r="B299" s="63"/>
      <c r="C299" s="64"/>
      <c r="D299" s="65"/>
      <c r="E299" s="66"/>
      <c r="F299" s="66"/>
      <c r="G299" s="66"/>
      <c r="H299" s="63"/>
    </row>
    <row r="300" ht="19" customHeight="1" spans="1:8">
      <c r="A300" s="62"/>
      <c r="B300" s="63"/>
      <c r="C300" s="64"/>
      <c r="D300" s="65"/>
      <c r="E300" s="66"/>
      <c r="F300" s="66"/>
      <c r="G300" s="66"/>
      <c r="H300" s="63"/>
    </row>
    <row r="301" ht="19" customHeight="1" spans="1:8">
      <c r="A301" s="62"/>
      <c r="B301" s="63"/>
      <c r="C301" s="64"/>
      <c r="D301" s="65"/>
      <c r="E301" s="66"/>
      <c r="F301" s="66"/>
      <c r="G301" s="66"/>
      <c r="H301" s="63"/>
    </row>
    <row r="302" ht="19" customHeight="1" spans="1:8">
      <c r="A302" s="62"/>
      <c r="B302" s="63"/>
      <c r="C302" s="64"/>
      <c r="D302" s="65"/>
      <c r="E302" s="66"/>
      <c r="F302" s="66"/>
      <c r="G302" s="66"/>
      <c r="H302" s="63"/>
    </row>
    <row r="303" ht="19" customHeight="1" spans="1:8">
      <c r="A303" s="62"/>
      <c r="B303" s="63"/>
      <c r="C303" s="64"/>
      <c r="D303" s="65"/>
      <c r="E303" s="66"/>
      <c r="F303" s="66"/>
      <c r="G303" s="66"/>
      <c r="H303" s="63"/>
    </row>
    <row r="304" ht="19" customHeight="1" spans="1:8">
      <c r="A304" s="62"/>
      <c r="B304" s="63"/>
      <c r="C304" s="64"/>
      <c r="D304" s="65"/>
      <c r="E304" s="66"/>
      <c r="F304" s="66"/>
      <c r="G304" s="66"/>
      <c r="H304" s="63"/>
    </row>
    <row r="305" ht="19" customHeight="1" spans="1:8">
      <c r="A305" s="62"/>
      <c r="B305" s="63"/>
      <c r="C305" s="64"/>
      <c r="D305" s="65"/>
      <c r="E305" s="66"/>
      <c r="F305" s="66"/>
      <c r="G305" s="66"/>
      <c r="H305" s="63"/>
    </row>
    <row r="306" ht="24" customHeight="1" spans="1:8">
      <c r="A306" s="67"/>
      <c r="E306" s="67"/>
      <c r="F306" s="68"/>
    </row>
    <row r="307" ht="24" customHeight="1" spans="1:8">
      <c r="A307" s="67"/>
      <c r="E307" s="67"/>
      <c r="F307" s="68"/>
    </row>
    <row r="308" ht="24" customHeight="1" spans="1:8">
      <c r="A308" s="67"/>
      <c r="E308" s="67"/>
      <c r="F308" s="68"/>
    </row>
    <row r="309" ht="26" customHeight="1" spans="1:8">
      <c r="A309" s="69"/>
      <c r="F309" s="70"/>
    </row>
  </sheetData>
  <mergeCells count="10">
    <mergeCell ref="A1:F1"/>
    <mergeCell ref="B2:C2"/>
    <mergeCell ref="B3:C3"/>
    <mergeCell ref="B4:C4"/>
    <mergeCell ref="F4:H4"/>
    <mergeCell ref="A56:D56"/>
    <mergeCell ref="A57:D57"/>
    <mergeCell ref="A58:D58"/>
    <mergeCell ref="A59:E59"/>
    <mergeCell ref="F59:H59"/>
  </mergeCells>
  <conditionalFormatting sqref="F6:G305">
    <cfRule type="expression" dxfId="1" priority="1">
      <formula>N($F6)&lt;0</formula>
    </cfRule>
  </conditionalFormatting>
  <conditionalFormatting sqref="F6:G55">
    <cfRule type="expression" dxfId="1" priority="2">
      <formula>N($F6)&lt;0</formula>
    </cfRule>
  </conditionalFormatting>
  <dataValidations count="2">
    <dataValidation type="list" allowBlank="1" sqref="B2">
      <formula1>_自动清单!$E$4:$E$203</formula1>
    </dataValidation>
    <dataValidation type="list" allowBlank="1" sqref="H3">
      <formula1>"含税,不含税"</formula1>
    </dataValidation>
  </dataValidations>
  <pageMargins left="0.75" right="0.75" top="1" bottom="1" header="0.5" footer="0.5"/>
  <pageSetup paperSize="1" fitToHeight="0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2"/>
  <sheetViews>
    <sheetView showGridLines="0" workbookViewId="0">
      <pane ySplit="3" topLeftCell="A4" activePane="bottomLeft" state="frozen"/>
      <selection/>
      <selection pane="bottomLeft" activeCell="A1" sqref="A1:E1"/>
    </sheetView>
  </sheetViews>
  <sheetFormatPr defaultColWidth="9" defaultRowHeight="13.5" outlineLevelCol="4"/>
  <cols>
    <col min="1" max="1" width="6" customWidth="1"/>
    <col min="2" max="2" width="32" customWidth="1"/>
    <col min="3" max="5" width="30" customWidth="1"/>
  </cols>
  <sheetData>
    <row r="1" ht="30" customHeight="1" spans="1:5">
      <c r="A1" s="2" t="s">
        <v>698</v>
      </c>
    </row>
    <row r="2" ht="18" customHeight="1" spans="1:5">
      <c r="A2" s="31" t="s">
        <v>699</v>
      </c>
    </row>
    <row r="3" ht="34" customHeight="1" spans="1:5">
      <c r="A3" s="9" t="s">
        <v>3</v>
      </c>
      <c r="B3" s="9" t="s">
        <v>700</v>
      </c>
      <c r="C3" s="9" t="s">
        <v>701</v>
      </c>
      <c r="D3" s="9" t="s">
        <v>702</v>
      </c>
      <c r="E3" s="9" t="s">
        <v>703</v>
      </c>
    </row>
    <row r="4" ht="32" customHeight="1" spans="1:5">
      <c r="A4" s="11">
        <v>1</v>
      </c>
      <c r="B4" s="10" t="s">
        <v>704</v>
      </c>
      <c r="C4" s="10" t="s">
        <v>705</v>
      </c>
      <c r="D4" s="10" t="s">
        <v>706</v>
      </c>
      <c r="E4" s="32" t="s">
        <v>707</v>
      </c>
    </row>
    <row r="5" ht="32" customHeight="1" spans="1:5">
      <c r="A5" s="11">
        <v>2</v>
      </c>
      <c r="B5" s="10" t="s">
        <v>708</v>
      </c>
      <c r="C5" s="10" t="s">
        <v>705</v>
      </c>
      <c r="D5" s="10" t="s">
        <v>709</v>
      </c>
      <c r="E5" s="32" t="s">
        <v>707</v>
      </c>
    </row>
    <row r="6" ht="32" customHeight="1" spans="1:5">
      <c r="A6" s="11">
        <v>3</v>
      </c>
      <c r="B6" s="10" t="s">
        <v>710</v>
      </c>
      <c r="C6" s="10" t="s">
        <v>705</v>
      </c>
      <c r="D6" s="10" t="s">
        <v>711</v>
      </c>
      <c r="E6" s="32" t="s">
        <v>707</v>
      </c>
    </row>
    <row r="7" ht="32" customHeight="1" spans="1:5">
      <c r="A7" s="11">
        <v>4</v>
      </c>
      <c r="B7" s="10" t="s">
        <v>712</v>
      </c>
      <c r="C7" s="10" t="s">
        <v>705</v>
      </c>
      <c r="D7" s="10" t="s">
        <v>713</v>
      </c>
      <c r="E7" s="32" t="s">
        <v>707</v>
      </c>
    </row>
    <row r="8" ht="32" customHeight="1" spans="1:5">
      <c r="A8" s="11">
        <v>5</v>
      </c>
      <c r="B8" s="10" t="s">
        <v>714</v>
      </c>
      <c r="C8" s="10" t="s">
        <v>705</v>
      </c>
      <c r="D8" s="10" t="s">
        <v>715</v>
      </c>
      <c r="E8" s="32" t="s">
        <v>707</v>
      </c>
    </row>
    <row r="9" ht="32" customHeight="1" spans="1:5">
      <c r="A9" s="11">
        <v>6</v>
      </c>
      <c r="B9" s="10" t="s">
        <v>287</v>
      </c>
      <c r="C9" s="10" t="s">
        <v>716</v>
      </c>
      <c r="D9" s="10" t="s">
        <v>717</v>
      </c>
      <c r="E9" s="32" t="s">
        <v>707</v>
      </c>
    </row>
    <row r="10" ht="32" customHeight="1" spans="1:5">
      <c r="A10" s="11">
        <v>7</v>
      </c>
      <c r="B10" s="10" t="s">
        <v>292</v>
      </c>
      <c r="C10" s="10" t="s">
        <v>718</v>
      </c>
      <c r="D10" s="10" t="s">
        <v>717</v>
      </c>
      <c r="E10" s="32" t="s">
        <v>707</v>
      </c>
    </row>
    <row r="11" ht="32" customHeight="1" spans="1:5">
      <c r="A11" s="11">
        <v>8</v>
      </c>
      <c r="B11" s="10" t="s">
        <v>719</v>
      </c>
      <c r="C11" s="10" t="s">
        <v>720</v>
      </c>
      <c r="D11" s="10" t="s">
        <v>717</v>
      </c>
      <c r="E11" s="32" t="s">
        <v>707</v>
      </c>
    </row>
    <row r="12" ht="32" customHeight="1" spans="1:5">
      <c r="A12" s="11">
        <v>9</v>
      </c>
      <c r="B12" s="10" t="s">
        <v>721</v>
      </c>
      <c r="C12" s="10" t="s">
        <v>722</v>
      </c>
      <c r="D12" s="10" t="s">
        <v>723</v>
      </c>
      <c r="E12" s="32" t="s">
        <v>707</v>
      </c>
    </row>
    <row r="13" ht="32" customHeight="1" spans="1:5">
      <c r="A13" s="11">
        <v>10</v>
      </c>
      <c r="B13" s="10" t="s">
        <v>724</v>
      </c>
      <c r="C13" s="10" t="s">
        <v>725</v>
      </c>
      <c r="D13" s="10" t="s">
        <v>705</v>
      </c>
      <c r="E13" s="32" t="s">
        <v>726</v>
      </c>
    </row>
    <row r="14" ht="32" customHeight="1" spans="1:5">
      <c r="A14" s="11">
        <v>11</v>
      </c>
      <c r="B14" s="10" t="s">
        <v>727</v>
      </c>
      <c r="C14" s="10" t="s">
        <v>717</v>
      </c>
      <c r="D14" s="10" t="s">
        <v>728</v>
      </c>
      <c r="E14" s="32" t="s">
        <v>726</v>
      </c>
    </row>
    <row r="15" ht="32" customHeight="1" spans="1:5">
      <c r="A15" s="11">
        <v>12</v>
      </c>
      <c r="B15" s="10" t="s">
        <v>729</v>
      </c>
      <c r="C15" s="10" t="s">
        <v>730</v>
      </c>
      <c r="D15" s="10" t="s">
        <v>728</v>
      </c>
      <c r="E15" s="32" t="s">
        <v>726</v>
      </c>
    </row>
    <row r="16" ht="32" customHeight="1" spans="1:5">
      <c r="A16" s="11">
        <v>13</v>
      </c>
      <c r="B16" s="10" t="s">
        <v>731</v>
      </c>
      <c r="C16" s="10" t="s">
        <v>732</v>
      </c>
      <c r="D16" s="10" t="s">
        <v>717</v>
      </c>
      <c r="E16" s="32" t="s">
        <v>733</v>
      </c>
    </row>
    <row r="17" ht="32" customHeight="1" spans="1:5">
      <c r="A17" s="11">
        <v>14</v>
      </c>
      <c r="B17" s="10" t="s">
        <v>734</v>
      </c>
      <c r="C17" s="10" t="s">
        <v>735</v>
      </c>
      <c r="D17" s="10" t="s">
        <v>728</v>
      </c>
      <c r="E17" s="32" t="s">
        <v>736</v>
      </c>
    </row>
    <row r="18" ht="32" customHeight="1" spans="1:5">
      <c r="A18" s="11">
        <v>15</v>
      </c>
      <c r="B18" s="10" t="s">
        <v>737</v>
      </c>
      <c r="C18" s="10" t="s">
        <v>738</v>
      </c>
      <c r="D18" s="10" t="s">
        <v>739</v>
      </c>
      <c r="E18" s="10" t="s">
        <v>740</v>
      </c>
    </row>
    <row r="19" ht="32" customHeight="1" spans="1:5">
      <c r="A19" s="11">
        <v>16</v>
      </c>
      <c r="B19" s="10" t="s">
        <v>741</v>
      </c>
      <c r="C19" s="10" t="s">
        <v>742</v>
      </c>
      <c r="D19" s="10" t="s">
        <v>743</v>
      </c>
      <c r="E19" s="10" t="s">
        <v>740</v>
      </c>
    </row>
    <row r="20" ht="32" customHeight="1" spans="1:5">
      <c r="A20" s="11">
        <v>17</v>
      </c>
      <c r="B20" s="10" t="s">
        <v>744</v>
      </c>
      <c r="C20" s="10" t="s">
        <v>745</v>
      </c>
      <c r="D20" s="10" t="s">
        <v>746</v>
      </c>
      <c r="E20" s="10" t="s">
        <v>747</v>
      </c>
    </row>
    <row r="21" ht="32" customHeight="1" spans="1:5">
      <c r="A21" s="11">
        <v>18</v>
      </c>
      <c r="B21" s="10" t="s">
        <v>748</v>
      </c>
      <c r="C21" s="10" t="s">
        <v>749</v>
      </c>
      <c r="D21" s="10" t="s">
        <v>750</v>
      </c>
      <c r="E21" s="10" t="s">
        <v>751</v>
      </c>
    </row>
    <row r="22" ht="32" customHeight="1" spans="1:5">
      <c r="A22" s="11">
        <v>19</v>
      </c>
      <c r="B22" s="10" t="s">
        <v>752</v>
      </c>
      <c r="C22" s="10" t="s">
        <v>753</v>
      </c>
      <c r="D22" s="10" t="s">
        <v>753</v>
      </c>
      <c r="E22" s="10" t="s">
        <v>754</v>
      </c>
    </row>
  </sheetData>
  <mergeCells count="2">
    <mergeCell ref="A1:E1"/>
    <mergeCell ref="A2:E2"/>
  </mergeCells>
  <pageMargins left="0.3" right="0.3" top="0.4" bottom="0.4" header="0.5" footer="0.5"/>
  <pageSetup paperSize="9" fitToHeight="0" orientation="landscape"/>
  <headerFooter>
    <oddFooter>&amp;L&amp;A&amp;R第 &amp;P 页 / 共 &amp;N 页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82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A2" sqref="A2:F2"/>
    </sheetView>
  </sheetViews>
  <sheetFormatPr defaultColWidth="9" defaultRowHeight="13.5"/>
  <cols>
    <col min="1" max="1" width="13" customWidth="1"/>
    <col min="2" max="2" width="28" customWidth="1"/>
    <col min="3" max="3" width="11" customWidth="1"/>
    <col min="4" max="4" width="20" customWidth="1"/>
    <col min="5" max="10" width="15" customWidth="1"/>
    <col min="12" max="12" width="11" customWidth="1"/>
    <col min="13" max="13" width="12" customWidth="1"/>
  </cols>
  <sheetData>
    <row r="1" ht="30" customHeight="1" spans="1:13">
      <c r="A1" s="2" t="s">
        <v>755</v>
      </c>
      <c r="L1" s="3" t="s">
        <v>756</v>
      </c>
      <c r="M1" s="4">
        <f>IF($H$2="",DATE(1900,1,1),$H$2)</f>
        <v>46266</v>
      </c>
    </row>
    <row r="2" ht="22" customHeight="1" spans="1:13">
      <c r="A2" s="24" t="s">
        <v>757</v>
      </c>
      <c r="G2" s="8" t="s">
        <v>758</v>
      </c>
      <c r="H2" s="7">
        <v>46266</v>
      </c>
      <c r="I2" s="8" t="s">
        <v>759</v>
      </c>
      <c r="J2" s="7">
        <v>46295</v>
      </c>
      <c r="L2" s="3" t="s">
        <v>760</v>
      </c>
      <c r="M2" s="4">
        <f>IF($J$2="",DATE(2999,12,31),$J$2)</f>
        <v>46295</v>
      </c>
    </row>
    <row r="3" ht="34" customHeight="1" spans="1:13">
      <c r="A3" s="9" t="s">
        <v>365</v>
      </c>
      <c r="B3" s="9" t="s">
        <v>366</v>
      </c>
      <c r="C3" s="9" t="s">
        <v>367</v>
      </c>
      <c r="D3" s="9" t="s">
        <v>369</v>
      </c>
      <c r="E3" s="9" t="s">
        <v>761</v>
      </c>
      <c r="F3" s="9" t="s">
        <v>762</v>
      </c>
      <c r="G3" s="9" t="s">
        <v>763</v>
      </c>
      <c r="H3" s="9" t="s">
        <v>764</v>
      </c>
      <c r="I3" s="9" t="s">
        <v>765</v>
      </c>
      <c r="J3" s="9" t="s">
        <v>766</v>
      </c>
    </row>
    <row r="4" ht="18" customHeight="1" spans="1:13">
      <c r="A4" s="25" t="str">
        <f>IF($B4="","",IFERROR(INDEX(科目表!$A$4:$A$81,MATCH($B4,科目表!$B$4:$B$81,0)),""))</f>
        <v>1001</v>
      </c>
      <c r="B4" s="10" t="s">
        <v>380</v>
      </c>
      <c r="C4" s="26" t="str">
        <f>IF($B4="","",IFERROR(INDEX(科目表!$C$4:$C$81,MATCH($B4,科目表!$B$4:$B$81,0)),""))</f>
        <v>资产</v>
      </c>
      <c r="D4" s="26" t="str">
        <f>IF($B4="","",IFERROR(INDEX(科目表!$E$4:$E$81,MATCH($B4,科目表!$B$4:$B$81,0)),""))</f>
        <v>货币资金</v>
      </c>
      <c r="E4" s="27">
        <f>IF($B4="","",MAX(0,ROUND(SUMIFS(期初余额!$D$4:$D$81,期初余额!$B$4:$B$81,$B4)-SUMIFS(期初余额!$E$4:$E$81,期初余额!$B$4:$B$81,$B4)+SUMIFS(记账凭证!$H$4:$H$3609,记账凭证!$E$4:$E$3609,$B4,记账凭证!$B$4:$B$3609,"&lt;"&amp;$M$1)-SUMIFS(记账凭证!$I$4:$I$3609,记账凭证!$E$4:$E$3609,$B4,记账凭证!$B$4:$B$3609,"&lt;"&amp;$M$1),2)))</f>
        <v>0</v>
      </c>
      <c r="F4" s="27">
        <f>IF($B4="","",MAX(0,ROUND(-(SUMIFS(期初余额!$D$4:$D$81,期初余额!$B$4:$B$81,$B4)-SUMIFS(期初余额!$E$4:$E$81,期初余额!$B$4:$B$81,$B4)+SUMIFS(记账凭证!$H$4:$H$3609,记账凭证!$E$4:$E$3609,$B4,记账凭证!$B$4:$B$3609,"&lt;"&amp;$M$1)-SUMIFS(记账凭证!$I$4:$I$3609,记账凭证!$E$4:$E$3609,$B4,记账凭证!$B$4:$B$3609,"&lt;"&amp;$M$1)),2)))</f>
        <v>0</v>
      </c>
      <c r="G4" s="27">
        <f>IF($B4="","",ROUND(SUMIFS(记账凭证!$H$4:$H$3609,记账凭证!$E$4:$E$3609,$B4,记账凭证!$B$4:$B$3609,"&gt;="&amp;$M$1,记账凭证!$B$4:$B$3609,"&lt;="&amp;$M$2),2))</f>
        <v>0</v>
      </c>
      <c r="H4" s="27">
        <f>IF($B4="","",ROUND(SUMIFS(记账凭证!$I$4:$I$3609,记账凭证!$E$4:$E$3609,$B4,记账凭证!$B$4:$B$3609,"&gt;="&amp;$M$1,记账凭证!$B$4:$B$3609,"&lt;="&amp;$M$2),2))</f>
        <v>0</v>
      </c>
      <c r="I4" s="27">
        <f t="shared" ref="I4:I67" si="0">IF($B4="","",MAX(0,ROUND($E4-$F4+$G4-$H4,2)))</f>
        <v>0</v>
      </c>
      <c r="J4" s="27">
        <f t="shared" ref="J4:J67" si="1">IF($B4="","",MAX(0,ROUND($F4-$E4-$G4+$H4,2)))</f>
        <v>0</v>
      </c>
    </row>
    <row r="5" ht="18" customHeight="1" spans="1:13">
      <c r="A5" s="25" t="str">
        <f>IF($B5="","",IFERROR(INDEX(科目表!$A$4:$A$81,MATCH($B5,科目表!$B$4:$B$81,0)),""))</f>
        <v>1002</v>
      </c>
      <c r="B5" s="10" t="s">
        <v>389</v>
      </c>
      <c r="C5" s="26" t="str">
        <f>IF($B5="","",IFERROR(INDEX(科目表!$C$4:$C$81,MATCH($B5,科目表!$B$4:$B$81,0)),""))</f>
        <v>资产</v>
      </c>
      <c r="D5" s="26" t="str">
        <f>IF($B5="","",IFERROR(INDEX(科目表!$E$4:$E$81,MATCH($B5,科目表!$B$4:$B$81,0)),""))</f>
        <v>货币资金</v>
      </c>
      <c r="E5" s="27">
        <f>IF($B5="","",MAX(0,ROUND(SUMIFS(期初余额!$D$4:$D$81,期初余额!$B$4:$B$81,$B5)-SUMIFS(期初余额!$E$4:$E$81,期初余额!$B$4:$B$81,$B5)+SUMIFS(记账凭证!$H$4:$H$3609,记账凭证!$E$4:$E$3609,$B5,记账凭证!$B$4:$B$3609,"&lt;"&amp;$M$1)-SUMIFS(记账凭证!$I$4:$I$3609,记账凭证!$E$4:$E$3609,$B5,记账凭证!$B$4:$B$3609,"&lt;"&amp;$M$1),2)))</f>
        <v>0</v>
      </c>
      <c r="F5" s="27">
        <f>IF($B5="","",MAX(0,ROUND(-(SUMIFS(期初余额!$D$4:$D$81,期初余额!$B$4:$B$81,$B5)-SUMIFS(期初余额!$E$4:$E$81,期初余额!$B$4:$B$81,$B5)+SUMIFS(记账凭证!$H$4:$H$3609,记账凭证!$E$4:$E$3609,$B5,记账凭证!$B$4:$B$3609,"&lt;"&amp;$M$1)-SUMIFS(记账凭证!$I$4:$I$3609,记账凭证!$E$4:$E$3609,$B5,记账凭证!$B$4:$B$3609,"&lt;"&amp;$M$1)),2)))</f>
        <v>0</v>
      </c>
      <c r="G5" s="27">
        <f>IF($B5="","",ROUND(SUMIFS(记账凭证!$H$4:$H$3609,记账凭证!$E$4:$E$3609,$B5,记账凭证!$B$4:$B$3609,"&gt;="&amp;$M$1,记账凭证!$B$4:$B$3609,"&lt;="&amp;$M$2),2))</f>
        <v>0</v>
      </c>
      <c r="H5" s="27">
        <f>IF($B5="","",ROUND(SUMIFS(记账凭证!$I$4:$I$3609,记账凭证!$E$4:$E$3609,$B5,记账凭证!$B$4:$B$3609,"&gt;="&amp;$M$1,记账凭证!$B$4:$B$3609,"&lt;="&amp;$M$2),2))</f>
        <v>0</v>
      </c>
      <c r="I5" s="27">
        <f t="shared" si="0"/>
        <v>0</v>
      </c>
      <c r="J5" s="27">
        <f t="shared" si="1"/>
        <v>0</v>
      </c>
    </row>
    <row r="6" ht="18" customHeight="1" spans="1:13">
      <c r="A6" s="25" t="str">
        <f>IF($B6="","",IFERROR(INDEX(科目表!$A$4:$A$81,MATCH($B6,科目表!$B$4:$B$81,0)),""))</f>
        <v>1012</v>
      </c>
      <c r="B6" s="10" t="s">
        <v>397</v>
      </c>
      <c r="C6" s="26" t="str">
        <f>IF($B6="","",IFERROR(INDEX(科目表!$C$4:$C$81,MATCH($B6,科目表!$B$4:$B$81,0)),""))</f>
        <v>资产</v>
      </c>
      <c r="D6" s="26" t="str">
        <f>IF($B6="","",IFERROR(INDEX(科目表!$E$4:$E$81,MATCH($B6,科目表!$B$4:$B$81,0)),""))</f>
        <v>货币资金</v>
      </c>
      <c r="E6" s="27">
        <f>IF($B6="","",MAX(0,ROUND(SUMIFS(期初余额!$D$4:$D$81,期初余额!$B$4:$B$81,$B6)-SUMIFS(期初余额!$E$4:$E$81,期初余额!$B$4:$B$81,$B6)+SUMIFS(记账凭证!$H$4:$H$3609,记账凭证!$E$4:$E$3609,$B6,记账凭证!$B$4:$B$3609,"&lt;"&amp;$M$1)-SUMIFS(记账凭证!$I$4:$I$3609,记账凭证!$E$4:$E$3609,$B6,记账凭证!$B$4:$B$3609,"&lt;"&amp;$M$1),2)))</f>
        <v>0</v>
      </c>
      <c r="F6" s="27">
        <f>IF($B6="","",MAX(0,ROUND(-(SUMIFS(期初余额!$D$4:$D$81,期初余额!$B$4:$B$81,$B6)-SUMIFS(期初余额!$E$4:$E$81,期初余额!$B$4:$B$81,$B6)+SUMIFS(记账凭证!$H$4:$H$3609,记账凭证!$E$4:$E$3609,$B6,记账凭证!$B$4:$B$3609,"&lt;"&amp;$M$1)-SUMIFS(记账凭证!$I$4:$I$3609,记账凭证!$E$4:$E$3609,$B6,记账凭证!$B$4:$B$3609,"&lt;"&amp;$M$1)),2)))</f>
        <v>0</v>
      </c>
      <c r="G6" s="27">
        <f>IF($B6="","",ROUND(SUMIFS(记账凭证!$H$4:$H$3609,记账凭证!$E$4:$E$3609,$B6,记账凭证!$B$4:$B$3609,"&gt;="&amp;$M$1,记账凭证!$B$4:$B$3609,"&lt;="&amp;$M$2),2))</f>
        <v>0</v>
      </c>
      <c r="H6" s="27">
        <f>IF($B6="","",ROUND(SUMIFS(记账凭证!$I$4:$I$3609,记账凭证!$E$4:$E$3609,$B6,记账凭证!$B$4:$B$3609,"&gt;="&amp;$M$1,记账凭证!$B$4:$B$3609,"&lt;="&amp;$M$2),2))</f>
        <v>0</v>
      </c>
      <c r="I6" s="27">
        <f t="shared" si="0"/>
        <v>0</v>
      </c>
      <c r="J6" s="27">
        <f t="shared" si="1"/>
        <v>0</v>
      </c>
    </row>
    <row r="7" ht="18" customHeight="1" spans="1:13">
      <c r="A7" s="25" t="str">
        <f>IF($B7="","",IFERROR(INDEX(科目表!$A$4:$A$81,MATCH($B7,科目表!$B$4:$B$81,0)),""))</f>
        <v>1121</v>
      </c>
      <c r="B7" s="10" t="s">
        <v>404</v>
      </c>
      <c r="C7" s="26" t="str">
        <f>IF($B7="","",IFERROR(INDEX(科目表!$C$4:$C$81,MATCH($B7,科目表!$B$4:$B$81,0)),""))</f>
        <v>资产</v>
      </c>
      <c r="D7" s="26" t="str">
        <f>IF($B7="","",IFERROR(INDEX(科目表!$E$4:$E$81,MATCH($B7,科目表!$B$4:$B$81,0)),""))</f>
        <v>应收票据</v>
      </c>
      <c r="E7" s="27">
        <f>IF($B7="","",MAX(0,ROUND(SUMIFS(期初余额!$D$4:$D$81,期初余额!$B$4:$B$81,$B7)-SUMIFS(期初余额!$E$4:$E$81,期初余额!$B$4:$B$81,$B7)+SUMIFS(记账凭证!$H$4:$H$3609,记账凭证!$E$4:$E$3609,$B7,记账凭证!$B$4:$B$3609,"&lt;"&amp;$M$1)-SUMIFS(记账凭证!$I$4:$I$3609,记账凭证!$E$4:$E$3609,$B7,记账凭证!$B$4:$B$3609,"&lt;"&amp;$M$1),2)))</f>
        <v>0</v>
      </c>
      <c r="F7" s="27">
        <f>IF($B7="","",MAX(0,ROUND(-(SUMIFS(期初余额!$D$4:$D$81,期初余额!$B$4:$B$81,$B7)-SUMIFS(期初余额!$E$4:$E$81,期初余额!$B$4:$B$81,$B7)+SUMIFS(记账凭证!$H$4:$H$3609,记账凭证!$E$4:$E$3609,$B7,记账凭证!$B$4:$B$3609,"&lt;"&amp;$M$1)-SUMIFS(记账凭证!$I$4:$I$3609,记账凭证!$E$4:$E$3609,$B7,记账凭证!$B$4:$B$3609,"&lt;"&amp;$M$1)),2)))</f>
        <v>0</v>
      </c>
      <c r="G7" s="27">
        <f>IF($B7="","",ROUND(SUMIFS(记账凭证!$H$4:$H$3609,记账凭证!$E$4:$E$3609,$B7,记账凭证!$B$4:$B$3609,"&gt;="&amp;$M$1,记账凭证!$B$4:$B$3609,"&lt;="&amp;$M$2),2))</f>
        <v>0</v>
      </c>
      <c r="H7" s="27">
        <f>IF($B7="","",ROUND(SUMIFS(记账凭证!$I$4:$I$3609,记账凭证!$E$4:$E$3609,$B7,记账凭证!$B$4:$B$3609,"&gt;="&amp;$M$1,记账凭证!$B$4:$B$3609,"&lt;="&amp;$M$2),2))</f>
        <v>0</v>
      </c>
      <c r="I7" s="27">
        <f t="shared" si="0"/>
        <v>0</v>
      </c>
      <c r="J7" s="27">
        <f t="shared" si="1"/>
        <v>0</v>
      </c>
    </row>
    <row r="8" ht="18" customHeight="1" spans="1:13">
      <c r="A8" s="25" t="str">
        <f>IF($B8="","",IFERROR(INDEX(科目表!$A$4:$A$81,MATCH($B8,科目表!$B$4:$B$81,0)),""))</f>
        <v>1122</v>
      </c>
      <c r="B8" s="10" t="s">
        <v>254</v>
      </c>
      <c r="C8" s="26" t="str">
        <f>IF($B8="","",IFERROR(INDEX(科目表!$C$4:$C$81,MATCH($B8,科目表!$B$4:$B$81,0)),""))</f>
        <v>资产</v>
      </c>
      <c r="D8" s="26" t="str">
        <f>IF($B8="","",IFERROR(INDEX(科目表!$E$4:$E$81,MATCH($B8,科目表!$B$4:$B$81,0)),""))</f>
        <v>应收账款</v>
      </c>
      <c r="E8" s="27">
        <f>IF($B8="","",MAX(0,ROUND(SUMIFS(期初余额!$D$4:$D$81,期初余额!$B$4:$B$81,$B8)-SUMIFS(期初余额!$E$4:$E$81,期初余额!$B$4:$B$81,$B8)+SUMIFS(记账凭证!$H$4:$H$3609,记账凭证!$E$4:$E$3609,$B8,记账凭证!$B$4:$B$3609,"&lt;"&amp;$M$1)-SUMIFS(记账凭证!$I$4:$I$3609,记账凭证!$E$4:$E$3609,$B8,记账凭证!$B$4:$B$3609,"&lt;"&amp;$M$1),2)))</f>
        <v>0</v>
      </c>
      <c r="F8" s="27">
        <f>IF($B8="","",MAX(0,ROUND(-(SUMIFS(期初余额!$D$4:$D$81,期初余额!$B$4:$B$81,$B8)-SUMIFS(期初余额!$E$4:$E$81,期初余额!$B$4:$B$81,$B8)+SUMIFS(记账凭证!$H$4:$H$3609,记账凭证!$E$4:$E$3609,$B8,记账凭证!$B$4:$B$3609,"&lt;"&amp;$M$1)-SUMIFS(记账凭证!$I$4:$I$3609,记账凭证!$E$4:$E$3609,$B8,记账凭证!$B$4:$B$3609,"&lt;"&amp;$M$1)),2)))</f>
        <v>0</v>
      </c>
      <c r="G8" s="27">
        <f>IF($B8="","",ROUND(SUMIFS(记账凭证!$H$4:$H$3609,记账凭证!$E$4:$E$3609,$B8,记账凭证!$B$4:$B$3609,"&gt;="&amp;$M$1,记账凭证!$B$4:$B$3609,"&lt;="&amp;$M$2),2))</f>
        <v>0</v>
      </c>
      <c r="H8" s="27">
        <f>IF($B8="","",ROUND(SUMIFS(记账凭证!$I$4:$I$3609,记账凭证!$E$4:$E$3609,$B8,记账凭证!$B$4:$B$3609,"&gt;="&amp;$M$1,记账凭证!$B$4:$B$3609,"&lt;="&amp;$M$2),2))</f>
        <v>0</v>
      </c>
      <c r="I8" s="27">
        <f t="shared" si="0"/>
        <v>0</v>
      </c>
      <c r="J8" s="27">
        <f t="shared" si="1"/>
        <v>0</v>
      </c>
    </row>
    <row r="9" ht="18" customHeight="1" spans="1:13">
      <c r="A9" s="25" t="str">
        <f>IF($B9="","",IFERROR(INDEX(科目表!$A$4:$A$81,MATCH($B9,科目表!$B$4:$B$81,0)),""))</f>
        <v>1123</v>
      </c>
      <c r="B9" s="10" t="s">
        <v>415</v>
      </c>
      <c r="C9" s="26" t="str">
        <f>IF($B9="","",IFERROR(INDEX(科目表!$C$4:$C$81,MATCH($B9,科目表!$B$4:$B$81,0)),""))</f>
        <v>资产</v>
      </c>
      <c r="D9" s="26" t="str">
        <f>IF($B9="","",IFERROR(INDEX(科目表!$E$4:$E$81,MATCH($B9,科目表!$B$4:$B$81,0)),""))</f>
        <v>预付款项</v>
      </c>
      <c r="E9" s="27">
        <f>IF($B9="","",MAX(0,ROUND(SUMIFS(期初余额!$D$4:$D$81,期初余额!$B$4:$B$81,$B9)-SUMIFS(期初余额!$E$4:$E$81,期初余额!$B$4:$B$81,$B9)+SUMIFS(记账凭证!$H$4:$H$3609,记账凭证!$E$4:$E$3609,$B9,记账凭证!$B$4:$B$3609,"&lt;"&amp;$M$1)-SUMIFS(记账凭证!$I$4:$I$3609,记账凭证!$E$4:$E$3609,$B9,记账凭证!$B$4:$B$3609,"&lt;"&amp;$M$1),2)))</f>
        <v>0</v>
      </c>
      <c r="F9" s="27">
        <f>IF($B9="","",MAX(0,ROUND(-(SUMIFS(期初余额!$D$4:$D$81,期初余额!$B$4:$B$81,$B9)-SUMIFS(期初余额!$E$4:$E$81,期初余额!$B$4:$B$81,$B9)+SUMIFS(记账凭证!$H$4:$H$3609,记账凭证!$E$4:$E$3609,$B9,记账凭证!$B$4:$B$3609,"&lt;"&amp;$M$1)-SUMIFS(记账凭证!$I$4:$I$3609,记账凭证!$E$4:$E$3609,$B9,记账凭证!$B$4:$B$3609,"&lt;"&amp;$M$1)),2)))</f>
        <v>0</v>
      </c>
      <c r="G9" s="27">
        <f>IF($B9="","",ROUND(SUMIFS(记账凭证!$H$4:$H$3609,记账凭证!$E$4:$E$3609,$B9,记账凭证!$B$4:$B$3609,"&gt;="&amp;$M$1,记账凭证!$B$4:$B$3609,"&lt;="&amp;$M$2),2))</f>
        <v>0</v>
      </c>
      <c r="H9" s="27">
        <f>IF($B9="","",ROUND(SUMIFS(记账凭证!$I$4:$I$3609,记账凭证!$E$4:$E$3609,$B9,记账凭证!$B$4:$B$3609,"&gt;="&amp;$M$1,记账凭证!$B$4:$B$3609,"&lt;="&amp;$M$2),2))</f>
        <v>0</v>
      </c>
      <c r="I9" s="27">
        <f t="shared" si="0"/>
        <v>0</v>
      </c>
      <c r="J9" s="27">
        <f t="shared" si="1"/>
        <v>0</v>
      </c>
    </row>
    <row r="10" ht="18" customHeight="1" spans="1:13">
      <c r="A10" s="25" t="str">
        <f>IF($B10="","",IFERROR(INDEX(科目表!$A$4:$A$81,MATCH($B10,科目表!$B$4:$B$81,0)),""))</f>
        <v>1131</v>
      </c>
      <c r="B10" s="10" t="s">
        <v>421</v>
      </c>
      <c r="C10" s="26" t="str">
        <f>IF($B10="","",IFERROR(INDEX(科目表!$C$4:$C$81,MATCH($B10,科目表!$B$4:$B$81,0)),""))</f>
        <v>资产</v>
      </c>
      <c r="D10" s="26" t="str">
        <f>IF($B10="","",IFERROR(INDEX(科目表!$E$4:$E$81,MATCH($B10,科目表!$B$4:$B$81,0)),""))</f>
        <v>应收股利</v>
      </c>
      <c r="E10" s="27">
        <f>IF($B10="","",MAX(0,ROUND(SUMIFS(期初余额!$D$4:$D$81,期初余额!$B$4:$B$81,$B10)-SUMIFS(期初余额!$E$4:$E$81,期初余额!$B$4:$B$81,$B10)+SUMIFS(记账凭证!$H$4:$H$3609,记账凭证!$E$4:$E$3609,$B10,记账凭证!$B$4:$B$3609,"&lt;"&amp;$M$1)-SUMIFS(记账凭证!$I$4:$I$3609,记账凭证!$E$4:$E$3609,$B10,记账凭证!$B$4:$B$3609,"&lt;"&amp;$M$1),2)))</f>
        <v>0</v>
      </c>
      <c r="F10" s="27">
        <f>IF($B10="","",MAX(0,ROUND(-(SUMIFS(期初余额!$D$4:$D$81,期初余额!$B$4:$B$81,$B10)-SUMIFS(期初余额!$E$4:$E$81,期初余额!$B$4:$B$81,$B10)+SUMIFS(记账凭证!$H$4:$H$3609,记账凭证!$E$4:$E$3609,$B10,记账凭证!$B$4:$B$3609,"&lt;"&amp;$M$1)-SUMIFS(记账凭证!$I$4:$I$3609,记账凭证!$E$4:$E$3609,$B10,记账凭证!$B$4:$B$3609,"&lt;"&amp;$M$1)),2)))</f>
        <v>0</v>
      </c>
      <c r="G10" s="27">
        <f>IF($B10="","",ROUND(SUMIFS(记账凭证!$H$4:$H$3609,记账凭证!$E$4:$E$3609,$B10,记账凭证!$B$4:$B$3609,"&gt;="&amp;$M$1,记账凭证!$B$4:$B$3609,"&lt;="&amp;$M$2),2))</f>
        <v>0</v>
      </c>
      <c r="H10" s="27">
        <f>IF($B10="","",ROUND(SUMIFS(记账凭证!$I$4:$I$3609,记账凭证!$E$4:$E$3609,$B10,记账凭证!$B$4:$B$3609,"&gt;="&amp;$M$1,记账凭证!$B$4:$B$3609,"&lt;="&amp;$M$2),2))</f>
        <v>0</v>
      </c>
      <c r="I10" s="27">
        <f t="shared" si="0"/>
        <v>0</v>
      </c>
      <c r="J10" s="27">
        <f t="shared" si="1"/>
        <v>0</v>
      </c>
    </row>
    <row r="11" ht="18" customHeight="1" spans="1:13">
      <c r="A11" s="25" t="str">
        <f>IF($B11="","",IFERROR(INDEX(科目表!$A$4:$A$81,MATCH($B11,科目表!$B$4:$B$81,0)),""))</f>
        <v>1132</v>
      </c>
      <c r="B11" s="10" t="s">
        <v>427</v>
      </c>
      <c r="C11" s="26" t="str">
        <f>IF($B11="","",IFERROR(INDEX(科目表!$C$4:$C$81,MATCH($B11,科目表!$B$4:$B$81,0)),""))</f>
        <v>资产</v>
      </c>
      <c r="D11" s="26" t="str">
        <f>IF($B11="","",IFERROR(INDEX(科目表!$E$4:$E$81,MATCH($B11,科目表!$B$4:$B$81,0)),""))</f>
        <v>应收利息</v>
      </c>
      <c r="E11" s="27">
        <f>IF($B11="","",MAX(0,ROUND(SUMIFS(期初余额!$D$4:$D$81,期初余额!$B$4:$B$81,$B11)-SUMIFS(期初余额!$E$4:$E$81,期初余额!$B$4:$B$81,$B11)+SUMIFS(记账凭证!$H$4:$H$3609,记账凭证!$E$4:$E$3609,$B11,记账凭证!$B$4:$B$3609,"&lt;"&amp;$M$1)-SUMIFS(记账凭证!$I$4:$I$3609,记账凭证!$E$4:$E$3609,$B11,记账凭证!$B$4:$B$3609,"&lt;"&amp;$M$1),2)))</f>
        <v>0</v>
      </c>
      <c r="F11" s="27">
        <f>IF($B11="","",MAX(0,ROUND(-(SUMIFS(期初余额!$D$4:$D$81,期初余额!$B$4:$B$81,$B11)-SUMIFS(期初余额!$E$4:$E$81,期初余额!$B$4:$B$81,$B11)+SUMIFS(记账凭证!$H$4:$H$3609,记账凭证!$E$4:$E$3609,$B11,记账凭证!$B$4:$B$3609,"&lt;"&amp;$M$1)-SUMIFS(记账凭证!$I$4:$I$3609,记账凭证!$E$4:$E$3609,$B11,记账凭证!$B$4:$B$3609,"&lt;"&amp;$M$1)),2)))</f>
        <v>0</v>
      </c>
      <c r="G11" s="27">
        <f>IF($B11="","",ROUND(SUMIFS(记账凭证!$H$4:$H$3609,记账凭证!$E$4:$E$3609,$B11,记账凭证!$B$4:$B$3609,"&gt;="&amp;$M$1,记账凭证!$B$4:$B$3609,"&lt;="&amp;$M$2),2))</f>
        <v>0</v>
      </c>
      <c r="H11" s="27">
        <f>IF($B11="","",ROUND(SUMIFS(记账凭证!$I$4:$I$3609,记账凭证!$E$4:$E$3609,$B11,记账凭证!$B$4:$B$3609,"&gt;="&amp;$M$1,记账凭证!$B$4:$B$3609,"&lt;="&amp;$M$2),2))</f>
        <v>0</v>
      </c>
      <c r="I11" s="27">
        <f t="shared" si="0"/>
        <v>0</v>
      </c>
      <c r="J11" s="27">
        <f t="shared" si="1"/>
        <v>0</v>
      </c>
    </row>
    <row r="12" ht="18" customHeight="1" spans="1:13">
      <c r="A12" s="25" t="str">
        <f>IF($B12="","",IFERROR(INDEX(科目表!$A$4:$A$81,MATCH($B12,科目表!$B$4:$B$81,0)),""))</f>
        <v>1221</v>
      </c>
      <c r="B12" s="10" t="s">
        <v>357</v>
      </c>
      <c r="C12" s="26" t="str">
        <f>IF($B12="","",IFERROR(INDEX(科目表!$C$4:$C$81,MATCH($B12,科目表!$B$4:$B$81,0)),""))</f>
        <v>资产</v>
      </c>
      <c r="D12" s="26" t="str">
        <f>IF($B12="","",IFERROR(INDEX(科目表!$E$4:$E$81,MATCH($B12,科目表!$B$4:$B$81,0)),""))</f>
        <v>其他应收款</v>
      </c>
      <c r="E12" s="27">
        <f>IF($B12="","",MAX(0,ROUND(SUMIFS(期初余额!$D$4:$D$81,期初余额!$B$4:$B$81,$B12)-SUMIFS(期初余额!$E$4:$E$81,期初余额!$B$4:$B$81,$B12)+SUMIFS(记账凭证!$H$4:$H$3609,记账凭证!$E$4:$E$3609,$B12,记账凭证!$B$4:$B$3609,"&lt;"&amp;$M$1)-SUMIFS(记账凭证!$I$4:$I$3609,记账凭证!$E$4:$E$3609,$B12,记账凭证!$B$4:$B$3609,"&lt;"&amp;$M$1),2)))</f>
        <v>0</v>
      </c>
      <c r="F12" s="27">
        <f>IF($B12="","",MAX(0,ROUND(-(SUMIFS(期初余额!$D$4:$D$81,期初余额!$B$4:$B$81,$B12)-SUMIFS(期初余额!$E$4:$E$81,期初余额!$B$4:$B$81,$B12)+SUMIFS(记账凭证!$H$4:$H$3609,记账凭证!$E$4:$E$3609,$B12,记账凭证!$B$4:$B$3609,"&lt;"&amp;$M$1)-SUMIFS(记账凭证!$I$4:$I$3609,记账凭证!$E$4:$E$3609,$B12,记账凭证!$B$4:$B$3609,"&lt;"&amp;$M$1)),2)))</f>
        <v>0</v>
      </c>
      <c r="G12" s="27">
        <f>IF($B12="","",ROUND(SUMIFS(记账凭证!$H$4:$H$3609,记账凭证!$E$4:$E$3609,$B12,记账凭证!$B$4:$B$3609,"&gt;="&amp;$M$1,记账凭证!$B$4:$B$3609,"&lt;="&amp;$M$2),2))</f>
        <v>0</v>
      </c>
      <c r="H12" s="27">
        <f>IF($B12="","",ROUND(SUMIFS(记账凭证!$I$4:$I$3609,记账凭证!$E$4:$E$3609,$B12,记账凭证!$B$4:$B$3609,"&gt;="&amp;$M$1,记账凭证!$B$4:$B$3609,"&lt;="&amp;$M$2),2))</f>
        <v>0</v>
      </c>
      <c r="I12" s="27">
        <f t="shared" si="0"/>
        <v>0</v>
      </c>
      <c r="J12" s="27">
        <f t="shared" si="1"/>
        <v>0</v>
      </c>
    </row>
    <row r="13" ht="18" customHeight="1" spans="1:13">
      <c r="A13" s="25" t="str">
        <f>IF($B13="","",IFERROR(INDEX(科目表!$A$4:$A$81,MATCH($B13,科目表!$B$4:$B$81,0)),""))</f>
        <v>1231</v>
      </c>
      <c r="B13" s="10" t="s">
        <v>434</v>
      </c>
      <c r="C13" s="26" t="str">
        <f>IF($B13="","",IFERROR(INDEX(科目表!$C$4:$C$81,MATCH($B13,科目表!$B$4:$B$81,0)),""))</f>
        <v>资产</v>
      </c>
      <c r="D13" s="26" t="str">
        <f>IF($B13="","",IFERROR(INDEX(科目表!$E$4:$E$81,MATCH($B13,科目表!$B$4:$B$81,0)),""))</f>
        <v>应收账款</v>
      </c>
      <c r="E13" s="27">
        <f>IF($B13="","",MAX(0,ROUND(SUMIFS(期初余额!$D$4:$D$81,期初余额!$B$4:$B$81,$B13)-SUMIFS(期初余额!$E$4:$E$81,期初余额!$B$4:$B$81,$B13)+SUMIFS(记账凭证!$H$4:$H$3609,记账凭证!$E$4:$E$3609,$B13,记账凭证!$B$4:$B$3609,"&lt;"&amp;$M$1)-SUMIFS(记账凭证!$I$4:$I$3609,记账凭证!$E$4:$E$3609,$B13,记账凭证!$B$4:$B$3609,"&lt;"&amp;$M$1),2)))</f>
        <v>0</v>
      </c>
      <c r="F13" s="27">
        <f>IF($B13="","",MAX(0,ROUND(-(SUMIFS(期初余额!$D$4:$D$81,期初余额!$B$4:$B$81,$B13)-SUMIFS(期初余额!$E$4:$E$81,期初余额!$B$4:$B$81,$B13)+SUMIFS(记账凭证!$H$4:$H$3609,记账凭证!$E$4:$E$3609,$B13,记账凭证!$B$4:$B$3609,"&lt;"&amp;$M$1)-SUMIFS(记账凭证!$I$4:$I$3609,记账凭证!$E$4:$E$3609,$B13,记账凭证!$B$4:$B$3609,"&lt;"&amp;$M$1)),2)))</f>
        <v>0</v>
      </c>
      <c r="G13" s="27">
        <f>IF($B13="","",ROUND(SUMIFS(记账凭证!$H$4:$H$3609,记账凭证!$E$4:$E$3609,$B13,记账凭证!$B$4:$B$3609,"&gt;="&amp;$M$1,记账凭证!$B$4:$B$3609,"&lt;="&amp;$M$2),2))</f>
        <v>0</v>
      </c>
      <c r="H13" s="27">
        <f>IF($B13="","",ROUND(SUMIFS(记账凭证!$I$4:$I$3609,记账凭证!$E$4:$E$3609,$B13,记账凭证!$B$4:$B$3609,"&gt;="&amp;$M$1,记账凭证!$B$4:$B$3609,"&lt;="&amp;$M$2),2))</f>
        <v>0</v>
      </c>
      <c r="I13" s="27">
        <f t="shared" si="0"/>
        <v>0</v>
      </c>
      <c r="J13" s="27">
        <f t="shared" si="1"/>
        <v>0</v>
      </c>
    </row>
    <row r="14" ht="18" customHeight="1" spans="1:13">
      <c r="A14" s="25" t="str">
        <f>IF($B14="","",IFERROR(INDEX(科目表!$A$4:$A$81,MATCH($B14,科目表!$B$4:$B$81,0)),""))</f>
        <v>1401</v>
      </c>
      <c r="B14" s="10" t="s">
        <v>439</v>
      </c>
      <c r="C14" s="26" t="str">
        <f>IF($B14="","",IFERROR(INDEX(科目表!$C$4:$C$81,MATCH($B14,科目表!$B$4:$B$81,0)),""))</f>
        <v>资产</v>
      </c>
      <c r="D14" s="26" t="str">
        <f>IF($B14="","",IFERROR(INDEX(科目表!$E$4:$E$81,MATCH($B14,科目表!$B$4:$B$81,0)),""))</f>
        <v>存货</v>
      </c>
      <c r="E14" s="27">
        <f>IF($B14="","",MAX(0,ROUND(SUMIFS(期初余额!$D$4:$D$81,期初余额!$B$4:$B$81,$B14)-SUMIFS(期初余额!$E$4:$E$81,期初余额!$B$4:$B$81,$B14)+SUMIFS(记账凭证!$H$4:$H$3609,记账凭证!$E$4:$E$3609,$B14,记账凭证!$B$4:$B$3609,"&lt;"&amp;$M$1)-SUMIFS(记账凭证!$I$4:$I$3609,记账凭证!$E$4:$E$3609,$B14,记账凭证!$B$4:$B$3609,"&lt;"&amp;$M$1),2)))</f>
        <v>0</v>
      </c>
      <c r="F14" s="27">
        <f>IF($B14="","",MAX(0,ROUND(-(SUMIFS(期初余额!$D$4:$D$81,期初余额!$B$4:$B$81,$B14)-SUMIFS(期初余额!$E$4:$E$81,期初余额!$B$4:$B$81,$B14)+SUMIFS(记账凭证!$H$4:$H$3609,记账凭证!$E$4:$E$3609,$B14,记账凭证!$B$4:$B$3609,"&lt;"&amp;$M$1)-SUMIFS(记账凭证!$I$4:$I$3609,记账凭证!$E$4:$E$3609,$B14,记账凭证!$B$4:$B$3609,"&lt;"&amp;$M$1)),2)))</f>
        <v>0</v>
      </c>
      <c r="G14" s="27">
        <f>IF($B14="","",ROUND(SUMIFS(记账凭证!$H$4:$H$3609,记账凭证!$E$4:$E$3609,$B14,记账凭证!$B$4:$B$3609,"&gt;="&amp;$M$1,记账凭证!$B$4:$B$3609,"&lt;="&amp;$M$2),2))</f>
        <v>0</v>
      </c>
      <c r="H14" s="27">
        <f>IF($B14="","",ROUND(SUMIFS(记账凭证!$I$4:$I$3609,记账凭证!$E$4:$E$3609,$B14,记账凭证!$B$4:$B$3609,"&gt;="&amp;$M$1,记账凭证!$B$4:$B$3609,"&lt;="&amp;$M$2),2))</f>
        <v>0</v>
      </c>
      <c r="I14" s="27">
        <f t="shared" si="0"/>
        <v>0</v>
      </c>
      <c r="J14" s="27">
        <f t="shared" si="1"/>
        <v>0</v>
      </c>
    </row>
    <row r="15" ht="18" customHeight="1" spans="1:13">
      <c r="A15" s="25" t="str">
        <f>IF($B15="","",IFERROR(INDEX(科目表!$A$4:$A$81,MATCH($B15,科目表!$B$4:$B$81,0)),""))</f>
        <v>1403</v>
      </c>
      <c r="B15" s="10" t="s">
        <v>293</v>
      </c>
      <c r="C15" s="26" t="str">
        <f>IF($B15="","",IFERROR(INDEX(科目表!$C$4:$C$81,MATCH($B15,科目表!$B$4:$B$81,0)),""))</f>
        <v>资产</v>
      </c>
      <c r="D15" s="26" t="str">
        <f>IF($B15="","",IFERROR(INDEX(科目表!$E$4:$E$81,MATCH($B15,科目表!$B$4:$B$81,0)),""))</f>
        <v>存货</v>
      </c>
      <c r="E15" s="27">
        <f>IF($B15="","",MAX(0,ROUND(SUMIFS(期初余额!$D$4:$D$81,期初余额!$B$4:$B$81,$B15)-SUMIFS(期初余额!$E$4:$E$81,期初余额!$B$4:$B$81,$B15)+SUMIFS(记账凭证!$H$4:$H$3609,记账凭证!$E$4:$E$3609,$B15,记账凭证!$B$4:$B$3609,"&lt;"&amp;$M$1)-SUMIFS(记账凭证!$I$4:$I$3609,记账凭证!$E$4:$E$3609,$B15,记账凭证!$B$4:$B$3609,"&lt;"&amp;$M$1),2)))</f>
        <v>0</v>
      </c>
      <c r="F15" s="27">
        <f>IF($B15="","",MAX(0,ROUND(-(SUMIFS(期初余额!$D$4:$D$81,期初余额!$B$4:$B$81,$B15)-SUMIFS(期初余额!$E$4:$E$81,期初余额!$B$4:$B$81,$B15)+SUMIFS(记账凭证!$H$4:$H$3609,记账凭证!$E$4:$E$3609,$B15,记账凭证!$B$4:$B$3609,"&lt;"&amp;$M$1)-SUMIFS(记账凭证!$I$4:$I$3609,记账凭证!$E$4:$E$3609,$B15,记账凭证!$B$4:$B$3609,"&lt;"&amp;$M$1)),2)))</f>
        <v>0</v>
      </c>
      <c r="G15" s="27">
        <f>IF($B15="","",ROUND(SUMIFS(记账凭证!$H$4:$H$3609,记账凭证!$E$4:$E$3609,$B15,记账凭证!$B$4:$B$3609,"&gt;="&amp;$M$1,记账凭证!$B$4:$B$3609,"&lt;="&amp;$M$2),2))</f>
        <v>0</v>
      </c>
      <c r="H15" s="27">
        <f>IF($B15="","",ROUND(SUMIFS(记账凭证!$I$4:$I$3609,记账凭证!$E$4:$E$3609,$B15,记账凭证!$B$4:$B$3609,"&gt;="&amp;$M$1,记账凭证!$B$4:$B$3609,"&lt;="&amp;$M$2),2))</f>
        <v>0</v>
      </c>
      <c r="I15" s="27">
        <f t="shared" si="0"/>
        <v>0</v>
      </c>
      <c r="J15" s="27">
        <f t="shared" si="1"/>
        <v>0</v>
      </c>
    </row>
    <row r="16" ht="18" customHeight="1" spans="1:13">
      <c r="A16" s="25" t="str">
        <f>IF($B16="","",IFERROR(INDEX(科目表!$A$4:$A$81,MATCH($B16,科目表!$B$4:$B$81,0)),""))</f>
        <v>1405</v>
      </c>
      <c r="B16" s="10" t="s">
        <v>289</v>
      </c>
      <c r="C16" s="26" t="str">
        <f>IF($B16="","",IFERROR(INDEX(科目表!$C$4:$C$81,MATCH($B16,科目表!$B$4:$B$81,0)),""))</f>
        <v>资产</v>
      </c>
      <c r="D16" s="26" t="str">
        <f>IF($B16="","",IFERROR(INDEX(科目表!$E$4:$E$81,MATCH($B16,科目表!$B$4:$B$81,0)),""))</f>
        <v>存货</v>
      </c>
      <c r="E16" s="27">
        <f>IF($B16="","",MAX(0,ROUND(SUMIFS(期初余额!$D$4:$D$81,期初余额!$B$4:$B$81,$B16)-SUMIFS(期初余额!$E$4:$E$81,期初余额!$B$4:$B$81,$B16)+SUMIFS(记账凭证!$H$4:$H$3609,记账凭证!$E$4:$E$3609,$B16,记账凭证!$B$4:$B$3609,"&lt;"&amp;$M$1)-SUMIFS(记账凭证!$I$4:$I$3609,记账凭证!$E$4:$E$3609,$B16,记账凭证!$B$4:$B$3609,"&lt;"&amp;$M$1),2)))</f>
        <v>0</v>
      </c>
      <c r="F16" s="27">
        <f>IF($B16="","",MAX(0,ROUND(-(SUMIFS(期初余额!$D$4:$D$81,期初余额!$B$4:$B$81,$B16)-SUMIFS(期初余额!$E$4:$E$81,期初余额!$B$4:$B$81,$B16)+SUMIFS(记账凭证!$H$4:$H$3609,记账凭证!$E$4:$E$3609,$B16,记账凭证!$B$4:$B$3609,"&lt;"&amp;$M$1)-SUMIFS(记账凭证!$I$4:$I$3609,记账凭证!$E$4:$E$3609,$B16,记账凭证!$B$4:$B$3609,"&lt;"&amp;$M$1)),2)))</f>
        <v>0</v>
      </c>
      <c r="G16" s="27">
        <f>IF($B16="","",ROUND(SUMIFS(记账凭证!$H$4:$H$3609,记账凭证!$E$4:$E$3609,$B16,记账凭证!$B$4:$B$3609,"&gt;="&amp;$M$1,记账凭证!$B$4:$B$3609,"&lt;="&amp;$M$2),2))</f>
        <v>0</v>
      </c>
      <c r="H16" s="27">
        <f>IF($B16="","",ROUND(SUMIFS(记账凭证!$I$4:$I$3609,记账凭证!$E$4:$E$3609,$B16,记账凭证!$B$4:$B$3609,"&gt;="&amp;$M$1,记账凭证!$B$4:$B$3609,"&lt;="&amp;$M$2),2))</f>
        <v>0</v>
      </c>
      <c r="I16" s="27">
        <f t="shared" si="0"/>
        <v>0</v>
      </c>
      <c r="J16" s="27">
        <f t="shared" si="1"/>
        <v>0</v>
      </c>
    </row>
    <row r="17" ht="18" customHeight="1" spans="1:10">
      <c r="A17" s="25" t="str">
        <f>IF($B17="","",IFERROR(INDEX(科目表!$A$4:$A$81,MATCH($B17,科目表!$B$4:$B$81,0)),""))</f>
        <v>1406</v>
      </c>
      <c r="B17" s="10" t="s">
        <v>450</v>
      </c>
      <c r="C17" s="26" t="str">
        <f>IF($B17="","",IFERROR(INDEX(科目表!$C$4:$C$81,MATCH($B17,科目表!$B$4:$B$81,0)),""))</f>
        <v>资产</v>
      </c>
      <c r="D17" s="26" t="str">
        <f>IF($B17="","",IFERROR(INDEX(科目表!$E$4:$E$81,MATCH($B17,科目表!$B$4:$B$81,0)),""))</f>
        <v>存货</v>
      </c>
      <c r="E17" s="27">
        <f>IF($B17="","",MAX(0,ROUND(SUMIFS(期初余额!$D$4:$D$81,期初余额!$B$4:$B$81,$B17)-SUMIFS(期初余额!$E$4:$E$81,期初余额!$B$4:$B$81,$B17)+SUMIFS(记账凭证!$H$4:$H$3609,记账凭证!$E$4:$E$3609,$B17,记账凭证!$B$4:$B$3609,"&lt;"&amp;$M$1)-SUMIFS(记账凭证!$I$4:$I$3609,记账凭证!$E$4:$E$3609,$B17,记账凭证!$B$4:$B$3609,"&lt;"&amp;$M$1),2)))</f>
        <v>0</v>
      </c>
      <c r="F17" s="27">
        <f>IF($B17="","",MAX(0,ROUND(-(SUMIFS(期初余额!$D$4:$D$81,期初余额!$B$4:$B$81,$B17)-SUMIFS(期初余额!$E$4:$E$81,期初余额!$B$4:$B$81,$B17)+SUMIFS(记账凭证!$H$4:$H$3609,记账凭证!$E$4:$E$3609,$B17,记账凭证!$B$4:$B$3609,"&lt;"&amp;$M$1)-SUMIFS(记账凭证!$I$4:$I$3609,记账凭证!$E$4:$E$3609,$B17,记账凭证!$B$4:$B$3609,"&lt;"&amp;$M$1)),2)))</f>
        <v>0</v>
      </c>
      <c r="G17" s="27">
        <f>IF($B17="","",ROUND(SUMIFS(记账凭证!$H$4:$H$3609,记账凭证!$E$4:$E$3609,$B17,记账凭证!$B$4:$B$3609,"&gt;="&amp;$M$1,记账凭证!$B$4:$B$3609,"&lt;="&amp;$M$2),2))</f>
        <v>0</v>
      </c>
      <c r="H17" s="27">
        <f>IF($B17="","",ROUND(SUMIFS(记账凭证!$I$4:$I$3609,记账凭证!$E$4:$E$3609,$B17,记账凭证!$B$4:$B$3609,"&gt;="&amp;$M$1,记账凭证!$B$4:$B$3609,"&lt;="&amp;$M$2),2))</f>
        <v>0</v>
      </c>
      <c r="I17" s="27">
        <f t="shared" si="0"/>
        <v>0</v>
      </c>
      <c r="J17" s="27">
        <f t="shared" si="1"/>
        <v>0</v>
      </c>
    </row>
    <row r="18" ht="18" customHeight="1" spans="1:10">
      <c r="A18" s="25" t="str">
        <f>IF($B18="","",IFERROR(INDEX(科目表!$A$4:$A$81,MATCH($B18,科目表!$B$4:$B$81,0)),""))</f>
        <v>1407</v>
      </c>
      <c r="B18" s="10" t="s">
        <v>295</v>
      </c>
      <c r="C18" s="26" t="str">
        <f>IF($B18="","",IFERROR(INDEX(科目表!$C$4:$C$81,MATCH($B18,科目表!$B$4:$B$81,0)),""))</f>
        <v>资产</v>
      </c>
      <c r="D18" s="26" t="str">
        <f>IF($B18="","",IFERROR(INDEX(科目表!$E$4:$E$81,MATCH($B18,科目表!$B$4:$B$81,0)),""))</f>
        <v>存货</v>
      </c>
      <c r="E18" s="27">
        <f>IF($B18="","",MAX(0,ROUND(SUMIFS(期初余额!$D$4:$D$81,期初余额!$B$4:$B$81,$B18)-SUMIFS(期初余额!$E$4:$E$81,期初余额!$B$4:$B$81,$B18)+SUMIFS(记账凭证!$H$4:$H$3609,记账凭证!$E$4:$E$3609,$B18,记账凭证!$B$4:$B$3609,"&lt;"&amp;$M$1)-SUMIFS(记账凭证!$I$4:$I$3609,记账凭证!$E$4:$E$3609,$B18,记账凭证!$B$4:$B$3609,"&lt;"&amp;$M$1),2)))</f>
        <v>0</v>
      </c>
      <c r="F18" s="27">
        <f>IF($B18="","",MAX(0,ROUND(-(SUMIFS(期初余额!$D$4:$D$81,期初余额!$B$4:$B$81,$B18)-SUMIFS(期初余额!$E$4:$E$81,期初余额!$B$4:$B$81,$B18)+SUMIFS(记账凭证!$H$4:$H$3609,记账凭证!$E$4:$E$3609,$B18,记账凭证!$B$4:$B$3609,"&lt;"&amp;$M$1)-SUMIFS(记账凭证!$I$4:$I$3609,记账凭证!$E$4:$E$3609,$B18,记账凭证!$B$4:$B$3609,"&lt;"&amp;$M$1)),2)))</f>
        <v>0</v>
      </c>
      <c r="G18" s="27">
        <f>IF($B18="","",ROUND(SUMIFS(记账凭证!$H$4:$H$3609,记账凭证!$E$4:$E$3609,$B18,记账凭证!$B$4:$B$3609,"&gt;="&amp;$M$1,记账凭证!$B$4:$B$3609,"&lt;="&amp;$M$2),2))</f>
        <v>0</v>
      </c>
      <c r="H18" s="27">
        <f>IF($B18="","",ROUND(SUMIFS(记账凭证!$I$4:$I$3609,记账凭证!$E$4:$E$3609,$B18,记账凭证!$B$4:$B$3609,"&gt;="&amp;$M$1,记账凭证!$B$4:$B$3609,"&lt;="&amp;$M$2),2))</f>
        <v>0</v>
      </c>
      <c r="I18" s="27">
        <f t="shared" si="0"/>
        <v>0</v>
      </c>
      <c r="J18" s="27">
        <f t="shared" si="1"/>
        <v>0</v>
      </c>
    </row>
    <row r="19" ht="18" customHeight="1" spans="1:10">
      <c r="A19" s="25" t="str">
        <f>IF($B19="","",IFERROR(INDEX(科目表!$A$4:$A$81,MATCH($B19,科目表!$B$4:$B$81,0)),""))</f>
        <v>1471</v>
      </c>
      <c r="B19" s="10" t="s">
        <v>457</v>
      </c>
      <c r="C19" s="26" t="str">
        <f>IF($B19="","",IFERROR(INDEX(科目表!$C$4:$C$81,MATCH($B19,科目表!$B$4:$B$81,0)),""))</f>
        <v>资产</v>
      </c>
      <c r="D19" s="26" t="str">
        <f>IF($B19="","",IFERROR(INDEX(科目表!$E$4:$E$81,MATCH($B19,科目表!$B$4:$B$81,0)),""))</f>
        <v>存货</v>
      </c>
      <c r="E19" s="27">
        <f>IF($B19="","",MAX(0,ROUND(SUMIFS(期初余额!$D$4:$D$81,期初余额!$B$4:$B$81,$B19)-SUMIFS(期初余额!$E$4:$E$81,期初余额!$B$4:$B$81,$B19)+SUMIFS(记账凭证!$H$4:$H$3609,记账凭证!$E$4:$E$3609,$B19,记账凭证!$B$4:$B$3609,"&lt;"&amp;$M$1)-SUMIFS(记账凭证!$I$4:$I$3609,记账凭证!$E$4:$E$3609,$B19,记账凭证!$B$4:$B$3609,"&lt;"&amp;$M$1),2)))</f>
        <v>0</v>
      </c>
      <c r="F19" s="27">
        <f>IF($B19="","",MAX(0,ROUND(-(SUMIFS(期初余额!$D$4:$D$81,期初余额!$B$4:$B$81,$B19)-SUMIFS(期初余额!$E$4:$E$81,期初余额!$B$4:$B$81,$B19)+SUMIFS(记账凭证!$H$4:$H$3609,记账凭证!$E$4:$E$3609,$B19,记账凭证!$B$4:$B$3609,"&lt;"&amp;$M$1)-SUMIFS(记账凭证!$I$4:$I$3609,记账凭证!$E$4:$E$3609,$B19,记账凭证!$B$4:$B$3609,"&lt;"&amp;$M$1)),2)))</f>
        <v>0</v>
      </c>
      <c r="G19" s="27">
        <f>IF($B19="","",ROUND(SUMIFS(记账凭证!$H$4:$H$3609,记账凭证!$E$4:$E$3609,$B19,记账凭证!$B$4:$B$3609,"&gt;="&amp;$M$1,记账凭证!$B$4:$B$3609,"&lt;="&amp;$M$2),2))</f>
        <v>0</v>
      </c>
      <c r="H19" s="27">
        <f>IF($B19="","",ROUND(SUMIFS(记账凭证!$I$4:$I$3609,记账凭证!$E$4:$E$3609,$B19,记账凭证!$B$4:$B$3609,"&gt;="&amp;$M$1,记账凭证!$B$4:$B$3609,"&lt;="&amp;$M$2),2))</f>
        <v>0</v>
      </c>
      <c r="I19" s="27">
        <f t="shared" si="0"/>
        <v>0</v>
      </c>
      <c r="J19" s="27">
        <f t="shared" si="1"/>
        <v>0</v>
      </c>
    </row>
    <row r="20" ht="18" customHeight="1" spans="1:10">
      <c r="A20" s="25" t="str">
        <f>IF($B20="","",IFERROR(INDEX(科目表!$A$4:$A$81,MATCH($B20,科目表!$B$4:$B$81,0)),""))</f>
        <v>1601</v>
      </c>
      <c r="B20" s="10" t="s">
        <v>461</v>
      </c>
      <c r="C20" s="26" t="str">
        <f>IF($B20="","",IFERROR(INDEX(科目表!$C$4:$C$81,MATCH($B20,科目表!$B$4:$B$81,0)),""))</f>
        <v>资产</v>
      </c>
      <c r="D20" s="26" t="str">
        <f>IF($B20="","",IFERROR(INDEX(科目表!$E$4:$E$81,MATCH($B20,科目表!$B$4:$B$81,0)),""))</f>
        <v>固定资产原价</v>
      </c>
      <c r="E20" s="27">
        <f>IF($B20="","",MAX(0,ROUND(SUMIFS(期初余额!$D$4:$D$81,期初余额!$B$4:$B$81,$B20)-SUMIFS(期初余额!$E$4:$E$81,期初余额!$B$4:$B$81,$B20)+SUMIFS(记账凭证!$H$4:$H$3609,记账凭证!$E$4:$E$3609,$B20,记账凭证!$B$4:$B$3609,"&lt;"&amp;$M$1)-SUMIFS(记账凭证!$I$4:$I$3609,记账凭证!$E$4:$E$3609,$B20,记账凭证!$B$4:$B$3609,"&lt;"&amp;$M$1),2)))</f>
        <v>0</v>
      </c>
      <c r="F20" s="27">
        <f>IF($B20="","",MAX(0,ROUND(-(SUMIFS(期初余额!$D$4:$D$81,期初余额!$B$4:$B$81,$B20)-SUMIFS(期初余额!$E$4:$E$81,期初余额!$B$4:$B$81,$B20)+SUMIFS(记账凭证!$H$4:$H$3609,记账凭证!$E$4:$E$3609,$B20,记账凭证!$B$4:$B$3609,"&lt;"&amp;$M$1)-SUMIFS(记账凭证!$I$4:$I$3609,记账凭证!$E$4:$E$3609,$B20,记账凭证!$B$4:$B$3609,"&lt;"&amp;$M$1)),2)))</f>
        <v>0</v>
      </c>
      <c r="G20" s="27">
        <f>IF($B20="","",ROUND(SUMIFS(记账凭证!$H$4:$H$3609,记账凭证!$E$4:$E$3609,$B20,记账凭证!$B$4:$B$3609,"&gt;="&amp;$M$1,记账凭证!$B$4:$B$3609,"&lt;="&amp;$M$2),2))</f>
        <v>0</v>
      </c>
      <c r="H20" s="27">
        <f>IF($B20="","",ROUND(SUMIFS(记账凭证!$I$4:$I$3609,记账凭证!$E$4:$E$3609,$B20,记账凭证!$B$4:$B$3609,"&gt;="&amp;$M$1,记账凭证!$B$4:$B$3609,"&lt;="&amp;$M$2),2))</f>
        <v>0</v>
      </c>
      <c r="I20" s="27">
        <f t="shared" si="0"/>
        <v>0</v>
      </c>
      <c r="J20" s="27">
        <f t="shared" si="1"/>
        <v>0</v>
      </c>
    </row>
    <row r="21" ht="18" customHeight="1" spans="1:10">
      <c r="A21" s="25" t="str">
        <f>IF($B21="","",IFERROR(INDEX(科目表!$A$4:$A$81,MATCH($B21,科目表!$B$4:$B$81,0)),""))</f>
        <v>1602</v>
      </c>
      <c r="B21" s="10" t="s">
        <v>343</v>
      </c>
      <c r="C21" s="26" t="str">
        <f>IF($B21="","",IFERROR(INDEX(科目表!$C$4:$C$81,MATCH($B21,科目表!$B$4:$B$81,0)),""))</f>
        <v>资产</v>
      </c>
      <c r="D21" s="26" t="str">
        <f>IF($B21="","",IFERROR(INDEX(科目表!$E$4:$E$81,MATCH($B21,科目表!$B$4:$B$81,0)),""))</f>
        <v>累计折旧</v>
      </c>
      <c r="E21" s="27">
        <f>IF($B21="","",MAX(0,ROUND(SUMIFS(期初余额!$D$4:$D$81,期初余额!$B$4:$B$81,$B21)-SUMIFS(期初余额!$E$4:$E$81,期初余额!$B$4:$B$81,$B21)+SUMIFS(记账凭证!$H$4:$H$3609,记账凭证!$E$4:$E$3609,$B21,记账凭证!$B$4:$B$3609,"&lt;"&amp;$M$1)-SUMIFS(记账凭证!$I$4:$I$3609,记账凭证!$E$4:$E$3609,$B21,记账凭证!$B$4:$B$3609,"&lt;"&amp;$M$1),2)))</f>
        <v>0</v>
      </c>
      <c r="F21" s="27">
        <f>IF($B21="","",MAX(0,ROUND(-(SUMIFS(期初余额!$D$4:$D$81,期初余额!$B$4:$B$81,$B21)-SUMIFS(期初余额!$E$4:$E$81,期初余额!$B$4:$B$81,$B21)+SUMIFS(记账凭证!$H$4:$H$3609,记账凭证!$E$4:$E$3609,$B21,记账凭证!$B$4:$B$3609,"&lt;"&amp;$M$1)-SUMIFS(记账凭证!$I$4:$I$3609,记账凭证!$E$4:$E$3609,$B21,记账凭证!$B$4:$B$3609,"&lt;"&amp;$M$1)),2)))</f>
        <v>0</v>
      </c>
      <c r="G21" s="27">
        <f>IF($B21="","",ROUND(SUMIFS(记账凭证!$H$4:$H$3609,记账凭证!$E$4:$E$3609,$B21,记账凭证!$B$4:$B$3609,"&gt;="&amp;$M$1,记账凭证!$B$4:$B$3609,"&lt;="&amp;$M$2),2))</f>
        <v>0</v>
      </c>
      <c r="H21" s="27">
        <f>IF($B21="","",ROUND(SUMIFS(记账凭证!$I$4:$I$3609,记账凭证!$E$4:$E$3609,$B21,记账凭证!$B$4:$B$3609,"&gt;="&amp;$M$1,记账凭证!$B$4:$B$3609,"&lt;="&amp;$M$2),2))</f>
        <v>0</v>
      </c>
      <c r="I21" s="27">
        <f t="shared" si="0"/>
        <v>0</v>
      </c>
      <c r="J21" s="27">
        <f t="shared" si="1"/>
        <v>0</v>
      </c>
    </row>
    <row r="22" ht="18" customHeight="1" spans="1:10">
      <c r="A22" s="25" t="str">
        <f>IF($B22="","",IFERROR(INDEX(科目表!$A$4:$A$81,MATCH($B22,科目表!$B$4:$B$81,0)),""))</f>
        <v>1604</v>
      </c>
      <c r="B22" s="10" t="s">
        <v>470</v>
      </c>
      <c r="C22" s="26" t="str">
        <f>IF($B22="","",IFERROR(INDEX(科目表!$C$4:$C$81,MATCH($B22,科目表!$B$4:$B$81,0)),""))</f>
        <v>资产</v>
      </c>
      <c r="D22" s="26" t="str">
        <f>IF($B22="","",IFERROR(INDEX(科目表!$E$4:$E$81,MATCH($B22,科目表!$B$4:$B$81,0)),""))</f>
        <v>在建工程</v>
      </c>
      <c r="E22" s="27">
        <f>IF($B22="","",MAX(0,ROUND(SUMIFS(期初余额!$D$4:$D$81,期初余额!$B$4:$B$81,$B22)-SUMIFS(期初余额!$E$4:$E$81,期初余额!$B$4:$B$81,$B22)+SUMIFS(记账凭证!$H$4:$H$3609,记账凭证!$E$4:$E$3609,$B22,记账凭证!$B$4:$B$3609,"&lt;"&amp;$M$1)-SUMIFS(记账凭证!$I$4:$I$3609,记账凭证!$E$4:$E$3609,$B22,记账凭证!$B$4:$B$3609,"&lt;"&amp;$M$1),2)))</f>
        <v>0</v>
      </c>
      <c r="F22" s="27">
        <f>IF($B22="","",MAX(0,ROUND(-(SUMIFS(期初余额!$D$4:$D$81,期初余额!$B$4:$B$81,$B22)-SUMIFS(期初余额!$E$4:$E$81,期初余额!$B$4:$B$81,$B22)+SUMIFS(记账凭证!$H$4:$H$3609,记账凭证!$E$4:$E$3609,$B22,记账凭证!$B$4:$B$3609,"&lt;"&amp;$M$1)-SUMIFS(记账凭证!$I$4:$I$3609,记账凭证!$E$4:$E$3609,$B22,记账凭证!$B$4:$B$3609,"&lt;"&amp;$M$1)),2)))</f>
        <v>0</v>
      </c>
      <c r="G22" s="27">
        <f>IF($B22="","",ROUND(SUMIFS(记账凭证!$H$4:$H$3609,记账凭证!$E$4:$E$3609,$B22,记账凭证!$B$4:$B$3609,"&gt;="&amp;$M$1,记账凭证!$B$4:$B$3609,"&lt;="&amp;$M$2),2))</f>
        <v>0</v>
      </c>
      <c r="H22" s="27">
        <f>IF($B22="","",ROUND(SUMIFS(记账凭证!$I$4:$I$3609,记账凭证!$E$4:$E$3609,$B22,记账凭证!$B$4:$B$3609,"&gt;="&amp;$M$1,记账凭证!$B$4:$B$3609,"&lt;="&amp;$M$2),2))</f>
        <v>0</v>
      </c>
      <c r="I22" s="27">
        <f t="shared" si="0"/>
        <v>0</v>
      </c>
      <c r="J22" s="27">
        <f t="shared" si="1"/>
        <v>0</v>
      </c>
    </row>
    <row r="23" ht="18" customHeight="1" spans="1:10">
      <c r="A23" s="25" t="str">
        <f>IF($B23="","",IFERROR(INDEX(科目表!$A$4:$A$81,MATCH($B23,科目表!$B$4:$B$81,0)),""))</f>
        <v>1701</v>
      </c>
      <c r="B23" s="10" t="s">
        <v>474</v>
      </c>
      <c r="C23" s="26" t="str">
        <f>IF($B23="","",IFERROR(INDEX(科目表!$C$4:$C$81,MATCH($B23,科目表!$B$4:$B$81,0)),""))</f>
        <v>资产</v>
      </c>
      <c r="D23" s="26" t="str">
        <f>IF($B23="","",IFERROR(INDEX(科目表!$E$4:$E$81,MATCH($B23,科目表!$B$4:$B$81,0)),""))</f>
        <v>无形资产</v>
      </c>
      <c r="E23" s="27">
        <f>IF($B23="","",MAX(0,ROUND(SUMIFS(期初余额!$D$4:$D$81,期初余额!$B$4:$B$81,$B23)-SUMIFS(期初余额!$E$4:$E$81,期初余额!$B$4:$B$81,$B23)+SUMIFS(记账凭证!$H$4:$H$3609,记账凭证!$E$4:$E$3609,$B23,记账凭证!$B$4:$B$3609,"&lt;"&amp;$M$1)-SUMIFS(记账凭证!$I$4:$I$3609,记账凭证!$E$4:$E$3609,$B23,记账凭证!$B$4:$B$3609,"&lt;"&amp;$M$1),2)))</f>
        <v>0</v>
      </c>
      <c r="F23" s="27">
        <f>IF($B23="","",MAX(0,ROUND(-(SUMIFS(期初余额!$D$4:$D$81,期初余额!$B$4:$B$81,$B23)-SUMIFS(期初余额!$E$4:$E$81,期初余额!$B$4:$B$81,$B23)+SUMIFS(记账凭证!$H$4:$H$3609,记账凭证!$E$4:$E$3609,$B23,记账凭证!$B$4:$B$3609,"&lt;"&amp;$M$1)-SUMIFS(记账凭证!$I$4:$I$3609,记账凭证!$E$4:$E$3609,$B23,记账凭证!$B$4:$B$3609,"&lt;"&amp;$M$1)),2)))</f>
        <v>0</v>
      </c>
      <c r="G23" s="27">
        <f>IF($B23="","",ROUND(SUMIFS(记账凭证!$H$4:$H$3609,记账凭证!$E$4:$E$3609,$B23,记账凭证!$B$4:$B$3609,"&gt;="&amp;$M$1,记账凭证!$B$4:$B$3609,"&lt;="&amp;$M$2),2))</f>
        <v>0</v>
      </c>
      <c r="H23" s="27">
        <f>IF($B23="","",ROUND(SUMIFS(记账凭证!$I$4:$I$3609,记账凭证!$E$4:$E$3609,$B23,记账凭证!$B$4:$B$3609,"&gt;="&amp;$M$1,记账凭证!$B$4:$B$3609,"&lt;="&amp;$M$2),2))</f>
        <v>0</v>
      </c>
      <c r="I23" s="27">
        <f t="shared" si="0"/>
        <v>0</v>
      </c>
      <c r="J23" s="27">
        <f t="shared" si="1"/>
        <v>0</v>
      </c>
    </row>
    <row r="24" ht="18" customHeight="1" spans="1:10">
      <c r="A24" s="25" t="str">
        <f>IF($B24="","",IFERROR(INDEX(科目表!$A$4:$A$81,MATCH($B24,科目表!$B$4:$B$81,0)),""))</f>
        <v>1702</v>
      </c>
      <c r="B24" s="10" t="s">
        <v>478</v>
      </c>
      <c r="C24" s="26" t="str">
        <f>IF($B24="","",IFERROR(INDEX(科目表!$C$4:$C$81,MATCH($B24,科目表!$B$4:$B$81,0)),""))</f>
        <v>资产</v>
      </c>
      <c r="D24" s="26" t="str">
        <f>IF($B24="","",IFERROR(INDEX(科目表!$E$4:$E$81,MATCH($B24,科目表!$B$4:$B$81,0)),""))</f>
        <v>无形资产</v>
      </c>
      <c r="E24" s="27">
        <f>IF($B24="","",MAX(0,ROUND(SUMIFS(期初余额!$D$4:$D$81,期初余额!$B$4:$B$81,$B24)-SUMIFS(期初余额!$E$4:$E$81,期初余额!$B$4:$B$81,$B24)+SUMIFS(记账凭证!$H$4:$H$3609,记账凭证!$E$4:$E$3609,$B24,记账凭证!$B$4:$B$3609,"&lt;"&amp;$M$1)-SUMIFS(记账凭证!$I$4:$I$3609,记账凭证!$E$4:$E$3609,$B24,记账凭证!$B$4:$B$3609,"&lt;"&amp;$M$1),2)))</f>
        <v>0</v>
      </c>
      <c r="F24" s="27">
        <f>IF($B24="","",MAX(0,ROUND(-(SUMIFS(期初余额!$D$4:$D$81,期初余额!$B$4:$B$81,$B24)-SUMIFS(期初余额!$E$4:$E$81,期初余额!$B$4:$B$81,$B24)+SUMIFS(记账凭证!$H$4:$H$3609,记账凭证!$E$4:$E$3609,$B24,记账凭证!$B$4:$B$3609,"&lt;"&amp;$M$1)-SUMIFS(记账凭证!$I$4:$I$3609,记账凭证!$E$4:$E$3609,$B24,记账凭证!$B$4:$B$3609,"&lt;"&amp;$M$1)),2)))</f>
        <v>0</v>
      </c>
      <c r="G24" s="27">
        <f>IF($B24="","",ROUND(SUMIFS(记账凭证!$H$4:$H$3609,记账凭证!$E$4:$E$3609,$B24,记账凭证!$B$4:$B$3609,"&gt;="&amp;$M$1,记账凭证!$B$4:$B$3609,"&lt;="&amp;$M$2),2))</f>
        <v>0</v>
      </c>
      <c r="H24" s="27">
        <f>IF($B24="","",ROUND(SUMIFS(记账凭证!$I$4:$I$3609,记账凭证!$E$4:$E$3609,$B24,记账凭证!$B$4:$B$3609,"&gt;="&amp;$M$1,记账凭证!$B$4:$B$3609,"&lt;="&amp;$M$2),2))</f>
        <v>0</v>
      </c>
      <c r="I24" s="27">
        <f t="shared" si="0"/>
        <v>0</v>
      </c>
      <c r="J24" s="27">
        <f t="shared" si="1"/>
        <v>0</v>
      </c>
    </row>
    <row r="25" ht="18" customHeight="1" spans="1:10">
      <c r="A25" s="25" t="str">
        <f>IF($B25="","",IFERROR(INDEX(科目表!$A$4:$A$81,MATCH($B25,科目表!$B$4:$B$81,0)),""))</f>
        <v>1801</v>
      </c>
      <c r="B25" s="10" t="s">
        <v>482</v>
      </c>
      <c r="C25" s="26" t="str">
        <f>IF($B25="","",IFERROR(INDEX(科目表!$C$4:$C$81,MATCH($B25,科目表!$B$4:$B$81,0)),""))</f>
        <v>资产</v>
      </c>
      <c r="D25" s="26" t="str">
        <f>IF($B25="","",IFERROR(INDEX(科目表!$E$4:$E$81,MATCH($B25,科目表!$B$4:$B$81,0)),""))</f>
        <v>长期待摊费用</v>
      </c>
      <c r="E25" s="27">
        <f>IF($B25="","",MAX(0,ROUND(SUMIFS(期初余额!$D$4:$D$81,期初余额!$B$4:$B$81,$B25)-SUMIFS(期初余额!$E$4:$E$81,期初余额!$B$4:$B$81,$B25)+SUMIFS(记账凭证!$H$4:$H$3609,记账凭证!$E$4:$E$3609,$B25,记账凭证!$B$4:$B$3609,"&lt;"&amp;$M$1)-SUMIFS(记账凭证!$I$4:$I$3609,记账凭证!$E$4:$E$3609,$B25,记账凭证!$B$4:$B$3609,"&lt;"&amp;$M$1),2)))</f>
        <v>0</v>
      </c>
      <c r="F25" s="27">
        <f>IF($B25="","",MAX(0,ROUND(-(SUMIFS(期初余额!$D$4:$D$81,期初余额!$B$4:$B$81,$B25)-SUMIFS(期初余额!$E$4:$E$81,期初余额!$B$4:$B$81,$B25)+SUMIFS(记账凭证!$H$4:$H$3609,记账凭证!$E$4:$E$3609,$B25,记账凭证!$B$4:$B$3609,"&lt;"&amp;$M$1)-SUMIFS(记账凭证!$I$4:$I$3609,记账凭证!$E$4:$E$3609,$B25,记账凭证!$B$4:$B$3609,"&lt;"&amp;$M$1)),2)))</f>
        <v>0</v>
      </c>
      <c r="G25" s="27">
        <f>IF($B25="","",ROUND(SUMIFS(记账凭证!$H$4:$H$3609,记账凭证!$E$4:$E$3609,$B25,记账凭证!$B$4:$B$3609,"&gt;="&amp;$M$1,记账凭证!$B$4:$B$3609,"&lt;="&amp;$M$2),2))</f>
        <v>0</v>
      </c>
      <c r="H25" s="27">
        <f>IF($B25="","",ROUND(SUMIFS(记账凭证!$I$4:$I$3609,记账凭证!$E$4:$E$3609,$B25,记账凭证!$B$4:$B$3609,"&gt;="&amp;$M$1,记账凭证!$B$4:$B$3609,"&lt;="&amp;$M$2),2))</f>
        <v>0</v>
      </c>
      <c r="I25" s="27">
        <f t="shared" si="0"/>
        <v>0</v>
      </c>
      <c r="J25" s="27">
        <f t="shared" si="1"/>
        <v>0</v>
      </c>
    </row>
    <row r="26" ht="18" customHeight="1" spans="1:10">
      <c r="A26" s="25" t="str">
        <f>IF($B26="","",IFERROR(INDEX(科目表!$A$4:$A$81,MATCH($B26,科目表!$B$4:$B$81,0)),""))</f>
        <v>2001</v>
      </c>
      <c r="B26" s="10" t="s">
        <v>349</v>
      </c>
      <c r="C26" s="26" t="str">
        <f>IF($B26="","",IFERROR(INDEX(科目表!$C$4:$C$81,MATCH($B26,科目表!$B$4:$B$81,0)),""))</f>
        <v>负债</v>
      </c>
      <c r="D26" s="26" t="str">
        <f>IF($B26="","",IFERROR(INDEX(科目表!$E$4:$E$81,MATCH($B26,科目表!$B$4:$B$81,0)),""))</f>
        <v>短期借款</v>
      </c>
      <c r="E26" s="27">
        <f>IF($B26="","",MAX(0,ROUND(SUMIFS(期初余额!$D$4:$D$81,期初余额!$B$4:$B$81,$B26)-SUMIFS(期初余额!$E$4:$E$81,期初余额!$B$4:$B$81,$B26)+SUMIFS(记账凭证!$H$4:$H$3609,记账凭证!$E$4:$E$3609,$B26,记账凭证!$B$4:$B$3609,"&lt;"&amp;$M$1)-SUMIFS(记账凭证!$I$4:$I$3609,记账凭证!$E$4:$E$3609,$B26,记账凭证!$B$4:$B$3609,"&lt;"&amp;$M$1),2)))</f>
        <v>0</v>
      </c>
      <c r="F26" s="27">
        <f>IF($B26="","",MAX(0,ROUND(-(SUMIFS(期初余额!$D$4:$D$81,期初余额!$B$4:$B$81,$B26)-SUMIFS(期初余额!$E$4:$E$81,期初余额!$B$4:$B$81,$B26)+SUMIFS(记账凭证!$H$4:$H$3609,记账凭证!$E$4:$E$3609,$B26,记账凭证!$B$4:$B$3609,"&lt;"&amp;$M$1)-SUMIFS(记账凭证!$I$4:$I$3609,记账凭证!$E$4:$E$3609,$B26,记账凭证!$B$4:$B$3609,"&lt;"&amp;$M$1)),2)))</f>
        <v>0</v>
      </c>
      <c r="G26" s="27">
        <f>IF($B26="","",ROUND(SUMIFS(记账凭证!$H$4:$H$3609,记账凭证!$E$4:$E$3609,$B26,记账凭证!$B$4:$B$3609,"&gt;="&amp;$M$1,记账凭证!$B$4:$B$3609,"&lt;="&amp;$M$2),2))</f>
        <v>0</v>
      </c>
      <c r="H26" s="27">
        <f>IF($B26="","",ROUND(SUMIFS(记账凭证!$I$4:$I$3609,记账凭证!$E$4:$E$3609,$B26,记账凭证!$B$4:$B$3609,"&gt;="&amp;$M$1,记账凭证!$B$4:$B$3609,"&lt;="&amp;$M$2),2))</f>
        <v>0</v>
      </c>
      <c r="I26" s="27">
        <f t="shared" si="0"/>
        <v>0</v>
      </c>
      <c r="J26" s="27">
        <f t="shared" si="1"/>
        <v>0</v>
      </c>
    </row>
    <row r="27" ht="18" customHeight="1" spans="1:10">
      <c r="A27" s="25" t="str">
        <f>IF($B27="","",IFERROR(INDEX(科目表!$A$4:$A$81,MATCH($B27,科目表!$B$4:$B$81,0)),""))</f>
        <v>2201</v>
      </c>
      <c r="B27" s="10" t="s">
        <v>490</v>
      </c>
      <c r="C27" s="26" t="str">
        <f>IF($B27="","",IFERROR(INDEX(科目表!$C$4:$C$81,MATCH($B27,科目表!$B$4:$B$81,0)),""))</f>
        <v>负债</v>
      </c>
      <c r="D27" s="26" t="str">
        <f>IF($B27="","",IFERROR(INDEX(科目表!$E$4:$E$81,MATCH($B27,科目表!$B$4:$B$81,0)),""))</f>
        <v>应付票据</v>
      </c>
      <c r="E27" s="27">
        <f>IF($B27="","",MAX(0,ROUND(SUMIFS(期初余额!$D$4:$D$81,期初余额!$B$4:$B$81,$B27)-SUMIFS(期初余额!$E$4:$E$81,期初余额!$B$4:$B$81,$B27)+SUMIFS(记账凭证!$H$4:$H$3609,记账凭证!$E$4:$E$3609,$B27,记账凭证!$B$4:$B$3609,"&lt;"&amp;$M$1)-SUMIFS(记账凭证!$I$4:$I$3609,记账凭证!$E$4:$E$3609,$B27,记账凭证!$B$4:$B$3609,"&lt;"&amp;$M$1),2)))</f>
        <v>0</v>
      </c>
      <c r="F27" s="27">
        <f>IF($B27="","",MAX(0,ROUND(-(SUMIFS(期初余额!$D$4:$D$81,期初余额!$B$4:$B$81,$B27)-SUMIFS(期初余额!$E$4:$E$81,期初余额!$B$4:$B$81,$B27)+SUMIFS(记账凭证!$H$4:$H$3609,记账凭证!$E$4:$E$3609,$B27,记账凭证!$B$4:$B$3609,"&lt;"&amp;$M$1)-SUMIFS(记账凭证!$I$4:$I$3609,记账凭证!$E$4:$E$3609,$B27,记账凭证!$B$4:$B$3609,"&lt;"&amp;$M$1)),2)))</f>
        <v>0</v>
      </c>
      <c r="G27" s="27">
        <f>IF($B27="","",ROUND(SUMIFS(记账凭证!$H$4:$H$3609,记账凭证!$E$4:$E$3609,$B27,记账凭证!$B$4:$B$3609,"&gt;="&amp;$M$1,记账凭证!$B$4:$B$3609,"&lt;="&amp;$M$2),2))</f>
        <v>0</v>
      </c>
      <c r="H27" s="27">
        <f>IF($B27="","",ROUND(SUMIFS(记账凭证!$I$4:$I$3609,记账凭证!$E$4:$E$3609,$B27,记账凭证!$B$4:$B$3609,"&gt;="&amp;$M$1,记账凭证!$B$4:$B$3609,"&lt;="&amp;$M$2),2))</f>
        <v>0</v>
      </c>
      <c r="I27" s="27">
        <f t="shared" si="0"/>
        <v>0</v>
      </c>
      <c r="J27" s="27">
        <f t="shared" si="1"/>
        <v>0</v>
      </c>
    </row>
    <row r="28" ht="18" customHeight="1" spans="1:10">
      <c r="A28" s="25" t="str">
        <f>IF($B28="","",IFERROR(INDEX(科目表!$A$4:$A$81,MATCH($B28,科目表!$B$4:$B$81,0)),""))</f>
        <v>2202</v>
      </c>
      <c r="B28" s="10" t="s">
        <v>290</v>
      </c>
      <c r="C28" s="26" t="str">
        <f>IF($B28="","",IFERROR(INDEX(科目表!$C$4:$C$81,MATCH($B28,科目表!$B$4:$B$81,0)),""))</f>
        <v>负债</v>
      </c>
      <c r="D28" s="26" t="str">
        <f>IF($B28="","",IFERROR(INDEX(科目表!$E$4:$E$81,MATCH($B28,科目表!$B$4:$B$81,0)),""))</f>
        <v>应付账款</v>
      </c>
      <c r="E28" s="27">
        <f>IF($B28="","",MAX(0,ROUND(SUMIFS(期初余额!$D$4:$D$81,期初余额!$B$4:$B$81,$B28)-SUMIFS(期初余额!$E$4:$E$81,期初余额!$B$4:$B$81,$B28)+SUMIFS(记账凭证!$H$4:$H$3609,记账凭证!$E$4:$E$3609,$B28,记账凭证!$B$4:$B$3609,"&lt;"&amp;$M$1)-SUMIFS(记账凭证!$I$4:$I$3609,记账凭证!$E$4:$E$3609,$B28,记账凭证!$B$4:$B$3609,"&lt;"&amp;$M$1),2)))</f>
        <v>0</v>
      </c>
      <c r="F28" s="27">
        <f>IF($B28="","",MAX(0,ROUND(-(SUMIFS(期初余额!$D$4:$D$81,期初余额!$B$4:$B$81,$B28)-SUMIFS(期初余额!$E$4:$E$81,期初余额!$B$4:$B$81,$B28)+SUMIFS(记账凭证!$H$4:$H$3609,记账凭证!$E$4:$E$3609,$B28,记账凭证!$B$4:$B$3609,"&lt;"&amp;$M$1)-SUMIFS(记账凭证!$I$4:$I$3609,记账凭证!$E$4:$E$3609,$B28,记账凭证!$B$4:$B$3609,"&lt;"&amp;$M$1)),2)))</f>
        <v>0</v>
      </c>
      <c r="G28" s="27">
        <f>IF($B28="","",ROUND(SUMIFS(记账凭证!$H$4:$H$3609,记账凭证!$E$4:$E$3609,$B28,记账凭证!$B$4:$B$3609,"&gt;="&amp;$M$1,记账凭证!$B$4:$B$3609,"&lt;="&amp;$M$2),2))</f>
        <v>0</v>
      </c>
      <c r="H28" s="27">
        <f>IF($B28="","",ROUND(SUMIFS(记账凭证!$I$4:$I$3609,记账凭证!$E$4:$E$3609,$B28,记账凭证!$B$4:$B$3609,"&gt;="&amp;$M$1,记账凭证!$B$4:$B$3609,"&lt;="&amp;$M$2),2))</f>
        <v>0</v>
      </c>
      <c r="I28" s="27">
        <f t="shared" si="0"/>
        <v>0</v>
      </c>
      <c r="J28" s="27">
        <f t="shared" si="1"/>
        <v>0</v>
      </c>
    </row>
    <row r="29" ht="18" customHeight="1" spans="1:10">
      <c r="A29" s="25" t="str">
        <f>IF($B29="","",IFERROR(INDEX(科目表!$A$4:$A$81,MATCH($B29,科目表!$B$4:$B$81,0)),""))</f>
        <v>2203</v>
      </c>
      <c r="B29" s="10" t="s">
        <v>496</v>
      </c>
      <c r="C29" s="26" t="str">
        <f>IF($B29="","",IFERROR(INDEX(科目表!$C$4:$C$81,MATCH($B29,科目表!$B$4:$B$81,0)),""))</f>
        <v>负债</v>
      </c>
      <c r="D29" s="26" t="str">
        <f>IF($B29="","",IFERROR(INDEX(科目表!$E$4:$E$81,MATCH($B29,科目表!$B$4:$B$81,0)),""))</f>
        <v>预收款项</v>
      </c>
      <c r="E29" s="27">
        <f>IF($B29="","",MAX(0,ROUND(SUMIFS(期初余额!$D$4:$D$81,期初余额!$B$4:$B$81,$B29)-SUMIFS(期初余额!$E$4:$E$81,期初余额!$B$4:$B$81,$B29)+SUMIFS(记账凭证!$H$4:$H$3609,记账凭证!$E$4:$E$3609,$B29,记账凭证!$B$4:$B$3609,"&lt;"&amp;$M$1)-SUMIFS(记账凭证!$I$4:$I$3609,记账凭证!$E$4:$E$3609,$B29,记账凭证!$B$4:$B$3609,"&lt;"&amp;$M$1),2)))</f>
        <v>0</v>
      </c>
      <c r="F29" s="27">
        <f>IF($B29="","",MAX(0,ROUND(-(SUMIFS(期初余额!$D$4:$D$81,期初余额!$B$4:$B$81,$B29)-SUMIFS(期初余额!$E$4:$E$81,期初余额!$B$4:$B$81,$B29)+SUMIFS(记账凭证!$H$4:$H$3609,记账凭证!$E$4:$E$3609,$B29,记账凭证!$B$4:$B$3609,"&lt;"&amp;$M$1)-SUMIFS(记账凭证!$I$4:$I$3609,记账凭证!$E$4:$E$3609,$B29,记账凭证!$B$4:$B$3609,"&lt;"&amp;$M$1)),2)))</f>
        <v>0</v>
      </c>
      <c r="G29" s="27">
        <f>IF($B29="","",ROUND(SUMIFS(记账凭证!$H$4:$H$3609,记账凭证!$E$4:$E$3609,$B29,记账凭证!$B$4:$B$3609,"&gt;="&amp;$M$1,记账凭证!$B$4:$B$3609,"&lt;="&amp;$M$2),2))</f>
        <v>0</v>
      </c>
      <c r="H29" s="27">
        <f>IF($B29="","",ROUND(SUMIFS(记账凭证!$I$4:$I$3609,记账凭证!$E$4:$E$3609,$B29,记账凭证!$B$4:$B$3609,"&gt;="&amp;$M$1,记账凭证!$B$4:$B$3609,"&lt;="&amp;$M$2),2))</f>
        <v>0</v>
      </c>
      <c r="I29" s="27">
        <f t="shared" si="0"/>
        <v>0</v>
      </c>
      <c r="J29" s="27">
        <f t="shared" si="1"/>
        <v>0</v>
      </c>
    </row>
    <row r="30" ht="18" customHeight="1" spans="1:10">
      <c r="A30" s="25" t="str">
        <f>IF($B30="","",IFERROR(INDEX(科目表!$A$4:$A$81,MATCH($B30,科目表!$B$4:$B$81,0)),""))</f>
        <v>2211</v>
      </c>
      <c r="B30" s="10" t="s">
        <v>500</v>
      </c>
      <c r="C30" s="26" t="str">
        <f>IF($B30="","",IFERROR(INDEX(科目表!$C$4:$C$81,MATCH($B30,科目表!$B$4:$B$81,0)),""))</f>
        <v>负债</v>
      </c>
      <c r="D30" s="26" t="str">
        <f>IF($B30="","",IFERROR(INDEX(科目表!$E$4:$E$81,MATCH($B30,科目表!$B$4:$B$81,0)),""))</f>
        <v>应付职工薪酬</v>
      </c>
      <c r="E30" s="27">
        <f>IF($B30="","",MAX(0,ROUND(SUMIFS(期初余额!$D$4:$D$81,期初余额!$B$4:$B$81,$B30)-SUMIFS(期初余额!$E$4:$E$81,期初余额!$B$4:$B$81,$B30)+SUMIFS(记账凭证!$H$4:$H$3609,记账凭证!$E$4:$E$3609,$B30,记账凭证!$B$4:$B$3609,"&lt;"&amp;$M$1)-SUMIFS(记账凭证!$I$4:$I$3609,记账凭证!$E$4:$E$3609,$B30,记账凭证!$B$4:$B$3609,"&lt;"&amp;$M$1),2)))</f>
        <v>0</v>
      </c>
      <c r="F30" s="27">
        <f>IF($B30="","",MAX(0,ROUND(-(SUMIFS(期初余额!$D$4:$D$81,期初余额!$B$4:$B$81,$B30)-SUMIFS(期初余额!$E$4:$E$81,期初余额!$B$4:$B$81,$B30)+SUMIFS(记账凭证!$H$4:$H$3609,记账凭证!$E$4:$E$3609,$B30,记账凭证!$B$4:$B$3609,"&lt;"&amp;$M$1)-SUMIFS(记账凭证!$I$4:$I$3609,记账凭证!$E$4:$E$3609,$B30,记账凭证!$B$4:$B$3609,"&lt;"&amp;$M$1)),2)))</f>
        <v>0</v>
      </c>
      <c r="G30" s="27">
        <f>IF($B30="","",ROUND(SUMIFS(记账凭证!$H$4:$H$3609,记账凭证!$E$4:$E$3609,$B30,记账凭证!$B$4:$B$3609,"&gt;="&amp;$M$1,记账凭证!$B$4:$B$3609,"&lt;="&amp;$M$2),2))</f>
        <v>0</v>
      </c>
      <c r="H30" s="27">
        <f>IF($B30="","",ROUND(SUMIFS(记账凭证!$I$4:$I$3609,记账凭证!$E$4:$E$3609,$B30,记账凭证!$B$4:$B$3609,"&gt;="&amp;$M$1,记账凭证!$B$4:$B$3609,"&lt;="&amp;$M$2),2))</f>
        <v>0</v>
      </c>
      <c r="I30" s="27">
        <f t="shared" si="0"/>
        <v>0</v>
      </c>
      <c r="J30" s="27">
        <f t="shared" si="1"/>
        <v>0</v>
      </c>
    </row>
    <row r="31" ht="18" customHeight="1" spans="1:10">
      <c r="A31" s="25" t="str">
        <f>IF($B31="","",IFERROR(INDEX(科目表!$A$4:$A$81,MATCH($B31,科目表!$B$4:$B$81,0)),""))</f>
        <v>222101</v>
      </c>
      <c r="B31" s="10" t="s">
        <v>503</v>
      </c>
      <c r="C31" s="26" t="str">
        <f>IF($B31="","",IFERROR(INDEX(科目表!$C$4:$C$81,MATCH($B31,科目表!$B$4:$B$81,0)),""))</f>
        <v>负债</v>
      </c>
      <c r="D31" s="26" t="str">
        <f>IF($B31="","",IFERROR(INDEX(科目表!$E$4:$E$81,MATCH($B31,科目表!$B$4:$B$81,0)),""))</f>
        <v>应交税费</v>
      </c>
      <c r="E31" s="27">
        <f>IF($B31="","",MAX(0,ROUND(SUMIFS(期初余额!$D$4:$D$81,期初余额!$B$4:$B$81,$B31)-SUMIFS(期初余额!$E$4:$E$81,期初余额!$B$4:$B$81,$B31)+SUMIFS(记账凭证!$H$4:$H$3609,记账凭证!$E$4:$E$3609,$B31,记账凭证!$B$4:$B$3609,"&lt;"&amp;$M$1)-SUMIFS(记账凭证!$I$4:$I$3609,记账凭证!$E$4:$E$3609,$B31,记账凭证!$B$4:$B$3609,"&lt;"&amp;$M$1),2)))</f>
        <v>0</v>
      </c>
      <c r="F31" s="27">
        <f>IF($B31="","",MAX(0,ROUND(-(SUMIFS(期初余额!$D$4:$D$81,期初余额!$B$4:$B$81,$B31)-SUMIFS(期初余额!$E$4:$E$81,期初余额!$B$4:$B$81,$B31)+SUMIFS(记账凭证!$H$4:$H$3609,记账凭证!$E$4:$E$3609,$B31,记账凭证!$B$4:$B$3609,"&lt;"&amp;$M$1)-SUMIFS(记账凭证!$I$4:$I$3609,记账凭证!$E$4:$E$3609,$B31,记账凭证!$B$4:$B$3609,"&lt;"&amp;$M$1)),2)))</f>
        <v>0</v>
      </c>
      <c r="G31" s="27">
        <f>IF($B31="","",ROUND(SUMIFS(记账凭证!$H$4:$H$3609,记账凭证!$E$4:$E$3609,$B31,记账凭证!$B$4:$B$3609,"&gt;="&amp;$M$1,记账凭证!$B$4:$B$3609,"&lt;="&amp;$M$2),2))</f>
        <v>0</v>
      </c>
      <c r="H31" s="27">
        <f>IF($B31="","",ROUND(SUMIFS(记账凭证!$I$4:$I$3609,记账凭证!$E$4:$E$3609,$B31,记账凭证!$B$4:$B$3609,"&gt;="&amp;$M$1,记账凭证!$B$4:$B$3609,"&lt;="&amp;$M$2),2))</f>
        <v>0</v>
      </c>
      <c r="I31" s="27">
        <f t="shared" si="0"/>
        <v>0</v>
      </c>
      <c r="J31" s="27">
        <f t="shared" si="1"/>
        <v>0</v>
      </c>
    </row>
    <row r="32" ht="18" customHeight="1" spans="1:10">
      <c r="A32" s="25" t="str">
        <f>IF($B32="","",IFERROR(INDEX(科目表!$A$4:$A$81,MATCH($B32,科目表!$B$4:$B$81,0)),""))</f>
        <v>222102</v>
      </c>
      <c r="B32" s="10" t="s">
        <v>507</v>
      </c>
      <c r="C32" s="26" t="str">
        <f>IF($B32="","",IFERROR(INDEX(科目表!$C$4:$C$81,MATCH($B32,科目表!$B$4:$B$81,0)),""))</f>
        <v>负债</v>
      </c>
      <c r="D32" s="26" t="str">
        <f>IF($B32="","",IFERROR(INDEX(科目表!$E$4:$E$81,MATCH($B32,科目表!$B$4:$B$81,0)),""))</f>
        <v>应交税费</v>
      </c>
      <c r="E32" s="27">
        <f>IF($B32="","",MAX(0,ROUND(SUMIFS(期初余额!$D$4:$D$81,期初余额!$B$4:$B$81,$B32)-SUMIFS(期初余额!$E$4:$E$81,期初余额!$B$4:$B$81,$B32)+SUMIFS(记账凭证!$H$4:$H$3609,记账凭证!$E$4:$E$3609,$B32,记账凭证!$B$4:$B$3609,"&lt;"&amp;$M$1)-SUMIFS(记账凭证!$I$4:$I$3609,记账凭证!$E$4:$E$3609,$B32,记账凭证!$B$4:$B$3609,"&lt;"&amp;$M$1),2)))</f>
        <v>0</v>
      </c>
      <c r="F32" s="27">
        <f>IF($B32="","",MAX(0,ROUND(-(SUMIFS(期初余额!$D$4:$D$81,期初余额!$B$4:$B$81,$B32)-SUMIFS(期初余额!$E$4:$E$81,期初余额!$B$4:$B$81,$B32)+SUMIFS(记账凭证!$H$4:$H$3609,记账凭证!$E$4:$E$3609,$B32,记账凭证!$B$4:$B$3609,"&lt;"&amp;$M$1)-SUMIFS(记账凭证!$I$4:$I$3609,记账凭证!$E$4:$E$3609,$B32,记账凭证!$B$4:$B$3609,"&lt;"&amp;$M$1)),2)))</f>
        <v>0</v>
      </c>
      <c r="G32" s="27">
        <f>IF($B32="","",ROUND(SUMIFS(记账凭证!$H$4:$H$3609,记账凭证!$E$4:$E$3609,$B32,记账凭证!$B$4:$B$3609,"&gt;="&amp;$M$1,记账凭证!$B$4:$B$3609,"&lt;="&amp;$M$2),2))</f>
        <v>0</v>
      </c>
      <c r="H32" s="27">
        <f>IF($B32="","",ROUND(SUMIFS(记账凭证!$I$4:$I$3609,记账凭证!$E$4:$E$3609,$B32,记账凭证!$B$4:$B$3609,"&gt;="&amp;$M$1,记账凭证!$B$4:$B$3609,"&lt;="&amp;$M$2),2))</f>
        <v>0</v>
      </c>
      <c r="I32" s="27">
        <f t="shared" si="0"/>
        <v>0</v>
      </c>
      <c r="J32" s="27">
        <f t="shared" si="1"/>
        <v>0</v>
      </c>
    </row>
    <row r="33" ht="18" customHeight="1" spans="1:10">
      <c r="A33" s="25" t="str">
        <f>IF($B33="","",IFERROR(INDEX(科目表!$A$4:$A$81,MATCH($B33,科目表!$B$4:$B$81,0)),""))</f>
        <v>222103</v>
      </c>
      <c r="B33" s="10" t="s">
        <v>346</v>
      </c>
      <c r="C33" s="26" t="str">
        <f>IF($B33="","",IFERROR(INDEX(科目表!$C$4:$C$81,MATCH($B33,科目表!$B$4:$B$81,0)),""))</f>
        <v>负债</v>
      </c>
      <c r="D33" s="26" t="str">
        <f>IF($B33="","",IFERROR(INDEX(科目表!$E$4:$E$81,MATCH($B33,科目表!$B$4:$B$81,0)),""))</f>
        <v>应交税费</v>
      </c>
      <c r="E33" s="27">
        <f>IF($B33="","",MAX(0,ROUND(SUMIFS(期初余额!$D$4:$D$81,期初余额!$B$4:$B$81,$B33)-SUMIFS(期初余额!$E$4:$E$81,期初余额!$B$4:$B$81,$B33)+SUMIFS(记账凭证!$H$4:$H$3609,记账凭证!$E$4:$E$3609,$B33,记账凭证!$B$4:$B$3609,"&lt;"&amp;$M$1)-SUMIFS(记账凭证!$I$4:$I$3609,记账凭证!$E$4:$E$3609,$B33,记账凭证!$B$4:$B$3609,"&lt;"&amp;$M$1),2)))</f>
        <v>0</v>
      </c>
      <c r="F33" s="27">
        <f>IF($B33="","",MAX(0,ROUND(-(SUMIFS(期初余额!$D$4:$D$81,期初余额!$B$4:$B$81,$B33)-SUMIFS(期初余额!$E$4:$E$81,期初余额!$B$4:$B$81,$B33)+SUMIFS(记账凭证!$H$4:$H$3609,记账凭证!$E$4:$E$3609,$B33,记账凭证!$B$4:$B$3609,"&lt;"&amp;$M$1)-SUMIFS(记账凭证!$I$4:$I$3609,记账凭证!$E$4:$E$3609,$B33,记账凭证!$B$4:$B$3609,"&lt;"&amp;$M$1)),2)))</f>
        <v>0</v>
      </c>
      <c r="G33" s="27">
        <f>IF($B33="","",ROUND(SUMIFS(记账凭证!$H$4:$H$3609,记账凭证!$E$4:$E$3609,$B33,记账凭证!$B$4:$B$3609,"&gt;="&amp;$M$1,记账凭证!$B$4:$B$3609,"&lt;="&amp;$M$2),2))</f>
        <v>0</v>
      </c>
      <c r="H33" s="27">
        <f>IF($B33="","",ROUND(SUMIFS(记账凭证!$I$4:$I$3609,记账凭证!$E$4:$E$3609,$B33,记账凭证!$B$4:$B$3609,"&gt;="&amp;$M$1,记账凭证!$B$4:$B$3609,"&lt;="&amp;$M$2),2))</f>
        <v>0</v>
      </c>
      <c r="I33" s="27">
        <f t="shared" si="0"/>
        <v>0</v>
      </c>
      <c r="J33" s="27">
        <f t="shared" si="1"/>
        <v>0</v>
      </c>
    </row>
    <row r="34" ht="18" customHeight="1" spans="1:10">
      <c r="A34" s="25" t="str">
        <f>IF($B34="","",IFERROR(INDEX(科目表!$A$4:$A$81,MATCH($B34,科目表!$B$4:$B$81,0)),""))</f>
        <v>222104</v>
      </c>
      <c r="B34" s="10" t="s">
        <v>512</v>
      </c>
      <c r="C34" s="26" t="str">
        <f>IF($B34="","",IFERROR(INDEX(科目表!$C$4:$C$81,MATCH($B34,科目表!$B$4:$B$81,0)),""))</f>
        <v>负债</v>
      </c>
      <c r="D34" s="26" t="str">
        <f>IF($B34="","",IFERROR(INDEX(科目表!$E$4:$E$81,MATCH($B34,科目表!$B$4:$B$81,0)),""))</f>
        <v>应交税费</v>
      </c>
      <c r="E34" s="27">
        <f>IF($B34="","",MAX(0,ROUND(SUMIFS(期初余额!$D$4:$D$81,期初余额!$B$4:$B$81,$B34)-SUMIFS(期初余额!$E$4:$E$81,期初余额!$B$4:$B$81,$B34)+SUMIFS(记账凭证!$H$4:$H$3609,记账凭证!$E$4:$E$3609,$B34,记账凭证!$B$4:$B$3609,"&lt;"&amp;$M$1)-SUMIFS(记账凭证!$I$4:$I$3609,记账凭证!$E$4:$E$3609,$B34,记账凭证!$B$4:$B$3609,"&lt;"&amp;$M$1),2)))</f>
        <v>0</v>
      </c>
      <c r="F34" s="27">
        <f>IF($B34="","",MAX(0,ROUND(-(SUMIFS(期初余额!$D$4:$D$81,期初余额!$B$4:$B$81,$B34)-SUMIFS(期初余额!$E$4:$E$81,期初余额!$B$4:$B$81,$B34)+SUMIFS(记账凭证!$H$4:$H$3609,记账凭证!$E$4:$E$3609,$B34,记账凭证!$B$4:$B$3609,"&lt;"&amp;$M$1)-SUMIFS(记账凭证!$I$4:$I$3609,记账凭证!$E$4:$E$3609,$B34,记账凭证!$B$4:$B$3609,"&lt;"&amp;$M$1)),2)))</f>
        <v>0</v>
      </c>
      <c r="G34" s="27">
        <f>IF($B34="","",ROUND(SUMIFS(记账凭证!$H$4:$H$3609,记账凭证!$E$4:$E$3609,$B34,记账凭证!$B$4:$B$3609,"&gt;="&amp;$M$1,记账凭证!$B$4:$B$3609,"&lt;="&amp;$M$2),2))</f>
        <v>0</v>
      </c>
      <c r="H34" s="27">
        <f>IF($B34="","",ROUND(SUMIFS(记账凭证!$I$4:$I$3609,记账凭证!$E$4:$E$3609,$B34,记账凭证!$B$4:$B$3609,"&gt;="&amp;$M$1,记账凭证!$B$4:$B$3609,"&lt;="&amp;$M$2),2))</f>
        <v>0</v>
      </c>
      <c r="I34" s="27">
        <f t="shared" si="0"/>
        <v>0</v>
      </c>
      <c r="J34" s="27">
        <f t="shared" si="1"/>
        <v>0</v>
      </c>
    </row>
    <row r="35" ht="18" customHeight="1" spans="1:10">
      <c r="A35" s="25" t="str">
        <f>IF($B35="","",IFERROR(INDEX(科目表!$A$4:$A$81,MATCH($B35,科目表!$B$4:$B$81,0)),""))</f>
        <v>222105</v>
      </c>
      <c r="B35" s="10" t="s">
        <v>515</v>
      </c>
      <c r="C35" s="26" t="str">
        <f>IF($B35="","",IFERROR(INDEX(科目表!$C$4:$C$81,MATCH($B35,科目表!$B$4:$B$81,0)),""))</f>
        <v>负债</v>
      </c>
      <c r="D35" s="26" t="str">
        <f>IF($B35="","",IFERROR(INDEX(科目表!$E$4:$E$81,MATCH($B35,科目表!$B$4:$B$81,0)),""))</f>
        <v>应交税费</v>
      </c>
      <c r="E35" s="27">
        <f>IF($B35="","",MAX(0,ROUND(SUMIFS(期初余额!$D$4:$D$81,期初余额!$B$4:$B$81,$B35)-SUMIFS(期初余额!$E$4:$E$81,期初余额!$B$4:$B$81,$B35)+SUMIFS(记账凭证!$H$4:$H$3609,记账凭证!$E$4:$E$3609,$B35,记账凭证!$B$4:$B$3609,"&lt;"&amp;$M$1)-SUMIFS(记账凭证!$I$4:$I$3609,记账凭证!$E$4:$E$3609,$B35,记账凭证!$B$4:$B$3609,"&lt;"&amp;$M$1),2)))</f>
        <v>0</v>
      </c>
      <c r="F35" s="27">
        <f>IF($B35="","",MAX(0,ROUND(-(SUMIFS(期初余额!$D$4:$D$81,期初余额!$B$4:$B$81,$B35)-SUMIFS(期初余额!$E$4:$E$81,期初余额!$B$4:$B$81,$B35)+SUMIFS(记账凭证!$H$4:$H$3609,记账凭证!$E$4:$E$3609,$B35,记账凭证!$B$4:$B$3609,"&lt;"&amp;$M$1)-SUMIFS(记账凭证!$I$4:$I$3609,记账凭证!$E$4:$E$3609,$B35,记账凭证!$B$4:$B$3609,"&lt;"&amp;$M$1)),2)))</f>
        <v>0</v>
      </c>
      <c r="G35" s="27">
        <f>IF($B35="","",ROUND(SUMIFS(记账凭证!$H$4:$H$3609,记账凭证!$E$4:$E$3609,$B35,记账凭证!$B$4:$B$3609,"&gt;="&amp;$M$1,记账凭证!$B$4:$B$3609,"&lt;="&amp;$M$2),2))</f>
        <v>0</v>
      </c>
      <c r="H35" s="27">
        <f>IF($B35="","",ROUND(SUMIFS(记账凭证!$I$4:$I$3609,记账凭证!$E$4:$E$3609,$B35,记账凭证!$B$4:$B$3609,"&gt;="&amp;$M$1,记账凭证!$B$4:$B$3609,"&lt;="&amp;$M$2),2))</f>
        <v>0</v>
      </c>
      <c r="I35" s="27">
        <f t="shared" si="0"/>
        <v>0</v>
      </c>
      <c r="J35" s="27">
        <f t="shared" si="1"/>
        <v>0</v>
      </c>
    </row>
    <row r="36" ht="18" customHeight="1" spans="1:10">
      <c r="A36" s="25" t="str">
        <f>IF($B36="","",IFERROR(INDEX(科目表!$A$4:$A$81,MATCH($B36,科目表!$B$4:$B$81,0)),""))</f>
        <v>222106</v>
      </c>
      <c r="B36" s="10" t="s">
        <v>518</v>
      </c>
      <c r="C36" s="26" t="str">
        <f>IF($B36="","",IFERROR(INDEX(科目表!$C$4:$C$81,MATCH($B36,科目表!$B$4:$B$81,0)),""))</f>
        <v>负债</v>
      </c>
      <c r="D36" s="26" t="str">
        <f>IF($B36="","",IFERROR(INDEX(科目表!$E$4:$E$81,MATCH($B36,科目表!$B$4:$B$81,0)),""))</f>
        <v>应交税费</v>
      </c>
      <c r="E36" s="27">
        <f>IF($B36="","",MAX(0,ROUND(SUMIFS(期初余额!$D$4:$D$81,期初余额!$B$4:$B$81,$B36)-SUMIFS(期初余额!$E$4:$E$81,期初余额!$B$4:$B$81,$B36)+SUMIFS(记账凭证!$H$4:$H$3609,记账凭证!$E$4:$E$3609,$B36,记账凭证!$B$4:$B$3609,"&lt;"&amp;$M$1)-SUMIFS(记账凭证!$I$4:$I$3609,记账凭证!$E$4:$E$3609,$B36,记账凭证!$B$4:$B$3609,"&lt;"&amp;$M$1),2)))</f>
        <v>0</v>
      </c>
      <c r="F36" s="27">
        <f>IF($B36="","",MAX(0,ROUND(-(SUMIFS(期初余额!$D$4:$D$81,期初余额!$B$4:$B$81,$B36)-SUMIFS(期初余额!$E$4:$E$81,期初余额!$B$4:$B$81,$B36)+SUMIFS(记账凭证!$H$4:$H$3609,记账凭证!$E$4:$E$3609,$B36,记账凭证!$B$4:$B$3609,"&lt;"&amp;$M$1)-SUMIFS(记账凭证!$I$4:$I$3609,记账凭证!$E$4:$E$3609,$B36,记账凭证!$B$4:$B$3609,"&lt;"&amp;$M$1)),2)))</f>
        <v>0</v>
      </c>
      <c r="G36" s="27">
        <f>IF($B36="","",ROUND(SUMIFS(记账凭证!$H$4:$H$3609,记账凭证!$E$4:$E$3609,$B36,记账凭证!$B$4:$B$3609,"&gt;="&amp;$M$1,记账凭证!$B$4:$B$3609,"&lt;="&amp;$M$2),2))</f>
        <v>0</v>
      </c>
      <c r="H36" s="27">
        <f>IF($B36="","",ROUND(SUMIFS(记账凭证!$I$4:$I$3609,记账凭证!$E$4:$E$3609,$B36,记账凭证!$B$4:$B$3609,"&gt;="&amp;$M$1,记账凭证!$B$4:$B$3609,"&lt;="&amp;$M$2),2))</f>
        <v>0</v>
      </c>
      <c r="I36" s="27">
        <f t="shared" si="0"/>
        <v>0</v>
      </c>
      <c r="J36" s="27">
        <f t="shared" si="1"/>
        <v>0</v>
      </c>
    </row>
    <row r="37" ht="18" customHeight="1" spans="1:10">
      <c r="A37" s="25" t="str">
        <f>IF($B37="","",IFERROR(INDEX(科目表!$A$4:$A$81,MATCH($B37,科目表!$B$4:$B$81,0)),""))</f>
        <v>222107</v>
      </c>
      <c r="B37" s="10" t="s">
        <v>521</v>
      </c>
      <c r="C37" s="26" t="str">
        <f>IF($B37="","",IFERROR(INDEX(科目表!$C$4:$C$81,MATCH($B37,科目表!$B$4:$B$81,0)),""))</f>
        <v>负债</v>
      </c>
      <c r="D37" s="26" t="str">
        <f>IF($B37="","",IFERROR(INDEX(科目表!$E$4:$E$81,MATCH($B37,科目表!$B$4:$B$81,0)),""))</f>
        <v>应交税费</v>
      </c>
      <c r="E37" s="27">
        <f>IF($B37="","",MAX(0,ROUND(SUMIFS(期初余额!$D$4:$D$81,期初余额!$B$4:$B$81,$B37)-SUMIFS(期初余额!$E$4:$E$81,期初余额!$B$4:$B$81,$B37)+SUMIFS(记账凭证!$H$4:$H$3609,记账凭证!$E$4:$E$3609,$B37,记账凭证!$B$4:$B$3609,"&lt;"&amp;$M$1)-SUMIFS(记账凭证!$I$4:$I$3609,记账凭证!$E$4:$E$3609,$B37,记账凭证!$B$4:$B$3609,"&lt;"&amp;$M$1),2)))</f>
        <v>0</v>
      </c>
      <c r="F37" s="27">
        <f>IF($B37="","",MAX(0,ROUND(-(SUMIFS(期初余额!$D$4:$D$81,期初余额!$B$4:$B$81,$B37)-SUMIFS(期初余额!$E$4:$E$81,期初余额!$B$4:$B$81,$B37)+SUMIFS(记账凭证!$H$4:$H$3609,记账凭证!$E$4:$E$3609,$B37,记账凭证!$B$4:$B$3609,"&lt;"&amp;$M$1)-SUMIFS(记账凭证!$I$4:$I$3609,记账凭证!$E$4:$E$3609,$B37,记账凭证!$B$4:$B$3609,"&lt;"&amp;$M$1)),2)))</f>
        <v>0</v>
      </c>
      <c r="G37" s="27">
        <f>IF($B37="","",ROUND(SUMIFS(记账凭证!$H$4:$H$3609,记账凭证!$E$4:$E$3609,$B37,记账凭证!$B$4:$B$3609,"&gt;="&amp;$M$1,记账凭证!$B$4:$B$3609,"&lt;="&amp;$M$2),2))</f>
        <v>0</v>
      </c>
      <c r="H37" s="27">
        <f>IF($B37="","",ROUND(SUMIFS(记账凭证!$I$4:$I$3609,记账凭证!$E$4:$E$3609,$B37,记账凭证!$B$4:$B$3609,"&gt;="&amp;$M$1,记账凭证!$B$4:$B$3609,"&lt;="&amp;$M$2),2))</f>
        <v>0</v>
      </c>
      <c r="I37" s="27">
        <f t="shared" si="0"/>
        <v>0</v>
      </c>
      <c r="J37" s="27">
        <f t="shared" si="1"/>
        <v>0</v>
      </c>
    </row>
    <row r="38" ht="18" customHeight="1" spans="1:10">
      <c r="A38" s="25" t="str">
        <f>IF($B38="","",IFERROR(INDEX(科目表!$A$4:$A$81,MATCH($B38,科目表!$B$4:$B$81,0)),""))</f>
        <v>222108</v>
      </c>
      <c r="B38" s="10" t="s">
        <v>524</v>
      </c>
      <c r="C38" s="26" t="str">
        <f>IF($B38="","",IFERROR(INDEX(科目表!$C$4:$C$81,MATCH($B38,科目表!$B$4:$B$81,0)),""))</f>
        <v>负债</v>
      </c>
      <c r="D38" s="26" t="str">
        <f>IF($B38="","",IFERROR(INDEX(科目表!$E$4:$E$81,MATCH($B38,科目表!$B$4:$B$81,0)),""))</f>
        <v>应交税费</v>
      </c>
      <c r="E38" s="27">
        <f>IF($B38="","",MAX(0,ROUND(SUMIFS(期初余额!$D$4:$D$81,期初余额!$B$4:$B$81,$B38)-SUMIFS(期初余额!$E$4:$E$81,期初余额!$B$4:$B$81,$B38)+SUMIFS(记账凭证!$H$4:$H$3609,记账凭证!$E$4:$E$3609,$B38,记账凭证!$B$4:$B$3609,"&lt;"&amp;$M$1)-SUMIFS(记账凭证!$I$4:$I$3609,记账凭证!$E$4:$E$3609,$B38,记账凭证!$B$4:$B$3609,"&lt;"&amp;$M$1),2)))</f>
        <v>0</v>
      </c>
      <c r="F38" s="27">
        <f>IF($B38="","",MAX(0,ROUND(-(SUMIFS(期初余额!$D$4:$D$81,期初余额!$B$4:$B$81,$B38)-SUMIFS(期初余额!$E$4:$E$81,期初余额!$B$4:$B$81,$B38)+SUMIFS(记账凭证!$H$4:$H$3609,记账凭证!$E$4:$E$3609,$B38,记账凭证!$B$4:$B$3609,"&lt;"&amp;$M$1)-SUMIFS(记账凭证!$I$4:$I$3609,记账凭证!$E$4:$E$3609,$B38,记账凭证!$B$4:$B$3609,"&lt;"&amp;$M$1)),2)))</f>
        <v>0</v>
      </c>
      <c r="G38" s="27">
        <f>IF($B38="","",ROUND(SUMIFS(记账凭证!$H$4:$H$3609,记账凭证!$E$4:$E$3609,$B38,记账凭证!$B$4:$B$3609,"&gt;="&amp;$M$1,记账凭证!$B$4:$B$3609,"&lt;="&amp;$M$2),2))</f>
        <v>0</v>
      </c>
      <c r="H38" s="27">
        <f>IF($B38="","",ROUND(SUMIFS(记账凭证!$I$4:$I$3609,记账凭证!$E$4:$E$3609,$B38,记账凭证!$B$4:$B$3609,"&gt;="&amp;$M$1,记账凭证!$B$4:$B$3609,"&lt;="&amp;$M$2),2))</f>
        <v>0</v>
      </c>
      <c r="I38" s="27">
        <f t="shared" si="0"/>
        <v>0</v>
      </c>
      <c r="J38" s="27">
        <f t="shared" si="1"/>
        <v>0</v>
      </c>
    </row>
    <row r="39" ht="18" customHeight="1" spans="1:10">
      <c r="A39" s="25" t="str">
        <f>IF($B39="","",IFERROR(INDEX(科目表!$A$4:$A$81,MATCH($B39,科目表!$B$4:$B$81,0)),""))</f>
        <v>222109</v>
      </c>
      <c r="B39" s="10" t="s">
        <v>527</v>
      </c>
      <c r="C39" s="26" t="str">
        <f>IF($B39="","",IFERROR(INDEX(科目表!$C$4:$C$81,MATCH($B39,科目表!$B$4:$B$81,0)),""))</f>
        <v>负债</v>
      </c>
      <c r="D39" s="26" t="str">
        <f>IF($B39="","",IFERROR(INDEX(科目表!$E$4:$E$81,MATCH($B39,科目表!$B$4:$B$81,0)),""))</f>
        <v>应交税费</v>
      </c>
      <c r="E39" s="27">
        <f>IF($B39="","",MAX(0,ROUND(SUMIFS(期初余额!$D$4:$D$81,期初余额!$B$4:$B$81,$B39)-SUMIFS(期初余额!$E$4:$E$81,期初余额!$B$4:$B$81,$B39)+SUMIFS(记账凭证!$H$4:$H$3609,记账凭证!$E$4:$E$3609,$B39,记账凭证!$B$4:$B$3609,"&lt;"&amp;$M$1)-SUMIFS(记账凭证!$I$4:$I$3609,记账凭证!$E$4:$E$3609,$B39,记账凭证!$B$4:$B$3609,"&lt;"&amp;$M$1),2)))</f>
        <v>0</v>
      </c>
      <c r="F39" s="27">
        <f>IF($B39="","",MAX(0,ROUND(-(SUMIFS(期初余额!$D$4:$D$81,期初余额!$B$4:$B$81,$B39)-SUMIFS(期初余额!$E$4:$E$81,期初余额!$B$4:$B$81,$B39)+SUMIFS(记账凭证!$H$4:$H$3609,记账凭证!$E$4:$E$3609,$B39,记账凭证!$B$4:$B$3609,"&lt;"&amp;$M$1)-SUMIFS(记账凭证!$I$4:$I$3609,记账凭证!$E$4:$E$3609,$B39,记账凭证!$B$4:$B$3609,"&lt;"&amp;$M$1)),2)))</f>
        <v>0</v>
      </c>
      <c r="G39" s="27">
        <f>IF($B39="","",ROUND(SUMIFS(记账凭证!$H$4:$H$3609,记账凭证!$E$4:$E$3609,$B39,记账凭证!$B$4:$B$3609,"&gt;="&amp;$M$1,记账凭证!$B$4:$B$3609,"&lt;="&amp;$M$2),2))</f>
        <v>0</v>
      </c>
      <c r="H39" s="27">
        <f>IF($B39="","",ROUND(SUMIFS(记账凭证!$I$4:$I$3609,记账凭证!$E$4:$E$3609,$B39,记账凭证!$B$4:$B$3609,"&gt;="&amp;$M$1,记账凭证!$B$4:$B$3609,"&lt;="&amp;$M$2),2))</f>
        <v>0</v>
      </c>
      <c r="I39" s="27">
        <f t="shared" si="0"/>
        <v>0</v>
      </c>
      <c r="J39" s="27">
        <f t="shared" si="1"/>
        <v>0</v>
      </c>
    </row>
    <row r="40" ht="18" customHeight="1" spans="1:10">
      <c r="A40" s="25" t="str">
        <f>IF($B40="","",IFERROR(INDEX(科目表!$A$4:$A$81,MATCH($B40,科目表!$B$4:$B$81,0)),""))</f>
        <v>222110</v>
      </c>
      <c r="B40" s="10" t="s">
        <v>530</v>
      </c>
      <c r="C40" s="26" t="str">
        <f>IF($B40="","",IFERROR(INDEX(科目表!$C$4:$C$81,MATCH($B40,科目表!$B$4:$B$81,0)),""))</f>
        <v>负债</v>
      </c>
      <c r="D40" s="26" t="str">
        <f>IF($B40="","",IFERROR(INDEX(科目表!$E$4:$E$81,MATCH($B40,科目表!$B$4:$B$81,0)),""))</f>
        <v>应交税费</v>
      </c>
      <c r="E40" s="27">
        <f>IF($B40="","",MAX(0,ROUND(SUMIFS(期初余额!$D$4:$D$81,期初余额!$B$4:$B$81,$B40)-SUMIFS(期初余额!$E$4:$E$81,期初余额!$B$4:$B$81,$B40)+SUMIFS(记账凭证!$H$4:$H$3609,记账凭证!$E$4:$E$3609,$B40,记账凭证!$B$4:$B$3609,"&lt;"&amp;$M$1)-SUMIFS(记账凭证!$I$4:$I$3609,记账凭证!$E$4:$E$3609,$B40,记账凭证!$B$4:$B$3609,"&lt;"&amp;$M$1),2)))</f>
        <v>0</v>
      </c>
      <c r="F40" s="27">
        <f>IF($B40="","",MAX(0,ROUND(-(SUMIFS(期初余额!$D$4:$D$81,期初余额!$B$4:$B$81,$B40)-SUMIFS(期初余额!$E$4:$E$81,期初余额!$B$4:$B$81,$B40)+SUMIFS(记账凭证!$H$4:$H$3609,记账凭证!$E$4:$E$3609,$B40,记账凭证!$B$4:$B$3609,"&lt;"&amp;$M$1)-SUMIFS(记账凭证!$I$4:$I$3609,记账凭证!$E$4:$E$3609,$B40,记账凭证!$B$4:$B$3609,"&lt;"&amp;$M$1)),2)))</f>
        <v>0</v>
      </c>
      <c r="G40" s="27">
        <f>IF($B40="","",ROUND(SUMIFS(记账凭证!$H$4:$H$3609,记账凭证!$E$4:$E$3609,$B40,记账凭证!$B$4:$B$3609,"&gt;="&amp;$M$1,记账凭证!$B$4:$B$3609,"&lt;="&amp;$M$2),2))</f>
        <v>0</v>
      </c>
      <c r="H40" s="27">
        <f>IF($B40="","",ROUND(SUMIFS(记账凭证!$I$4:$I$3609,记账凭证!$E$4:$E$3609,$B40,记账凭证!$B$4:$B$3609,"&gt;="&amp;$M$1,记账凭证!$B$4:$B$3609,"&lt;="&amp;$M$2),2))</f>
        <v>0</v>
      </c>
      <c r="I40" s="27">
        <f t="shared" si="0"/>
        <v>0</v>
      </c>
      <c r="J40" s="27">
        <f t="shared" si="1"/>
        <v>0</v>
      </c>
    </row>
    <row r="41" ht="18" customHeight="1" spans="1:10">
      <c r="A41" s="25" t="str">
        <f>IF($B41="","",IFERROR(INDEX(科目表!$A$4:$A$81,MATCH($B41,科目表!$B$4:$B$81,0)),""))</f>
        <v>2231</v>
      </c>
      <c r="B41" s="10" t="s">
        <v>533</v>
      </c>
      <c r="C41" s="26" t="str">
        <f>IF($B41="","",IFERROR(INDEX(科目表!$C$4:$C$81,MATCH($B41,科目表!$B$4:$B$81,0)),""))</f>
        <v>负债</v>
      </c>
      <c r="D41" s="26" t="str">
        <f>IF($B41="","",IFERROR(INDEX(科目表!$E$4:$E$81,MATCH($B41,科目表!$B$4:$B$81,0)),""))</f>
        <v>应付利息</v>
      </c>
      <c r="E41" s="27">
        <f>IF($B41="","",MAX(0,ROUND(SUMIFS(期初余额!$D$4:$D$81,期初余额!$B$4:$B$81,$B41)-SUMIFS(期初余额!$E$4:$E$81,期初余额!$B$4:$B$81,$B41)+SUMIFS(记账凭证!$H$4:$H$3609,记账凭证!$E$4:$E$3609,$B41,记账凭证!$B$4:$B$3609,"&lt;"&amp;$M$1)-SUMIFS(记账凭证!$I$4:$I$3609,记账凭证!$E$4:$E$3609,$B41,记账凭证!$B$4:$B$3609,"&lt;"&amp;$M$1),2)))</f>
        <v>0</v>
      </c>
      <c r="F41" s="27">
        <f>IF($B41="","",MAX(0,ROUND(-(SUMIFS(期初余额!$D$4:$D$81,期初余额!$B$4:$B$81,$B41)-SUMIFS(期初余额!$E$4:$E$81,期初余额!$B$4:$B$81,$B41)+SUMIFS(记账凭证!$H$4:$H$3609,记账凭证!$E$4:$E$3609,$B41,记账凭证!$B$4:$B$3609,"&lt;"&amp;$M$1)-SUMIFS(记账凭证!$I$4:$I$3609,记账凭证!$E$4:$E$3609,$B41,记账凭证!$B$4:$B$3609,"&lt;"&amp;$M$1)),2)))</f>
        <v>0</v>
      </c>
      <c r="G41" s="27">
        <f>IF($B41="","",ROUND(SUMIFS(记账凭证!$H$4:$H$3609,记账凭证!$E$4:$E$3609,$B41,记账凭证!$B$4:$B$3609,"&gt;="&amp;$M$1,记账凭证!$B$4:$B$3609,"&lt;="&amp;$M$2),2))</f>
        <v>0</v>
      </c>
      <c r="H41" s="27">
        <f>IF($B41="","",ROUND(SUMIFS(记账凭证!$I$4:$I$3609,记账凭证!$E$4:$E$3609,$B41,记账凭证!$B$4:$B$3609,"&gt;="&amp;$M$1,记账凭证!$B$4:$B$3609,"&lt;="&amp;$M$2),2))</f>
        <v>0</v>
      </c>
      <c r="I41" s="27">
        <f t="shared" si="0"/>
        <v>0</v>
      </c>
      <c r="J41" s="27">
        <f t="shared" si="1"/>
        <v>0</v>
      </c>
    </row>
    <row r="42" ht="18" customHeight="1" spans="1:10">
      <c r="A42" s="25" t="str">
        <f>IF($B42="","",IFERROR(INDEX(科目表!$A$4:$A$81,MATCH($B42,科目表!$B$4:$B$81,0)),""))</f>
        <v>2232</v>
      </c>
      <c r="B42" s="10" t="s">
        <v>536</v>
      </c>
      <c r="C42" s="26" t="str">
        <f>IF($B42="","",IFERROR(INDEX(科目表!$C$4:$C$81,MATCH($B42,科目表!$B$4:$B$81,0)),""))</f>
        <v>负债</v>
      </c>
      <c r="D42" s="26" t="str">
        <f>IF($B42="","",IFERROR(INDEX(科目表!$E$4:$E$81,MATCH($B42,科目表!$B$4:$B$81,0)),""))</f>
        <v>应付利润</v>
      </c>
      <c r="E42" s="27">
        <f>IF($B42="","",MAX(0,ROUND(SUMIFS(期初余额!$D$4:$D$81,期初余额!$B$4:$B$81,$B42)-SUMIFS(期初余额!$E$4:$E$81,期初余额!$B$4:$B$81,$B42)+SUMIFS(记账凭证!$H$4:$H$3609,记账凭证!$E$4:$E$3609,$B42,记账凭证!$B$4:$B$3609,"&lt;"&amp;$M$1)-SUMIFS(记账凭证!$I$4:$I$3609,记账凭证!$E$4:$E$3609,$B42,记账凭证!$B$4:$B$3609,"&lt;"&amp;$M$1),2)))</f>
        <v>0</v>
      </c>
      <c r="F42" s="27">
        <f>IF($B42="","",MAX(0,ROUND(-(SUMIFS(期初余额!$D$4:$D$81,期初余额!$B$4:$B$81,$B42)-SUMIFS(期初余额!$E$4:$E$81,期初余额!$B$4:$B$81,$B42)+SUMIFS(记账凭证!$H$4:$H$3609,记账凭证!$E$4:$E$3609,$B42,记账凭证!$B$4:$B$3609,"&lt;"&amp;$M$1)-SUMIFS(记账凭证!$I$4:$I$3609,记账凭证!$E$4:$E$3609,$B42,记账凭证!$B$4:$B$3609,"&lt;"&amp;$M$1)),2)))</f>
        <v>0</v>
      </c>
      <c r="G42" s="27">
        <f>IF($B42="","",ROUND(SUMIFS(记账凭证!$H$4:$H$3609,记账凭证!$E$4:$E$3609,$B42,记账凭证!$B$4:$B$3609,"&gt;="&amp;$M$1,记账凭证!$B$4:$B$3609,"&lt;="&amp;$M$2),2))</f>
        <v>0</v>
      </c>
      <c r="H42" s="27">
        <f>IF($B42="","",ROUND(SUMIFS(记账凭证!$I$4:$I$3609,记账凭证!$E$4:$E$3609,$B42,记账凭证!$B$4:$B$3609,"&gt;="&amp;$M$1,记账凭证!$B$4:$B$3609,"&lt;="&amp;$M$2),2))</f>
        <v>0</v>
      </c>
      <c r="I42" s="27">
        <f t="shared" si="0"/>
        <v>0</v>
      </c>
      <c r="J42" s="27">
        <f t="shared" si="1"/>
        <v>0</v>
      </c>
    </row>
    <row r="43" ht="18" customHeight="1" spans="1:10">
      <c r="A43" s="25" t="str">
        <f>IF($B43="","",IFERROR(INDEX(科目表!$A$4:$A$81,MATCH($B43,科目表!$B$4:$B$81,0)),""))</f>
        <v>2241</v>
      </c>
      <c r="B43" s="10" t="s">
        <v>358</v>
      </c>
      <c r="C43" s="26" t="str">
        <f>IF($B43="","",IFERROR(INDEX(科目表!$C$4:$C$81,MATCH($B43,科目表!$B$4:$B$81,0)),""))</f>
        <v>负债</v>
      </c>
      <c r="D43" s="26" t="str">
        <f>IF($B43="","",IFERROR(INDEX(科目表!$E$4:$E$81,MATCH($B43,科目表!$B$4:$B$81,0)),""))</f>
        <v>其他应付款</v>
      </c>
      <c r="E43" s="27">
        <f>IF($B43="","",MAX(0,ROUND(SUMIFS(期初余额!$D$4:$D$81,期初余额!$B$4:$B$81,$B43)-SUMIFS(期初余额!$E$4:$E$81,期初余额!$B$4:$B$81,$B43)+SUMIFS(记账凭证!$H$4:$H$3609,记账凭证!$E$4:$E$3609,$B43,记账凭证!$B$4:$B$3609,"&lt;"&amp;$M$1)-SUMIFS(记账凭证!$I$4:$I$3609,记账凭证!$E$4:$E$3609,$B43,记账凭证!$B$4:$B$3609,"&lt;"&amp;$M$1),2)))</f>
        <v>0</v>
      </c>
      <c r="F43" s="27">
        <f>IF($B43="","",MAX(0,ROUND(-(SUMIFS(期初余额!$D$4:$D$81,期初余额!$B$4:$B$81,$B43)-SUMIFS(期初余额!$E$4:$E$81,期初余额!$B$4:$B$81,$B43)+SUMIFS(记账凭证!$H$4:$H$3609,记账凭证!$E$4:$E$3609,$B43,记账凭证!$B$4:$B$3609,"&lt;"&amp;$M$1)-SUMIFS(记账凭证!$I$4:$I$3609,记账凭证!$E$4:$E$3609,$B43,记账凭证!$B$4:$B$3609,"&lt;"&amp;$M$1)),2)))</f>
        <v>0</v>
      </c>
      <c r="G43" s="27">
        <f>IF($B43="","",ROUND(SUMIFS(记账凭证!$H$4:$H$3609,记账凭证!$E$4:$E$3609,$B43,记账凭证!$B$4:$B$3609,"&gt;="&amp;$M$1,记账凭证!$B$4:$B$3609,"&lt;="&amp;$M$2),2))</f>
        <v>0</v>
      </c>
      <c r="H43" s="27">
        <f>IF($B43="","",ROUND(SUMIFS(记账凭证!$I$4:$I$3609,记账凭证!$E$4:$E$3609,$B43,记账凭证!$B$4:$B$3609,"&gt;="&amp;$M$1,记账凭证!$B$4:$B$3609,"&lt;="&amp;$M$2),2))</f>
        <v>0</v>
      </c>
      <c r="I43" s="27">
        <f t="shared" si="0"/>
        <v>0</v>
      </c>
      <c r="J43" s="27">
        <f t="shared" si="1"/>
        <v>0</v>
      </c>
    </row>
    <row r="44" ht="18" customHeight="1" spans="1:10">
      <c r="A44" s="25" t="str">
        <f>IF($B44="","",IFERROR(INDEX(科目表!$A$4:$A$81,MATCH($B44,科目表!$B$4:$B$81,0)),""))</f>
        <v>2401</v>
      </c>
      <c r="B44" s="10" t="s">
        <v>541</v>
      </c>
      <c r="C44" s="26" t="str">
        <f>IF($B44="","",IFERROR(INDEX(科目表!$C$4:$C$81,MATCH($B44,科目表!$B$4:$B$81,0)),""))</f>
        <v>负债</v>
      </c>
      <c r="D44" s="26" t="str">
        <f>IF($B44="","",IFERROR(INDEX(科目表!$E$4:$E$81,MATCH($B44,科目表!$B$4:$B$81,0)),""))</f>
        <v>递延收益</v>
      </c>
      <c r="E44" s="27">
        <f>IF($B44="","",MAX(0,ROUND(SUMIFS(期初余额!$D$4:$D$81,期初余额!$B$4:$B$81,$B44)-SUMIFS(期初余额!$E$4:$E$81,期初余额!$B$4:$B$81,$B44)+SUMIFS(记账凭证!$H$4:$H$3609,记账凭证!$E$4:$E$3609,$B44,记账凭证!$B$4:$B$3609,"&lt;"&amp;$M$1)-SUMIFS(记账凭证!$I$4:$I$3609,记账凭证!$E$4:$E$3609,$B44,记账凭证!$B$4:$B$3609,"&lt;"&amp;$M$1),2)))</f>
        <v>0</v>
      </c>
      <c r="F44" s="27">
        <f>IF($B44="","",MAX(0,ROUND(-(SUMIFS(期初余额!$D$4:$D$81,期初余额!$B$4:$B$81,$B44)-SUMIFS(期初余额!$E$4:$E$81,期初余额!$B$4:$B$81,$B44)+SUMIFS(记账凭证!$H$4:$H$3609,记账凭证!$E$4:$E$3609,$B44,记账凭证!$B$4:$B$3609,"&lt;"&amp;$M$1)-SUMIFS(记账凭证!$I$4:$I$3609,记账凭证!$E$4:$E$3609,$B44,记账凭证!$B$4:$B$3609,"&lt;"&amp;$M$1)),2)))</f>
        <v>0</v>
      </c>
      <c r="G44" s="27">
        <f>IF($B44="","",ROUND(SUMIFS(记账凭证!$H$4:$H$3609,记账凭证!$E$4:$E$3609,$B44,记账凭证!$B$4:$B$3609,"&gt;="&amp;$M$1,记账凭证!$B$4:$B$3609,"&lt;="&amp;$M$2),2))</f>
        <v>0</v>
      </c>
      <c r="H44" s="27">
        <f>IF($B44="","",ROUND(SUMIFS(记账凭证!$I$4:$I$3609,记账凭证!$E$4:$E$3609,$B44,记账凭证!$B$4:$B$3609,"&gt;="&amp;$M$1,记账凭证!$B$4:$B$3609,"&lt;="&amp;$M$2),2))</f>
        <v>0</v>
      </c>
      <c r="I44" s="27">
        <f t="shared" si="0"/>
        <v>0</v>
      </c>
      <c r="J44" s="27">
        <f t="shared" si="1"/>
        <v>0</v>
      </c>
    </row>
    <row r="45" ht="18" customHeight="1" spans="1:10">
      <c r="A45" s="25" t="str">
        <f>IF($B45="","",IFERROR(INDEX(科目表!$A$4:$A$81,MATCH($B45,科目表!$B$4:$B$81,0)),""))</f>
        <v>2501</v>
      </c>
      <c r="B45" s="10" t="s">
        <v>544</v>
      </c>
      <c r="C45" s="26" t="str">
        <f>IF($B45="","",IFERROR(INDEX(科目表!$C$4:$C$81,MATCH($B45,科目表!$B$4:$B$81,0)),""))</f>
        <v>负债</v>
      </c>
      <c r="D45" s="26" t="str">
        <f>IF($B45="","",IFERROR(INDEX(科目表!$E$4:$E$81,MATCH($B45,科目表!$B$4:$B$81,0)),""))</f>
        <v>长期借款</v>
      </c>
      <c r="E45" s="27">
        <f>IF($B45="","",MAX(0,ROUND(SUMIFS(期初余额!$D$4:$D$81,期初余额!$B$4:$B$81,$B45)-SUMIFS(期初余额!$E$4:$E$81,期初余额!$B$4:$B$81,$B45)+SUMIFS(记账凭证!$H$4:$H$3609,记账凭证!$E$4:$E$3609,$B45,记账凭证!$B$4:$B$3609,"&lt;"&amp;$M$1)-SUMIFS(记账凭证!$I$4:$I$3609,记账凭证!$E$4:$E$3609,$B45,记账凭证!$B$4:$B$3609,"&lt;"&amp;$M$1),2)))</f>
        <v>0</v>
      </c>
      <c r="F45" s="27">
        <f>IF($B45="","",MAX(0,ROUND(-(SUMIFS(期初余额!$D$4:$D$81,期初余额!$B$4:$B$81,$B45)-SUMIFS(期初余额!$E$4:$E$81,期初余额!$B$4:$B$81,$B45)+SUMIFS(记账凭证!$H$4:$H$3609,记账凭证!$E$4:$E$3609,$B45,记账凭证!$B$4:$B$3609,"&lt;"&amp;$M$1)-SUMIFS(记账凭证!$I$4:$I$3609,记账凭证!$E$4:$E$3609,$B45,记账凭证!$B$4:$B$3609,"&lt;"&amp;$M$1)),2)))</f>
        <v>0</v>
      </c>
      <c r="G45" s="27">
        <f>IF($B45="","",ROUND(SUMIFS(记账凭证!$H$4:$H$3609,记账凭证!$E$4:$E$3609,$B45,记账凭证!$B$4:$B$3609,"&gt;="&amp;$M$1,记账凭证!$B$4:$B$3609,"&lt;="&amp;$M$2),2))</f>
        <v>0</v>
      </c>
      <c r="H45" s="27">
        <f>IF($B45="","",ROUND(SUMIFS(记账凭证!$I$4:$I$3609,记账凭证!$E$4:$E$3609,$B45,记账凭证!$B$4:$B$3609,"&gt;="&amp;$M$1,记账凭证!$B$4:$B$3609,"&lt;="&amp;$M$2),2))</f>
        <v>0</v>
      </c>
      <c r="I45" s="27">
        <f t="shared" si="0"/>
        <v>0</v>
      </c>
      <c r="J45" s="27">
        <f t="shared" si="1"/>
        <v>0</v>
      </c>
    </row>
    <row r="46" ht="18" customHeight="1" spans="1:10">
      <c r="A46" s="25" t="str">
        <f>IF($B46="","",IFERROR(INDEX(科目表!$A$4:$A$81,MATCH($B46,科目表!$B$4:$B$81,0)),""))</f>
        <v>2701</v>
      </c>
      <c r="B46" s="10" t="s">
        <v>546</v>
      </c>
      <c r="C46" s="26" t="str">
        <f>IF($B46="","",IFERROR(INDEX(科目表!$C$4:$C$81,MATCH($B46,科目表!$B$4:$B$81,0)),""))</f>
        <v>负债</v>
      </c>
      <c r="D46" s="26" t="str">
        <f>IF($B46="","",IFERROR(INDEX(科目表!$E$4:$E$81,MATCH($B46,科目表!$B$4:$B$81,0)),""))</f>
        <v>长期应付款</v>
      </c>
      <c r="E46" s="27">
        <f>IF($B46="","",MAX(0,ROUND(SUMIFS(期初余额!$D$4:$D$81,期初余额!$B$4:$B$81,$B46)-SUMIFS(期初余额!$E$4:$E$81,期初余额!$B$4:$B$81,$B46)+SUMIFS(记账凭证!$H$4:$H$3609,记账凭证!$E$4:$E$3609,$B46,记账凭证!$B$4:$B$3609,"&lt;"&amp;$M$1)-SUMIFS(记账凭证!$I$4:$I$3609,记账凭证!$E$4:$E$3609,$B46,记账凭证!$B$4:$B$3609,"&lt;"&amp;$M$1),2)))</f>
        <v>0</v>
      </c>
      <c r="F46" s="27">
        <f>IF($B46="","",MAX(0,ROUND(-(SUMIFS(期初余额!$D$4:$D$81,期初余额!$B$4:$B$81,$B46)-SUMIFS(期初余额!$E$4:$E$81,期初余额!$B$4:$B$81,$B46)+SUMIFS(记账凭证!$H$4:$H$3609,记账凭证!$E$4:$E$3609,$B46,记账凭证!$B$4:$B$3609,"&lt;"&amp;$M$1)-SUMIFS(记账凭证!$I$4:$I$3609,记账凭证!$E$4:$E$3609,$B46,记账凭证!$B$4:$B$3609,"&lt;"&amp;$M$1)),2)))</f>
        <v>0</v>
      </c>
      <c r="G46" s="27">
        <f>IF($B46="","",ROUND(SUMIFS(记账凭证!$H$4:$H$3609,记账凭证!$E$4:$E$3609,$B46,记账凭证!$B$4:$B$3609,"&gt;="&amp;$M$1,记账凭证!$B$4:$B$3609,"&lt;="&amp;$M$2),2))</f>
        <v>0</v>
      </c>
      <c r="H46" s="27">
        <f>IF($B46="","",ROUND(SUMIFS(记账凭证!$I$4:$I$3609,记账凭证!$E$4:$E$3609,$B46,记账凭证!$B$4:$B$3609,"&gt;="&amp;$M$1,记账凭证!$B$4:$B$3609,"&lt;="&amp;$M$2),2))</f>
        <v>0</v>
      </c>
      <c r="I46" s="27">
        <f t="shared" si="0"/>
        <v>0</v>
      </c>
      <c r="J46" s="27">
        <f t="shared" si="1"/>
        <v>0</v>
      </c>
    </row>
    <row r="47" ht="18" customHeight="1" spans="1:10">
      <c r="A47" s="25" t="str">
        <f>IF($B47="","",IFERROR(INDEX(科目表!$A$4:$A$81,MATCH($B47,科目表!$B$4:$B$81,0)),""))</f>
        <v>3001</v>
      </c>
      <c r="B47" s="10" t="s">
        <v>354</v>
      </c>
      <c r="C47" s="26" t="str">
        <f>IF($B47="","",IFERROR(INDEX(科目表!$C$4:$C$81,MATCH($B47,科目表!$B$4:$B$81,0)),""))</f>
        <v>权益</v>
      </c>
      <c r="D47" s="26" t="str">
        <f>IF($B47="","",IFERROR(INDEX(科目表!$E$4:$E$81,MATCH($B47,科目表!$B$4:$B$81,0)),""))</f>
        <v>实收资本</v>
      </c>
      <c r="E47" s="27">
        <f>IF($B47="","",MAX(0,ROUND(SUMIFS(期初余额!$D$4:$D$81,期初余额!$B$4:$B$81,$B47)-SUMIFS(期初余额!$E$4:$E$81,期初余额!$B$4:$B$81,$B47)+SUMIFS(记账凭证!$H$4:$H$3609,记账凭证!$E$4:$E$3609,$B47,记账凭证!$B$4:$B$3609,"&lt;"&amp;$M$1)-SUMIFS(记账凭证!$I$4:$I$3609,记账凭证!$E$4:$E$3609,$B47,记账凭证!$B$4:$B$3609,"&lt;"&amp;$M$1),2)))</f>
        <v>0</v>
      </c>
      <c r="F47" s="27">
        <f>IF($B47="","",MAX(0,ROUND(-(SUMIFS(期初余额!$D$4:$D$81,期初余额!$B$4:$B$81,$B47)-SUMIFS(期初余额!$E$4:$E$81,期初余额!$B$4:$B$81,$B47)+SUMIFS(记账凭证!$H$4:$H$3609,记账凭证!$E$4:$E$3609,$B47,记账凭证!$B$4:$B$3609,"&lt;"&amp;$M$1)-SUMIFS(记账凭证!$I$4:$I$3609,记账凭证!$E$4:$E$3609,$B47,记账凭证!$B$4:$B$3609,"&lt;"&amp;$M$1)),2)))</f>
        <v>0</v>
      </c>
      <c r="G47" s="27">
        <f>IF($B47="","",ROUND(SUMIFS(记账凭证!$H$4:$H$3609,记账凭证!$E$4:$E$3609,$B47,记账凭证!$B$4:$B$3609,"&gt;="&amp;$M$1,记账凭证!$B$4:$B$3609,"&lt;="&amp;$M$2),2))</f>
        <v>0</v>
      </c>
      <c r="H47" s="27">
        <f>IF($B47="","",ROUND(SUMIFS(记账凭证!$I$4:$I$3609,记账凭证!$E$4:$E$3609,$B47,记账凭证!$B$4:$B$3609,"&gt;="&amp;$M$1,记账凭证!$B$4:$B$3609,"&lt;="&amp;$M$2),2))</f>
        <v>0</v>
      </c>
      <c r="I47" s="27">
        <f t="shared" si="0"/>
        <v>0</v>
      </c>
      <c r="J47" s="27">
        <f t="shared" si="1"/>
        <v>0</v>
      </c>
    </row>
    <row r="48" ht="18" customHeight="1" spans="1:10">
      <c r="A48" s="25" t="str">
        <f>IF($B48="","",IFERROR(INDEX(科目表!$A$4:$A$81,MATCH($B48,科目表!$B$4:$B$81,0)),""))</f>
        <v>3002</v>
      </c>
      <c r="B48" s="10" t="s">
        <v>553</v>
      </c>
      <c r="C48" s="26" t="str">
        <f>IF($B48="","",IFERROR(INDEX(科目表!$C$4:$C$81,MATCH($B48,科目表!$B$4:$B$81,0)),""))</f>
        <v>权益</v>
      </c>
      <c r="D48" s="26" t="str">
        <f>IF($B48="","",IFERROR(INDEX(科目表!$E$4:$E$81,MATCH($B48,科目表!$B$4:$B$81,0)),""))</f>
        <v>资本公积</v>
      </c>
      <c r="E48" s="27">
        <f>IF($B48="","",MAX(0,ROUND(SUMIFS(期初余额!$D$4:$D$81,期初余额!$B$4:$B$81,$B48)-SUMIFS(期初余额!$E$4:$E$81,期初余额!$B$4:$B$81,$B48)+SUMIFS(记账凭证!$H$4:$H$3609,记账凭证!$E$4:$E$3609,$B48,记账凭证!$B$4:$B$3609,"&lt;"&amp;$M$1)-SUMIFS(记账凭证!$I$4:$I$3609,记账凭证!$E$4:$E$3609,$B48,记账凭证!$B$4:$B$3609,"&lt;"&amp;$M$1),2)))</f>
        <v>0</v>
      </c>
      <c r="F48" s="27">
        <f>IF($B48="","",MAX(0,ROUND(-(SUMIFS(期初余额!$D$4:$D$81,期初余额!$B$4:$B$81,$B48)-SUMIFS(期初余额!$E$4:$E$81,期初余额!$B$4:$B$81,$B48)+SUMIFS(记账凭证!$H$4:$H$3609,记账凭证!$E$4:$E$3609,$B48,记账凭证!$B$4:$B$3609,"&lt;"&amp;$M$1)-SUMIFS(记账凭证!$I$4:$I$3609,记账凭证!$E$4:$E$3609,$B48,记账凭证!$B$4:$B$3609,"&lt;"&amp;$M$1)),2)))</f>
        <v>0</v>
      </c>
      <c r="G48" s="27">
        <f>IF($B48="","",ROUND(SUMIFS(记账凭证!$H$4:$H$3609,记账凭证!$E$4:$E$3609,$B48,记账凭证!$B$4:$B$3609,"&gt;="&amp;$M$1,记账凭证!$B$4:$B$3609,"&lt;="&amp;$M$2),2))</f>
        <v>0</v>
      </c>
      <c r="H48" s="27">
        <f>IF($B48="","",ROUND(SUMIFS(记账凭证!$I$4:$I$3609,记账凭证!$E$4:$E$3609,$B48,记账凭证!$B$4:$B$3609,"&gt;="&amp;$M$1,记账凭证!$B$4:$B$3609,"&lt;="&amp;$M$2),2))</f>
        <v>0</v>
      </c>
      <c r="I48" s="27">
        <f t="shared" si="0"/>
        <v>0</v>
      </c>
      <c r="J48" s="27">
        <f t="shared" si="1"/>
        <v>0</v>
      </c>
    </row>
    <row r="49" ht="18" customHeight="1" spans="1:10">
      <c r="A49" s="25" t="str">
        <f>IF($B49="","",IFERROR(INDEX(科目表!$A$4:$A$81,MATCH($B49,科目表!$B$4:$B$81,0)),""))</f>
        <v>3101</v>
      </c>
      <c r="B49" s="10" t="s">
        <v>556</v>
      </c>
      <c r="C49" s="26" t="str">
        <f>IF($B49="","",IFERROR(INDEX(科目表!$C$4:$C$81,MATCH($B49,科目表!$B$4:$B$81,0)),""))</f>
        <v>权益</v>
      </c>
      <c r="D49" s="26" t="str">
        <f>IF($B49="","",IFERROR(INDEX(科目表!$E$4:$E$81,MATCH($B49,科目表!$B$4:$B$81,0)),""))</f>
        <v>盈余公积</v>
      </c>
      <c r="E49" s="27">
        <f>IF($B49="","",MAX(0,ROUND(SUMIFS(期初余额!$D$4:$D$81,期初余额!$B$4:$B$81,$B49)-SUMIFS(期初余额!$E$4:$E$81,期初余额!$B$4:$B$81,$B49)+SUMIFS(记账凭证!$H$4:$H$3609,记账凭证!$E$4:$E$3609,$B49,记账凭证!$B$4:$B$3609,"&lt;"&amp;$M$1)-SUMIFS(记账凭证!$I$4:$I$3609,记账凭证!$E$4:$E$3609,$B49,记账凭证!$B$4:$B$3609,"&lt;"&amp;$M$1),2)))</f>
        <v>0</v>
      </c>
      <c r="F49" s="27">
        <f>IF($B49="","",MAX(0,ROUND(-(SUMIFS(期初余额!$D$4:$D$81,期初余额!$B$4:$B$81,$B49)-SUMIFS(期初余额!$E$4:$E$81,期初余额!$B$4:$B$81,$B49)+SUMIFS(记账凭证!$H$4:$H$3609,记账凭证!$E$4:$E$3609,$B49,记账凭证!$B$4:$B$3609,"&lt;"&amp;$M$1)-SUMIFS(记账凭证!$I$4:$I$3609,记账凭证!$E$4:$E$3609,$B49,记账凭证!$B$4:$B$3609,"&lt;"&amp;$M$1)),2)))</f>
        <v>0</v>
      </c>
      <c r="G49" s="27">
        <f>IF($B49="","",ROUND(SUMIFS(记账凭证!$H$4:$H$3609,记账凭证!$E$4:$E$3609,$B49,记账凭证!$B$4:$B$3609,"&gt;="&amp;$M$1,记账凭证!$B$4:$B$3609,"&lt;="&amp;$M$2),2))</f>
        <v>0</v>
      </c>
      <c r="H49" s="27">
        <f>IF($B49="","",ROUND(SUMIFS(记账凭证!$I$4:$I$3609,记账凭证!$E$4:$E$3609,$B49,记账凭证!$B$4:$B$3609,"&gt;="&amp;$M$1,记账凭证!$B$4:$B$3609,"&lt;="&amp;$M$2),2))</f>
        <v>0</v>
      </c>
      <c r="I49" s="27">
        <f t="shared" si="0"/>
        <v>0</v>
      </c>
      <c r="J49" s="27">
        <f t="shared" si="1"/>
        <v>0</v>
      </c>
    </row>
    <row r="50" ht="18" customHeight="1" spans="1:10">
      <c r="A50" s="25" t="str">
        <f>IF($B50="","",IFERROR(INDEX(科目表!$A$4:$A$81,MATCH($B50,科目表!$B$4:$B$81,0)),""))</f>
        <v>3103</v>
      </c>
      <c r="B50" s="10" t="s">
        <v>559</v>
      </c>
      <c r="C50" s="26" t="str">
        <f>IF($B50="","",IFERROR(INDEX(科目表!$C$4:$C$81,MATCH($B50,科目表!$B$4:$B$81,0)),""))</f>
        <v>权益</v>
      </c>
      <c r="D50" s="26" t="str">
        <f>IF($B50="","",IFERROR(INDEX(科目表!$E$4:$E$81,MATCH($B50,科目表!$B$4:$B$81,0)),""))</f>
        <v>未分配利润</v>
      </c>
      <c r="E50" s="27">
        <f>IF($B50="","",MAX(0,ROUND(SUMIFS(期初余额!$D$4:$D$81,期初余额!$B$4:$B$81,$B50)-SUMIFS(期初余额!$E$4:$E$81,期初余额!$B$4:$B$81,$B50)+SUMIFS(记账凭证!$H$4:$H$3609,记账凭证!$E$4:$E$3609,$B50,记账凭证!$B$4:$B$3609,"&lt;"&amp;$M$1)-SUMIFS(记账凭证!$I$4:$I$3609,记账凭证!$E$4:$E$3609,$B50,记账凭证!$B$4:$B$3609,"&lt;"&amp;$M$1),2)))</f>
        <v>0</v>
      </c>
      <c r="F50" s="27">
        <f>IF($B50="","",MAX(0,ROUND(-(SUMIFS(期初余额!$D$4:$D$81,期初余额!$B$4:$B$81,$B50)-SUMIFS(期初余额!$E$4:$E$81,期初余额!$B$4:$B$81,$B50)+SUMIFS(记账凭证!$H$4:$H$3609,记账凭证!$E$4:$E$3609,$B50,记账凭证!$B$4:$B$3609,"&lt;"&amp;$M$1)-SUMIFS(记账凭证!$I$4:$I$3609,记账凭证!$E$4:$E$3609,$B50,记账凭证!$B$4:$B$3609,"&lt;"&amp;$M$1)),2)))</f>
        <v>0</v>
      </c>
      <c r="G50" s="27">
        <f>IF($B50="","",ROUND(SUMIFS(记账凭证!$H$4:$H$3609,记账凭证!$E$4:$E$3609,$B50,记账凭证!$B$4:$B$3609,"&gt;="&amp;$M$1,记账凭证!$B$4:$B$3609,"&lt;="&amp;$M$2),2))</f>
        <v>0</v>
      </c>
      <c r="H50" s="27">
        <f>IF($B50="","",ROUND(SUMIFS(记账凭证!$I$4:$I$3609,记账凭证!$E$4:$E$3609,$B50,记账凭证!$B$4:$B$3609,"&gt;="&amp;$M$1,记账凭证!$B$4:$B$3609,"&lt;="&amp;$M$2),2))</f>
        <v>0</v>
      </c>
      <c r="I50" s="27">
        <f t="shared" si="0"/>
        <v>0</v>
      </c>
      <c r="J50" s="27">
        <f t="shared" si="1"/>
        <v>0</v>
      </c>
    </row>
    <row r="51" ht="18" customHeight="1" spans="1:10">
      <c r="A51" s="25" t="str">
        <f>IF($B51="","",IFERROR(INDEX(科目表!$A$4:$A$81,MATCH($B51,科目表!$B$4:$B$81,0)),""))</f>
        <v>3104</v>
      </c>
      <c r="B51" s="10" t="s">
        <v>563</v>
      </c>
      <c r="C51" s="26" t="str">
        <f>IF($B51="","",IFERROR(INDEX(科目表!$C$4:$C$81,MATCH($B51,科目表!$B$4:$B$81,0)),""))</f>
        <v>权益</v>
      </c>
      <c r="D51" s="26" t="str">
        <f>IF($B51="","",IFERROR(INDEX(科目表!$E$4:$E$81,MATCH($B51,科目表!$B$4:$B$81,0)),""))</f>
        <v>未分配利润</v>
      </c>
      <c r="E51" s="27">
        <f>IF($B51="","",MAX(0,ROUND(SUMIFS(期初余额!$D$4:$D$81,期初余额!$B$4:$B$81,$B51)-SUMIFS(期初余额!$E$4:$E$81,期初余额!$B$4:$B$81,$B51)+SUMIFS(记账凭证!$H$4:$H$3609,记账凭证!$E$4:$E$3609,$B51,记账凭证!$B$4:$B$3609,"&lt;"&amp;$M$1)-SUMIFS(记账凭证!$I$4:$I$3609,记账凭证!$E$4:$E$3609,$B51,记账凭证!$B$4:$B$3609,"&lt;"&amp;$M$1),2)))</f>
        <v>0</v>
      </c>
      <c r="F51" s="27">
        <f>IF($B51="","",MAX(0,ROUND(-(SUMIFS(期初余额!$D$4:$D$81,期初余额!$B$4:$B$81,$B51)-SUMIFS(期初余额!$E$4:$E$81,期初余额!$B$4:$B$81,$B51)+SUMIFS(记账凭证!$H$4:$H$3609,记账凭证!$E$4:$E$3609,$B51,记账凭证!$B$4:$B$3609,"&lt;"&amp;$M$1)-SUMIFS(记账凭证!$I$4:$I$3609,记账凭证!$E$4:$E$3609,$B51,记账凭证!$B$4:$B$3609,"&lt;"&amp;$M$1)),2)))</f>
        <v>0</v>
      </c>
      <c r="G51" s="27">
        <f>IF($B51="","",ROUND(SUMIFS(记账凭证!$H$4:$H$3609,记账凭证!$E$4:$E$3609,$B51,记账凭证!$B$4:$B$3609,"&gt;="&amp;$M$1,记账凭证!$B$4:$B$3609,"&lt;="&amp;$M$2),2))</f>
        <v>0</v>
      </c>
      <c r="H51" s="27">
        <f>IF($B51="","",ROUND(SUMIFS(记账凭证!$I$4:$I$3609,记账凭证!$E$4:$E$3609,$B51,记账凭证!$B$4:$B$3609,"&gt;="&amp;$M$1,记账凭证!$B$4:$B$3609,"&lt;="&amp;$M$2),2))</f>
        <v>0</v>
      </c>
      <c r="I51" s="27">
        <f t="shared" si="0"/>
        <v>0</v>
      </c>
      <c r="J51" s="27">
        <f t="shared" si="1"/>
        <v>0</v>
      </c>
    </row>
    <row r="52" ht="18" customHeight="1" spans="1:10">
      <c r="A52" s="25" t="str">
        <f>IF($B52="","",IFERROR(INDEX(科目表!$A$4:$A$81,MATCH($B52,科目表!$B$4:$B$81,0)),""))</f>
        <v>5001</v>
      </c>
      <c r="B52" s="10" t="s">
        <v>565</v>
      </c>
      <c r="C52" s="26" t="str">
        <f>IF($B52="","",IFERROR(INDEX(科目表!$C$4:$C$81,MATCH($B52,科目表!$B$4:$B$81,0)),""))</f>
        <v>损益</v>
      </c>
      <c r="D52" s="26" t="str">
        <f>IF($B52="","",IFERROR(INDEX(科目表!$E$4:$E$81,MATCH($B52,科目表!$B$4:$B$81,0)),""))</f>
        <v>营业收入</v>
      </c>
      <c r="E52" s="27">
        <f>IF($B52="","",MAX(0,ROUND(SUMIFS(期初余额!$D$4:$D$81,期初余额!$B$4:$B$81,$B52)-SUMIFS(期初余额!$E$4:$E$81,期初余额!$B$4:$B$81,$B52)+SUMIFS(记账凭证!$H$4:$H$3609,记账凭证!$E$4:$E$3609,$B52,记账凭证!$B$4:$B$3609,"&lt;"&amp;$M$1)-SUMIFS(记账凭证!$I$4:$I$3609,记账凭证!$E$4:$E$3609,$B52,记账凭证!$B$4:$B$3609,"&lt;"&amp;$M$1),2)))</f>
        <v>0</v>
      </c>
      <c r="F52" s="27">
        <f>IF($B52="","",MAX(0,ROUND(-(SUMIFS(期初余额!$D$4:$D$81,期初余额!$B$4:$B$81,$B52)-SUMIFS(期初余额!$E$4:$E$81,期初余额!$B$4:$B$81,$B52)+SUMIFS(记账凭证!$H$4:$H$3609,记账凭证!$E$4:$E$3609,$B52,记账凭证!$B$4:$B$3609,"&lt;"&amp;$M$1)-SUMIFS(记账凭证!$I$4:$I$3609,记账凭证!$E$4:$E$3609,$B52,记账凭证!$B$4:$B$3609,"&lt;"&amp;$M$1)),2)))</f>
        <v>0</v>
      </c>
      <c r="G52" s="27">
        <f>IF($B52="","",ROUND(SUMIFS(记账凭证!$H$4:$H$3609,记账凭证!$E$4:$E$3609,$B52,记账凭证!$B$4:$B$3609,"&gt;="&amp;$M$1,记账凭证!$B$4:$B$3609,"&lt;="&amp;$M$2),2))</f>
        <v>0</v>
      </c>
      <c r="H52" s="27">
        <f>IF($B52="","",ROUND(SUMIFS(记账凭证!$I$4:$I$3609,记账凭证!$E$4:$E$3609,$B52,记账凭证!$B$4:$B$3609,"&gt;="&amp;$M$1,记账凭证!$B$4:$B$3609,"&lt;="&amp;$M$2),2))</f>
        <v>0</v>
      </c>
      <c r="I52" s="27">
        <f t="shared" si="0"/>
        <v>0</v>
      </c>
      <c r="J52" s="27">
        <f t="shared" si="1"/>
        <v>0</v>
      </c>
    </row>
    <row r="53" ht="18" customHeight="1" spans="1:10">
      <c r="A53" s="25" t="str">
        <f>IF($B53="","",IFERROR(INDEX(科目表!$A$4:$A$81,MATCH($B53,科目表!$B$4:$B$81,0)),""))</f>
        <v>5002</v>
      </c>
      <c r="B53" s="10" t="s">
        <v>255</v>
      </c>
      <c r="C53" s="26" t="str">
        <f>IF($B53="","",IFERROR(INDEX(科目表!$C$4:$C$81,MATCH($B53,科目表!$B$4:$B$81,0)),""))</f>
        <v>损益</v>
      </c>
      <c r="D53" s="26" t="str">
        <f>IF($B53="","",IFERROR(INDEX(科目表!$E$4:$E$81,MATCH($B53,科目表!$B$4:$B$81,0)),""))</f>
        <v>营业收入</v>
      </c>
      <c r="E53" s="27">
        <f>IF($B53="","",MAX(0,ROUND(SUMIFS(期初余额!$D$4:$D$81,期初余额!$B$4:$B$81,$B53)-SUMIFS(期初余额!$E$4:$E$81,期初余额!$B$4:$B$81,$B53)+SUMIFS(记账凭证!$H$4:$H$3609,记账凭证!$E$4:$E$3609,$B53,记账凭证!$B$4:$B$3609,"&lt;"&amp;$M$1)-SUMIFS(记账凭证!$I$4:$I$3609,记账凭证!$E$4:$E$3609,$B53,记账凭证!$B$4:$B$3609,"&lt;"&amp;$M$1),2)))</f>
        <v>0</v>
      </c>
      <c r="F53" s="27">
        <f>IF($B53="","",MAX(0,ROUND(-(SUMIFS(期初余额!$D$4:$D$81,期初余额!$B$4:$B$81,$B53)-SUMIFS(期初余额!$E$4:$E$81,期初余额!$B$4:$B$81,$B53)+SUMIFS(记账凭证!$H$4:$H$3609,记账凭证!$E$4:$E$3609,$B53,记账凭证!$B$4:$B$3609,"&lt;"&amp;$M$1)-SUMIFS(记账凭证!$I$4:$I$3609,记账凭证!$E$4:$E$3609,$B53,记账凭证!$B$4:$B$3609,"&lt;"&amp;$M$1)),2)))</f>
        <v>0</v>
      </c>
      <c r="G53" s="27">
        <f>IF($B53="","",ROUND(SUMIFS(记账凭证!$H$4:$H$3609,记账凭证!$E$4:$E$3609,$B53,记账凭证!$B$4:$B$3609,"&gt;="&amp;$M$1,记账凭证!$B$4:$B$3609,"&lt;="&amp;$M$2),2))</f>
        <v>0</v>
      </c>
      <c r="H53" s="27">
        <f>IF($B53="","",ROUND(SUMIFS(记账凭证!$I$4:$I$3609,记账凭证!$E$4:$E$3609,$B53,记账凭证!$B$4:$B$3609,"&gt;="&amp;$M$1,记账凭证!$B$4:$B$3609,"&lt;="&amp;$M$2),2))</f>
        <v>0</v>
      </c>
      <c r="I53" s="27">
        <f t="shared" si="0"/>
        <v>0</v>
      </c>
      <c r="J53" s="27">
        <f t="shared" si="1"/>
        <v>0</v>
      </c>
    </row>
    <row r="54" ht="18" customHeight="1" spans="1:10">
      <c r="A54" s="25" t="str">
        <f>IF($B54="","",IFERROR(INDEX(科目表!$A$4:$A$81,MATCH($B54,科目表!$B$4:$B$81,0)),""))</f>
        <v>5003</v>
      </c>
      <c r="B54" s="10" t="s">
        <v>261</v>
      </c>
      <c r="C54" s="26" t="str">
        <f>IF($B54="","",IFERROR(INDEX(科目表!$C$4:$C$81,MATCH($B54,科目表!$B$4:$B$81,0)),""))</f>
        <v>损益</v>
      </c>
      <c r="D54" s="26" t="str">
        <f>IF($B54="","",IFERROR(INDEX(科目表!$E$4:$E$81,MATCH($B54,科目表!$B$4:$B$81,0)),""))</f>
        <v>营业收入</v>
      </c>
      <c r="E54" s="27">
        <f>IF($B54="","",MAX(0,ROUND(SUMIFS(期初余额!$D$4:$D$81,期初余额!$B$4:$B$81,$B54)-SUMIFS(期初余额!$E$4:$E$81,期初余额!$B$4:$B$81,$B54)+SUMIFS(记账凭证!$H$4:$H$3609,记账凭证!$E$4:$E$3609,$B54,记账凭证!$B$4:$B$3609,"&lt;"&amp;$M$1)-SUMIFS(记账凭证!$I$4:$I$3609,记账凭证!$E$4:$E$3609,$B54,记账凭证!$B$4:$B$3609,"&lt;"&amp;$M$1),2)))</f>
        <v>0</v>
      </c>
      <c r="F54" s="27">
        <f>IF($B54="","",MAX(0,ROUND(-(SUMIFS(期初余额!$D$4:$D$81,期初余额!$B$4:$B$81,$B54)-SUMIFS(期初余额!$E$4:$E$81,期初余额!$B$4:$B$81,$B54)+SUMIFS(记账凭证!$H$4:$H$3609,记账凭证!$E$4:$E$3609,$B54,记账凭证!$B$4:$B$3609,"&lt;"&amp;$M$1)-SUMIFS(记账凭证!$I$4:$I$3609,记账凭证!$E$4:$E$3609,$B54,记账凭证!$B$4:$B$3609,"&lt;"&amp;$M$1)),2)))</f>
        <v>0</v>
      </c>
      <c r="G54" s="27">
        <f>IF($B54="","",ROUND(SUMIFS(记账凭证!$H$4:$H$3609,记账凭证!$E$4:$E$3609,$B54,记账凭证!$B$4:$B$3609,"&gt;="&amp;$M$1,记账凭证!$B$4:$B$3609,"&lt;="&amp;$M$2),2))</f>
        <v>0</v>
      </c>
      <c r="H54" s="27">
        <f>IF($B54="","",ROUND(SUMIFS(记账凭证!$I$4:$I$3609,记账凭证!$E$4:$E$3609,$B54,记账凭证!$B$4:$B$3609,"&gt;="&amp;$M$1,记账凭证!$B$4:$B$3609,"&lt;="&amp;$M$2),2))</f>
        <v>0</v>
      </c>
      <c r="I54" s="27">
        <f t="shared" si="0"/>
        <v>0</v>
      </c>
      <c r="J54" s="27">
        <f t="shared" si="1"/>
        <v>0</v>
      </c>
    </row>
    <row r="55" ht="18" customHeight="1" spans="1:10">
      <c r="A55" s="25" t="str">
        <f>IF($B55="","",IFERROR(INDEX(科目表!$A$4:$A$81,MATCH($B55,科目表!$B$4:$B$81,0)),""))</f>
        <v>5004</v>
      </c>
      <c r="B55" s="10" t="s">
        <v>264</v>
      </c>
      <c r="C55" s="26" t="str">
        <f>IF($B55="","",IFERROR(INDEX(科目表!$C$4:$C$81,MATCH($B55,科目表!$B$4:$B$81,0)),""))</f>
        <v>损益</v>
      </c>
      <c r="D55" s="26" t="str">
        <f>IF($B55="","",IFERROR(INDEX(科目表!$E$4:$E$81,MATCH($B55,科目表!$B$4:$B$81,0)),""))</f>
        <v>营业收入</v>
      </c>
      <c r="E55" s="27">
        <f>IF($B55="","",MAX(0,ROUND(SUMIFS(期初余额!$D$4:$D$81,期初余额!$B$4:$B$81,$B55)-SUMIFS(期初余额!$E$4:$E$81,期初余额!$B$4:$B$81,$B55)+SUMIFS(记账凭证!$H$4:$H$3609,记账凭证!$E$4:$E$3609,$B55,记账凭证!$B$4:$B$3609,"&lt;"&amp;$M$1)-SUMIFS(记账凭证!$I$4:$I$3609,记账凭证!$E$4:$E$3609,$B55,记账凭证!$B$4:$B$3609,"&lt;"&amp;$M$1),2)))</f>
        <v>0</v>
      </c>
      <c r="F55" s="27">
        <f>IF($B55="","",MAX(0,ROUND(-(SUMIFS(期初余额!$D$4:$D$81,期初余额!$B$4:$B$81,$B55)-SUMIFS(期初余额!$E$4:$E$81,期初余额!$B$4:$B$81,$B55)+SUMIFS(记账凭证!$H$4:$H$3609,记账凭证!$E$4:$E$3609,$B55,记账凭证!$B$4:$B$3609,"&lt;"&amp;$M$1)-SUMIFS(记账凭证!$I$4:$I$3609,记账凭证!$E$4:$E$3609,$B55,记账凭证!$B$4:$B$3609,"&lt;"&amp;$M$1)),2)))</f>
        <v>0</v>
      </c>
      <c r="G55" s="27">
        <f>IF($B55="","",ROUND(SUMIFS(记账凭证!$H$4:$H$3609,记账凭证!$E$4:$E$3609,$B55,记账凭证!$B$4:$B$3609,"&gt;="&amp;$M$1,记账凭证!$B$4:$B$3609,"&lt;="&amp;$M$2),2))</f>
        <v>0</v>
      </c>
      <c r="H55" s="27">
        <f>IF($B55="","",ROUND(SUMIFS(记账凭证!$I$4:$I$3609,记账凭证!$E$4:$E$3609,$B55,记账凭证!$B$4:$B$3609,"&gt;="&amp;$M$1,记账凭证!$B$4:$B$3609,"&lt;="&amp;$M$2),2))</f>
        <v>0</v>
      </c>
      <c r="I55" s="27">
        <f t="shared" si="0"/>
        <v>0</v>
      </c>
      <c r="J55" s="27">
        <f t="shared" si="1"/>
        <v>0</v>
      </c>
    </row>
    <row r="56" ht="18" customHeight="1" spans="1:10">
      <c r="A56" s="25" t="str">
        <f>IF($B56="","",IFERROR(INDEX(科目表!$A$4:$A$81,MATCH($B56,科目表!$B$4:$B$81,0)),""))</f>
        <v>5051</v>
      </c>
      <c r="B56" s="10" t="s">
        <v>575</v>
      </c>
      <c r="C56" s="26" t="str">
        <f>IF($B56="","",IFERROR(INDEX(科目表!$C$4:$C$81,MATCH($B56,科目表!$B$4:$B$81,0)),""))</f>
        <v>损益</v>
      </c>
      <c r="D56" s="26" t="str">
        <f>IF($B56="","",IFERROR(INDEX(科目表!$E$4:$E$81,MATCH($B56,科目表!$B$4:$B$81,0)),""))</f>
        <v>营业收入</v>
      </c>
      <c r="E56" s="27">
        <f>IF($B56="","",MAX(0,ROUND(SUMIFS(期初余额!$D$4:$D$81,期初余额!$B$4:$B$81,$B56)-SUMIFS(期初余额!$E$4:$E$81,期初余额!$B$4:$B$81,$B56)+SUMIFS(记账凭证!$H$4:$H$3609,记账凭证!$E$4:$E$3609,$B56,记账凭证!$B$4:$B$3609,"&lt;"&amp;$M$1)-SUMIFS(记账凭证!$I$4:$I$3609,记账凭证!$E$4:$E$3609,$B56,记账凭证!$B$4:$B$3609,"&lt;"&amp;$M$1),2)))</f>
        <v>0</v>
      </c>
      <c r="F56" s="27">
        <f>IF($B56="","",MAX(0,ROUND(-(SUMIFS(期初余额!$D$4:$D$81,期初余额!$B$4:$B$81,$B56)-SUMIFS(期初余额!$E$4:$E$81,期初余额!$B$4:$B$81,$B56)+SUMIFS(记账凭证!$H$4:$H$3609,记账凭证!$E$4:$E$3609,$B56,记账凭证!$B$4:$B$3609,"&lt;"&amp;$M$1)-SUMIFS(记账凭证!$I$4:$I$3609,记账凭证!$E$4:$E$3609,$B56,记账凭证!$B$4:$B$3609,"&lt;"&amp;$M$1)),2)))</f>
        <v>0</v>
      </c>
      <c r="G56" s="27">
        <f>IF($B56="","",ROUND(SUMIFS(记账凭证!$H$4:$H$3609,记账凭证!$E$4:$E$3609,$B56,记账凭证!$B$4:$B$3609,"&gt;="&amp;$M$1,记账凭证!$B$4:$B$3609,"&lt;="&amp;$M$2),2))</f>
        <v>0</v>
      </c>
      <c r="H56" s="27">
        <f>IF($B56="","",ROUND(SUMIFS(记账凭证!$I$4:$I$3609,记账凭证!$E$4:$E$3609,$B56,记账凭证!$B$4:$B$3609,"&gt;="&amp;$M$1,记账凭证!$B$4:$B$3609,"&lt;="&amp;$M$2),2))</f>
        <v>0</v>
      </c>
      <c r="I56" s="27">
        <f t="shared" si="0"/>
        <v>0</v>
      </c>
      <c r="J56" s="27">
        <f t="shared" si="1"/>
        <v>0</v>
      </c>
    </row>
    <row r="57" ht="18" customHeight="1" spans="1:10">
      <c r="A57" s="25" t="str">
        <f>IF($B57="","",IFERROR(INDEX(科目表!$A$4:$A$81,MATCH($B57,科目表!$B$4:$B$81,0)),""))</f>
        <v>5052</v>
      </c>
      <c r="B57" s="10" t="s">
        <v>276</v>
      </c>
      <c r="C57" s="26" t="str">
        <f>IF($B57="","",IFERROR(INDEX(科目表!$C$4:$C$81,MATCH($B57,科目表!$B$4:$B$81,0)),""))</f>
        <v>损益</v>
      </c>
      <c r="D57" s="26" t="str">
        <f>IF($B57="","",IFERROR(INDEX(科目表!$E$4:$E$81,MATCH($B57,科目表!$B$4:$B$81,0)),""))</f>
        <v>营业收入</v>
      </c>
      <c r="E57" s="27">
        <f>IF($B57="","",MAX(0,ROUND(SUMIFS(期初余额!$D$4:$D$81,期初余额!$B$4:$B$81,$B57)-SUMIFS(期初余额!$E$4:$E$81,期初余额!$B$4:$B$81,$B57)+SUMIFS(记账凭证!$H$4:$H$3609,记账凭证!$E$4:$E$3609,$B57,记账凭证!$B$4:$B$3609,"&lt;"&amp;$M$1)-SUMIFS(记账凭证!$I$4:$I$3609,记账凭证!$E$4:$E$3609,$B57,记账凭证!$B$4:$B$3609,"&lt;"&amp;$M$1),2)))</f>
        <v>0</v>
      </c>
      <c r="F57" s="27">
        <f>IF($B57="","",MAX(0,ROUND(-(SUMIFS(期初余额!$D$4:$D$81,期初余额!$B$4:$B$81,$B57)-SUMIFS(期初余额!$E$4:$E$81,期初余额!$B$4:$B$81,$B57)+SUMIFS(记账凭证!$H$4:$H$3609,记账凭证!$E$4:$E$3609,$B57,记账凭证!$B$4:$B$3609,"&lt;"&amp;$M$1)-SUMIFS(记账凭证!$I$4:$I$3609,记账凭证!$E$4:$E$3609,$B57,记账凭证!$B$4:$B$3609,"&lt;"&amp;$M$1)),2)))</f>
        <v>0</v>
      </c>
      <c r="G57" s="27">
        <f>IF($B57="","",ROUND(SUMIFS(记账凭证!$H$4:$H$3609,记账凭证!$E$4:$E$3609,$B57,记账凭证!$B$4:$B$3609,"&gt;="&amp;$M$1,记账凭证!$B$4:$B$3609,"&lt;="&amp;$M$2),2))</f>
        <v>0</v>
      </c>
      <c r="H57" s="27">
        <f>IF($B57="","",ROUND(SUMIFS(记账凭证!$I$4:$I$3609,记账凭证!$E$4:$E$3609,$B57,记账凭证!$B$4:$B$3609,"&gt;="&amp;$M$1,记账凭证!$B$4:$B$3609,"&lt;="&amp;$M$2),2))</f>
        <v>0</v>
      </c>
      <c r="I57" s="27">
        <f t="shared" si="0"/>
        <v>0</v>
      </c>
      <c r="J57" s="27">
        <f t="shared" si="1"/>
        <v>0</v>
      </c>
    </row>
    <row r="58" ht="18" customHeight="1" spans="1:10">
      <c r="A58" s="25" t="str">
        <f>IF($B58="","",IFERROR(INDEX(科目表!$A$4:$A$81,MATCH($B58,科目表!$B$4:$B$81,0)),""))</f>
        <v>5053</v>
      </c>
      <c r="B58" s="10" t="s">
        <v>578</v>
      </c>
      <c r="C58" s="26" t="str">
        <f>IF($B58="","",IFERROR(INDEX(科目表!$C$4:$C$81,MATCH($B58,科目表!$B$4:$B$81,0)),""))</f>
        <v>损益</v>
      </c>
      <c r="D58" s="26" t="str">
        <f>IF($B58="","",IFERROR(INDEX(科目表!$E$4:$E$81,MATCH($B58,科目表!$B$4:$B$81,0)),""))</f>
        <v>营业收入</v>
      </c>
      <c r="E58" s="27">
        <f>IF($B58="","",MAX(0,ROUND(SUMIFS(期初余额!$D$4:$D$81,期初余额!$B$4:$B$81,$B58)-SUMIFS(期初余额!$E$4:$E$81,期初余额!$B$4:$B$81,$B58)+SUMIFS(记账凭证!$H$4:$H$3609,记账凭证!$E$4:$E$3609,$B58,记账凭证!$B$4:$B$3609,"&lt;"&amp;$M$1)-SUMIFS(记账凭证!$I$4:$I$3609,记账凭证!$E$4:$E$3609,$B58,记账凭证!$B$4:$B$3609,"&lt;"&amp;$M$1),2)))</f>
        <v>0</v>
      </c>
      <c r="F58" s="27">
        <f>IF($B58="","",MAX(0,ROUND(-(SUMIFS(期初余额!$D$4:$D$81,期初余额!$B$4:$B$81,$B58)-SUMIFS(期初余额!$E$4:$E$81,期初余额!$B$4:$B$81,$B58)+SUMIFS(记账凭证!$H$4:$H$3609,记账凭证!$E$4:$E$3609,$B58,记账凭证!$B$4:$B$3609,"&lt;"&amp;$M$1)-SUMIFS(记账凭证!$I$4:$I$3609,记账凭证!$E$4:$E$3609,$B58,记账凭证!$B$4:$B$3609,"&lt;"&amp;$M$1)),2)))</f>
        <v>0</v>
      </c>
      <c r="G58" s="27">
        <f>IF($B58="","",ROUND(SUMIFS(记账凭证!$H$4:$H$3609,记账凭证!$E$4:$E$3609,$B58,记账凭证!$B$4:$B$3609,"&gt;="&amp;$M$1,记账凭证!$B$4:$B$3609,"&lt;="&amp;$M$2),2))</f>
        <v>0</v>
      </c>
      <c r="H58" s="27">
        <f>IF($B58="","",ROUND(SUMIFS(记账凭证!$I$4:$I$3609,记账凭证!$E$4:$E$3609,$B58,记账凭证!$B$4:$B$3609,"&gt;="&amp;$M$1,记账凭证!$B$4:$B$3609,"&lt;="&amp;$M$2),2))</f>
        <v>0</v>
      </c>
      <c r="I58" s="27">
        <f t="shared" si="0"/>
        <v>0</v>
      </c>
      <c r="J58" s="27">
        <f t="shared" si="1"/>
        <v>0</v>
      </c>
    </row>
    <row r="59" ht="18" customHeight="1" spans="1:10">
      <c r="A59" s="25" t="str">
        <f>IF($B59="","",IFERROR(INDEX(科目表!$A$4:$A$81,MATCH($B59,科目表!$B$4:$B$81,0)),""))</f>
        <v>5111</v>
      </c>
      <c r="B59" s="10" t="s">
        <v>580</v>
      </c>
      <c r="C59" s="26" t="str">
        <f>IF($B59="","",IFERROR(INDEX(科目表!$C$4:$C$81,MATCH($B59,科目表!$B$4:$B$81,0)),""))</f>
        <v>损益</v>
      </c>
      <c r="D59" s="26" t="str">
        <f>IF($B59="","",IFERROR(INDEX(科目表!$E$4:$E$81,MATCH($B59,科目表!$B$4:$B$81,0)),""))</f>
        <v>投资收益</v>
      </c>
      <c r="E59" s="27">
        <f>IF($B59="","",MAX(0,ROUND(SUMIFS(期初余额!$D$4:$D$81,期初余额!$B$4:$B$81,$B59)-SUMIFS(期初余额!$E$4:$E$81,期初余额!$B$4:$B$81,$B59)+SUMIFS(记账凭证!$H$4:$H$3609,记账凭证!$E$4:$E$3609,$B59,记账凭证!$B$4:$B$3609,"&lt;"&amp;$M$1)-SUMIFS(记账凭证!$I$4:$I$3609,记账凭证!$E$4:$E$3609,$B59,记账凭证!$B$4:$B$3609,"&lt;"&amp;$M$1),2)))</f>
        <v>0</v>
      </c>
      <c r="F59" s="27">
        <f>IF($B59="","",MAX(0,ROUND(-(SUMIFS(期初余额!$D$4:$D$81,期初余额!$B$4:$B$81,$B59)-SUMIFS(期初余额!$E$4:$E$81,期初余额!$B$4:$B$81,$B59)+SUMIFS(记账凭证!$H$4:$H$3609,记账凭证!$E$4:$E$3609,$B59,记账凭证!$B$4:$B$3609,"&lt;"&amp;$M$1)-SUMIFS(记账凭证!$I$4:$I$3609,记账凭证!$E$4:$E$3609,$B59,记账凭证!$B$4:$B$3609,"&lt;"&amp;$M$1)),2)))</f>
        <v>0</v>
      </c>
      <c r="G59" s="27">
        <f>IF($B59="","",ROUND(SUMIFS(记账凭证!$H$4:$H$3609,记账凭证!$E$4:$E$3609,$B59,记账凭证!$B$4:$B$3609,"&gt;="&amp;$M$1,记账凭证!$B$4:$B$3609,"&lt;="&amp;$M$2),2))</f>
        <v>0</v>
      </c>
      <c r="H59" s="27">
        <f>IF($B59="","",ROUND(SUMIFS(记账凭证!$I$4:$I$3609,记账凭证!$E$4:$E$3609,$B59,记账凭证!$B$4:$B$3609,"&gt;="&amp;$M$1,记账凭证!$B$4:$B$3609,"&lt;="&amp;$M$2),2))</f>
        <v>0</v>
      </c>
      <c r="I59" s="27">
        <f t="shared" si="0"/>
        <v>0</v>
      </c>
      <c r="J59" s="27">
        <f t="shared" si="1"/>
        <v>0</v>
      </c>
    </row>
    <row r="60" ht="18" customHeight="1" spans="1:10">
      <c r="A60" s="25" t="str">
        <f>IF($B60="","",IFERROR(INDEX(科目表!$A$4:$A$81,MATCH($B60,科目表!$B$4:$B$81,0)),""))</f>
        <v>5301</v>
      </c>
      <c r="B60" s="10" t="s">
        <v>582</v>
      </c>
      <c r="C60" s="26" t="str">
        <f>IF($B60="","",IFERROR(INDEX(科目表!$C$4:$C$81,MATCH($B60,科目表!$B$4:$B$81,0)),""))</f>
        <v>损益</v>
      </c>
      <c r="D60" s="26" t="str">
        <f>IF($B60="","",IFERROR(INDEX(科目表!$E$4:$E$81,MATCH($B60,科目表!$B$4:$B$81,0)),""))</f>
        <v>营业外收入</v>
      </c>
      <c r="E60" s="27">
        <f>IF($B60="","",MAX(0,ROUND(SUMIFS(期初余额!$D$4:$D$81,期初余额!$B$4:$B$81,$B60)-SUMIFS(期初余额!$E$4:$E$81,期初余额!$B$4:$B$81,$B60)+SUMIFS(记账凭证!$H$4:$H$3609,记账凭证!$E$4:$E$3609,$B60,记账凭证!$B$4:$B$3609,"&lt;"&amp;$M$1)-SUMIFS(记账凭证!$I$4:$I$3609,记账凭证!$E$4:$E$3609,$B60,记账凭证!$B$4:$B$3609,"&lt;"&amp;$M$1),2)))</f>
        <v>0</v>
      </c>
      <c r="F60" s="27">
        <f>IF($B60="","",MAX(0,ROUND(-(SUMIFS(期初余额!$D$4:$D$81,期初余额!$B$4:$B$81,$B60)-SUMIFS(期初余额!$E$4:$E$81,期初余额!$B$4:$B$81,$B60)+SUMIFS(记账凭证!$H$4:$H$3609,记账凭证!$E$4:$E$3609,$B60,记账凭证!$B$4:$B$3609,"&lt;"&amp;$M$1)-SUMIFS(记账凭证!$I$4:$I$3609,记账凭证!$E$4:$E$3609,$B60,记账凭证!$B$4:$B$3609,"&lt;"&amp;$M$1)),2)))</f>
        <v>0</v>
      </c>
      <c r="G60" s="27">
        <f>IF($B60="","",ROUND(SUMIFS(记账凭证!$H$4:$H$3609,记账凭证!$E$4:$E$3609,$B60,记账凭证!$B$4:$B$3609,"&gt;="&amp;$M$1,记账凭证!$B$4:$B$3609,"&lt;="&amp;$M$2),2))</f>
        <v>0</v>
      </c>
      <c r="H60" s="27">
        <f>IF($B60="","",ROUND(SUMIFS(记账凭证!$I$4:$I$3609,记账凭证!$E$4:$E$3609,$B60,记账凭证!$B$4:$B$3609,"&gt;="&amp;$M$1,记账凭证!$B$4:$B$3609,"&lt;="&amp;$M$2),2))</f>
        <v>0</v>
      </c>
      <c r="I60" s="27">
        <f t="shared" si="0"/>
        <v>0</v>
      </c>
      <c r="J60" s="27">
        <f t="shared" si="1"/>
        <v>0</v>
      </c>
    </row>
    <row r="61" ht="18" customHeight="1" spans="1:10">
      <c r="A61" s="25" t="str">
        <f>IF($B61="","",IFERROR(INDEX(科目表!$A$4:$A$81,MATCH($B61,科目表!$B$4:$B$81,0)),""))</f>
        <v>5401</v>
      </c>
      <c r="B61" s="10" t="s">
        <v>299</v>
      </c>
      <c r="C61" s="26" t="str">
        <f>IF($B61="","",IFERROR(INDEX(科目表!$C$4:$C$81,MATCH($B61,科目表!$B$4:$B$81,0)),""))</f>
        <v>损益</v>
      </c>
      <c r="D61" s="26" t="str">
        <f>IF($B61="","",IFERROR(INDEX(科目表!$E$4:$E$81,MATCH($B61,科目表!$B$4:$B$81,0)),""))</f>
        <v>营业成本</v>
      </c>
      <c r="E61" s="27">
        <f>IF($B61="","",MAX(0,ROUND(SUMIFS(期初余额!$D$4:$D$81,期初余额!$B$4:$B$81,$B61)-SUMIFS(期初余额!$E$4:$E$81,期初余额!$B$4:$B$81,$B61)+SUMIFS(记账凭证!$H$4:$H$3609,记账凭证!$E$4:$E$3609,$B61,记账凭证!$B$4:$B$3609,"&lt;"&amp;$M$1)-SUMIFS(记账凭证!$I$4:$I$3609,记账凭证!$E$4:$E$3609,$B61,记账凭证!$B$4:$B$3609,"&lt;"&amp;$M$1),2)))</f>
        <v>0</v>
      </c>
      <c r="F61" s="27">
        <f>IF($B61="","",MAX(0,ROUND(-(SUMIFS(期初余额!$D$4:$D$81,期初余额!$B$4:$B$81,$B61)-SUMIFS(期初余额!$E$4:$E$81,期初余额!$B$4:$B$81,$B61)+SUMIFS(记账凭证!$H$4:$H$3609,记账凭证!$E$4:$E$3609,$B61,记账凭证!$B$4:$B$3609,"&lt;"&amp;$M$1)-SUMIFS(记账凭证!$I$4:$I$3609,记账凭证!$E$4:$E$3609,$B61,记账凭证!$B$4:$B$3609,"&lt;"&amp;$M$1)),2)))</f>
        <v>0</v>
      </c>
      <c r="G61" s="27">
        <f>IF($B61="","",ROUND(SUMIFS(记账凭证!$H$4:$H$3609,记账凭证!$E$4:$E$3609,$B61,记账凭证!$B$4:$B$3609,"&gt;="&amp;$M$1,记账凭证!$B$4:$B$3609,"&lt;="&amp;$M$2),2))</f>
        <v>0</v>
      </c>
      <c r="H61" s="27">
        <f>IF($B61="","",ROUND(SUMIFS(记账凭证!$I$4:$I$3609,记账凭证!$E$4:$E$3609,$B61,记账凭证!$B$4:$B$3609,"&gt;="&amp;$M$1,记账凭证!$B$4:$B$3609,"&lt;="&amp;$M$2),2))</f>
        <v>0</v>
      </c>
      <c r="I61" s="27">
        <f t="shared" si="0"/>
        <v>0</v>
      </c>
      <c r="J61" s="27">
        <f t="shared" si="1"/>
        <v>0</v>
      </c>
    </row>
    <row r="62" ht="18" customHeight="1" spans="1:10">
      <c r="A62" s="25" t="str">
        <f>IF($B62="","",IFERROR(INDEX(科目表!$A$4:$A$81,MATCH($B62,科目表!$B$4:$B$81,0)),""))</f>
        <v>5402</v>
      </c>
      <c r="B62" s="10" t="s">
        <v>587</v>
      </c>
      <c r="C62" s="26" t="str">
        <f>IF($B62="","",IFERROR(INDEX(科目表!$C$4:$C$81,MATCH($B62,科目表!$B$4:$B$81,0)),""))</f>
        <v>损益</v>
      </c>
      <c r="D62" s="26" t="str">
        <f>IF($B62="","",IFERROR(INDEX(科目表!$E$4:$E$81,MATCH($B62,科目表!$B$4:$B$81,0)),""))</f>
        <v>营业成本</v>
      </c>
      <c r="E62" s="27">
        <f>IF($B62="","",MAX(0,ROUND(SUMIFS(期初余额!$D$4:$D$81,期初余额!$B$4:$B$81,$B62)-SUMIFS(期初余额!$E$4:$E$81,期初余额!$B$4:$B$81,$B62)+SUMIFS(记账凭证!$H$4:$H$3609,记账凭证!$E$4:$E$3609,$B62,记账凭证!$B$4:$B$3609,"&lt;"&amp;$M$1)-SUMIFS(记账凭证!$I$4:$I$3609,记账凭证!$E$4:$E$3609,$B62,记账凭证!$B$4:$B$3609,"&lt;"&amp;$M$1),2)))</f>
        <v>0</v>
      </c>
      <c r="F62" s="27">
        <f>IF($B62="","",MAX(0,ROUND(-(SUMIFS(期初余额!$D$4:$D$81,期初余额!$B$4:$B$81,$B62)-SUMIFS(期初余额!$E$4:$E$81,期初余额!$B$4:$B$81,$B62)+SUMIFS(记账凭证!$H$4:$H$3609,记账凭证!$E$4:$E$3609,$B62,记账凭证!$B$4:$B$3609,"&lt;"&amp;$M$1)-SUMIFS(记账凭证!$I$4:$I$3609,记账凭证!$E$4:$E$3609,$B62,记账凭证!$B$4:$B$3609,"&lt;"&amp;$M$1)),2)))</f>
        <v>0</v>
      </c>
      <c r="G62" s="27">
        <f>IF($B62="","",ROUND(SUMIFS(记账凭证!$H$4:$H$3609,记账凭证!$E$4:$E$3609,$B62,记账凭证!$B$4:$B$3609,"&gt;="&amp;$M$1,记账凭证!$B$4:$B$3609,"&lt;="&amp;$M$2),2))</f>
        <v>0</v>
      </c>
      <c r="H62" s="27">
        <f>IF($B62="","",ROUND(SUMIFS(记账凭证!$I$4:$I$3609,记账凭证!$E$4:$E$3609,$B62,记账凭证!$B$4:$B$3609,"&gt;="&amp;$M$1,记账凭证!$B$4:$B$3609,"&lt;="&amp;$M$2),2))</f>
        <v>0</v>
      </c>
      <c r="I62" s="27">
        <f t="shared" si="0"/>
        <v>0</v>
      </c>
      <c r="J62" s="27">
        <f t="shared" si="1"/>
        <v>0</v>
      </c>
    </row>
    <row r="63" ht="18" customHeight="1" spans="1:10">
      <c r="A63" s="25" t="str">
        <f>IF($B63="","",IFERROR(INDEX(科目表!$A$4:$A$81,MATCH($B63,科目表!$B$4:$B$81,0)),""))</f>
        <v>5403</v>
      </c>
      <c r="B63" s="10" t="s">
        <v>557</v>
      </c>
      <c r="C63" s="26" t="str">
        <f>IF($B63="","",IFERROR(INDEX(科目表!$C$4:$C$81,MATCH($B63,科目表!$B$4:$B$81,0)),""))</f>
        <v>损益</v>
      </c>
      <c r="D63" s="26" t="str">
        <f>IF($B63="","",IFERROR(INDEX(科目表!$E$4:$E$81,MATCH($B63,科目表!$B$4:$B$81,0)),""))</f>
        <v>税金及附加</v>
      </c>
      <c r="E63" s="27">
        <f>IF($B63="","",MAX(0,ROUND(SUMIFS(期初余额!$D$4:$D$81,期初余额!$B$4:$B$81,$B63)-SUMIFS(期初余额!$E$4:$E$81,期初余额!$B$4:$B$81,$B63)+SUMIFS(记账凭证!$H$4:$H$3609,记账凭证!$E$4:$E$3609,$B63,记账凭证!$B$4:$B$3609,"&lt;"&amp;$M$1)-SUMIFS(记账凭证!$I$4:$I$3609,记账凭证!$E$4:$E$3609,$B63,记账凭证!$B$4:$B$3609,"&lt;"&amp;$M$1),2)))</f>
        <v>0</v>
      </c>
      <c r="F63" s="27">
        <f>IF($B63="","",MAX(0,ROUND(-(SUMIFS(期初余额!$D$4:$D$81,期初余额!$B$4:$B$81,$B63)-SUMIFS(期初余额!$E$4:$E$81,期初余额!$B$4:$B$81,$B63)+SUMIFS(记账凭证!$H$4:$H$3609,记账凭证!$E$4:$E$3609,$B63,记账凭证!$B$4:$B$3609,"&lt;"&amp;$M$1)-SUMIFS(记账凭证!$I$4:$I$3609,记账凭证!$E$4:$E$3609,$B63,记账凭证!$B$4:$B$3609,"&lt;"&amp;$M$1)),2)))</f>
        <v>0</v>
      </c>
      <c r="G63" s="27">
        <f>IF($B63="","",ROUND(SUMIFS(记账凭证!$H$4:$H$3609,记账凭证!$E$4:$E$3609,$B63,记账凭证!$B$4:$B$3609,"&gt;="&amp;$M$1,记账凭证!$B$4:$B$3609,"&lt;="&amp;$M$2),2))</f>
        <v>0</v>
      </c>
      <c r="H63" s="27">
        <f>IF($B63="","",ROUND(SUMIFS(记账凭证!$I$4:$I$3609,记账凭证!$E$4:$E$3609,$B63,记账凭证!$B$4:$B$3609,"&gt;="&amp;$M$1,记账凭证!$B$4:$B$3609,"&lt;="&amp;$M$2),2))</f>
        <v>0</v>
      </c>
      <c r="I63" s="27">
        <f t="shared" si="0"/>
        <v>0</v>
      </c>
      <c r="J63" s="27">
        <f t="shared" si="1"/>
        <v>0</v>
      </c>
    </row>
    <row r="64" ht="18" customHeight="1" spans="1:10">
      <c r="A64" s="25" t="str">
        <f>IF($B64="","",IFERROR(INDEX(科目表!$A$4:$A$81,MATCH($B64,科目表!$B$4:$B$81,0)),""))</f>
        <v>5601</v>
      </c>
      <c r="B64" s="10" t="s">
        <v>492</v>
      </c>
      <c r="C64" s="26" t="str">
        <f>IF($B64="","",IFERROR(INDEX(科目表!$C$4:$C$81,MATCH($B64,科目表!$B$4:$B$81,0)),""))</f>
        <v>损益</v>
      </c>
      <c r="D64" s="26" t="str">
        <f>IF($B64="","",IFERROR(INDEX(科目表!$E$4:$E$81,MATCH($B64,科目表!$B$4:$B$81,0)),""))</f>
        <v>销售费用</v>
      </c>
      <c r="E64" s="27">
        <f>IF($B64="","",MAX(0,ROUND(SUMIFS(期初余额!$D$4:$D$81,期初余额!$B$4:$B$81,$B64)-SUMIFS(期初余额!$E$4:$E$81,期初余额!$B$4:$B$81,$B64)+SUMIFS(记账凭证!$H$4:$H$3609,记账凭证!$E$4:$E$3609,$B64,记账凭证!$B$4:$B$3609,"&lt;"&amp;$M$1)-SUMIFS(记账凭证!$I$4:$I$3609,记账凭证!$E$4:$E$3609,$B64,记账凭证!$B$4:$B$3609,"&lt;"&amp;$M$1),2)))</f>
        <v>0</v>
      </c>
      <c r="F64" s="27">
        <f>IF($B64="","",MAX(0,ROUND(-(SUMIFS(期初余额!$D$4:$D$81,期初余额!$B$4:$B$81,$B64)-SUMIFS(期初余额!$E$4:$E$81,期初余额!$B$4:$B$81,$B64)+SUMIFS(记账凭证!$H$4:$H$3609,记账凭证!$E$4:$E$3609,$B64,记账凭证!$B$4:$B$3609,"&lt;"&amp;$M$1)-SUMIFS(记账凭证!$I$4:$I$3609,记账凭证!$E$4:$E$3609,$B64,记账凭证!$B$4:$B$3609,"&lt;"&amp;$M$1)),2)))</f>
        <v>0</v>
      </c>
      <c r="G64" s="27">
        <f>IF($B64="","",ROUND(SUMIFS(记账凭证!$H$4:$H$3609,记账凭证!$E$4:$E$3609,$B64,记账凭证!$B$4:$B$3609,"&gt;="&amp;$M$1,记账凭证!$B$4:$B$3609,"&lt;="&amp;$M$2),2))</f>
        <v>0</v>
      </c>
      <c r="H64" s="27">
        <f>IF($B64="","",ROUND(SUMIFS(记账凭证!$I$4:$I$3609,记账凭证!$E$4:$E$3609,$B64,记账凭证!$B$4:$B$3609,"&gt;="&amp;$M$1,记账凭证!$B$4:$B$3609,"&lt;="&amp;$M$2),2))</f>
        <v>0</v>
      </c>
      <c r="I64" s="27">
        <f t="shared" si="0"/>
        <v>0</v>
      </c>
      <c r="J64" s="27">
        <f t="shared" si="1"/>
        <v>0</v>
      </c>
    </row>
    <row r="65" ht="18" customHeight="1" spans="1:10">
      <c r="A65" s="25" t="str">
        <f>IF($B65="","",IFERROR(INDEX(科目表!$A$4:$A$81,MATCH($B65,科目表!$B$4:$B$81,0)),""))</f>
        <v>5602</v>
      </c>
      <c r="B65" s="10" t="s">
        <v>413</v>
      </c>
      <c r="C65" s="26" t="str">
        <f>IF($B65="","",IFERROR(INDEX(科目表!$C$4:$C$81,MATCH($B65,科目表!$B$4:$B$81,0)),""))</f>
        <v>损益</v>
      </c>
      <c r="D65" s="26" t="str">
        <f>IF($B65="","",IFERROR(INDEX(科目表!$E$4:$E$81,MATCH($B65,科目表!$B$4:$B$81,0)),""))</f>
        <v>管理费用</v>
      </c>
      <c r="E65" s="27">
        <f>IF($B65="","",MAX(0,ROUND(SUMIFS(期初余额!$D$4:$D$81,期初余额!$B$4:$B$81,$B65)-SUMIFS(期初余额!$E$4:$E$81,期初余额!$B$4:$B$81,$B65)+SUMIFS(记账凭证!$H$4:$H$3609,记账凭证!$E$4:$E$3609,$B65,记账凭证!$B$4:$B$3609,"&lt;"&amp;$M$1)-SUMIFS(记账凭证!$I$4:$I$3609,记账凭证!$E$4:$E$3609,$B65,记账凭证!$B$4:$B$3609,"&lt;"&amp;$M$1),2)))</f>
        <v>0</v>
      </c>
      <c r="F65" s="27">
        <f>IF($B65="","",MAX(0,ROUND(-(SUMIFS(期初余额!$D$4:$D$81,期初余额!$B$4:$B$81,$B65)-SUMIFS(期初余额!$E$4:$E$81,期初余额!$B$4:$B$81,$B65)+SUMIFS(记账凭证!$H$4:$H$3609,记账凭证!$E$4:$E$3609,$B65,记账凭证!$B$4:$B$3609,"&lt;"&amp;$M$1)-SUMIFS(记账凭证!$I$4:$I$3609,记账凭证!$E$4:$E$3609,$B65,记账凭证!$B$4:$B$3609,"&lt;"&amp;$M$1)),2)))</f>
        <v>0</v>
      </c>
      <c r="G65" s="27">
        <f>IF($B65="","",ROUND(SUMIFS(记账凭证!$H$4:$H$3609,记账凭证!$E$4:$E$3609,$B65,记账凭证!$B$4:$B$3609,"&gt;="&amp;$M$1,记账凭证!$B$4:$B$3609,"&lt;="&amp;$M$2),2))</f>
        <v>0</v>
      </c>
      <c r="H65" s="27">
        <f>IF($B65="","",ROUND(SUMIFS(记账凭证!$I$4:$I$3609,记账凭证!$E$4:$E$3609,$B65,记账凭证!$B$4:$B$3609,"&gt;="&amp;$M$1,记账凭证!$B$4:$B$3609,"&lt;="&amp;$M$2),2))</f>
        <v>0</v>
      </c>
      <c r="I65" s="27">
        <f t="shared" si="0"/>
        <v>0</v>
      </c>
      <c r="J65" s="27">
        <f t="shared" si="1"/>
        <v>0</v>
      </c>
    </row>
    <row r="66" ht="18" customHeight="1" spans="1:10">
      <c r="A66" s="25" t="str">
        <f>IF($B66="","",IFERROR(INDEX(科目表!$A$4:$A$81,MATCH($B66,科目表!$B$4:$B$81,0)),""))</f>
        <v>5603</v>
      </c>
      <c r="B66" s="10" t="s">
        <v>548</v>
      </c>
      <c r="C66" s="26" t="str">
        <f>IF($B66="","",IFERROR(INDEX(科目表!$C$4:$C$81,MATCH($B66,科目表!$B$4:$B$81,0)),""))</f>
        <v>损益</v>
      </c>
      <c r="D66" s="26" t="str">
        <f>IF($B66="","",IFERROR(INDEX(科目表!$E$4:$E$81,MATCH($B66,科目表!$B$4:$B$81,0)),""))</f>
        <v>财务费用</v>
      </c>
      <c r="E66" s="27">
        <f>IF($B66="","",MAX(0,ROUND(SUMIFS(期初余额!$D$4:$D$81,期初余额!$B$4:$B$81,$B66)-SUMIFS(期初余额!$E$4:$E$81,期初余额!$B$4:$B$81,$B66)+SUMIFS(记账凭证!$H$4:$H$3609,记账凭证!$E$4:$E$3609,$B66,记账凭证!$B$4:$B$3609,"&lt;"&amp;$M$1)-SUMIFS(记账凭证!$I$4:$I$3609,记账凭证!$E$4:$E$3609,$B66,记账凭证!$B$4:$B$3609,"&lt;"&amp;$M$1),2)))</f>
        <v>0</v>
      </c>
      <c r="F66" s="27">
        <f>IF($B66="","",MAX(0,ROUND(-(SUMIFS(期初余额!$D$4:$D$81,期初余额!$B$4:$B$81,$B66)-SUMIFS(期初余额!$E$4:$E$81,期初余额!$B$4:$B$81,$B66)+SUMIFS(记账凭证!$H$4:$H$3609,记账凭证!$E$4:$E$3609,$B66,记账凭证!$B$4:$B$3609,"&lt;"&amp;$M$1)-SUMIFS(记账凭证!$I$4:$I$3609,记账凭证!$E$4:$E$3609,$B66,记账凭证!$B$4:$B$3609,"&lt;"&amp;$M$1)),2)))</f>
        <v>0</v>
      </c>
      <c r="G66" s="27">
        <f>IF($B66="","",ROUND(SUMIFS(记账凭证!$H$4:$H$3609,记账凭证!$E$4:$E$3609,$B66,记账凭证!$B$4:$B$3609,"&gt;="&amp;$M$1,记账凭证!$B$4:$B$3609,"&lt;="&amp;$M$2),2))</f>
        <v>0</v>
      </c>
      <c r="H66" s="27">
        <f>IF($B66="","",ROUND(SUMIFS(记账凭证!$I$4:$I$3609,记账凭证!$E$4:$E$3609,$B66,记账凭证!$B$4:$B$3609,"&gt;="&amp;$M$1,记账凭证!$B$4:$B$3609,"&lt;="&amp;$M$2),2))</f>
        <v>0</v>
      </c>
      <c r="I66" s="27">
        <f t="shared" si="0"/>
        <v>0</v>
      </c>
      <c r="J66" s="27">
        <f t="shared" si="1"/>
        <v>0</v>
      </c>
    </row>
    <row r="67" ht="18" customHeight="1" spans="1:10">
      <c r="A67" s="25" t="str">
        <f>IF($B67="","",IFERROR(INDEX(科目表!$A$4:$A$81,MATCH($B67,科目表!$B$4:$B$81,0)),""))</f>
        <v>5711</v>
      </c>
      <c r="B67" s="10" t="s">
        <v>593</v>
      </c>
      <c r="C67" s="26" t="str">
        <f>IF($B67="","",IFERROR(INDEX(科目表!$C$4:$C$81,MATCH($B67,科目表!$B$4:$B$81,0)),""))</f>
        <v>损益</v>
      </c>
      <c r="D67" s="26" t="str">
        <f>IF($B67="","",IFERROR(INDEX(科目表!$E$4:$E$81,MATCH($B67,科目表!$B$4:$B$81,0)),""))</f>
        <v>营业外支出</v>
      </c>
      <c r="E67" s="27">
        <f>IF($B67="","",MAX(0,ROUND(SUMIFS(期初余额!$D$4:$D$81,期初余额!$B$4:$B$81,$B67)-SUMIFS(期初余额!$E$4:$E$81,期初余额!$B$4:$B$81,$B67)+SUMIFS(记账凭证!$H$4:$H$3609,记账凭证!$E$4:$E$3609,$B67,记账凭证!$B$4:$B$3609,"&lt;"&amp;$M$1)-SUMIFS(记账凭证!$I$4:$I$3609,记账凭证!$E$4:$E$3609,$B67,记账凭证!$B$4:$B$3609,"&lt;"&amp;$M$1),2)))</f>
        <v>0</v>
      </c>
      <c r="F67" s="27">
        <f>IF($B67="","",MAX(0,ROUND(-(SUMIFS(期初余额!$D$4:$D$81,期初余额!$B$4:$B$81,$B67)-SUMIFS(期初余额!$E$4:$E$81,期初余额!$B$4:$B$81,$B67)+SUMIFS(记账凭证!$H$4:$H$3609,记账凭证!$E$4:$E$3609,$B67,记账凭证!$B$4:$B$3609,"&lt;"&amp;$M$1)-SUMIFS(记账凭证!$I$4:$I$3609,记账凭证!$E$4:$E$3609,$B67,记账凭证!$B$4:$B$3609,"&lt;"&amp;$M$1)),2)))</f>
        <v>0</v>
      </c>
      <c r="G67" s="27">
        <f>IF($B67="","",ROUND(SUMIFS(记账凭证!$H$4:$H$3609,记账凭证!$E$4:$E$3609,$B67,记账凭证!$B$4:$B$3609,"&gt;="&amp;$M$1,记账凭证!$B$4:$B$3609,"&lt;="&amp;$M$2),2))</f>
        <v>0</v>
      </c>
      <c r="H67" s="27">
        <f>IF($B67="","",ROUND(SUMIFS(记账凭证!$I$4:$I$3609,记账凭证!$E$4:$E$3609,$B67,记账凭证!$B$4:$B$3609,"&gt;="&amp;$M$1,记账凭证!$B$4:$B$3609,"&lt;="&amp;$M$2),2))</f>
        <v>0</v>
      </c>
      <c r="I67" s="27">
        <f t="shared" si="0"/>
        <v>0</v>
      </c>
      <c r="J67" s="27">
        <f t="shared" si="1"/>
        <v>0</v>
      </c>
    </row>
    <row r="68" ht="18" customHeight="1" spans="1:10">
      <c r="A68" s="25" t="str">
        <f>IF($B68="","",IFERROR(INDEX(科目表!$A$4:$A$81,MATCH($B68,科目表!$B$4:$B$81,0)),""))</f>
        <v>5801</v>
      </c>
      <c r="B68" s="10" t="s">
        <v>595</v>
      </c>
      <c r="C68" s="26" t="str">
        <f>IF($B68="","",IFERROR(INDEX(科目表!$C$4:$C$81,MATCH($B68,科目表!$B$4:$B$81,0)),""))</f>
        <v>损益</v>
      </c>
      <c r="D68" s="26" t="str">
        <f>IF($B68="","",IFERROR(INDEX(科目表!$E$4:$E$81,MATCH($B68,科目表!$B$4:$B$81,0)),""))</f>
        <v>所得税费用</v>
      </c>
      <c r="E68" s="27">
        <f>IF($B68="","",MAX(0,ROUND(SUMIFS(期初余额!$D$4:$D$81,期初余额!$B$4:$B$81,$B68)-SUMIFS(期初余额!$E$4:$E$81,期初余额!$B$4:$B$81,$B68)+SUMIFS(记账凭证!$H$4:$H$3609,记账凭证!$E$4:$E$3609,$B68,记账凭证!$B$4:$B$3609,"&lt;"&amp;$M$1)-SUMIFS(记账凭证!$I$4:$I$3609,记账凭证!$E$4:$E$3609,$B68,记账凭证!$B$4:$B$3609,"&lt;"&amp;$M$1),2)))</f>
        <v>0</v>
      </c>
      <c r="F68" s="27">
        <f>IF($B68="","",MAX(0,ROUND(-(SUMIFS(期初余额!$D$4:$D$81,期初余额!$B$4:$B$81,$B68)-SUMIFS(期初余额!$E$4:$E$81,期初余额!$B$4:$B$81,$B68)+SUMIFS(记账凭证!$H$4:$H$3609,记账凭证!$E$4:$E$3609,$B68,记账凭证!$B$4:$B$3609,"&lt;"&amp;$M$1)-SUMIFS(记账凭证!$I$4:$I$3609,记账凭证!$E$4:$E$3609,$B68,记账凭证!$B$4:$B$3609,"&lt;"&amp;$M$1)),2)))</f>
        <v>0</v>
      </c>
      <c r="G68" s="27">
        <f>IF($B68="","",ROUND(SUMIFS(记账凭证!$H$4:$H$3609,记账凭证!$E$4:$E$3609,$B68,记账凭证!$B$4:$B$3609,"&gt;="&amp;$M$1,记账凭证!$B$4:$B$3609,"&lt;="&amp;$M$2),2))</f>
        <v>0</v>
      </c>
      <c r="H68" s="27">
        <f>IF($B68="","",ROUND(SUMIFS(记账凭证!$I$4:$I$3609,记账凭证!$E$4:$E$3609,$B68,记账凭证!$B$4:$B$3609,"&gt;="&amp;$M$1,记账凭证!$B$4:$B$3609,"&lt;="&amp;$M$2),2))</f>
        <v>0</v>
      </c>
      <c r="I68" s="27">
        <f t="shared" ref="I68:I81" si="2">IF($B68="","",MAX(0,ROUND($E68-$F68+$G68-$H68,2)))</f>
        <v>0</v>
      </c>
      <c r="J68" s="27">
        <f t="shared" ref="J68:J81" si="3">IF($B68="","",MAX(0,ROUND($F68-$E68-$G68+$H68,2)))</f>
        <v>0</v>
      </c>
    </row>
    <row r="69" ht="18" customHeight="1" spans="1:10">
      <c r="A69" s="25" t="str">
        <f>IF($B69="","",IFERROR(INDEX(科目表!$A$4:$A$81,MATCH($B69,科目表!$B$4:$B$81,0)),""))</f>
        <v/>
      </c>
      <c r="B69" s="10"/>
      <c r="C69" s="26" t="str">
        <f>IF($B69="","",IFERROR(INDEX(科目表!$C$4:$C$81,MATCH($B69,科目表!$B$4:$B$81,0)),""))</f>
        <v/>
      </c>
      <c r="D69" s="26" t="str">
        <f>IF($B69="","",IFERROR(INDEX(科目表!$E$4:$E$81,MATCH($B69,科目表!$B$4:$B$81,0)),""))</f>
        <v/>
      </c>
      <c r="E69" s="27" t="str">
        <f>IF($B69="","",ROUND(SUMIFS(期初余额!$D$4:$D$81,期初余额!$B$4:$B$81,$B69),2))</f>
        <v/>
      </c>
      <c r="F69" s="27" t="str">
        <f>IF($B69="","",ROUND(SUMIFS(期初余额!$E$4:$E$81,期初余额!$B$4:$B$81,$B69),2))</f>
        <v/>
      </c>
      <c r="G69" s="27" t="str">
        <f>IF($B69="","",ROUND(SUMIFS(记账凭证!$H$4:$H$3609,记账凭证!$E$4:$E$3609,$B69),2))</f>
        <v/>
      </c>
      <c r="H69" s="27" t="str">
        <f>IF($B69="","",ROUND(SUMIFS(记账凭证!$I$4:$I$3609,记账凭证!$E$4:$E$3609,$B69),2))</f>
        <v/>
      </c>
      <c r="I69" s="27" t="str">
        <f t="shared" si="2"/>
        <v/>
      </c>
      <c r="J69" s="27" t="str">
        <f t="shared" si="3"/>
        <v/>
      </c>
    </row>
    <row r="70" ht="18" customHeight="1" spans="1:10">
      <c r="A70" s="25" t="str">
        <f>IF($B70="","",IFERROR(INDEX(科目表!$A$4:$A$81,MATCH($B70,科目表!$B$4:$B$81,0)),""))</f>
        <v/>
      </c>
      <c r="B70" s="10"/>
      <c r="C70" s="26" t="str">
        <f>IF($B70="","",IFERROR(INDEX(科目表!$C$4:$C$81,MATCH($B70,科目表!$B$4:$B$81,0)),""))</f>
        <v/>
      </c>
      <c r="D70" s="26" t="str">
        <f>IF($B70="","",IFERROR(INDEX(科目表!$E$4:$E$81,MATCH($B70,科目表!$B$4:$B$81,0)),""))</f>
        <v/>
      </c>
      <c r="E70" s="27" t="str">
        <f>IF($B70="","",ROUND(SUMIFS(期初余额!$D$4:$D$81,期初余额!$B$4:$B$81,$B70),2))</f>
        <v/>
      </c>
      <c r="F70" s="27" t="str">
        <f>IF($B70="","",ROUND(SUMIFS(期初余额!$E$4:$E$81,期初余额!$B$4:$B$81,$B70),2))</f>
        <v/>
      </c>
      <c r="G70" s="27" t="str">
        <f>IF($B70="","",ROUND(SUMIFS(记账凭证!$H$4:$H$3609,记账凭证!$E$4:$E$3609,$B70),2))</f>
        <v/>
      </c>
      <c r="H70" s="27" t="str">
        <f>IF($B70="","",ROUND(SUMIFS(记账凭证!$I$4:$I$3609,记账凭证!$E$4:$E$3609,$B70),2))</f>
        <v/>
      </c>
      <c r="I70" s="27" t="str">
        <f t="shared" si="2"/>
        <v/>
      </c>
      <c r="J70" s="27" t="str">
        <f t="shared" si="3"/>
        <v/>
      </c>
    </row>
    <row r="71" ht="18" customHeight="1" spans="1:10">
      <c r="A71" s="25" t="str">
        <f>IF($B71="","",IFERROR(INDEX(科目表!$A$4:$A$81,MATCH($B71,科目表!$B$4:$B$81,0)),""))</f>
        <v/>
      </c>
      <c r="B71" s="10"/>
      <c r="C71" s="26" t="str">
        <f>IF($B71="","",IFERROR(INDEX(科目表!$C$4:$C$81,MATCH($B71,科目表!$B$4:$B$81,0)),""))</f>
        <v/>
      </c>
      <c r="D71" s="26" t="str">
        <f>IF($B71="","",IFERROR(INDEX(科目表!$E$4:$E$81,MATCH($B71,科目表!$B$4:$B$81,0)),""))</f>
        <v/>
      </c>
      <c r="E71" s="27" t="str">
        <f>IF($B71="","",ROUND(SUMIFS(期初余额!$D$4:$D$81,期初余额!$B$4:$B$81,$B71),2))</f>
        <v/>
      </c>
      <c r="F71" s="27" t="str">
        <f>IF($B71="","",ROUND(SUMIFS(期初余额!$E$4:$E$81,期初余额!$B$4:$B$81,$B71),2))</f>
        <v/>
      </c>
      <c r="G71" s="27" t="str">
        <f>IF($B71="","",ROUND(SUMIFS(记账凭证!$H$4:$H$3609,记账凭证!$E$4:$E$3609,$B71),2))</f>
        <v/>
      </c>
      <c r="H71" s="27" t="str">
        <f>IF($B71="","",ROUND(SUMIFS(记账凭证!$I$4:$I$3609,记账凭证!$E$4:$E$3609,$B71),2))</f>
        <v/>
      </c>
      <c r="I71" s="27" t="str">
        <f t="shared" si="2"/>
        <v/>
      </c>
      <c r="J71" s="27" t="str">
        <f t="shared" si="3"/>
        <v/>
      </c>
    </row>
    <row r="72" ht="18" customHeight="1" spans="1:10">
      <c r="A72" s="25" t="str">
        <f>IF($B72="","",IFERROR(INDEX(科目表!$A$4:$A$81,MATCH($B72,科目表!$B$4:$B$81,0)),""))</f>
        <v/>
      </c>
      <c r="B72" s="10"/>
      <c r="C72" s="26" t="str">
        <f>IF($B72="","",IFERROR(INDEX(科目表!$C$4:$C$81,MATCH($B72,科目表!$B$4:$B$81,0)),""))</f>
        <v/>
      </c>
      <c r="D72" s="26" t="str">
        <f>IF($B72="","",IFERROR(INDEX(科目表!$E$4:$E$81,MATCH($B72,科目表!$B$4:$B$81,0)),""))</f>
        <v/>
      </c>
      <c r="E72" s="27" t="str">
        <f>IF($B72="","",ROUND(SUMIFS(期初余额!$D$4:$D$81,期初余额!$B$4:$B$81,$B72),2))</f>
        <v/>
      </c>
      <c r="F72" s="27" t="str">
        <f>IF($B72="","",ROUND(SUMIFS(期初余额!$E$4:$E$81,期初余额!$B$4:$B$81,$B72),2))</f>
        <v/>
      </c>
      <c r="G72" s="27" t="str">
        <f>IF($B72="","",ROUND(SUMIFS(记账凭证!$H$4:$H$3609,记账凭证!$E$4:$E$3609,$B72),2))</f>
        <v/>
      </c>
      <c r="H72" s="27" t="str">
        <f>IF($B72="","",ROUND(SUMIFS(记账凭证!$I$4:$I$3609,记账凭证!$E$4:$E$3609,$B72),2))</f>
        <v/>
      </c>
      <c r="I72" s="27" t="str">
        <f t="shared" si="2"/>
        <v/>
      </c>
      <c r="J72" s="27" t="str">
        <f t="shared" si="3"/>
        <v/>
      </c>
    </row>
    <row r="73" ht="18" customHeight="1" spans="1:10">
      <c r="A73" s="25" t="str">
        <f>IF($B73="","",IFERROR(INDEX(科目表!$A$4:$A$81,MATCH($B73,科目表!$B$4:$B$81,0)),""))</f>
        <v/>
      </c>
      <c r="B73" s="10"/>
      <c r="C73" s="26" t="str">
        <f>IF($B73="","",IFERROR(INDEX(科目表!$C$4:$C$81,MATCH($B73,科目表!$B$4:$B$81,0)),""))</f>
        <v/>
      </c>
      <c r="D73" s="26" t="str">
        <f>IF($B73="","",IFERROR(INDEX(科目表!$E$4:$E$81,MATCH($B73,科目表!$B$4:$B$81,0)),""))</f>
        <v/>
      </c>
      <c r="E73" s="27" t="str">
        <f>IF($B73="","",ROUND(SUMIFS(期初余额!$D$4:$D$81,期初余额!$B$4:$B$81,$B73),2))</f>
        <v/>
      </c>
      <c r="F73" s="27" t="str">
        <f>IF($B73="","",ROUND(SUMIFS(期初余额!$E$4:$E$81,期初余额!$B$4:$B$81,$B73),2))</f>
        <v/>
      </c>
      <c r="G73" s="27" t="str">
        <f>IF($B73="","",ROUND(SUMIFS(记账凭证!$H$4:$H$3609,记账凭证!$E$4:$E$3609,$B73),2))</f>
        <v/>
      </c>
      <c r="H73" s="27" t="str">
        <f>IF($B73="","",ROUND(SUMIFS(记账凭证!$I$4:$I$3609,记账凭证!$E$4:$E$3609,$B73),2))</f>
        <v/>
      </c>
      <c r="I73" s="27" t="str">
        <f t="shared" si="2"/>
        <v/>
      </c>
      <c r="J73" s="27" t="str">
        <f t="shared" si="3"/>
        <v/>
      </c>
    </row>
    <row r="74" ht="18" customHeight="1" spans="1:10">
      <c r="A74" s="25" t="str">
        <f>IF($B74="","",IFERROR(INDEX(科目表!$A$4:$A$81,MATCH($B74,科目表!$B$4:$B$81,0)),""))</f>
        <v/>
      </c>
      <c r="B74" s="10"/>
      <c r="C74" s="26" t="str">
        <f>IF($B74="","",IFERROR(INDEX(科目表!$C$4:$C$81,MATCH($B74,科目表!$B$4:$B$81,0)),""))</f>
        <v/>
      </c>
      <c r="D74" s="26" t="str">
        <f>IF($B74="","",IFERROR(INDEX(科目表!$E$4:$E$81,MATCH($B74,科目表!$B$4:$B$81,0)),""))</f>
        <v/>
      </c>
      <c r="E74" s="27" t="str">
        <f>IF($B74="","",ROUND(SUMIFS(期初余额!$D$4:$D$81,期初余额!$B$4:$B$81,$B74),2))</f>
        <v/>
      </c>
      <c r="F74" s="27" t="str">
        <f>IF($B74="","",ROUND(SUMIFS(期初余额!$E$4:$E$81,期初余额!$B$4:$B$81,$B74),2))</f>
        <v/>
      </c>
      <c r="G74" s="27" t="str">
        <f>IF($B74="","",ROUND(SUMIFS(记账凭证!$H$4:$H$3609,记账凭证!$E$4:$E$3609,$B74),2))</f>
        <v/>
      </c>
      <c r="H74" s="27" t="str">
        <f>IF($B74="","",ROUND(SUMIFS(记账凭证!$I$4:$I$3609,记账凭证!$E$4:$E$3609,$B74),2))</f>
        <v/>
      </c>
      <c r="I74" s="27" t="str">
        <f t="shared" si="2"/>
        <v/>
      </c>
      <c r="J74" s="27" t="str">
        <f t="shared" si="3"/>
        <v/>
      </c>
    </row>
    <row r="75" ht="18" customHeight="1" spans="1:10">
      <c r="A75" s="25" t="str">
        <f>IF($B75="","",IFERROR(INDEX(科目表!$A$4:$A$81,MATCH($B75,科目表!$B$4:$B$81,0)),""))</f>
        <v/>
      </c>
      <c r="B75" s="10"/>
      <c r="C75" s="26" t="str">
        <f>IF($B75="","",IFERROR(INDEX(科目表!$C$4:$C$81,MATCH($B75,科目表!$B$4:$B$81,0)),""))</f>
        <v/>
      </c>
      <c r="D75" s="26" t="str">
        <f>IF($B75="","",IFERROR(INDEX(科目表!$E$4:$E$81,MATCH($B75,科目表!$B$4:$B$81,0)),""))</f>
        <v/>
      </c>
      <c r="E75" s="27" t="str">
        <f>IF($B75="","",ROUND(SUMIFS(期初余额!$D$4:$D$81,期初余额!$B$4:$B$81,$B75),2))</f>
        <v/>
      </c>
      <c r="F75" s="27" t="str">
        <f>IF($B75="","",ROUND(SUMIFS(期初余额!$E$4:$E$81,期初余额!$B$4:$B$81,$B75),2))</f>
        <v/>
      </c>
      <c r="G75" s="27" t="str">
        <f>IF($B75="","",ROUND(SUMIFS(记账凭证!$H$4:$H$3609,记账凭证!$E$4:$E$3609,$B75),2))</f>
        <v/>
      </c>
      <c r="H75" s="27" t="str">
        <f>IF($B75="","",ROUND(SUMIFS(记账凭证!$I$4:$I$3609,记账凭证!$E$4:$E$3609,$B75),2))</f>
        <v/>
      </c>
      <c r="I75" s="27" t="str">
        <f t="shared" si="2"/>
        <v/>
      </c>
      <c r="J75" s="27" t="str">
        <f t="shared" si="3"/>
        <v/>
      </c>
    </row>
    <row r="76" ht="18" customHeight="1" spans="1:10">
      <c r="A76" s="25" t="str">
        <f>IF($B76="","",IFERROR(INDEX(科目表!$A$4:$A$81,MATCH($B76,科目表!$B$4:$B$81,0)),""))</f>
        <v/>
      </c>
      <c r="B76" s="10"/>
      <c r="C76" s="26" t="str">
        <f>IF($B76="","",IFERROR(INDEX(科目表!$C$4:$C$81,MATCH($B76,科目表!$B$4:$B$81,0)),""))</f>
        <v/>
      </c>
      <c r="D76" s="26" t="str">
        <f>IF($B76="","",IFERROR(INDEX(科目表!$E$4:$E$81,MATCH($B76,科目表!$B$4:$B$81,0)),""))</f>
        <v/>
      </c>
      <c r="E76" s="27" t="str">
        <f>IF($B76="","",ROUND(SUMIFS(期初余额!$D$4:$D$81,期初余额!$B$4:$B$81,$B76),2))</f>
        <v/>
      </c>
      <c r="F76" s="27" t="str">
        <f>IF($B76="","",ROUND(SUMIFS(期初余额!$E$4:$E$81,期初余额!$B$4:$B$81,$B76),2))</f>
        <v/>
      </c>
      <c r="G76" s="27" t="str">
        <f>IF($B76="","",ROUND(SUMIFS(记账凭证!$H$4:$H$3609,记账凭证!$E$4:$E$3609,$B76),2))</f>
        <v/>
      </c>
      <c r="H76" s="27" t="str">
        <f>IF($B76="","",ROUND(SUMIFS(记账凭证!$I$4:$I$3609,记账凭证!$E$4:$E$3609,$B76),2))</f>
        <v/>
      </c>
      <c r="I76" s="27" t="str">
        <f t="shared" si="2"/>
        <v/>
      </c>
      <c r="J76" s="27" t="str">
        <f t="shared" si="3"/>
        <v/>
      </c>
    </row>
    <row r="77" ht="18" customHeight="1" spans="1:10">
      <c r="A77" s="25" t="str">
        <f>IF($B77="","",IFERROR(INDEX(科目表!$A$4:$A$81,MATCH($B77,科目表!$B$4:$B$81,0)),""))</f>
        <v/>
      </c>
      <c r="B77" s="10"/>
      <c r="C77" s="26" t="str">
        <f>IF($B77="","",IFERROR(INDEX(科目表!$C$4:$C$81,MATCH($B77,科目表!$B$4:$B$81,0)),""))</f>
        <v/>
      </c>
      <c r="D77" s="26" t="str">
        <f>IF($B77="","",IFERROR(INDEX(科目表!$E$4:$E$81,MATCH($B77,科目表!$B$4:$B$81,0)),""))</f>
        <v/>
      </c>
      <c r="E77" s="27" t="str">
        <f>IF($B77="","",ROUND(SUMIFS(期初余额!$D$4:$D$81,期初余额!$B$4:$B$81,$B77),2))</f>
        <v/>
      </c>
      <c r="F77" s="27" t="str">
        <f>IF($B77="","",ROUND(SUMIFS(期初余额!$E$4:$E$81,期初余额!$B$4:$B$81,$B77),2))</f>
        <v/>
      </c>
      <c r="G77" s="27" t="str">
        <f>IF($B77="","",ROUND(SUMIFS(记账凭证!$H$4:$H$3609,记账凭证!$E$4:$E$3609,$B77),2))</f>
        <v/>
      </c>
      <c r="H77" s="27" t="str">
        <f>IF($B77="","",ROUND(SUMIFS(记账凭证!$I$4:$I$3609,记账凭证!$E$4:$E$3609,$B77),2))</f>
        <v/>
      </c>
      <c r="I77" s="27" t="str">
        <f t="shared" si="2"/>
        <v/>
      </c>
      <c r="J77" s="27" t="str">
        <f t="shared" si="3"/>
        <v/>
      </c>
    </row>
    <row r="78" ht="18" customHeight="1" spans="1:10">
      <c r="A78" s="25" t="str">
        <f>IF($B78="","",IFERROR(INDEX(科目表!$A$4:$A$81,MATCH($B78,科目表!$B$4:$B$81,0)),""))</f>
        <v/>
      </c>
      <c r="B78" s="10"/>
      <c r="C78" s="26" t="str">
        <f>IF($B78="","",IFERROR(INDEX(科目表!$C$4:$C$81,MATCH($B78,科目表!$B$4:$B$81,0)),""))</f>
        <v/>
      </c>
      <c r="D78" s="26" t="str">
        <f>IF($B78="","",IFERROR(INDEX(科目表!$E$4:$E$81,MATCH($B78,科目表!$B$4:$B$81,0)),""))</f>
        <v/>
      </c>
      <c r="E78" s="27" t="str">
        <f>IF($B78="","",ROUND(SUMIFS(期初余额!$D$4:$D$81,期初余额!$B$4:$B$81,$B78),2))</f>
        <v/>
      </c>
      <c r="F78" s="27" t="str">
        <f>IF($B78="","",ROUND(SUMIFS(期初余额!$E$4:$E$81,期初余额!$B$4:$B$81,$B78),2))</f>
        <v/>
      </c>
      <c r="G78" s="27" t="str">
        <f>IF($B78="","",ROUND(SUMIFS(记账凭证!$H$4:$H$3609,记账凭证!$E$4:$E$3609,$B78),2))</f>
        <v/>
      </c>
      <c r="H78" s="27" t="str">
        <f>IF($B78="","",ROUND(SUMIFS(记账凭证!$I$4:$I$3609,记账凭证!$E$4:$E$3609,$B78),2))</f>
        <v/>
      </c>
      <c r="I78" s="27" t="str">
        <f t="shared" si="2"/>
        <v/>
      </c>
      <c r="J78" s="27" t="str">
        <f t="shared" si="3"/>
        <v/>
      </c>
    </row>
    <row r="79" ht="18" customHeight="1" spans="1:10">
      <c r="A79" s="25" t="str">
        <f>IF($B79="","",IFERROR(INDEX(科目表!$A$4:$A$81,MATCH($B79,科目表!$B$4:$B$81,0)),""))</f>
        <v/>
      </c>
      <c r="B79" s="10"/>
      <c r="C79" s="26" t="str">
        <f>IF($B79="","",IFERROR(INDEX(科目表!$C$4:$C$81,MATCH($B79,科目表!$B$4:$B$81,0)),""))</f>
        <v/>
      </c>
      <c r="D79" s="26" t="str">
        <f>IF($B79="","",IFERROR(INDEX(科目表!$E$4:$E$81,MATCH($B79,科目表!$B$4:$B$81,0)),""))</f>
        <v/>
      </c>
      <c r="E79" s="27" t="str">
        <f>IF($B79="","",ROUND(SUMIFS(期初余额!$D$4:$D$81,期初余额!$B$4:$B$81,$B79),2))</f>
        <v/>
      </c>
      <c r="F79" s="27" t="str">
        <f>IF($B79="","",ROUND(SUMIFS(期初余额!$E$4:$E$81,期初余额!$B$4:$B$81,$B79),2))</f>
        <v/>
      </c>
      <c r="G79" s="27" t="str">
        <f>IF($B79="","",ROUND(SUMIFS(记账凭证!$H$4:$H$3609,记账凭证!$E$4:$E$3609,$B79),2))</f>
        <v/>
      </c>
      <c r="H79" s="27" t="str">
        <f>IF($B79="","",ROUND(SUMIFS(记账凭证!$I$4:$I$3609,记账凭证!$E$4:$E$3609,$B79),2))</f>
        <v/>
      </c>
      <c r="I79" s="27" t="str">
        <f t="shared" si="2"/>
        <v/>
      </c>
      <c r="J79" s="27" t="str">
        <f t="shared" si="3"/>
        <v/>
      </c>
    </row>
    <row r="80" ht="18" customHeight="1" spans="1:10">
      <c r="A80" s="25" t="str">
        <f>IF($B80="","",IFERROR(INDEX(科目表!$A$4:$A$81,MATCH($B80,科目表!$B$4:$B$81,0)),""))</f>
        <v/>
      </c>
      <c r="B80" s="10"/>
      <c r="C80" s="26" t="str">
        <f>IF($B80="","",IFERROR(INDEX(科目表!$C$4:$C$81,MATCH($B80,科目表!$B$4:$B$81,0)),""))</f>
        <v/>
      </c>
      <c r="D80" s="26" t="str">
        <f>IF($B80="","",IFERROR(INDEX(科目表!$E$4:$E$81,MATCH($B80,科目表!$B$4:$B$81,0)),""))</f>
        <v/>
      </c>
      <c r="E80" s="27" t="str">
        <f>IF($B80="","",ROUND(SUMIFS(期初余额!$D$4:$D$81,期初余额!$B$4:$B$81,$B80),2))</f>
        <v/>
      </c>
      <c r="F80" s="27" t="str">
        <f>IF($B80="","",ROUND(SUMIFS(期初余额!$E$4:$E$81,期初余额!$B$4:$B$81,$B80),2))</f>
        <v/>
      </c>
      <c r="G80" s="27" t="str">
        <f>IF($B80="","",ROUND(SUMIFS(记账凭证!$H$4:$H$3609,记账凭证!$E$4:$E$3609,$B80),2))</f>
        <v/>
      </c>
      <c r="H80" s="27" t="str">
        <f>IF($B80="","",ROUND(SUMIFS(记账凭证!$I$4:$I$3609,记账凭证!$E$4:$E$3609,$B80),2))</f>
        <v/>
      </c>
      <c r="I80" s="27" t="str">
        <f t="shared" si="2"/>
        <v/>
      </c>
      <c r="J80" s="27" t="str">
        <f t="shared" si="3"/>
        <v/>
      </c>
    </row>
    <row r="81" ht="18" customHeight="1" spans="1:10">
      <c r="A81" s="25" t="str">
        <f>IF($B81="","",IFERROR(INDEX(科目表!$A$4:$A$81,MATCH($B81,科目表!$B$4:$B$81,0)),""))</f>
        <v/>
      </c>
      <c r="B81" s="10"/>
      <c r="C81" s="26" t="str">
        <f>IF($B81="","",IFERROR(INDEX(科目表!$C$4:$C$81,MATCH($B81,科目表!$B$4:$B$81,0)),""))</f>
        <v/>
      </c>
      <c r="D81" s="26" t="str">
        <f>IF($B81="","",IFERROR(INDEX(科目表!$E$4:$E$81,MATCH($B81,科目表!$B$4:$B$81,0)),""))</f>
        <v/>
      </c>
      <c r="E81" s="27" t="str">
        <f>IF($B81="","",ROUND(SUMIFS(期初余额!$D$4:$D$81,期初余额!$B$4:$B$81,$B81),2))</f>
        <v/>
      </c>
      <c r="F81" s="27" t="str">
        <f>IF($B81="","",ROUND(SUMIFS(期初余额!$E$4:$E$81,期初余额!$B$4:$B$81,$B81),2))</f>
        <v/>
      </c>
      <c r="G81" s="27" t="str">
        <f>IF($B81="","",ROUND(SUMIFS(记账凭证!$H$4:$H$3609,记账凭证!$E$4:$E$3609,$B81),2))</f>
        <v/>
      </c>
      <c r="H81" s="27" t="str">
        <f>IF($B81="","",ROUND(SUMIFS(记账凭证!$I$4:$I$3609,记账凭证!$E$4:$E$3609,$B81),2))</f>
        <v/>
      </c>
      <c r="I81" s="27" t="str">
        <f t="shared" si="2"/>
        <v/>
      </c>
      <c r="J81" s="27" t="str">
        <f t="shared" si="3"/>
        <v/>
      </c>
    </row>
    <row r="82" ht="16.5" customHeight="1" spans="1:10">
      <c r="A82" s="28"/>
      <c r="B82" s="29" t="s">
        <v>220</v>
      </c>
      <c r="C82" s="28"/>
      <c r="D82" s="28"/>
      <c r="E82" s="30">
        <f>IF($B82="","",MAX(0,ROUND(SUMIFS(期初余额!$D$4:$D$81,期初余额!$B$4:$B$81,$B82)-SUMIFS(期初余额!$E$4:$E$81,期初余额!$B$4:$B$81,$B82)+SUMIFS(记账凭证!$H$4:$H$3609,记账凭证!$E$4:$E$3609,$B82,记账凭证!$B$4:$B$3609,"&lt;"&amp;$M$1)-SUMIFS(记账凭证!$I$4:$I$3609,记账凭证!$E$4:$E$3609,$B82,记账凭证!$B$4:$B$3609,"&lt;"&amp;$M$1),2)))</f>
        <v>0</v>
      </c>
      <c r="F82" s="30">
        <f>IF($B82="","",MAX(0,ROUND(-(SUMIFS(期初余额!$D$4:$D$81,期初余额!$B$4:$B$81,$B82)-SUMIFS(期初余额!$E$4:$E$81,期初余额!$B$4:$B$81,$B82)+SUMIFS(记账凭证!$H$4:$H$3609,记账凭证!$E$4:$E$3609,$B82,记账凭证!$B$4:$B$3609,"&lt;"&amp;$M$1)-SUMIFS(记账凭证!$I$4:$I$3609,记账凭证!$E$4:$E$3609,$B82,记账凭证!$B$4:$B$3609,"&lt;"&amp;$M$1)),2)))</f>
        <v>0</v>
      </c>
      <c r="G82" s="30">
        <f>IF($B82="","",ROUND(SUMIFS(记账凭证!$H$4:$H$3609,记账凭证!$E$4:$E$3609,$B82,记账凭证!$B$4:$B$3609,"&gt;="&amp;$M$1,记账凭证!$B$4:$B$3609,"&lt;="&amp;$M$2),2))</f>
        <v>0</v>
      </c>
      <c r="H82" s="30">
        <f>IF($B82="","",ROUND(SUMIFS(记账凭证!$I$4:$I$3609,记账凭证!$E$4:$E$3609,$B82,记账凭证!$B$4:$B$3609,"&gt;="&amp;$M$1,记账凭证!$B$4:$B$3609,"&lt;="&amp;$M$2),2))</f>
        <v>0</v>
      </c>
      <c r="I82" s="30">
        <f>ROUND(SUM(I4:I81),2)</f>
        <v>0</v>
      </c>
      <c r="J82" s="30">
        <f>ROUND(SUM(J4:J81),2)</f>
        <v>0</v>
      </c>
    </row>
  </sheetData>
  <autoFilter xmlns:etc="http://www.wps.cn/officeDocument/2017/etCustomData" ref="A3:J82" etc:filterBottomFollowUsedRange="0">
    <extLst/>
  </autoFilter>
  <mergeCells count="2">
    <mergeCell ref="A1:J1"/>
    <mergeCell ref="A2:F2"/>
  </mergeCells>
  <conditionalFormatting sqref="A2">
    <cfRule type="expression" dxfId="0" priority="1">
      <formula>OR(N(对接源_01水果!$T$1)+N(对接源_02物料!$T$1)=0,N(对接源_01水果!$T$4)*N(对接源_02物料!$T$4)=0)</formula>
    </cfRule>
  </conditionalFormatting>
  <dataValidations count="1">
    <dataValidation type="list" allowBlank="1" sqref="B4:B81">
      <formula1>科目表!$B$4:$B$81</formula1>
    </dataValidation>
  </dataValidations>
  <pageMargins left="0.3" right="0.3" top="0.4" bottom="0.4" header="0.5" footer="0.5"/>
  <pageSetup paperSize="9" fitToHeight="0" orientation="landscape"/>
  <headerFooter>
    <oddFooter>&amp;L&amp;A&amp;R第 &amp;P 页 / 共 &amp;N 页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7"/>
  <sheetViews>
    <sheetView showGridLines="0" topLeftCell="A7" workbookViewId="0">
      <selection activeCell="H3" sqref="H3"/>
    </sheetView>
  </sheetViews>
  <sheetFormatPr defaultColWidth="9" defaultRowHeight="13.5" outlineLevelCol="7"/>
  <cols>
    <col min="1" max="1" width="32" customWidth="1"/>
    <col min="2" max="2" width="8" customWidth="1"/>
    <col min="3" max="4" width="24" customWidth="1"/>
    <col min="5" max="5" width="30" customWidth="1"/>
    <col min="6" max="6" width="8" customWidth="1"/>
    <col min="7" max="8" width="24" customWidth="1"/>
  </cols>
  <sheetData>
    <row r="1" ht="30" customHeight="1" spans="1:8">
      <c r="A1" s="2" t="s">
        <v>767</v>
      </c>
    </row>
    <row r="2" ht="18" customHeight="1" spans="1:8">
      <c r="A2" s="5" t="s">
        <v>768</v>
      </c>
    </row>
    <row r="3" ht="16.5" customHeight="1" spans="1:8">
      <c r="A3" s="6" t="s">
        <v>769</v>
      </c>
      <c r="B3" s="17" t="s">
        <v>395</v>
      </c>
      <c r="C3" s="16" t="s">
        <v>770</v>
      </c>
      <c r="E3" s="6" t="s">
        <v>771</v>
      </c>
      <c r="F3" s="18"/>
      <c r="G3" s="6" t="s">
        <v>772</v>
      </c>
      <c r="H3" s="19" t="str">
        <f>IF(科目余额表!$J$2="","（未设，取全部）",TEXT(科目余额表!$J$2,"yyyy年m月d日"))</f>
        <v>2026年9月30日</v>
      </c>
    </row>
    <row r="4" ht="26" customHeight="1" spans="1:8">
      <c r="A4" s="9" t="s">
        <v>773</v>
      </c>
      <c r="B4" s="9" t="s">
        <v>774</v>
      </c>
      <c r="C4" s="9" t="s">
        <v>775</v>
      </c>
      <c r="D4" s="9" t="s">
        <v>776</v>
      </c>
      <c r="E4" s="9" t="s">
        <v>777</v>
      </c>
      <c r="F4" s="9" t="s">
        <v>774</v>
      </c>
      <c r="G4" s="9" t="s">
        <v>775</v>
      </c>
      <c r="H4" s="9" t="s">
        <v>776</v>
      </c>
    </row>
    <row r="5" ht="18" customHeight="1" spans="1:8">
      <c r="A5" s="20" t="s">
        <v>778</v>
      </c>
      <c r="B5" s="21" t="s">
        <v>64</v>
      </c>
      <c r="C5" s="22"/>
      <c r="D5" s="22"/>
      <c r="E5" s="20" t="s">
        <v>779</v>
      </c>
      <c r="F5" s="21" t="s">
        <v>64</v>
      </c>
      <c r="G5" s="22"/>
      <c r="H5" s="22"/>
    </row>
    <row r="6" ht="18" customHeight="1" spans="1:8">
      <c r="A6" s="10" t="s">
        <v>780</v>
      </c>
      <c r="B6" s="11">
        <v>1</v>
      </c>
      <c r="C6" s="12">
        <f>ROUND(SUMIFS(科目余额表!$I$4:$I$81,科目余额表!$D$4:$D$81,"货币资金")-SUMIFS(科目余额表!$J$4:$J$81,科目余额表!$D$4:$D$81,"货币资金"),2)</f>
        <v>0</v>
      </c>
      <c r="D6" s="12">
        <f>ROUND(SUMIFS(科目余额表!$E$4:$E$81,科目余额表!$D$4:$D$81,"货币资金")-SUMIFS(科目余额表!$F$4:$F$81,科目余额表!$D$4:$D$81,"货币资金"),2)</f>
        <v>0</v>
      </c>
      <c r="E6" s="10" t="s">
        <v>781</v>
      </c>
      <c r="F6" s="11">
        <v>31</v>
      </c>
      <c r="G6" s="12">
        <f>ROUND(SUMIFS(科目余额表!$J$4:$J$81,科目余额表!$D$4:$D$81,"短期借款")-SUMIFS(科目余额表!$I$4:$I$81,科目余额表!$D$4:$D$81,"短期借款"),2)</f>
        <v>0</v>
      </c>
      <c r="H6" s="12">
        <f>ROUND(SUMIFS(科目余额表!$F$4:$F$81,科目余额表!$D$4:$D$81,"短期借款")-SUMIFS(科目余额表!$E$4:$E$81,科目余额表!$D$4:$D$81,"短期借款"),2)</f>
        <v>0</v>
      </c>
    </row>
    <row r="7" ht="18" customHeight="1" spans="1:8">
      <c r="A7" s="10" t="s">
        <v>782</v>
      </c>
      <c r="B7" s="11">
        <v>2</v>
      </c>
      <c r="C7" s="12">
        <v>0</v>
      </c>
      <c r="D7" s="12">
        <v>0</v>
      </c>
      <c r="E7" s="10" t="s">
        <v>783</v>
      </c>
      <c r="F7" s="11">
        <v>32</v>
      </c>
      <c r="G7" s="12">
        <f>ROUND(SUMIFS(科目余额表!$J$4:$J$81,科目余额表!$D$4:$D$81,"应付票据")-SUMIFS(科目余额表!$I$4:$I$81,科目余额表!$D$4:$D$81,"应付票据"),2)</f>
        <v>0</v>
      </c>
      <c r="H7" s="12">
        <f>ROUND(SUMIFS(科目余额表!$F$4:$F$81,科目余额表!$D$4:$D$81,"应付票据")-SUMIFS(科目余额表!$E$4:$E$81,科目余额表!$D$4:$D$81,"应付票据"),2)</f>
        <v>0</v>
      </c>
    </row>
    <row r="8" ht="18" customHeight="1" spans="1:8">
      <c r="A8" s="10" t="s">
        <v>784</v>
      </c>
      <c r="B8" s="11">
        <v>3</v>
      </c>
      <c r="C8" s="12">
        <f>ROUND(SUMIFS(科目余额表!$I$4:$I$81,科目余额表!$D$4:$D$81,"应收票据")-SUMIFS(科目余额表!$J$4:$J$81,科目余额表!$D$4:$D$81,"应收票据"),2)</f>
        <v>0</v>
      </c>
      <c r="D8" s="12">
        <f>ROUND(SUMIFS(科目余额表!$E$4:$E$81,科目余额表!$D$4:$D$81,"应收票据")-SUMIFS(科目余额表!$F$4:$F$81,科目余额表!$D$4:$D$81,"应收票据"),2)</f>
        <v>0</v>
      </c>
      <c r="E8" s="10" t="s">
        <v>785</v>
      </c>
      <c r="F8" s="11">
        <v>33</v>
      </c>
      <c r="G8" s="12">
        <f>ROUND(SUMIFS(科目余额表!$J$4:$J$81,科目余额表!$D$4:$D$81,"应付账款")-SUMIFS(科目余额表!$I$4:$I$81,科目余额表!$D$4:$D$81,"应付账款"),2)</f>
        <v>0</v>
      </c>
      <c r="H8" s="12">
        <f>ROUND(SUMIFS(科目余额表!$F$4:$F$81,科目余额表!$D$4:$D$81,"应付账款")-SUMIFS(科目余额表!$E$4:$E$81,科目余额表!$D$4:$D$81,"应付账款"),2)</f>
        <v>0</v>
      </c>
    </row>
    <row r="9" ht="18" customHeight="1" spans="1:8">
      <c r="A9" s="10" t="s">
        <v>786</v>
      </c>
      <c r="B9" s="11">
        <v>4</v>
      </c>
      <c r="C9" s="12">
        <f>ROUND(SUMIFS(科目余额表!$I$4:$I$81,科目余额表!$D$4:$D$81,"应收账款")-SUMIFS(科目余额表!$J$4:$J$81,科目余额表!$D$4:$D$81,"应收账款"),2)</f>
        <v>0</v>
      </c>
      <c r="D9" s="12">
        <f>ROUND(SUMIFS(科目余额表!$E$4:$E$81,科目余额表!$D$4:$D$81,"应收账款")-SUMIFS(科目余额表!$F$4:$F$81,科目余额表!$D$4:$D$81,"应收账款"),2)</f>
        <v>0</v>
      </c>
      <c r="E9" s="10" t="s">
        <v>787</v>
      </c>
      <c r="F9" s="11">
        <v>34</v>
      </c>
      <c r="G9" s="12">
        <f>ROUND(SUMIFS(科目余额表!$J$4:$J$81,科目余额表!$D$4:$D$81,"预收款项")-SUMIFS(科目余额表!$I$4:$I$81,科目余额表!$D$4:$D$81,"预收款项"),2)</f>
        <v>0</v>
      </c>
      <c r="H9" s="12">
        <f>ROUND(SUMIFS(科目余额表!$F$4:$F$81,科目余额表!$D$4:$D$81,"预收款项")-SUMIFS(科目余额表!$E$4:$E$81,科目余额表!$D$4:$D$81,"预收款项"),2)</f>
        <v>0</v>
      </c>
    </row>
    <row r="10" ht="18" customHeight="1" spans="1:8">
      <c r="A10" s="10" t="s">
        <v>788</v>
      </c>
      <c r="B10" s="11">
        <v>5</v>
      </c>
      <c r="C10" s="12">
        <f>ROUND(SUMIFS(科目余额表!$I$4:$I$81,科目余额表!$D$4:$D$81,"预付款项")-SUMIFS(科目余额表!$J$4:$J$81,科目余额表!$D$4:$D$81,"预付款项"),2)</f>
        <v>0</v>
      </c>
      <c r="D10" s="12">
        <f>ROUND(SUMIFS(科目余额表!$E$4:$E$81,科目余额表!$D$4:$D$81,"预付款项")-SUMIFS(科目余额表!$F$4:$F$81,科目余额表!$D$4:$D$81,"预付款项"),2)</f>
        <v>0</v>
      </c>
      <c r="E10" s="10" t="s">
        <v>789</v>
      </c>
      <c r="F10" s="11">
        <v>35</v>
      </c>
      <c r="G10" s="12">
        <f>ROUND(SUMIFS(科目余额表!$J$4:$J$81,科目余额表!$D$4:$D$81,"应付职工薪酬")-SUMIFS(科目余额表!$I$4:$I$81,科目余额表!$D$4:$D$81,"应付职工薪酬"),2)</f>
        <v>0</v>
      </c>
      <c r="H10" s="12">
        <f>ROUND(SUMIFS(科目余额表!$F$4:$F$81,科目余额表!$D$4:$D$81,"应付职工薪酬")-SUMIFS(科目余额表!$E$4:$E$81,科目余额表!$D$4:$D$81,"应付职工薪酬"),2)</f>
        <v>0</v>
      </c>
    </row>
    <row r="11" ht="18" customHeight="1" spans="1:8">
      <c r="A11" s="10" t="s">
        <v>790</v>
      </c>
      <c r="B11" s="11">
        <v>6</v>
      </c>
      <c r="C11" s="12">
        <f>ROUND(SUMIFS(科目余额表!$I$4:$I$81,科目余额表!$D$4:$D$81,"应收股利")-SUMIFS(科目余额表!$J$4:$J$81,科目余额表!$D$4:$D$81,"应收股利"),2)</f>
        <v>0</v>
      </c>
      <c r="D11" s="12">
        <f>ROUND(SUMIFS(科目余额表!$E$4:$E$81,科目余额表!$D$4:$D$81,"应收股利")-SUMIFS(科目余额表!$F$4:$F$81,科目余额表!$D$4:$D$81,"应收股利"),2)</f>
        <v>0</v>
      </c>
      <c r="E11" s="10" t="s">
        <v>791</v>
      </c>
      <c r="F11" s="11">
        <v>36</v>
      </c>
      <c r="G11" s="12">
        <f>ROUND(SUMIFS(科目余额表!$J$4:$J$81,科目余额表!$D$4:$D$81,"应交税费")-SUMIFS(科目余额表!$I$4:$I$81,科目余额表!$D$4:$D$81,"应交税费"),2)</f>
        <v>0</v>
      </c>
      <c r="H11" s="12">
        <f>ROUND(SUMIFS(科目余额表!$F$4:$F$81,科目余额表!$D$4:$D$81,"应交税费")-SUMIFS(科目余额表!$E$4:$E$81,科目余额表!$D$4:$D$81,"应交税费"),2)</f>
        <v>0</v>
      </c>
    </row>
    <row r="12" ht="18" customHeight="1" spans="1:8">
      <c r="A12" s="10" t="s">
        <v>792</v>
      </c>
      <c r="B12" s="11">
        <v>7</v>
      </c>
      <c r="C12" s="12">
        <f>ROUND(SUMIFS(科目余额表!$I$4:$I$81,科目余额表!$D$4:$D$81,"应收利息")-SUMIFS(科目余额表!$J$4:$J$81,科目余额表!$D$4:$D$81,"应收利息"),2)</f>
        <v>0</v>
      </c>
      <c r="D12" s="12">
        <f>ROUND(SUMIFS(科目余额表!$E$4:$E$81,科目余额表!$D$4:$D$81,"应收利息")-SUMIFS(科目余额表!$F$4:$F$81,科目余额表!$D$4:$D$81,"应收利息"),2)</f>
        <v>0</v>
      </c>
      <c r="E12" s="10" t="s">
        <v>793</v>
      </c>
      <c r="F12" s="11">
        <v>37</v>
      </c>
      <c r="G12" s="12">
        <f>ROUND(SUMIFS(科目余额表!$J$4:$J$81,科目余额表!$D$4:$D$81,"应付利息")-SUMIFS(科目余额表!$I$4:$I$81,科目余额表!$D$4:$D$81,"应付利息"),2)</f>
        <v>0</v>
      </c>
      <c r="H12" s="12">
        <f>ROUND(SUMIFS(科目余额表!$F$4:$F$81,科目余额表!$D$4:$D$81,"应付利息")-SUMIFS(科目余额表!$E$4:$E$81,科目余额表!$D$4:$D$81,"应付利息"),2)</f>
        <v>0</v>
      </c>
    </row>
    <row r="13" ht="18" customHeight="1" spans="1:8">
      <c r="A13" s="10" t="s">
        <v>794</v>
      </c>
      <c r="B13" s="11">
        <v>8</v>
      </c>
      <c r="C13" s="12">
        <f>ROUND(SUMIFS(科目余额表!$I$4:$I$81,科目余额表!$D$4:$D$81,"其他应收款")-SUMIFS(科目余额表!$J$4:$J$81,科目余额表!$D$4:$D$81,"其他应收款"),2)</f>
        <v>0</v>
      </c>
      <c r="D13" s="12">
        <f>ROUND(SUMIFS(科目余额表!$E$4:$E$81,科目余额表!$D$4:$D$81,"其他应收款")-SUMIFS(科目余额表!$F$4:$F$81,科目余额表!$D$4:$D$81,"其他应收款"),2)</f>
        <v>0</v>
      </c>
      <c r="E13" s="10" t="s">
        <v>795</v>
      </c>
      <c r="F13" s="11">
        <v>38</v>
      </c>
      <c r="G13" s="12">
        <f>ROUND(SUMIFS(科目余额表!$J$4:$J$81,科目余额表!$D$4:$D$81,"应付利润")-SUMIFS(科目余额表!$I$4:$I$81,科目余额表!$D$4:$D$81,"应付利润"),2)</f>
        <v>0</v>
      </c>
      <c r="H13" s="12">
        <f>ROUND(SUMIFS(科目余额表!$F$4:$F$81,科目余额表!$D$4:$D$81,"应付利润")-SUMIFS(科目余额表!$E$4:$E$81,科目余额表!$D$4:$D$81,"应付利润"),2)</f>
        <v>0</v>
      </c>
    </row>
    <row r="14" ht="18" customHeight="1" spans="1:8">
      <c r="A14" s="10" t="s">
        <v>796</v>
      </c>
      <c r="B14" s="11">
        <v>9</v>
      </c>
      <c r="C14" s="12">
        <f>ROUND(SUMIFS(科目余额表!$I$4:$I$81,科目余额表!$D$4:$D$81,"存货")-SUMIFS(科目余额表!$J$4:$J$81,科目余额表!$D$4:$D$81,"存货"),2)</f>
        <v>0</v>
      </c>
      <c r="D14" s="12">
        <f>ROUND(SUMIFS(科目余额表!$E$4:$E$81,科目余额表!$D$4:$D$81,"存货")-SUMIFS(科目余额表!$F$4:$F$81,科目余额表!$D$4:$D$81,"存货"),2)</f>
        <v>0</v>
      </c>
      <c r="E14" s="10" t="s">
        <v>797</v>
      </c>
      <c r="F14" s="11">
        <v>39</v>
      </c>
      <c r="G14" s="12">
        <f>ROUND(SUMIFS(科目余额表!$J$4:$J$81,科目余额表!$D$4:$D$81,"其他应付款")-SUMIFS(科目余额表!$I$4:$I$81,科目余额表!$D$4:$D$81,"其他应付款"),2)</f>
        <v>0</v>
      </c>
      <c r="H14" s="12">
        <f>ROUND(SUMIFS(科目余额表!$F$4:$F$81,科目余额表!$D$4:$D$81,"其他应付款")-SUMIFS(科目余额表!$E$4:$E$81,科目余额表!$D$4:$D$81,"其他应付款"),2)</f>
        <v>0</v>
      </c>
    </row>
    <row r="15" ht="18" customHeight="1" spans="1:8">
      <c r="A15" s="10" t="s">
        <v>798</v>
      </c>
      <c r="B15" s="11">
        <v>10</v>
      </c>
      <c r="C15" s="12">
        <f>ROUND(SUMIFS(科目余额表!$I$4:$I$81,科目余额表!$B$4:$B$81,"原材料—包装物料")-SUMIFS(科目余额表!$J$4:$J$81,科目余额表!$B$4:$B$81,"原材料—包装物料"),2)</f>
        <v>0</v>
      </c>
      <c r="D15" s="12">
        <f>ROUND(SUMIFS(科目余额表!$E$4:$E$81,科目余额表!$B$4:$B$81,"原材料—包装物料")-SUMIFS(科目余额表!$F$4:$F$81,科目余额表!$B$4:$B$81,"原材料—包装物料"),2)</f>
        <v>0</v>
      </c>
      <c r="E15" s="10" t="s">
        <v>799</v>
      </c>
      <c r="F15" s="11">
        <v>40</v>
      </c>
      <c r="G15" s="12">
        <v>0</v>
      </c>
      <c r="H15" s="12">
        <v>0</v>
      </c>
    </row>
    <row r="16" ht="18" customHeight="1" spans="1:8">
      <c r="A16" s="10" t="s">
        <v>800</v>
      </c>
      <c r="B16" s="11">
        <v>11</v>
      </c>
      <c r="C16" s="12">
        <f>ROUND(SUMIFS(科目余额表!$I$4:$I$81,科目余额表!$B$4:$B$81,"库存商品—自购水果")-SUMIFS(科目余额表!$J$4:$J$81,科目余额表!$B$4:$B$81,"库存商品—自购水果"),2)</f>
        <v>0</v>
      </c>
      <c r="D16" s="12">
        <f>ROUND(SUMIFS(科目余额表!$E$4:$E$81,科目余额表!$B$4:$B$81,"库存商品—自购水果")-SUMIFS(科目余额表!$F$4:$F$81,科目余额表!$B$4:$B$81,"库存商品—自购水果"),2)</f>
        <v>0</v>
      </c>
      <c r="E16" s="13" t="s">
        <v>801</v>
      </c>
      <c r="F16" s="14">
        <v>41</v>
      </c>
      <c r="G16" s="15">
        <f>ROUND(G6+G7+G8+G9+G10+G11+G12+G13+G14+G15,2)</f>
        <v>0</v>
      </c>
      <c r="H16" s="15">
        <f>ROUND(H6+H7+H8+H9+H10+H11+H12+H13+H14+H15,2)</f>
        <v>0</v>
      </c>
    </row>
    <row r="17" ht="18" customHeight="1" spans="1:8">
      <c r="A17" s="10" t="s">
        <v>802</v>
      </c>
      <c r="B17" s="11">
        <v>12</v>
      </c>
      <c r="C17" s="12">
        <f>ROUND(SUMIFS(科目余额表!$I$4:$I$81,科目余额表!$B$4:$B$81,"库存商品—加工成品")-SUMIFS(科目余额表!$J$4:$J$81,科目余额表!$B$4:$B$81,"库存商品—加工成品"),2)</f>
        <v>0</v>
      </c>
      <c r="D17" s="12">
        <f>ROUND(SUMIFS(科目余额表!$E$4:$E$81,科目余额表!$B$4:$B$81,"库存商品—加工成品")-SUMIFS(科目余额表!$F$4:$F$81,科目余额表!$B$4:$B$81,"库存商品—加工成品"),2)</f>
        <v>0</v>
      </c>
      <c r="E17" s="20" t="s">
        <v>803</v>
      </c>
      <c r="F17" s="21" t="s">
        <v>64</v>
      </c>
      <c r="G17" s="22"/>
      <c r="H17" s="22"/>
    </row>
    <row r="18" ht="18" customHeight="1" spans="1:8">
      <c r="A18" s="10" t="s">
        <v>804</v>
      </c>
      <c r="B18" s="11">
        <v>13</v>
      </c>
      <c r="C18" s="12">
        <f>ROUND(SUMIFS(科目余额表!$I$4:$I$81,科目余额表!$B$4:$B$81,"周转材料—周转筐托盘")-SUMIFS(科目余额表!$J$4:$J$81,科目余额表!$B$4:$B$81,"周转材料—周转筐托盘"),2)</f>
        <v>0</v>
      </c>
      <c r="D18" s="12">
        <f>ROUND(SUMIFS(科目余额表!$E$4:$E$81,科目余额表!$B$4:$B$81,"周转材料—周转筐托盘")-SUMIFS(科目余额表!$F$4:$F$81,科目余额表!$B$4:$B$81,"周转材料—周转筐托盘"),2)</f>
        <v>0</v>
      </c>
      <c r="E18" s="10" t="s">
        <v>805</v>
      </c>
      <c r="F18" s="11">
        <v>42</v>
      </c>
      <c r="G18" s="12">
        <f>ROUND(SUMIFS(科目余额表!$J$4:$J$81,科目余额表!$D$4:$D$81,"长期借款")-SUMIFS(科目余额表!$I$4:$I$81,科目余额表!$D$4:$D$81,"长期借款"),2)</f>
        <v>0</v>
      </c>
      <c r="H18" s="12">
        <f>ROUND(SUMIFS(科目余额表!$F$4:$F$81,科目余额表!$D$4:$D$81,"长期借款")-SUMIFS(科目余额表!$E$4:$E$81,科目余额表!$D$4:$D$81,"长期借款"),2)</f>
        <v>0</v>
      </c>
    </row>
    <row r="19" ht="18" customHeight="1" spans="1:8">
      <c r="A19" s="10" t="s">
        <v>806</v>
      </c>
      <c r="B19" s="11">
        <v>14</v>
      </c>
      <c r="C19" s="12">
        <v>0</v>
      </c>
      <c r="D19" s="12">
        <v>0</v>
      </c>
      <c r="E19" s="10" t="s">
        <v>807</v>
      </c>
      <c r="F19" s="11">
        <v>43</v>
      </c>
      <c r="G19" s="12">
        <f>ROUND(SUMIFS(科目余额表!$J$4:$J$81,科目余额表!$D$4:$D$81,"长期应付款")-SUMIFS(科目余额表!$I$4:$I$81,科目余额表!$D$4:$D$81,"长期应付款"),2)</f>
        <v>0</v>
      </c>
      <c r="H19" s="12">
        <f>ROUND(SUMIFS(科目余额表!$F$4:$F$81,科目余额表!$D$4:$D$81,"长期应付款")-SUMIFS(科目余额表!$E$4:$E$81,科目余额表!$D$4:$D$81,"长期应付款"),2)</f>
        <v>0</v>
      </c>
    </row>
    <row r="20" ht="18" customHeight="1" spans="1:8">
      <c r="A20" s="13" t="s">
        <v>808</v>
      </c>
      <c r="B20" s="14">
        <v>15</v>
      </c>
      <c r="C20" s="15">
        <f>ROUND(C6+C7+C8+C9+C10+C11+C12+C13+C14+C19,2)</f>
        <v>0</v>
      </c>
      <c r="D20" s="15">
        <f>ROUND(D6+D7+D8+D9+D10+D11+D12+D13+D14+D19,2)</f>
        <v>0</v>
      </c>
      <c r="E20" s="10" t="s">
        <v>809</v>
      </c>
      <c r="F20" s="11">
        <v>44</v>
      </c>
      <c r="G20" s="12">
        <f>ROUND(SUMIFS(科目余额表!$J$4:$J$81,科目余额表!$D$4:$D$81,"递延收益")-SUMIFS(科目余额表!$I$4:$I$81,科目余额表!$D$4:$D$81,"递延收益"),2)</f>
        <v>0</v>
      </c>
      <c r="H20" s="12">
        <f>ROUND(SUMIFS(科目余额表!$F$4:$F$81,科目余额表!$D$4:$D$81,"递延收益")-SUMIFS(科目余额表!$E$4:$E$81,科目余额表!$D$4:$D$81,"递延收益"),2)</f>
        <v>0</v>
      </c>
    </row>
    <row r="21" ht="18" customHeight="1" spans="1:8">
      <c r="A21" s="20" t="s">
        <v>810</v>
      </c>
      <c r="B21" s="21" t="s">
        <v>64</v>
      </c>
      <c r="C21" s="22"/>
      <c r="D21" s="22"/>
      <c r="E21" s="10" t="s">
        <v>811</v>
      </c>
      <c r="F21" s="11">
        <v>45</v>
      </c>
      <c r="G21" s="12">
        <v>0</v>
      </c>
      <c r="H21" s="12">
        <v>0</v>
      </c>
    </row>
    <row r="22" ht="18" customHeight="1" spans="1:8">
      <c r="A22" s="10" t="s">
        <v>812</v>
      </c>
      <c r="B22" s="11">
        <v>16</v>
      </c>
      <c r="C22" s="12">
        <v>0</v>
      </c>
      <c r="D22" s="12">
        <v>0</v>
      </c>
      <c r="E22" s="13" t="s">
        <v>813</v>
      </c>
      <c r="F22" s="14">
        <v>46</v>
      </c>
      <c r="G22" s="15">
        <f>ROUND(G18+G19+G20+G21,2)</f>
        <v>0</v>
      </c>
      <c r="H22" s="15">
        <f>ROUND(H18+H19+H20+H21,2)</f>
        <v>0</v>
      </c>
    </row>
    <row r="23" ht="18" customHeight="1" spans="1:8">
      <c r="A23" s="10" t="s">
        <v>814</v>
      </c>
      <c r="B23" s="11">
        <v>17</v>
      </c>
      <c r="C23" s="12">
        <v>0</v>
      </c>
      <c r="D23" s="12">
        <v>0</v>
      </c>
      <c r="E23" s="13" t="s">
        <v>815</v>
      </c>
      <c r="F23" s="14">
        <v>47</v>
      </c>
      <c r="G23" s="15">
        <f>ROUND(G16+G22,2)</f>
        <v>0</v>
      </c>
      <c r="H23" s="15">
        <f>ROUND(H16+H22,2)</f>
        <v>0</v>
      </c>
    </row>
    <row r="24" ht="18" customHeight="1" spans="1:8">
      <c r="A24" s="10" t="s">
        <v>816</v>
      </c>
      <c r="B24" s="11">
        <v>18</v>
      </c>
      <c r="C24" s="12">
        <f>ROUND(SUMIFS(科目余额表!$I$4:$I$81,科目余额表!$D$4:$D$81,"固定资产原价")-SUMIFS(科目余额表!$J$4:$J$81,科目余额表!$D$4:$D$81,"固定资产原价"),2)</f>
        <v>0</v>
      </c>
      <c r="D24" s="12">
        <f>ROUND(SUMIFS(科目余额表!$E$4:$E$81,科目余额表!$D$4:$D$81,"固定资产原价")-SUMIFS(科目余额表!$F$4:$F$81,科目余额表!$D$4:$D$81,"固定资产原价"),2)</f>
        <v>0</v>
      </c>
      <c r="E24" s="20" t="s">
        <v>817</v>
      </c>
      <c r="F24" s="21" t="s">
        <v>64</v>
      </c>
      <c r="G24" s="22"/>
      <c r="H24" s="22"/>
    </row>
    <row r="25" ht="18" customHeight="1" spans="1:8">
      <c r="A25" s="10" t="s">
        <v>818</v>
      </c>
      <c r="B25" s="11">
        <v>19</v>
      </c>
      <c r="C25" s="12">
        <f>ROUND(SUMIFS(科目余额表!$J$4:$J$81,科目余额表!$D$4:$D$81,"累计折旧")-SUMIFS(科目余额表!$I$4:$I$81,科目余额表!$D$4:$D$81,"累计折旧"),2)</f>
        <v>0</v>
      </c>
      <c r="D25" s="12">
        <f>ROUND(SUMIFS(科目余额表!$F$4:$F$81,科目余额表!$D$4:$D$81,"累计折旧")-SUMIFS(科目余额表!$E$4:$E$81,科目余额表!$D$4:$D$81,"累计折旧"),2)</f>
        <v>0</v>
      </c>
      <c r="E25" s="10" t="s">
        <v>819</v>
      </c>
      <c r="F25" s="11">
        <v>48</v>
      </c>
      <c r="G25" s="12">
        <f>ROUND(SUMIFS(科目余额表!$J$4:$J$81,科目余额表!$D$4:$D$81,"实收资本")-SUMIFS(科目余额表!$I$4:$I$81,科目余额表!$D$4:$D$81,"实收资本"),2)</f>
        <v>0</v>
      </c>
      <c r="H25" s="12">
        <f>ROUND(SUMIFS(科目余额表!$F$4:$F$81,科目余额表!$D$4:$D$81,"实收资本")-SUMIFS(科目余额表!$E$4:$E$81,科目余额表!$D$4:$D$81,"实收资本"),2)</f>
        <v>0</v>
      </c>
    </row>
    <row r="26" ht="18" customHeight="1" spans="1:8">
      <c r="A26" s="10" t="s">
        <v>820</v>
      </c>
      <c r="B26" s="11">
        <v>20</v>
      </c>
      <c r="C26" s="12">
        <f>C24-C25</f>
        <v>0</v>
      </c>
      <c r="D26" s="12">
        <f>D24-D25</f>
        <v>0</v>
      </c>
      <c r="E26" s="10" t="s">
        <v>821</v>
      </c>
      <c r="F26" s="11">
        <v>49</v>
      </c>
      <c r="G26" s="12">
        <f>ROUND(SUMIFS(科目余额表!$J$4:$J$81,科目余额表!$D$4:$D$81,"资本公积")-SUMIFS(科目余额表!$I$4:$I$81,科目余额表!$D$4:$D$81,"资本公积"),2)</f>
        <v>0</v>
      </c>
      <c r="H26" s="12">
        <f>ROUND(SUMIFS(科目余额表!$F$4:$F$81,科目余额表!$D$4:$D$81,"资本公积")-SUMIFS(科目余额表!$E$4:$E$81,科目余额表!$D$4:$D$81,"资本公积"),2)</f>
        <v>0</v>
      </c>
    </row>
    <row r="27" ht="18" customHeight="1" spans="1:8">
      <c r="A27" s="10" t="s">
        <v>822</v>
      </c>
      <c r="B27" s="11">
        <v>21</v>
      </c>
      <c r="C27" s="12">
        <f>ROUND(SUMIFS(科目余额表!$I$4:$I$81,科目余额表!$D$4:$D$81,"在建工程")-SUMIFS(科目余额表!$J$4:$J$81,科目余额表!$D$4:$D$81,"在建工程"),2)</f>
        <v>0</v>
      </c>
      <c r="D27" s="12">
        <f>ROUND(SUMIFS(科目余额表!$E$4:$E$81,科目余额表!$D$4:$D$81,"在建工程")-SUMIFS(科目余额表!$F$4:$F$81,科目余额表!$D$4:$D$81,"在建工程"),2)</f>
        <v>0</v>
      </c>
      <c r="E27" s="10" t="s">
        <v>823</v>
      </c>
      <c r="F27" s="11">
        <v>50</v>
      </c>
      <c r="G27" s="12">
        <f>ROUND(SUMIFS(科目余额表!$J$4:$J$81,科目余额表!$D$4:$D$81,"盈余公积")-SUMIFS(科目余额表!$I$4:$I$81,科目余额表!$D$4:$D$81,"盈余公积"),2)</f>
        <v>0</v>
      </c>
      <c r="H27" s="12">
        <f>ROUND(SUMIFS(科目余额表!$F$4:$F$81,科目余额表!$D$4:$D$81,"盈余公积")-SUMIFS(科目余额表!$E$4:$E$81,科目余额表!$D$4:$D$81,"盈余公积"),2)</f>
        <v>0</v>
      </c>
    </row>
    <row r="28" ht="18" customHeight="1" spans="1:8">
      <c r="A28" s="10" t="s">
        <v>824</v>
      </c>
      <c r="B28" s="11">
        <v>22</v>
      </c>
      <c r="C28" s="12">
        <v>0</v>
      </c>
      <c r="D28" s="12">
        <v>0</v>
      </c>
      <c r="E28" s="10" t="s">
        <v>825</v>
      </c>
      <c r="F28" s="11">
        <v>51</v>
      </c>
      <c r="G28" s="12">
        <f>ROUND(SUMIFS(科目余额表!$J$4:$J$81,科目余额表!$D$4:$D$81,"未分配利润")-SUMIFS(科目余额表!$I$4:$I$81,科目余额表!$D$4:$D$81,"未分配利润")+IF($B$3="否",SUMIFS(科目余额表!$J$4:$J$81,科目余额表!$C$4:$C$81,"损益")-SUMIFS(科目余额表!$I$4:$I$81,科目余额表!$C$4:$C$81,"损益"),0),2)</f>
        <v>0</v>
      </c>
      <c r="H28" s="12">
        <f>ROUND(SUMIFS(科目余额表!$F$4:$F$81,科目余额表!$D$4:$D$81,"未分配利润")-SUMIFS(科目余额表!$E$4:$E$81,科目余额表!$D$4:$D$81,"未分配利润")+IF($B$3="否",SUMIFS(科目余额表!$F$4:$F$81,科目余额表!$C$4:$C$81,"损益")-SUMIFS(科目余额表!$E$4:$E$81,科目余额表!$C$4:$C$81,"损益"),0),2)</f>
        <v>0</v>
      </c>
    </row>
    <row r="29" ht="18" customHeight="1" spans="1:8">
      <c r="A29" s="10" t="s">
        <v>826</v>
      </c>
      <c r="B29" s="11">
        <v>23</v>
      </c>
      <c r="C29" s="12">
        <v>0</v>
      </c>
      <c r="D29" s="12">
        <v>0</v>
      </c>
      <c r="E29" s="13" t="s">
        <v>827</v>
      </c>
      <c r="F29" s="14">
        <v>52</v>
      </c>
      <c r="G29" s="15">
        <f>ROUND(G25+G26+G27+G28,2)</f>
        <v>0</v>
      </c>
      <c r="H29" s="15">
        <f>ROUND(H25+H26+H27+H28,2)</f>
        <v>0</v>
      </c>
    </row>
    <row r="30" ht="18" customHeight="1" spans="1:8">
      <c r="A30" s="10" t="s">
        <v>828</v>
      </c>
      <c r="B30" s="11">
        <v>24</v>
      </c>
      <c r="C30" s="12">
        <v>0</v>
      </c>
      <c r="D30" s="12">
        <v>0</v>
      </c>
      <c r="E30" s="13" t="s">
        <v>829</v>
      </c>
      <c r="F30" s="14">
        <v>53</v>
      </c>
      <c r="G30" s="15">
        <f>ROUND(G23+G29,2)</f>
        <v>0</v>
      </c>
      <c r="H30" s="15">
        <f>ROUND(H23+H29,2)</f>
        <v>0</v>
      </c>
    </row>
    <row r="31" ht="18" customHeight="1" spans="1:8">
      <c r="A31" s="10" t="s">
        <v>830</v>
      </c>
      <c r="B31" s="11">
        <v>25</v>
      </c>
      <c r="C31" s="12">
        <f>ROUND(SUMIFS(科目余额表!$I$4:$I$81,科目余额表!$D$4:$D$81,"无形资产")-SUMIFS(科目余额表!$J$4:$J$81,科目余额表!$D$4:$D$81,"无形资产"),2)</f>
        <v>0</v>
      </c>
      <c r="D31" s="12">
        <f>ROUND(SUMIFS(科目余额表!$E$4:$E$81,科目余额表!$D$4:$D$81,"无形资产")-SUMIFS(科目余额表!$F$4:$F$81,科目余额表!$D$4:$D$81,"无形资产"),2)</f>
        <v>0</v>
      </c>
    </row>
    <row r="32" ht="18" customHeight="1" spans="1:8">
      <c r="A32" s="10" t="s">
        <v>831</v>
      </c>
      <c r="B32" s="11">
        <v>26</v>
      </c>
      <c r="C32" s="12">
        <v>0</v>
      </c>
      <c r="D32" s="12">
        <v>0</v>
      </c>
    </row>
    <row r="33" ht="18" customHeight="1" spans="1:4">
      <c r="A33" s="10" t="s">
        <v>832</v>
      </c>
      <c r="B33" s="11">
        <v>27</v>
      </c>
      <c r="C33" s="12">
        <f>ROUND(SUMIFS(科目余额表!$I$4:$I$81,科目余额表!$D$4:$D$81,"长期待摊费用")-SUMIFS(科目余额表!$J$4:$J$81,科目余额表!$D$4:$D$81,"长期待摊费用"),2)</f>
        <v>0</v>
      </c>
      <c r="D33" s="12">
        <f>ROUND(SUMIFS(科目余额表!$E$4:$E$81,科目余额表!$D$4:$D$81,"长期待摊费用")-SUMIFS(科目余额表!$F$4:$F$81,科目余额表!$D$4:$D$81,"长期待摊费用"),2)</f>
        <v>0</v>
      </c>
    </row>
    <row r="34" ht="18" customHeight="1" spans="1:4">
      <c r="A34" s="10" t="s">
        <v>833</v>
      </c>
      <c r="B34" s="11">
        <v>28</v>
      </c>
      <c r="C34" s="12">
        <v>0</v>
      </c>
      <c r="D34" s="12">
        <v>0</v>
      </c>
    </row>
    <row r="35" ht="18" customHeight="1" spans="1:4">
      <c r="A35" s="13" t="s">
        <v>834</v>
      </c>
      <c r="B35" s="14">
        <v>29</v>
      </c>
      <c r="C35" s="15">
        <f>ROUND(C22+C23+C26+C27+C28+C29+C30+C31+C32+C33+C34,2)</f>
        <v>0</v>
      </c>
      <c r="D35" s="15">
        <f>ROUND(D22+D23+D26+D27+D28+D29+D30+D31+D32+D33+D34,2)</f>
        <v>0</v>
      </c>
    </row>
    <row r="36" ht="18" customHeight="1" spans="1:4">
      <c r="A36" s="13" t="s">
        <v>835</v>
      </c>
      <c r="B36" s="14">
        <v>30</v>
      </c>
      <c r="C36" s="15">
        <f>ROUND(C20+C35,2)</f>
        <v>0</v>
      </c>
      <c r="D36" s="15">
        <f>ROUND(D20+D35,2)</f>
        <v>0</v>
      </c>
    </row>
    <row r="37" ht="24" customHeight="1" spans="1:4">
      <c r="A37" s="23" t="str">
        <f>IF(ROUND(C36-G30,2)=0,"✔ 平衡校验通过：资产总计 ＝ 负债和所有者权益总计","✘ 不平衡，差额 "&amp;TEXT(C36-G30,"#,##0.00")&amp;" 元，请检查记账凭证与期初余额")</f>
        <v>✔ 平衡校验通过：资产总计 ＝ 负债和所有者权益总计</v>
      </c>
    </row>
  </sheetData>
  <mergeCells count="3">
    <mergeCell ref="A1:H1"/>
    <mergeCell ref="A2:H2"/>
    <mergeCell ref="A37:H37"/>
  </mergeCells>
  <conditionalFormatting sqref="A2">
    <cfRule type="expression" dxfId="0" priority="1">
      <formula>OR(N(对接源_01水果!$T$1)+N(对接源_02物料!$T$1)=0,N(对接源_01水果!$T$4)*N(对接源_02物料!$T$4)=0)</formula>
    </cfRule>
  </conditionalFormatting>
  <dataValidations count="1">
    <dataValidation type="list" allowBlank="1" sqref="B3">
      <formula1>科目表!$P$4:$P$140</formula1>
    </dataValidation>
  </dataValidations>
  <pageMargins left="0.3" right="0.3" top="0.4" bottom="0.4" header="0.5" footer="0.5"/>
  <pageSetup paperSize="9" fitToHeight="0" orientation="landscape"/>
  <headerFooter>
    <oddFooter>&amp;L&amp;A&amp;R第 &amp;P 页 / 共 &amp;N 页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tabSelected="1" workbookViewId="0">
      <selection activeCell="E12" sqref="E12"/>
    </sheetView>
  </sheetViews>
  <sheetFormatPr defaultColWidth="9" defaultRowHeight="13.5" outlineLevelCol="7"/>
  <cols>
    <col min="1" max="1" width="40" customWidth="1"/>
    <col min="2" max="2" width="10" customWidth="1"/>
    <col min="3" max="4" width="20" customWidth="1"/>
    <col min="5" max="5" width="14" customWidth="1"/>
    <col min="6" max="6" width="13" customWidth="1"/>
    <col min="7" max="7" width="9" customWidth="1"/>
    <col min="8" max="8" width="12" customWidth="1"/>
  </cols>
  <sheetData>
    <row r="1" ht="30" customHeight="1" spans="1:8">
      <c r="A1" s="2" t="s">
        <v>836</v>
      </c>
      <c r="G1" s="3" t="s">
        <v>837</v>
      </c>
      <c r="H1" s="4">
        <f>IF($B$3="",科目余额表!$M$1,$B$3)</f>
        <v>46235</v>
      </c>
    </row>
    <row r="2" ht="30" customHeight="1" spans="1:8">
      <c r="A2" s="5" t="s">
        <v>838</v>
      </c>
      <c r="G2" s="3" t="s">
        <v>839</v>
      </c>
      <c r="H2" s="4">
        <f>IF($D$3="",科目余额表!$M$2,$D$3)</f>
        <v>46599</v>
      </c>
    </row>
    <row r="3" ht="16.5" customHeight="1" spans="1:8">
      <c r="A3" s="6" t="s">
        <v>840</v>
      </c>
      <c r="B3" s="7">
        <v>46235</v>
      </c>
      <c r="C3" s="6" t="s">
        <v>841</v>
      </c>
      <c r="D3" s="7">
        <v>46599</v>
      </c>
      <c r="E3" s="8" t="s">
        <v>842</v>
      </c>
      <c r="F3" s="7"/>
      <c r="G3" s="3" t="s">
        <v>843</v>
      </c>
      <c r="H3" s="4">
        <f>IF($F$3="",$H$1,$F$3)</f>
        <v>46235</v>
      </c>
    </row>
    <row r="4" ht="26" customHeight="1" spans="1:8">
      <c r="A4" s="9" t="s">
        <v>844</v>
      </c>
      <c r="B4" s="9" t="s">
        <v>774</v>
      </c>
      <c r="C4" s="9" t="s">
        <v>845</v>
      </c>
      <c r="D4" s="9" t="s">
        <v>846</v>
      </c>
    </row>
    <row r="5" ht="20" customHeight="1" spans="1:8">
      <c r="A5" s="10" t="s">
        <v>847</v>
      </c>
      <c r="B5" s="11">
        <v>1</v>
      </c>
      <c r="C5" s="12">
        <f>ROUND(SUMIFS(记账凭证!$I$4:$I$3609,记账凭证!$G$4:$G$3609,"营业收入",记账凭证!$B$4:$B$3609,"&gt;="&amp;$H$1,记账凭证!$B$4:$B$3609,"&lt;="&amp;$H$2),2)</f>
        <v>0</v>
      </c>
      <c r="D5" s="12">
        <f>ROUND(SUMIFS(记账凭证!$I$4:$I$3609,记账凭证!$G$4:$G$3609,"营业收入",记账凭证!$B$4:$B$3609,"&gt;="&amp;$H$3,记账凭证!$B$4:$B$3609,"&lt;="&amp;$H$2),2)</f>
        <v>0</v>
      </c>
    </row>
    <row r="6" ht="20" customHeight="1" spans="1:8">
      <c r="A6" s="10" t="s">
        <v>848</v>
      </c>
      <c r="B6" s="11">
        <v>2</v>
      </c>
      <c r="C6" s="12">
        <f>ROUND(SUMIFS(记账凭证!$H$4:$H$3609,记账凭证!$G$4:$G$3609,"营业成本",记账凭证!$B$4:$B$3609,"&gt;="&amp;$H$1,记账凭证!$B$4:$B$3609,"&lt;="&amp;$H$2),2)</f>
        <v>0</v>
      </c>
      <c r="D6" s="12">
        <f>ROUND(SUMIFS(记账凭证!$H$4:$H$3609,记账凭证!$G$4:$G$3609,"营业成本",记账凭证!$B$4:$B$3609,"&gt;="&amp;$H$3,记账凭证!$B$4:$B$3609,"&lt;="&amp;$H$2),2)</f>
        <v>0</v>
      </c>
    </row>
    <row r="7" ht="20" customHeight="1" spans="1:8">
      <c r="A7" s="10" t="s">
        <v>849</v>
      </c>
      <c r="B7" s="11">
        <v>3</v>
      </c>
      <c r="C7" s="12">
        <f>ROUND(SUMIFS(记账凭证!$H$4:$H$3609,记账凭证!$G$4:$G$3609,"税金及附加",记账凭证!$B$4:$B$3609,"&gt;="&amp;$H$1,记账凭证!$B$4:$B$3609,"&lt;="&amp;$H$2),2)</f>
        <v>0</v>
      </c>
      <c r="D7" s="12">
        <f>ROUND(SUMIFS(记账凭证!$H$4:$H$3609,记账凭证!$G$4:$G$3609,"税金及附加",记账凭证!$B$4:$B$3609,"&gt;="&amp;$H$3,记账凭证!$B$4:$B$3609,"&lt;="&amp;$H$2),2)</f>
        <v>0</v>
      </c>
    </row>
    <row r="8" ht="20" customHeight="1" spans="1:8">
      <c r="A8" s="10" t="s">
        <v>850</v>
      </c>
      <c r="B8" s="11">
        <v>4</v>
      </c>
      <c r="C8" s="12">
        <f>ROUND(SUMIFS(记账凭证!$H$4:$H$3609,记账凭证!$G$4:$G$3609,"销售费用",记账凭证!$B$4:$B$3609,"&gt;="&amp;$H$1,记账凭证!$B$4:$B$3609,"&lt;="&amp;$H$2),2)</f>
        <v>0</v>
      </c>
      <c r="D8" s="12">
        <f>ROUND(SUMIFS(记账凭证!$H$4:$H$3609,记账凭证!$G$4:$G$3609,"销售费用",记账凭证!$B$4:$B$3609,"&gt;="&amp;$H$3,记账凭证!$B$4:$B$3609,"&lt;="&amp;$H$2),2)</f>
        <v>0</v>
      </c>
    </row>
    <row r="9" ht="20" customHeight="1" spans="1:8">
      <c r="A9" s="10" t="s">
        <v>851</v>
      </c>
      <c r="B9" s="11">
        <v>5</v>
      </c>
      <c r="C9" s="12">
        <f>ROUND(SUMIFS(记账凭证!$H$4:$H$3609,记账凭证!$G$4:$G$3609,"管理费用",记账凭证!$B$4:$B$3609,"&gt;="&amp;$H$1,记账凭证!$B$4:$B$3609,"&lt;="&amp;$H$2),2)</f>
        <v>0</v>
      </c>
      <c r="D9" s="12">
        <f>ROUND(SUMIFS(记账凭证!$H$4:$H$3609,记账凭证!$G$4:$G$3609,"管理费用",记账凭证!$B$4:$B$3609,"&gt;="&amp;$H$3,记账凭证!$B$4:$B$3609,"&lt;="&amp;$H$2),2)</f>
        <v>0</v>
      </c>
    </row>
    <row r="10" ht="20" customHeight="1" spans="1:8">
      <c r="A10" s="10" t="s">
        <v>852</v>
      </c>
      <c r="B10" s="11">
        <v>6</v>
      </c>
      <c r="C10" s="12">
        <f>ROUND(SUMIFS(记账凭证!$H$4:$H$3609,记账凭证!$G$4:$G$3609,"财务费用",记账凭证!$B$4:$B$3609,"&gt;="&amp;$H$1,记账凭证!$B$4:$B$3609,"&lt;="&amp;$H$2),2)</f>
        <v>0</v>
      </c>
      <c r="D10" s="12">
        <f>ROUND(SUMIFS(记账凭证!$H$4:$H$3609,记账凭证!$G$4:$G$3609,"财务费用",记账凭证!$B$4:$B$3609,"&gt;="&amp;$H$3,记账凭证!$B$4:$B$3609,"&lt;="&amp;$H$2),2)</f>
        <v>0</v>
      </c>
    </row>
    <row r="11" ht="20" customHeight="1" spans="1:8">
      <c r="A11" s="10" t="s">
        <v>853</v>
      </c>
      <c r="B11" s="11">
        <v>7</v>
      </c>
      <c r="C11" s="12">
        <f>ROUND(SUMIFS(记账凭证!$I$4:$I$3609,记账凭证!$G$4:$G$3609,"投资收益",记账凭证!$B$4:$B$3609,"&gt;="&amp;$H$1,记账凭证!$B$4:$B$3609,"&lt;="&amp;$H$2),2)</f>
        <v>0</v>
      </c>
      <c r="D11" s="12">
        <f>ROUND(SUMIFS(记账凭证!$I$4:$I$3609,记账凭证!$G$4:$G$3609,"投资收益",记账凭证!$B$4:$B$3609,"&gt;="&amp;$H$3,记账凭证!$B$4:$B$3609,"&lt;="&amp;$H$2),2)</f>
        <v>0</v>
      </c>
    </row>
    <row r="12" ht="20" customHeight="1" spans="1:8">
      <c r="A12" s="13" t="s">
        <v>854</v>
      </c>
      <c r="B12" s="14">
        <v>8</v>
      </c>
      <c r="C12" s="15">
        <f>ROUND(C5-C6-C7-C8-C9-C10+C11,2)</f>
        <v>0</v>
      </c>
      <c r="D12" s="15">
        <f>ROUND(D5-D6-D7-D8-D9-D10+D11,2)</f>
        <v>0</v>
      </c>
    </row>
    <row r="13" ht="20" customHeight="1" spans="1:8">
      <c r="A13" s="10" t="s">
        <v>855</v>
      </c>
      <c r="B13" s="11">
        <v>9</v>
      </c>
      <c r="C13" s="12">
        <f>ROUND(SUMIFS(记账凭证!$I$4:$I$3609,记账凭证!$G$4:$G$3609,"营业外收入",记账凭证!$B$4:$B$3609,"&gt;="&amp;$H$1,记账凭证!$B$4:$B$3609,"&lt;="&amp;$H$2),2)</f>
        <v>0</v>
      </c>
      <c r="D13" s="12">
        <f>ROUND(SUMIFS(记账凭证!$I$4:$I$3609,记账凭证!$G$4:$G$3609,"营业外收入",记账凭证!$B$4:$B$3609,"&gt;="&amp;$H$3,记账凭证!$B$4:$B$3609,"&lt;="&amp;$H$2),2)</f>
        <v>0</v>
      </c>
    </row>
    <row r="14" ht="20" customHeight="1" spans="1:8">
      <c r="A14" s="10" t="s">
        <v>856</v>
      </c>
      <c r="B14" s="11">
        <v>10</v>
      </c>
      <c r="C14" s="12">
        <f>ROUND(SUMIFS(记账凭证!$H$4:$H$3609,记账凭证!$G$4:$G$3609,"营业外支出",记账凭证!$B$4:$B$3609,"&gt;="&amp;$H$1,记账凭证!$B$4:$B$3609,"&lt;="&amp;$H$2),2)</f>
        <v>0</v>
      </c>
      <c r="D14" s="12">
        <f>ROUND(SUMIFS(记账凭证!$H$4:$H$3609,记账凭证!$G$4:$G$3609,"营业外支出",记账凭证!$B$4:$B$3609,"&gt;="&amp;$H$3,记账凭证!$B$4:$B$3609,"&lt;="&amp;$H$2),2)</f>
        <v>0</v>
      </c>
    </row>
    <row r="15" ht="20" customHeight="1" spans="1:8">
      <c r="A15" s="13" t="s">
        <v>857</v>
      </c>
      <c r="B15" s="14">
        <v>11</v>
      </c>
      <c r="C15" s="15">
        <f>ROUND(C12+C13-C14,2)</f>
        <v>0</v>
      </c>
      <c r="D15" s="15">
        <f>ROUND(D12+D13-D14,2)</f>
        <v>0</v>
      </c>
    </row>
    <row r="16" ht="20" customHeight="1" spans="1:8">
      <c r="A16" s="10" t="s">
        <v>858</v>
      </c>
      <c r="B16" s="11">
        <v>12</v>
      </c>
      <c r="C16" s="12">
        <f>ROUND(SUMIFS(记账凭证!$H$4:$H$3609,记账凭证!$G$4:$G$3609,"所得税费用",记账凭证!$B$4:$B$3609,"&gt;="&amp;$H$1,记账凭证!$B$4:$B$3609,"&lt;="&amp;$H$2),2)</f>
        <v>0</v>
      </c>
      <c r="D16" s="12">
        <f>ROUND(SUMIFS(记账凭证!$H$4:$H$3609,记账凭证!$G$4:$G$3609,"所得税费用",记账凭证!$B$4:$B$3609,"&gt;="&amp;$H$3,记账凭证!$B$4:$B$3609,"&lt;="&amp;$H$2),2)</f>
        <v>0</v>
      </c>
    </row>
    <row r="17" ht="20" customHeight="1" spans="1:4">
      <c r="A17" s="13" t="s">
        <v>859</v>
      </c>
      <c r="B17" s="14">
        <v>13</v>
      </c>
      <c r="C17" s="15">
        <f>ROUND(C15-C16,2)</f>
        <v>0</v>
      </c>
      <c r="D17" s="15">
        <f>ROUND(D15-D16,2)</f>
        <v>0</v>
      </c>
    </row>
    <row r="19" spans="1:4">
      <c r="A19" s="16" t="s">
        <v>860</v>
      </c>
    </row>
  </sheetData>
  <mergeCells count="3">
    <mergeCell ref="A1:D1"/>
    <mergeCell ref="A2:D2"/>
    <mergeCell ref="A19:D19"/>
  </mergeCells>
  <conditionalFormatting sqref="A2">
    <cfRule type="expression" dxfId="0" priority="1">
      <formula>OR(N(对接源_01水果!$T$1)+N(对接源_02物料!$T$1)=0,N(对接源_01水果!$T$4)*N(对接源_02物料!$T$4)=0)</formula>
    </cfRule>
  </conditionalFormatting>
  <pageMargins left="0.3" right="0.3" top="0.4" bottom="0.4" header="0.5" footer="0.5"/>
  <pageSetup paperSize="9" fitToHeight="0" orientation="portrait"/>
  <headerFooter>
    <oddFooter>&amp;L&amp;A&amp;R第 &amp;P 页 / 共 &amp;N 页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805"/>
  <sheetViews>
    <sheetView workbookViewId="0">
      <selection activeCell="E31" sqref="E31"/>
    </sheetView>
  </sheetViews>
  <sheetFormatPr defaultColWidth="9" defaultRowHeight="13.5"/>
  <sheetData>
    <row r="1" spans="1:36">
      <c r="A1">
        <f>MAX($C$4:$C$1805)</f>
        <v>0</v>
      </c>
      <c r="G1" t="str">
        <f>往来对账单!$B$2</f>
        <v>新顺</v>
      </c>
      <c r="H1">
        <f>IF(往来对账单!$F$2="",0,N(往来对账单!$F$2))</f>
        <v>0</v>
      </c>
      <c r="I1">
        <f>IF(往来对账单!$H$2="",99999999,N(往来对账单!$H$2))</f>
        <v>99999999</v>
      </c>
      <c r="J1">
        <f>MAX($H$4:$H$910)</f>
        <v>0</v>
      </c>
      <c r="T1">
        <f>MAX($V$4:$V$903)</f>
        <v>0</v>
      </c>
      <c r="Z1">
        <f>MAX($AB$4:$AB$303)</f>
        <v>0</v>
      </c>
      <c r="AF1">
        <f>MAX($AH$4:$AH$603)</f>
        <v>0</v>
      </c>
    </row>
    <row r="2" spans="1:36">
      <c r="A2" t="s">
        <v>861</v>
      </c>
      <c r="G2" t="str">
        <f>IF(往来对账单!$G$3="",2958465,往来对账单!$G$3)</f>
        <v>是否含税:</v>
      </c>
    </row>
    <row r="3" spans="1:36">
      <c r="A3" s="1" t="s">
        <v>371</v>
      </c>
      <c r="B3" s="1" t="s">
        <v>862</v>
      </c>
      <c r="C3" s="1" t="s">
        <v>181</v>
      </c>
      <c r="E3" s="1" t="s">
        <v>863</v>
      </c>
      <c r="G3" s="1" t="s">
        <v>864</v>
      </c>
      <c r="H3" s="1" t="s">
        <v>181</v>
      </c>
      <c r="I3" s="1" t="s">
        <v>602</v>
      </c>
      <c r="J3" s="1" t="s">
        <v>603</v>
      </c>
      <c r="K3" s="1" t="s">
        <v>627</v>
      </c>
      <c r="L3" s="1" t="s">
        <v>616</v>
      </c>
      <c r="M3" s="1" t="s">
        <v>617</v>
      </c>
      <c r="N3" s="1" t="s">
        <v>865</v>
      </c>
      <c r="O3" s="1" t="s">
        <v>628</v>
      </c>
      <c r="P3" s="1" t="s">
        <v>172</v>
      </c>
      <c r="Q3" s="1" t="s">
        <v>64</v>
      </c>
      <c r="T3" s="1" t="s">
        <v>615</v>
      </c>
      <c r="U3" s="1" t="s">
        <v>862</v>
      </c>
      <c r="V3" s="1" t="s">
        <v>181</v>
      </c>
      <c r="X3" s="1" t="s">
        <v>866</v>
      </c>
      <c r="Z3" s="1" t="s">
        <v>867</v>
      </c>
      <c r="AA3" s="1" t="s">
        <v>862</v>
      </c>
      <c r="AB3" s="1" t="s">
        <v>181</v>
      </c>
      <c r="AD3" s="1" t="s">
        <v>868</v>
      </c>
      <c r="AF3" s="1" t="s">
        <v>869</v>
      </c>
      <c r="AG3" s="1" t="s">
        <v>862</v>
      </c>
      <c r="AH3" s="1" t="s">
        <v>181</v>
      </c>
      <c r="AJ3" s="1" t="s">
        <v>870</v>
      </c>
    </row>
    <row r="4" spans="1:36">
      <c r="A4" t="str">
        <f>IF(进销存对接!$D4="客户应收",进销存对接!$C4,"")</f>
        <v/>
      </c>
      <c r="B4">
        <f t="shared" ref="B4:B67" si="0">IF(A4="",0,IF(MATCH(A4,$A$4:$A$1805,0)=ROW()-3,1,0))</f>
        <v>0</v>
      </c>
      <c r="C4">
        <f t="shared" ref="C4:C67" si="1">N(C3)+B4</f>
        <v>0</v>
      </c>
      <c r="E4" t="str">
        <f t="shared" ref="E4:E67" si="2">IFERROR(INDEX($A$4:$A$1805,MATCH(ROW()-3,$C$4:$C$1805,0)),"")</f>
        <v/>
      </c>
      <c r="G4">
        <f>IF($G$1="",0,IF(ROUND(SUMIF(原料入库计价!$B$909:$B$1028,$G$1,原料入库计价!$D$909:$D$1028),2)&lt;&gt;0,1,0))</f>
        <v>0</v>
      </c>
      <c r="H4">
        <f t="shared" ref="H4:H67" si="3">N(H3)+$G4</f>
        <v>0</v>
      </c>
      <c r="I4" t="str">
        <f t="shared" ref="I4:I10" si="4">IF($G4=0,"",IF(""=0,"",""))</f>
        <v/>
      </c>
      <c r="J4" t="str">
        <f>IF($G4=0,"",IF("仓储费"=0,"","仓储费"))</f>
        <v/>
      </c>
      <c r="K4" t="str">
        <f>IF($G4=0,"",IF("筐"=0,"","筐"))</f>
        <v/>
      </c>
      <c r="L4" t="str">
        <f>IF($G4=0,"",IF(SUMIF(原料入库计价!$B$909:$B$1028,$G$1,原料入库计价!$H$909:$H$1028)=0,"",SUMIF(原料入库计价!$B$909:$B$1028,$G$1,原料入库计价!$H$909:$H$1028)))</f>
        <v/>
      </c>
      <c r="M4" t="str">
        <f t="shared" ref="M4:M67" si="5">IF($G4=0,"",IF(""=0,"",""))</f>
        <v/>
      </c>
      <c r="N4" t="str">
        <f>IF($G4=0,"",IF(SUMIF(原料入库计价!$B$909:$B$1028,$G$1,原料入库计价!$D$909:$D$1028)=0,"",SUMIF(原料入库计价!$B$909:$B$1028,$G$1,原料入库计价!$D$909:$D$1028)))</f>
        <v/>
      </c>
      <c r="O4" t="str">
        <f t="shared" ref="O4:O10" si="6">IF($G4=0,"",IF(""=0,"",""))</f>
        <v/>
      </c>
      <c r="P4" t="str">
        <f t="shared" ref="P4:P10" si="7">IF($G4=0,"",IF(""=0,"",""))</f>
        <v/>
      </c>
      <c r="Q4" t="str">
        <f>IF($G$1="","",IF(OR(原料入库计价!$B108&lt;&gt;$G$1,原料入库计价!$C108=""),Q3&amp;"",IF(ISNUMBER(SEARCH(原料入库计价!$C108,Q3&amp;"")),Q3&amp;"",Q3&amp;原料入库计价!$C108)))</f>
        <v/>
      </c>
      <c r="T4" t="str">
        <f>IF(资金日记账!$G4="","",资金日记账!$G4)</f>
        <v/>
      </c>
      <c r="U4">
        <f t="shared" ref="U4:U67" si="8">IF(T4="",0,IF(MATCH(T4,$T$4:$T$903,0)=ROW()-3,1,0))</f>
        <v>0</v>
      </c>
      <c r="V4">
        <f t="shared" ref="V4:V67" si="9">N(V3)+U4</f>
        <v>0</v>
      </c>
      <c r="X4" t="str">
        <f>IFERROR(INDEX($T$4:$T$903,MATCH(1,$V$4:$V$903,0)),"")</f>
        <v/>
      </c>
      <c r="Z4" t="str">
        <f>IF(成本费用登记表!$C4="","",成本费用登记表!$C4)</f>
        <v/>
      </c>
      <c r="AA4">
        <f t="shared" ref="AA4:AA67" si="10">IF(Z4="",0,IF(MATCH(Z4,$Z$4:$Z$303,0)=ROW()-3,1,0))</f>
        <v>0</v>
      </c>
      <c r="AB4">
        <f t="shared" ref="AB4:AB67" si="11">N(AB3)+AA4</f>
        <v>0</v>
      </c>
      <c r="AD4" t="str">
        <f>IFERROR(INDEX($Z$4:$Z$303,MATCH(1,$AB$4:$AB$303,0)),"")</f>
        <v/>
      </c>
      <c r="AF4" t="str">
        <f>IF(OR(资金日记账!$E4="",N(资金日记账!$H4)=0),"",资金日记账!$E4)</f>
        <v/>
      </c>
      <c r="AG4">
        <f t="shared" ref="AG4:AG67" si="12">IF(AF4="",0,IF(MATCH(AF4,$AF$4:$AF$603,0)=ROW()-3,1,0))</f>
        <v>0</v>
      </c>
      <c r="AH4">
        <f t="shared" ref="AH4:AH67" si="13">N(AH3)+AG4</f>
        <v>0</v>
      </c>
      <c r="AJ4" t="str">
        <f>IFERROR(INDEX($AF$4:$AF$603,MATCH(1,$AH$4:$AH$603,0)),"")</f>
        <v/>
      </c>
    </row>
    <row r="5" spans="1:36">
      <c r="A5" t="str">
        <f>IF(进销存对接!$D5="客户应收",进销存对接!$C5,"")</f>
        <v/>
      </c>
      <c r="B5">
        <f t="shared" si="0"/>
        <v>0</v>
      </c>
      <c r="C5">
        <f t="shared" si="1"/>
        <v>0</v>
      </c>
      <c r="E5" t="str">
        <f t="shared" si="2"/>
        <v/>
      </c>
      <c r="G5">
        <f>IF($G$1="",0,IF(ROUND(SUMIF(原料入库计价!$B$909:$B$1028,$G$1,原料入库计价!$C$909:$C$1028),2)&lt;&gt;0,1,0))</f>
        <v>0</v>
      </c>
      <c r="H5">
        <f t="shared" si="3"/>
        <v>0</v>
      </c>
      <c r="I5" t="str">
        <f t="shared" si="4"/>
        <v/>
      </c>
      <c r="J5" t="str">
        <f>IF($G5=0,"",IF("周转费"=0,"","周转费"))</f>
        <v/>
      </c>
      <c r="K5" t="str">
        <f>IF($G5=0,"",IF("筐"=0,"","筐"))</f>
        <v/>
      </c>
      <c r="L5" t="str">
        <f>IF($G5=0,"",IF(SUMIF(原料入库计价!$B$909:$B$1028,$G$1,原料入库计价!$G$909:$G$1028)=0,"",SUMIF(原料入库计价!$B$909:$B$1028,$G$1,原料入库计价!$G$909:$G$1028)))</f>
        <v/>
      </c>
      <c r="M5" t="str">
        <f t="shared" si="5"/>
        <v/>
      </c>
      <c r="N5" t="str">
        <f>IF($G5=0,"",IF(SUMIF(原料入库计价!$B$909:$B$1028,$G$1,原料入库计价!$C$909:$C$1028)=0,"",SUMIF(原料入库计价!$B$909:$B$1028,$G$1,原料入库计价!$C$909:$C$1028)))</f>
        <v/>
      </c>
      <c r="O5" t="str">
        <f t="shared" si="6"/>
        <v/>
      </c>
      <c r="P5" t="str">
        <f t="shared" si="7"/>
        <v/>
      </c>
      <c r="Q5" t="str">
        <f>IF($G$1="","",IF(OR(原料入库计价!$B109&lt;&gt;$G$1,原料入库计价!$C109=""),Q4&amp;"",IF(ISNUMBER(SEARCH(原料入库计价!$C109,Q4&amp;"")),Q4&amp;"",Q4&amp;原料入库计价!$C109)))</f>
        <v/>
      </c>
      <c r="T5" t="str">
        <f>IF(资金日记账!$G5="","",资金日记账!$G5)</f>
        <v/>
      </c>
      <c r="U5">
        <f t="shared" si="8"/>
        <v>0</v>
      </c>
      <c r="V5">
        <f t="shared" si="9"/>
        <v>0</v>
      </c>
      <c r="X5" t="str">
        <f>IFERROR(INDEX($T$4:$T$903,MATCH(2,$V$4:$V$903,0)),"")</f>
        <v/>
      </c>
      <c r="Z5" t="str">
        <f>IF(成本费用登记表!$C5="","",成本费用登记表!$C5)</f>
        <v/>
      </c>
      <c r="AA5">
        <f t="shared" si="10"/>
        <v>0</v>
      </c>
      <c r="AB5">
        <f t="shared" si="11"/>
        <v>0</v>
      </c>
      <c r="AD5" t="str">
        <f>IFERROR(INDEX($Z$4:$Z$303,MATCH(2,$AB$4:$AB$303,0)),"")</f>
        <v/>
      </c>
      <c r="AF5" t="str">
        <f>IF(OR(资金日记账!$E5="",N(资金日记账!$H5)=0),"",资金日记账!$E5)</f>
        <v/>
      </c>
      <c r="AG5">
        <f t="shared" si="12"/>
        <v>0</v>
      </c>
      <c r="AH5">
        <f t="shared" si="13"/>
        <v>0</v>
      </c>
      <c r="AJ5" t="str">
        <f>IFERROR(INDEX($AF$4:$AF$603,MATCH(2,$AH$4:$AH$603,0)),"")</f>
        <v/>
      </c>
    </row>
    <row r="6" spans="1:36">
      <c r="A6" t="str">
        <f>IF(进销存对接!$D6="客户应收",进销存对接!$C6,"")</f>
        <v/>
      </c>
      <c r="B6">
        <f t="shared" si="0"/>
        <v>0</v>
      </c>
      <c r="C6">
        <f t="shared" si="1"/>
        <v>0</v>
      </c>
      <c r="E6" t="str">
        <f t="shared" si="2"/>
        <v/>
      </c>
      <c r="G6">
        <f>IF($G$1="",0,IF(ROUND(SUMIF(原料入库计价!$B$909:$B$1028,$G$1,原料入库计价!$E$909:$E$1028),2)&lt;&gt;0,1,0))</f>
        <v>0</v>
      </c>
      <c r="H6">
        <f t="shared" si="3"/>
        <v>0</v>
      </c>
      <c r="I6" t="str">
        <f t="shared" si="4"/>
        <v/>
      </c>
      <c r="J6" t="str">
        <f>IF($G6=0,"",IF("装卸费"=0,"","装卸费"))</f>
        <v/>
      </c>
      <c r="K6" t="str">
        <f>IF($G6=0,"",IF("筐"=0,"","筐"))</f>
        <v/>
      </c>
      <c r="L6" t="str">
        <f>IF($G6=0,"",IF(SUMIF(原料入库计价!$B$909:$B$1028,$G$1,原料入库计价!$I$909:$I$1028)=0,"",SUMIF(原料入库计价!$B$909:$B$1028,$G$1,原料入库计价!$I$909:$I$1028)))</f>
        <v/>
      </c>
      <c r="M6" t="str">
        <f t="shared" si="5"/>
        <v/>
      </c>
      <c r="N6" t="str">
        <f>IF($G6=0,"",IF(SUMIF(原料入库计价!$B$909:$B$1028,$G$1,原料入库计价!$E$909:$E$1028)=0,"",SUMIF(原料入库计价!$B$909:$B$1028,$G$1,原料入库计价!$E$909:$E$1028)))</f>
        <v/>
      </c>
      <c r="O6" t="str">
        <f t="shared" si="6"/>
        <v/>
      </c>
      <c r="P6" t="str">
        <f t="shared" si="7"/>
        <v/>
      </c>
      <c r="Q6" t="str">
        <f>IF($G$1="","",IF(OR(原料入库计价!$B110&lt;&gt;$G$1,原料入库计价!$C110=""),Q5&amp;"",IF(ISNUMBER(SEARCH(原料入库计价!$C110,Q5&amp;"")),Q5&amp;"",Q5&amp;原料入库计价!$C110)))</f>
        <v/>
      </c>
      <c r="T6" t="str">
        <f>IF(资金日记账!$G6="","",资金日记账!$G6)</f>
        <v/>
      </c>
      <c r="U6">
        <f t="shared" si="8"/>
        <v>0</v>
      </c>
      <c r="V6">
        <f t="shared" si="9"/>
        <v>0</v>
      </c>
      <c r="X6" t="str">
        <f>IFERROR(INDEX($T$4:$T$903,MATCH(3,$V$4:$V$903,0)),"")</f>
        <v/>
      </c>
      <c r="Z6" t="str">
        <f>IF(成本费用登记表!$C6="","",成本费用登记表!$C6)</f>
        <v/>
      </c>
      <c r="AA6">
        <f t="shared" si="10"/>
        <v>0</v>
      </c>
      <c r="AB6">
        <f t="shared" si="11"/>
        <v>0</v>
      </c>
      <c r="AD6" t="str">
        <f>IFERROR(INDEX($Z$4:$Z$303,MATCH(3,$AB$4:$AB$303,0)),"")</f>
        <v/>
      </c>
      <c r="AF6" t="str">
        <f>IF(OR(资金日记账!$E6="",N(资金日记账!$H6)=0),"",资金日记账!$E6)</f>
        <v/>
      </c>
      <c r="AG6">
        <f t="shared" si="12"/>
        <v>0</v>
      </c>
      <c r="AH6">
        <f t="shared" si="13"/>
        <v>0</v>
      </c>
      <c r="AJ6" t="str">
        <f>IFERROR(INDEX($AF$4:$AF$603,MATCH(3,$AH$4:$AH$603,0)),"")</f>
        <v/>
      </c>
    </row>
    <row r="7" spans="1:36">
      <c r="A7" t="str">
        <f>IF(进销存对接!$D7="客户应收",进销存对接!$C7,"")</f>
        <v/>
      </c>
      <c r="B7">
        <f t="shared" si="0"/>
        <v>0</v>
      </c>
      <c r="C7">
        <f t="shared" si="1"/>
        <v>0</v>
      </c>
      <c r="E7" t="str">
        <f t="shared" si="2"/>
        <v/>
      </c>
      <c r="G7">
        <f>IF($G$1="",0,IF(ROUND(SUMIFS(进销存对接!$G$4:$G$305,进销存对接!$C$4:$C$305,$G$1,进销存对接!$D$4:$D$305,"成品销售款"),2)&lt;&gt;0,1,0))</f>
        <v>0</v>
      </c>
      <c r="H7">
        <f t="shared" si="3"/>
        <v>0</v>
      </c>
      <c r="I7" t="str">
        <f t="shared" si="4"/>
        <v/>
      </c>
      <c r="J7" t="str">
        <f>IF($G7=0,"",IF("成品销售款"=0,"","成品销售款"))</f>
        <v/>
      </c>
      <c r="K7" t="str">
        <f t="shared" ref="K7:K70" si="14">IF($G7=0,"",IF(""=0,"",""))</f>
        <v/>
      </c>
      <c r="L7" t="str">
        <f t="shared" ref="L7:L70" si="15">IF($G7=0,"",IF(""=0,"",""))</f>
        <v/>
      </c>
      <c r="M7" t="str">
        <f t="shared" si="5"/>
        <v/>
      </c>
      <c r="N7" t="str">
        <f>IF($G7=0,"",IF(SUMIFS(进销存对接!$G$4:$G$305,进销存对接!$C$4:$C$305,$G$1,进销存对接!$D$4:$D$305,"成品销售款")=0,"",SUMIFS(进销存对接!$G$4:$G$305,进销存对接!$C$4:$C$305,$G$1,进销存对接!$D$4:$D$305,"成品销售款")))</f>
        <v/>
      </c>
      <c r="O7" t="str">
        <f t="shared" si="6"/>
        <v/>
      </c>
      <c r="P7" t="str">
        <f t="shared" si="7"/>
        <v/>
      </c>
      <c r="Q7" t="str">
        <f>IF($G$1="","",IF(OR(原料入库计价!$B111&lt;&gt;$G$1,原料入库计价!$C111=""),Q6&amp;"",IF(ISNUMBER(SEARCH(原料入库计价!$C111,Q6&amp;"")),Q6&amp;"",Q6&amp;原料入库计价!$C111)))</f>
        <v/>
      </c>
      <c r="T7" t="str">
        <f>IF(资金日记账!$G7="","",资金日记账!$G7)</f>
        <v/>
      </c>
      <c r="U7">
        <f t="shared" si="8"/>
        <v>0</v>
      </c>
      <c r="V7">
        <f t="shared" si="9"/>
        <v>0</v>
      </c>
      <c r="X7" t="str">
        <f>IFERROR(INDEX($T$4:$T$903,MATCH(4,$V$4:$V$903,0)),"")</f>
        <v/>
      </c>
      <c r="Z7" t="str">
        <f>IF(成本费用登记表!$C7="","",成本费用登记表!$C7)</f>
        <v/>
      </c>
      <c r="AA7">
        <f t="shared" si="10"/>
        <v>0</v>
      </c>
      <c r="AB7">
        <f t="shared" si="11"/>
        <v>0</v>
      </c>
      <c r="AD7" t="str">
        <f>IFERROR(INDEX($Z$4:$Z$303,MATCH(4,$AB$4:$AB$303,0)),"")</f>
        <v/>
      </c>
      <c r="AF7" t="str">
        <f>IF(OR(资金日记账!$E7="",N(资金日记账!$H7)=0),"",资金日记账!$E7)</f>
        <v/>
      </c>
      <c r="AG7">
        <f t="shared" si="12"/>
        <v>0</v>
      </c>
      <c r="AH7">
        <f t="shared" si="13"/>
        <v>0</v>
      </c>
      <c r="AJ7" t="str">
        <f>IFERROR(INDEX($AF$4:$AF$603,MATCH(4,$AH$4:$AH$603,0)),"")</f>
        <v/>
      </c>
    </row>
    <row r="8" spans="1:36">
      <c r="A8" t="str">
        <f>IF(进销存对接!$D8="客户应收",进销存对接!$C8,"")</f>
        <v/>
      </c>
      <c r="B8">
        <f t="shared" si="0"/>
        <v>0</v>
      </c>
      <c r="C8">
        <f t="shared" si="1"/>
        <v>0</v>
      </c>
      <c r="E8" t="str">
        <f t="shared" si="2"/>
        <v/>
      </c>
      <c r="G8">
        <f>IF($G$1="",0,IF(ROUND(SUMIFS(进销存对接!$G$4:$G$305,进销存对接!$C$4:$C$305,$G$1,进销存对接!$D$4:$D$305,"筐子销售款"),2)&lt;&gt;0,1,0))</f>
        <v>0</v>
      </c>
      <c r="H8">
        <f t="shared" si="3"/>
        <v>0</v>
      </c>
      <c r="I8" t="str">
        <f t="shared" si="4"/>
        <v/>
      </c>
      <c r="J8" t="str">
        <f>IF($G8=0,"",IF("客户购买筐子款"=0,"","客户购买筐子款"))</f>
        <v/>
      </c>
      <c r="K8" t="str">
        <f t="shared" si="14"/>
        <v/>
      </c>
      <c r="L8" t="str">
        <f t="shared" si="15"/>
        <v/>
      </c>
      <c r="M8" t="str">
        <f t="shared" si="5"/>
        <v/>
      </c>
      <c r="N8" t="str">
        <f>IF($G8=0,"",IF(SUMIFS(进销存对接!$G$4:$G$305,进销存对接!$C$4:$C$305,$G$1,进销存对接!$D$4:$D$305,"筐子销售款")=0,"",SUMIFS(进销存对接!$G$4:$G$305,进销存对接!$C$4:$C$305,$G$1,进销存对接!$D$4:$D$305,"筐子销售款")))</f>
        <v/>
      </c>
      <c r="O8" t="str">
        <f t="shared" si="6"/>
        <v/>
      </c>
      <c r="P8" t="str">
        <f t="shared" si="7"/>
        <v/>
      </c>
      <c r="Q8" t="str">
        <f>IF($G$1="","",IF(OR(原料入库计价!$B112&lt;&gt;$G$1,原料入库计价!$C112=""),Q7&amp;"",IF(ISNUMBER(SEARCH(原料入库计价!$C112,Q7&amp;"")),Q7&amp;"",Q7&amp;原料入库计价!$C112)))</f>
        <v/>
      </c>
      <c r="T8" t="str">
        <f>IF(资金日记账!$G8="","",资金日记账!$G8)</f>
        <v/>
      </c>
      <c r="U8">
        <f t="shared" si="8"/>
        <v>0</v>
      </c>
      <c r="V8">
        <f t="shared" si="9"/>
        <v>0</v>
      </c>
      <c r="X8" t="str">
        <f>IFERROR(INDEX($T$4:$T$903,MATCH(5,$V$4:$V$903,0)),"")</f>
        <v/>
      </c>
      <c r="Z8" t="str">
        <f>IF(成本费用登记表!$C8="","",成本费用登记表!$C8)</f>
        <v/>
      </c>
      <c r="AA8">
        <f t="shared" si="10"/>
        <v>0</v>
      </c>
      <c r="AB8">
        <f t="shared" si="11"/>
        <v>0</v>
      </c>
      <c r="AD8" t="str">
        <f>IFERROR(INDEX($Z$4:$Z$303,MATCH(5,$AB$4:$AB$303,0)),"")</f>
        <v/>
      </c>
      <c r="AF8" t="str">
        <f>IF(OR(资金日记账!$E8="",N(资金日记账!$H8)=0),"",资金日记账!$E8)</f>
        <v/>
      </c>
      <c r="AG8">
        <f t="shared" si="12"/>
        <v>0</v>
      </c>
      <c r="AH8">
        <f t="shared" si="13"/>
        <v>0</v>
      </c>
      <c r="AJ8" t="str">
        <f>IFERROR(INDEX($AF$4:$AF$603,MATCH(5,$AH$4:$AH$603,0)),"")</f>
        <v/>
      </c>
    </row>
    <row r="9" spans="1:36">
      <c r="A9" t="str">
        <f>IF(进销存对接!$D9="客户应收",进销存对接!$C9,"")</f>
        <v/>
      </c>
      <c r="B9">
        <f t="shared" si="0"/>
        <v>0</v>
      </c>
      <c r="C9">
        <f t="shared" si="1"/>
        <v>0</v>
      </c>
      <c r="E9" t="str">
        <f t="shared" si="2"/>
        <v/>
      </c>
      <c r="G9">
        <f>IF($G$1="",0,IF(ROUND(SUMIFS(进销存对接!$G$4:$G$305,进销存对接!$C$4:$C$305,$G$1,进销存对接!$D$4:$D$305,"物料销售款"),2)&lt;&gt;0,1,0))</f>
        <v>0</v>
      </c>
      <c r="H9">
        <f t="shared" si="3"/>
        <v>0</v>
      </c>
      <c r="I9" t="str">
        <f t="shared" si="4"/>
        <v/>
      </c>
      <c r="J9" t="str">
        <f>IF($G9=0,"",IF("客户购买物料款"=0,"","客户购买物料款"))</f>
        <v/>
      </c>
      <c r="K9" t="str">
        <f t="shared" si="14"/>
        <v/>
      </c>
      <c r="L9" t="str">
        <f t="shared" si="15"/>
        <v/>
      </c>
      <c r="M9" t="str">
        <f t="shared" si="5"/>
        <v/>
      </c>
      <c r="N9" t="str">
        <f>IF($G9=0,"",IF(SUMIFS(进销存对接!$G$4:$G$305,进销存对接!$C$4:$C$305,$G$1,进销存对接!$D$4:$D$305,"物料销售款")=0,"",SUMIFS(进销存对接!$G$4:$G$305,进销存对接!$C$4:$C$305,$G$1,进销存对接!$D$4:$D$305,"物料销售款")))</f>
        <v/>
      </c>
      <c r="O9" t="str">
        <f t="shared" si="6"/>
        <v/>
      </c>
      <c r="P9" t="str">
        <f t="shared" si="7"/>
        <v/>
      </c>
      <c r="Q9" t="str">
        <f>IF($G$1="","",IF(OR(原料入库计价!$B113&lt;&gt;$G$1,原料入库计价!$C113=""),Q8&amp;"",IF(ISNUMBER(SEARCH(原料入库计价!$C113,Q8&amp;"")),Q8&amp;"",Q8&amp;原料入库计价!$C113)))</f>
        <v/>
      </c>
      <c r="T9" t="str">
        <f>IF(资金日记账!$G9="","",资金日记账!$G9)</f>
        <v/>
      </c>
      <c r="U9">
        <f t="shared" si="8"/>
        <v>0</v>
      </c>
      <c r="V9">
        <f t="shared" si="9"/>
        <v>0</v>
      </c>
      <c r="X9" t="str">
        <f>IFERROR(INDEX($T$4:$T$903,MATCH(6,$V$4:$V$903,0)),"")</f>
        <v/>
      </c>
      <c r="Z9" t="str">
        <f>IF(成本费用登记表!$C9="","",成本费用登记表!$C9)</f>
        <v/>
      </c>
      <c r="AA9">
        <f t="shared" si="10"/>
        <v>0</v>
      </c>
      <c r="AB9">
        <f t="shared" si="11"/>
        <v>0</v>
      </c>
      <c r="AD9" t="str">
        <f>IFERROR(INDEX($Z$4:$Z$303,MATCH(6,$AB$4:$AB$303,0)),"")</f>
        <v/>
      </c>
      <c r="AF9" t="str">
        <f>IF(OR(资金日记账!$E9="",N(资金日记账!$H9)=0),"",资金日记账!$E9)</f>
        <v/>
      </c>
      <c r="AG9">
        <f t="shared" si="12"/>
        <v>0</v>
      </c>
      <c r="AH9">
        <f t="shared" si="13"/>
        <v>0</v>
      </c>
      <c r="AJ9" t="str">
        <f>IFERROR(INDEX($AF$4:$AF$603,MATCH(6,$AH$4:$AH$603,0)),"")</f>
        <v/>
      </c>
    </row>
    <row r="10" spans="1:36">
      <c r="A10" t="str">
        <f>IF(进销存对接!$D10="客户应收",进销存对接!$C10,"")</f>
        <v/>
      </c>
      <c r="B10">
        <f t="shared" si="0"/>
        <v>0</v>
      </c>
      <c r="C10">
        <f t="shared" si="1"/>
        <v>0</v>
      </c>
      <c r="E10" t="str">
        <f t="shared" si="2"/>
        <v/>
      </c>
      <c r="G10">
        <f>IF($G$1="",0,IF(ROUND(-SUMIFS(进销存对接!$F$4:$F$305,进销存对接!$C$4:$C$305,$G$1,进销存对接!$D$4:$D$305,"公司购买果品款"),2)&lt;&gt;0,1,0))</f>
        <v>0</v>
      </c>
      <c r="H10">
        <f t="shared" si="3"/>
        <v>0</v>
      </c>
      <c r="I10" t="str">
        <f t="shared" si="4"/>
        <v/>
      </c>
      <c r="J10" t="str">
        <f>IF($G10=0,"",IF("公司购买客户果品款（应付抵扣）"=0,"","公司购买客户果品款（应付抵扣）"))</f>
        <v/>
      </c>
      <c r="K10" t="str">
        <f t="shared" si="14"/>
        <v/>
      </c>
      <c r="L10" t="str">
        <f t="shared" si="15"/>
        <v/>
      </c>
      <c r="M10" t="str">
        <f t="shared" si="5"/>
        <v/>
      </c>
      <c r="N10" t="str">
        <f>IF($G10=0,"",IF(-SUMIFS(进销存对接!$F$4:$F$305,进销存对接!$C$4:$C$305,$G$1,进销存对接!$D$4:$D$305,"公司购买果品款")=0,"",-SUMIFS(进销存对接!$F$4:$F$305,进销存对接!$C$4:$C$305,$G$1,进销存对接!$D$4:$D$305,"公司购买果品款")))</f>
        <v/>
      </c>
      <c r="O10" t="str">
        <f t="shared" si="6"/>
        <v/>
      </c>
      <c r="P10" t="str">
        <f t="shared" si="7"/>
        <v/>
      </c>
      <c r="Q10" t="str">
        <f>IF($G$1="","",IF(OR(原料入库计价!$B114&lt;&gt;$G$1,原料入库计价!$C114=""),Q9&amp;"",IF(ISNUMBER(SEARCH(原料入库计价!$C114,Q9&amp;"")),Q9&amp;"",Q9&amp;原料入库计价!$C114)))</f>
        <v/>
      </c>
      <c r="T10" t="str">
        <f>IF(资金日记账!$G10="","",资金日记账!$G10)</f>
        <v/>
      </c>
      <c r="U10">
        <f t="shared" si="8"/>
        <v>0</v>
      </c>
      <c r="V10">
        <f t="shared" si="9"/>
        <v>0</v>
      </c>
      <c r="X10" t="str">
        <f>IFERROR(INDEX($T$4:$T$903,MATCH(7,$V$4:$V$903,0)),"")</f>
        <v/>
      </c>
      <c r="Z10" t="str">
        <f>IF(成本费用登记表!$C10="","",成本费用登记表!$C10)</f>
        <v/>
      </c>
      <c r="AA10">
        <f t="shared" si="10"/>
        <v>0</v>
      </c>
      <c r="AB10">
        <f t="shared" si="11"/>
        <v>0</v>
      </c>
      <c r="AD10" t="str">
        <f>IFERROR(INDEX($Z$4:$Z$303,MATCH(7,$AB$4:$AB$303,0)),"")</f>
        <v/>
      </c>
      <c r="AF10" t="str">
        <f>IF(OR(资金日记账!$E10="",N(资金日记账!$H10)=0),"",资金日记账!$E10)</f>
        <v/>
      </c>
      <c r="AG10">
        <f t="shared" si="12"/>
        <v>0</v>
      </c>
      <c r="AH10">
        <f t="shared" si="13"/>
        <v>0</v>
      </c>
      <c r="AJ10" t="str">
        <f>IFERROR(INDEX($AF$4:$AF$603,MATCH(7,$AH$4:$AH$603,0)),"")</f>
        <v/>
      </c>
    </row>
    <row r="11" spans="1:36">
      <c r="A11" t="str">
        <f>IF(进销存对接!$D11="客户应收",进销存对接!$C11,"")</f>
        <v/>
      </c>
      <c r="B11">
        <f t="shared" si="0"/>
        <v>0</v>
      </c>
      <c r="C11">
        <f t="shared" si="1"/>
        <v>0</v>
      </c>
      <c r="E11" t="str">
        <f t="shared" si="2"/>
        <v/>
      </c>
      <c r="G11">
        <f>IF(OR($G$1="",资金日记账!$E4="",资金日记账!$E4&lt;&gt;$G$1),0,IF(NOT(OR(N(资金日记账!$H4)&lt;&gt;0,N(资金日记账!$I4)&lt;&gt;0)),0,IF(资金日记账!$B4="",1,IF(OR(N(资金日记账!$B4)&lt;$H$1,N(资金日记账!$B4)&gt;$I$1),0,1))))</f>
        <v>0</v>
      </c>
      <c r="H11">
        <f t="shared" si="3"/>
        <v>0</v>
      </c>
      <c r="I11" t="str">
        <f>IF($G11=0,"",IF(资金日记账!$B4=0,"",资金日记账!$B4))</f>
        <v/>
      </c>
      <c r="J11" t="str">
        <f>IF($G11=0,"",IF(资金日记账!$D4=0,"",资金日记账!$D4))</f>
        <v/>
      </c>
      <c r="K11" t="str">
        <f t="shared" si="14"/>
        <v/>
      </c>
      <c r="L11" t="str">
        <f t="shared" si="15"/>
        <v/>
      </c>
      <c r="M11" t="str">
        <f t="shared" si="5"/>
        <v/>
      </c>
      <c r="N11" t="str">
        <f>IF($G11=0,"",IF(IF(N(资金日记账!$I4)=0,"",-ROUND(N(资金日记账!$I4),2))=0,"",IF(N(资金日记账!$I4)=0,"",-ROUND(N(资金日记账!$I4),2))))</f>
        <v/>
      </c>
      <c r="O11" t="str">
        <f>IF($G11=0,"",IF(IF(N(资金日记账!$H4)=0,"",ROUND(N(资金日记账!$H4),2))=0,"",IF(N(资金日记账!$H4)=0,"",ROUND(N(资金日记账!$H4),2))))</f>
        <v/>
      </c>
      <c r="P11" t="str">
        <f>IF($G11=0,"",IF(资金日记账!$L4=0,"",资金日记账!$L4))</f>
        <v/>
      </c>
      <c r="T11" t="str">
        <f>IF(资金日记账!$G11="","",资金日记账!$G11)</f>
        <v/>
      </c>
      <c r="U11">
        <f t="shared" si="8"/>
        <v>0</v>
      </c>
      <c r="V11">
        <f t="shared" si="9"/>
        <v>0</v>
      </c>
      <c r="X11" t="str">
        <f>IFERROR(INDEX($T$4:$T$903,MATCH(8,$V$4:$V$903,0)),"")</f>
        <v/>
      </c>
      <c r="Z11" t="str">
        <f>IF(成本费用登记表!$C11="","",成本费用登记表!$C11)</f>
        <v/>
      </c>
      <c r="AA11">
        <f t="shared" si="10"/>
        <v>0</v>
      </c>
      <c r="AB11">
        <f t="shared" si="11"/>
        <v>0</v>
      </c>
      <c r="AD11" t="str">
        <f>IFERROR(INDEX($Z$4:$Z$303,MATCH(8,$AB$4:$AB$303,0)),"")</f>
        <v/>
      </c>
      <c r="AF11" t="str">
        <f>IF(OR(资金日记账!$E11="",N(资金日记账!$H11)=0),"",资金日记账!$E11)</f>
        <v/>
      </c>
      <c r="AG11">
        <f t="shared" si="12"/>
        <v>0</v>
      </c>
      <c r="AH11">
        <f t="shared" si="13"/>
        <v>0</v>
      </c>
      <c r="AJ11" t="str">
        <f>IFERROR(INDEX($AF$4:$AF$603,MATCH(8,$AH$4:$AH$603,0)),"")</f>
        <v/>
      </c>
    </row>
    <row r="12" spans="1:36">
      <c r="A12" t="str">
        <f>IF(进销存对接!$D12="客户应收",进销存对接!$C12,"")</f>
        <v/>
      </c>
      <c r="B12">
        <f t="shared" si="0"/>
        <v>0</v>
      </c>
      <c r="C12">
        <f t="shared" si="1"/>
        <v>0</v>
      </c>
      <c r="E12" t="str">
        <f t="shared" si="2"/>
        <v/>
      </c>
      <c r="G12">
        <f>IF(OR($G$1="",资金日记账!$E5="",资金日记账!$E5&lt;&gt;$G$1),0,IF(NOT(OR(N(资金日记账!$H5)&lt;&gt;0,N(资金日记账!$I5)&lt;&gt;0)),0,IF(资金日记账!$B5="",1,IF(OR(N(资金日记账!$B5)&lt;$H$1,N(资金日记账!$B5)&gt;$I$1),0,1))))</f>
        <v>0</v>
      </c>
      <c r="H12">
        <f t="shared" si="3"/>
        <v>0</v>
      </c>
      <c r="I12" t="str">
        <f>IF($G12=0,"",IF(资金日记账!$B5=0,"",资金日记账!$B5))</f>
        <v/>
      </c>
      <c r="J12" t="str">
        <f>IF($G12=0,"",IF(资金日记账!$D5=0,"",资金日记账!$D5))</f>
        <v/>
      </c>
      <c r="K12" t="str">
        <f t="shared" si="14"/>
        <v/>
      </c>
      <c r="L12" t="str">
        <f t="shared" si="15"/>
        <v/>
      </c>
      <c r="M12" t="str">
        <f t="shared" si="5"/>
        <v/>
      </c>
      <c r="N12" t="str">
        <f>IF($G12=0,"",IF(IF(N(资金日记账!$I5)=0,"",-ROUND(N(资金日记账!$I5),2))=0,"",IF(N(资金日记账!$I5)=0,"",-ROUND(N(资金日记账!$I5),2))))</f>
        <v/>
      </c>
      <c r="O12" t="str">
        <f>IF($G12=0,"",IF(IF(N(资金日记账!$H5)=0,"",ROUND(N(资金日记账!$H5),2))=0,"",IF(N(资金日记账!$H5)=0,"",ROUND(N(资金日记账!$H5),2))))</f>
        <v/>
      </c>
      <c r="P12" t="str">
        <f>IF($G12=0,"",IF(资金日记账!$L5=0,"",资金日记账!$L5))</f>
        <v/>
      </c>
      <c r="T12" t="str">
        <f>IF(资金日记账!$G12="","",资金日记账!$G12)</f>
        <v/>
      </c>
      <c r="U12">
        <f t="shared" si="8"/>
        <v>0</v>
      </c>
      <c r="V12">
        <f t="shared" si="9"/>
        <v>0</v>
      </c>
      <c r="X12" t="str">
        <f>IFERROR(INDEX($T$4:$T$903,MATCH(9,$V$4:$V$903,0)),"")</f>
        <v/>
      </c>
      <c r="Z12" t="str">
        <f>IF(成本费用登记表!$C12="","",成本费用登记表!$C12)</f>
        <v/>
      </c>
      <c r="AA12">
        <f t="shared" si="10"/>
        <v>0</v>
      </c>
      <c r="AB12">
        <f t="shared" si="11"/>
        <v>0</v>
      </c>
      <c r="AD12" t="str">
        <f>IFERROR(INDEX($Z$4:$Z$303,MATCH(9,$AB$4:$AB$303,0)),"")</f>
        <v/>
      </c>
      <c r="AF12" t="str">
        <f>IF(OR(资金日记账!$E12="",N(资金日记账!$H12)=0),"",资金日记账!$E12)</f>
        <v/>
      </c>
      <c r="AG12">
        <f t="shared" si="12"/>
        <v>0</v>
      </c>
      <c r="AH12">
        <f t="shared" si="13"/>
        <v>0</v>
      </c>
      <c r="AJ12" t="str">
        <f>IFERROR(INDEX($AF$4:$AF$603,MATCH(9,$AH$4:$AH$603,0)),"")</f>
        <v/>
      </c>
    </row>
    <row r="13" spans="1:36">
      <c r="A13" t="str">
        <f>IF(进销存对接!$D13="客户应收",进销存对接!$C13,"")</f>
        <v/>
      </c>
      <c r="B13">
        <f t="shared" si="0"/>
        <v>0</v>
      </c>
      <c r="C13">
        <f t="shared" si="1"/>
        <v>0</v>
      </c>
      <c r="E13" t="str">
        <f t="shared" si="2"/>
        <v/>
      </c>
      <c r="G13">
        <f>IF(OR($G$1="",资金日记账!$E6="",资金日记账!$E6&lt;&gt;$G$1),0,IF(NOT(OR(N(资金日记账!$H6)&lt;&gt;0,N(资金日记账!$I6)&lt;&gt;0)),0,IF(资金日记账!$B6="",1,IF(OR(N(资金日记账!$B6)&lt;$H$1,N(资金日记账!$B6)&gt;$I$1),0,1))))</f>
        <v>0</v>
      </c>
      <c r="H13">
        <f t="shared" si="3"/>
        <v>0</v>
      </c>
      <c r="I13" t="str">
        <f>IF($G13=0,"",IF(资金日记账!$B6=0,"",资金日记账!$B6))</f>
        <v/>
      </c>
      <c r="J13" t="str">
        <f>IF($G13=0,"",IF(资金日记账!$D6=0,"",资金日记账!$D6))</f>
        <v/>
      </c>
      <c r="K13" t="str">
        <f t="shared" si="14"/>
        <v/>
      </c>
      <c r="L13" t="str">
        <f t="shared" si="15"/>
        <v/>
      </c>
      <c r="M13" t="str">
        <f t="shared" si="5"/>
        <v/>
      </c>
      <c r="N13" t="str">
        <f>IF($G13=0,"",IF(IF(N(资金日记账!$I6)=0,"",-ROUND(N(资金日记账!$I6),2))=0,"",IF(N(资金日记账!$I6)=0,"",-ROUND(N(资金日记账!$I6),2))))</f>
        <v/>
      </c>
      <c r="O13" t="str">
        <f>IF($G13=0,"",IF(IF(N(资金日记账!$H6)=0,"",ROUND(N(资金日记账!$H6),2))=0,"",IF(N(资金日记账!$H6)=0,"",ROUND(N(资金日记账!$H6),2))))</f>
        <v/>
      </c>
      <c r="P13" t="str">
        <f>IF($G13=0,"",IF(资金日记账!$L6=0,"",资金日记账!$L6))</f>
        <v/>
      </c>
      <c r="T13" t="str">
        <f>IF(资金日记账!$G13="","",资金日记账!$G13)</f>
        <v/>
      </c>
      <c r="U13">
        <f t="shared" si="8"/>
        <v>0</v>
      </c>
      <c r="V13">
        <f t="shared" si="9"/>
        <v>0</v>
      </c>
      <c r="X13" t="str">
        <f>IFERROR(INDEX($T$4:$T$903,MATCH(10,$V$4:$V$903,0)),"")</f>
        <v/>
      </c>
      <c r="Z13" t="str">
        <f>IF(成本费用登记表!$C13="","",成本费用登记表!$C13)</f>
        <v/>
      </c>
      <c r="AA13">
        <f t="shared" si="10"/>
        <v>0</v>
      </c>
      <c r="AB13">
        <f t="shared" si="11"/>
        <v>0</v>
      </c>
      <c r="AD13" t="str">
        <f>IFERROR(INDEX($Z$4:$Z$303,MATCH(10,$AB$4:$AB$303,0)),"")</f>
        <v/>
      </c>
      <c r="AF13" t="str">
        <f>IF(OR(资金日记账!$E13="",N(资金日记账!$H13)=0),"",资金日记账!$E13)</f>
        <v/>
      </c>
      <c r="AG13">
        <f t="shared" si="12"/>
        <v>0</v>
      </c>
      <c r="AH13">
        <f t="shared" si="13"/>
        <v>0</v>
      </c>
      <c r="AJ13" t="str">
        <f>IFERROR(INDEX($AF$4:$AF$603,MATCH(10,$AH$4:$AH$603,0)),"")</f>
        <v/>
      </c>
    </row>
    <row r="14" spans="1:36">
      <c r="A14" t="str">
        <f>IF(进销存对接!$D14="客户应收",进销存对接!$C14,"")</f>
        <v/>
      </c>
      <c r="B14">
        <f t="shared" si="0"/>
        <v>0</v>
      </c>
      <c r="C14">
        <f t="shared" si="1"/>
        <v>0</v>
      </c>
      <c r="E14" t="str">
        <f t="shared" si="2"/>
        <v/>
      </c>
      <c r="G14">
        <f>IF(OR($G$1="",资金日记账!$E7="",资金日记账!$E7&lt;&gt;$G$1),0,IF(NOT(OR(N(资金日记账!$H7)&lt;&gt;0,N(资金日记账!$I7)&lt;&gt;0)),0,IF(资金日记账!$B7="",1,IF(OR(N(资金日记账!$B7)&lt;$H$1,N(资金日记账!$B7)&gt;$I$1),0,1))))</f>
        <v>0</v>
      </c>
      <c r="H14">
        <f t="shared" si="3"/>
        <v>0</v>
      </c>
      <c r="I14" t="str">
        <f>IF($G14=0,"",IF(资金日记账!$B7=0,"",资金日记账!$B7))</f>
        <v/>
      </c>
      <c r="J14" t="str">
        <f>IF($G14=0,"",IF(资金日记账!$D7=0,"",资金日记账!$D7))</f>
        <v/>
      </c>
      <c r="K14" t="str">
        <f t="shared" si="14"/>
        <v/>
      </c>
      <c r="L14" t="str">
        <f t="shared" si="15"/>
        <v/>
      </c>
      <c r="M14" t="str">
        <f t="shared" si="5"/>
        <v/>
      </c>
      <c r="N14" t="str">
        <f>IF($G14=0,"",IF(IF(N(资金日记账!$I7)=0,"",-ROUND(N(资金日记账!$I7),2))=0,"",IF(N(资金日记账!$I7)=0,"",-ROUND(N(资金日记账!$I7),2))))</f>
        <v/>
      </c>
      <c r="O14" t="str">
        <f>IF($G14=0,"",IF(IF(N(资金日记账!$H7)=0,"",ROUND(N(资金日记账!$H7),2))=0,"",IF(N(资金日记账!$H7)=0,"",ROUND(N(资金日记账!$H7),2))))</f>
        <v/>
      </c>
      <c r="P14" t="str">
        <f>IF($G14=0,"",IF(资金日记账!$L7=0,"",资金日记账!$L7))</f>
        <v/>
      </c>
      <c r="T14" t="str">
        <f>IF(资金日记账!$G14="","",资金日记账!$G14)</f>
        <v/>
      </c>
      <c r="U14">
        <f t="shared" si="8"/>
        <v>0</v>
      </c>
      <c r="V14">
        <f t="shared" si="9"/>
        <v>0</v>
      </c>
      <c r="X14" t="str">
        <f>IFERROR(INDEX($T$4:$T$903,MATCH(11,$V$4:$V$903,0)),"")</f>
        <v/>
      </c>
      <c r="Z14" t="str">
        <f>IF(成本费用登记表!$C14="","",成本费用登记表!$C14)</f>
        <v/>
      </c>
      <c r="AA14">
        <f t="shared" si="10"/>
        <v>0</v>
      </c>
      <c r="AB14">
        <f t="shared" si="11"/>
        <v>0</v>
      </c>
      <c r="AD14" t="str">
        <f>IFERROR(INDEX($Z$4:$Z$303,MATCH(11,$AB$4:$AB$303,0)),"")</f>
        <v/>
      </c>
      <c r="AF14" t="str">
        <f>IF(OR(资金日记账!$E14="",N(资金日记账!$H14)=0),"",资金日记账!$E14)</f>
        <v/>
      </c>
      <c r="AG14">
        <f t="shared" si="12"/>
        <v>0</v>
      </c>
      <c r="AH14">
        <f t="shared" si="13"/>
        <v>0</v>
      </c>
      <c r="AJ14" t="str">
        <f>IFERROR(INDEX($AF$4:$AF$603,MATCH(11,$AH$4:$AH$603,0)),"")</f>
        <v/>
      </c>
    </row>
    <row r="15" spans="1:36">
      <c r="A15" t="str">
        <f>IF(进销存对接!$D15="客户应收",进销存对接!$C15,"")</f>
        <v/>
      </c>
      <c r="B15">
        <f t="shared" si="0"/>
        <v>0</v>
      </c>
      <c r="C15">
        <f t="shared" si="1"/>
        <v>0</v>
      </c>
      <c r="E15" t="str">
        <f t="shared" si="2"/>
        <v/>
      </c>
      <c r="G15">
        <f>IF(OR($G$1="",资金日记账!$E8="",资金日记账!$E8&lt;&gt;$G$1),0,IF(NOT(OR(N(资金日记账!$H8)&lt;&gt;0,N(资金日记账!$I8)&lt;&gt;0)),0,IF(资金日记账!$B8="",1,IF(OR(N(资金日记账!$B8)&lt;$H$1,N(资金日记账!$B8)&gt;$I$1),0,1))))</f>
        <v>0</v>
      </c>
      <c r="H15">
        <f t="shared" si="3"/>
        <v>0</v>
      </c>
      <c r="I15" t="str">
        <f>IF($G15=0,"",IF(资金日记账!$B8=0,"",资金日记账!$B8))</f>
        <v/>
      </c>
      <c r="J15" t="str">
        <f>IF($G15=0,"",IF(资金日记账!$D8=0,"",资金日记账!$D8))</f>
        <v/>
      </c>
      <c r="K15" t="str">
        <f t="shared" si="14"/>
        <v/>
      </c>
      <c r="L15" t="str">
        <f t="shared" si="15"/>
        <v/>
      </c>
      <c r="M15" t="str">
        <f t="shared" si="5"/>
        <v/>
      </c>
      <c r="N15" t="str">
        <f>IF($G15=0,"",IF(IF(N(资金日记账!$I8)=0,"",-ROUND(N(资金日记账!$I8),2))=0,"",IF(N(资金日记账!$I8)=0,"",-ROUND(N(资金日记账!$I8),2))))</f>
        <v/>
      </c>
      <c r="O15" t="str">
        <f>IF($G15=0,"",IF(IF(N(资金日记账!$H8)=0,"",ROUND(N(资金日记账!$H8),2))=0,"",IF(N(资金日记账!$H8)=0,"",ROUND(N(资金日记账!$H8),2))))</f>
        <v/>
      </c>
      <c r="P15" t="str">
        <f>IF($G15=0,"",IF(资金日记账!$L8=0,"",资金日记账!$L8))</f>
        <v/>
      </c>
      <c r="T15" t="str">
        <f>IF(资金日记账!$G15="","",资金日记账!$G15)</f>
        <v/>
      </c>
      <c r="U15">
        <f t="shared" si="8"/>
        <v>0</v>
      </c>
      <c r="V15">
        <f t="shared" si="9"/>
        <v>0</v>
      </c>
      <c r="X15" t="str">
        <f>IFERROR(INDEX($T$4:$T$903,MATCH(12,$V$4:$V$903,0)),"")</f>
        <v/>
      </c>
      <c r="Z15" t="str">
        <f>IF(成本费用登记表!$C15="","",成本费用登记表!$C15)</f>
        <v/>
      </c>
      <c r="AA15">
        <f t="shared" si="10"/>
        <v>0</v>
      </c>
      <c r="AB15">
        <f t="shared" si="11"/>
        <v>0</v>
      </c>
      <c r="AD15" t="str">
        <f>IFERROR(INDEX($Z$4:$Z$303,MATCH(12,$AB$4:$AB$303,0)),"")</f>
        <v/>
      </c>
      <c r="AF15" t="str">
        <f>IF(OR(资金日记账!$E15="",N(资金日记账!$H15)=0),"",资金日记账!$E15)</f>
        <v/>
      </c>
      <c r="AG15">
        <f t="shared" si="12"/>
        <v>0</v>
      </c>
      <c r="AH15">
        <f t="shared" si="13"/>
        <v>0</v>
      </c>
      <c r="AJ15" t="str">
        <f>IFERROR(INDEX($AF$4:$AF$603,MATCH(12,$AH$4:$AH$603,0)),"")</f>
        <v/>
      </c>
    </row>
    <row r="16" spans="1:36">
      <c r="A16" t="str">
        <f>IF(进销存对接!$D16="客户应收",进销存对接!$C16,"")</f>
        <v/>
      </c>
      <c r="B16">
        <f t="shared" si="0"/>
        <v>0</v>
      </c>
      <c r="C16">
        <f t="shared" si="1"/>
        <v>0</v>
      </c>
      <c r="E16" t="str">
        <f t="shared" si="2"/>
        <v/>
      </c>
      <c r="G16">
        <f>IF(OR($G$1="",资金日记账!$E9="",资金日记账!$E9&lt;&gt;$G$1),0,IF(NOT(OR(N(资金日记账!$H9)&lt;&gt;0,N(资金日记账!$I9)&lt;&gt;0)),0,IF(资金日记账!$B9="",1,IF(OR(N(资金日记账!$B9)&lt;$H$1,N(资金日记账!$B9)&gt;$I$1),0,1))))</f>
        <v>0</v>
      </c>
      <c r="H16">
        <f t="shared" si="3"/>
        <v>0</v>
      </c>
      <c r="I16" t="str">
        <f>IF($G16=0,"",IF(资金日记账!$B9=0,"",资金日记账!$B9))</f>
        <v/>
      </c>
      <c r="J16" t="str">
        <f>IF($G16=0,"",IF(资金日记账!$D9=0,"",资金日记账!$D9))</f>
        <v/>
      </c>
      <c r="K16" t="str">
        <f t="shared" si="14"/>
        <v/>
      </c>
      <c r="L16" t="str">
        <f t="shared" si="15"/>
        <v/>
      </c>
      <c r="M16" t="str">
        <f t="shared" si="5"/>
        <v/>
      </c>
      <c r="N16" t="str">
        <f>IF($G16=0,"",IF(IF(N(资金日记账!$I9)=0,"",-ROUND(N(资金日记账!$I9),2))=0,"",IF(N(资金日记账!$I9)=0,"",-ROUND(N(资金日记账!$I9),2))))</f>
        <v/>
      </c>
      <c r="O16" t="str">
        <f>IF($G16=0,"",IF(IF(N(资金日记账!$H9)=0,"",ROUND(N(资金日记账!$H9),2))=0,"",IF(N(资金日记账!$H9)=0,"",ROUND(N(资金日记账!$H9),2))))</f>
        <v/>
      </c>
      <c r="P16" t="str">
        <f>IF($G16=0,"",IF(资金日记账!$L9=0,"",资金日记账!$L9))</f>
        <v/>
      </c>
      <c r="T16" t="str">
        <f>IF(资金日记账!$G16="","",资金日记账!$G16)</f>
        <v/>
      </c>
      <c r="U16">
        <f t="shared" si="8"/>
        <v>0</v>
      </c>
      <c r="V16">
        <f t="shared" si="9"/>
        <v>0</v>
      </c>
      <c r="X16" t="str">
        <f>IFERROR(INDEX($T$4:$T$903,MATCH(13,$V$4:$V$903,0)),"")</f>
        <v/>
      </c>
      <c r="Z16" t="str">
        <f>IF(成本费用登记表!$C16="","",成本费用登记表!$C16)</f>
        <v/>
      </c>
      <c r="AA16">
        <f t="shared" si="10"/>
        <v>0</v>
      </c>
      <c r="AB16">
        <f t="shared" si="11"/>
        <v>0</v>
      </c>
      <c r="AD16" t="str">
        <f>IFERROR(INDEX($Z$4:$Z$303,MATCH(13,$AB$4:$AB$303,0)),"")</f>
        <v/>
      </c>
      <c r="AF16" t="str">
        <f>IF(OR(资金日记账!$E16="",N(资金日记账!$H16)=0),"",资金日记账!$E16)</f>
        <v/>
      </c>
      <c r="AG16">
        <f t="shared" si="12"/>
        <v>0</v>
      </c>
      <c r="AH16">
        <f t="shared" si="13"/>
        <v>0</v>
      </c>
      <c r="AJ16" t="str">
        <f>IFERROR(INDEX($AF$4:$AF$603,MATCH(13,$AH$4:$AH$603,0)),"")</f>
        <v/>
      </c>
    </row>
    <row r="17" spans="1:36">
      <c r="A17" t="str">
        <f>IF(进销存对接!$D17="客户应收",进销存对接!$C17,"")</f>
        <v/>
      </c>
      <c r="B17">
        <f t="shared" si="0"/>
        <v>0</v>
      </c>
      <c r="C17">
        <f t="shared" si="1"/>
        <v>0</v>
      </c>
      <c r="E17" t="str">
        <f t="shared" si="2"/>
        <v/>
      </c>
      <c r="G17">
        <f>IF(OR($G$1="",资金日记账!$E10="",资金日记账!$E10&lt;&gt;$G$1),0,IF(NOT(OR(N(资金日记账!$H10)&lt;&gt;0,N(资金日记账!$I10)&lt;&gt;0)),0,IF(资金日记账!$B10="",1,IF(OR(N(资金日记账!$B10)&lt;$H$1,N(资金日记账!$B10)&gt;$I$1),0,1))))</f>
        <v>0</v>
      </c>
      <c r="H17">
        <f t="shared" si="3"/>
        <v>0</v>
      </c>
      <c r="I17" t="str">
        <f>IF($G17=0,"",IF(资金日记账!$B10=0,"",资金日记账!$B10))</f>
        <v/>
      </c>
      <c r="J17" t="str">
        <f>IF($G17=0,"",IF(资金日记账!$D10=0,"",资金日记账!$D10))</f>
        <v/>
      </c>
      <c r="K17" t="str">
        <f t="shared" si="14"/>
        <v/>
      </c>
      <c r="L17" t="str">
        <f t="shared" si="15"/>
        <v/>
      </c>
      <c r="M17" t="str">
        <f t="shared" si="5"/>
        <v/>
      </c>
      <c r="N17" t="str">
        <f>IF($G17=0,"",IF(IF(N(资金日记账!$I10)=0,"",-ROUND(N(资金日记账!$I10),2))=0,"",IF(N(资金日记账!$I10)=0,"",-ROUND(N(资金日记账!$I10),2))))</f>
        <v/>
      </c>
      <c r="O17" t="str">
        <f>IF($G17=0,"",IF(IF(N(资金日记账!$H10)=0,"",ROUND(N(资金日记账!$H10),2))=0,"",IF(N(资金日记账!$H10)=0,"",ROUND(N(资金日记账!$H10),2))))</f>
        <v/>
      </c>
      <c r="P17" t="str">
        <f>IF($G17=0,"",IF(资金日记账!$L10=0,"",资金日记账!$L10))</f>
        <v/>
      </c>
      <c r="T17" t="str">
        <f>IF(资金日记账!$G17="","",资金日记账!$G17)</f>
        <v/>
      </c>
      <c r="U17">
        <f t="shared" si="8"/>
        <v>0</v>
      </c>
      <c r="V17">
        <f t="shared" si="9"/>
        <v>0</v>
      </c>
      <c r="X17" t="str">
        <f>IFERROR(INDEX($T$4:$T$903,MATCH(14,$V$4:$V$903,0)),"")</f>
        <v/>
      </c>
      <c r="Z17" t="str">
        <f>IF(成本费用登记表!$C17="","",成本费用登记表!$C17)</f>
        <v/>
      </c>
      <c r="AA17">
        <f t="shared" si="10"/>
        <v>0</v>
      </c>
      <c r="AB17">
        <f t="shared" si="11"/>
        <v>0</v>
      </c>
      <c r="AD17" t="str">
        <f>IFERROR(INDEX($Z$4:$Z$303,MATCH(14,$AB$4:$AB$303,0)),"")</f>
        <v/>
      </c>
      <c r="AF17" t="str">
        <f>IF(OR(资金日记账!$E17="",N(资金日记账!$H17)=0),"",资金日记账!$E17)</f>
        <v/>
      </c>
      <c r="AG17">
        <f t="shared" si="12"/>
        <v>0</v>
      </c>
      <c r="AH17">
        <f t="shared" si="13"/>
        <v>0</v>
      </c>
      <c r="AJ17" t="str">
        <f>IFERROR(INDEX($AF$4:$AF$603,MATCH(14,$AH$4:$AH$603,0)),"")</f>
        <v/>
      </c>
    </row>
    <row r="18" spans="1:36">
      <c r="A18" t="str">
        <f>IF(进销存对接!$D18="客户应收",进销存对接!$C18,"")</f>
        <v/>
      </c>
      <c r="B18">
        <f t="shared" si="0"/>
        <v>0</v>
      </c>
      <c r="C18">
        <f t="shared" si="1"/>
        <v>0</v>
      </c>
      <c r="E18" t="str">
        <f t="shared" si="2"/>
        <v/>
      </c>
      <c r="G18">
        <f>IF(OR($G$1="",资金日记账!$E11="",资金日记账!$E11&lt;&gt;$G$1),0,IF(NOT(OR(N(资金日记账!$H11)&lt;&gt;0,N(资金日记账!$I11)&lt;&gt;0)),0,IF(资金日记账!$B11="",1,IF(OR(N(资金日记账!$B11)&lt;$H$1,N(资金日记账!$B11)&gt;$I$1),0,1))))</f>
        <v>0</v>
      </c>
      <c r="H18">
        <f t="shared" si="3"/>
        <v>0</v>
      </c>
      <c r="I18" t="str">
        <f>IF($G18=0,"",IF(资金日记账!$B11=0,"",资金日记账!$B11))</f>
        <v/>
      </c>
      <c r="J18" t="str">
        <f>IF($G18=0,"",IF(资金日记账!$D11=0,"",资金日记账!$D11))</f>
        <v/>
      </c>
      <c r="K18" t="str">
        <f t="shared" si="14"/>
        <v/>
      </c>
      <c r="L18" t="str">
        <f t="shared" si="15"/>
        <v/>
      </c>
      <c r="M18" t="str">
        <f t="shared" si="5"/>
        <v/>
      </c>
      <c r="N18" t="str">
        <f>IF($G18=0,"",IF(IF(N(资金日记账!$I11)=0,"",-ROUND(N(资金日记账!$I11),2))=0,"",IF(N(资金日记账!$I11)=0,"",-ROUND(N(资金日记账!$I11),2))))</f>
        <v/>
      </c>
      <c r="O18" t="str">
        <f>IF($G18=0,"",IF(IF(N(资金日记账!$H11)=0,"",ROUND(N(资金日记账!$H11),2))=0,"",IF(N(资金日记账!$H11)=0,"",ROUND(N(资金日记账!$H11),2))))</f>
        <v/>
      </c>
      <c r="P18" t="str">
        <f>IF($G18=0,"",IF(资金日记账!$L11=0,"",资金日记账!$L11))</f>
        <v/>
      </c>
      <c r="T18" t="str">
        <f>IF(资金日记账!$G18="","",资金日记账!$G18)</f>
        <v/>
      </c>
      <c r="U18">
        <f t="shared" si="8"/>
        <v>0</v>
      </c>
      <c r="V18">
        <f t="shared" si="9"/>
        <v>0</v>
      </c>
      <c r="X18" t="str">
        <f>IFERROR(INDEX($T$4:$T$903,MATCH(15,$V$4:$V$903,0)),"")</f>
        <v/>
      </c>
      <c r="Z18" t="str">
        <f>IF(成本费用登记表!$C18="","",成本费用登记表!$C18)</f>
        <v/>
      </c>
      <c r="AA18">
        <f t="shared" si="10"/>
        <v>0</v>
      </c>
      <c r="AB18">
        <f t="shared" si="11"/>
        <v>0</v>
      </c>
      <c r="AD18" t="str">
        <f>IFERROR(INDEX($Z$4:$Z$303,MATCH(15,$AB$4:$AB$303,0)),"")</f>
        <v/>
      </c>
      <c r="AF18" t="str">
        <f>IF(OR(资金日记账!$E18="",N(资金日记账!$H18)=0),"",资金日记账!$E18)</f>
        <v/>
      </c>
      <c r="AG18">
        <f t="shared" si="12"/>
        <v>0</v>
      </c>
      <c r="AH18">
        <f t="shared" si="13"/>
        <v>0</v>
      </c>
      <c r="AJ18" t="str">
        <f>IFERROR(INDEX($AF$4:$AF$603,MATCH(15,$AH$4:$AH$603,0)),"")</f>
        <v/>
      </c>
    </row>
    <row r="19" spans="1:36">
      <c r="A19" t="str">
        <f>IF(进销存对接!$D19="客户应收",进销存对接!$C19,"")</f>
        <v/>
      </c>
      <c r="B19">
        <f t="shared" si="0"/>
        <v>0</v>
      </c>
      <c r="C19">
        <f t="shared" si="1"/>
        <v>0</v>
      </c>
      <c r="E19" t="str">
        <f t="shared" si="2"/>
        <v/>
      </c>
      <c r="G19">
        <f>IF(OR($G$1="",资金日记账!$E12="",资金日记账!$E12&lt;&gt;$G$1),0,IF(NOT(OR(N(资金日记账!$H12)&lt;&gt;0,N(资金日记账!$I12)&lt;&gt;0)),0,IF(资金日记账!$B12="",1,IF(OR(N(资金日记账!$B12)&lt;$H$1,N(资金日记账!$B12)&gt;$I$1),0,1))))</f>
        <v>0</v>
      </c>
      <c r="H19">
        <f t="shared" si="3"/>
        <v>0</v>
      </c>
      <c r="I19" t="str">
        <f>IF($G19=0,"",IF(资金日记账!$B12=0,"",资金日记账!$B12))</f>
        <v/>
      </c>
      <c r="J19" t="str">
        <f>IF($G19=0,"",IF(资金日记账!$D12=0,"",资金日记账!$D12))</f>
        <v/>
      </c>
      <c r="K19" t="str">
        <f t="shared" si="14"/>
        <v/>
      </c>
      <c r="L19" t="str">
        <f t="shared" si="15"/>
        <v/>
      </c>
      <c r="M19" t="str">
        <f t="shared" si="5"/>
        <v/>
      </c>
      <c r="N19" t="str">
        <f>IF($G19=0,"",IF(IF(N(资金日记账!$I12)=0,"",-ROUND(N(资金日记账!$I12),2))=0,"",IF(N(资金日记账!$I12)=0,"",-ROUND(N(资金日记账!$I12),2))))</f>
        <v/>
      </c>
      <c r="O19" t="str">
        <f>IF($G19=0,"",IF(IF(N(资金日记账!$H12)=0,"",ROUND(N(资金日记账!$H12),2))=0,"",IF(N(资金日记账!$H12)=0,"",ROUND(N(资金日记账!$H12),2))))</f>
        <v/>
      </c>
      <c r="P19" t="str">
        <f>IF($G19=0,"",IF(资金日记账!$L12=0,"",资金日记账!$L12))</f>
        <v/>
      </c>
      <c r="T19" t="str">
        <f>IF(资金日记账!$G19="","",资金日记账!$G19)</f>
        <v/>
      </c>
      <c r="U19">
        <f t="shared" si="8"/>
        <v>0</v>
      </c>
      <c r="V19">
        <f t="shared" si="9"/>
        <v>0</v>
      </c>
      <c r="X19" t="str">
        <f>IFERROR(INDEX($T$4:$T$903,MATCH(16,$V$4:$V$903,0)),"")</f>
        <v/>
      </c>
      <c r="Z19" t="str">
        <f>IF(成本费用登记表!$C19="","",成本费用登记表!$C19)</f>
        <v/>
      </c>
      <c r="AA19">
        <f t="shared" si="10"/>
        <v>0</v>
      </c>
      <c r="AB19">
        <f t="shared" si="11"/>
        <v>0</v>
      </c>
      <c r="AD19" t="str">
        <f>IFERROR(INDEX($Z$4:$Z$303,MATCH(16,$AB$4:$AB$303,0)),"")</f>
        <v/>
      </c>
      <c r="AF19" t="str">
        <f>IF(OR(资金日记账!$E19="",N(资金日记账!$H19)=0),"",资金日记账!$E19)</f>
        <v/>
      </c>
      <c r="AG19">
        <f t="shared" si="12"/>
        <v>0</v>
      </c>
      <c r="AH19">
        <f t="shared" si="13"/>
        <v>0</v>
      </c>
      <c r="AJ19" t="str">
        <f>IFERROR(INDEX($AF$4:$AF$603,MATCH(16,$AH$4:$AH$603,0)),"")</f>
        <v/>
      </c>
    </row>
    <row r="20" spans="1:36">
      <c r="A20" t="str">
        <f>IF(进销存对接!$D20="客户应收",进销存对接!$C20,"")</f>
        <v/>
      </c>
      <c r="B20">
        <f t="shared" si="0"/>
        <v>0</v>
      </c>
      <c r="C20">
        <f t="shared" si="1"/>
        <v>0</v>
      </c>
      <c r="E20" t="str">
        <f t="shared" si="2"/>
        <v/>
      </c>
      <c r="G20">
        <f>IF(OR($G$1="",资金日记账!$E13="",资金日记账!$E13&lt;&gt;$G$1),0,IF(NOT(OR(N(资金日记账!$H13)&lt;&gt;0,N(资金日记账!$I13)&lt;&gt;0)),0,IF(资金日记账!$B13="",1,IF(OR(N(资金日记账!$B13)&lt;$H$1,N(资金日记账!$B13)&gt;$I$1),0,1))))</f>
        <v>0</v>
      </c>
      <c r="H20">
        <f t="shared" si="3"/>
        <v>0</v>
      </c>
      <c r="I20" t="str">
        <f>IF($G20=0,"",IF(资金日记账!$B13=0,"",资金日记账!$B13))</f>
        <v/>
      </c>
      <c r="J20" t="str">
        <f>IF($G20=0,"",IF(资金日记账!$D13=0,"",资金日记账!$D13))</f>
        <v/>
      </c>
      <c r="K20" t="str">
        <f t="shared" si="14"/>
        <v/>
      </c>
      <c r="L20" t="str">
        <f t="shared" si="15"/>
        <v/>
      </c>
      <c r="M20" t="str">
        <f t="shared" si="5"/>
        <v/>
      </c>
      <c r="N20" t="str">
        <f>IF($G20=0,"",IF(IF(N(资金日记账!$I13)=0,"",-ROUND(N(资金日记账!$I13),2))=0,"",IF(N(资金日记账!$I13)=0,"",-ROUND(N(资金日记账!$I13),2))))</f>
        <v/>
      </c>
      <c r="O20" t="str">
        <f>IF($G20=0,"",IF(IF(N(资金日记账!$H13)=0,"",ROUND(N(资金日记账!$H13),2))=0,"",IF(N(资金日记账!$H13)=0,"",ROUND(N(资金日记账!$H13),2))))</f>
        <v/>
      </c>
      <c r="P20" t="str">
        <f>IF($G20=0,"",IF(资金日记账!$L13=0,"",资金日记账!$L13))</f>
        <v/>
      </c>
      <c r="T20" t="str">
        <f>IF(资金日记账!$G20="","",资金日记账!$G20)</f>
        <v/>
      </c>
      <c r="U20">
        <f t="shared" si="8"/>
        <v>0</v>
      </c>
      <c r="V20">
        <f t="shared" si="9"/>
        <v>0</v>
      </c>
      <c r="X20" t="str">
        <f>IFERROR(INDEX($T$4:$T$903,MATCH(17,$V$4:$V$903,0)),"")</f>
        <v/>
      </c>
      <c r="Z20" t="str">
        <f>IF(成本费用登记表!$C20="","",成本费用登记表!$C20)</f>
        <v/>
      </c>
      <c r="AA20">
        <f t="shared" si="10"/>
        <v>0</v>
      </c>
      <c r="AB20">
        <f t="shared" si="11"/>
        <v>0</v>
      </c>
      <c r="AD20" t="str">
        <f>IFERROR(INDEX($Z$4:$Z$303,MATCH(17,$AB$4:$AB$303,0)),"")</f>
        <v/>
      </c>
      <c r="AF20" t="str">
        <f>IF(OR(资金日记账!$E20="",N(资金日记账!$H20)=0),"",资金日记账!$E20)</f>
        <v/>
      </c>
      <c r="AG20">
        <f t="shared" si="12"/>
        <v>0</v>
      </c>
      <c r="AH20">
        <f t="shared" si="13"/>
        <v>0</v>
      </c>
      <c r="AJ20" t="str">
        <f>IFERROR(INDEX($AF$4:$AF$603,MATCH(17,$AH$4:$AH$603,0)),"")</f>
        <v/>
      </c>
    </row>
    <row r="21" spans="1:36">
      <c r="A21" t="str">
        <f>IF(进销存对接!$D21="客户应收",进销存对接!$C21,"")</f>
        <v/>
      </c>
      <c r="B21">
        <f t="shared" si="0"/>
        <v>0</v>
      </c>
      <c r="C21">
        <f t="shared" si="1"/>
        <v>0</v>
      </c>
      <c r="E21" t="str">
        <f t="shared" si="2"/>
        <v/>
      </c>
      <c r="G21">
        <f>IF(OR($G$1="",资金日记账!$E14="",资金日记账!$E14&lt;&gt;$G$1),0,IF(NOT(OR(N(资金日记账!$H14)&lt;&gt;0,N(资金日记账!$I14)&lt;&gt;0)),0,IF(资金日记账!$B14="",1,IF(OR(N(资金日记账!$B14)&lt;$H$1,N(资金日记账!$B14)&gt;$I$1),0,1))))</f>
        <v>0</v>
      </c>
      <c r="H21">
        <f t="shared" si="3"/>
        <v>0</v>
      </c>
      <c r="I21" t="str">
        <f>IF($G21=0,"",IF(资金日记账!$B14=0,"",资金日记账!$B14))</f>
        <v/>
      </c>
      <c r="J21" t="str">
        <f>IF($G21=0,"",IF(资金日记账!$D14=0,"",资金日记账!$D14))</f>
        <v/>
      </c>
      <c r="K21" t="str">
        <f t="shared" si="14"/>
        <v/>
      </c>
      <c r="L21" t="str">
        <f t="shared" si="15"/>
        <v/>
      </c>
      <c r="M21" t="str">
        <f t="shared" si="5"/>
        <v/>
      </c>
      <c r="N21" t="str">
        <f>IF($G21=0,"",IF(IF(N(资金日记账!$I14)=0,"",-ROUND(N(资金日记账!$I14),2))=0,"",IF(N(资金日记账!$I14)=0,"",-ROUND(N(资金日记账!$I14),2))))</f>
        <v/>
      </c>
      <c r="O21" t="str">
        <f>IF($G21=0,"",IF(IF(N(资金日记账!$H14)=0,"",ROUND(N(资金日记账!$H14),2))=0,"",IF(N(资金日记账!$H14)=0,"",ROUND(N(资金日记账!$H14),2))))</f>
        <v/>
      </c>
      <c r="P21" t="str">
        <f>IF($G21=0,"",IF(资金日记账!$L14=0,"",资金日记账!$L14))</f>
        <v/>
      </c>
      <c r="T21" t="str">
        <f>IF(资金日记账!$G21="","",资金日记账!$G21)</f>
        <v/>
      </c>
      <c r="U21">
        <f t="shared" si="8"/>
        <v>0</v>
      </c>
      <c r="V21">
        <f t="shared" si="9"/>
        <v>0</v>
      </c>
      <c r="X21" t="str">
        <f>IFERROR(INDEX($T$4:$T$903,MATCH(18,$V$4:$V$903,0)),"")</f>
        <v/>
      </c>
      <c r="Z21" t="str">
        <f>IF(成本费用登记表!$C21="","",成本费用登记表!$C21)</f>
        <v/>
      </c>
      <c r="AA21">
        <f t="shared" si="10"/>
        <v>0</v>
      </c>
      <c r="AB21">
        <f t="shared" si="11"/>
        <v>0</v>
      </c>
      <c r="AD21" t="str">
        <f>IFERROR(INDEX($Z$4:$Z$303,MATCH(18,$AB$4:$AB$303,0)),"")</f>
        <v/>
      </c>
      <c r="AF21" t="str">
        <f>IF(OR(资金日记账!$E21="",N(资金日记账!$H21)=0),"",资金日记账!$E21)</f>
        <v/>
      </c>
      <c r="AG21">
        <f t="shared" si="12"/>
        <v>0</v>
      </c>
      <c r="AH21">
        <f t="shared" si="13"/>
        <v>0</v>
      </c>
      <c r="AJ21" t="str">
        <f>IFERROR(INDEX($AF$4:$AF$603,MATCH(18,$AH$4:$AH$603,0)),"")</f>
        <v/>
      </c>
    </row>
    <row r="22" spans="1:36">
      <c r="A22" t="str">
        <f>IF(进销存对接!$D22="客户应收",进销存对接!$C22,"")</f>
        <v/>
      </c>
      <c r="B22">
        <f t="shared" si="0"/>
        <v>0</v>
      </c>
      <c r="C22">
        <f t="shared" si="1"/>
        <v>0</v>
      </c>
      <c r="E22" t="str">
        <f t="shared" si="2"/>
        <v/>
      </c>
      <c r="G22">
        <f>IF(OR($G$1="",资金日记账!$E15="",资金日记账!$E15&lt;&gt;$G$1),0,IF(NOT(OR(N(资金日记账!$H15)&lt;&gt;0,N(资金日记账!$I15)&lt;&gt;0)),0,IF(资金日记账!$B15="",1,IF(OR(N(资金日记账!$B15)&lt;$H$1,N(资金日记账!$B15)&gt;$I$1),0,1))))</f>
        <v>0</v>
      </c>
      <c r="H22">
        <f t="shared" si="3"/>
        <v>0</v>
      </c>
      <c r="I22" t="str">
        <f>IF($G22=0,"",IF(资金日记账!$B15=0,"",资金日记账!$B15))</f>
        <v/>
      </c>
      <c r="J22" t="str">
        <f>IF($G22=0,"",IF(资金日记账!$D15=0,"",资金日记账!$D15))</f>
        <v/>
      </c>
      <c r="K22" t="str">
        <f t="shared" si="14"/>
        <v/>
      </c>
      <c r="L22" t="str">
        <f t="shared" si="15"/>
        <v/>
      </c>
      <c r="M22" t="str">
        <f t="shared" si="5"/>
        <v/>
      </c>
      <c r="N22" t="str">
        <f>IF($G22=0,"",IF(IF(N(资金日记账!$I15)=0,"",-ROUND(N(资金日记账!$I15),2))=0,"",IF(N(资金日记账!$I15)=0,"",-ROUND(N(资金日记账!$I15),2))))</f>
        <v/>
      </c>
      <c r="O22" t="str">
        <f>IF($G22=0,"",IF(IF(N(资金日记账!$H15)=0,"",ROUND(N(资金日记账!$H15),2))=0,"",IF(N(资金日记账!$H15)=0,"",ROUND(N(资金日记账!$H15),2))))</f>
        <v/>
      </c>
      <c r="P22" t="str">
        <f>IF($G22=0,"",IF(资金日记账!$L15=0,"",资金日记账!$L15))</f>
        <v/>
      </c>
      <c r="T22" t="str">
        <f>IF(资金日记账!$G22="","",资金日记账!$G22)</f>
        <v/>
      </c>
      <c r="U22">
        <f t="shared" si="8"/>
        <v>0</v>
      </c>
      <c r="V22">
        <f t="shared" si="9"/>
        <v>0</v>
      </c>
      <c r="X22" t="str">
        <f>IFERROR(INDEX($T$4:$T$903,MATCH(19,$V$4:$V$903,0)),"")</f>
        <v/>
      </c>
      <c r="Z22" t="str">
        <f>IF(成本费用登记表!$C22="","",成本费用登记表!$C22)</f>
        <v/>
      </c>
      <c r="AA22">
        <f t="shared" si="10"/>
        <v>0</v>
      </c>
      <c r="AB22">
        <f t="shared" si="11"/>
        <v>0</v>
      </c>
      <c r="AD22" t="str">
        <f>IFERROR(INDEX($Z$4:$Z$303,MATCH(19,$AB$4:$AB$303,0)),"")</f>
        <v/>
      </c>
      <c r="AF22" t="str">
        <f>IF(OR(资金日记账!$E22="",N(资金日记账!$H22)=0),"",资金日记账!$E22)</f>
        <v/>
      </c>
      <c r="AG22">
        <f t="shared" si="12"/>
        <v>0</v>
      </c>
      <c r="AH22">
        <f t="shared" si="13"/>
        <v>0</v>
      </c>
      <c r="AJ22" t="str">
        <f>IFERROR(INDEX($AF$4:$AF$603,MATCH(19,$AH$4:$AH$603,0)),"")</f>
        <v/>
      </c>
    </row>
    <row r="23" spans="1:36">
      <c r="A23" t="str">
        <f>IF(进销存对接!$D23="客户应收",进销存对接!$C23,"")</f>
        <v/>
      </c>
      <c r="B23">
        <f t="shared" si="0"/>
        <v>0</v>
      </c>
      <c r="C23">
        <f t="shared" si="1"/>
        <v>0</v>
      </c>
      <c r="E23" t="str">
        <f t="shared" si="2"/>
        <v/>
      </c>
      <c r="G23">
        <f>IF(OR($G$1="",资金日记账!$E16="",资金日记账!$E16&lt;&gt;$G$1),0,IF(NOT(OR(N(资金日记账!$H16)&lt;&gt;0,N(资金日记账!$I16)&lt;&gt;0)),0,IF(资金日记账!$B16="",1,IF(OR(N(资金日记账!$B16)&lt;$H$1,N(资金日记账!$B16)&gt;$I$1),0,1))))</f>
        <v>0</v>
      </c>
      <c r="H23">
        <f t="shared" si="3"/>
        <v>0</v>
      </c>
      <c r="I23" t="str">
        <f>IF($G23=0,"",IF(资金日记账!$B16=0,"",资金日记账!$B16))</f>
        <v/>
      </c>
      <c r="J23" t="str">
        <f>IF($G23=0,"",IF(资金日记账!$D16=0,"",资金日记账!$D16))</f>
        <v/>
      </c>
      <c r="K23" t="str">
        <f t="shared" si="14"/>
        <v/>
      </c>
      <c r="L23" t="str">
        <f t="shared" si="15"/>
        <v/>
      </c>
      <c r="M23" t="str">
        <f t="shared" si="5"/>
        <v/>
      </c>
      <c r="N23" t="str">
        <f>IF($G23=0,"",IF(IF(N(资金日记账!$I16)=0,"",-ROUND(N(资金日记账!$I16),2))=0,"",IF(N(资金日记账!$I16)=0,"",-ROUND(N(资金日记账!$I16),2))))</f>
        <v/>
      </c>
      <c r="O23" t="str">
        <f>IF($G23=0,"",IF(IF(N(资金日记账!$H16)=0,"",ROUND(N(资金日记账!$H16),2))=0,"",IF(N(资金日记账!$H16)=0,"",ROUND(N(资金日记账!$H16),2))))</f>
        <v/>
      </c>
      <c r="P23" t="str">
        <f>IF($G23=0,"",IF(资金日记账!$L16=0,"",资金日记账!$L16))</f>
        <v/>
      </c>
      <c r="T23" t="str">
        <f>IF(资金日记账!$G23="","",资金日记账!$G23)</f>
        <v/>
      </c>
      <c r="U23">
        <f t="shared" si="8"/>
        <v>0</v>
      </c>
      <c r="V23">
        <f t="shared" si="9"/>
        <v>0</v>
      </c>
      <c r="X23" t="str">
        <f>IFERROR(INDEX($T$4:$T$903,MATCH(20,$V$4:$V$903,0)),"")</f>
        <v/>
      </c>
      <c r="Z23" t="str">
        <f>IF(成本费用登记表!$C23="","",成本费用登记表!$C23)</f>
        <v/>
      </c>
      <c r="AA23">
        <f t="shared" si="10"/>
        <v>0</v>
      </c>
      <c r="AB23">
        <f t="shared" si="11"/>
        <v>0</v>
      </c>
      <c r="AD23" t="str">
        <f>IFERROR(INDEX($Z$4:$Z$303,MATCH(20,$AB$4:$AB$303,0)),"")</f>
        <v/>
      </c>
      <c r="AF23" t="str">
        <f>IF(OR(资金日记账!$E23="",N(资金日记账!$H23)=0),"",资金日记账!$E23)</f>
        <v/>
      </c>
      <c r="AG23">
        <f t="shared" si="12"/>
        <v>0</v>
      </c>
      <c r="AH23">
        <f t="shared" si="13"/>
        <v>0</v>
      </c>
      <c r="AJ23" t="str">
        <f>IFERROR(INDEX($AF$4:$AF$603,MATCH(20,$AH$4:$AH$603,0)),"")</f>
        <v/>
      </c>
    </row>
    <row r="24" spans="1:36">
      <c r="A24" t="str">
        <f>IF(进销存对接!$D24="客户应收",进销存对接!$C24,"")</f>
        <v/>
      </c>
      <c r="B24">
        <f t="shared" si="0"/>
        <v>0</v>
      </c>
      <c r="C24">
        <f t="shared" si="1"/>
        <v>0</v>
      </c>
      <c r="E24" t="str">
        <f t="shared" si="2"/>
        <v/>
      </c>
      <c r="G24">
        <f>IF(OR($G$1="",资金日记账!$E17="",资金日记账!$E17&lt;&gt;$G$1),0,IF(NOT(OR(N(资金日记账!$H17)&lt;&gt;0,N(资金日记账!$I17)&lt;&gt;0)),0,IF(资金日记账!$B17="",1,IF(OR(N(资金日记账!$B17)&lt;$H$1,N(资金日记账!$B17)&gt;$I$1),0,1))))</f>
        <v>0</v>
      </c>
      <c r="H24">
        <f t="shared" si="3"/>
        <v>0</v>
      </c>
      <c r="I24" t="str">
        <f>IF($G24=0,"",IF(资金日记账!$B17=0,"",资金日记账!$B17))</f>
        <v/>
      </c>
      <c r="J24" t="str">
        <f>IF($G24=0,"",IF(资金日记账!$D17=0,"",资金日记账!$D17))</f>
        <v/>
      </c>
      <c r="K24" t="str">
        <f t="shared" si="14"/>
        <v/>
      </c>
      <c r="L24" t="str">
        <f t="shared" si="15"/>
        <v/>
      </c>
      <c r="M24" t="str">
        <f t="shared" si="5"/>
        <v/>
      </c>
      <c r="N24" t="str">
        <f>IF($G24=0,"",IF(IF(N(资金日记账!$I17)=0,"",-ROUND(N(资金日记账!$I17),2))=0,"",IF(N(资金日记账!$I17)=0,"",-ROUND(N(资金日记账!$I17),2))))</f>
        <v/>
      </c>
      <c r="O24" t="str">
        <f>IF($G24=0,"",IF(IF(N(资金日记账!$H17)=0,"",ROUND(N(资金日记账!$H17),2))=0,"",IF(N(资金日记账!$H17)=0,"",ROUND(N(资金日记账!$H17),2))))</f>
        <v/>
      </c>
      <c r="P24" t="str">
        <f>IF($G24=0,"",IF(资金日记账!$L17=0,"",资金日记账!$L17))</f>
        <v/>
      </c>
      <c r="T24" t="str">
        <f>IF(资金日记账!$G24="","",资金日记账!$G24)</f>
        <v/>
      </c>
      <c r="U24">
        <f t="shared" si="8"/>
        <v>0</v>
      </c>
      <c r="V24">
        <f t="shared" si="9"/>
        <v>0</v>
      </c>
      <c r="X24" t="str">
        <f>IFERROR(INDEX($T$4:$T$903,MATCH(21,$V$4:$V$903,0)),"")</f>
        <v/>
      </c>
      <c r="Z24" t="str">
        <f>IF(成本费用登记表!$C24="","",成本费用登记表!$C24)</f>
        <v/>
      </c>
      <c r="AA24">
        <f t="shared" si="10"/>
        <v>0</v>
      </c>
      <c r="AB24">
        <f t="shared" si="11"/>
        <v>0</v>
      </c>
      <c r="AD24" t="str">
        <f>IFERROR(INDEX($Z$4:$Z$303,MATCH(21,$AB$4:$AB$303,0)),"")</f>
        <v/>
      </c>
      <c r="AF24" t="str">
        <f>IF(OR(资金日记账!$E24="",N(资金日记账!$H24)=0),"",资金日记账!$E24)</f>
        <v/>
      </c>
      <c r="AG24">
        <f t="shared" si="12"/>
        <v>0</v>
      </c>
      <c r="AH24">
        <f t="shared" si="13"/>
        <v>0</v>
      </c>
      <c r="AJ24" t="str">
        <f>IFERROR(INDEX($AF$4:$AF$603,MATCH(21,$AH$4:$AH$603,0)),"")</f>
        <v/>
      </c>
    </row>
    <row r="25" spans="1:36">
      <c r="A25" t="str">
        <f>IF(进销存对接!$D25="客户应收",进销存对接!$C25,"")</f>
        <v/>
      </c>
      <c r="B25">
        <f t="shared" si="0"/>
        <v>0</v>
      </c>
      <c r="C25">
        <f t="shared" si="1"/>
        <v>0</v>
      </c>
      <c r="E25" t="str">
        <f t="shared" si="2"/>
        <v/>
      </c>
      <c r="G25">
        <f>IF(OR($G$1="",资金日记账!$E18="",资金日记账!$E18&lt;&gt;$G$1),0,IF(NOT(OR(N(资金日记账!$H18)&lt;&gt;0,N(资金日记账!$I18)&lt;&gt;0)),0,IF(资金日记账!$B18="",1,IF(OR(N(资金日记账!$B18)&lt;$H$1,N(资金日记账!$B18)&gt;$I$1),0,1))))</f>
        <v>0</v>
      </c>
      <c r="H25">
        <f t="shared" si="3"/>
        <v>0</v>
      </c>
      <c r="I25" t="str">
        <f>IF($G25=0,"",IF(资金日记账!$B18=0,"",资金日记账!$B18))</f>
        <v/>
      </c>
      <c r="J25" t="str">
        <f>IF($G25=0,"",IF(资金日记账!$D18=0,"",资金日记账!$D18))</f>
        <v/>
      </c>
      <c r="K25" t="str">
        <f t="shared" si="14"/>
        <v/>
      </c>
      <c r="L25" t="str">
        <f t="shared" si="15"/>
        <v/>
      </c>
      <c r="M25" t="str">
        <f t="shared" si="5"/>
        <v/>
      </c>
      <c r="N25" t="str">
        <f>IF($G25=0,"",IF(IF(N(资金日记账!$I18)=0,"",-ROUND(N(资金日记账!$I18),2))=0,"",IF(N(资金日记账!$I18)=0,"",-ROUND(N(资金日记账!$I18),2))))</f>
        <v/>
      </c>
      <c r="O25" t="str">
        <f>IF($G25=0,"",IF(IF(N(资金日记账!$H18)=0,"",ROUND(N(资金日记账!$H18),2))=0,"",IF(N(资金日记账!$H18)=0,"",ROUND(N(资金日记账!$H18),2))))</f>
        <v/>
      </c>
      <c r="P25" t="str">
        <f>IF($G25=0,"",IF(资金日记账!$L18=0,"",资金日记账!$L18))</f>
        <v/>
      </c>
      <c r="T25" t="str">
        <f>IF(资金日记账!$G25="","",资金日记账!$G25)</f>
        <v/>
      </c>
      <c r="U25">
        <f t="shared" si="8"/>
        <v>0</v>
      </c>
      <c r="V25">
        <f t="shared" si="9"/>
        <v>0</v>
      </c>
      <c r="X25" t="str">
        <f>IFERROR(INDEX($T$4:$T$903,MATCH(22,$V$4:$V$903,0)),"")</f>
        <v/>
      </c>
      <c r="Z25" t="str">
        <f>IF(成本费用登记表!$C25="","",成本费用登记表!$C25)</f>
        <v/>
      </c>
      <c r="AA25">
        <f t="shared" si="10"/>
        <v>0</v>
      </c>
      <c r="AB25">
        <f t="shared" si="11"/>
        <v>0</v>
      </c>
      <c r="AD25" t="str">
        <f>IFERROR(INDEX($Z$4:$Z$303,MATCH(22,$AB$4:$AB$303,0)),"")</f>
        <v/>
      </c>
      <c r="AF25" t="str">
        <f>IF(OR(资金日记账!$E25="",N(资金日记账!$H25)=0),"",资金日记账!$E25)</f>
        <v/>
      </c>
      <c r="AG25">
        <f t="shared" si="12"/>
        <v>0</v>
      </c>
      <c r="AH25">
        <f t="shared" si="13"/>
        <v>0</v>
      </c>
      <c r="AJ25" t="str">
        <f>IFERROR(INDEX($AF$4:$AF$603,MATCH(22,$AH$4:$AH$603,0)),"")</f>
        <v/>
      </c>
    </row>
    <row r="26" spans="1:36">
      <c r="A26" t="str">
        <f>IF(进销存对接!$D26="客户应收",进销存对接!$C26,"")</f>
        <v/>
      </c>
      <c r="B26">
        <f t="shared" si="0"/>
        <v>0</v>
      </c>
      <c r="C26">
        <f t="shared" si="1"/>
        <v>0</v>
      </c>
      <c r="E26" t="str">
        <f t="shared" si="2"/>
        <v/>
      </c>
      <c r="G26">
        <f>IF(OR($G$1="",资金日记账!$E19="",资金日记账!$E19&lt;&gt;$G$1),0,IF(NOT(OR(N(资金日记账!$H19)&lt;&gt;0,N(资金日记账!$I19)&lt;&gt;0)),0,IF(资金日记账!$B19="",1,IF(OR(N(资金日记账!$B19)&lt;$H$1,N(资金日记账!$B19)&gt;$I$1),0,1))))</f>
        <v>0</v>
      </c>
      <c r="H26">
        <f t="shared" si="3"/>
        <v>0</v>
      </c>
      <c r="I26" t="str">
        <f>IF($G26=0,"",IF(资金日记账!$B19=0,"",资金日记账!$B19))</f>
        <v/>
      </c>
      <c r="J26" t="str">
        <f>IF($G26=0,"",IF(资金日记账!$D19=0,"",资金日记账!$D19))</f>
        <v/>
      </c>
      <c r="K26" t="str">
        <f t="shared" si="14"/>
        <v/>
      </c>
      <c r="L26" t="str">
        <f t="shared" si="15"/>
        <v/>
      </c>
      <c r="M26" t="str">
        <f t="shared" si="5"/>
        <v/>
      </c>
      <c r="N26" t="str">
        <f>IF($G26=0,"",IF(IF(N(资金日记账!$I19)=0,"",-ROUND(N(资金日记账!$I19),2))=0,"",IF(N(资金日记账!$I19)=0,"",-ROUND(N(资金日记账!$I19),2))))</f>
        <v/>
      </c>
      <c r="O26" t="str">
        <f>IF($G26=0,"",IF(IF(N(资金日记账!$H19)=0,"",ROUND(N(资金日记账!$H19),2))=0,"",IF(N(资金日记账!$H19)=0,"",ROUND(N(资金日记账!$H19),2))))</f>
        <v/>
      </c>
      <c r="P26" t="str">
        <f>IF($G26=0,"",IF(资金日记账!$L19=0,"",资金日记账!$L19))</f>
        <v/>
      </c>
      <c r="T26" t="str">
        <f>IF(资金日记账!$G26="","",资金日记账!$G26)</f>
        <v/>
      </c>
      <c r="U26">
        <f t="shared" si="8"/>
        <v>0</v>
      </c>
      <c r="V26">
        <f t="shared" si="9"/>
        <v>0</v>
      </c>
      <c r="X26" t="str">
        <f>IFERROR(INDEX($T$4:$T$903,MATCH(23,$V$4:$V$903,0)),"")</f>
        <v/>
      </c>
      <c r="Z26" t="str">
        <f>IF(成本费用登记表!$C26="","",成本费用登记表!$C26)</f>
        <v/>
      </c>
      <c r="AA26">
        <f t="shared" si="10"/>
        <v>0</v>
      </c>
      <c r="AB26">
        <f t="shared" si="11"/>
        <v>0</v>
      </c>
      <c r="AD26" t="str">
        <f>IFERROR(INDEX($Z$4:$Z$303,MATCH(23,$AB$4:$AB$303,0)),"")</f>
        <v/>
      </c>
      <c r="AF26" t="str">
        <f>IF(OR(资金日记账!$E26="",N(资金日记账!$H26)=0),"",资金日记账!$E26)</f>
        <v/>
      </c>
      <c r="AG26">
        <f t="shared" si="12"/>
        <v>0</v>
      </c>
      <c r="AH26">
        <f t="shared" si="13"/>
        <v>0</v>
      </c>
      <c r="AJ26" t="str">
        <f>IFERROR(INDEX($AF$4:$AF$603,MATCH(23,$AH$4:$AH$603,0)),"")</f>
        <v/>
      </c>
    </row>
    <row r="27" spans="1:36">
      <c r="A27" t="str">
        <f>IF(进销存对接!$D27="客户应收",进销存对接!$C27,"")</f>
        <v/>
      </c>
      <c r="B27">
        <f t="shared" si="0"/>
        <v>0</v>
      </c>
      <c r="C27">
        <f t="shared" si="1"/>
        <v>0</v>
      </c>
      <c r="E27" t="str">
        <f t="shared" si="2"/>
        <v/>
      </c>
      <c r="G27">
        <f>IF(OR($G$1="",资金日记账!$E20="",资金日记账!$E20&lt;&gt;$G$1),0,IF(NOT(OR(N(资金日记账!$H20)&lt;&gt;0,N(资金日记账!$I20)&lt;&gt;0)),0,IF(资金日记账!$B20="",1,IF(OR(N(资金日记账!$B20)&lt;$H$1,N(资金日记账!$B20)&gt;$I$1),0,1))))</f>
        <v>0</v>
      </c>
      <c r="H27">
        <f t="shared" si="3"/>
        <v>0</v>
      </c>
      <c r="I27" t="str">
        <f>IF($G27=0,"",IF(资金日记账!$B20=0,"",资金日记账!$B20))</f>
        <v/>
      </c>
      <c r="J27" t="str">
        <f>IF($G27=0,"",IF(资金日记账!$D20=0,"",资金日记账!$D20))</f>
        <v/>
      </c>
      <c r="K27" t="str">
        <f t="shared" si="14"/>
        <v/>
      </c>
      <c r="L27" t="str">
        <f t="shared" si="15"/>
        <v/>
      </c>
      <c r="M27" t="str">
        <f t="shared" si="5"/>
        <v/>
      </c>
      <c r="N27" t="str">
        <f>IF($G27=0,"",IF(IF(N(资金日记账!$I20)=0,"",-ROUND(N(资金日记账!$I20),2))=0,"",IF(N(资金日记账!$I20)=0,"",-ROUND(N(资金日记账!$I20),2))))</f>
        <v/>
      </c>
      <c r="O27" t="str">
        <f>IF($G27=0,"",IF(IF(N(资金日记账!$H20)=0,"",ROUND(N(资金日记账!$H20),2))=0,"",IF(N(资金日记账!$H20)=0,"",ROUND(N(资金日记账!$H20),2))))</f>
        <v/>
      </c>
      <c r="P27" t="str">
        <f>IF($G27=0,"",IF(资金日记账!$L20=0,"",资金日记账!$L20))</f>
        <v/>
      </c>
      <c r="T27" t="str">
        <f>IF(资金日记账!$G27="","",资金日记账!$G27)</f>
        <v/>
      </c>
      <c r="U27">
        <f t="shared" si="8"/>
        <v>0</v>
      </c>
      <c r="V27">
        <f t="shared" si="9"/>
        <v>0</v>
      </c>
      <c r="X27" t="str">
        <f>IFERROR(INDEX($T$4:$T$903,MATCH(24,$V$4:$V$903,0)),"")</f>
        <v/>
      </c>
      <c r="Z27" t="str">
        <f>IF(成本费用登记表!$C27="","",成本费用登记表!$C27)</f>
        <v/>
      </c>
      <c r="AA27">
        <f t="shared" si="10"/>
        <v>0</v>
      </c>
      <c r="AB27">
        <f t="shared" si="11"/>
        <v>0</v>
      </c>
      <c r="AD27" t="str">
        <f>IFERROR(INDEX($Z$4:$Z$303,MATCH(24,$AB$4:$AB$303,0)),"")</f>
        <v/>
      </c>
      <c r="AF27" t="str">
        <f>IF(OR(资金日记账!$E27="",N(资金日记账!$H27)=0),"",资金日记账!$E27)</f>
        <v/>
      </c>
      <c r="AG27">
        <f t="shared" si="12"/>
        <v>0</v>
      </c>
      <c r="AH27">
        <f t="shared" si="13"/>
        <v>0</v>
      </c>
      <c r="AJ27" t="str">
        <f>IFERROR(INDEX($AF$4:$AF$603,MATCH(24,$AH$4:$AH$603,0)),"")</f>
        <v/>
      </c>
    </row>
    <row r="28" spans="1:36">
      <c r="A28" t="str">
        <f>IF(进销存对接!$D28="客户应收",进销存对接!$C28,"")</f>
        <v/>
      </c>
      <c r="B28">
        <f t="shared" si="0"/>
        <v>0</v>
      </c>
      <c r="C28">
        <f t="shared" si="1"/>
        <v>0</v>
      </c>
      <c r="E28" t="str">
        <f t="shared" si="2"/>
        <v/>
      </c>
      <c r="G28">
        <f>IF(OR($G$1="",资金日记账!$E21="",资金日记账!$E21&lt;&gt;$G$1),0,IF(NOT(OR(N(资金日记账!$H21)&lt;&gt;0,N(资金日记账!$I21)&lt;&gt;0)),0,IF(资金日记账!$B21="",1,IF(OR(N(资金日记账!$B21)&lt;$H$1,N(资金日记账!$B21)&gt;$I$1),0,1))))</f>
        <v>0</v>
      </c>
      <c r="H28">
        <f t="shared" si="3"/>
        <v>0</v>
      </c>
      <c r="I28" t="str">
        <f>IF($G28=0,"",IF(资金日记账!$B21=0,"",资金日记账!$B21))</f>
        <v/>
      </c>
      <c r="J28" t="str">
        <f>IF($G28=0,"",IF(资金日记账!$D21=0,"",资金日记账!$D21))</f>
        <v/>
      </c>
      <c r="K28" t="str">
        <f t="shared" si="14"/>
        <v/>
      </c>
      <c r="L28" t="str">
        <f t="shared" si="15"/>
        <v/>
      </c>
      <c r="M28" t="str">
        <f t="shared" si="5"/>
        <v/>
      </c>
      <c r="N28" t="str">
        <f>IF($G28=0,"",IF(IF(N(资金日记账!$I21)=0,"",-ROUND(N(资金日记账!$I21),2))=0,"",IF(N(资金日记账!$I21)=0,"",-ROUND(N(资金日记账!$I21),2))))</f>
        <v/>
      </c>
      <c r="O28" t="str">
        <f>IF($G28=0,"",IF(IF(N(资金日记账!$H21)=0,"",ROUND(N(资金日记账!$H21),2))=0,"",IF(N(资金日记账!$H21)=0,"",ROUND(N(资金日记账!$H21),2))))</f>
        <v/>
      </c>
      <c r="P28" t="str">
        <f>IF($G28=0,"",IF(资金日记账!$L21=0,"",资金日记账!$L21))</f>
        <v/>
      </c>
      <c r="T28" t="str">
        <f>IF(资金日记账!$G28="","",资金日记账!$G28)</f>
        <v/>
      </c>
      <c r="U28">
        <f t="shared" si="8"/>
        <v>0</v>
      </c>
      <c r="V28">
        <f t="shared" si="9"/>
        <v>0</v>
      </c>
      <c r="X28" t="str">
        <f>IFERROR(INDEX($T$4:$T$903,MATCH(25,$V$4:$V$903,0)),"")</f>
        <v/>
      </c>
      <c r="Z28" t="str">
        <f>IF(成本费用登记表!$C28="","",成本费用登记表!$C28)</f>
        <v/>
      </c>
      <c r="AA28">
        <f t="shared" si="10"/>
        <v>0</v>
      </c>
      <c r="AB28">
        <f t="shared" si="11"/>
        <v>0</v>
      </c>
      <c r="AD28" t="str">
        <f>IFERROR(INDEX($Z$4:$Z$303,MATCH(25,$AB$4:$AB$303,0)),"")</f>
        <v/>
      </c>
      <c r="AF28" t="str">
        <f>IF(OR(资金日记账!$E28="",N(资金日记账!$H28)=0),"",资金日记账!$E28)</f>
        <v/>
      </c>
      <c r="AG28">
        <f t="shared" si="12"/>
        <v>0</v>
      </c>
      <c r="AH28">
        <f t="shared" si="13"/>
        <v>0</v>
      </c>
      <c r="AJ28" t="str">
        <f>IFERROR(INDEX($AF$4:$AF$603,MATCH(25,$AH$4:$AH$603,0)),"")</f>
        <v/>
      </c>
    </row>
    <row r="29" spans="1:36">
      <c r="A29" t="str">
        <f>IF(进销存对接!$D29="客户应收",进销存对接!$C29,"")</f>
        <v/>
      </c>
      <c r="B29">
        <f t="shared" si="0"/>
        <v>0</v>
      </c>
      <c r="C29">
        <f t="shared" si="1"/>
        <v>0</v>
      </c>
      <c r="E29" t="str">
        <f t="shared" si="2"/>
        <v/>
      </c>
      <c r="G29">
        <f>IF(OR($G$1="",资金日记账!$E22="",资金日记账!$E22&lt;&gt;$G$1),0,IF(NOT(OR(N(资金日记账!$H22)&lt;&gt;0,N(资金日记账!$I22)&lt;&gt;0)),0,IF(资金日记账!$B22="",1,IF(OR(N(资金日记账!$B22)&lt;$H$1,N(资金日记账!$B22)&gt;$I$1),0,1))))</f>
        <v>0</v>
      </c>
      <c r="H29">
        <f t="shared" si="3"/>
        <v>0</v>
      </c>
      <c r="I29" t="str">
        <f>IF($G29=0,"",IF(资金日记账!$B22=0,"",资金日记账!$B22))</f>
        <v/>
      </c>
      <c r="J29" t="str">
        <f>IF($G29=0,"",IF(资金日记账!$D22=0,"",资金日记账!$D22))</f>
        <v/>
      </c>
      <c r="K29" t="str">
        <f t="shared" si="14"/>
        <v/>
      </c>
      <c r="L29" t="str">
        <f t="shared" si="15"/>
        <v/>
      </c>
      <c r="M29" t="str">
        <f t="shared" si="5"/>
        <v/>
      </c>
      <c r="N29" t="str">
        <f>IF($G29=0,"",IF(IF(N(资金日记账!$I22)=0,"",-ROUND(N(资金日记账!$I22),2))=0,"",IF(N(资金日记账!$I22)=0,"",-ROUND(N(资金日记账!$I22),2))))</f>
        <v/>
      </c>
      <c r="O29" t="str">
        <f>IF($G29=0,"",IF(IF(N(资金日记账!$H22)=0,"",ROUND(N(资金日记账!$H22),2))=0,"",IF(N(资金日记账!$H22)=0,"",ROUND(N(资金日记账!$H22),2))))</f>
        <v/>
      </c>
      <c r="P29" t="str">
        <f>IF($G29=0,"",IF(资金日记账!$L22=0,"",资金日记账!$L22))</f>
        <v/>
      </c>
      <c r="T29" t="str">
        <f>IF(资金日记账!$G29="","",资金日记账!$G29)</f>
        <v/>
      </c>
      <c r="U29">
        <f t="shared" si="8"/>
        <v>0</v>
      </c>
      <c r="V29">
        <f t="shared" si="9"/>
        <v>0</v>
      </c>
      <c r="X29" t="str">
        <f>IFERROR(INDEX($T$4:$T$903,MATCH(26,$V$4:$V$903,0)),"")</f>
        <v/>
      </c>
      <c r="Z29" t="str">
        <f>IF(成本费用登记表!$C29="","",成本费用登记表!$C29)</f>
        <v/>
      </c>
      <c r="AA29">
        <f t="shared" si="10"/>
        <v>0</v>
      </c>
      <c r="AB29">
        <f t="shared" si="11"/>
        <v>0</v>
      </c>
      <c r="AD29" t="str">
        <f>IFERROR(INDEX($Z$4:$Z$303,MATCH(26,$AB$4:$AB$303,0)),"")</f>
        <v/>
      </c>
      <c r="AF29" t="str">
        <f>IF(OR(资金日记账!$E29="",N(资金日记账!$H29)=0),"",资金日记账!$E29)</f>
        <v/>
      </c>
      <c r="AG29">
        <f t="shared" si="12"/>
        <v>0</v>
      </c>
      <c r="AH29">
        <f t="shared" si="13"/>
        <v>0</v>
      </c>
      <c r="AJ29" t="str">
        <f>IFERROR(INDEX($AF$4:$AF$603,MATCH(26,$AH$4:$AH$603,0)),"")</f>
        <v/>
      </c>
    </row>
    <row r="30" spans="1:36">
      <c r="A30" t="str">
        <f>IF(进销存对接!$D30="客户应收",进销存对接!$C30,"")</f>
        <v/>
      </c>
      <c r="B30">
        <f t="shared" si="0"/>
        <v>0</v>
      </c>
      <c r="C30">
        <f t="shared" si="1"/>
        <v>0</v>
      </c>
      <c r="E30" t="str">
        <f t="shared" si="2"/>
        <v/>
      </c>
      <c r="G30">
        <f>IF(OR($G$1="",资金日记账!$E23="",资金日记账!$E23&lt;&gt;$G$1),0,IF(NOT(OR(N(资金日记账!$H23)&lt;&gt;0,N(资金日记账!$I23)&lt;&gt;0)),0,IF(资金日记账!$B23="",1,IF(OR(N(资金日记账!$B23)&lt;$H$1,N(资金日记账!$B23)&gt;$I$1),0,1))))</f>
        <v>0</v>
      </c>
      <c r="H30">
        <f t="shared" si="3"/>
        <v>0</v>
      </c>
      <c r="I30" t="str">
        <f>IF($G30=0,"",IF(资金日记账!$B23=0,"",资金日记账!$B23))</f>
        <v/>
      </c>
      <c r="J30" t="str">
        <f>IF($G30=0,"",IF(资金日记账!$D23=0,"",资金日记账!$D23))</f>
        <v/>
      </c>
      <c r="K30" t="str">
        <f t="shared" si="14"/>
        <v/>
      </c>
      <c r="L30" t="str">
        <f t="shared" si="15"/>
        <v/>
      </c>
      <c r="M30" t="str">
        <f t="shared" si="5"/>
        <v/>
      </c>
      <c r="N30" t="str">
        <f>IF($G30=0,"",IF(IF(N(资金日记账!$I23)=0,"",-ROUND(N(资金日记账!$I23),2))=0,"",IF(N(资金日记账!$I23)=0,"",-ROUND(N(资金日记账!$I23),2))))</f>
        <v/>
      </c>
      <c r="O30" t="str">
        <f>IF($G30=0,"",IF(IF(N(资金日记账!$H23)=0,"",ROUND(N(资金日记账!$H23),2))=0,"",IF(N(资金日记账!$H23)=0,"",ROUND(N(资金日记账!$H23),2))))</f>
        <v/>
      </c>
      <c r="P30" t="str">
        <f>IF($G30=0,"",IF(资金日记账!$L23=0,"",资金日记账!$L23))</f>
        <v/>
      </c>
      <c r="T30" t="str">
        <f>IF(资金日记账!$G30="","",资金日记账!$G30)</f>
        <v/>
      </c>
      <c r="U30">
        <f t="shared" si="8"/>
        <v>0</v>
      </c>
      <c r="V30">
        <f t="shared" si="9"/>
        <v>0</v>
      </c>
      <c r="X30" t="str">
        <f>IFERROR(INDEX($T$4:$T$903,MATCH(27,$V$4:$V$903,0)),"")</f>
        <v/>
      </c>
      <c r="Z30" t="str">
        <f>IF(成本费用登记表!$C30="","",成本费用登记表!$C30)</f>
        <v/>
      </c>
      <c r="AA30">
        <f t="shared" si="10"/>
        <v>0</v>
      </c>
      <c r="AB30">
        <f t="shared" si="11"/>
        <v>0</v>
      </c>
      <c r="AD30" t="str">
        <f>IFERROR(INDEX($Z$4:$Z$303,MATCH(27,$AB$4:$AB$303,0)),"")</f>
        <v/>
      </c>
      <c r="AF30" t="str">
        <f>IF(OR(资金日记账!$E30="",N(资金日记账!$H30)=0),"",资金日记账!$E30)</f>
        <v/>
      </c>
      <c r="AG30">
        <f t="shared" si="12"/>
        <v>0</v>
      </c>
      <c r="AH30">
        <f t="shared" si="13"/>
        <v>0</v>
      </c>
      <c r="AJ30" t="str">
        <f>IFERROR(INDEX($AF$4:$AF$603,MATCH(27,$AH$4:$AH$603,0)),"")</f>
        <v/>
      </c>
    </row>
    <row r="31" spans="1:36">
      <c r="A31" t="str">
        <f>IF(进销存对接!$D31="客户应收",进销存对接!$C31,"")</f>
        <v/>
      </c>
      <c r="B31">
        <f t="shared" si="0"/>
        <v>0</v>
      </c>
      <c r="C31">
        <f t="shared" si="1"/>
        <v>0</v>
      </c>
      <c r="E31" t="str">
        <f t="shared" si="2"/>
        <v/>
      </c>
      <c r="G31">
        <f>IF(OR($G$1="",资金日记账!$E24="",资金日记账!$E24&lt;&gt;$G$1),0,IF(NOT(OR(N(资金日记账!$H24)&lt;&gt;0,N(资金日记账!$I24)&lt;&gt;0)),0,IF(资金日记账!$B24="",1,IF(OR(N(资金日记账!$B24)&lt;$H$1,N(资金日记账!$B24)&gt;$I$1),0,1))))</f>
        <v>0</v>
      </c>
      <c r="H31">
        <f t="shared" si="3"/>
        <v>0</v>
      </c>
      <c r="I31" t="str">
        <f>IF($G31=0,"",IF(资金日记账!$B24=0,"",资金日记账!$B24))</f>
        <v/>
      </c>
      <c r="J31" t="str">
        <f>IF($G31=0,"",IF(资金日记账!$D24=0,"",资金日记账!$D24))</f>
        <v/>
      </c>
      <c r="K31" t="str">
        <f t="shared" si="14"/>
        <v/>
      </c>
      <c r="L31" t="str">
        <f t="shared" si="15"/>
        <v/>
      </c>
      <c r="M31" t="str">
        <f t="shared" si="5"/>
        <v/>
      </c>
      <c r="N31" t="str">
        <f>IF($G31=0,"",IF(IF(N(资金日记账!$I24)=0,"",-ROUND(N(资金日记账!$I24),2))=0,"",IF(N(资金日记账!$I24)=0,"",-ROUND(N(资金日记账!$I24),2))))</f>
        <v/>
      </c>
      <c r="O31" t="str">
        <f>IF($G31=0,"",IF(IF(N(资金日记账!$H24)=0,"",ROUND(N(资金日记账!$H24),2))=0,"",IF(N(资金日记账!$H24)=0,"",ROUND(N(资金日记账!$H24),2))))</f>
        <v/>
      </c>
      <c r="P31" t="str">
        <f>IF($G31=0,"",IF(资金日记账!$L24=0,"",资金日记账!$L24))</f>
        <v/>
      </c>
      <c r="T31" t="str">
        <f>IF(资金日记账!$G31="","",资金日记账!$G31)</f>
        <v/>
      </c>
      <c r="U31">
        <f t="shared" si="8"/>
        <v>0</v>
      </c>
      <c r="V31">
        <f t="shared" si="9"/>
        <v>0</v>
      </c>
      <c r="X31" t="str">
        <f>IFERROR(INDEX($T$4:$T$903,MATCH(28,$V$4:$V$903,0)),"")</f>
        <v/>
      </c>
      <c r="Z31" t="str">
        <f>IF(成本费用登记表!$C31="","",成本费用登记表!$C31)</f>
        <v/>
      </c>
      <c r="AA31">
        <f t="shared" si="10"/>
        <v>0</v>
      </c>
      <c r="AB31">
        <f t="shared" si="11"/>
        <v>0</v>
      </c>
      <c r="AD31" t="str">
        <f>IFERROR(INDEX($Z$4:$Z$303,MATCH(28,$AB$4:$AB$303,0)),"")</f>
        <v/>
      </c>
      <c r="AF31" t="str">
        <f>IF(OR(资金日记账!$E31="",N(资金日记账!$H31)=0),"",资金日记账!$E31)</f>
        <v/>
      </c>
      <c r="AG31">
        <f t="shared" si="12"/>
        <v>0</v>
      </c>
      <c r="AH31">
        <f t="shared" si="13"/>
        <v>0</v>
      </c>
      <c r="AJ31" t="str">
        <f>IFERROR(INDEX($AF$4:$AF$603,MATCH(28,$AH$4:$AH$603,0)),"")</f>
        <v/>
      </c>
    </row>
    <row r="32" spans="1:36">
      <c r="A32" t="str">
        <f>IF(进销存对接!$D32="客户应收",进销存对接!$C32,"")</f>
        <v/>
      </c>
      <c r="B32">
        <f t="shared" si="0"/>
        <v>0</v>
      </c>
      <c r="C32">
        <f t="shared" si="1"/>
        <v>0</v>
      </c>
      <c r="E32" t="str">
        <f t="shared" si="2"/>
        <v/>
      </c>
      <c r="G32">
        <f>IF(OR($G$1="",资金日记账!$E25="",资金日记账!$E25&lt;&gt;$G$1),0,IF(NOT(OR(N(资金日记账!$H25)&lt;&gt;0,N(资金日记账!$I25)&lt;&gt;0)),0,IF(资金日记账!$B25="",1,IF(OR(N(资金日记账!$B25)&lt;$H$1,N(资金日记账!$B25)&gt;$I$1),0,1))))</f>
        <v>0</v>
      </c>
      <c r="H32">
        <f t="shared" si="3"/>
        <v>0</v>
      </c>
      <c r="I32" t="str">
        <f>IF($G32=0,"",IF(资金日记账!$B25=0,"",资金日记账!$B25))</f>
        <v/>
      </c>
      <c r="J32" t="str">
        <f>IF($G32=0,"",IF(资金日记账!$D25=0,"",资金日记账!$D25))</f>
        <v/>
      </c>
      <c r="K32" t="str">
        <f t="shared" si="14"/>
        <v/>
      </c>
      <c r="L32" t="str">
        <f t="shared" si="15"/>
        <v/>
      </c>
      <c r="M32" t="str">
        <f t="shared" si="5"/>
        <v/>
      </c>
      <c r="N32" t="str">
        <f>IF($G32=0,"",IF(IF(N(资金日记账!$I25)=0,"",-ROUND(N(资金日记账!$I25),2))=0,"",IF(N(资金日记账!$I25)=0,"",-ROUND(N(资金日记账!$I25),2))))</f>
        <v/>
      </c>
      <c r="O32" t="str">
        <f>IF($G32=0,"",IF(IF(N(资金日记账!$H25)=0,"",ROUND(N(资金日记账!$H25),2))=0,"",IF(N(资金日记账!$H25)=0,"",ROUND(N(资金日记账!$H25),2))))</f>
        <v/>
      </c>
      <c r="P32" t="str">
        <f>IF($G32=0,"",IF(资金日记账!$L25=0,"",资金日记账!$L25))</f>
        <v/>
      </c>
      <c r="T32" t="str">
        <f>IF(资金日记账!$G32="","",资金日记账!$G32)</f>
        <v/>
      </c>
      <c r="U32">
        <f t="shared" si="8"/>
        <v>0</v>
      </c>
      <c r="V32">
        <f t="shared" si="9"/>
        <v>0</v>
      </c>
      <c r="X32" t="str">
        <f>IFERROR(INDEX($T$4:$T$903,MATCH(29,$V$4:$V$903,0)),"")</f>
        <v/>
      </c>
      <c r="Z32" t="str">
        <f>IF(成本费用登记表!$C32="","",成本费用登记表!$C32)</f>
        <v/>
      </c>
      <c r="AA32">
        <f t="shared" si="10"/>
        <v>0</v>
      </c>
      <c r="AB32">
        <f t="shared" si="11"/>
        <v>0</v>
      </c>
      <c r="AD32" t="str">
        <f>IFERROR(INDEX($Z$4:$Z$303,MATCH(29,$AB$4:$AB$303,0)),"")</f>
        <v/>
      </c>
      <c r="AF32" t="str">
        <f>IF(OR(资金日记账!$E32="",N(资金日记账!$H32)=0),"",资金日记账!$E32)</f>
        <v/>
      </c>
      <c r="AG32">
        <f t="shared" si="12"/>
        <v>0</v>
      </c>
      <c r="AH32">
        <f t="shared" si="13"/>
        <v>0</v>
      </c>
      <c r="AJ32" t="str">
        <f>IFERROR(INDEX($AF$4:$AF$603,MATCH(29,$AH$4:$AH$603,0)),"")</f>
        <v/>
      </c>
    </row>
    <row r="33" spans="1:36">
      <c r="A33" t="str">
        <f>IF(进销存对接!$D33="客户应收",进销存对接!$C33,"")</f>
        <v/>
      </c>
      <c r="B33">
        <f t="shared" si="0"/>
        <v>0</v>
      </c>
      <c r="C33">
        <f t="shared" si="1"/>
        <v>0</v>
      </c>
      <c r="E33" t="str">
        <f t="shared" si="2"/>
        <v/>
      </c>
      <c r="G33">
        <f>IF(OR($G$1="",资金日记账!$E26="",资金日记账!$E26&lt;&gt;$G$1),0,IF(NOT(OR(N(资金日记账!$H26)&lt;&gt;0,N(资金日记账!$I26)&lt;&gt;0)),0,IF(资金日记账!$B26="",1,IF(OR(N(资金日记账!$B26)&lt;$H$1,N(资金日记账!$B26)&gt;$I$1),0,1))))</f>
        <v>0</v>
      </c>
      <c r="H33">
        <f t="shared" si="3"/>
        <v>0</v>
      </c>
      <c r="I33" t="str">
        <f>IF($G33=0,"",IF(资金日记账!$B26=0,"",资金日记账!$B26))</f>
        <v/>
      </c>
      <c r="J33" t="str">
        <f>IF($G33=0,"",IF(资金日记账!$D26=0,"",资金日记账!$D26))</f>
        <v/>
      </c>
      <c r="K33" t="str">
        <f t="shared" si="14"/>
        <v/>
      </c>
      <c r="L33" t="str">
        <f t="shared" si="15"/>
        <v/>
      </c>
      <c r="M33" t="str">
        <f t="shared" si="5"/>
        <v/>
      </c>
      <c r="N33" t="str">
        <f>IF($G33=0,"",IF(IF(N(资金日记账!$I26)=0,"",-ROUND(N(资金日记账!$I26),2))=0,"",IF(N(资金日记账!$I26)=0,"",-ROUND(N(资金日记账!$I26),2))))</f>
        <v/>
      </c>
      <c r="O33" t="str">
        <f>IF($G33=0,"",IF(IF(N(资金日记账!$H26)=0,"",ROUND(N(资金日记账!$H26),2))=0,"",IF(N(资金日记账!$H26)=0,"",ROUND(N(资金日记账!$H26),2))))</f>
        <v/>
      </c>
      <c r="P33" t="str">
        <f>IF($G33=0,"",IF(资金日记账!$L26=0,"",资金日记账!$L26))</f>
        <v/>
      </c>
      <c r="T33" t="str">
        <f>IF(资金日记账!$G33="","",资金日记账!$G33)</f>
        <v/>
      </c>
      <c r="U33">
        <f t="shared" si="8"/>
        <v>0</v>
      </c>
      <c r="V33">
        <f t="shared" si="9"/>
        <v>0</v>
      </c>
      <c r="X33" t="str">
        <f>IFERROR(INDEX($T$4:$T$903,MATCH(30,$V$4:$V$903,0)),"")</f>
        <v/>
      </c>
      <c r="Z33" t="str">
        <f>IF(成本费用登记表!$C33="","",成本费用登记表!$C33)</f>
        <v/>
      </c>
      <c r="AA33">
        <f t="shared" si="10"/>
        <v>0</v>
      </c>
      <c r="AB33">
        <f t="shared" si="11"/>
        <v>0</v>
      </c>
      <c r="AD33" t="str">
        <f>IFERROR(INDEX($Z$4:$Z$303,MATCH(30,$AB$4:$AB$303,0)),"")</f>
        <v/>
      </c>
      <c r="AF33" t="str">
        <f>IF(OR(资金日记账!$E33="",N(资金日记账!$H33)=0),"",资金日记账!$E33)</f>
        <v/>
      </c>
      <c r="AG33">
        <f t="shared" si="12"/>
        <v>0</v>
      </c>
      <c r="AH33">
        <f t="shared" si="13"/>
        <v>0</v>
      </c>
      <c r="AJ33" t="str">
        <f>IFERROR(INDEX($AF$4:$AF$603,MATCH(30,$AH$4:$AH$603,0)),"")</f>
        <v/>
      </c>
    </row>
    <row r="34" spans="1:36">
      <c r="A34" t="str">
        <f>IF(进销存对接!$D34="客户应收",进销存对接!$C34,"")</f>
        <v/>
      </c>
      <c r="B34">
        <f t="shared" si="0"/>
        <v>0</v>
      </c>
      <c r="C34">
        <f t="shared" si="1"/>
        <v>0</v>
      </c>
      <c r="E34" t="str">
        <f t="shared" si="2"/>
        <v/>
      </c>
      <c r="G34">
        <f>IF(OR($G$1="",资金日记账!$E27="",资金日记账!$E27&lt;&gt;$G$1),0,IF(NOT(OR(N(资金日记账!$H27)&lt;&gt;0,N(资金日记账!$I27)&lt;&gt;0)),0,IF(资金日记账!$B27="",1,IF(OR(N(资金日记账!$B27)&lt;$H$1,N(资金日记账!$B27)&gt;$I$1),0,1))))</f>
        <v>0</v>
      </c>
      <c r="H34">
        <f t="shared" si="3"/>
        <v>0</v>
      </c>
      <c r="I34" t="str">
        <f>IF($G34=0,"",IF(资金日记账!$B27=0,"",资金日记账!$B27))</f>
        <v/>
      </c>
      <c r="J34" t="str">
        <f>IF($G34=0,"",IF(资金日记账!$D27=0,"",资金日记账!$D27))</f>
        <v/>
      </c>
      <c r="K34" t="str">
        <f t="shared" si="14"/>
        <v/>
      </c>
      <c r="L34" t="str">
        <f t="shared" si="15"/>
        <v/>
      </c>
      <c r="M34" t="str">
        <f t="shared" si="5"/>
        <v/>
      </c>
      <c r="N34" t="str">
        <f>IF($G34=0,"",IF(IF(N(资金日记账!$I27)=0,"",-ROUND(N(资金日记账!$I27),2))=0,"",IF(N(资金日记账!$I27)=0,"",-ROUND(N(资金日记账!$I27),2))))</f>
        <v/>
      </c>
      <c r="O34" t="str">
        <f>IF($G34=0,"",IF(IF(N(资金日记账!$H27)=0,"",ROUND(N(资金日记账!$H27),2))=0,"",IF(N(资金日记账!$H27)=0,"",ROUND(N(资金日记账!$H27),2))))</f>
        <v/>
      </c>
      <c r="P34" t="str">
        <f>IF($G34=0,"",IF(资金日记账!$L27=0,"",资金日记账!$L27))</f>
        <v/>
      </c>
      <c r="T34" t="str">
        <f>IF(资金日记账!$G34="","",资金日记账!$G34)</f>
        <v/>
      </c>
      <c r="U34">
        <f t="shared" si="8"/>
        <v>0</v>
      </c>
      <c r="V34">
        <f t="shared" si="9"/>
        <v>0</v>
      </c>
      <c r="X34" t="str">
        <f>IFERROR(INDEX($T$4:$T$903,MATCH(31,$V$4:$V$903,0)),"")</f>
        <v/>
      </c>
      <c r="Z34" t="str">
        <f>IF(成本费用登记表!$C34="","",成本费用登记表!$C34)</f>
        <v/>
      </c>
      <c r="AA34">
        <f t="shared" si="10"/>
        <v>0</v>
      </c>
      <c r="AB34">
        <f t="shared" si="11"/>
        <v>0</v>
      </c>
      <c r="AD34" t="str">
        <f>IFERROR(INDEX($Z$4:$Z$303,MATCH(31,$AB$4:$AB$303,0)),"")</f>
        <v/>
      </c>
      <c r="AF34" t="str">
        <f>IF(OR(资金日记账!$E34="",N(资金日记账!$H34)=0),"",资金日记账!$E34)</f>
        <v/>
      </c>
      <c r="AG34">
        <f t="shared" si="12"/>
        <v>0</v>
      </c>
      <c r="AH34">
        <f t="shared" si="13"/>
        <v>0</v>
      </c>
      <c r="AJ34" t="str">
        <f>IFERROR(INDEX($AF$4:$AF$603,MATCH(31,$AH$4:$AH$603,0)),"")</f>
        <v/>
      </c>
    </row>
    <row r="35" spans="1:36">
      <c r="A35" t="str">
        <f>IF(进销存对接!$D35="客户应收",进销存对接!$C35,"")</f>
        <v/>
      </c>
      <c r="B35">
        <f t="shared" si="0"/>
        <v>0</v>
      </c>
      <c r="C35">
        <f t="shared" si="1"/>
        <v>0</v>
      </c>
      <c r="E35" t="str">
        <f t="shared" si="2"/>
        <v/>
      </c>
      <c r="G35">
        <f>IF(OR($G$1="",资金日记账!$E28="",资金日记账!$E28&lt;&gt;$G$1),0,IF(NOT(OR(N(资金日记账!$H28)&lt;&gt;0,N(资金日记账!$I28)&lt;&gt;0)),0,IF(资金日记账!$B28="",1,IF(OR(N(资金日记账!$B28)&lt;$H$1,N(资金日记账!$B28)&gt;$I$1),0,1))))</f>
        <v>0</v>
      </c>
      <c r="H35">
        <f t="shared" si="3"/>
        <v>0</v>
      </c>
      <c r="I35" t="str">
        <f>IF($G35=0,"",IF(资金日记账!$B28=0,"",资金日记账!$B28))</f>
        <v/>
      </c>
      <c r="J35" t="str">
        <f>IF($G35=0,"",IF(资金日记账!$D28=0,"",资金日记账!$D28))</f>
        <v/>
      </c>
      <c r="K35" t="str">
        <f t="shared" si="14"/>
        <v/>
      </c>
      <c r="L35" t="str">
        <f t="shared" si="15"/>
        <v/>
      </c>
      <c r="M35" t="str">
        <f t="shared" si="5"/>
        <v/>
      </c>
      <c r="N35" t="str">
        <f>IF($G35=0,"",IF(IF(N(资金日记账!$I28)=0,"",-ROUND(N(资金日记账!$I28),2))=0,"",IF(N(资金日记账!$I28)=0,"",-ROUND(N(资金日记账!$I28),2))))</f>
        <v/>
      </c>
      <c r="O35" t="str">
        <f>IF($G35=0,"",IF(IF(N(资金日记账!$H28)=0,"",ROUND(N(资金日记账!$H28),2))=0,"",IF(N(资金日记账!$H28)=0,"",ROUND(N(资金日记账!$H28),2))))</f>
        <v/>
      </c>
      <c r="P35" t="str">
        <f>IF($G35=0,"",IF(资金日记账!$L28=0,"",资金日记账!$L28))</f>
        <v/>
      </c>
      <c r="T35" t="str">
        <f>IF(资金日记账!$G35="","",资金日记账!$G35)</f>
        <v/>
      </c>
      <c r="U35">
        <f t="shared" si="8"/>
        <v>0</v>
      </c>
      <c r="V35">
        <f t="shared" si="9"/>
        <v>0</v>
      </c>
      <c r="X35" t="str">
        <f>IFERROR(INDEX($T$4:$T$903,MATCH(32,$V$4:$V$903,0)),"")</f>
        <v/>
      </c>
      <c r="Z35" t="str">
        <f>IF(成本费用登记表!$C35="","",成本费用登记表!$C35)</f>
        <v/>
      </c>
      <c r="AA35">
        <f t="shared" si="10"/>
        <v>0</v>
      </c>
      <c r="AB35">
        <f t="shared" si="11"/>
        <v>0</v>
      </c>
      <c r="AD35" t="str">
        <f>IFERROR(INDEX($Z$4:$Z$303,MATCH(32,$AB$4:$AB$303,0)),"")</f>
        <v/>
      </c>
      <c r="AF35" t="str">
        <f>IF(OR(资金日记账!$E35="",N(资金日记账!$H35)=0),"",资金日记账!$E35)</f>
        <v/>
      </c>
      <c r="AG35">
        <f t="shared" si="12"/>
        <v>0</v>
      </c>
      <c r="AH35">
        <f t="shared" si="13"/>
        <v>0</v>
      </c>
      <c r="AJ35" t="str">
        <f>IFERROR(INDEX($AF$4:$AF$603,MATCH(32,$AH$4:$AH$603,0)),"")</f>
        <v/>
      </c>
    </row>
    <row r="36" spans="1:36">
      <c r="A36" t="str">
        <f>IF(进销存对接!$D36="客户应收",进销存对接!$C36,"")</f>
        <v/>
      </c>
      <c r="B36">
        <f t="shared" si="0"/>
        <v>0</v>
      </c>
      <c r="C36">
        <f t="shared" si="1"/>
        <v>0</v>
      </c>
      <c r="E36" t="str">
        <f t="shared" si="2"/>
        <v/>
      </c>
      <c r="G36">
        <f>IF(OR($G$1="",资金日记账!$E29="",资金日记账!$E29&lt;&gt;$G$1),0,IF(NOT(OR(N(资金日记账!$H29)&lt;&gt;0,N(资金日记账!$I29)&lt;&gt;0)),0,IF(资金日记账!$B29="",1,IF(OR(N(资金日记账!$B29)&lt;$H$1,N(资金日记账!$B29)&gt;$I$1),0,1))))</f>
        <v>0</v>
      </c>
      <c r="H36">
        <f t="shared" si="3"/>
        <v>0</v>
      </c>
      <c r="I36" t="str">
        <f>IF($G36=0,"",IF(资金日记账!$B29=0,"",资金日记账!$B29))</f>
        <v/>
      </c>
      <c r="J36" t="str">
        <f>IF($G36=0,"",IF(资金日记账!$D29=0,"",资金日记账!$D29))</f>
        <v/>
      </c>
      <c r="K36" t="str">
        <f t="shared" si="14"/>
        <v/>
      </c>
      <c r="L36" t="str">
        <f t="shared" si="15"/>
        <v/>
      </c>
      <c r="M36" t="str">
        <f t="shared" si="5"/>
        <v/>
      </c>
      <c r="N36" t="str">
        <f>IF($G36=0,"",IF(IF(N(资金日记账!$I29)=0,"",-ROUND(N(资金日记账!$I29),2))=0,"",IF(N(资金日记账!$I29)=0,"",-ROUND(N(资金日记账!$I29),2))))</f>
        <v/>
      </c>
      <c r="O36" t="str">
        <f>IF($G36=0,"",IF(IF(N(资金日记账!$H29)=0,"",ROUND(N(资金日记账!$H29),2))=0,"",IF(N(资金日记账!$H29)=0,"",ROUND(N(资金日记账!$H29),2))))</f>
        <v/>
      </c>
      <c r="P36" t="str">
        <f>IF($G36=0,"",IF(资金日记账!$L29=0,"",资金日记账!$L29))</f>
        <v/>
      </c>
      <c r="T36" t="str">
        <f>IF(资金日记账!$G36="","",资金日记账!$G36)</f>
        <v/>
      </c>
      <c r="U36">
        <f t="shared" si="8"/>
        <v>0</v>
      </c>
      <c r="V36">
        <f t="shared" si="9"/>
        <v>0</v>
      </c>
      <c r="X36" t="str">
        <f>IFERROR(INDEX($T$4:$T$903,MATCH(33,$V$4:$V$903,0)),"")</f>
        <v/>
      </c>
      <c r="Z36" t="str">
        <f>IF(成本费用登记表!$C36="","",成本费用登记表!$C36)</f>
        <v/>
      </c>
      <c r="AA36">
        <f t="shared" si="10"/>
        <v>0</v>
      </c>
      <c r="AB36">
        <f t="shared" si="11"/>
        <v>0</v>
      </c>
      <c r="AD36" t="str">
        <f>IFERROR(INDEX($Z$4:$Z$303,MATCH(33,$AB$4:$AB$303,0)),"")</f>
        <v/>
      </c>
      <c r="AF36" t="str">
        <f>IF(OR(资金日记账!$E36="",N(资金日记账!$H36)=0),"",资金日记账!$E36)</f>
        <v/>
      </c>
      <c r="AG36">
        <f t="shared" si="12"/>
        <v>0</v>
      </c>
      <c r="AH36">
        <f t="shared" si="13"/>
        <v>0</v>
      </c>
      <c r="AJ36" t="str">
        <f>IFERROR(INDEX($AF$4:$AF$603,MATCH(33,$AH$4:$AH$603,0)),"")</f>
        <v/>
      </c>
    </row>
    <row r="37" spans="1:36">
      <c r="A37" t="str">
        <f>IF(进销存对接!$D37="客户应收",进销存对接!$C37,"")</f>
        <v/>
      </c>
      <c r="B37">
        <f t="shared" si="0"/>
        <v>0</v>
      </c>
      <c r="C37">
        <f t="shared" si="1"/>
        <v>0</v>
      </c>
      <c r="E37" t="str">
        <f t="shared" si="2"/>
        <v/>
      </c>
      <c r="G37">
        <f>IF(OR($G$1="",资金日记账!$E30="",资金日记账!$E30&lt;&gt;$G$1),0,IF(NOT(OR(N(资金日记账!$H30)&lt;&gt;0,N(资金日记账!$I30)&lt;&gt;0)),0,IF(资金日记账!$B30="",1,IF(OR(N(资金日记账!$B30)&lt;$H$1,N(资金日记账!$B30)&gt;$I$1),0,1))))</f>
        <v>0</v>
      </c>
      <c r="H37">
        <f t="shared" si="3"/>
        <v>0</v>
      </c>
      <c r="I37" t="str">
        <f>IF($G37=0,"",IF(资金日记账!$B30=0,"",资金日记账!$B30))</f>
        <v/>
      </c>
      <c r="J37" t="str">
        <f>IF($G37=0,"",IF(资金日记账!$D30=0,"",资金日记账!$D30))</f>
        <v/>
      </c>
      <c r="K37" t="str">
        <f t="shared" si="14"/>
        <v/>
      </c>
      <c r="L37" t="str">
        <f t="shared" si="15"/>
        <v/>
      </c>
      <c r="M37" t="str">
        <f t="shared" si="5"/>
        <v/>
      </c>
      <c r="N37" t="str">
        <f>IF($G37=0,"",IF(IF(N(资金日记账!$I30)=0,"",-ROUND(N(资金日记账!$I30),2))=0,"",IF(N(资金日记账!$I30)=0,"",-ROUND(N(资金日记账!$I30),2))))</f>
        <v/>
      </c>
      <c r="O37" t="str">
        <f>IF($G37=0,"",IF(IF(N(资金日记账!$H30)=0,"",ROUND(N(资金日记账!$H30),2))=0,"",IF(N(资金日记账!$H30)=0,"",ROUND(N(资金日记账!$H30),2))))</f>
        <v/>
      </c>
      <c r="P37" t="str">
        <f>IF($G37=0,"",IF(资金日记账!$L30=0,"",资金日记账!$L30))</f>
        <v/>
      </c>
      <c r="T37" t="str">
        <f>IF(资金日记账!$G37="","",资金日记账!$G37)</f>
        <v/>
      </c>
      <c r="U37">
        <f t="shared" si="8"/>
        <v>0</v>
      </c>
      <c r="V37">
        <f t="shared" si="9"/>
        <v>0</v>
      </c>
      <c r="X37" t="str">
        <f>IFERROR(INDEX($T$4:$T$903,MATCH(34,$V$4:$V$903,0)),"")</f>
        <v/>
      </c>
      <c r="Z37" t="str">
        <f>IF(成本费用登记表!$C37="","",成本费用登记表!$C37)</f>
        <v/>
      </c>
      <c r="AA37">
        <f t="shared" si="10"/>
        <v>0</v>
      </c>
      <c r="AB37">
        <f t="shared" si="11"/>
        <v>0</v>
      </c>
      <c r="AD37" t="str">
        <f>IFERROR(INDEX($Z$4:$Z$303,MATCH(34,$AB$4:$AB$303,0)),"")</f>
        <v/>
      </c>
      <c r="AF37" t="str">
        <f>IF(OR(资金日记账!$E37="",N(资金日记账!$H37)=0),"",资金日记账!$E37)</f>
        <v/>
      </c>
      <c r="AG37">
        <f t="shared" si="12"/>
        <v>0</v>
      </c>
      <c r="AH37">
        <f t="shared" si="13"/>
        <v>0</v>
      </c>
      <c r="AJ37" t="str">
        <f>IFERROR(INDEX($AF$4:$AF$603,MATCH(34,$AH$4:$AH$603,0)),"")</f>
        <v/>
      </c>
    </row>
    <row r="38" spans="1:36">
      <c r="A38" t="str">
        <f>IF(进销存对接!$D38="客户应收",进销存对接!$C38,"")</f>
        <v/>
      </c>
      <c r="B38">
        <f t="shared" si="0"/>
        <v>0</v>
      </c>
      <c r="C38">
        <f t="shared" si="1"/>
        <v>0</v>
      </c>
      <c r="E38" t="str">
        <f t="shared" si="2"/>
        <v/>
      </c>
      <c r="G38">
        <f>IF(OR($G$1="",资金日记账!$E31="",资金日记账!$E31&lt;&gt;$G$1),0,IF(NOT(OR(N(资金日记账!$H31)&lt;&gt;0,N(资金日记账!$I31)&lt;&gt;0)),0,IF(资金日记账!$B31="",1,IF(OR(N(资金日记账!$B31)&lt;$H$1,N(资金日记账!$B31)&gt;$I$1),0,1))))</f>
        <v>0</v>
      </c>
      <c r="H38">
        <f t="shared" si="3"/>
        <v>0</v>
      </c>
      <c r="I38" t="str">
        <f>IF($G38=0,"",IF(资金日记账!$B31=0,"",资金日记账!$B31))</f>
        <v/>
      </c>
      <c r="J38" t="str">
        <f>IF($G38=0,"",IF(资金日记账!$D31=0,"",资金日记账!$D31))</f>
        <v/>
      </c>
      <c r="K38" t="str">
        <f t="shared" si="14"/>
        <v/>
      </c>
      <c r="L38" t="str">
        <f t="shared" si="15"/>
        <v/>
      </c>
      <c r="M38" t="str">
        <f t="shared" si="5"/>
        <v/>
      </c>
      <c r="N38" t="str">
        <f>IF($G38=0,"",IF(IF(N(资金日记账!$I31)=0,"",-ROUND(N(资金日记账!$I31),2))=0,"",IF(N(资金日记账!$I31)=0,"",-ROUND(N(资金日记账!$I31),2))))</f>
        <v/>
      </c>
      <c r="O38" t="str">
        <f>IF($G38=0,"",IF(IF(N(资金日记账!$H31)=0,"",ROUND(N(资金日记账!$H31),2))=0,"",IF(N(资金日记账!$H31)=0,"",ROUND(N(资金日记账!$H31),2))))</f>
        <v/>
      </c>
      <c r="P38" t="str">
        <f>IF($G38=0,"",IF(资金日记账!$L31=0,"",资金日记账!$L31))</f>
        <v/>
      </c>
      <c r="T38" t="str">
        <f>IF(资金日记账!$G38="","",资金日记账!$G38)</f>
        <v/>
      </c>
      <c r="U38">
        <f t="shared" si="8"/>
        <v>0</v>
      </c>
      <c r="V38">
        <f t="shared" si="9"/>
        <v>0</v>
      </c>
      <c r="X38" t="str">
        <f>IFERROR(INDEX($T$4:$T$903,MATCH(35,$V$4:$V$903,0)),"")</f>
        <v/>
      </c>
      <c r="Z38" t="str">
        <f>IF(成本费用登记表!$C38="","",成本费用登记表!$C38)</f>
        <v/>
      </c>
      <c r="AA38">
        <f t="shared" si="10"/>
        <v>0</v>
      </c>
      <c r="AB38">
        <f t="shared" si="11"/>
        <v>0</v>
      </c>
      <c r="AD38" t="str">
        <f>IFERROR(INDEX($Z$4:$Z$303,MATCH(35,$AB$4:$AB$303,0)),"")</f>
        <v/>
      </c>
      <c r="AF38" t="str">
        <f>IF(OR(资金日记账!$E38="",N(资金日记账!$H38)=0),"",资金日记账!$E38)</f>
        <v/>
      </c>
      <c r="AG38">
        <f t="shared" si="12"/>
        <v>0</v>
      </c>
      <c r="AH38">
        <f t="shared" si="13"/>
        <v>0</v>
      </c>
      <c r="AJ38" t="str">
        <f>IFERROR(INDEX($AF$4:$AF$603,MATCH(35,$AH$4:$AH$603,0)),"")</f>
        <v/>
      </c>
    </row>
    <row r="39" spans="1:36">
      <c r="A39" t="str">
        <f>IF(进销存对接!$D39="客户应收",进销存对接!$C39,"")</f>
        <v/>
      </c>
      <c r="B39">
        <f t="shared" si="0"/>
        <v>0</v>
      </c>
      <c r="C39">
        <f t="shared" si="1"/>
        <v>0</v>
      </c>
      <c r="E39" t="str">
        <f t="shared" si="2"/>
        <v/>
      </c>
      <c r="G39">
        <f>IF(OR($G$1="",资金日记账!$E32="",资金日记账!$E32&lt;&gt;$G$1),0,IF(NOT(OR(N(资金日记账!$H32)&lt;&gt;0,N(资金日记账!$I32)&lt;&gt;0)),0,IF(资金日记账!$B32="",1,IF(OR(N(资金日记账!$B32)&lt;$H$1,N(资金日记账!$B32)&gt;$I$1),0,1))))</f>
        <v>0</v>
      </c>
      <c r="H39">
        <f t="shared" si="3"/>
        <v>0</v>
      </c>
      <c r="I39" t="str">
        <f>IF($G39=0,"",IF(资金日记账!$B32=0,"",资金日记账!$B32))</f>
        <v/>
      </c>
      <c r="J39" t="str">
        <f>IF($G39=0,"",IF(资金日记账!$D32=0,"",资金日记账!$D32))</f>
        <v/>
      </c>
      <c r="K39" t="str">
        <f t="shared" si="14"/>
        <v/>
      </c>
      <c r="L39" t="str">
        <f t="shared" si="15"/>
        <v/>
      </c>
      <c r="M39" t="str">
        <f t="shared" si="5"/>
        <v/>
      </c>
      <c r="N39" t="str">
        <f>IF($G39=0,"",IF(IF(N(资金日记账!$I32)=0,"",-ROUND(N(资金日记账!$I32),2))=0,"",IF(N(资金日记账!$I32)=0,"",-ROUND(N(资金日记账!$I32),2))))</f>
        <v/>
      </c>
      <c r="O39" t="str">
        <f>IF($G39=0,"",IF(IF(N(资金日记账!$H32)=0,"",ROUND(N(资金日记账!$H32),2))=0,"",IF(N(资金日记账!$H32)=0,"",ROUND(N(资金日记账!$H32),2))))</f>
        <v/>
      </c>
      <c r="P39" t="str">
        <f>IF($G39=0,"",IF(资金日记账!$L32=0,"",资金日记账!$L32))</f>
        <v/>
      </c>
      <c r="T39" t="str">
        <f>IF(资金日记账!$G39="","",资金日记账!$G39)</f>
        <v/>
      </c>
      <c r="U39">
        <f t="shared" si="8"/>
        <v>0</v>
      </c>
      <c r="V39">
        <f t="shared" si="9"/>
        <v>0</v>
      </c>
      <c r="X39" t="str">
        <f>IFERROR(INDEX($T$4:$T$903,MATCH(36,$V$4:$V$903,0)),"")</f>
        <v/>
      </c>
      <c r="Z39" t="str">
        <f>IF(成本费用登记表!$C39="","",成本费用登记表!$C39)</f>
        <v/>
      </c>
      <c r="AA39">
        <f t="shared" si="10"/>
        <v>0</v>
      </c>
      <c r="AB39">
        <f t="shared" si="11"/>
        <v>0</v>
      </c>
      <c r="AD39" t="str">
        <f>IFERROR(INDEX($Z$4:$Z$303,MATCH(36,$AB$4:$AB$303,0)),"")</f>
        <v/>
      </c>
      <c r="AF39" t="str">
        <f>IF(OR(资金日记账!$E39="",N(资金日记账!$H39)=0),"",资金日记账!$E39)</f>
        <v/>
      </c>
      <c r="AG39">
        <f t="shared" si="12"/>
        <v>0</v>
      </c>
      <c r="AH39">
        <f t="shared" si="13"/>
        <v>0</v>
      </c>
      <c r="AJ39" t="str">
        <f>IFERROR(INDEX($AF$4:$AF$603,MATCH(36,$AH$4:$AH$603,0)),"")</f>
        <v/>
      </c>
    </row>
    <row r="40" spans="1:36">
      <c r="A40" t="str">
        <f>IF(进销存对接!$D40="客户应收",进销存对接!$C40,"")</f>
        <v/>
      </c>
      <c r="B40">
        <f t="shared" si="0"/>
        <v>0</v>
      </c>
      <c r="C40">
        <f t="shared" si="1"/>
        <v>0</v>
      </c>
      <c r="E40" t="str">
        <f t="shared" si="2"/>
        <v/>
      </c>
      <c r="G40">
        <f>IF(OR($G$1="",资金日记账!$E33="",资金日记账!$E33&lt;&gt;$G$1),0,IF(NOT(OR(N(资金日记账!$H33)&lt;&gt;0,N(资金日记账!$I33)&lt;&gt;0)),0,IF(资金日记账!$B33="",1,IF(OR(N(资金日记账!$B33)&lt;$H$1,N(资金日记账!$B33)&gt;$I$1),0,1))))</f>
        <v>0</v>
      </c>
      <c r="H40">
        <f t="shared" si="3"/>
        <v>0</v>
      </c>
      <c r="I40" t="str">
        <f>IF($G40=0,"",IF(资金日记账!$B33=0,"",资金日记账!$B33))</f>
        <v/>
      </c>
      <c r="J40" t="str">
        <f>IF($G40=0,"",IF(资金日记账!$D33=0,"",资金日记账!$D33))</f>
        <v/>
      </c>
      <c r="K40" t="str">
        <f t="shared" si="14"/>
        <v/>
      </c>
      <c r="L40" t="str">
        <f t="shared" si="15"/>
        <v/>
      </c>
      <c r="M40" t="str">
        <f t="shared" si="5"/>
        <v/>
      </c>
      <c r="N40" t="str">
        <f>IF($G40=0,"",IF(IF(N(资金日记账!$I33)=0,"",-ROUND(N(资金日记账!$I33),2))=0,"",IF(N(资金日记账!$I33)=0,"",-ROUND(N(资金日记账!$I33),2))))</f>
        <v/>
      </c>
      <c r="O40" t="str">
        <f>IF($G40=0,"",IF(IF(N(资金日记账!$H33)=0,"",ROUND(N(资金日记账!$H33),2))=0,"",IF(N(资金日记账!$H33)=0,"",ROUND(N(资金日记账!$H33),2))))</f>
        <v/>
      </c>
      <c r="P40" t="str">
        <f>IF($G40=0,"",IF(资金日记账!$L33=0,"",资金日记账!$L33))</f>
        <v/>
      </c>
      <c r="T40" t="str">
        <f>IF(资金日记账!$G40="","",资金日记账!$G40)</f>
        <v/>
      </c>
      <c r="U40">
        <f t="shared" si="8"/>
        <v>0</v>
      </c>
      <c r="V40">
        <f t="shared" si="9"/>
        <v>0</v>
      </c>
      <c r="X40" t="str">
        <f>IFERROR(INDEX($T$4:$T$903,MATCH(37,$V$4:$V$903,0)),"")</f>
        <v/>
      </c>
      <c r="Z40" t="str">
        <f>IF(成本费用登记表!$C40="","",成本费用登记表!$C40)</f>
        <v/>
      </c>
      <c r="AA40">
        <f t="shared" si="10"/>
        <v>0</v>
      </c>
      <c r="AB40">
        <f t="shared" si="11"/>
        <v>0</v>
      </c>
      <c r="AD40" t="str">
        <f>IFERROR(INDEX($Z$4:$Z$303,MATCH(37,$AB$4:$AB$303,0)),"")</f>
        <v/>
      </c>
      <c r="AF40" t="str">
        <f>IF(OR(资金日记账!$E40="",N(资金日记账!$H40)=0),"",资金日记账!$E40)</f>
        <v/>
      </c>
      <c r="AG40">
        <f t="shared" si="12"/>
        <v>0</v>
      </c>
      <c r="AH40">
        <f t="shared" si="13"/>
        <v>0</v>
      </c>
      <c r="AJ40" t="str">
        <f>IFERROR(INDEX($AF$4:$AF$603,MATCH(37,$AH$4:$AH$603,0)),"")</f>
        <v/>
      </c>
    </row>
    <row r="41" spans="1:36">
      <c r="A41" t="str">
        <f>IF(进销存对接!$D41="客户应收",进销存对接!$C41,"")</f>
        <v/>
      </c>
      <c r="B41">
        <f t="shared" si="0"/>
        <v>0</v>
      </c>
      <c r="C41">
        <f t="shared" si="1"/>
        <v>0</v>
      </c>
      <c r="E41" t="str">
        <f t="shared" si="2"/>
        <v/>
      </c>
      <c r="G41">
        <f>IF(OR($G$1="",资金日记账!$E34="",资金日记账!$E34&lt;&gt;$G$1),0,IF(NOT(OR(N(资金日记账!$H34)&lt;&gt;0,N(资金日记账!$I34)&lt;&gt;0)),0,IF(资金日记账!$B34="",1,IF(OR(N(资金日记账!$B34)&lt;$H$1,N(资金日记账!$B34)&gt;$I$1),0,1))))</f>
        <v>0</v>
      </c>
      <c r="H41">
        <f t="shared" si="3"/>
        <v>0</v>
      </c>
      <c r="I41" t="str">
        <f>IF($G41=0,"",IF(资金日记账!$B34=0,"",资金日记账!$B34))</f>
        <v/>
      </c>
      <c r="J41" t="str">
        <f>IF($G41=0,"",IF(资金日记账!$D34=0,"",资金日记账!$D34))</f>
        <v/>
      </c>
      <c r="K41" t="str">
        <f t="shared" si="14"/>
        <v/>
      </c>
      <c r="L41" t="str">
        <f t="shared" si="15"/>
        <v/>
      </c>
      <c r="M41" t="str">
        <f t="shared" si="5"/>
        <v/>
      </c>
      <c r="N41" t="str">
        <f>IF($G41=0,"",IF(IF(N(资金日记账!$I34)=0,"",-ROUND(N(资金日记账!$I34),2))=0,"",IF(N(资金日记账!$I34)=0,"",-ROUND(N(资金日记账!$I34),2))))</f>
        <v/>
      </c>
      <c r="O41" t="str">
        <f>IF($G41=0,"",IF(IF(N(资金日记账!$H34)=0,"",ROUND(N(资金日记账!$H34),2))=0,"",IF(N(资金日记账!$H34)=0,"",ROUND(N(资金日记账!$H34),2))))</f>
        <v/>
      </c>
      <c r="P41" t="str">
        <f>IF($G41=0,"",IF(资金日记账!$L34=0,"",资金日记账!$L34))</f>
        <v/>
      </c>
      <c r="T41" t="str">
        <f>IF(资金日记账!$G41="","",资金日记账!$G41)</f>
        <v/>
      </c>
      <c r="U41">
        <f t="shared" si="8"/>
        <v>0</v>
      </c>
      <c r="V41">
        <f t="shared" si="9"/>
        <v>0</v>
      </c>
      <c r="X41" t="str">
        <f>IFERROR(INDEX($T$4:$T$903,MATCH(38,$V$4:$V$903,0)),"")</f>
        <v/>
      </c>
      <c r="Z41" t="str">
        <f>IF(成本费用登记表!$C41="","",成本费用登记表!$C41)</f>
        <v/>
      </c>
      <c r="AA41">
        <f t="shared" si="10"/>
        <v>0</v>
      </c>
      <c r="AB41">
        <f t="shared" si="11"/>
        <v>0</v>
      </c>
      <c r="AD41" t="str">
        <f>IFERROR(INDEX($Z$4:$Z$303,MATCH(38,$AB$4:$AB$303,0)),"")</f>
        <v/>
      </c>
      <c r="AF41" t="str">
        <f>IF(OR(资金日记账!$E41="",N(资金日记账!$H41)=0),"",资金日记账!$E41)</f>
        <v/>
      </c>
      <c r="AG41">
        <f t="shared" si="12"/>
        <v>0</v>
      </c>
      <c r="AH41">
        <f t="shared" si="13"/>
        <v>0</v>
      </c>
      <c r="AJ41" t="str">
        <f>IFERROR(INDEX($AF$4:$AF$603,MATCH(38,$AH$4:$AH$603,0)),"")</f>
        <v/>
      </c>
    </row>
    <row r="42" spans="1:36">
      <c r="A42" t="str">
        <f>IF(进销存对接!$D42="客户应收",进销存对接!$C42,"")</f>
        <v/>
      </c>
      <c r="B42">
        <f t="shared" si="0"/>
        <v>0</v>
      </c>
      <c r="C42">
        <f t="shared" si="1"/>
        <v>0</v>
      </c>
      <c r="E42" t="str">
        <f t="shared" si="2"/>
        <v/>
      </c>
      <c r="G42">
        <f>IF(OR($G$1="",资金日记账!$E35="",资金日记账!$E35&lt;&gt;$G$1),0,IF(NOT(OR(N(资金日记账!$H35)&lt;&gt;0,N(资金日记账!$I35)&lt;&gt;0)),0,IF(资金日记账!$B35="",1,IF(OR(N(资金日记账!$B35)&lt;$H$1,N(资金日记账!$B35)&gt;$I$1),0,1))))</f>
        <v>0</v>
      </c>
      <c r="H42">
        <f t="shared" si="3"/>
        <v>0</v>
      </c>
      <c r="I42" t="str">
        <f>IF($G42=0,"",IF(资金日记账!$B35=0,"",资金日记账!$B35))</f>
        <v/>
      </c>
      <c r="J42" t="str">
        <f>IF($G42=0,"",IF(资金日记账!$D35=0,"",资金日记账!$D35))</f>
        <v/>
      </c>
      <c r="K42" t="str">
        <f t="shared" si="14"/>
        <v/>
      </c>
      <c r="L42" t="str">
        <f t="shared" si="15"/>
        <v/>
      </c>
      <c r="M42" t="str">
        <f t="shared" si="5"/>
        <v/>
      </c>
      <c r="N42" t="str">
        <f>IF($G42=0,"",IF(IF(N(资金日记账!$I35)=0,"",-ROUND(N(资金日记账!$I35),2))=0,"",IF(N(资金日记账!$I35)=0,"",-ROUND(N(资金日记账!$I35),2))))</f>
        <v/>
      </c>
      <c r="O42" t="str">
        <f>IF($G42=0,"",IF(IF(N(资金日记账!$H35)=0,"",ROUND(N(资金日记账!$H35),2))=0,"",IF(N(资金日记账!$H35)=0,"",ROUND(N(资金日记账!$H35),2))))</f>
        <v/>
      </c>
      <c r="P42" t="str">
        <f>IF($G42=0,"",IF(资金日记账!$L35=0,"",资金日记账!$L35))</f>
        <v/>
      </c>
      <c r="T42" t="str">
        <f>IF(资金日记账!$G42="","",资金日记账!$G42)</f>
        <v/>
      </c>
      <c r="U42">
        <f t="shared" si="8"/>
        <v>0</v>
      </c>
      <c r="V42">
        <f t="shared" si="9"/>
        <v>0</v>
      </c>
      <c r="X42" t="str">
        <f>IFERROR(INDEX($T$4:$T$903,MATCH(39,$V$4:$V$903,0)),"")</f>
        <v/>
      </c>
      <c r="Z42" t="str">
        <f>IF(成本费用登记表!$C42="","",成本费用登记表!$C42)</f>
        <v/>
      </c>
      <c r="AA42">
        <f t="shared" si="10"/>
        <v>0</v>
      </c>
      <c r="AB42">
        <f t="shared" si="11"/>
        <v>0</v>
      </c>
      <c r="AD42" t="str">
        <f>IFERROR(INDEX($Z$4:$Z$303,MATCH(39,$AB$4:$AB$303,0)),"")</f>
        <v/>
      </c>
      <c r="AF42" t="str">
        <f>IF(OR(资金日记账!$E42="",N(资金日记账!$H42)=0),"",资金日记账!$E42)</f>
        <v/>
      </c>
      <c r="AG42">
        <f t="shared" si="12"/>
        <v>0</v>
      </c>
      <c r="AH42">
        <f t="shared" si="13"/>
        <v>0</v>
      </c>
      <c r="AJ42" t="str">
        <f>IFERROR(INDEX($AF$4:$AF$603,MATCH(39,$AH$4:$AH$603,0)),"")</f>
        <v/>
      </c>
    </row>
    <row r="43" spans="1:36">
      <c r="A43" t="str">
        <f>IF(进销存对接!$D43="客户应收",进销存对接!$C43,"")</f>
        <v/>
      </c>
      <c r="B43">
        <f t="shared" si="0"/>
        <v>0</v>
      </c>
      <c r="C43">
        <f t="shared" si="1"/>
        <v>0</v>
      </c>
      <c r="E43" t="str">
        <f t="shared" si="2"/>
        <v/>
      </c>
      <c r="G43">
        <f>IF(OR($G$1="",资金日记账!$E36="",资金日记账!$E36&lt;&gt;$G$1),0,IF(NOT(OR(N(资金日记账!$H36)&lt;&gt;0,N(资金日记账!$I36)&lt;&gt;0)),0,IF(资金日记账!$B36="",1,IF(OR(N(资金日记账!$B36)&lt;$H$1,N(资金日记账!$B36)&gt;$I$1),0,1))))</f>
        <v>0</v>
      </c>
      <c r="H43">
        <f t="shared" si="3"/>
        <v>0</v>
      </c>
      <c r="I43" t="str">
        <f>IF($G43=0,"",IF(资金日记账!$B36=0,"",资金日记账!$B36))</f>
        <v/>
      </c>
      <c r="J43" t="str">
        <f>IF($G43=0,"",IF(资金日记账!$D36=0,"",资金日记账!$D36))</f>
        <v/>
      </c>
      <c r="K43" t="str">
        <f t="shared" si="14"/>
        <v/>
      </c>
      <c r="L43" t="str">
        <f t="shared" si="15"/>
        <v/>
      </c>
      <c r="M43" t="str">
        <f t="shared" si="5"/>
        <v/>
      </c>
      <c r="N43" t="str">
        <f>IF($G43=0,"",IF(IF(N(资金日记账!$I36)=0,"",-ROUND(N(资金日记账!$I36),2))=0,"",IF(N(资金日记账!$I36)=0,"",-ROUND(N(资金日记账!$I36),2))))</f>
        <v/>
      </c>
      <c r="O43" t="str">
        <f>IF($G43=0,"",IF(IF(N(资金日记账!$H36)=0,"",ROUND(N(资金日记账!$H36),2))=0,"",IF(N(资金日记账!$H36)=0,"",ROUND(N(资金日记账!$H36),2))))</f>
        <v/>
      </c>
      <c r="P43" t="str">
        <f>IF($G43=0,"",IF(资金日记账!$L36=0,"",资金日记账!$L36))</f>
        <v/>
      </c>
      <c r="T43" t="str">
        <f>IF(资金日记账!$G43="","",资金日记账!$G43)</f>
        <v/>
      </c>
      <c r="U43">
        <f t="shared" si="8"/>
        <v>0</v>
      </c>
      <c r="V43">
        <f t="shared" si="9"/>
        <v>0</v>
      </c>
      <c r="X43" t="str">
        <f>IFERROR(INDEX($T$4:$T$903,MATCH(40,$V$4:$V$903,0)),"")</f>
        <v/>
      </c>
      <c r="Z43" t="str">
        <f>IF(成本费用登记表!$C43="","",成本费用登记表!$C43)</f>
        <v/>
      </c>
      <c r="AA43">
        <f t="shared" si="10"/>
        <v>0</v>
      </c>
      <c r="AB43">
        <f t="shared" si="11"/>
        <v>0</v>
      </c>
      <c r="AD43" t="str">
        <f>IFERROR(INDEX($Z$4:$Z$303,MATCH(40,$AB$4:$AB$303,0)),"")</f>
        <v/>
      </c>
      <c r="AF43" t="str">
        <f>IF(OR(资金日记账!$E43="",N(资金日记账!$H43)=0),"",资金日记账!$E43)</f>
        <v/>
      </c>
      <c r="AG43">
        <f t="shared" si="12"/>
        <v>0</v>
      </c>
      <c r="AH43">
        <f t="shared" si="13"/>
        <v>0</v>
      </c>
      <c r="AJ43" t="str">
        <f>IFERROR(INDEX($AF$4:$AF$603,MATCH(40,$AH$4:$AH$603,0)),"")</f>
        <v/>
      </c>
    </row>
    <row r="44" spans="1:36">
      <c r="A44" t="str">
        <f>IF(进销存对接!$D44="客户应收",进销存对接!$C44,"")</f>
        <v/>
      </c>
      <c r="B44">
        <f t="shared" si="0"/>
        <v>0</v>
      </c>
      <c r="C44">
        <f t="shared" si="1"/>
        <v>0</v>
      </c>
      <c r="E44" t="str">
        <f t="shared" si="2"/>
        <v/>
      </c>
      <c r="G44">
        <f>IF(OR($G$1="",资金日记账!$E37="",资金日记账!$E37&lt;&gt;$G$1),0,IF(NOT(OR(N(资金日记账!$H37)&lt;&gt;0,N(资金日记账!$I37)&lt;&gt;0)),0,IF(资金日记账!$B37="",1,IF(OR(N(资金日记账!$B37)&lt;$H$1,N(资金日记账!$B37)&gt;$I$1),0,1))))</f>
        <v>0</v>
      </c>
      <c r="H44">
        <f t="shared" si="3"/>
        <v>0</v>
      </c>
      <c r="I44" t="str">
        <f>IF($G44=0,"",IF(资金日记账!$B37=0,"",资金日记账!$B37))</f>
        <v/>
      </c>
      <c r="J44" t="str">
        <f>IF($G44=0,"",IF(资金日记账!$D37=0,"",资金日记账!$D37))</f>
        <v/>
      </c>
      <c r="K44" t="str">
        <f t="shared" si="14"/>
        <v/>
      </c>
      <c r="L44" t="str">
        <f t="shared" si="15"/>
        <v/>
      </c>
      <c r="M44" t="str">
        <f t="shared" si="5"/>
        <v/>
      </c>
      <c r="N44" t="str">
        <f>IF($G44=0,"",IF(IF(N(资金日记账!$I37)=0,"",-ROUND(N(资金日记账!$I37),2))=0,"",IF(N(资金日记账!$I37)=0,"",-ROUND(N(资金日记账!$I37),2))))</f>
        <v/>
      </c>
      <c r="O44" t="str">
        <f>IF($G44=0,"",IF(IF(N(资金日记账!$H37)=0,"",ROUND(N(资金日记账!$H37),2))=0,"",IF(N(资金日记账!$H37)=0,"",ROUND(N(资金日记账!$H37),2))))</f>
        <v/>
      </c>
      <c r="P44" t="str">
        <f>IF($G44=0,"",IF(资金日记账!$L37=0,"",资金日记账!$L37))</f>
        <v/>
      </c>
      <c r="T44" t="str">
        <f>IF(资金日记账!$G44="","",资金日记账!$G44)</f>
        <v/>
      </c>
      <c r="U44">
        <f t="shared" si="8"/>
        <v>0</v>
      </c>
      <c r="V44">
        <f t="shared" si="9"/>
        <v>0</v>
      </c>
      <c r="X44" t="str">
        <f>IFERROR(INDEX($T$4:$T$903,MATCH(41,$V$4:$V$903,0)),"")</f>
        <v/>
      </c>
      <c r="Z44" t="str">
        <f>IF(成本费用登记表!$C44="","",成本费用登记表!$C44)</f>
        <v/>
      </c>
      <c r="AA44">
        <f t="shared" si="10"/>
        <v>0</v>
      </c>
      <c r="AB44">
        <f t="shared" si="11"/>
        <v>0</v>
      </c>
      <c r="AD44" t="str">
        <f>IFERROR(INDEX($Z$4:$Z$303,MATCH(41,$AB$4:$AB$303,0)),"")</f>
        <v/>
      </c>
      <c r="AF44" t="str">
        <f>IF(OR(资金日记账!$E44="",N(资金日记账!$H44)=0),"",资金日记账!$E44)</f>
        <v/>
      </c>
      <c r="AG44">
        <f t="shared" si="12"/>
        <v>0</v>
      </c>
      <c r="AH44">
        <f t="shared" si="13"/>
        <v>0</v>
      </c>
      <c r="AJ44" t="str">
        <f>IFERROR(INDEX($AF$4:$AF$603,MATCH(41,$AH$4:$AH$603,0)),"")</f>
        <v/>
      </c>
    </row>
    <row r="45" spans="1:36">
      <c r="A45" t="str">
        <f>IF(进销存对接!$D45="客户应收",进销存对接!$C45,"")</f>
        <v/>
      </c>
      <c r="B45">
        <f t="shared" si="0"/>
        <v>0</v>
      </c>
      <c r="C45">
        <f t="shared" si="1"/>
        <v>0</v>
      </c>
      <c r="E45" t="str">
        <f t="shared" si="2"/>
        <v/>
      </c>
      <c r="G45">
        <f>IF(OR($G$1="",资金日记账!$E38="",资金日记账!$E38&lt;&gt;$G$1),0,IF(NOT(OR(N(资金日记账!$H38)&lt;&gt;0,N(资金日记账!$I38)&lt;&gt;0)),0,IF(资金日记账!$B38="",1,IF(OR(N(资金日记账!$B38)&lt;$H$1,N(资金日记账!$B38)&gt;$I$1),0,1))))</f>
        <v>0</v>
      </c>
      <c r="H45">
        <f t="shared" si="3"/>
        <v>0</v>
      </c>
      <c r="I45" t="str">
        <f>IF($G45=0,"",IF(资金日记账!$B38=0,"",资金日记账!$B38))</f>
        <v/>
      </c>
      <c r="J45" t="str">
        <f>IF($G45=0,"",IF(资金日记账!$D38=0,"",资金日记账!$D38))</f>
        <v/>
      </c>
      <c r="K45" t="str">
        <f t="shared" si="14"/>
        <v/>
      </c>
      <c r="L45" t="str">
        <f t="shared" si="15"/>
        <v/>
      </c>
      <c r="M45" t="str">
        <f t="shared" si="5"/>
        <v/>
      </c>
      <c r="N45" t="str">
        <f>IF($G45=0,"",IF(IF(N(资金日记账!$I38)=0,"",-ROUND(N(资金日记账!$I38),2))=0,"",IF(N(资金日记账!$I38)=0,"",-ROUND(N(资金日记账!$I38),2))))</f>
        <v/>
      </c>
      <c r="O45" t="str">
        <f>IF($G45=0,"",IF(IF(N(资金日记账!$H38)=0,"",ROUND(N(资金日记账!$H38),2))=0,"",IF(N(资金日记账!$H38)=0,"",ROUND(N(资金日记账!$H38),2))))</f>
        <v/>
      </c>
      <c r="P45" t="str">
        <f>IF($G45=0,"",IF(资金日记账!$L38=0,"",资金日记账!$L38))</f>
        <v/>
      </c>
      <c r="T45" t="str">
        <f>IF(资金日记账!$G45="","",资金日记账!$G45)</f>
        <v/>
      </c>
      <c r="U45">
        <f t="shared" si="8"/>
        <v>0</v>
      </c>
      <c r="V45">
        <f t="shared" si="9"/>
        <v>0</v>
      </c>
      <c r="X45" t="str">
        <f>IFERROR(INDEX($T$4:$T$903,MATCH(42,$V$4:$V$903,0)),"")</f>
        <v/>
      </c>
      <c r="Z45" t="str">
        <f>IF(成本费用登记表!$C45="","",成本费用登记表!$C45)</f>
        <v/>
      </c>
      <c r="AA45">
        <f t="shared" si="10"/>
        <v>0</v>
      </c>
      <c r="AB45">
        <f t="shared" si="11"/>
        <v>0</v>
      </c>
      <c r="AD45" t="str">
        <f>IFERROR(INDEX($Z$4:$Z$303,MATCH(42,$AB$4:$AB$303,0)),"")</f>
        <v/>
      </c>
      <c r="AF45" t="str">
        <f>IF(OR(资金日记账!$E45="",N(资金日记账!$H45)=0),"",资金日记账!$E45)</f>
        <v/>
      </c>
      <c r="AG45">
        <f t="shared" si="12"/>
        <v>0</v>
      </c>
      <c r="AH45">
        <f t="shared" si="13"/>
        <v>0</v>
      </c>
      <c r="AJ45" t="str">
        <f>IFERROR(INDEX($AF$4:$AF$603,MATCH(42,$AH$4:$AH$603,0)),"")</f>
        <v/>
      </c>
    </row>
    <row r="46" spans="1:36">
      <c r="A46" t="str">
        <f>IF(进销存对接!$D46="客户应收",进销存对接!$C46,"")</f>
        <v/>
      </c>
      <c r="B46">
        <f t="shared" si="0"/>
        <v>0</v>
      </c>
      <c r="C46">
        <f t="shared" si="1"/>
        <v>0</v>
      </c>
      <c r="E46" t="str">
        <f t="shared" si="2"/>
        <v/>
      </c>
      <c r="G46">
        <f>IF(OR($G$1="",资金日记账!$E39="",资金日记账!$E39&lt;&gt;$G$1),0,IF(NOT(OR(N(资金日记账!$H39)&lt;&gt;0,N(资金日记账!$I39)&lt;&gt;0)),0,IF(资金日记账!$B39="",1,IF(OR(N(资金日记账!$B39)&lt;$H$1,N(资金日记账!$B39)&gt;$I$1),0,1))))</f>
        <v>0</v>
      </c>
      <c r="H46">
        <f t="shared" si="3"/>
        <v>0</v>
      </c>
      <c r="I46" t="str">
        <f>IF($G46=0,"",IF(资金日记账!$B39=0,"",资金日记账!$B39))</f>
        <v/>
      </c>
      <c r="J46" t="str">
        <f>IF($G46=0,"",IF(资金日记账!$D39=0,"",资金日记账!$D39))</f>
        <v/>
      </c>
      <c r="K46" t="str">
        <f t="shared" si="14"/>
        <v/>
      </c>
      <c r="L46" t="str">
        <f t="shared" si="15"/>
        <v/>
      </c>
      <c r="M46" t="str">
        <f t="shared" si="5"/>
        <v/>
      </c>
      <c r="N46" t="str">
        <f>IF($G46=0,"",IF(IF(N(资金日记账!$I39)=0,"",-ROUND(N(资金日记账!$I39),2))=0,"",IF(N(资金日记账!$I39)=0,"",-ROUND(N(资金日记账!$I39),2))))</f>
        <v/>
      </c>
      <c r="O46" t="str">
        <f>IF($G46=0,"",IF(IF(N(资金日记账!$H39)=0,"",ROUND(N(资金日记账!$H39),2))=0,"",IF(N(资金日记账!$H39)=0,"",ROUND(N(资金日记账!$H39),2))))</f>
        <v/>
      </c>
      <c r="P46" t="str">
        <f>IF($G46=0,"",IF(资金日记账!$L39=0,"",资金日记账!$L39))</f>
        <v/>
      </c>
      <c r="T46" t="str">
        <f>IF(资金日记账!$G46="","",资金日记账!$G46)</f>
        <v/>
      </c>
      <c r="U46">
        <f t="shared" si="8"/>
        <v>0</v>
      </c>
      <c r="V46">
        <f t="shared" si="9"/>
        <v>0</v>
      </c>
      <c r="X46" t="str">
        <f>IFERROR(INDEX($T$4:$T$903,MATCH(43,$V$4:$V$903,0)),"")</f>
        <v/>
      </c>
      <c r="Z46" t="str">
        <f>IF(成本费用登记表!$C46="","",成本费用登记表!$C46)</f>
        <v/>
      </c>
      <c r="AA46">
        <f t="shared" si="10"/>
        <v>0</v>
      </c>
      <c r="AB46">
        <f t="shared" si="11"/>
        <v>0</v>
      </c>
      <c r="AD46" t="str">
        <f>IFERROR(INDEX($Z$4:$Z$303,MATCH(43,$AB$4:$AB$303,0)),"")</f>
        <v/>
      </c>
      <c r="AF46" t="str">
        <f>IF(OR(资金日记账!$E46="",N(资金日记账!$H46)=0),"",资金日记账!$E46)</f>
        <v/>
      </c>
      <c r="AG46">
        <f t="shared" si="12"/>
        <v>0</v>
      </c>
      <c r="AH46">
        <f t="shared" si="13"/>
        <v>0</v>
      </c>
      <c r="AJ46" t="str">
        <f>IFERROR(INDEX($AF$4:$AF$603,MATCH(43,$AH$4:$AH$603,0)),"")</f>
        <v/>
      </c>
    </row>
    <row r="47" spans="1:36">
      <c r="A47" t="str">
        <f>IF(进销存对接!$D47="客户应收",进销存对接!$C47,"")</f>
        <v/>
      </c>
      <c r="B47">
        <f t="shared" si="0"/>
        <v>0</v>
      </c>
      <c r="C47">
        <f t="shared" si="1"/>
        <v>0</v>
      </c>
      <c r="E47" t="str">
        <f t="shared" si="2"/>
        <v/>
      </c>
      <c r="G47">
        <f>IF(OR($G$1="",资金日记账!$E40="",资金日记账!$E40&lt;&gt;$G$1),0,IF(NOT(OR(N(资金日记账!$H40)&lt;&gt;0,N(资金日记账!$I40)&lt;&gt;0)),0,IF(资金日记账!$B40="",1,IF(OR(N(资金日记账!$B40)&lt;$H$1,N(资金日记账!$B40)&gt;$I$1),0,1))))</f>
        <v>0</v>
      </c>
      <c r="H47">
        <f t="shared" si="3"/>
        <v>0</v>
      </c>
      <c r="I47" t="str">
        <f>IF($G47=0,"",IF(资金日记账!$B40=0,"",资金日记账!$B40))</f>
        <v/>
      </c>
      <c r="J47" t="str">
        <f>IF($G47=0,"",IF(资金日记账!$D40=0,"",资金日记账!$D40))</f>
        <v/>
      </c>
      <c r="K47" t="str">
        <f t="shared" si="14"/>
        <v/>
      </c>
      <c r="L47" t="str">
        <f t="shared" si="15"/>
        <v/>
      </c>
      <c r="M47" t="str">
        <f t="shared" si="5"/>
        <v/>
      </c>
      <c r="N47" t="str">
        <f>IF($G47=0,"",IF(IF(N(资金日记账!$I40)=0,"",-ROUND(N(资金日记账!$I40),2))=0,"",IF(N(资金日记账!$I40)=0,"",-ROUND(N(资金日记账!$I40),2))))</f>
        <v/>
      </c>
      <c r="O47" t="str">
        <f>IF($G47=0,"",IF(IF(N(资金日记账!$H40)=0,"",ROUND(N(资金日记账!$H40),2))=0,"",IF(N(资金日记账!$H40)=0,"",ROUND(N(资金日记账!$H40),2))))</f>
        <v/>
      </c>
      <c r="P47" t="str">
        <f>IF($G47=0,"",IF(资金日记账!$L40=0,"",资金日记账!$L40))</f>
        <v/>
      </c>
      <c r="T47" t="str">
        <f>IF(资金日记账!$G47="","",资金日记账!$G47)</f>
        <v/>
      </c>
      <c r="U47">
        <f t="shared" si="8"/>
        <v>0</v>
      </c>
      <c r="V47">
        <f t="shared" si="9"/>
        <v>0</v>
      </c>
      <c r="X47" t="str">
        <f>IFERROR(INDEX($T$4:$T$903,MATCH(44,$V$4:$V$903,0)),"")</f>
        <v/>
      </c>
      <c r="Z47" t="str">
        <f>IF(成本费用登记表!$C47="","",成本费用登记表!$C47)</f>
        <v/>
      </c>
      <c r="AA47">
        <f t="shared" si="10"/>
        <v>0</v>
      </c>
      <c r="AB47">
        <f t="shared" si="11"/>
        <v>0</v>
      </c>
      <c r="AD47" t="str">
        <f>IFERROR(INDEX($Z$4:$Z$303,MATCH(44,$AB$4:$AB$303,0)),"")</f>
        <v/>
      </c>
      <c r="AF47" t="str">
        <f>IF(OR(资金日记账!$E47="",N(资金日记账!$H47)=0),"",资金日记账!$E47)</f>
        <v/>
      </c>
      <c r="AG47">
        <f t="shared" si="12"/>
        <v>0</v>
      </c>
      <c r="AH47">
        <f t="shared" si="13"/>
        <v>0</v>
      </c>
      <c r="AJ47" t="str">
        <f>IFERROR(INDEX($AF$4:$AF$603,MATCH(44,$AH$4:$AH$603,0)),"")</f>
        <v/>
      </c>
    </row>
    <row r="48" spans="1:36">
      <c r="A48" t="str">
        <f>IF(进销存对接!$D48="客户应收",进销存对接!$C48,"")</f>
        <v/>
      </c>
      <c r="B48">
        <f t="shared" si="0"/>
        <v>0</v>
      </c>
      <c r="C48">
        <f t="shared" si="1"/>
        <v>0</v>
      </c>
      <c r="E48" t="str">
        <f t="shared" si="2"/>
        <v/>
      </c>
      <c r="G48">
        <f>IF(OR($G$1="",资金日记账!$E41="",资金日记账!$E41&lt;&gt;$G$1),0,IF(NOT(OR(N(资金日记账!$H41)&lt;&gt;0,N(资金日记账!$I41)&lt;&gt;0)),0,IF(资金日记账!$B41="",1,IF(OR(N(资金日记账!$B41)&lt;$H$1,N(资金日记账!$B41)&gt;$I$1),0,1))))</f>
        <v>0</v>
      </c>
      <c r="H48">
        <f t="shared" si="3"/>
        <v>0</v>
      </c>
      <c r="I48" t="str">
        <f>IF($G48=0,"",IF(资金日记账!$B41=0,"",资金日记账!$B41))</f>
        <v/>
      </c>
      <c r="J48" t="str">
        <f>IF($G48=0,"",IF(资金日记账!$D41=0,"",资金日记账!$D41))</f>
        <v/>
      </c>
      <c r="K48" t="str">
        <f t="shared" si="14"/>
        <v/>
      </c>
      <c r="L48" t="str">
        <f t="shared" si="15"/>
        <v/>
      </c>
      <c r="M48" t="str">
        <f t="shared" si="5"/>
        <v/>
      </c>
      <c r="N48" t="str">
        <f>IF($G48=0,"",IF(IF(N(资金日记账!$I41)=0,"",-ROUND(N(资金日记账!$I41),2))=0,"",IF(N(资金日记账!$I41)=0,"",-ROUND(N(资金日记账!$I41),2))))</f>
        <v/>
      </c>
      <c r="O48" t="str">
        <f>IF($G48=0,"",IF(IF(N(资金日记账!$H41)=0,"",ROUND(N(资金日记账!$H41),2))=0,"",IF(N(资金日记账!$H41)=0,"",ROUND(N(资金日记账!$H41),2))))</f>
        <v/>
      </c>
      <c r="P48" t="str">
        <f>IF($G48=0,"",IF(资金日记账!$L41=0,"",资金日记账!$L41))</f>
        <v/>
      </c>
      <c r="T48" t="str">
        <f>IF(资金日记账!$G48="","",资金日记账!$G48)</f>
        <v/>
      </c>
      <c r="U48">
        <f t="shared" si="8"/>
        <v>0</v>
      </c>
      <c r="V48">
        <f t="shared" si="9"/>
        <v>0</v>
      </c>
      <c r="X48" t="str">
        <f>IFERROR(INDEX($T$4:$T$903,MATCH(45,$V$4:$V$903,0)),"")</f>
        <v/>
      </c>
      <c r="Z48" t="str">
        <f>IF(成本费用登记表!$C48="","",成本费用登记表!$C48)</f>
        <v/>
      </c>
      <c r="AA48">
        <f t="shared" si="10"/>
        <v>0</v>
      </c>
      <c r="AB48">
        <f t="shared" si="11"/>
        <v>0</v>
      </c>
      <c r="AD48" t="str">
        <f>IFERROR(INDEX($Z$4:$Z$303,MATCH(45,$AB$4:$AB$303,0)),"")</f>
        <v/>
      </c>
      <c r="AF48" t="str">
        <f>IF(OR(资金日记账!$E48="",N(资金日记账!$H48)=0),"",资金日记账!$E48)</f>
        <v/>
      </c>
      <c r="AG48">
        <f t="shared" si="12"/>
        <v>0</v>
      </c>
      <c r="AH48">
        <f t="shared" si="13"/>
        <v>0</v>
      </c>
      <c r="AJ48" t="str">
        <f>IFERROR(INDEX($AF$4:$AF$603,MATCH(45,$AH$4:$AH$603,0)),"")</f>
        <v/>
      </c>
    </row>
    <row r="49" spans="1:36">
      <c r="A49" t="str">
        <f>IF(进销存对接!$D49="客户应收",进销存对接!$C49,"")</f>
        <v/>
      </c>
      <c r="B49">
        <f t="shared" si="0"/>
        <v>0</v>
      </c>
      <c r="C49">
        <f t="shared" si="1"/>
        <v>0</v>
      </c>
      <c r="E49" t="str">
        <f t="shared" si="2"/>
        <v/>
      </c>
      <c r="G49">
        <f>IF(OR($G$1="",资金日记账!$E42="",资金日记账!$E42&lt;&gt;$G$1),0,IF(NOT(OR(N(资金日记账!$H42)&lt;&gt;0,N(资金日记账!$I42)&lt;&gt;0)),0,IF(资金日记账!$B42="",1,IF(OR(N(资金日记账!$B42)&lt;$H$1,N(资金日记账!$B42)&gt;$I$1),0,1))))</f>
        <v>0</v>
      </c>
      <c r="H49">
        <f t="shared" si="3"/>
        <v>0</v>
      </c>
      <c r="I49" t="str">
        <f>IF($G49=0,"",IF(资金日记账!$B42=0,"",资金日记账!$B42))</f>
        <v/>
      </c>
      <c r="J49" t="str">
        <f>IF($G49=0,"",IF(资金日记账!$D42=0,"",资金日记账!$D42))</f>
        <v/>
      </c>
      <c r="K49" t="str">
        <f t="shared" si="14"/>
        <v/>
      </c>
      <c r="L49" t="str">
        <f t="shared" si="15"/>
        <v/>
      </c>
      <c r="M49" t="str">
        <f t="shared" si="5"/>
        <v/>
      </c>
      <c r="N49" t="str">
        <f>IF($G49=0,"",IF(IF(N(资金日记账!$I42)=0,"",-ROUND(N(资金日记账!$I42),2))=0,"",IF(N(资金日记账!$I42)=0,"",-ROUND(N(资金日记账!$I42),2))))</f>
        <v/>
      </c>
      <c r="O49" t="str">
        <f>IF($G49=0,"",IF(IF(N(资金日记账!$H42)=0,"",ROUND(N(资金日记账!$H42),2))=0,"",IF(N(资金日记账!$H42)=0,"",ROUND(N(资金日记账!$H42),2))))</f>
        <v/>
      </c>
      <c r="P49" t="str">
        <f>IF($G49=0,"",IF(资金日记账!$L42=0,"",资金日记账!$L42))</f>
        <v/>
      </c>
      <c r="T49" t="str">
        <f>IF(资金日记账!$G49="","",资金日记账!$G49)</f>
        <v/>
      </c>
      <c r="U49">
        <f t="shared" si="8"/>
        <v>0</v>
      </c>
      <c r="V49">
        <f t="shared" si="9"/>
        <v>0</v>
      </c>
      <c r="X49" t="str">
        <f>IFERROR(INDEX($T$4:$T$903,MATCH(46,$V$4:$V$903,0)),"")</f>
        <v/>
      </c>
      <c r="Z49" t="str">
        <f>IF(成本费用登记表!$C49="","",成本费用登记表!$C49)</f>
        <v/>
      </c>
      <c r="AA49">
        <f t="shared" si="10"/>
        <v>0</v>
      </c>
      <c r="AB49">
        <f t="shared" si="11"/>
        <v>0</v>
      </c>
      <c r="AD49" t="str">
        <f>IFERROR(INDEX($Z$4:$Z$303,MATCH(46,$AB$4:$AB$303,0)),"")</f>
        <v/>
      </c>
      <c r="AF49" t="str">
        <f>IF(OR(资金日记账!$E49="",N(资金日记账!$H49)=0),"",资金日记账!$E49)</f>
        <v/>
      </c>
      <c r="AG49">
        <f t="shared" si="12"/>
        <v>0</v>
      </c>
      <c r="AH49">
        <f t="shared" si="13"/>
        <v>0</v>
      </c>
      <c r="AJ49" t="str">
        <f>IFERROR(INDEX($AF$4:$AF$603,MATCH(46,$AH$4:$AH$603,0)),"")</f>
        <v/>
      </c>
    </row>
    <row r="50" spans="1:36">
      <c r="A50" t="str">
        <f>IF(进销存对接!$D50="客户应收",进销存对接!$C50,"")</f>
        <v/>
      </c>
      <c r="B50">
        <f t="shared" si="0"/>
        <v>0</v>
      </c>
      <c r="C50">
        <f t="shared" si="1"/>
        <v>0</v>
      </c>
      <c r="E50" t="str">
        <f t="shared" si="2"/>
        <v/>
      </c>
      <c r="G50">
        <f>IF(OR($G$1="",资金日记账!$E43="",资金日记账!$E43&lt;&gt;$G$1),0,IF(NOT(OR(N(资金日记账!$H43)&lt;&gt;0,N(资金日记账!$I43)&lt;&gt;0)),0,IF(资金日记账!$B43="",1,IF(OR(N(资金日记账!$B43)&lt;$H$1,N(资金日记账!$B43)&gt;$I$1),0,1))))</f>
        <v>0</v>
      </c>
      <c r="H50">
        <f t="shared" si="3"/>
        <v>0</v>
      </c>
      <c r="I50" t="str">
        <f>IF($G50=0,"",IF(资金日记账!$B43=0,"",资金日记账!$B43))</f>
        <v/>
      </c>
      <c r="J50" t="str">
        <f>IF($G50=0,"",IF(资金日记账!$D43=0,"",资金日记账!$D43))</f>
        <v/>
      </c>
      <c r="K50" t="str">
        <f t="shared" si="14"/>
        <v/>
      </c>
      <c r="L50" t="str">
        <f t="shared" si="15"/>
        <v/>
      </c>
      <c r="M50" t="str">
        <f t="shared" si="5"/>
        <v/>
      </c>
      <c r="N50" t="str">
        <f>IF($G50=0,"",IF(IF(N(资金日记账!$I43)=0,"",-ROUND(N(资金日记账!$I43),2))=0,"",IF(N(资金日记账!$I43)=0,"",-ROUND(N(资金日记账!$I43),2))))</f>
        <v/>
      </c>
      <c r="O50" t="str">
        <f>IF($G50=0,"",IF(IF(N(资金日记账!$H43)=0,"",ROUND(N(资金日记账!$H43),2))=0,"",IF(N(资金日记账!$H43)=0,"",ROUND(N(资金日记账!$H43),2))))</f>
        <v/>
      </c>
      <c r="P50" t="str">
        <f>IF($G50=0,"",IF(资金日记账!$L43=0,"",资金日记账!$L43))</f>
        <v/>
      </c>
      <c r="T50" t="str">
        <f>IF(资金日记账!$G50="","",资金日记账!$G50)</f>
        <v/>
      </c>
      <c r="U50">
        <f t="shared" si="8"/>
        <v>0</v>
      </c>
      <c r="V50">
        <f t="shared" si="9"/>
        <v>0</v>
      </c>
      <c r="X50" t="str">
        <f>IFERROR(INDEX($T$4:$T$903,MATCH(47,$V$4:$V$903,0)),"")</f>
        <v/>
      </c>
      <c r="Z50" t="str">
        <f>IF(成本费用登记表!$C50="","",成本费用登记表!$C50)</f>
        <v/>
      </c>
      <c r="AA50">
        <f t="shared" si="10"/>
        <v>0</v>
      </c>
      <c r="AB50">
        <f t="shared" si="11"/>
        <v>0</v>
      </c>
      <c r="AD50" t="str">
        <f>IFERROR(INDEX($Z$4:$Z$303,MATCH(47,$AB$4:$AB$303,0)),"")</f>
        <v/>
      </c>
      <c r="AF50" t="str">
        <f>IF(OR(资金日记账!$E50="",N(资金日记账!$H50)=0),"",资金日记账!$E50)</f>
        <v/>
      </c>
      <c r="AG50">
        <f t="shared" si="12"/>
        <v>0</v>
      </c>
      <c r="AH50">
        <f t="shared" si="13"/>
        <v>0</v>
      </c>
      <c r="AJ50" t="str">
        <f>IFERROR(INDEX($AF$4:$AF$603,MATCH(47,$AH$4:$AH$603,0)),"")</f>
        <v/>
      </c>
    </row>
    <row r="51" spans="1:36">
      <c r="A51" t="str">
        <f>IF(进销存对接!$D51="客户应收",进销存对接!$C51,"")</f>
        <v/>
      </c>
      <c r="B51">
        <f t="shared" si="0"/>
        <v>0</v>
      </c>
      <c r="C51">
        <f t="shared" si="1"/>
        <v>0</v>
      </c>
      <c r="E51" t="str">
        <f t="shared" si="2"/>
        <v/>
      </c>
      <c r="G51">
        <f>IF(OR($G$1="",资金日记账!$E44="",资金日记账!$E44&lt;&gt;$G$1),0,IF(NOT(OR(N(资金日记账!$H44)&lt;&gt;0,N(资金日记账!$I44)&lt;&gt;0)),0,IF(资金日记账!$B44="",1,IF(OR(N(资金日记账!$B44)&lt;$H$1,N(资金日记账!$B44)&gt;$I$1),0,1))))</f>
        <v>0</v>
      </c>
      <c r="H51">
        <f t="shared" si="3"/>
        <v>0</v>
      </c>
      <c r="I51" t="str">
        <f>IF($G51=0,"",IF(资金日记账!$B44=0,"",资金日记账!$B44))</f>
        <v/>
      </c>
      <c r="J51" t="str">
        <f>IF($G51=0,"",IF(资金日记账!$D44=0,"",资金日记账!$D44))</f>
        <v/>
      </c>
      <c r="K51" t="str">
        <f t="shared" si="14"/>
        <v/>
      </c>
      <c r="L51" t="str">
        <f t="shared" si="15"/>
        <v/>
      </c>
      <c r="M51" t="str">
        <f t="shared" si="5"/>
        <v/>
      </c>
      <c r="N51" t="str">
        <f>IF($G51=0,"",IF(IF(N(资金日记账!$I44)=0,"",-ROUND(N(资金日记账!$I44),2))=0,"",IF(N(资金日记账!$I44)=0,"",-ROUND(N(资金日记账!$I44),2))))</f>
        <v/>
      </c>
      <c r="O51" t="str">
        <f>IF($G51=0,"",IF(IF(N(资金日记账!$H44)=0,"",ROUND(N(资金日记账!$H44),2))=0,"",IF(N(资金日记账!$H44)=0,"",ROUND(N(资金日记账!$H44),2))))</f>
        <v/>
      </c>
      <c r="P51" t="str">
        <f>IF($G51=0,"",IF(资金日记账!$L44=0,"",资金日记账!$L44))</f>
        <v/>
      </c>
      <c r="T51" t="str">
        <f>IF(资金日记账!$G51="","",资金日记账!$G51)</f>
        <v/>
      </c>
      <c r="U51">
        <f t="shared" si="8"/>
        <v>0</v>
      </c>
      <c r="V51">
        <f t="shared" si="9"/>
        <v>0</v>
      </c>
      <c r="X51" t="str">
        <f>IFERROR(INDEX($T$4:$T$903,MATCH(48,$V$4:$V$903,0)),"")</f>
        <v/>
      </c>
      <c r="Z51" t="str">
        <f>IF(成本费用登记表!$C51="","",成本费用登记表!$C51)</f>
        <v/>
      </c>
      <c r="AA51">
        <f t="shared" si="10"/>
        <v>0</v>
      </c>
      <c r="AB51">
        <f t="shared" si="11"/>
        <v>0</v>
      </c>
      <c r="AD51" t="str">
        <f>IFERROR(INDEX($Z$4:$Z$303,MATCH(48,$AB$4:$AB$303,0)),"")</f>
        <v/>
      </c>
      <c r="AF51" t="str">
        <f>IF(OR(资金日记账!$E51="",N(资金日记账!$H51)=0),"",资金日记账!$E51)</f>
        <v/>
      </c>
      <c r="AG51">
        <f t="shared" si="12"/>
        <v>0</v>
      </c>
      <c r="AH51">
        <f t="shared" si="13"/>
        <v>0</v>
      </c>
      <c r="AJ51" t="str">
        <f>IFERROR(INDEX($AF$4:$AF$603,MATCH(48,$AH$4:$AH$603,0)),"")</f>
        <v/>
      </c>
    </row>
    <row r="52" spans="1:36">
      <c r="A52" t="str">
        <f>IF(进销存对接!$D52="客户应收",进销存对接!$C52,"")</f>
        <v/>
      </c>
      <c r="B52">
        <f t="shared" si="0"/>
        <v>0</v>
      </c>
      <c r="C52">
        <f t="shared" si="1"/>
        <v>0</v>
      </c>
      <c r="E52" t="str">
        <f t="shared" si="2"/>
        <v/>
      </c>
      <c r="G52">
        <f>IF(OR($G$1="",资金日记账!$E45="",资金日记账!$E45&lt;&gt;$G$1),0,IF(NOT(OR(N(资金日记账!$H45)&lt;&gt;0,N(资金日记账!$I45)&lt;&gt;0)),0,IF(资金日记账!$B45="",1,IF(OR(N(资金日记账!$B45)&lt;$H$1,N(资金日记账!$B45)&gt;$I$1),0,1))))</f>
        <v>0</v>
      </c>
      <c r="H52">
        <f t="shared" si="3"/>
        <v>0</v>
      </c>
      <c r="I52" t="str">
        <f>IF($G52=0,"",IF(资金日记账!$B45=0,"",资金日记账!$B45))</f>
        <v/>
      </c>
      <c r="J52" t="str">
        <f>IF($G52=0,"",IF(资金日记账!$D45=0,"",资金日记账!$D45))</f>
        <v/>
      </c>
      <c r="K52" t="str">
        <f t="shared" si="14"/>
        <v/>
      </c>
      <c r="L52" t="str">
        <f t="shared" si="15"/>
        <v/>
      </c>
      <c r="M52" t="str">
        <f t="shared" si="5"/>
        <v/>
      </c>
      <c r="N52" t="str">
        <f>IF($G52=0,"",IF(IF(N(资金日记账!$I45)=0,"",-ROUND(N(资金日记账!$I45),2))=0,"",IF(N(资金日记账!$I45)=0,"",-ROUND(N(资金日记账!$I45),2))))</f>
        <v/>
      </c>
      <c r="O52" t="str">
        <f>IF($G52=0,"",IF(IF(N(资金日记账!$H45)=0,"",ROUND(N(资金日记账!$H45),2))=0,"",IF(N(资金日记账!$H45)=0,"",ROUND(N(资金日记账!$H45),2))))</f>
        <v/>
      </c>
      <c r="P52" t="str">
        <f>IF($G52=0,"",IF(资金日记账!$L45=0,"",资金日记账!$L45))</f>
        <v/>
      </c>
      <c r="T52" t="str">
        <f>IF(资金日记账!$G52="","",资金日记账!$G52)</f>
        <v/>
      </c>
      <c r="U52">
        <f t="shared" si="8"/>
        <v>0</v>
      </c>
      <c r="V52">
        <f t="shared" si="9"/>
        <v>0</v>
      </c>
      <c r="X52" t="str">
        <f>IFERROR(INDEX($T$4:$T$903,MATCH(49,$V$4:$V$903,0)),"")</f>
        <v/>
      </c>
      <c r="Z52" t="str">
        <f>IF(成本费用登记表!$C52="","",成本费用登记表!$C52)</f>
        <v/>
      </c>
      <c r="AA52">
        <f t="shared" si="10"/>
        <v>0</v>
      </c>
      <c r="AB52">
        <f t="shared" si="11"/>
        <v>0</v>
      </c>
      <c r="AD52" t="str">
        <f>IFERROR(INDEX($Z$4:$Z$303,MATCH(49,$AB$4:$AB$303,0)),"")</f>
        <v/>
      </c>
      <c r="AF52" t="str">
        <f>IF(OR(资金日记账!$E52="",N(资金日记账!$H52)=0),"",资金日记账!$E52)</f>
        <v/>
      </c>
      <c r="AG52">
        <f t="shared" si="12"/>
        <v>0</v>
      </c>
      <c r="AH52">
        <f t="shared" si="13"/>
        <v>0</v>
      </c>
      <c r="AJ52" t="str">
        <f>IFERROR(INDEX($AF$4:$AF$603,MATCH(49,$AH$4:$AH$603,0)),"")</f>
        <v/>
      </c>
    </row>
    <row r="53" spans="1:36">
      <c r="A53" t="str">
        <f>IF(进销存对接!$D53="客户应收",进销存对接!$C53,"")</f>
        <v/>
      </c>
      <c r="B53">
        <f t="shared" si="0"/>
        <v>0</v>
      </c>
      <c r="C53">
        <f t="shared" si="1"/>
        <v>0</v>
      </c>
      <c r="E53" t="str">
        <f t="shared" si="2"/>
        <v/>
      </c>
      <c r="G53">
        <f>IF(OR($G$1="",资金日记账!$E46="",资金日记账!$E46&lt;&gt;$G$1),0,IF(NOT(OR(N(资金日记账!$H46)&lt;&gt;0,N(资金日记账!$I46)&lt;&gt;0)),0,IF(资金日记账!$B46="",1,IF(OR(N(资金日记账!$B46)&lt;$H$1,N(资金日记账!$B46)&gt;$I$1),0,1))))</f>
        <v>0</v>
      </c>
      <c r="H53">
        <f t="shared" si="3"/>
        <v>0</v>
      </c>
      <c r="I53" t="str">
        <f>IF($G53=0,"",IF(资金日记账!$B46=0,"",资金日记账!$B46))</f>
        <v/>
      </c>
      <c r="J53" t="str">
        <f>IF($G53=0,"",IF(资金日记账!$D46=0,"",资金日记账!$D46))</f>
        <v/>
      </c>
      <c r="K53" t="str">
        <f t="shared" si="14"/>
        <v/>
      </c>
      <c r="L53" t="str">
        <f t="shared" si="15"/>
        <v/>
      </c>
      <c r="M53" t="str">
        <f t="shared" si="5"/>
        <v/>
      </c>
      <c r="N53" t="str">
        <f>IF($G53=0,"",IF(IF(N(资金日记账!$I46)=0,"",-ROUND(N(资金日记账!$I46),2))=0,"",IF(N(资金日记账!$I46)=0,"",-ROUND(N(资金日记账!$I46),2))))</f>
        <v/>
      </c>
      <c r="O53" t="str">
        <f>IF($G53=0,"",IF(IF(N(资金日记账!$H46)=0,"",ROUND(N(资金日记账!$H46),2))=0,"",IF(N(资金日记账!$H46)=0,"",ROUND(N(资金日记账!$H46),2))))</f>
        <v/>
      </c>
      <c r="P53" t="str">
        <f>IF($G53=0,"",IF(资金日记账!$L46=0,"",资金日记账!$L46))</f>
        <v/>
      </c>
      <c r="T53" t="str">
        <f>IF(资金日记账!$G53="","",资金日记账!$G53)</f>
        <v/>
      </c>
      <c r="U53">
        <f t="shared" si="8"/>
        <v>0</v>
      </c>
      <c r="V53">
        <f t="shared" si="9"/>
        <v>0</v>
      </c>
      <c r="X53" t="str">
        <f>IFERROR(INDEX($T$4:$T$903,MATCH(50,$V$4:$V$903,0)),"")</f>
        <v/>
      </c>
      <c r="Z53" t="str">
        <f>IF(成本费用登记表!$C53="","",成本费用登记表!$C53)</f>
        <v/>
      </c>
      <c r="AA53">
        <f t="shared" si="10"/>
        <v>0</v>
      </c>
      <c r="AB53">
        <f t="shared" si="11"/>
        <v>0</v>
      </c>
      <c r="AD53" t="str">
        <f>IFERROR(INDEX($Z$4:$Z$303,MATCH(50,$AB$4:$AB$303,0)),"")</f>
        <v/>
      </c>
      <c r="AF53" t="str">
        <f>IF(OR(资金日记账!$E53="",N(资金日记账!$H53)=0),"",资金日记账!$E53)</f>
        <v/>
      </c>
      <c r="AG53">
        <f t="shared" si="12"/>
        <v>0</v>
      </c>
      <c r="AH53">
        <f t="shared" si="13"/>
        <v>0</v>
      </c>
      <c r="AJ53" t="str">
        <f>IFERROR(INDEX($AF$4:$AF$603,MATCH(50,$AH$4:$AH$603,0)),"")</f>
        <v/>
      </c>
    </row>
    <row r="54" spans="1:36">
      <c r="A54" t="str">
        <f>IF(进销存对接!$D54="客户应收",进销存对接!$C54,"")</f>
        <v/>
      </c>
      <c r="B54">
        <f t="shared" si="0"/>
        <v>0</v>
      </c>
      <c r="C54">
        <f t="shared" si="1"/>
        <v>0</v>
      </c>
      <c r="E54" t="str">
        <f t="shared" si="2"/>
        <v/>
      </c>
      <c r="G54">
        <f>IF(OR($G$1="",资金日记账!$E47="",资金日记账!$E47&lt;&gt;$G$1),0,IF(NOT(OR(N(资金日记账!$H47)&lt;&gt;0,N(资金日记账!$I47)&lt;&gt;0)),0,IF(资金日记账!$B47="",1,IF(OR(N(资金日记账!$B47)&lt;$H$1,N(资金日记账!$B47)&gt;$I$1),0,1))))</f>
        <v>0</v>
      </c>
      <c r="H54">
        <f t="shared" si="3"/>
        <v>0</v>
      </c>
      <c r="I54" t="str">
        <f>IF($G54=0,"",IF(资金日记账!$B47=0,"",资金日记账!$B47))</f>
        <v/>
      </c>
      <c r="J54" t="str">
        <f>IF($G54=0,"",IF(资金日记账!$D47=0,"",资金日记账!$D47))</f>
        <v/>
      </c>
      <c r="K54" t="str">
        <f t="shared" si="14"/>
        <v/>
      </c>
      <c r="L54" t="str">
        <f t="shared" si="15"/>
        <v/>
      </c>
      <c r="M54" t="str">
        <f t="shared" si="5"/>
        <v/>
      </c>
      <c r="N54" t="str">
        <f>IF($G54=0,"",IF(IF(N(资金日记账!$I47)=0,"",-ROUND(N(资金日记账!$I47),2))=0,"",IF(N(资金日记账!$I47)=0,"",-ROUND(N(资金日记账!$I47),2))))</f>
        <v/>
      </c>
      <c r="O54" t="str">
        <f>IF($G54=0,"",IF(IF(N(资金日记账!$H47)=0,"",ROUND(N(资金日记账!$H47),2))=0,"",IF(N(资金日记账!$H47)=0,"",ROUND(N(资金日记账!$H47),2))))</f>
        <v/>
      </c>
      <c r="P54" t="str">
        <f>IF($G54=0,"",IF(资金日记账!$L47=0,"",资金日记账!$L47))</f>
        <v/>
      </c>
      <c r="T54" t="str">
        <f>IF(资金日记账!$G54="","",资金日记账!$G54)</f>
        <v/>
      </c>
      <c r="U54">
        <f t="shared" si="8"/>
        <v>0</v>
      </c>
      <c r="V54">
        <f t="shared" si="9"/>
        <v>0</v>
      </c>
      <c r="X54" t="str">
        <f>IFERROR(INDEX($T$4:$T$903,MATCH(51,$V$4:$V$903,0)),"")</f>
        <v/>
      </c>
      <c r="Z54" t="str">
        <f>IF(成本费用登记表!$C54="","",成本费用登记表!$C54)</f>
        <v/>
      </c>
      <c r="AA54">
        <f t="shared" si="10"/>
        <v>0</v>
      </c>
      <c r="AB54">
        <f t="shared" si="11"/>
        <v>0</v>
      </c>
      <c r="AD54" t="str">
        <f>IFERROR(INDEX($Z$4:$Z$303,MATCH(51,$AB$4:$AB$303,0)),"")</f>
        <v/>
      </c>
      <c r="AF54" t="str">
        <f>IF(OR(资金日记账!$E54="",N(资金日记账!$H54)=0),"",资金日记账!$E54)</f>
        <v/>
      </c>
      <c r="AG54">
        <f t="shared" si="12"/>
        <v>0</v>
      </c>
      <c r="AH54">
        <f t="shared" si="13"/>
        <v>0</v>
      </c>
      <c r="AJ54" t="str">
        <f>IFERROR(INDEX($AF$4:$AF$603,MATCH(51,$AH$4:$AH$603,0)),"")</f>
        <v/>
      </c>
    </row>
    <row r="55" spans="1:36">
      <c r="A55" t="str">
        <f>IF(进销存对接!$D55="客户应收",进销存对接!$C55,"")</f>
        <v/>
      </c>
      <c r="B55">
        <f t="shared" si="0"/>
        <v>0</v>
      </c>
      <c r="C55">
        <f t="shared" si="1"/>
        <v>0</v>
      </c>
      <c r="E55" t="str">
        <f t="shared" si="2"/>
        <v/>
      </c>
      <c r="G55">
        <f>IF(OR($G$1="",资金日记账!$E48="",资金日记账!$E48&lt;&gt;$G$1),0,IF(NOT(OR(N(资金日记账!$H48)&lt;&gt;0,N(资金日记账!$I48)&lt;&gt;0)),0,IF(资金日记账!$B48="",1,IF(OR(N(资金日记账!$B48)&lt;$H$1,N(资金日记账!$B48)&gt;$I$1),0,1))))</f>
        <v>0</v>
      </c>
      <c r="H55">
        <f t="shared" si="3"/>
        <v>0</v>
      </c>
      <c r="I55" t="str">
        <f>IF($G55=0,"",IF(资金日记账!$B48=0,"",资金日记账!$B48))</f>
        <v/>
      </c>
      <c r="J55" t="str">
        <f>IF($G55=0,"",IF(资金日记账!$D48=0,"",资金日记账!$D48))</f>
        <v/>
      </c>
      <c r="K55" t="str">
        <f t="shared" si="14"/>
        <v/>
      </c>
      <c r="L55" t="str">
        <f t="shared" si="15"/>
        <v/>
      </c>
      <c r="M55" t="str">
        <f t="shared" si="5"/>
        <v/>
      </c>
      <c r="N55" t="str">
        <f>IF($G55=0,"",IF(IF(N(资金日记账!$I48)=0,"",-ROUND(N(资金日记账!$I48),2))=0,"",IF(N(资金日记账!$I48)=0,"",-ROUND(N(资金日记账!$I48),2))))</f>
        <v/>
      </c>
      <c r="O55" t="str">
        <f>IF($G55=0,"",IF(IF(N(资金日记账!$H48)=0,"",ROUND(N(资金日记账!$H48),2))=0,"",IF(N(资金日记账!$H48)=0,"",ROUND(N(资金日记账!$H48),2))))</f>
        <v/>
      </c>
      <c r="P55" t="str">
        <f>IF($G55=0,"",IF(资金日记账!$L48=0,"",资金日记账!$L48))</f>
        <v/>
      </c>
      <c r="T55" t="str">
        <f>IF(资金日记账!$G55="","",资金日记账!$G55)</f>
        <v/>
      </c>
      <c r="U55">
        <f t="shared" si="8"/>
        <v>0</v>
      </c>
      <c r="V55">
        <f t="shared" si="9"/>
        <v>0</v>
      </c>
      <c r="X55" t="str">
        <f>IFERROR(INDEX($T$4:$T$903,MATCH(52,$V$4:$V$903,0)),"")</f>
        <v/>
      </c>
      <c r="Z55" t="str">
        <f>IF(成本费用登记表!$C55="","",成本费用登记表!$C55)</f>
        <v/>
      </c>
      <c r="AA55">
        <f t="shared" si="10"/>
        <v>0</v>
      </c>
      <c r="AB55">
        <f t="shared" si="11"/>
        <v>0</v>
      </c>
      <c r="AD55" t="str">
        <f>IFERROR(INDEX($Z$4:$Z$303,MATCH(52,$AB$4:$AB$303,0)),"")</f>
        <v/>
      </c>
      <c r="AF55" t="str">
        <f>IF(OR(资金日记账!$E55="",N(资金日记账!$H55)=0),"",资金日记账!$E55)</f>
        <v/>
      </c>
      <c r="AG55">
        <f t="shared" si="12"/>
        <v>0</v>
      </c>
      <c r="AH55">
        <f t="shared" si="13"/>
        <v>0</v>
      </c>
      <c r="AJ55" t="str">
        <f>IFERROR(INDEX($AF$4:$AF$603,MATCH(52,$AH$4:$AH$603,0)),"")</f>
        <v/>
      </c>
    </row>
    <row r="56" spans="1:36">
      <c r="A56" t="str">
        <f>IF(进销存对接!$D56="客户应收",进销存对接!$C56,"")</f>
        <v/>
      </c>
      <c r="B56">
        <f t="shared" si="0"/>
        <v>0</v>
      </c>
      <c r="C56">
        <f t="shared" si="1"/>
        <v>0</v>
      </c>
      <c r="E56" t="str">
        <f t="shared" si="2"/>
        <v/>
      </c>
      <c r="G56">
        <f>IF(OR($G$1="",资金日记账!$E49="",资金日记账!$E49&lt;&gt;$G$1),0,IF(NOT(OR(N(资金日记账!$H49)&lt;&gt;0,N(资金日记账!$I49)&lt;&gt;0)),0,IF(资金日记账!$B49="",1,IF(OR(N(资金日记账!$B49)&lt;$H$1,N(资金日记账!$B49)&gt;$I$1),0,1))))</f>
        <v>0</v>
      </c>
      <c r="H56">
        <f t="shared" si="3"/>
        <v>0</v>
      </c>
      <c r="I56" t="str">
        <f>IF($G56=0,"",IF(资金日记账!$B49=0,"",资金日记账!$B49))</f>
        <v/>
      </c>
      <c r="J56" t="str">
        <f>IF($G56=0,"",IF(资金日记账!$D49=0,"",资金日记账!$D49))</f>
        <v/>
      </c>
      <c r="K56" t="str">
        <f t="shared" si="14"/>
        <v/>
      </c>
      <c r="L56" t="str">
        <f t="shared" si="15"/>
        <v/>
      </c>
      <c r="M56" t="str">
        <f t="shared" si="5"/>
        <v/>
      </c>
      <c r="N56" t="str">
        <f>IF($G56=0,"",IF(IF(N(资金日记账!$I49)=0,"",-ROUND(N(资金日记账!$I49),2))=0,"",IF(N(资金日记账!$I49)=0,"",-ROUND(N(资金日记账!$I49),2))))</f>
        <v/>
      </c>
      <c r="O56" t="str">
        <f>IF($G56=0,"",IF(IF(N(资金日记账!$H49)=0,"",ROUND(N(资金日记账!$H49),2))=0,"",IF(N(资金日记账!$H49)=0,"",ROUND(N(资金日记账!$H49),2))))</f>
        <v/>
      </c>
      <c r="P56" t="str">
        <f>IF($G56=0,"",IF(资金日记账!$L49=0,"",资金日记账!$L49))</f>
        <v/>
      </c>
      <c r="T56" t="str">
        <f>IF(资金日记账!$G56="","",资金日记账!$G56)</f>
        <v/>
      </c>
      <c r="U56">
        <f t="shared" si="8"/>
        <v>0</v>
      </c>
      <c r="V56">
        <f t="shared" si="9"/>
        <v>0</v>
      </c>
      <c r="X56" t="str">
        <f>IFERROR(INDEX($T$4:$T$903,MATCH(53,$V$4:$V$903,0)),"")</f>
        <v/>
      </c>
      <c r="Z56" t="str">
        <f>IF(成本费用登记表!$C56="","",成本费用登记表!$C56)</f>
        <v/>
      </c>
      <c r="AA56">
        <f t="shared" si="10"/>
        <v>0</v>
      </c>
      <c r="AB56">
        <f t="shared" si="11"/>
        <v>0</v>
      </c>
      <c r="AD56" t="str">
        <f>IFERROR(INDEX($Z$4:$Z$303,MATCH(53,$AB$4:$AB$303,0)),"")</f>
        <v/>
      </c>
      <c r="AF56" t="str">
        <f>IF(OR(资金日记账!$E56="",N(资金日记账!$H56)=0),"",资金日记账!$E56)</f>
        <v/>
      </c>
      <c r="AG56">
        <f t="shared" si="12"/>
        <v>0</v>
      </c>
      <c r="AH56">
        <f t="shared" si="13"/>
        <v>0</v>
      </c>
      <c r="AJ56" t="str">
        <f>IFERROR(INDEX($AF$4:$AF$603,MATCH(53,$AH$4:$AH$603,0)),"")</f>
        <v/>
      </c>
    </row>
    <row r="57" spans="1:36">
      <c r="A57" t="str">
        <f>IF(进销存对接!$D57="客户应收",进销存对接!$C57,"")</f>
        <v/>
      </c>
      <c r="B57">
        <f t="shared" si="0"/>
        <v>0</v>
      </c>
      <c r="C57">
        <f t="shared" si="1"/>
        <v>0</v>
      </c>
      <c r="E57" t="str">
        <f t="shared" si="2"/>
        <v/>
      </c>
      <c r="G57">
        <f>IF(OR($G$1="",资金日记账!$E50="",资金日记账!$E50&lt;&gt;$G$1),0,IF(NOT(OR(N(资金日记账!$H50)&lt;&gt;0,N(资金日记账!$I50)&lt;&gt;0)),0,IF(资金日记账!$B50="",1,IF(OR(N(资金日记账!$B50)&lt;$H$1,N(资金日记账!$B50)&gt;$I$1),0,1))))</f>
        <v>0</v>
      </c>
      <c r="H57">
        <f t="shared" si="3"/>
        <v>0</v>
      </c>
      <c r="I57" t="str">
        <f>IF($G57=0,"",IF(资金日记账!$B50=0,"",资金日记账!$B50))</f>
        <v/>
      </c>
      <c r="J57" t="str">
        <f>IF($G57=0,"",IF(资金日记账!$D50=0,"",资金日记账!$D50))</f>
        <v/>
      </c>
      <c r="K57" t="str">
        <f t="shared" si="14"/>
        <v/>
      </c>
      <c r="L57" t="str">
        <f t="shared" si="15"/>
        <v/>
      </c>
      <c r="M57" t="str">
        <f t="shared" si="5"/>
        <v/>
      </c>
      <c r="N57" t="str">
        <f>IF($G57=0,"",IF(IF(N(资金日记账!$I50)=0,"",-ROUND(N(资金日记账!$I50),2))=0,"",IF(N(资金日记账!$I50)=0,"",-ROUND(N(资金日记账!$I50),2))))</f>
        <v/>
      </c>
      <c r="O57" t="str">
        <f>IF($G57=0,"",IF(IF(N(资金日记账!$H50)=0,"",ROUND(N(资金日记账!$H50),2))=0,"",IF(N(资金日记账!$H50)=0,"",ROUND(N(资金日记账!$H50),2))))</f>
        <v/>
      </c>
      <c r="P57" t="str">
        <f>IF($G57=0,"",IF(资金日记账!$L50=0,"",资金日记账!$L50))</f>
        <v/>
      </c>
      <c r="T57" t="str">
        <f>IF(资金日记账!$G57="","",资金日记账!$G57)</f>
        <v/>
      </c>
      <c r="U57">
        <f t="shared" si="8"/>
        <v>0</v>
      </c>
      <c r="V57">
        <f t="shared" si="9"/>
        <v>0</v>
      </c>
      <c r="X57" t="str">
        <f>IFERROR(INDEX($T$4:$T$903,MATCH(54,$V$4:$V$903,0)),"")</f>
        <v/>
      </c>
      <c r="Z57" t="str">
        <f>IF(成本费用登记表!$C57="","",成本费用登记表!$C57)</f>
        <v/>
      </c>
      <c r="AA57">
        <f t="shared" si="10"/>
        <v>0</v>
      </c>
      <c r="AB57">
        <f t="shared" si="11"/>
        <v>0</v>
      </c>
      <c r="AD57" t="str">
        <f>IFERROR(INDEX($Z$4:$Z$303,MATCH(54,$AB$4:$AB$303,0)),"")</f>
        <v/>
      </c>
      <c r="AF57" t="str">
        <f>IF(OR(资金日记账!$E57="",N(资金日记账!$H57)=0),"",资金日记账!$E57)</f>
        <v/>
      </c>
      <c r="AG57">
        <f t="shared" si="12"/>
        <v>0</v>
      </c>
      <c r="AH57">
        <f t="shared" si="13"/>
        <v>0</v>
      </c>
      <c r="AJ57" t="str">
        <f>IFERROR(INDEX($AF$4:$AF$603,MATCH(54,$AH$4:$AH$603,0)),"")</f>
        <v/>
      </c>
    </row>
    <row r="58" spans="1:36">
      <c r="A58" t="str">
        <f>IF(进销存对接!$D58="客户应收",进销存对接!$C58,"")</f>
        <v/>
      </c>
      <c r="B58">
        <f t="shared" si="0"/>
        <v>0</v>
      </c>
      <c r="C58">
        <f t="shared" si="1"/>
        <v>0</v>
      </c>
      <c r="E58" t="str">
        <f t="shared" si="2"/>
        <v/>
      </c>
      <c r="G58">
        <f>IF(OR($G$1="",资金日记账!$E51="",资金日记账!$E51&lt;&gt;$G$1),0,IF(NOT(OR(N(资金日记账!$H51)&lt;&gt;0,N(资金日记账!$I51)&lt;&gt;0)),0,IF(资金日记账!$B51="",1,IF(OR(N(资金日记账!$B51)&lt;$H$1,N(资金日记账!$B51)&gt;$I$1),0,1))))</f>
        <v>0</v>
      </c>
      <c r="H58">
        <f t="shared" si="3"/>
        <v>0</v>
      </c>
      <c r="I58" t="str">
        <f>IF($G58=0,"",IF(资金日记账!$B51=0,"",资金日记账!$B51))</f>
        <v/>
      </c>
      <c r="J58" t="str">
        <f>IF($G58=0,"",IF(资金日记账!$D51=0,"",资金日记账!$D51))</f>
        <v/>
      </c>
      <c r="K58" t="str">
        <f t="shared" si="14"/>
        <v/>
      </c>
      <c r="L58" t="str">
        <f t="shared" si="15"/>
        <v/>
      </c>
      <c r="M58" t="str">
        <f t="shared" si="5"/>
        <v/>
      </c>
      <c r="N58" t="str">
        <f>IF($G58=0,"",IF(IF(N(资金日记账!$I51)=0,"",-ROUND(N(资金日记账!$I51),2))=0,"",IF(N(资金日记账!$I51)=0,"",-ROUND(N(资金日记账!$I51),2))))</f>
        <v/>
      </c>
      <c r="O58" t="str">
        <f>IF($G58=0,"",IF(IF(N(资金日记账!$H51)=0,"",ROUND(N(资金日记账!$H51),2))=0,"",IF(N(资金日记账!$H51)=0,"",ROUND(N(资金日记账!$H51),2))))</f>
        <v/>
      </c>
      <c r="P58" t="str">
        <f>IF($G58=0,"",IF(资金日记账!$L51=0,"",资金日记账!$L51))</f>
        <v/>
      </c>
      <c r="T58" t="str">
        <f>IF(资金日记账!$G58="","",资金日记账!$G58)</f>
        <v/>
      </c>
      <c r="U58">
        <f t="shared" si="8"/>
        <v>0</v>
      </c>
      <c r="V58">
        <f t="shared" si="9"/>
        <v>0</v>
      </c>
      <c r="X58" t="str">
        <f>IFERROR(INDEX($T$4:$T$903,MATCH(55,$V$4:$V$903,0)),"")</f>
        <v/>
      </c>
      <c r="Z58" t="str">
        <f>IF(成本费用登记表!$C58="","",成本费用登记表!$C58)</f>
        <v/>
      </c>
      <c r="AA58">
        <f t="shared" si="10"/>
        <v>0</v>
      </c>
      <c r="AB58">
        <f t="shared" si="11"/>
        <v>0</v>
      </c>
      <c r="AD58" t="str">
        <f>IFERROR(INDEX($Z$4:$Z$303,MATCH(55,$AB$4:$AB$303,0)),"")</f>
        <v/>
      </c>
      <c r="AF58" t="str">
        <f>IF(OR(资金日记账!$E58="",N(资金日记账!$H58)=0),"",资金日记账!$E58)</f>
        <v/>
      </c>
      <c r="AG58">
        <f t="shared" si="12"/>
        <v>0</v>
      </c>
      <c r="AH58">
        <f t="shared" si="13"/>
        <v>0</v>
      </c>
      <c r="AJ58" t="str">
        <f>IFERROR(INDEX($AF$4:$AF$603,MATCH(55,$AH$4:$AH$603,0)),"")</f>
        <v/>
      </c>
    </row>
    <row r="59" spans="1:36">
      <c r="A59" t="str">
        <f>IF(进销存对接!$D59="客户应收",进销存对接!$C59,"")</f>
        <v/>
      </c>
      <c r="B59">
        <f t="shared" si="0"/>
        <v>0</v>
      </c>
      <c r="C59">
        <f t="shared" si="1"/>
        <v>0</v>
      </c>
      <c r="E59" t="str">
        <f t="shared" si="2"/>
        <v/>
      </c>
      <c r="G59">
        <f>IF(OR($G$1="",资金日记账!$E52="",资金日记账!$E52&lt;&gt;$G$1),0,IF(NOT(OR(N(资金日记账!$H52)&lt;&gt;0,N(资金日记账!$I52)&lt;&gt;0)),0,IF(资金日记账!$B52="",1,IF(OR(N(资金日记账!$B52)&lt;$H$1,N(资金日记账!$B52)&gt;$I$1),0,1))))</f>
        <v>0</v>
      </c>
      <c r="H59">
        <f t="shared" si="3"/>
        <v>0</v>
      </c>
      <c r="I59" t="str">
        <f>IF($G59=0,"",IF(资金日记账!$B52=0,"",资金日记账!$B52))</f>
        <v/>
      </c>
      <c r="J59" t="str">
        <f>IF($G59=0,"",IF(资金日记账!$D52=0,"",资金日记账!$D52))</f>
        <v/>
      </c>
      <c r="K59" t="str">
        <f t="shared" si="14"/>
        <v/>
      </c>
      <c r="L59" t="str">
        <f t="shared" si="15"/>
        <v/>
      </c>
      <c r="M59" t="str">
        <f t="shared" si="5"/>
        <v/>
      </c>
      <c r="N59" t="str">
        <f>IF($G59=0,"",IF(IF(N(资金日记账!$I52)=0,"",-ROUND(N(资金日记账!$I52),2))=0,"",IF(N(资金日记账!$I52)=0,"",-ROUND(N(资金日记账!$I52),2))))</f>
        <v/>
      </c>
      <c r="O59" t="str">
        <f>IF($G59=0,"",IF(IF(N(资金日记账!$H52)=0,"",ROUND(N(资金日记账!$H52),2))=0,"",IF(N(资金日记账!$H52)=0,"",ROUND(N(资金日记账!$H52),2))))</f>
        <v/>
      </c>
      <c r="P59" t="str">
        <f>IF($G59=0,"",IF(资金日记账!$L52=0,"",资金日记账!$L52))</f>
        <v/>
      </c>
      <c r="T59" t="str">
        <f>IF(资金日记账!$G59="","",资金日记账!$G59)</f>
        <v/>
      </c>
      <c r="U59">
        <f t="shared" si="8"/>
        <v>0</v>
      </c>
      <c r="V59">
        <f t="shared" si="9"/>
        <v>0</v>
      </c>
      <c r="X59" t="str">
        <f>IFERROR(INDEX($T$4:$T$903,MATCH(56,$V$4:$V$903,0)),"")</f>
        <v/>
      </c>
      <c r="Z59" t="str">
        <f>IF(成本费用登记表!$C59="","",成本费用登记表!$C59)</f>
        <v/>
      </c>
      <c r="AA59">
        <f t="shared" si="10"/>
        <v>0</v>
      </c>
      <c r="AB59">
        <f t="shared" si="11"/>
        <v>0</v>
      </c>
      <c r="AD59" t="str">
        <f>IFERROR(INDEX($Z$4:$Z$303,MATCH(56,$AB$4:$AB$303,0)),"")</f>
        <v/>
      </c>
      <c r="AF59" t="str">
        <f>IF(OR(资金日记账!$E59="",N(资金日记账!$H59)=0),"",资金日记账!$E59)</f>
        <v/>
      </c>
      <c r="AG59">
        <f t="shared" si="12"/>
        <v>0</v>
      </c>
      <c r="AH59">
        <f t="shared" si="13"/>
        <v>0</v>
      </c>
      <c r="AJ59" t="str">
        <f>IFERROR(INDEX($AF$4:$AF$603,MATCH(56,$AH$4:$AH$603,0)),"")</f>
        <v/>
      </c>
    </row>
    <row r="60" spans="1:36">
      <c r="A60" t="str">
        <f>IF(进销存对接!$D60="客户应收",进销存对接!$C60,"")</f>
        <v/>
      </c>
      <c r="B60">
        <f t="shared" si="0"/>
        <v>0</v>
      </c>
      <c r="C60">
        <f t="shared" si="1"/>
        <v>0</v>
      </c>
      <c r="E60" t="str">
        <f t="shared" si="2"/>
        <v/>
      </c>
      <c r="G60">
        <f>IF(OR($G$1="",资金日记账!$E53="",资金日记账!$E53&lt;&gt;$G$1),0,IF(NOT(OR(N(资金日记账!$H53)&lt;&gt;0,N(资金日记账!$I53)&lt;&gt;0)),0,IF(资金日记账!$B53="",1,IF(OR(N(资金日记账!$B53)&lt;$H$1,N(资金日记账!$B53)&gt;$I$1),0,1))))</f>
        <v>0</v>
      </c>
      <c r="H60">
        <f t="shared" si="3"/>
        <v>0</v>
      </c>
      <c r="I60" t="str">
        <f>IF($G60=0,"",IF(资金日记账!$B53=0,"",资金日记账!$B53))</f>
        <v/>
      </c>
      <c r="J60" t="str">
        <f>IF($G60=0,"",IF(资金日记账!$D53=0,"",资金日记账!$D53))</f>
        <v/>
      </c>
      <c r="K60" t="str">
        <f t="shared" si="14"/>
        <v/>
      </c>
      <c r="L60" t="str">
        <f t="shared" si="15"/>
        <v/>
      </c>
      <c r="M60" t="str">
        <f t="shared" si="5"/>
        <v/>
      </c>
      <c r="N60" t="str">
        <f>IF($G60=0,"",IF(IF(N(资金日记账!$I53)=0,"",-ROUND(N(资金日记账!$I53),2))=0,"",IF(N(资金日记账!$I53)=0,"",-ROUND(N(资金日记账!$I53),2))))</f>
        <v/>
      </c>
      <c r="O60" t="str">
        <f>IF($G60=0,"",IF(IF(N(资金日记账!$H53)=0,"",ROUND(N(资金日记账!$H53),2))=0,"",IF(N(资金日记账!$H53)=0,"",ROUND(N(资金日记账!$H53),2))))</f>
        <v/>
      </c>
      <c r="P60" t="str">
        <f>IF($G60=0,"",IF(资金日记账!$L53=0,"",资金日记账!$L53))</f>
        <v/>
      </c>
      <c r="T60" t="str">
        <f>IF(资金日记账!$G60="","",资金日记账!$G60)</f>
        <v/>
      </c>
      <c r="U60">
        <f t="shared" si="8"/>
        <v>0</v>
      </c>
      <c r="V60">
        <f t="shared" si="9"/>
        <v>0</v>
      </c>
      <c r="X60" t="str">
        <f>IFERROR(INDEX($T$4:$T$903,MATCH(57,$V$4:$V$903,0)),"")</f>
        <v/>
      </c>
      <c r="Z60" t="str">
        <f>IF(成本费用登记表!$C60="","",成本费用登记表!$C60)</f>
        <v/>
      </c>
      <c r="AA60">
        <f t="shared" si="10"/>
        <v>0</v>
      </c>
      <c r="AB60">
        <f t="shared" si="11"/>
        <v>0</v>
      </c>
      <c r="AD60" t="str">
        <f>IFERROR(INDEX($Z$4:$Z$303,MATCH(57,$AB$4:$AB$303,0)),"")</f>
        <v/>
      </c>
      <c r="AF60" t="str">
        <f>IF(OR(资金日记账!$E60="",N(资金日记账!$H60)=0),"",资金日记账!$E60)</f>
        <v/>
      </c>
      <c r="AG60">
        <f t="shared" si="12"/>
        <v>0</v>
      </c>
      <c r="AH60">
        <f t="shared" si="13"/>
        <v>0</v>
      </c>
      <c r="AJ60" t="str">
        <f>IFERROR(INDEX($AF$4:$AF$603,MATCH(57,$AH$4:$AH$603,0)),"")</f>
        <v/>
      </c>
    </row>
    <row r="61" spans="1:36">
      <c r="A61" t="str">
        <f>IF(进销存对接!$D61="客户应收",进销存对接!$C61,"")</f>
        <v/>
      </c>
      <c r="B61">
        <f t="shared" si="0"/>
        <v>0</v>
      </c>
      <c r="C61">
        <f t="shared" si="1"/>
        <v>0</v>
      </c>
      <c r="E61" t="str">
        <f t="shared" si="2"/>
        <v/>
      </c>
      <c r="G61">
        <f>IF(OR($G$1="",资金日记账!$E54="",资金日记账!$E54&lt;&gt;$G$1),0,IF(NOT(OR(N(资金日记账!$H54)&lt;&gt;0,N(资金日记账!$I54)&lt;&gt;0)),0,IF(资金日记账!$B54="",1,IF(OR(N(资金日记账!$B54)&lt;$H$1,N(资金日记账!$B54)&gt;$I$1),0,1))))</f>
        <v>0</v>
      </c>
      <c r="H61">
        <f t="shared" si="3"/>
        <v>0</v>
      </c>
      <c r="I61" t="str">
        <f>IF($G61=0,"",IF(资金日记账!$B54=0,"",资金日记账!$B54))</f>
        <v/>
      </c>
      <c r="J61" t="str">
        <f>IF($G61=0,"",IF(资金日记账!$D54=0,"",资金日记账!$D54))</f>
        <v/>
      </c>
      <c r="K61" t="str">
        <f t="shared" si="14"/>
        <v/>
      </c>
      <c r="L61" t="str">
        <f t="shared" si="15"/>
        <v/>
      </c>
      <c r="M61" t="str">
        <f t="shared" si="5"/>
        <v/>
      </c>
      <c r="N61" t="str">
        <f>IF($G61=0,"",IF(IF(N(资金日记账!$I54)=0,"",-ROUND(N(资金日记账!$I54),2))=0,"",IF(N(资金日记账!$I54)=0,"",-ROUND(N(资金日记账!$I54),2))))</f>
        <v/>
      </c>
      <c r="O61" t="str">
        <f>IF($G61=0,"",IF(IF(N(资金日记账!$H54)=0,"",ROUND(N(资金日记账!$H54),2))=0,"",IF(N(资金日记账!$H54)=0,"",ROUND(N(资金日记账!$H54),2))))</f>
        <v/>
      </c>
      <c r="P61" t="str">
        <f>IF($G61=0,"",IF(资金日记账!$L54=0,"",资金日记账!$L54))</f>
        <v/>
      </c>
      <c r="T61" t="str">
        <f>IF(资金日记账!$G61="","",资金日记账!$G61)</f>
        <v/>
      </c>
      <c r="U61">
        <f t="shared" si="8"/>
        <v>0</v>
      </c>
      <c r="V61">
        <f t="shared" si="9"/>
        <v>0</v>
      </c>
      <c r="X61" t="str">
        <f>IFERROR(INDEX($T$4:$T$903,MATCH(58,$V$4:$V$903,0)),"")</f>
        <v/>
      </c>
      <c r="Z61" t="str">
        <f>IF(成本费用登记表!$C61="","",成本费用登记表!$C61)</f>
        <v/>
      </c>
      <c r="AA61">
        <f t="shared" si="10"/>
        <v>0</v>
      </c>
      <c r="AB61">
        <f t="shared" si="11"/>
        <v>0</v>
      </c>
      <c r="AD61" t="str">
        <f>IFERROR(INDEX($Z$4:$Z$303,MATCH(58,$AB$4:$AB$303,0)),"")</f>
        <v/>
      </c>
      <c r="AF61" t="str">
        <f>IF(OR(资金日记账!$E61="",N(资金日记账!$H61)=0),"",资金日记账!$E61)</f>
        <v/>
      </c>
      <c r="AG61">
        <f t="shared" si="12"/>
        <v>0</v>
      </c>
      <c r="AH61">
        <f t="shared" si="13"/>
        <v>0</v>
      </c>
      <c r="AJ61" t="str">
        <f>IFERROR(INDEX($AF$4:$AF$603,MATCH(58,$AH$4:$AH$603,0)),"")</f>
        <v/>
      </c>
    </row>
    <row r="62" spans="1:36">
      <c r="A62" t="str">
        <f>IF(进销存对接!$D62="客户应收",进销存对接!$C62,"")</f>
        <v/>
      </c>
      <c r="B62">
        <f t="shared" si="0"/>
        <v>0</v>
      </c>
      <c r="C62">
        <f t="shared" si="1"/>
        <v>0</v>
      </c>
      <c r="E62" t="str">
        <f t="shared" si="2"/>
        <v/>
      </c>
      <c r="G62">
        <f>IF(OR($G$1="",资金日记账!$E55="",资金日记账!$E55&lt;&gt;$G$1),0,IF(NOT(OR(N(资金日记账!$H55)&lt;&gt;0,N(资金日记账!$I55)&lt;&gt;0)),0,IF(资金日记账!$B55="",1,IF(OR(N(资金日记账!$B55)&lt;$H$1,N(资金日记账!$B55)&gt;$I$1),0,1))))</f>
        <v>0</v>
      </c>
      <c r="H62">
        <f t="shared" si="3"/>
        <v>0</v>
      </c>
      <c r="I62" t="str">
        <f>IF($G62=0,"",IF(资金日记账!$B55=0,"",资金日记账!$B55))</f>
        <v/>
      </c>
      <c r="J62" t="str">
        <f>IF($G62=0,"",IF(资金日记账!$D55=0,"",资金日记账!$D55))</f>
        <v/>
      </c>
      <c r="K62" t="str">
        <f t="shared" si="14"/>
        <v/>
      </c>
      <c r="L62" t="str">
        <f t="shared" si="15"/>
        <v/>
      </c>
      <c r="M62" t="str">
        <f t="shared" si="5"/>
        <v/>
      </c>
      <c r="N62" t="str">
        <f>IF($G62=0,"",IF(IF(N(资金日记账!$I55)=0,"",-ROUND(N(资金日记账!$I55),2))=0,"",IF(N(资金日记账!$I55)=0,"",-ROUND(N(资金日记账!$I55),2))))</f>
        <v/>
      </c>
      <c r="O62" t="str">
        <f>IF($G62=0,"",IF(IF(N(资金日记账!$H55)=0,"",ROUND(N(资金日记账!$H55),2))=0,"",IF(N(资金日记账!$H55)=0,"",ROUND(N(资金日记账!$H55),2))))</f>
        <v/>
      </c>
      <c r="P62" t="str">
        <f>IF($G62=0,"",IF(资金日记账!$L55=0,"",资金日记账!$L55))</f>
        <v/>
      </c>
      <c r="T62" t="str">
        <f>IF(资金日记账!$G62="","",资金日记账!$G62)</f>
        <v/>
      </c>
      <c r="U62">
        <f t="shared" si="8"/>
        <v>0</v>
      </c>
      <c r="V62">
        <f t="shared" si="9"/>
        <v>0</v>
      </c>
      <c r="X62" t="str">
        <f>IFERROR(INDEX($T$4:$T$903,MATCH(59,$V$4:$V$903,0)),"")</f>
        <v/>
      </c>
      <c r="Z62" t="str">
        <f>IF(成本费用登记表!$C62="","",成本费用登记表!$C62)</f>
        <v/>
      </c>
      <c r="AA62">
        <f t="shared" si="10"/>
        <v>0</v>
      </c>
      <c r="AB62">
        <f t="shared" si="11"/>
        <v>0</v>
      </c>
      <c r="AD62" t="str">
        <f>IFERROR(INDEX($Z$4:$Z$303,MATCH(59,$AB$4:$AB$303,0)),"")</f>
        <v/>
      </c>
      <c r="AF62" t="str">
        <f>IF(OR(资金日记账!$E62="",N(资金日记账!$H62)=0),"",资金日记账!$E62)</f>
        <v/>
      </c>
      <c r="AG62">
        <f t="shared" si="12"/>
        <v>0</v>
      </c>
      <c r="AH62">
        <f t="shared" si="13"/>
        <v>0</v>
      </c>
      <c r="AJ62" t="str">
        <f>IFERROR(INDEX($AF$4:$AF$603,MATCH(59,$AH$4:$AH$603,0)),"")</f>
        <v/>
      </c>
    </row>
    <row r="63" spans="1:36">
      <c r="A63" t="str">
        <f>IF(进销存对接!$D63="客户应收",进销存对接!$C63,"")</f>
        <v/>
      </c>
      <c r="B63">
        <f t="shared" si="0"/>
        <v>0</v>
      </c>
      <c r="C63">
        <f t="shared" si="1"/>
        <v>0</v>
      </c>
      <c r="E63" t="str">
        <f t="shared" si="2"/>
        <v/>
      </c>
      <c r="G63">
        <f>IF(OR($G$1="",资金日记账!$E56="",资金日记账!$E56&lt;&gt;$G$1),0,IF(NOT(OR(N(资金日记账!$H56)&lt;&gt;0,N(资金日记账!$I56)&lt;&gt;0)),0,IF(资金日记账!$B56="",1,IF(OR(N(资金日记账!$B56)&lt;$H$1,N(资金日记账!$B56)&gt;$I$1),0,1))))</f>
        <v>0</v>
      </c>
      <c r="H63">
        <f t="shared" si="3"/>
        <v>0</v>
      </c>
      <c r="I63" t="str">
        <f>IF($G63=0,"",IF(资金日记账!$B56=0,"",资金日记账!$B56))</f>
        <v/>
      </c>
      <c r="J63" t="str">
        <f>IF($G63=0,"",IF(资金日记账!$D56=0,"",资金日记账!$D56))</f>
        <v/>
      </c>
      <c r="K63" t="str">
        <f t="shared" si="14"/>
        <v/>
      </c>
      <c r="L63" t="str">
        <f t="shared" si="15"/>
        <v/>
      </c>
      <c r="M63" t="str">
        <f t="shared" si="5"/>
        <v/>
      </c>
      <c r="N63" t="str">
        <f>IF($G63=0,"",IF(IF(N(资金日记账!$I56)=0,"",-ROUND(N(资金日记账!$I56),2))=0,"",IF(N(资金日记账!$I56)=0,"",-ROUND(N(资金日记账!$I56),2))))</f>
        <v/>
      </c>
      <c r="O63" t="str">
        <f>IF($G63=0,"",IF(IF(N(资金日记账!$H56)=0,"",ROUND(N(资金日记账!$H56),2))=0,"",IF(N(资金日记账!$H56)=0,"",ROUND(N(资金日记账!$H56),2))))</f>
        <v/>
      </c>
      <c r="P63" t="str">
        <f>IF($G63=0,"",IF(资金日记账!$L56=0,"",资金日记账!$L56))</f>
        <v/>
      </c>
      <c r="T63" t="str">
        <f>IF(资金日记账!$G63="","",资金日记账!$G63)</f>
        <v/>
      </c>
      <c r="U63">
        <f t="shared" si="8"/>
        <v>0</v>
      </c>
      <c r="V63">
        <f t="shared" si="9"/>
        <v>0</v>
      </c>
      <c r="X63" t="str">
        <f>IFERROR(INDEX($T$4:$T$903,MATCH(60,$V$4:$V$903,0)),"")</f>
        <v/>
      </c>
      <c r="Z63" t="str">
        <f>IF(成本费用登记表!$C63="","",成本费用登记表!$C63)</f>
        <v/>
      </c>
      <c r="AA63">
        <f t="shared" si="10"/>
        <v>0</v>
      </c>
      <c r="AB63">
        <f t="shared" si="11"/>
        <v>0</v>
      </c>
      <c r="AD63" t="str">
        <f>IFERROR(INDEX($Z$4:$Z$303,MATCH(60,$AB$4:$AB$303,0)),"")</f>
        <v/>
      </c>
      <c r="AF63" t="str">
        <f>IF(OR(资金日记账!$E63="",N(资金日记账!$H63)=0),"",资金日记账!$E63)</f>
        <v/>
      </c>
      <c r="AG63">
        <f t="shared" si="12"/>
        <v>0</v>
      </c>
      <c r="AH63">
        <f t="shared" si="13"/>
        <v>0</v>
      </c>
      <c r="AJ63" t="str">
        <f>IFERROR(INDEX($AF$4:$AF$603,MATCH(60,$AH$4:$AH$603,0)),"")</f>
        <v/>
      </c>
    </row>
    <row r="64" spans="1:36">
      <c r="A64" t="str">
        <f>IF(进销存对接!$D64="客户应收",进销存对接!$C64,"")</f>
        <v/>
      </c>
      <c r="B64">
        <f t="shared" si="0"/>
        <v>0</v>
      </c>
      <c r="C64">
        <f t="shared" si="1"/>
        <v>0</v>
      </c>
      <c r="E64" t="str">
        <f t="shared" si="2"/>
        <v/>
      </c>
      <c r="G64">
        <f>IF(OR($G$1="",资金日记账!$E57="",资金日记账!$E57&lt;&gt;$G$1),0,IF(NOT(OR(N(资金日记账!$H57)&lt;&gt;0,N(资金日记账!$I57)&lt;&gt;0)),0,IF(资金日记账!$B57="",1,IF(OR(N(资金日记账!$B57)&lt;$H$1,N(资金日记账!$B57)&gt;$I$1),0,1))))</f>
        <v>0</v>
      </c>
      <c r="H64">
        <f t="shared" si="3"/>
        <v>0</v>
      </c>
      <c r="I64" t="str">
        <f>IF($G64=0,"",IF(资金日记账!$B57=0,"",资金日记账!$B57))</f>
        <v/>
      </c>
      <c r="J64" t="str">
        <f>IF($G64=0,"",IF(资金日记账!$D57=0,"",资金日记账!$D57))</f>
        <v/>
      </c>
      <c r="K64" t="str">
        <f t="shared" si="14"/>
        <v/>
      </c>
      <c r="L64" t="str">
        <f t="shared" si="15"/>
        <v/>
      </c>
      <c r="M64" t="str">
        <f t="shared" si="5"/>
        <v/>
      </c>
      <c r="N64" t="str">
        <f>IF($G64=0,"",IF(IF(N(资金日记账!$I57)=0,"",-ROUND(N(资金日记账!$I57),2))=0,"",IF(N(资金日记账!$I57)=0,"",-ROUND(N(资金日记账!$I57),2))))</f>
        <v/>
      </c>
      <c r="O64" t="str">
        <f>IF($G64=0,"",IF(IF(N(资金日记账!$H57)=0,"",ROUND(N(资金日记账!$H57),2))=0,"",IF(N(资金日记账!$H57)=0,"",ROUND(N(资金日记账!$H57),2))))</f>
        <v/>
      </c>
      <c r="P64" t="str">
        <f>IF($G64=0,"",IF(资金日记账!$L57=0,"",资金日记账!$L57))</f>
        <v/>
      </c>
      <c r="T64" t="str">
        <f>IF(资金日记账!$G64="","",资金日记账!$G64)</f>
        <v/>
      </c>
      <c r="U64">
        <f t="shared" si="8"/>
        <v>0</v>
      </c>
      <c r="V64">
        <f t="shared" si="9"/>
        <v>0</v>
      </c>
      <c r="Z64" t="str">
        <f>IF(成本费用登记表!$C64="","",成本费用登记表!$C64)</f>
        <v/>
      </c>
      <c r="AA64">
        <f t="shared" si="10"/>
        <v>0</v>
      </c>
      <c r="AB64">
        <f t="shared" si="11"/>
        <v>0</v>
      </c>
      <c r="AD64" t="str">
        <f>IFERROR(INDEX($Z$4:$Z$303,MATCH(61,$AB$4:$AB$303,0)),"")</f>
        <v/>
      </c>
      <c r="AF64" t="str">
        <f>IF(OR(资金日记账!$E64="",N(资金日记账!$H64)=0),"",资金日记账!$E64)</f>
        <v/>
      </c>
      <c r="AG64">
        <f t="shared" si="12"/>
        <v>0</v>
      </c>
      <c r="AH64">
        <f t="shared" si="13"/>
        <v>0</v>
      </c>
    </row>
    <row r="65" spans="1:34">
      <c r="A65" t="str">
        <f>IF(进销存对接!$D65="客户应收",进销存对接!$C65,"")</f>
        <v/>
      </c>
      <c r="B65">
        <f t="shared" si="0"/>
        <v>0</v>
      </c>
      <c r="C65">
        <f t="shared" si="1"/>
        <v>0</v>
      </c>
      <c r="E65" t="str">
        <f t="shared" si="2"/>
        <v/>
      </c>
      <c r="G65">
        <f>IF(OR($G$1="",资金日记账!$E58="",资金日记账!$E58&lt;&gt;$G$1),0,IF(NOT(OR(N(资金日记账!$H58)&lt;&gt;0,N(资金日记账!$I58)&lt;&gt;0)),0,IF(资金日记账!$B58="",1,IF(OR(N(资金日记账!$B58)&lt;$H$1,N(资金日记账!$B58)&gt;$I$1),0,1))))</f>
        <v>0</v>
      </c>
      <c r="H65">
        <f t="shared" si="3"/>
        <v>0</v>
      </c>
      <c r="I65" t="str">
        <f>IF($G65=0,"",IF(资金日记账!$B58=0,"",资金日记账!$B58))</f>
        <v/>
      </c>
      <c r="J65" t="str">
        <f>IF($G65=0,"",IF(资金日记账!$D58=0,"",资金日记账!$D58))</f>
        <v/>
      </c>
      <c r="K65" t="str">
        <f t="shared" si="14"/>
        <v/>
      </c>
      <c r="L65" t="str">
        <f t="shared" si="15"/>
        <v/>
      </c>
      <c r="M65" t="str">
        <f t="shared" si="5"/>
        <v/>
      </c>
      <c r="N65" t="str">
        <f>IF($G65=0,"",IF(IF(N(资金日记账!$I58)=0,"",-ROUND(N(资金日记账!$I58),2))=0,"",IF(N(资金日记账!$I58)=0,"",-ROUND(N(资金日记账!$I58),2))))</f>
        <v/>
      </c>
      <c r="O65" t="str">
        <f>IF($G65=0,"",IF(IF(N(资金日记账!$H58)=0,"",ROUND(N(资金日记账!$H58),2))=0,"",IF(N(资金日记账!$H58)=0,"",ROUND(N(资金日记账!$H58),2))))</f>
        <v/>
      </c>
      <c r="P65" t="str">
        <f>IF($G65=0,"",IF(资金日记账!$L58=0,"",资金日记账!$L58))</f>
        <v/>
      </c>
      <c r="T65" t="str">
        <f>IF(资金日记账!$G65="","",资金日记账!$G65)</f>
        <v/>
      </c>
      <c r="U65">
        <f t="shared" si="8"/>
        <v>0</v>
      </c>
      <c r="V65">
        <f t="shared" si="9"/>
        <v>0</v>
      </c>
      <c r="Z65" t="str">
        <f>IF(成本费用登记表!$C65="","",成本费用登记表!$C65)</f>
        <v/>
      </c>
      <c r="AA65">
        <f t="shared" si="10"/>
        <v>0</v>
      </c>
      <c r="AB65">
        <f t="shared" si="11"/>
        <v>0</v>
      </c>
      <c r="AD65" t="str">
        <f>IFERROR(INDEX($Z$4:$Z$303,MATCH(62,$AB$4:$AB$303,0)),"")</f>
        <v/>
      </c>
      <c r="AF65" t="str">
        <f>IF(OR(资金日记账!$E65="",N(资金日记账!$H65)=0),"",资金日记账!$E65)</f>
        <v/>
      </c>
      <c r="AG65">
        <f t="shared" si="12"/>
        <v>0</v>
      </c>
      <c r="AH65">
        <f t="shared" si="13"/>
        <v>0</v>
      </c>
    </row>
    <row r="66" spans="1:34">
      <c r="A66" t="str">
        <f>IF(进销存对接!$D66="客户应收",进销存对接!$C66,"")</f>
        <v/>
      </c>
      <c r="B66">
        <f t="shared" si="0"/>
        <v>0</v>
      </c>
      <c r="C66">
        <f t="shared" si="1"/>
        <v>0</v>
      </c>
      <c r="E66" t="str">
        <f t="shared" si="2"/>
        <v/>
      </c>
      <c r="G66">
        <f>IF(OR($G$1="",资金日记账!$E59="",资金日记账!$E59&lt;&gt;$G$1),0,IF(NOT(OR(N(资金日记账!$H59)&lt;&gt;0,N(资金日记账!$I59)&lt;&gt;0)),0,IF(资金日记账!$B59="",1,IF(OR(N(资金日记账!$B59)&lt;$H$1,N(资金日记账!$B59)&gt;$I$1),0,1))))</f>
        <v>0</v>
      </c>
      <c r="H66">
        <f t="shared" si="3"/>
        <v>0</v>
      </c>
      <c r="I66" t="str">
        <f>IF($G66=0,"",IF(资金日记账!$B59=0,"",资金日记账!$B59))</f>
        <v/>
      </c>
      <c r="J66" t="str">
        <f>IF($G66=0,"",IF(资金日记账!$D59=0,"",资金日记账!$D59))</f>
        <v/>
      </c>
      <c r="K66" t="str">
        <f t="shared" si="14"/>
        <v/>
      </c>
      <c r="L66" t="str">
        <f t="shared" si="15"/>
        <v/>
      </c>
      <c r="M66" t="str">
        <f t="shared" si="5"/>
        <v/>
      </c>
      <c r="N66" t="str">
        <f>IF($G66=0,"",IF(IF(N(资金日记账!$I59)=0,"",-ROUND(N(资金日记账!$I59),2))=0,"",IF(N(资金日记账!$I59)=0,"",-ROUND(N(资金日记账!$I59),2))))</f>
        <v/>
      </c>
      <c r="O66" t="str">
        <f>IF($G66=0,"",IF(IF(N(资金日记账!$H59)=0,"",ROUND(N(资金日记账!$H59),2))=0,"",IF(N(资金日记账!$H59)=0,"",ROUND(N(资金日记账!$H59),2))))</f>
        <v/>
      </c>
      <c r="P66" t="str">
        <f>IF($G66=0,"",IF(资金日记账!$L59=0,"",资金日记账!$L59))</f>
        <v/>
      </c>
      <c r="T66" t="str">
        <f>IF(资金日记账!$G66="","",资金日记账!$G66)</f>
        <v/>
      </c>
      <c r="U66">
        <f t="shared" si="8"/>
        <v>0</v>
      </c>
      <c r="V66">
        <f t="shared" si="9"/>
        <v>0</v>
      </c>
      <c r="Z66" t="str">
        <f>IF(成本费用登记表!$C66="","",成本费用登记表!$C66)</f>
        <v/>
      </c>
      <c r="AA66">
        <f t="shared" si="10"/>
        <v>0</v>
      </c>
      <c r="AB66">
        <f t="shared" si="11"/>
        <v>0</v>
      </c>
      <c r="AD66" t="str">
        <f>IFERROR(INDEX($Z$4:$Z$303,MATCH(63,$AB$4:$AB$303,0)),"")</f>
        <v/>
      </c>
      <c r="AF66" t="str">
        <f>IF(OR(资金日记账!$E66="",N(资金日记账!$H66)=0),"",资金日记账!$E66)</f>
        <v/>
      </c>
      <c r="AG66">
        <f t="shared" si="12"/>
        <v>0</v>
      </c>
      <c r="AH66">
        <f t="shared" si="13"/>
        <v>0</v>
      </c>
    </row>
    <row r="67" spans="1:34">
      <c r="A67" t="str">
        <f>IF(进销存对接!$D67="客户应收",进销存对接!$C67,"")</f>
        <v/>
      </c>
      <c r="B67">
        <f t="shared" si="0"/>
        <v>0</v>
      </c>
      <c r="C67">
        <f t="shared" si="1"/>
        <v>0</v>
      </c>
      <c r="E67" t="str">
        <f t="shared" si="2"/>
        <v/>
      </c>
      <c r="G67">
        <f>IF(OR($G$1="",资金日记账!$E60="",资金日记账!$E60&lt;&gt;$G$1),0,IF(NOT(OR(N(资金日记账!$H60)&lt;&gt;0,N(资金日记账!$I60)&lt;&gt;0)),0,IF(资金日记账!$B60="",1,IF(OR(N(资金日记账!$B60)&lt;$H$1,N(资金日记账!$B60)&gt;$I$1),0,1))))</f>
        <v>0</v>
      </c>
      <c r="H67">
        <f t="shared" si="3"/>
        <v>0</v>
      </c>
      <c r="I67" t="str">
        <f>IF($G67=0,"",IF(资金日记账!$B60=0,"",资金日记账!$B60))</f>
        <v/>
      </c>
      <c r="J67" t="str">
        <f>IF($G67=0,"",IF(资金日记账!$D60=0,"",资金日记账!$D60))</f>
        <v/>
      </c>
      <c r="K67" t="str">
        <f t="shared" si="14"/>
        <v/>
      </c>
      <c r="L67" t="str">
        <f t="shared" si="15"/>
        <v/>
      </c>
      <c r="M67" t="str">
        <f t="shared" si="5"/>
        <v/>
      </c>
      <c r="N67" t="str">
        <f>IF($G67=0,"",IF(IF(N(资金日记账!$I60)=0,"",-ROUND(N(资金日记账!$I60),2))=0,"",IF(N(资金日记账!$I60)=0,"",-ROUND(N(资金日记账!$I60),2))))</f>
        <v/>
      </c>
      <c r="O67" t="str">
        <f>IF($G67=0,"",IF(IF(N(资金日记账!$H60)=0,"",ROUND(N(资金日记账!$H60),2))=0,"",IF(N(资金日记账!$H60)=0,"",ROUND(N(资金日记账!$H60),2))))</f>
        <v/>
      </c>
      <c r="P67" t="str">
        <f>IF($G67=0,"",IF(资金日记账!$L60=0,"",资金日记账!$L60))</f>
        <v/>
      </c>
      <c r="T67" t="str">
        <f>IF(资金日记账!$G67="","",资金日记账!$G67)</f>
        <v/>
      </c>
      <c r="U67">
        <f t="shared" si="8"/>
        <v>0</v>
      </c>
      <c r="V67">
        <f t="shared" si="9"/>
        <v>0</v>
      </c>
      <c r="Z67" t="str">
        <f>IF(成本费用登记表!$C67="","",成本费用登记表!$C67)</f>
        <v/>
      </c>
      <c r="AA67">
        <f t="shared" si="10"/>
        <v>0</v>
      </c>
      <c r="AB67">
        <f t="shared" si="11"/>
        <v>0</v>
      </c>
      <c r="AD67" t="str">
        <f>IFERROR(INDEX($Z$4:$Z$303,MATCH(64,$AB$4:$AB$303,0)),"")</f>
        <v/>
      </c>
      <c r="AF67" t="str">
        <f>IF(OR(资金日记账!$E67="",N(资金日记账!$H67)=0),"",资金日记账!$E67)</f>
        <v/>
      </c>
      <c r="AG67">
        <f t="shared" si="12"/>
        <v>0</v>
      </c>
      <c r="AH67">
        <f t="shared" si="13"/>
        <v>0</v>
      </c>
    </row>
    <row r="68" spans="1:34">
      <c r="A68" t="str">
        <f>IF(进销存对接!$D68="客户应收",进销存对接!$C68,"")</f>
        <v/>
      </c>
      <c r="B68">
        <f t="shared" ref="B68:B131" si="16">IF(A68="",0,IF(MATCH(A68,$A$4:$A$1805,0)=ROW()-3,1,0))</f>
        <v>0</v>
      </c>
      <c r="C68">
        <f t="shared" ref="C68:C131" si="17">N(C67)+B68</f>
        <v>0</v>
      </c>
      <c r="E68" t="str">
        <f t="shared" ref="E68:E131" si="18">IFERROR(INDEX($A$4:$A$1805,MATCH(ROW()-3,$C$4:$C$1805,0)),"")</f>
        <v/>
      </c>
      <c r="G68">
        <f>IF(OR($G$1="",资金日记账!$E61="",资金日记账!$E61&lt;&gt;$G$1),0,IF(NOT(OR(N(资金日记账!$H61)&lt;&gt;0,N(资金日记账!$I61)&lt;&gt;0)),0,IF(资金日记账!$B61="",1,IF(OR(N(资金日记账!$B61)&lt;$H$1,N(资金日记账!$B61)&gt;$I$1),0,1))))</f>
        <v>0</v>
      </c>
      <c r="H68">
        <f t="shared" ref="H68:H131" si="19">N(H67)+$G68</f>
        <v>0</v>
      </c>
      <c r="I68" t="str">
        <f>IF($G68=0,"",IF(资金日记账!$B61=0,"",资金日记账!$B61))</f>
        <v/>
      </c>
      <c r="J68" t="str">
        <f>IF($G68=0,"",IF(资金日记账!$D61=0,"",资金日记账!$D61))</f>
        <v/>
      </c>
      <c r="K68" t="str">
        <f t="shared" si="14"/>
        <v/>
      </c>
      <c r="L68" t="str">
        <f t="shared" si="15"/>
        <v/>
      </c>
      <c r="M68" t="str">
        <f t="shared" ref="M68:M131" si="20">IF($G68=0,"",IF(""=0,"",""))</f>
        <v/>
      </c>
      <c r="N68" t="str">
        <f>IF($G68=0,"",IF(IF(N(资金日记账!$I61)=0,"",-ROUND(N(资金日记账!$I61),2))=0,"",IF(N(资金日记账!$I61)=0,"",-ROUND(N(资金日记账!$I61),2))))</f>
        <v/>
      </c>
      <c r="O68" t="str">
        <f>IF($G68=0,"",IF(IF(N(资金日记账!$H61)=0,"",ROUND(N(资金日记账!$H61),2))=0,"",IF(N(资金日记账!$H61)=0,"",ROUND(N(资金日记账!$H61),2))))</f>
        <v/>
      </c>
      <c r="P68" t="str">
        <f>IF($G68=0,"",IF(资金日记账!$L61=0,"",资金日记账!$L61))</f>
        <v/>
      </c>
      <c r="T68" t="str">
        <f>IF(资金日记账!$G68="","",资金日记账!$G68)</f>
        <v/>
      </c>
      <c r="U68">
        <f t="shared" ref="U68:U131" si="21">IF(T68="",0,IF(MATCH(T68,$T$4:$T$903,0)=ROW()-3,1,0))</f>
        <v>0</v>
      </c>
      <c r="V68">
        <f t="shared" ref="V68:V131" si="22">N(V67)+U68</f>
        <v>0</v>
      </c>
      <c r="Z68" t="str">
        <f>IF(成本费用登记表!$C68="","",成本费用登记表!$C68)</f>
        <v/>
      </c>
      <c r="AA68">
        <f t="shared" ref="AA68:AA131" si="23">IF(Z68="",0,IF(MATCH(Z68,$Z$4:$Z$303,0)=ROW()-3,1,0))</f>
        <v>0</v>
      </c>
      <c r="AB68">
        <f t="shared" ref="AB68:AB131" si="24">N(AB67)+AA68</f>
        <v>0</v>
      </c>
      <c r="AD68" t="str">
        <f>IFERROR(INDEX($Z$4:$Z$303,MATCH(65,$AB$4:$AB$303,0)),"")</f>
        <v/>
      </c>
      <c r="AF68" t="str">
        <f>IF(OR(资金日记账!$E68="",N(资金日记账!$H68)=0),"",资金日记账!$E68)</f>
        <v/>
      </c>
      <c r="AG68">
        <f t="shared" ref="AG68:AG131" si="25">IF(AF68="",0,IF(MATCH(AF68,$AF$4:$AF$603,0)=ROW()-3,1,0))</f>
        <v>0</v>
      </c>
      <c r="AH68">
        <f t="shared" ref="AH68:AH131" si="26">N(AH67)+AG68</f>
        <v>0</v>
      </c>
    </row>
    <row r="69" spans="1:34">
      <c r="A69" t="str">
        <f>IF(进销存对接!$D69="客户应收",进销存对接!$C69,"")</f>
        <v/>
      </c>
      <c r="B69">
        <f t="shared" si="16"/>
        <v>0</v>
      </c>
      <c r="C69">
        <f t="shared" si="17"/>
        <v>0</v>
      </c>
      <c r="E69" t="str">
        <f t="shared" si="18"/>
        <v/>
      </c>
      <c r="G69">
        <f>IF(OR($G$1="",资金日记账!$E62="",资金日记账!$E62&lt;&gt;$G$1),0,IF(NOT(OR(N(资金日记账!$H62)&lt;&gt;0,N(资金日记账!$I62)&lt;&gt;0)),0,IF(资金日记账!$B62="",1,IF(OR(N(资金日记账!$B62)&lt;$H$1,N(资金日记账!$B62)&gt;$I$1),0,1))))</f>
        <v>0</v>
      </c>
      <c r="H69">
        <f t="shared" si="19"/>
        <v>0</v>
      </c>
      <c r="I69" t="str">
        <f>IF($G69=0,"",IF(资金日记账!$B62=0,"",资金日记账!$B62))</f>
        <v/>
      </c>
      <c r="J69" t="str">
        <f>IF($G69=0,"",IF(资金日记账!$D62=0,"",资金日记账!$D62))</f>
        <v/>
      </c>
      <c r="K69" t="str">
        <f t="shared" si="14"/>
        <v/>
      </c>
      <c r="L69" t="str">
        <f t="shared" si="15"/>
        <v/>
      </c>
      <c r="M69" t="str">
        <f t="shared" si="20"/>
        <v/>
      </c>
      <c r="N69" t="str">
        <f>IF($G69=0,"",IF(IF(N(资金日记账!$I62)=0,"",-ROUND(N(资金日记账!$I62),2))=0,"",IF(N(资金日记账!$I62)=0,"",-ROUND(N(资金日记账!$I62),2))))</f>
        <v/>
      </c>
      <c r="O69" t="str">
        <f>IF($G69=0,"",IF(IF(N(资金日记账!$H62)=0,"",ROUND(N(资金日记账!$H62),2))=0,"",IF(N(资金日记账!$H62)=0,"",ROUND(N(资金日记账!$H62),2))))</f>
        <v/>
      </c>
      <c r="P69" t="str">
        <f>IF($G69=0,"",IF(资金日记账!$L62=0,"",资金日记账!$L62))</f>
        <v/>
      </c>
      <c r="T69" t="str">
        <f>IF(资金日记账!$G69="","",资金日记账!$G69)</f>
        <v/>
      </c>
      <c r="U69">
        <f t="shared" si="21"/>
        <v>0</v>
      </c>
      <c r="V69">
        <f t="shared" si="22"/>
        <v>0</v>
      </c>
      <c r="Z69" t="str">
        <f>IF(成本费用登记表!$C69="","",成本费用登记表!$C69)</f>
        <v/>
      </c>
      <c r="AA69">
        <f t="shared" si="23"/>
        <v>0</v>
      </c>
      <c r="AB69">
        <f t="shared" si="24"/>
        <v>0</v>
      </c>
      <c r="AD69" t="str">
        <f>IFERROR(INDEX($Z$4:$Z$303,MATCH(66,$AB$4:$AB$303,0)),"")</f>
        <v/>
      </c>
      <c r="AF69" t="str">
        <f>IF(OR(资金日记账!$E69="",N(资金日记账!$H69)=0),"",资金日记账!$E69)</f>
        <v/>
      </c>
      <c r="AG69">
        <f t="shared" si="25"/>
        <v>0</v>
      </c>
      <c r="AH69">
        <f t="shared" si="26"/>
        <v>0</v>
      </c>
    </row>
    <row r="70" spans="1:34">
      <c r="A70" t="str">
        <f>IF(进销存对接!$D70="客户应收",进销存对接!$C70,"")</f>
        <v/>
      </c>
      <c r="B70">
        <f t="shared" si="16"/>
        <v>0</v>
      </c>
      <c r="C70">
        <f t="shared" si="17"/>
        <v>0</v>
      </c>
      <c r="E70" t="str">
        <f t="shared" si="18"/>
        <v/>
      </c>
      <c r="G70">
        <f>IF(OR($G$1="",资金日记账!$E63="",资金日记账!$E63&lt;&gt;$G$1),0,IF(NOT(OR(N(资金日记账!$H63)&lt;&gt;0,N(资金日记账!$I63)&lt;&gt;0)),0,IF(资金日记账!$B63="",1,IF(OR(N(资金日记账!$B63)&lt;$H$1,N(资金日记账!$B63)&gt;$I$1),0,1))))</f>
        <v>0</v>
      </c>
      <c r="H70">
        <f t="shared" si="19"/>
        <v>0</v>
      </c>
      <c r="I70" t="str">
        <f>IF($G70=0,"",IF(资金日记账!$B63=0,"",资金日记账!$B63))</f>
        <v/>
      </c>
      <c r="J70" t="str">
        <f>IF($G70=0,"",IF(资金日记账!$D63=0,"",资金日记账!$D63))</f>
        <v/>
      </c>
      <c r="K70" t="str">
        <f t="shared" si="14"/>
        <v/>
      </c>
      <c r="L70" t="str">
        <f t="shared" si="15"/>
        <v/>
      </c>
      <c r="M70" t="str">
        <f t="shared" si="20"/>
        <v/>
      </c>
      <c r="N70" t="str">
        <f>IF($G70=0,"",IF(IF(N(资金日记账!$I63)=0,"",-ROUND(N(资金日记账!$I63),2))=0,"",IF(N(资金日记账!$I63)=0,"",-ROUND(N(资金日记账!$I63),2))))</f>
        <v/>
      </c>
      <c r="O70" t="str">
        <f>IF($G70=0,"",IF(IF(N(资金日记账!$H63)=0,"",ROUND(N(资金日记账!$H63),2))=0,"",IF(N(资金日记账!$H63)=0,"",ROUND(N(资金日记账!$H63),2))))</f>
        <v/>
      </c>
      <c r="P70" t="str">
        <f>IF($G70=0,"",IF(资金日记账!$L63=0,"",资金日记账!$L63))</f>
        <v/>
      </c>
      <c r="T70" t="str">
        <f>IF(资金日记账!$G70="","",资金日记账!$G70)</f>
        <v/>
      </c>
      <c r="U70">
        <f t="shared" si="21"/>
        <v>0</v>
      </c>
      <c r="V70">
        <f t="shared" si="22"/>
        <v>0</v>
      </c>
      <c r="Z70" t="str">
        <f>IF(成本费用登记表!$C70="","",成本费用登记表!$C70)</f>
        <v/>
      </c>
      <c r="AA70">
        <f t="shared" si="23"/>
        <v>0</v>
      </c>
      <c r="AB70">
        <f t="shared" si="24"/>
        <v>0</v>
      </c>
      <c r="AD70" t="str">
        <f>IFERROR(INDEX($Z$4:$Z$303,MATCH(67,$AB$4:$AB$303,0)),"")</f>
        <v/>
      </c>
      <c r="AF70" t="str">
        <f>IF(OR(资金日记账!$E70="",N(资金日记账!$H70)=0),"",资金日记账!$E70)</f>
        <v/>
      </c>
      <c r="AG70">
        <f t="shared" si="25"/>
        <v>0</v>
      </c>
      <c r="AH70">
        <f t="shared" si="26"/>
        <v>0</v>
      </c>
    </row>
    <row r="71" spans="1:34">
      <c r="A71" t="str">
        <f>IF(进销存对接!$D71="客户应收",进销存对接!$C71,"")</f>
        <v/>
      </c>
      <c r="B71">
        <f t="shared" si="16"/>
        <v>0</v>
      </c>
      <c r="C71">
        <f t="shared" si="17"/>
        <v>0</v>
      </c>
      <c r="E71" t="str">
        <f t="shared" si="18"/>
        <v/>
      </c>
      <c r="G71">
        <f>IF(OR($G$1="",资金日记账!$E64="",资金日记账!$E64&lt;&gt;$G$1),0,IF(NOT(OR(N(资金日记账!$H64)&lt;&gt;0,N(资金日记账!$I64)&lt;&gt;0)),0,IF(资金日记账!$B64="",1,IF(OR(N(资金日记账!$B64)&lt;$H$1,N(资金日记账!$B64)&gt;$I$1),0,1))))</f>
        <v>0</v>
      </c>
      <c r="H71">
        <f t="shared" si="19"/>
        <v>0</v>
      </c>
      <c r="I71" t="str">
        <f>IF($G71=0,"",IF(资金日记账!$B64=0,"",资金日记账!$B64))</f>
        <v/>
      </c>
      <c r="J71" t="str">
        <f>IF($G71=0,"",IF(资金日记账!$D64=0,"",资金日记账!$D64))</f>
        <v/>
      </c>
      <c r="K71" t="str">
        <f t="shared" ref="K71:K134" si="27">IF($G71=0,"",IF(""=0,"",""))</f>
        <v/>
      </c>
      <c r="L71" t="str">
        <f t="shared" ref="L71:L134" si="28">IF($G71=0,"",IF(""=0,"",""))</f>
        <v/>
      </c>
      <c r="M71" t="str">
        <f t="shared" si="20"/>
        <v/>
      </c>
      <c r="N71" t="str">
        <f>IF($G71=0,"",IF(IF(N(资金日记账!$I64)=0,"",-ROUND(N(资金日记账!$I64),2))=0,"",IF(N(资金日记账!$I64)=0,"",-ROUND(N(资金日记账!$I64),2))))</f>
        <v/>
      </c>
      <c r="O71" t="str">
        <f>IF($G71=0,"",IF(IF(N(资金日记账!$H64)=0,"",ROUND(N(资金日记账!$H64),2))=0,"",IF(N(资金日记账!$H64)=0,"",ROUND(N(资金日记账!$H64),2))))</f>
        <v/>
      </c>
      <c r="P71" t="str">
        <f>IF($G71=0,"",IF(资金日记账!$L64=0,"",资金日记账!$L64))</f>
        <v/>
      </c>
      <c r="T71" t="str">
        <f>IF(资金日记账!$G71="","",资金日记账!$G71)</f>
        <v/>
      </c>
      <c r="U71">
        <f t="shared" si="21"/>
        <v>0</v>
      </c>
      <c r="V71">
        <f t="shared" si="22"/>
        <v>0</v>
      </c>
      <c r="Z71" t="str">
        <f>IF(成本费用登记表!$C71="","",成本费用登记表!$C71)</f>
        <v/>
      </c>
      <c r="AA71">
        <f t="shared" si="23"/>
        <v>0</v>
      </c>
      <c r="AB71">
        <f t="shared" si="24"/>
        <v>0</v>
      </c>
      <c r="AD71" t="str">
        <f>IFERROR(INDEX($Z$4:$Z$303,MATCH(68,$AB$4:$AB$303,0)),"")</f>
        <v/>
      </c>
      <c r="AF71" t="str">
        <f>IF(OR(资金日记账!$E71="",N(资金日记账!$H71)=0),"",资金日记账!$E71)</f>
        <v/>
      </c>
      <c r="AG71">
        <f t="shared" si="25"/>
        <v>0</v>
      </c>
      <c r="AH71">
        <f t="shared" si="26"/>
        <v>0</v>
      </c>
    </row>
    <row r="72" spans="1:34">
      <c r="A72" t="str">
        <f>IF(进销存对接!$D72="客户应收",进销存对接!$C72,"")</f>
        <v/>
      </c>
      <c r="B72">
        <f t="shared" si="16"/>
        <v>0</v>
      </c>
      <c r="C72">
        <f t="shared" si="17"/>
        <v>0</v>
      </c>
      <c r="E72" t="str">
        <f t="shared" si="18"/>
        <v/>
      </c>
      <c r="G72">
        <f>IF(OR($G$1="",资金日记账!$E65="",资金日记账!$E65&lt;&gt;$G$1),0,IF(NOT(OR(N(资金日记账!$H65)&lt;&gt;0,N(资金日记账!$I65)&lt;&gt;0)),0,IF(资金日记账!$B65="",1,IF(OR(N(资金日记账!$B65)&lt;$H$1,N(资金日记账!$B65)&gt;$I$1),0,1))))</f>
        <v>0</v>
      </c>
      <c r="H72">
        <f t="shared" si="19"/>
        <v>0</v>
      </c>
      <c r="I72" t="str">
        <f>IF($G72=0,"",IF(资金日记账!$B65=0,"",资金日记账!$B65))</f>
        <v/>
      </c>
      <c r="J72" t="str">
        <f>IF($G72=0,"",IF(资金日记账!$D65=0,"",资金日记账!$D65))</f>
        <v/>
      </c>
      <c r="K72" t="str">
        <f t="shared" si="27"/>
        <v/>
      </c>
      <c r="L72" t="str">
        <f t="shared" si="28"/>
        <v/>
      </c>
      <c r="M72" t="str">
        <f t="shared" si="20"/>
        <v/>
      </c>
      <c r="N72" t="str">
        <f>IF($G72=0,"",IF(IF(N(资金日记账!$I65)=0,"",-ROUND(N(资金日记账!$I65),2))=0,"",IF(N(资金日记账!$I65)=0,"",-ROUND(N(资金日记账!$I65),2))))</f>
        <v/>
      </c>
      <c r="O72" t="str">
        <f>IF($G72=0,"",IF(IF(N(资金日记账!$H65)=0,"",ROUND(N(资金日记账!$H65),2))=0,"",IF(N(资金日记账!$H65)=0,"",ROUND(N(资金日记账!$H65),2))))</f>
        <v/>
      </c>
      <c r="P72" t="str">
        <f>IF($G72=0,"",IF(资金日记账!$L65=0,"",资金日记账!$L65))</f>
        <v/>
      </c>
      <c r="T72" t="str">
        <f>IF(资金日记账!$G72="","",资金日记账!$G72)</f>
        <v/>
      </c>
      <c r="U72">
        <f t="shared" si="21"/>
        <v>0</v>
      </c>
      <c r="V72">
        <f t="shared" si="22"/>
        <v>0</v>
      </c>
      <c r="Z72" t="str">
        <f>IF(成本费用登记表!$C72="","",成本费用登记表!$C72)</f>
        <v/>
      </c>
      <c r="AA72">
        <f t="shared" si="23"/>
        <v>0</v>
      </c>
      <c r="AB72">
        <f t="shared" si="24"/>
        <v>0</v>
      </c>
      <c r="AD72" t="str">
        <f>IFERROR(INDEX($Z$4:$Z$303,MATCH(69,$AB$4:$AB$303,0)),"")</f>
        <v/>
      </c>
      <c r="AF72" t="str">
        <f>IF(OR(资金日记账!$E72="",N(资金日记账!$H72)=0),"",资金日记账!$E72)</f>
        <v/>
      </c>
      <c r="AG72">
        <f t="shared" si="25"/>
        <v>0</v>
      </c>
      <c r="AH72">
        <f t="shared" si="26"/>
        <v>0</v>
      </c>
    </row>
    <row r="73" spans="1:34">
      <c r="A73" t="str">
        <f>IF(进销存对接!$D73="客户应收",进销存对接!$C73,"")</f>
        <v/>
      </c>
      <c r="B73">
        <f t="shared" si="16"/>
        <v>0</v>
      </c>
      <c r="C73">
        <f t="shared" si="17"/>
        <v>0</v>
      </c>
      <c r="E73" t="str">
        <f t="shared" si="18"/>
        <v/>
      </c>
      <c r="G73">
        <f>IF(OR($G$1="",资金日记账!$E66="",资金日记账!$E66&lt;&gt;$G$1),0,IF(NOT(OR(N(资金日记账!$H66)&lt;&gt;0,N(资金日记账!$I66)&lt;&gt;0)),0,IF(资金日记账!$B66="",1,IF(OR(N(资金日记账!$B66)&lt;$H$1,N(资金日记账!$B66)&gt;$I$1),0,1))))</f>
        <v>0</v>
      </c>
      <c r="H73">
        <f t="shared" si="19"/>
        <v>0</v>
      </c>
      <c r="I73" t="str">
        <f>IF($G73=0,"",IF(资金日记账!$B66=0,"",资金日记账!$B66))</f>
        <v/>
      </c>
      <c r="J73" t="str">
        <f>IF($G73=0,"",IF(资金日记账!$D66=0,"",资金日记账!$D66))</f>
        <v/>
      </c>
      <c r="K73" t="str">
        <f t="shared" si="27"/>
        <v/>
      </c>
      <c r="L73" t="str">
        <f t="shared" si="28"/>
        <v/>
      </c>
      <c r="M73" t="str">
        <f t="shared" si="20"/>
        <v/>
      </c>
      <c r="N73" t="str">
        <f>IF($G73=0,"",IF(IF(N(资金日记账!$I66)=0,"",-ROUND(N(资金日记账!$I66),2))=0,"",IF(N(资金日记账!$I66)=0,"",-ROUND(N(资金日记账!$I66),2))))</f>
        <v/>
      </c>
      <c r="O73" t="str">
        <f>IF($G73=0,"",IF(IF(N(资金日记账!$H66)=0,"",ROUND(N(资金日记账!$H66),2))=0,"",IF(N(资金日记账!$H66)=0,"",ROUND(N(资金日记账!$H66),2))))</f>
        <v/>
      </c>
      <c r="P73" t="str">
        <f>IF($G73=0,"",IF(资金日记账!$L66=0,"",资金日记账!$L66))</f>
        <v/>
      </c>
      <c r="T73" t="str">
        <f>IF(资金日记账!$G73="","",资金日记账!$G73)</f>
        <v/>
      </c>
      <c r="U73">
        <f t="shared" si="21"/>
        <v>0</v>
      </c>
      <c r="V73">
        <f t="shared" si="22"/>
        <v>0</v>
      </c>
      <c r="Z73" t="str">
        <f>IF(成本费用登记表!$C73="","",成本费用登记表!$C73)</f>
        <v/>
      </c>
      <c r="AA73">
        <f t="shared" si="23"/>
        <v>0</v>
      </c>
      <c r="AB73">
        <f t="shared" si="24"/>
        <v>0</v>
      </c>
      <c r="AD73" t="str">
        <f>IFERROR(INDEX($Z$4:$Z$303,MATCH(70,$AB$4:$AB$303,0)),"")</f>
        <v/>
      </c>
      <c r="AF73" t="str">
        <f>IF(OR(资金日记账!$E73="",N(资金日记账!$H73)=0),"",资金日记账!$E73)</f>
        <v/>
      </c>
      <c r="AG73">
        <f t="shared" si="25"/>
        <v>0</v>
      </c>
      <c r="AH73">
        <f t="shared" si="26"/>
        <v>0</v>
      </c>
    </row>
    <row r="74" spans="1:34">
      <c r="A74" t="str">
        <f>IF(进销存对接!$D74="客户应收",进销存对接!$C74,"")</f>
        <v/>
      </c>
      <c r="B74">
        <f t="shared" si="16"/>
        <v>0</v>
      </c>
      <c r="C74">
        <f t="shared" si="17"/>
        <v>0</v>
      </c>
      <c r="E74" t="str">
        <f t="shared" si="18"/>
        <v/>
      </c>
      <c r="G74">
        <f>IF(OR($G$1="",资金日记账!$E67="",资金日记账!$E67&lt;&gt;$G$1),0,IF(NOT(OR(N(资金日记账!$H67)&lt;&gt;0,N(资金日记账!$I67)&lt;&gt;0)),0,IF(资金日记账!$B67="",1,IF(OR(N(资金日记账!$B67)&lt;$H$1,N(资金日记账!$B67)&gt;$I$1),0,1))))</f>
        <v>0</v>
      </c>
      <c r="H74">
        <f t="shared" si="19"/>
        <v>0</v>
      </c>
      <c r="I74" t="str">
        <f>IF($G74=0,"",IF(资金日记账!$B67=0,"",资金日记账!$B67))</f>
        <v/>
      </c>
      <c r="J74" t="str">
        <f>IF($G74=0,"",IF(资金日记账!$D67=0,"",资金日记账!$D67))</f>
        <v/>
      </c>
      <c r="K74" t="str">
        <f t="shared" si="27"/>
        <v/>
      </c>
      <c r="L74" t="str">
        <f t="shared" si="28"/>
        <v/>
      </c>
      <c r="M74" t="str">
        <f t="shared" si="20"/>
        <v/>
      </c>
      <c r="N74" t="str">
        <f>IF($G74=0,"",IF(IF(N(资金日记账!$I67)=0,"",-ROUND(N(资金日记账!$I67),2))=0,"",IF(N(资金日记账!$I67)=0,"",-ROUND(N(资金日记账!$I67),2))))</f>
        <v/>
      </c>
      <c r="O74" t="str">
        <f>IF($G74=0,"",IF(IF(N(资金日记账!$H67)=0,"",ROUND(N(资金日记账!$H67),2))=0,"",IF(N(资金日记账!$H67)=0,"",ROUND(N(资金日记账!$H67),2))))</f>
        <v/>
      </c>
      <c r="P74" t="str">
        <f>IF($G74=0,"",IF(资金日记账!$L67=0,"",资金日记账!$L67))</f>
        <v/>
      </c>
      <c r="T74" t="str">
        <f>IF(资金日记账!$G74="","",资金日记账!$G74)</f>
        <v/>
      </c>
      <c r="U74">
        <f t="shared" si="21"/>
        <v>0</v>
      </c>
      <c r="V74">
        <f t="shared" si="22"/>
        <v>0</v>
      </c>
      <c r="Z74" t="str">
        <f>IF(成本费用登记表!$C74="","",成本费用登记表!$C74)</f>
        <v/>
      </c>
      <c r="AA74">
        <f t="shared" si="23"/>
        <v>0</v>
      </c>
      <c r="AB74">
        <f t="shared" si="24"/>
        <v>0</v>
      </c>
      <c r="AD74" t="str">
        <f>IFERROR(INDEX($Z$4:$Z$303,MATCH(71,$AB$4:$AB$303,0)),"")</f>
        <v/>
      </c>
      <c r="AF74" t="str">
        <f>IF(OR(资金日记账!$E74="",N(资金日记账!$H74)=0),"",资金日记账!$E74)</f>
        <v/>
      </c>
      <c r="AG74">
        <f t="shared" si="25"/>
        <v>0</v>
      </c>
      <c r="AH74">
        <f t="shared" si="26"/>
        <v>0</v>
      </c>
    </row>
    <row r="75" spans="1:34">
      <c r="A75" t="str">
        <f>IF(进销存对接!$D75="客户应收",进销存对接!$C75,"")</f>
        <v/>
      </c>
      <c r="B75">
        <f t="shared" si="16"/>
        <v>0</v>
      </c>
      <c r="C75">
        <f t="shared" si="17"/>
        <v>0</v>
      </c>
      <c r="E75" t="str">
        <f t="shared" si="18"/>
        <v/>
      </c>
      <c r="G75">
        <f>IF(OR($G$1="",资金日记账!$E68="",资金日记账!$E68&lt;&gt;$G$1),0,IF(NOT(OR(N(资金日记账!$H68)&lt;&gt;0,N(资金日记账!$I68)&lt;&gt;0)),0,IF(资金日记账!$B68="",1,IF(OR(N(资金日记账!$B68)&lt;$H$1,N(资金日记账!$B68)&gt;$I$1),0,1))))</f>
        <v>0</v>
      </c>
      <c r="H75">
        <f t="shared" si="19"/>
        <v>0</v>
      </c>
      <c r="I75" t="str">
        <f>IF($G75=0,"",IF(资金日记账!$B68=0,"",资金日记账!$B68))</f>
        <v/>
      </c>
      <c r="J75" t="str">
        <f>IF($G75=0,"",IF(资金日记账!$D68=0,"",资金日记账!$D68))</f>
        <v/>
      </c>
      <c r="K75" t="str">
        <f t="shared" si="27"/>
        <v/>
      </c>
      <c r="L75" t="str">
        <f t="shared" si="28"/>
        <v/>
      </c>
      <c r="M75" t="str">
        <f t="shared" si="20"/>
        <v/>
      </c>
      <c r="N75" t="str">
        <f>IF($G75=0,"",IF(IF(N(资金日记账!$I68)=0,"",-ROUND(N(资金日记账!$I68),2))=0,"",IF(N(资金日记账!$I68)=0,"",-ROUND(N(资金日记账!$I68),2))))</f>
        <v/>
      </c>
      <c r="O75" t="str">
        <f>IF($G75=0,"",IF(IF(N(资金日记账!$H68)=0,"",ROUND(N(资金日记账!$H68),2))=0,"",IF(N(资金日记账!$H68)=0,"",ROUND(N(资金日记账!$H68),2))))</f>
        <v/>
      </c>
      <c r="P75" t="str">
        <f>IF($G75=0,"",IF(资金日记账!$L68=0,"",资金日记账!$L68))</f>
        <v/>
      </c>
      <c r="T75" t="str">
        <f>IF(资金日记账!$G75="","",资金日记账!$G75)</f>
        <v/>
      </c>
      <c r="U75">
        <f t="shared" si="21"/>
        <v>0</v>
      </c>
      <c r="V75">
        <f t="shared" si="22"/>
        <v>0</v>
      </c>
      <c r="Z75" t="str">
        <f>IF(成本费用登记表!$C75="","",成本费用登记表!$C75)</f>
        <v/>
      </c>
      <c r="AA75">
        <f t="shared" si="23"/>
        <v>0</v>
      </c>
      <c r="AB75">
        <f t="shared" si="24"/>
        <v>0</v>
      </c>
      <c r="AD75" t="str">
        <f>IFERROR(INDEX($Z$4:$Z$303,MATCH(72,$AB$4:$AB$303,0)),"")</f>
        <v/>
      </c>
      <c r="AF75" t="str">
        <f>IF(OR(资金日记账!$E75="",N(资金日记账!$H75)=0),"",资金日记账!$E75)</f>
        <v/>
      </c>
      <c r="AG75">
        <f t="shared" si="25"/>
        <v>0</v>
      </c>
      <c r="AH75">
        <f t="shared" si="26"/>
        <v>0</v>
      </c>
    </row>
    <row r="76" spans="1:34">
      <c r="A76" t="str">
        <f>IF(进销存对接!$D76="客户应收",进销存对接!$C76,"")</f>
        <v/>
      </c>
      <c r="B76">
        <f t="shared" si="16"/>
        <v>0</v>
      </c>
      <c r="C76">
        <f t="shared" si="17"/>
        <v>0</v>
      </c>
      <c r="E76" t="str">
        <f t="shared" si="18"/>
        <v/>
      </c>
      <c r="G76">
        <f>IF(OR($G$1="",资金日记账!$E69="",资金日记账!$E69&lt;&gt;$G$1),0,IF(NOT(OR(N(资金日记账!$H69)&lt;&gt;0,N(资金日记账!$I69)&lt;&gt;0)),0,IF(资金日记账!$B69="",1,IF(OR(N(资金日记账!$B69)&lt;$H$1,N(资金日记账!$B69)&gt;$I$1),0,1))))</f>
        <v>0</v>
      </c>
      <c r="H76">
        <f t="shared" si="19"/>
        <v>0</v>
      </c>
      <c r="I76" t="str">
        <f>IF($G76=0,"",IF(资金日记账!$B69=0,"",资金日记账!$B69))</f>
        <v/>
      </c>
      <c r="J76" t="str">
        <f>IF($G76=0,"",IF(资金日记账!$D69=0,"",资金日记账!$D69))</f>
        <v/>
      </c>
      <c r="K76" t="str">
        <f t="shared" si="27"/>
        <v/>
      </c>
      <c r="L76" t="str">
        <f t="shared" si="28"/>
        <v/>
      </c>
      <c r="M76" t="str">
        <f t="shared" si="20"/>
        <v/>
      </c>
      <c r="N76" t="str">
        <f>IF($G76=0,"",IF(IF(N(资金日记账!$I69)=0,"",-ROUND(N(资金日记账!$I69),2))=0,"",IF(N(资金日记账!$I69)=0,"",-ROUND(N(资金日记账!$I69),2))))</f>
        <v/>
      </c>
      <c r="O76" t="str">
        <f>IF($G76=0,"",IF(IF(N(资金日记账!$H69)=0,"",ROUND(N(资金日记账!$H69),2))=0,"",IF(N(资金日记账!$H69)=0,"",ROUND(N(资金日记账!$H69),2))))</f>
        <v/>
      </c>
      <c r="P76" t="str">
        <f>IF($G76=0,"",IF(资金日记账!$L69=0,"",资金日记账!$L69))</f>
        <v/>
      </c>
      <c r="T76" t="str">
        <f>IF(资金日记账!$G76="","",资金日记账!$G76)</f>
        <v/>
      </c>
      <c r="U76">
        <f t="shared" si="21"/>
        <v>0</v>
      </c>
      <c r="V76">
        <f t="shared" si="22"/>
        <v>0</v>
      </c>
      <c r="Z76" t="str">
        <f>IF(成本费用登记表!$C76="","",成本费用登记表!$C76)</f>
        <v/>
      </c>
      <c r="AA76">
        <f t="shared" si="23"/>
        <v>0</v>
      </c>
      <c r="AB76">
        <f t="shared" si="24"/>
        <v>0</v>
      </c>
      <c r="AD76" t="str">
        <f>IFERROR(INDEX($Z$4:$Z$303,MATCH(73,$AB$4:$AB$303,0)),"")</f>
        <v/>
      </c>
      <c r="AF76" t="str">
        <f>IF(OR(资金日记账!$E76="",N(资金日记账!$H76)=0),"",资金日记账!$E76)</f>
        <v/>
      </c>
      <c r="AG76">
        <f t="shared" si="25"/>
        <v>0</v>
      </c>
      <c r="AH76">
        <f t="shared" si="26"/>
        <v>0</v>
      </c>
    </row>
    <row r="77" spans="1:34">
      <c r="A77" t="str">
        <f>IF(进销存对接!$D77="客户应收",进销存对接!$C77,"")</f>
        <v/>
      </c>
      <c r="B77">
        <f t="shared" si="16"/>
        <v>0</v>
      </c>
      <c r="C77">
        <f t="shared" si="17"/>
        <v>0</v>
      </c>
      <c r="E77" t="str">
        <f t="shared" si="18"/>
        <v/>
      </c>
      <c r="G77">
        <f>IF(OR($G$1="",资金日记账!$E70="",资金日记账!$E70&lt;&gt;$G$1),0,IF(NOT(OR(N(资金日记账!$H70)&lt;&gt;0,N(资金日记账!$I70)&lt;&gt;0)),0,IF(资金日记账!$B70="",1,IF(OR(N(资金日记账!$B70)&lt;$H$1,N(资金日记账!$B70)&gt;$I$1),0,1))))</f>
        <v>0</v>
      </c>
      <c r="H77">
        <f t="shared" si="19"/>
        <v>0</v>
      </c>
      <c r="I77" t="str">
        <f>IF($G77=0,"",IF(资金日记账!$B70=0,"",资金日记账!$B70))</f>
        <v/>
      </c>
      <c r="J77" t="str">
        <f>IF($G77=0,"",IF(资金日记账!$D70=0,"",资金日记账!$D70))</f>
        <v/>
      </c>
      <c r="K77" t="str">
        <f t="shared" si="27"/>
        <v/>
      </c>
      <c r="L77" t="str">
        <f t="shared" si="28"/>
        <v/>
      </c>
      <c r="M77" t="str">
        <f t="shared" si="20"/>
        <v/>
      </c>
      <c r="N77" t="str">
        <f>IF($G77=0,"",IF(IF(N(资金日记账!$I70)=0,"",-ROUND(N(资金日记账!$I70),2))=0,"",IF(N(资金日记账!$I70)=0,"",-ROUND(N(资金日记账!$I70),2))))</f>
        <v/>
      </c>
      <c r="O77" t="str">
        <f>IF($G77=0,"",IF(IF(N(资金日记账!$H70)=0,"",ROUND(N(资金日记账!$H70),2))=0,"",IF(N(资金日记账!$H70)=0,"",ROUND(N(资金日记账!$H70),2))))</f>
        <v/>
      </c>
      <c r="P77" t="str">
        <f>IF($G77=0,"",IF(资金日记账!$L70=0,"",资金日记账!$L70))</f>
        <v/>
      </c>
      <c r="T77" t="str">
        <f>IF(资金日记账!$G77="","",资金日记账!$G77)</f>
        <v/>
      </c>
      <c r="U77">
        <f t="shared" si="21"/>
        <v>0</v>
      </c>
      <c r="V77">
        <f t="shared" si="22"/>
        <v>0</v>
      </c>
      <c r="Z77" t="str">
        <f>IF(成本费用登记表!$C77="","",成本费用登记表!$C77)</f>
        <v/>
      </c>
      <c r="AA77">
        <f t="shared" si="23"/>
        <v>0</v>
      </c>
      <c r="AB77">
        <f t="shared" si="24"/>
        <v>0</v>
      </c>
      <c r="AD77" t="str">
        <f>IFERROR(INDEX($Z$4:$Z$303,MATCH(74,$AB$4:$AB$303,0)),"")</f>
        <v/>
      </c>
      <c r="AF77" t="str">
        <f>IF(OR(资金日记账!$E77="",N(资金日记账!$H77)=0),"",资金日记账!$E77)</f>
        <v/>
      </c>
      <c r="AG77">
        <f t="shared" si="25"/>
        <v>0</v>
      </c>
      <c r="AH77">
        <f t="shared" si="26"/>
        <v>0</v>
      </c>
    </row>
    <row r="78" spans="1:34">
      <c r="A78" t="str">
        <f>IF(进销存对接!$D78="客户应收",进销存对接!$C78,"")</f>
        <v/>
      </c>
      <c r="B78">
        <f t="shared" si="16"/>
        <v>0</v>
      </c>
      <c r="C78">
        <f t="shared" si="17"/>
        <v>0</v>
      </c>
      <c r="E78" t="str">
        <f t="shared" si="18"/>
        <v/>
      </c>
      <c r="G78">
        <f>IF(OR($G$1="",资金日记账!$E71="",资金日记账!$E71&lt;&gt;$G$1),0,IF(NOT(OR(N(资金日记账!$H71)&lt;&gt;0,N(资金日记账!$I71)&lt;&gt;0)),0,IF(资金日记账!$B71="",1,IF(OR(N(资金日记账!$B71)&lt;$H$1,N(资金日记账!$B71)&gt;$I$1),0,1))))</f>
        <v>0</v>
      </c>
      <c r="H78">
        <f t="shared" si="19"/>
        <v>0</v>
      </c>
      <c r="I78" t="str">
        <f>IF($G78=0,"",IF(资金日记账!$B71=0,"",资金日记账!$B71))</f>
        <v/>
      </c>
      <c r="J78" t="str">
        <f>IF($G78=0,"",IF(资金日记账!$D71=0,"",资金日记账!$D71))</f>
        <v/>
      </c>
      <c r="K78" t="str">
        <f t="shared" si="27"/>
        <v/>
      </c>
      <c r="L78" t="str">
        <f t="shared" si="28"/>
        <v/>
      </c>
      <c r="M78" t="str">
        <f t="shared" si="20"/>
        <v/>
      </c>
      <c r="N78" t="str">
        <f>IF($G78=0,"",IF(IF(N(资金日记账!$I71)=0,"",-ROUND(N(资金日记账!$I71),2))=0,"",IF(N(资金日记账!$I71)=0,"",-ROUND(N(资金日记账!$I71),2))))</f>
        <v/>
      </c>
      <c r="O78" t="str">
        <f>IF($G78=0,"",IF(IF(N(资金日记账!$H71)=0,"",ROUND(N(资金日记账!$H71),2))=0,"",IF(N(资金日记账!$H71)=0,"",ROUND(N(资金日记账!$H71),2))))</f>
        <v/>
      </c>
      <c r="P78" t="str">
        <f>IF($G78=0,"",IF(资金日记账!$L71=0,"",资金日记账!$L71))</f>
        <v/>
      </c>
      <c r="T78" t="str">
        <f>IF(资金日记账!$G78="","",资金日记账!$G78)</f>
        <v/>
      </c>
      <c r="U78">
        <f t="shared" si="21"/>
        <v>0</v>
      </c>
      <c r="V78">
        <f t="shared" si="22"/>
        <v>0</v>
      </c>
      <c r="Z78" t="str">
        <f>IF(成本费用登记表!$C78="","",成本费用登记表!$C78)</f>
        <v/>
      </c>
      <c r="AA78">
        <f t="shared" si="23"/>
        <v>0</v>
      </c>
      <c r="AB78">
        <f t="shared" si="24"/>
        <v>0</v>
      </c>
      <c r="AD78" t="str">
        <f>IFERROR(INDEX($Z$4:$Z$303,MATCH(75,$AB$4:$AB$303,0)),"")</f>
        <v/>
      </c>
      <c r="AF78" t="str">
        <f>IF(OR(资金日记账!$E78="",N(资金日记账!$H78)=0),"",资金日记账!$E78)</f>
        <v/>
      </c>
      <c r="AG78">
        <f t="shared" si="25"/>
        <v>0</v>
      </c>
      <c r="AH78">
        <f t="shared" si="26"/>
        <v>0</v>
      </c>
    </row>
    <row r="79" spans="1:34">
      <c r="A79" t="str">
        <f>IF(进销存对接!$D79="客户应收",进销存对接!$C79,"")</f>
        <v/>
      </c>
      <c r="B79">
        <f t="shared" si="16"/>
        <v>0</v>
      </c>
      <c r="C79">
        <f t="shared" si="17"/>
        <v>0</v>
      </c>
      <c r="E79" t="str">
        <f t="shared" si="18"/>
        <v/>
      </c>
      <c r="G79">
        <f>IF(OR($G$1="",资金日记账!$E72="",资金日记账!$E72&lt;&gt;$G$1),0,IF(NOT(OR(N(资金日记账!$H72)&lt;&gt;0,N(资金日记账!$I72)&lt;&gt;0)),0,IF(资金日记账!$B72="",1,IF(OR(N(资金日记账!$B72)&lt;$H$1,N(资金日记账!$B72)&gt;$I$1),0,1))))</f>
        <v>0</v>
      </c>
      <c r="H79">
        <f t="shared" si="19"/>
        <v>0</v>
      </c>
      <c r="I79" t="str">
        <f>IF($G79=0,"",IF(资金日记账!$B72=0,"",资金日记账!$B72))</f>
        <v/>
      </c>
      <c r="J79" t="str">
        <f>IF($G79=0,"",IF(资金日记账!$D72=0,"",资金日记账!$D72))</f>
        <v/>
      </c>
      <c r="K79" t="str">
        <f t="shared" si="27"/>
        <v/>
      </c>
      <c r="L79" t="str">
        <f t="shared" si="28"/>
        <v/>
      </c>
      <c r="M79" t="str">
        <f t="shared" si="20"/>
        <v/>
      </c>
      <c r="N79" t="str">
        <f>IF($G79=0,"",IF(IF(N(资金日记账!$I72)=0,"",-ROUND(N(资金日记账!$I72),2))=0,"",IF(N(资金日记账!$I72)=0,"",-ROUND(N(资金日记账!$I72),2))))</f>
        <v/>
      </c>
      <c r="O79" t="str">
        <f>IF($G79=0,"",IF(IF(N(资金日记账!$H72)=0,"",ROUND(N(资金日记账!$H72),2))=0,"",IF(N(资金日记账!$H72)=0,"",ROUND(N(资金日记账!$H72),2))))</f>
        <v/>
      </c>
      <c r="P79" t="str">
        <f>IF($G79=0,"",IF(资金日记账!$L72=0,"",资金日记账!$L72))</f>
        <v/>
      </c>
      <c r="T79" t="str">
        <f>IF(资金日记账!$G79="","",资金日记账!$G79)</f>
        <v/>
      </c>
      <c r="U79">
        <f t="shared" si="21"/>
        <v>0</v>
      </c>
      <c r="V79">
        <f t="shared" si="22"/>
        <v>0</v>
      </c>
      <c r="Z79" t="str">
        <f>IF(成本费用登记表!$C79="","",成本费用登记表!$C79)</f>
        <v/>
      </c>
      <c r="AA79">
        <f t="shared" si="23"/>
        <v>0</v>
      </c>
      <c r="AB79">
        <f t="shared" si="24"/>
        <v>0</v>
      </c>
      <c r="AD79" t="str">
        <f>IFERROR(INDEX($Z$4:$Z$303,MATCH(76,$AB$4:$AB$303,0)),"")</f>
        <v/>
      </c>
      <c r="AF79" t="str">
        <f>IF(OR(资金日记账!$E79="",N(资金日记账!$H79)=0),"",资金日记账!$E79)</f>
        <v/>
      </c>
      <c r="AG79">
        <f t="shared" si="25"/>
        <v>0</v>
      </c>
      <c r="AH79">
        <f t="shared" si="26"/>
        <v>0</v>
      </c>
    </row>
    <row r="80" spans="1:34">
      <c r="A80" t="str">
        <f>IF(进销存对接!$D80="客户应收",进销存对接!$C80,"")</f>
        <v/>
      </c>
      <c r="B80">
        <f t="shared" si="16"/>
        <v>0</v>
      </c>
      <c r="C80">
        <f t="shared" si="17"/>
        <v>0</v>
      </c>
      <c r="E80" t="str">
        <f t="shared" si="18"/>
        <v/>
      </c>
      <c r="G80">
        <f>IF(OR($G$1="",资金日记账!$E73="",资金日记账!$E73&lt;&gt;$G$1),0,IF(NOT(OR(N(资金日记账!$H73)&lt;&gt;0,N(资金日记账!$I73)&lt;&gt;0)),0,IF(资金日记账!$B73="",1,IF(OR(N(资金日记账!$B73)&lt;$H$1,N(资金日记账!$B73)&gt;$I$1),0,1))))</f>
        <v>0</v>
      </c>
      <c r="H80">
        <f t="shared" si="19"/>
        <v>0</v>
      </c>
      <c r="I80" t="str">
        <f>IF($G80=0,"",IF(资金日记账!$B73=0,"",资金日记账!$B73))</f>
        <v/>
      </c>
      <c r="J80" t="str">
        <f>IF($G80=0,"",IF(资金日记账!$D73=0,"",资金日记账!$D73))</f>
        <v/>
      </c>
      <c r="K80" t="str">
        <f t="shared" si="27"/>
        <v/>
      </c>
      <c r="L80" t="str">
        <f t="shared" si="28"/>
        <v/>
      </c>
      <c r="M80" t="str">
        <f t="shared" si="20"/>
        <v/>
      </c>
      <c r="N80" t="str">
        <f>IF($G80=0,"",IF(IF(N(资金日记账!$I73)=0,"",-ROUND(N(资金日记账!$I73),2))=0,"",IF(N(资金日记账!$I73)=0,"",-ROUND(N(资金日记账!$I73),2))))</f>
        <v/>
      </c>
      <c r="O80" t="str">
        <f>IF($G80=0,"",IF(IF(N(资金日记账!$H73)=0,"",ROUND(N(资金日记账!$H73),2))=0,"",IF(N(资金日记账!$H73)=0,"",ROUND(N(资金日记账!$H73),2))))</f>
        <v/>
      </c>
      <c r="P80" t="str">
        <f>IF($G80=0,"",IF(资金日记账!$L73=0,"",资金日记账!$L73))</f>
        <v/>
      </c>
      <c r="T80" t="str">
        <f>IF(资金日记账!$G80="","",资金日记账!$G80)</f>
        <v/>
      </c>
      <c r="U80">
        <f t="shared" si="21"/>
        <v>0</v>
      </c>
      <c r="V80">
        <f t="shared" si="22"/>
        <v>0</v>
      </c>
      <c r="Z80" t="str">
        <f>IF(成本费用登记表!$C80="","",成本费用登记表!$C80)</f>
        <v/>
      </c>
      <c r="AA80">
        <f t="shared" si="23"/>
        <v>0</v>
      </c>
      <c r="AB80">
        <f t="shared" si="24"/>
        <v>0</v>
      </c>
      <c r="AD80" t="str">
        <f>IFERROR(INDEX($Z$4:$Z$303,MATCH(77,$AB$4:$AB$303,0)),"")</f>
        <v/>
      </c>
      <c r="AF80" t="str">
        <f>IF(OR(资金日记账!$E80="",N(资金日记账!$H80)=0),"",资金日记账!$E80)</f>
        <v/>
      </c>
      <c r="AG80">
        <f t="shared" si="25"/>
        <v>0</v>
      </c>
      <c r="AH80">
        <f t="shared" si="26"/>
        <v>0</v>
      </c>
    </row>
    <row r="81" spans="1:34">
      <c r="A81" t="str">
        <f>IF(进销存对接!$D81="客户应收",进销存对接!$C81,"")</f>
        <v/>
      </c>
      <c r="B81">
        <f t="shared" si="16"/>
        <v>0</v>
      </c>
      <c r="C81">
        <f t="shared" si="17"/>
        <v>0</v>
      </c>
      <c r="E81" t="str">
        <f t="shared" si="18"/>
        <v/>
      </c>
      <c r="G81">
        <f>IF(OR($G$1="",资金日记账!$E74="",资金日记账!$E74&lt;&gt;$G$1),0,IF(NOT(OR(N(资金日记账!$H74)&lt;&gt;0,N(资金日记账!$I74)&lt;&gt;0)),0,IF(资金日记账!$B74="",1,IF(OR(N(资金日记账!$B74)&lt;$H$1,N(资金日记账!$B74)&gt;$I$1),0,1))))</f>
        <v>0</v>
      </c>
      <c r="H81">
        <f t="shared" si="19"/>
        <v>0</v>
      </c>
      <c r="I81" t="str">
        <f>IF($G81=0,"",IF(资金日记账!$B74=0,"",资金日记账!$B74))</f>
        <v/>
      </c>
      <c r="J81" t="str">
        <f>IF($G81=0,"",IF(资金日记账!$D74=0,"",资金日记账!$D74))</f>
        <v/>
      </c>
      <c r="K81" t="str">
        <f t="shared" si="27"/>
        <v/>
      </c>
      <c r="L81" t="str">
        <f t="shared" si="28"/>
        <v/>
      </c>
      <c r="M81" t="str">
        <f t="shared" si="20"/>
        <v/>
      </c>
      <c r="N81" t="str">
        <f>IF($G81=0,"",IF(IF(N(资金日记账!$I74)=0,"",-ROUND(N(资金日记账!$I74),2))=0,"",IF(N(资金日记账!$I74)=0,"",-ROUND(N(资金日记账!$I74),2))))</f>
        <v/>
      </c>
      <c r="O81" t="str">
        <f>IF($G81=0,"",IF(IF(N(资金日记账!$H74)=0,"",ROUND(N(资金日记账!$H74),2))=0,"",IF(N(资金日记账!$H74)=0,"",ROUND(N(资金日记账!$H74),2))))</f>
        <v/>
      </c>
      <c r="P81" t="str">
        <f>IF($G81=0,"",IF(资金日记账!$L74=0,"",资金日记账!$L74))</f>
        <v/>
      </c>
      <c r="T81" t="str">
        <f>IF(资金日记账!$G81="","",资金日记账!$G81)</f>
        <v/>
      </c>
      <c r="U81">
        <f t="shared" si="21"/>
        <v>0</v>
      </c>
      <c r="V81">
        <f t="shared" si="22"/>
        <v>0</v>
      </c>
      <c r="Z81" t="str">
        <f>IF(成本费用登记表!$C81="","",成本费用登记表!$C81)</f>
        <v/>
      </c>
      <c r="AA81">
        <f t="shared" si="23"/>
        <v>0</v>
      </c>
      <c r="AB81">
        <f t="shared" si="24"/>
        <v>0</v>
      </c>
      <c r="AD81" t="str">
        <f>IFERROR(INDEX($Z$4:$Z$303,MATCH(78,$AB$4:$AB$303,0)),"")</f>
        <v/>
      </c>
      <c r="AF81" t="str">
        <f>IF(OR(资金日记账!$E81="",N(资金日记账!$H81)=0),"",资金日记账!$E81)</f>
        <v/>
      </c>
      <c r="AG81">
        <f t="shared" si="25"/>
        <v>0</v>
      </c>
      <c r="AH81">
        <f t="shared" si="26"/>
        <v>0</v>
      </c>
    </row>
    <row r="82" spans="1:34">
      <c r="A82" t="str">
        <f>IF(进销存对接!$D82="客户应收",进销存对接!$C82,"")</f>
        <v/>
      </c>
      <c r="B82">
        <f t="shared" si="16"/>
        <v>0</v>
      </c>
      <c r="C82">
        <f t="shared" si="17"/>
        <v>0</v>
      </c>
      <c r="E82" t="str">
        <f t="shared" si="18"/>
        <v/>
      </c>
      <c r="G82">
        <f>IF(OR($G$1="",资金日记账!$E75="",资金日记账!$E75&lt;&gt;$G$1),0,IF(NOT(OR(N(资金日记账!$H75)&lt;&gt;0,N(资金日记账!$I75)&lt;&gt;0)),0,IF(资金日记账!$B75="",1,IF(OR(N(资金日记账!$B75)&lt;$H$1,N(资金日记账!$B75)&gt;$I$1),0,1))))</f>
        <v>0</v>
      </c>
      <c r="H82">
        <f t="shared" si="19"/>
        <v>0</v>
      </c>
      <c r="I82" t="str">
        <f>IF($G82=0,"",IF(资金日记账!$B75=0,"",资金日记账!$B75))</f>
        <v/>
      </c>
      <c r="J82" t="str">
        <f>IF($G82=0,"",IF(资金日记账!$D75=0,"",资金日记账!$D75))</f>
        <v/>
      </c>
      <c r="K82" t="str">
        <f t="shared" si="27"/>
        <v/>
      </c>
      <c r="L82" t="str">
        <f t="shared" si="28"/>
        <v/>
      </c>
      <c r="M82" t="str">
        <f t="shared" si="20"/>
        <v/>
      </c>
      <c r="N82" t="str">
        <f>IF($G82=0,"",IF(IF(N(资金日记账!$I75)=0,"",-ROUND(N(资金日记账!$I75),2))=0,"",IF(N(资金日记账!$I75)=0,"",-ROUND(N(资金日记账!$I75),2))))</f>
        <v/>
      </c>
      <c r="O82" t="str">
        <f>IF($G82=0,"",IF(IF(N(资金日记账!$H75)=0,"",ROUND(N(资金日记账!$H75),2))=0,"",IF(N(资金日记账!$H75)=0,"",ROUND(N(资金日记账!$H75),2))))</f>
        <v/>
      </c>
      <c r="P82" t="str">
        <f>IF($G82=0,"",IF(资金日记账!$L75=0,"",资金日记账!$L75))</f>
        <v/>
      </c>
      <c r="T82" t="str">
        <f>IF(资金日记账!$G82="","",资金日记账!$G82)</f>
        <v/>
      </c>
      <c r="U82">
        <f t="shared" si="21"/>
        <v>0</v>
      </c>
      <c r="V82">
        <f t="shared" si="22"/>
        <v>0</v>
      </c>
      <c r="Z82" t="str">
        <f>IF(成本费用登记表!$C82="","",成本费用登记表!$C82)</f>
        <v/>
      </c>
      <c r="AA82">
        <f t="shared" si="23"/>
        <v>0</v>
      </c>
      <c r="AB82">
        <f t="shared" si="24"/>
        <v>0</v>
      </c>
      <c r="AD82" t="str">
        <f>IFERROR(INDEX($Z$4:$Z$303,MATCH(79,$AB$4:$AB$303,0)),"")</f>
        <v/>
      </c>
      <c r="AF82" t="str">
        <f>IF(OR(资金日记账!$E82="",N(资金日记账!$H82)=0),"",资金日记账!$E82)</f>
        <v/>
      </c>
      <c r="AG82">
        <f t="shared" si="25"/>
        <v>0</v>
      </c>
      <c r="AH82">
        <f t="shared" si="26"/>
        <v>0</v>
      </c>
    </row>
    <row r="83" spans="1:34">
      <c r="A83" t="str">
        <f>IF(进销存对接!$D83="客户应收",进销存对接!$C83,"")</f>
        <v/>
      </c>
      <c r="B83">
        <f t="shared" si="16"/>
        <v>0</v>
      </c>
      <c r="C83">
        <f t="shared" si="17"/>
        <v>0</v>
      </c>
      <c r="E83" t="str">
        <f t="shared" si="18"/>
        <v/>
      </c>
      <c r="G83">
        <f>IF(OR($G$1="",资金日记账!$E76="",资金日记账!$E76&lt;&gt;$G$1),0,IF(NOT(OR(N(资金日记账!$H76)&lt;&gt;0,N(资金日记账!$I76)&lt;&gt;0)),0,IF(资金日记账!$B76="",1,IF(OR(N(资金日记账!$B76)&lt;$H$1,N(资金日记账!$B76)&gt;$I$1),0,1))))</f>
        <v>0</v>
      </c>
      <c r="H83">
        <f t="shared" si="19"/>
        <v>0</v>
      </c>
      <c r="I83" t="str">
        <f>IF($G83=0,"",IF(资金日记账!$B76=0,"",资金日记账!$B76))</f>
        <v/>
      </c>
      <c r="J83" t="str">
        <f>IF($G83=0,"",IF(资金日记账!$D76=0,"",资金日记账!$D76))</f>
        <v/>
      </c>
      <c r="K83" t="str">
        <f t="shared" si="27"/>
        <v/>
      </c>
      <c r="L83" t="str">
        <f t="shared" si="28"/>
        <v/>
      </c>
      <c r="M83" t="str">
        <f t="shared" si="20"/>
        <v/>
      </c>
      <c r="N83" t="str">
        <f>IF($G83=0,"",IF(IF(N(资金日记账!$I76)=0,"",-ROUND(N(资金日记账!$I76),2))=0,"",IF(N(资金日记账!$I76)=0,"",-ROUND(N(资金日记账!$I76),2))))</f>
        <v/>
      </c>
      <c r="O83" t="str">
        <f>IF($G83=0,"",IF(IF(N(资金日记账!$H76)=0,"",ROUND(N(资金日记账!$H76),2))=0,"",IF(N(资金日记账!$H76)=0,"",ROUND(N(资金日记账!$H76),2))))</f>
        <v/>
      </c>
      <c r="P83" t="str">
        <f>IF($G83=0,"",IF(资金日记账!$L76=0,"",资金日记账!$L76))</f>
        <v/>
      </c>
      <c r="T83" t="str">
        <f>IF(资金日记账!$G83="","",资金日记账!$G83)</f>
        <v/>
      </c>
      <c r="U83">
        <f t="shared" si="21"/>
        <v>0</v>
      </c>
      <c r="V83">
        <f t="shared" si="22"/>
        <v>0</v>
      </c>
      <c r="Z83" t="str">
        <f>IF(成本费用登记表!$C83="","",成本费用登记表!$C83)</f>
        <v/>
      </c>
      <c r="AA83">
        <f t="shared" si="23"/>
        <v>0</v>
      </c>
      <c r="AB83">
        <f t="shared" si="24"/>
        <v>0</v>
      </c>
      <c r="AD83" t="str">
        <f>IFERROR(INDEX($Z$4:$Z$303,MATCH(80,$AB$4:$AB$303,0)),"")</f>
        <v/>
      </c>
      <c r="AF83" t="str">
        <f>IF(OR(资金日记账!$E83="",N(资金日记账!$H83)=0),"",资金日记账!$E83)</f>
        <v/>
      </c>
      <c r="AG83">
        <f t="shared" si="25"/>
        <v>0</v>
      </c>
      <c r="AH83">
        <f t="shared" si="26"/>
        <v>0</v>
      </c>
    </row>
    <row r="84" spans="1:34">
      <c r="A84" t="str">
        <f>IF(进销存对接!$D84="客户应收",进销存对接!$C84,"")</f>
        <v/>
      </c>
      <c r="B84">
        <f t="shared" si="16"/>
        <v>0</v>
      </c>
      <c r="C84">
        <f t="shared" si="17"/>
        <v>0</v>
      </c>
      <c r="E84" t="str">
        <f t="shared" si="18"/>
        <v/>
      </c>
      <c r="G84">
        <f>IF(OR($G$1="",资金日记账!$E77="",资金日记账!$E77&lt;&gt;$G$1),0,IF(NOT(OR(N(资金日记账!$H77)&lt;&gt;0,N(资金日记账!$I77)&lt;&gt;0)),0,IF(资金日记账!$B77="",1,IF(OR(N(资金日记账!$B77)&lt;$H$1,N(资金日记账!$B77)&gt;$I$1),0,1))))</f>
        <v>0</v>
      </c>
      <c r="H84">
        <f t="shared" si="19"/>
        <v>0</v>
      </c>
      <c r="I84" t="str">
        <f>IF($G84=0,"",IF(资金日记账!$B77=0,"",资金日记账!$B77))</f>
        <v/>
      </c>
      <c r="J84" t="str">
        <f>IF($G84=0,"",IF(资金日记账!$D77=0,"",资金日记账!$D77))</f>
        <v/>
      </c>
      <c r="K84" t="str">
        <f t="shared" si="27"/>
        <v/>
      </c>
      <c r="L84" t="str">
        <f t="shared" si="28"/>
        <v/>
      </c>
      <c r="M84" t="str">
        <f t="shared" si="20"/>
        <v/>
      </c>
      <c r="N84" t="str">
        <f>IF($G84=0,"",IF(IF(N(资金日记账!$I77)=0,"",-ROUND(N(资金日记账!$I77),2))=0,"",IF(N(资金日记账!$I77)=0,"",-ROUND(N(资金日记账!$I77),2))))</f>
        <v/>
      </c>
      <c r="O84" t="str">
        <f>IF($G84=0,"",IF(IF(N(资金日记账!$H77)=0,"",ROUND(N(资金日记账!$H77),2))=0,"",IF(N(资金日记账!$H77)=0,"",ROUND(N(资金日记账!$H77),2))))</f>
        <v/>
      </c>
      <c r="P84" t="str">
        <f>IF($G84=0,"",IF(资金日记账!$L77=0,"",资金日记账!$L77))</f>
        <v/>
      </c>
      <c r="T84" t="str">
        <f>IF(资金日记账!$G84="","",资金日记账!$G84)</f>
        <v/>
      </c>
      <c r="U84">
        <f t="shared" si="21"/>
        <v>0</v>
      </c>
      <c r="V84">
        <f t="shared" si="22"/>
        <v>0</v>
      </c>
      <c r="Z84" t="str">
        <f>IF(成本费用登记表!$C84="","",成本费用登记表!$C84)</f>
        <v/>
      </c>
      <c r="AA84">
        <f t="shared" si="23"/>
        <v>0</v>
      </c>
      <c r="AB84">
        <f t="shared" si="24"/>
        <v>0</v>
      </c>
      <c r="AD84" t="str">
        <f>IFERROR(INDEX($Z$4:$Z$303,MATCH(81,$AB$4:$AB$303,0)),"")</f>
        <v/>
      </c>
      <c r="AF84" t="str">
        <f>IF(OR(资金日记账!$E84="",N(资金日记账!$H84)=0),"",资金日记账!$E84)</f>
        <v/>
      </c>
      <c r="AG84">
        <f t="shared" si="25"/>
        <v>0</v>
      </c>
      <c r="AH84">
        <f t="shared" si="26"/>
        <v>0</v>
      </c>
    </row>
    <row r="85" spans="1:34">
      <c r="A85" t="str">
        <f>IF(进销存对接!$D85="客户应收",进销存对接!$C85,"")</f>
        <v/>
      </c>
      <c r="B85">
        <f t="shared" si="16"/>
        <v>0</v>
      </c>
      <c r="C85">
        <f t="shared" si="17"/>
        <v>0</v>
      </c>
      <c r="E85" t="str">
        <f t="shared" si="18"/>
        <v/>
      </c>
      <c r="G85">
        <f>IF(OR($G$1="",资金日记账!$E78="",资金日记账!$E78&lt;&gt;$G$1),0,IF(NOT(OR(N(资金日记账!$H78)&lt;&gt;0,N(资金日记账!$I78)&lt;&gt;0)),0,IF(资金日记账!$B78="",1,IF(OR(N(资金日记账!$B78)&lt;$H$1,N(资金日记账!$B78)&gt;$I$1),0,1))))</f>
        <v>0</v>
      </c>
      <c r="H85">
        <f t="shared" si="19"/>
        <v>0</v>
      </c>
      <c r="I85" t="str">
        <f>IF($G85=0,"",IF(资金日记账!$B78=0,"",资金日记账!$B78))</f>
        <v/>
      </c>
      <c r="J85" t="str">
        <f>IF($G85=0,"",IF(资金日记账!$D78=0,"",资金日记账!$D78))</f>
        <v/>
      </c>
      <c r="K85" t="str">
        <f t="shared" si="27"/>
        <v/>
      </c>
      <c r="L85" t="str">
        <f t="shared" si="28"/>
        <v/>
      </c>
      <c r="M85" t="str">
        <f t="shared" si="20"/>
        <v/>
      </c>
      <c r="N85" t="str">
        <f>IF($G85=0,"",IF(IF(N(资金日记账!$I78)=0,"",-ROUND(N(资金日记账!$I78),2))=0,"",IF(N(资金日记账!$I78)=0,"",-ROUND(N(资金日记账!$I78),2))))</f>
        <v/>
      </c>
      <c r="O85" t="str">
        <f>IF($G85=0,"",IF(IF(N(资金日记账!$H78)=0,"",ROUND(N(资金日记账!$H78),2))=0,"",IF(N(资金日记账!$H78)=0,"",ROUND(N(资金日记账!$H78),2))))</f>
        <v/>
      </c>
      <c r="P85" t="str">
        <f>IF($G85=0,"",IF(资金日记账!$L78=0,"",资金日记账!$L78))</f>
        <v/>
      </c>
      <c r="T85" t="str">
        <f>IF(资金日记账!$G85="","",资金日记账!$G85)</f>
        <v/>
      </c>
      <c r="U85">
        <f t="shared" si="21"/>
        <v>0</v>
      </c>
      <c r="V85">
        <f t="shared" si="22"/>
        <v>0</v>
      </c>
      <c r="Z85" t="str">
        <f>IF(成本费用登记表!$C85="","",成本费用登记表!$C85)</f>
        <v/>
      </c>
      <c r="AA85">
        <f t="shared" si="23"/>
        <v>0</v>
      </c>
      <c r="AB85">
        <f t="shared" si="24"/>
        <v>0</v>
      </c>
      <c r="AD85" t="str">
        <f>IFERROR(INDEX($Z$4:$Z$303,MATCH(82,$AB$4:$AB$303,0)),"")</f>
        <v/>
      </c>
      <c r="AF85" t="str">
        <f>IF(OR(资金日记账!$E85="",N(资金日记账!$H85)=0),"",资金日记账!$E85)</f>
        <v/>
      </c>
      <c r="AG85">
        <f t="shared" si="25"/>
        <v>0</v>
      </c>
      <c r="AH85">
        <f t="shared" si="26"/>
        <v>0</v>
      </c>
    </row>
    <row r="86" spans="1:34">
      <c r="A86" t="str">
        <f>IF(进销存对接!$D86="客户应收",进销存对接!$C86,"")</f>
        <v/>
      </c>
      <c r="B86">
        <f t="shared" si="16"/>
        <v>0</v>
      </c>
      <c r="C86">
        <f t="shared" si="17"/>
        <v>0</v>
      </c>
      <c r="E86" t="str">
        <f t="shared" si="18"/>
        <v/>
      </c>
      <c r="G86">
        <f>IF(OR($G$1="",资金日记账!$E79="",资金日记账!$E79&lt;&gt;$G$1),0,IF(NOT(OR(N(资金日记账!$H79)&lt;&gt;0,N(资金日记账!$I79)&lt;&gt;0)),0,IF(资金日记账!$B79="",1,IF(OR(N(资金日记账!$B79)&lt;$H$1,N(资金日记账!$B79)&gt;$I$1),0,1))))</f>
        <v>0</v>
      </c>
      <c r="H86">
        <f t="shared" si="19"/>
        <v>0</v>
      </c>
      <c r="I86" t="str">
        <f>IF($G86=0,"",IF(资金日记账!$B79=0,"",资金日记账!$B79))</f>
        <v/>
      </c>
      <c r="J86" t="str">
        <f>IF($G86=0,"",IF(资金日记账!$D79=0,"",资金日记账!$D79))</f>
        <v/>
      </c>
      <c r="K86" t="str">
        <f t="shared" si="27"/>
        <v/>
      </c>
      <c r="L86" t="str">
        <f t="shared" si="28"/>
        <v/>
      </c>
      <c r="M86" t="str">
        <f t="shared" si="20"/>
        <v/>
      </c>
      <c r="N86" t="str">
        <f>IF($G86=0,"",IF(IF(N(资金日记账!$I79)=0,"",-ROUND(N(资金日记账!$I79),2))=0,"",IF(N(资金日记账!$I79)=0,"",-ROUND(N(资金日记账!$I79),2))))</f>
        <v/>
      </c>
      <c r="O86" t="str">
        <f>IF($G86=0,"",IF(IF(N(资金日记账!$H79)=0,"",ROUND(N(资金日记账!$H79),2))=0,"",IF(N(资金日记账!$H79)=0,"",ROUND(N(资金日记账!$H79),2))))</f>
        <v/>
      </c>
      <c r="P86" t="str">
        <f>IF($G86=0,"",IF(资金日记账!$L79=0,"",资金日记账!$L79))</f>
        <v/>
      </c>
      <c r="T86" t="str">
        <f>IF(资金日记账!$G86="","",资金日记账!$G86)</f>
        <v/>
      </c>
      <c r="U86">
        <f t="shared" si="21"/>
        <v>0</v>
      </c>
      <c r="V86">
        <f t="shared" si="22"/>
        <v>0</v>
      </c>
      <c r="Z86" t="str">
        <f>IF(成本费用登记表!$C86="","",成本费用登记表!$C86)</f>
        <v/>
      </c>
      <c r="AA86">
        <f t="shared" si="23"/>
        <v>0</v>
      </c>
      <c r="AB86">
        <f t="shared" si="24"/>
        <v>0</v>
      </c>
      <c r="AD86" t="str">
        <f>IFERROR(INDEX($Z$4:$Z$303,MATCH(83,$AB$4:$AB$303,0)),"")</f>
        <v/>
      </c>
      <c r="AF86" t="str">
        <f>IF(OR(资金日记账!$E86="",N(资金日记账!$H86)=0),"",资金日记账!$E86)</f>
        <v/>
      </c>
      <c r="AG86">
        <f t="shared" si="25"/>
        <v>0</v>
      </c>
      <c r="AH86">
        <f t="shared" si="26"/>
        <v>0</v>
      </c>
    </row>
    <row r="87" spans="1:34">
      <c r="A87" t="str">
        <f>IF(进销存对接!$D87="客户应收",进销存对接!$C87,"")</f>
        <v/>
      </c>
      <c r="B87">
        <f t="shared" si="16"/>
        <v>0</v>
      </c>
      <c r="C87">
        <f t="shared" si="17"/>
        <v>0</v>
      </c>
      <c r="E87" t="str">
        <f t="shared" si="18"/>
        <v/>
      </c>
      <c r="G87">
        <f>IF(OR($G$1="",资金日记账!$E80="",资金日记账!$E80&lt;&gt;$G$1),0,IF(NOT(OR(N(资金日记账!$H80)&lt;&gt;0,N(资金日记账!$I80)&lt;&gt;0)),0,IF(资金日记账!$B80="",1,IF(OR(N(资金日记账!$B80)&lt;$H$1,N(资金日记账!$B80)&gt;$I$1),0,1))))</f>
        <v>0</v>
      </c>
      <c r="H87">
        <f t="shared" si="19"/>
        <v>0</v>
      </c>
      <c r="I87" t="str">
        <f>IF($G87=0,"",IF(资金日记账!$B80=0,"",资金日记账!$B80))</f>
        <v/>
      </c>
      <c r="J87" t="str">
        <f>IF($G87=0,"",IF(资金日记账!$D80=0,"",资金日记账!$D80))</f>
        <v/>
      </c>
      <c r="K87" t="str">
        <f t="shared" si="27"/>
        <v/>
      </c>
      <c r="L87" t="str">
        <f t="shared" si="28"/>
        <v/>
      </c>
      <c r="M87" t="str">
        <f t="shared" si="20"/>
        <v/>
      </c>
      <c r="N87" t="str">
        <f>IF($G87=0,"",IF(IF(N(资金日记账!$I80)=0,"",-ROUND(N(资金日记账!$I80),2))=0,"",IF(N(资金日记账!$I80)=0,"",-ROUND(N(资金日记账!$I80),2))))</f>
        <v/>
      </c>
      <c r="O87" t="str">
        <f>IF($G87=0,"",IF(IF(N(资金日记账!$H80)=0,"",ROUND(N(资金日记账!$H80),2))=0,"",IF(N(资金日记账!$H80)=0,"",ROUND(N(资金日记账!$H80),2))))</f>
        <v/>
      </c>
      <c r="P87" t="str">
        <f>IF($G87=0,"",IF(资金日记账!$L80=0,"",资金日记账!$L80))</f>
        <v/>
      </c>
      <c r="T87" t="str">
        <f>IF(资金日记账!$G87="","",资金日记账!$G87)</f>
        <v/>
      </c>
      <c r="U87">
        <f t="shared" si="21"/>
        <v>0</v>
      </c>
      <c r="V87">
        <f t="shared" si="22"/>
        <v>0</v>
      </c>
      <c r="Z87" t="str">
        <f>IF(成本费用登记表!$C87="","",成本费用登记表!$C87)</f>
        <v/>
      </c>
      <c r="AA87">
        <f t="shared" si="23"/>
        <v>0</v>
      </c>
      <c r="AB87">
        <f t="shared" si="24"/>
        <v>0</v>
      </c>
      <c r="AD87" t="str">
        <f>IFERROR(INDEX($Z$4:$Z$303,MATCH(84,$AB$4:$AB$303,0)),"")</f>
        <v/>
      </c>
      <c r="AF87" t="str">
        <f>IF(OR(资金日记账!$E87="",N(资金日记账!$H87)=0),"",资金日记账!$E87)</f>
        <v/>
      </c>
      <c r="AG87">
        <f t="shared" si="25"/>
        <v>0</v>
      </c>
      <c r="AH87">
        <f t="shared" si="26"/>
        <v>0</v>
      </c>
    </row>
    <row r="88" spans="1:34">
      <c r="A88" t="str">
        <f>IF(进销存对接!$D88="客户应收",进销存对接!$C88,"")</f>
        <v/>
      </c>
      <c r="B88">
        <f t="shared" si="16"/>
        <v>0</v>
      </c>
      <c r="C88">
        <f t="shared" si="17"/>
        <v>0</v>
      </c>
      <c r="E88" t="str">
        <f t="shared" si="18"/>
        <v/>
      </c>
      <c r="G88">
        <f>IF(OR($G$1="",资金日记账!$E81="",资金日记账!$E81&lt;&gt;$G$1),0,IF(NOT(OR(N(资金日记账!$H81)&lt;&gt;0,N(资金日记账!$I81)&lt;&gt;0)),0,IF(资金日记账!$B81="",1,IF(OR(N(资金日记账!$B81)&lt;$H$1,N(资金日记账!$B81)&gt;$I$1),0,1))))</f>
        <v>0</v>
      </c>
      <c r="H88">
        <f t="shared" si="19"/>
        <v>0</v>
      </c>
      <c r="I88" t="str">
        <f>IF($G88=0,"",IF(资金日记账!$B81=0,"",资金日记账!$B81))</f>
        <v/>
      </c>
      <c r="J88" t="str">
        <f>IF($G88=0,"",IF(资金日记账!$D81=0,"",资金日记账!$D81))</f>
        <v/>
      </c>
      <c r="K88" t="str">
        <f t="shared" si="27"/>
        <v/>
      </c>
      <c r="L88" t="str">
        <f t="shared" si="28"/>
        <v/>
      </c>
      <c r="M88" t="str">
        <f t="shared" si="20"/>
        <v/>
      </c>
      <c r="N88" t="str">
        <f>IF($G88=0,"",IF(IF(N(资金日记账!$I81)=0,"",-ROUND(N(资金日记账!$I81),2))=0,"",IF(N(资金日记账!$I81)=0,"",-ROUND(N(资金日记账!$I81),2))))</f>
        <v/>
      </c>
      <c r="O88" t="str">
        <f>IF($G88=0,"",IF(IF(N(资金日记账!$H81)=0,"",ROUND(N(资金日记账!$H81),2))=0,"",IF(N(资金日记账!$H81)=0,"",ROUND(N(资金日记账!$H81),2))))</f>
        <v/>
      </c>
      <c r="P88" t="str">
        <f>IF($G88=0,"",IF(资金日记账!$L81=0,"",资金日记账!$L81))</f>
        <v/>
      </c>
      <c r="T88" t="str">
        <f>IF(资金日记账!$G88="","",资金日记账!$G88)</f>
        <v/>
      </c>
      <c r="U88">
        <f t="shared" si="21"/>
        <v>0</v>
      </c>
      <c r="V88">
        <f t="shared" si="22"/>
        <v>0</v>
      </c>
      <c r="Z88" t="str">
        <f>IF(成本费用登记表!$C88="","",成本费用登记表!$C88)</f>
        <v/>
      </c>
      <c r="AA88">
        <f t="shared" si="23"/>
        <v>0</v>
      </c>
      <c r="AB88">
        <f t="shared" si="24"/>
        <v>0</v>
      </c>
      <c r="AD88" t="str">
        <f>IFERROR(INDEX($Z$4:$Z$303,MATCH(85,$AB$4:$AB$303,0)),"")</f>
        <v/>
      </c>
      <c r="AF88" t="str">
        <f>IF(OR(资金日记账!$E88="",N(资金日记账!$H88)=0),"",资金日记账!$E88)</f>
        <v/>
      </c>
      <c r="AG88">
        <f t="shared" si="25"/>
        <v>0</v>
      </c>
      <c r="AH88">
        <f t="shared" si="26"/>
        <v>0</v>
      </c>
    </row>
    <row r="89" spans="1:34">
      <c r="A89" t="str">
        <f>IF(进销存对接!$D89="客户应收",进销存对接!$C89,"")</f>
        <v/>
      </c>
      <c r="B89">
        <f t="shared" si="16"/>
        <v>0</v>
      </c>
      <c r="C89">
        <f t="shared" si="17"/>
        <v>0</v>
      </c>
      <c r="E89" t="str">
        <f t="shared" si="18"/>
        <v/>
      </c>
      <c r="G89">
        <f>IF(OR($G$1="",资金日记账!$E82="",资金日记账!$E82&lt;&gt;$G$1),0,IF(NOT(OR(N(资金日记账!$H82)&lt;&gt;0,N(资金日记账!$I82)&lt;&gt;0)),0,IF(资金日记账!$B82="",1,IF(OR(N(资金日记账!$B82)&lt;$H$1,N(资金日记账!$B82)&gt;$I$1),0,1))))</f>
        <v>0</v>
      </c>
      <c r="H89">
        <f t="shared" si="19"/>
        <v>0</v>
      </c>
      <c r="I89" t="str">
        <f>IF($G89=0,"",IF(资金日记账!$B82=0,"",资金日记账!$B82))</f>
        <v/>
      </c>
      <c r="J89" t="str">
        <f>IF($G89=0,"",IF(资金日记账!$D82=0,"",资金日记账!$D82))</f>
        <v/>
      </c>
      <c r="K89" t="str">
        <f t="shared" si="27"/>
        <v/>
      </c>
      <c r="L89" t="str">
        <f t="shared" si="28"/>
        <v/>
      </c>
      <c r="M89" t="str">
        <f t="shared" si="20"/>
        <v/>
      </c>
      <c r="N89" t="str">
        <f>IF($G89=0,"",IF(IF(N(资金日记账!$I82)=0,"",-ROUND(N(资金日记账!$I82),2))=0,"",IF(N(资金日记账!$I82)=0,"",-ROUND(N(资金日记账!$I82),2))))</f>
        <v/>
      </c>
      <c r="O89" t="str">
        <f>IF($G89=0,"",IF(IF(N(资金日记账!$H82)=0,"",ROUND(N(资金日记账!$H82),2))=0,"",IF(N(资金日记账!$H82)=0,"",ROUND(N(资金日记账!$H82),2))))</f>
        <v/>
      </c>
      <c r="P89" t="str">
        <f>IF($G89=0,"",IF(资金日记账!$L82=0,"",资金日记账!$L82))</f>
        <v/>
      </c>
      <c r="T89" t="str">
        <f>IF(资金日记账!$G89="","",资金日记账!$G89)</f>
        <v/>
      </c>
      <c r="U89">
        <f t="shared" si="21"/>
        <v>0</v>
      </c>
      <c r="V89">
        <f t="shared" si="22"/>
        <v>0</v>
      </c>
      <c r="Z89" t="str">
        <f>IF(成本费用登记表!$C89="","",成本费用登记表!$C89)</f>
        <v/>
      </c>
      <c r="AA89">
        <f t="shared" si="23"/>
        <v>0</v>
      </c>
      <c r="AB89">
        <f t="shared" si="24"/>
        <v>0</v>
      </c>
      <c r="AD89" t="str">
        <f>IFERROR(INDEX($Z$4:$Z$303,MATCH(86,$AB$4:$AB$303,0)),"")</f>
        <v/>
      </c>
      <c r="AF89" t="str">
        <f>IF(OR(资金日记账!$E89="",N(资金日记账!$H89)=0),"",资金日记账!$E89)</f>
        <v/>
      </c>
      <c r="AG89">
        <f t="shared" si="25"/>
        <v>0</v>
      </c>
      <c r="AH89">
        <f t="shared" si="26"/>
        <v>0</v>
      </c>
    </row>
    <row r="90" spans="1:34">
      <c r="A90" t="str">
        <f>IF(进销存对接!$D90="客户应收",进销存对接!$C90,"")</f>
        <v/>
      </c>
      <c r="B90">
        <f t="shared" si="16"/>
        <v>0</v>
      </c>
      <c r="C90">
        <f t="shared" si="17"/>
        <v>0</v>
      </c>
      <c r="E90" t="str">
        <f t="shared" si="18"/>
        <v/>
      </c>
      <c r="G90">
        <f>IF(OR($G$1="",资金日记账!$E83="",资金日记账!$E83&lt;&gt;$G$1),0,IF(NOT(OR(N(资金日记账!$H83)&lt;&gt;0,N(资金日记账!$I83)&lt;&gt;0)),0,IF(资金日记账!$B83="",1,IF(OR(N(资金日记账!$B83)&lt;$H$1,N(资金日记账!$B83)&gt;$I$1),0,1))))</f>
        <v>0</v>
      </c>
      <c r="H90">
        <f t="shared" si="19"/>
        <v>0</v>
      </c>
      <c r="I90" t="str">
        <f>IF($G90=0,"",IF(资金日记账!$B83=0,"",资金日记账!$B83))</f>
        <v/>
      </c>
      <c r="J90" t="str">
        <f>IF($G90=0,"",IF(资金日记账!$D83=0,"",资金日记账!$D83))</f>
        <v/>
      </c>
      <c r="K90" t="str">
        <f t="shared" si="27"/>
        <v/>
      </c>
      <c r="L90" t="str">
        <f t="shared" si="28"/>
        <v/>
      </c>
      <c r="M90" t="str">
        <f t="shared" si="20"/>
        <v/>
      </c>
      <c r="N90" t="str">
        <f>IF($G90=0,"",IF(IF(N(资金日记账!$I83)=0,"",-ROUND(N(资金日记账!$I83),2))=0,"",IF(N(资金日记账!$I83)=0,"",-ROUND(N(资金日记账!$I83),2))))</f>
        <v/>
      </c>
      <c r="O90" t="str">
        <f>IF($G90=0,"",IF(IF(N(资金日记账!$H83)=0,"",ROUND(N(资金日记账!$H83),2))=0,"",IF(N(资金日记账!$H83)=0,"",ROUND(N(资金日记账!$H83),2))))</f>
        <v/>
      </c>
      <c r="P90" t="str">
        <f>IF($G90=0,"",IF(资金日记账!$L83=0,"",资金日记账!$L83))</f>
        <v/>
      </c>
      <c r="T90" t="str">
        <f>IF(资金日记账!$G90="","",资金日记账!$G90)</f>
        <v/>
      </c>
      <c r="U90">
        <f t="shared" si="21"/>
        <v>0</v>
      </c>
      <c r="V90">
        <f t="shared" si="22"/>
        <v>0</v>
      </c>
      <c r="Z90" t="str">
        <f>IF(成本费用登记表!$C90="","",成本费用登记表!$C90)</f>
        <v/>
      </c>
      <c r="AA90">
        <f t="shared" si="23"/>
        <v>0</v>
      </c>
      <c r="AB90">
        <f t="shared" si="24"/>
        <v>0</v>
      </c>
      <c r="AD90" t="str">
        <f>IFERROR(INDEX($Z$4:$Z$303,MATCH(87,$AB$4:$AB$303,0)),"")</f>
        <v/>
      </c>
      <c r="AF90" t="str">
        <f>IF(OR(资金日记账!$E90="",N(资金日记账!$H90)=0),"",资金日记账!$E90)</f>
        <v/>
      </c>
      <c r="AG90">
        <f t="shared" si="25"/>
        <v>0</v>
      </c>
      <c r="AH90">
        <f t="shared" si="26"/>
        <v>0</v>
      </c>
    </row>
    <row r="91" spans="1:34">
      <c r="A91" t="str">
        <f>IF(进销存对接!$D91="客户应收",进销存对接!$C91,"")</f>
        <v/>
      </c>
      <c r="B91">
        <f t="shared" si="16"/>
        <v>0</v>
      </c>
      <c r="C91">
        <f t="shared" si="17"/>
        <v>0</v>
      </c>
      <c r="E91" t="str">
        <f t="shared" si="18"/>
        <v/>
      </c>
      <c r="G91">
        <f>IF(OR($G$1="",资金日记账!$E84="",资金日记账!$E84&lt;&gt;$G$1),0,IF(NOT(OR(N(资金日记账!$H84)&lt;&gt;0,N(资金日记账!$I84)&lt;&gt;0)),0,IF(资金日记账!$B84="",1,IF(OR(N(资金日记账!$B84)&lt;$H$1,N(资金日记账!$B84)&gt;$I$1),0,1))))</f>
        <v>0</v>
      </c>
      <c r="H91">
        <f t="shared" si="19"/>
        <v>0</v>
      </c>
      <c r="I91" t="str">
        <f>IF($G91=0,"",IF(资金日记账!$B84=0,"",资金日记账!$B84))</f>
        <v/>
      </c>
      <c r="J91" t="str">
        <f>IF($G91=0,"",IF(资金日记账!$D84=0,"",资金日记账!$D84))</f>
        <v/>
      </c>
      <c r="K91" t="str">
        <f t="shared" si="27"/>
        <v/>
      </c>
      <c r="L91" t="str">
        <f t="shared" si="28"/>
        <v/>
      </c>
      <c r="M91" t="str">
        <f t="shared" si="20"/>
        <v/>
      </c>
      <c r="N91" t="str">
        <f>IF($G91=0,"",IF(IF(N(资金日记账!$I84)=0,"",-ROUND(N(资金日记账!$I84),2))=0,"",IF(N(资金日记账!$I84)=0,"",-ROUND(N(资金日记账!$I84),2))))</f>
        <v/>
      </c>
      <c r="O91" t="str">
        <f>IF($G91=0,"",IF(IF(N(资金日记账!$H84)=0,"",ROUND(N(资金日记账!$H84),2))=0,"",IF(N(资金日记账!$H84)=0,"",ROUND(N(资金日记账!$H84),2))))</f>
        <v/>
      </c>
      <c r="P91" t="str">
        <f>IF($G91=0,"",IF(资金日记账!$L84=0,"",资金日记账!$L84))</f>
        <v/>
      </c>
      <c r="T91" t="str">
        <f>IF(资金日记账!$G91="","",资金日记账!$G91)</f>
        <v/>
      </c>
      <c r="U91">
        <f t="shared" si="21"/>
        <v>0</v>
      </c>
      <c r="V91">
        <f t="shared" si="22"/>
        <v>0</v>
      </c>
      <c r="Z91" t="str">
        <f>IF(成本费用登记表!$C91="","",成本费用登记表!$C91)</f>
        <v/>
      </c>
      <c r="AA91">
        <f t="shared" si="23"/>
        <v>0</v>
      </c>
      <c r="AB91">
        <f t="shared" si="24"/>
        <v>0</v>
      </c>
      <c r="AD91" t="str">
        <f>IFERROR(INDEX($Z$4:$Z$303,MATCH(88,$AB$4:$AB$303,0)),"")</f>
        <v/>
      </c>
      <c r="AF91" t="str">
        <f>IF(OR(资金日记账!$E91="",N(资金日记账!$H91)=0),"",资金日记账!$E91)</f>
        <v/>
      </c>
      <c r="AG91">
        <f t="shared" si="25"/>
        <v>0</v>
      </c>
      <c r="AH91">
        <f t="shared" si="26"/>
        <v>0</v>
      </c>
    </row>
    <row r="92" spans="1:34">
      <c r="A92" t="str">
        <f>IF(进销存对接!$D92="客户应收",进销存对接!$C92,"")</f>
        <v/>
      </c>
      <c r="B92">
        <f t="shared" si="16"/>
        <v>0</v>
      </c>
      <c r="C92">
        <f t="shared" si="17"/>
        <v>0</v>
      </c>
      <c r="E92" t="str">
        <f t="shared" si="18"/>
        <v/>
      </c>
      <c r="G92">
        <f>IF(OR($G$1="",资金日记账!$E85="",资金日记账!$E85&lt;&gt;$G$1),0,IF(NOT(OR(N(资金日记账!$H85)&lt;&gt;0,N(资金日记账!$I85)&lt;&gt;0)),0,IF(资金日记账!$B85="",1,IF(OR(N(资金日记账!$B85)&lt;$H$1,N(资金日记账!$B85)&gt;$I$1),0,1))))</f>
        <v>0</v>
      </c>
      <c r="H92">
        <f t="shared" si="19"/>
        <v>0</v>
      </c>
      <c r="I92" t="str">
        <f>IF($G92=0,"",IF(资金日记账!$B85=0,"",资金日记账!$B85))</f>
        <v/>
      </c>
      <c r="J92" t="str">
        <f>IF($G92=0,"",IF(资金日记账!$D85=0,"",资金日记账!$D85))</f>
        <v/>
      </c>
      <c r="K92" t="str">
        <f t="shared" si="27"/>
        <v/>
      </c>
      <c r="L92" t="str">
        <f t="shared" si="28"/>
        <v/>
      </c>
      <c r="M92" t="str">
        <f t="shared" si="20"/>
        <v/>
      </c>
      <c r="N92" t="str">
        <f>IF($G92=0,"",IF(IF(N(资金日记账!$I85)=0,"",-ROUND(N(资金日记账!$I85),2))=0,"",IF(N(资金日记账!$I85)=0,"",-ROUND(N(资金日记账!$I85),2))))</f>
        <v/>
      </c>
      <c r="O92" t="str">
        <f>IF($G92=0,"",IF(IF(N(资金日记账!$H85)=0,"",ROUND(N(资金日记账!$H85),2))=0,"",IF(N(资金日记账!$H85)=0,"",ROUND(N(资金日记账!$H85),2))))</f>
        <v/>
      </c>
      <c r="P92" t="str">
        <f>IF($G92=0,"",IF(资金日记账!$L85=0,"",资金日记账!$L85))</f>
        <v/>
      </c>
      <c r="T92" t="str">
        <f>IF(资金日记账!$G92="","",资金日记账!$G92)</f>
        <v/>
      </c>
      <c r="U92">
        <f t="shared" si="21"/>
        <v>0</v>
      </c>
      <c r="V92">
        <f t="shared" si="22"/>
        <v>0</v>
      </c>
      <c r="Z92" t="str">
        <f>IF(成本费用登记表!$C92="","",成本费用登记表!$C92)</f>
        <v/>
      </c>
      <c r="AA92">
        <f t="shared" si="23"/>
        <v>0</v>
      </c>
      <c r="AB92">
        <f t="shared" si="24"/>
        <v>0</v>
      </c>
      <c r="AD92" t="str">
        <f>IFERROR(INDEX($Z$4:$Z$303,MATCH(89,$AB$4:$AB$303,0)),"")</f>
        <v/>
      </c>
      <c r="AF92" t="str">
        <f>IF(OR(资金日记账!$E92="",N(资金日记账!$H92)=0),"",资金日记账!$E92)</f>
        <v/>
      </c>
      <c r="AG92">
        <f t="shared" si="25"/>
        <v>0</v>
      </c>
      <c r="AH92">
        <f t="shared" si="26"/>
        <v>0</v>
      </c>
    </row>
    <row r="93" spans="1:34">
      <c r="A93" t="str">
        <f>IF(进销存对接!$D93="客户应收",进销存对接!$C93,"")</f>
        <v/>
      </c>
      <c r="B93">
        <f t="shared" si="16"/>
        <v>0</v>
      </c>
      <c r="C93">
        <f t="shared" si="17"/>
        <v>0</v>
      </c>
      <c r="E93" t="str">
        <f t="shared" si="18"/>
        <v/>
      </c>
      <c r="G93">
        <f>IF(OR($G$1="",资金日记账!$E86="",资金日记账!$E86&lt;&gt;$G$1),0,IF(NOT(OR(N(资金日记账!$H86)&lt;&gt;0,N(资金日记账!$I86)&lt;&gt;0)),0,IF(资金日记账!$B86="",1,IF(OR(N(资金日记账!$B86)&lt;$H$1,N(资金日记账!$B86)&gt;$I$1),0,1))))</f>
        <v>0</v>
      </c>
      <c r="H93">
        <f t="shared" si="19"/>
        <v>0</v>
      </c>
      <c r="I93" t="str">
        <f>IF($G93=0,"",IF(资金日记账!$B86=0,"",资金日记账!$B86))</f>
        <v/>
      </c>
      <c r="J93" t="str">
        <f>IF($G93=0,"",IF(资金日记账!$D86=0,"",资金日记账!$D86))</f>
        <v/>
      </c>
      <c r="K93" t="str">
        <f t="shared" si="27"/>
        <v/>
      </c>
      <c r="L93" t="str">
        <f t="shared" si="28"/>
        <v/>
      </c>
      <c r="M93" t="str">
        <f t="shared" si="20"/>
        <v/>
      </c>
      <c r="N93" t="str">
        <f>IF($G93=0,"",IF(IF(N(资金日记账!$I86)=0,"",-ROUND(N(资金日记账!$I86),2))=0,"",IF(N(资金日记账!$I86)=0,"",-ROUND(N(资金日记账!$I86),2))))</f>
        <v/>
      </c>
      <c r="O93" t="str">
        <f>IF($G93=0,"",IF(IF(N(资金日记账!$H86)=0,"",ROUND(N(资金日记账!$H86),2))=0,"",IF(N(资金日记账!$H86)=0,"",ROUND(N(资金日记账!$H86),2))))</f>
        <v/>
      </c>
      <c r="P93" t="str">
        <f>IF($G93=0,"",IF(资金日记账!$L86=0,"",资金日记账!$L86))</f>
        <v/>
      </c>
      <c r="T93" t="str">
        <f>IF(资金日记账!$G93="","",资金日记账!$G93)</f>
        <v/>
      </c>
      <c r="U93">
        <f t="shared" si="21"/>
        <v>0</v>
      </c>
      <c r="V93">
        <f t="shared" si="22"/>
        <v>0</v>
      </c>
      <c r="Z93" t="str">
        <f>IF(成本费用登记表!$C93="","",成本费用登记表!$C93)</f>
        <v/>
      </c>
      <c r="AA93">
        <f t="shared" si="23"/>
        <v>0</v>
      </c>
      <c r="AB93">
        <f t="shared" si="24"/>
        <v>0</v>
      </c>
      <c r="AD93" t="str">
        <f>IFERROR(INDEX($Z$4:$Z$303,MATCH(90,$AB$4:$AB$303,0)),"")</f>
        <v/>
      </c>
      <c r="AF93" t="str">
        <f>IF(OR(资金日记账!$E93="",N(资金日记账!$H93)=0),"",资金日记账!$E93)</f>
        <v/>
      </c>
      <c r="AG93">
        <f t="shared" si="25"/>
        <v>0</v>
      </c>
      <c r="AH93">
        <f t="shared" si="26"/>
        <v>0</v>
      </c>
    </row>
    <row r="94" spans="1:34">
      <c r="A94" t="str">
        <f>IF(进销存对接!$D94="客户应收",进销存对接!$C94,"")</f>
        <v/>
      </c>
      <c r="B94">
        <f t="shared" si="16"/>
        <v>0</v>
      </c>
      <c r="C94">
        <f t="shared" si="17"/>
        <v>0</v>
      </c>
      <c r="E94" t="str">
        <f t="shared" si="18"/>
        <v/>
      </c>
      <c r="G94">
        <f>IF(OR($G$1="",资金日记账!$E87="",资金日记账!$E87&lt;&gt;$G$1),0,IF(NOT(OR(N(资金日记账!$H87)&lt;&gt;0,N(资金日记账!$I87)&lt;&gt;0)),0,IF(资金日记账!$B87="",1,IF(OR(N(资金日记账!$B87)&lt;$H$1,N(资金日记账!$B87)&gt;$I$1),0,1))))</f>
        <v>0</v>
      </c>
      <c r="H94">
        <f t="shared" si="19"/>
        <v>0</v>
      </c>
      <c r="I94" t="str">
        <f>IF($G94=0,"",IF(资金日记账!$B87=0,"",资金日记账!$B87))</f>
        <v/>
      </c>
      <c r="J94" t="str">
        <f>IF($G94=0,"",IF(资金日记账!$D87=0,"",资金日记账!$D87))</f>
        <v/>
      </c>
      <c r="K94" t="str">
        <f t="shared" si="27"/>
        <v/>
      </c>
      <c r="L94" t="str">
        <f t="shared" si="28"/>
        <v/>
      </c>
      <c r="M94" t="str">
        <f t="shared" si="20"/>
        <v/>
      </c>
      <c r="N94" t="str">
        <f>IF($G94=0,"",IF(IF(N(资金日记账!$I87)=0,"",-ROUND(N(资金日记账!$I87),2))=0,"",IF(N(资金日记账!$I87)=0,"",-ROUND(N(资金日记账!$I87),2))))</f>
        <v/>
      </c>
      <c r="O94" t="str">
        <f>IF($G94=0,"",IF(IF(N(资金日记账!$H87)=0,"",ROUND(N(资金日记账!$H87),2))=0,"",IF(N(资金日记账!$H87)=0,"",ROUND(N(资金日记账!$H87),2))))</f>
        <v/>
      </c>
      <c r="P94" t="str">
        <f>IF($G94=0,"",IF(资金日记账!$L87=0,"",资金日记账!$L87))</f>
        <v/>
      </c>
      <c r="T94" t="str">
        <f>IF(资金日记账!$G94="","",资金日记账!$G94)</f>
        <v/>
      </c>
      <c r="U94">
        <f t="shared" si="21"/>
        <v>0</v>
      </c>
      <c r="V94">
        <f t="shared" si="22"/>
        <v>0</v>
      </c>
      <c r="Z94" t="str">
        <f>IF(成本费用登记表!$C94="","",成本费用登记表!$C94)</f>
        <v/>
      </c>
      <c r="AA94">
        <f t="shared" si="23"/>
        <v>0</v>
      </c>
      <c r="AB94">
        <f t="shared" si="24"/>
        <v>0</v>
      </c>
      <c r="AD94" t="str">
        <f>IFERROR(INDEX($Z$4:$Z$303,MATCH(91,$AB$4:$AB$303,0)),"")</f>
        <v/>
      </c>
      <c r="AF94" t="str">
        <f>IF(OR(资金日记账!$E94="",N(资金日记账!$H94)=0),"",资金日记账!$E94)</f>
        <v/>
      </c>
      <c r="AG94">
        <f t="shared" si="25"/>
        <v>0</v>
      </c>
      <c r="AH94">
        <f t="shared" si="26"/>
        <v>0</v>
      </c>
    </row>
    <row r="95" spans="1:34">
      <c r="A95" t="str">
        <f>IF(进销存对接!$D95="客户应收",进销存对接!$C95,"")</f>
        <v/>
      </c>
      <c r="B95">
        <f t="shared" si="16"/>
        <v>0</v>
      </c>
      <c r="C95">
        <f t="shared" si="17"/>
        <v>0</v>
      </c>
      <c r="E95" t="str">
        <f t="shared" si="18"/>
        <v/>
      </c>
      <c r="G95">
        <f>IF(OR($G$1="",资金日记账!$E88="",资金日记账!$E88&lt;&gt;$G$1),0,IF(NOT(OR(N(资金日记账!$H88)&lt;&gt;0,N(资金日记账!$I88)&lt;&gt;0)),0,IF(资金日记账!$B88="",1,IF(OR(N(资金日记账!$B88)&lt;$H$1,N(资金日记账!$B88)&gt;$I$1),0,1))))</f>
        <v>0</v>
      </c>
      <c r="H95">
        <f t="shared" si="19"/>
        <v>0</v>
      </c>
      <c r="I95" t="str">
        <f>IF($G95=0,"",IF(资金日记账!$B88=0,"",资金日记账!$B88))</f>
        <v/>
      </c>
      <c r="J95" t="str">
        <f>IF($G95=0,"",IF(资金日记账!$D88=0,"",资金日记账!$D88))</f>
        <v/>
      </c>
      <c r="K95" t="str">
        <f t="shared" si="27"/>
        <v/>
      </c>
      <c r="L95" t="str">
        <f t="shared" si="28"/>
        <v/>
      </c>
      <c r="M95" t="str">
        <f t="shared" si="20"/>
        <v/>
      </c>
      <c r="N95" t="str">
        <f>IF($G95=0,"",IF(IF(N(资金日记账!$I88)=0,"",-ROUND(N(资金日记账!$I88),2))=0,"",IF(N(资金日记账!$I88)=0,"",-ROUND(N(资金日记账!$I88),2))))</f>
        <v/>
      </c>
      <c r="O95" t="str">
        <f>IF($G95=0,"",IF(IF(N(资金日记账!$H88)=0,"",ROUND(N(资金日记账!$H88),2))=0,"",IF(N(资金日记账!$H88)=0,"",ROUND(N(资金日记账!$H88),2))))</f>
        <v/>
      </c>
      <c r="P95" t="str">
        <f>IF($G95=0,"",IF(资金日记账!$L88=0,"",资金日记账!$L88))</f>
        <v/>
      </c>
      <c r="T95" t="str">
        <f>IF(资金日记账!$G95="","",资金日记账!$G95)</f>
        <v/>
      </c>
      <c r="U95">
        <f t="shared" si="21"/>
        <v>0</v>
      </c>
      <c r="V95">
        <f t="shared" si="22"/>
        <v>0</v>
      </c>
      <c r="Z95" t="str">
        <f>IF(成本费用登记表!$C95="","",成本费用登记表!$C95)</f>
        <v/>
      </c>
      <c r="AA95">
        <f t="shared" si="23"/>
        <v>0</v>
      </c>
      <c r="AB95">
        <f t="shared" si="24"/>
        <v>0</v>
      </c>
      <c r="AD95" t="str">
        <f>IFERROR(INDEX($Z$4:$Z$303,MATCH(92,$AB$4:$AB$303,0)),"")</f>
        <v/>
      </c>
      <c r="AF95" t="str">
        <f>IF(OR(资金日记账!$E95="",N(资金日记账!$H95)=0),"",资金日记账!$E95)</f>
        <v/>
      </c>
      <c r="AG95">
        <f t="shared" si="25"/>
        <v>0</v>
      </c>
      <c r="AH95">
        <f t="shared" si="26"/>
        <v>0</v>
      </c>
    </row>
    <row r="96" spans="1:34">
      <c r="A96" t="str">
        <f>IF(进销存对接!$D96="客户应收",进销存对接!$C96,"")</f>
        <v/>
      </c>
      <c r="B96">
        <f t="shared" si="16"/>
        <v>0</v>
      </c>
      <c r="C96">
        <f t="shared" si="17"/>
        <v>0</v>
      </c>
      <c r="E96" t="str">
        <f t="shared" si="18"/>
        <v/>
      </c>
      <c r="G96">
        <f>IF(OR($G$1="",资金日记账!$E89="",资金日记账!$E89&lt;&gt;$G$1),0,IF(NOT(OR(N(资金日记账!$H89)&lt;&gt;0,N(资金日记账!$I89)&lt;&gt;0)),0,IF(资金日记账!$B89="",1,IF(OR(N(资金日记账!$B89)&lt;$H$1,N(资金日记账!$B89)&gt;$I$1),0,1))))</f>
        <v>0</v>
      </c>
      <c r="H96">
        <f t="shared" si="19"/>
        <v>0</v>
      </c>
      <c r="I96" t="str">
        <f>IF($G96=0,"",IF(资金日记账!$B89=0,"",资金日记账!$B89))</f>
        <v/>
      </c>
      <c r="J96" t="str">
        <f>IF($G96=0,"",IF(资金日记账!$D89=0,"",资金日记账!$D89))</f>
        <v/>
      </c>
      <c r="K96" t="str">
        <f t="shared" si="27"/>
        <v/>
      </c>
      <c r="L96" t="str">
        <f t="shared" si="28"/>
        <v/>
      </c>
      <c r="M96" t="str">
        <f t="shared" si="20"/>
        <v/>
      </c>
      <c r="N96" t="str">
        <f>IF($G96=0,"",IF(IF(N(资金日记账!$I89)=0,"",-ROUND(N(资金日记账!$I89),2))=0,"",IF(N(资金日记账!$I89)=0,"",-ROUND(N(资金日记账!$I89),2))))</f>
        <v/>
      </c>
      <c r="O96" t="str">
        <f>IF($G96=0,"",IF(IF(N(资金日记账!$H89)=0,"",ROUND(N(资金日记账!$H89),2))=0,"",IF(N(资金日记账!$H89)=0,"",ROUND(N(资金日记账!$H89),2))))</f>
        <v/>
      </c>
      <c r="P96" t="str">
        <f>IF($G96=0,"",IF(资金日记账!$L89=0,"",资金日记账!$L89))</f>
        <v/>
      </c>
      <c r="T96" t="str">
        <f>IF(资金日记账!$G96="","",资金日记账!$G96)</f>
        <v/>
      </c>
      <c r="U96">
        <f t="shared" si="21"/>
        <v>0</v>
      </c>
      <c r="V96">
        <f t="shared" si="22"/>
        <v>0</v>
      </c>
      <c r="Z96" t="str">
        <f>IF(成本费用登记表!$C96="","",成本费用登记表!$C96)</f>
        <v/>
      </c>
      <c r="AA96">
        <f t="shared" si="23"/>
        <v>0</v>
      </c>
      <c r="AB96">
        <f t="shared" si="24"/>
        <v>0</v>
      </c>
      <c r="AD96" t="str">
        <f>IFERROR(INDEX($Z$4:$Z$303,MATCH(93,$AB$4:$AB$303,0)),"")</f>
        <v/>
      </c>
      <c r="AF96" t="str">
        <f>IF(OR(资金日记账!$E96="",N(资金日记账!$H96)=0),"",资金日记账!$E96)</f>
        <v/>
      </c>
      <c r="AG96">
        <f t="shared" si="25"/>
        <v>0</v>
      </c>
      <c r="AH96">
        <f t="shared" si="26"/>
        <v>0</v>
      </c>
    </row>
    <row r="97" spans="1:34">
      <c r="A97" t="str">
        <f>IF(进销存对接!$D97="客户应收",进销存对接!$C97,"")</f>
        <v/>
      </c>
      <c r="B97">
        <f t="shared" si="16"/>
        <v>0</v>
      </c>
      <c r="C97">
        <f t="shared" si="17"/>
        <v>0</v>
      </c>
      <c r="E97" t="str">
        <f t="shared" si="18"/>
        <v/>
      </c>
      <c r="G97">
        <f>IF(OR($G$1="",资金日记账!$E90="",资金日记账!$E90&lt;&gt;$G$1),0,IF(NOT(OR(N(资金日记账!$H90)&lt;&gt;0,N(资金日记账!$I90)&lt;&gt;0)),0,IF(资金日记账!$B90="",1,IF(OR(N(资金日记账!$B90)&lt;$H$1,N(资金日记账!$B90)&gt;$I$1),0,1))))</f>
        <v>0</v>
      </c>
      <c r="H97">
        <f t="shared" si="19"/>
        <v>0</v>
      </c>
      <c r="I97" t="str">
        <f>IF($G97=0,"",IF(资金日记账!$B90=0,"",资金日记账!$B90))</f>
        <v/>
      </c>
      <c r="J97" t="str">
        <f>IF($G97=0,"",IF(资金日记账!$D90=0,"",资金日记账!$D90))</f>
        <v/>
      </c>
      <c r="K97" t="str">
        <f t="shared" si="27"/>
        <v/>
      </c>
      <c r="L97" t="str">
        <f t="shared" si="28"/>
        <v/>
      </c>
      <c r="M97" t="str">
        <f t="shared" si="20"/>
        <v/>
      </c>
      <c r="N97" t="str">
        <f>IF($G97=0,"",IF(IF(N(资金日记账!$I90)=0,"",-ROUND(N(资金日记账!$I90),2))=0,"",IF(N(资金日记账!$I90)=0,"",-ROUND(N(资金日记账!$I90),2))))</f>
        <v/>
      </c>
      <c r="O97" t="str">
        <f>IF($G97=0,"",IF(IF(N(资金日记账!$H90)=0,"",ROUND(N(资金日记账!$H90),2))=0,"",IF(N(资金日记账!$H90)=0,"",ROUND(N(资金日记账!$H90),2))))</f>
        <v/>
      </c>
      <c r="P97" t="str">
        <f>IF($G97=0,"",IF(资金日记账!$L90=0,"",资金日记账!$L90))</f>
        <v/>
      </c>
      <c r="T97" t="str">
        <f>IF(资金日记账!$G97="","",资金日记账!$G97)</f>
        <v/>
      </c>
      <c r="U97">
        <f t="shared" si="21"/>
        <v>0</v>
      </c>
      <c r="V97">
        <f t="shared" si="22"/>
        <v>0</v>
      </c>
      <c r="Z97" t="str">
        <f>IF(成本费用登记表!$C97="","",成本费用登记表!$C97)</f>
        <v/>
      </c>
      <c r="AA97">
        <f t="shared" si="23"/>
        <v>0</v>
      </c>
      <c r="AB97">
        <f t="shared" si="24"/>
        <v>0</v>
      </c>
      <c r="AD97" t="str">
        <f>IFERROR(INDEX($Z$4:$Z$303,MATCH(94,$AB$4:$AB$303,0)),"")</f>
        <v/>
      </c>
      <c r="AF97" t="str">
        <f>IF(OR(资金日记账!$E97="",N(资金日记账!$H97)=0),"",资金日记账!$E97)</f>
        <v/>
      </c>
      <c r="AG97">
        <f t="shared" si="25"/>
        <v>0</v>
      </c>
      <c r="AH97">
        <f t="shared" si="26"/>
        <v>0</v>
      </c>
    </row>
    <row r="98" spans="1:34">
      <c r="A98" t="str">
        <f>IF(进销存对接!$D98="客户应收",进销存对接!$C98,"")</f>
        <v/>
      </c>
      <c r="B98">
        <f t="shared" si="16"/>
        <v>0</v>
      </c>
      <c r="C98">
        <f t="shared" si="17"/>
        <v>0</v>
      </c>
      <c r="E98" t="str">
        <f t="shared" si="18"/>
        <v/>
      </c>
      <c r="G98">
        <f>IF(OR($G$1="",资金日记账!$E91="",资金日记账!$E91&lt;&gt;$G$1),0,IF(NOT(OR(N(资金日记账!$H91)&lt;&gt;0,N(资金日记账!$I91)&lt;&gt;0)),0,IF(资金日记账!$B91="",1,IF(OR(N(资金日记账!$B91)&lt;$H$1,N(资金日记账!$B91)&gt;$I$1),0,1))))</f>
        <v>0</v>
      </c>
      <c r="H98">
        <f t="shared" si="19"/>
        <v>0</v>
      </c>
      <c r="I98" t="str">
        <f>IF($G98=0,"",IF(资金日记账!$B91=0,"",资金日记账!$B91))</f>
        <v/>
      </c>
      <c r="J98" t="str">
        <f>IF($G98=0,"",IF(资金日记账!$D91=0,"",资金日记账!$D91))</f>
        <v/>
      </c>
      <c r="K98" t="str">
        <f t="shared" si="27"/>
        <v/>
      </c>
      <c r="L98" t="str">
        <f t="shared" si="28"/>
        <v/>
      </c>
      <c r="M98" t="str">
        <f t="shared" si="20"/>
        <v/>
      </c>
      <c r="N98" t="str">
        <f>IF($G98=0,"",IF(IF(N(资金日记账!$I91)=0,"",-ROUND(N(资金日记账!$I91),2))=0,"",IF(N(资金日记账!$I91)=0,"",-ROUND(N(资金日记账!$I91),2))))</f>
        <v/>
      </c>
      <c r="O98" t="str">
        <f>IF($G98=0,"",IF(IF(N(资金日记账!$H91)=0,"",ROUND(N(资金日记账!$H91),2))=0,"",IF(N(资金日记账!$H91)=0,"",ROUND(N(资金日记账!$H91),2))))</f>
        <v/>
      </c>
      <c r="P98" t="str">
        <f>IF($G98=0,"",IF(资金日记账!$L91=0,"",资金日记账!$L91))</f>
        <v/>
      </c>
      <c r="T98" t="str">
        <f>IF(资金日记账!$G98="","",资金日记账!$G98)</f>
        <v/>
      </c>
      <c r="U98">
        <f t="shared" si="21"/>
        <v>0</v>
      </c>
      <c r="V98">
        <f t="shared" si="22"/>
        <v>0</v>
      </c>
      <c r="Z98" t="str">
        <f>IF(成本费用登记表!$C98="","",成本费用登记表!$C98)</f>
        <v/>
      </c>
      <c r="AA98">
        <f t="shared" si="23"/>
        <v>0</v>
      </c>
      <c r="AB98">
        <f t="shared" si="24"/>
        <v>0</v>
      </c>
      <c r="AD98" t="str">
        <f>IFERROR(INDEX($Z$4:$Z$303,MATCH(95,$AB$4:$AB$303,0)),"")</f>
        <v/>
      </c>
      <c r="AF98" t="str">
        <f>IF(OR(资金日记账!$E98="",N(资金日记账!$H98)=0),"",资金日记账!$E98)</f>
        <v/>
      </c>
      <c r="AG98">
        <f t="shared" si="25"/>
        <v>0</v>
      </c>
      <c r="AH98">
        <f t="shared" si="26"/>
        <v>0</v>
      </c>
    </row>
    <row r="99" spans="1:34">
      <c r="A99" t="str">
        <f>IF(进销存对接!$D99="客户应收",进销存对接!$C99,"")</f>
        <v/>
      </c>
      <c r="B99">
        <f t="shared" si="16"/>
        <v>0</v>
      </c>
      <c r="C99">
        <f t="shared" si="17"/>
        <v>0</v>
      </c>
      <c r="E99" t="str">
        <f t="shared" si="18"/>
        <v/>
      </c>
      <c r="G99">
        <f>IF(OR($G$1="",资金日记账!$E92="",资金日记账!$E92&lt;&gt;$G$1),0,IF(NOT(OR(N(资金日记账!$H92)&lt;&gt;0,N(资金日记账!$I92)&lt;&gt;0)),0,IF(资金日记账!$B92="",1,IF(OR(N(资金日记账!$B92)&lt;$H$1,N(资金日记账!$B92)&gt;$I$1),0,1))))</f>
        <v>0</v>
      </c>
      <c r="H99">
        <f t="shared" si="19"/>
        <v>0</v>
      </c>
      <c r="I99" t="str">
        <f>IF($G99=0,"",IF(资金日记账!$B92=0,"",资金日记账!$B92))</f>
        <v/>
      </c>
      <c r="J99" t="str">
        <f>IF($G99=0,"",IF(资金日记账!$D92=0,"",资金日记账!$D92))</f>
        <v/>
      </c>
      <c r="K99" t="str">
        <f t="shared" si="27"/>
        <v/>
      </c>
      <c r="L99" t="str">
        <f t="shared" si="28"/>
        <v/>
      </c>
      <c r="M99" t="str">
        <f t="shared" si="20"/>
        <v/>
      </c>
      <c r="N99" t="str">
        <f>IF($G99=0,"",IF(IF(N(资金日记账!$I92)=0,"",-ROUND(N(资金日记账!$I92),2))=0,"",IF(N(资金日记账!$I92)=0,"",-ROUND(N(资金日记账!$I92),2))))</f>
        <v/>
      </c>
      <c r="O99" t="str">
        <f>IF($G99=0,"",IF(IF(N(资金日记账!$H92)=0,"",ROUND(N(资金日记账!$H92),2))=0,"",IF(N(资金日记账!$H92)=0,"",ROUND(N(资金日记账!$H92),2))))</f>
        <v/>
      </c>
      <c r="P99" t="str">
        <f>IF($G99=0,"",IF(资金日记账!$L92=0,"",资金日记账!$L92))</f>
        <v/>
      </c>
      <c r="T99" t="str">
        <f>IF(资金日记账!$G99="","",资金日记账!$G99)</f>
        <v/>
      </c>
      <c r="U99">
        <f t="shared" si="21"/>
        <v>0</v>
      </c>
      <c r="V99">
        <f t="shared" si="22"/>
        <v>0</v>
      </c>
      <c r="Z99" t="str">
        <f>IF(成本费用登记表!$C99="","",成本费用登记表!$C99)</f>
        <v/>
      </c>
      <c r="AA99">
        <f t="shared" si="23"/>
        <v>0</v>
      </c>
      <c r="AB99">
        <f t="shared" si="24"/>
        <v>0</v>
      </c>
      <c r="AD99" t="str">
        <f>IFERROR(INDEX($Z$4:$Z$303,MATCH(96,$AB$4:$AB$303,0)),"")</f>
        <v/>
      </c>
      <c r="AF99" t="str">
        <f>IF(OR(资金日记账!$E99="",N(资金日记账!$H99)=0),"",资金日记账!$E99)</f>
        <v/>
      </c>
      <c r="AG99">
        <f t="shared" si="25"/>
        <v>0</v>
      </c>
      <c r="AH99">
        <f t="shared" si="26"/>
        <v>0</v>
      </c>
    </row>
    <row r="100" spans="1:34">
      <c r="A100" t="str">
        <f>IF(进销存对接!$D100="客户应收",进销存对接!$C100,"")</f>
        <v/>
      </c>
      <c r="B100">
        <f t="shared" si="16"/>
        <v>0</v>
      </c>
      <c r="C100">
        <f t="shared" si="17"/>
        <v>0</v>
      </c>
      <c r="E100" t="str">
        <f t="shared" si="18"/>
        <v/>
      </c>
      <c r="G100">
        <f>IF(OR($G$1="",资金日记账!$E93="",资金日记账!$E93&lt;&gt;$G$1),0,IF(NOT(OR(N(资金日记账!$H93)&lt;&gt;0,N(资金日记账!$I93)&lt;&gt;0)),0,IF(资金日记账!$B93="",1,IF(OR(N(资金日记账!$B93)&lt;$H$1,N(资金日记账!$B93)&gt;$I$1),0,1))))</f>
        <v>0</v>
      </c>
      <c r="H100">
        <f t="shared" si="19"/>
        <v>0</v>
      </c>
      <c r="I100" t="str">
        <f>IF($G100=0,"",IF(资金日记账!$B93=0,"",资金日记账!$B93))</f>
        <v/>
      </c>
      <c r="J100" t="str">
        <f>IF($G100=0,"",IF(资金日记账!$D93=0,"",资金日记账!$D93))</f>
        <v/>
      </c>
      <c r="K100" t="str">
        <f t="shared" si="27"/>
        <v/>
      </c>
      <c r="L100" t="str">
        <f t="shared" si="28"/>
        <v/>
      </c>
      <c r="M100" t="str">
        <f t="shared" si="20"/>
        <v/>
      </c>
      <c r="N100" t="str">
        <f>IF($G100=0,"",IF(IF(N(资金日记账!$I93)=0,"",-ROUND(N(资金日记账!$I93),2))=0,"",IF(N(资金日记账!$I93)=0,"",-ROUND(N(资金日记账!$I93),2))))</f>
        <v/>
      </c>
      <c r="O100" t="str">
        <f>IF($G100=0,"",IF(IF(N(资金日记账!$H93)=0,"",ROUND(N(资金日记账!$H93),2))=0,"",IF(N(资金日记账!$H93)=0,"",ROUND(N(资金日记账!$H93),2))))</f>
        <v/>
      </c>
      <c r="P100" t="str">
        <f>IF($G100=0,"",IF(资金日记账!$L93=0,"",资金日记账!$L93))</f>
        <v/>
      </c>
      <c r="T100" t="str">
        <f>IF(资金日记账!$G100="","",资金日记账!$G100)</f>
        <v/>
      </c>
      <c r="U100">
        <f t="shared" si="21"/>
        <v>0</v>
      </c>
      <c r="V100">
        <f t="shared" si="22"/>
        <v>0</v>
      </c>
      <c r="Z100" t="str">
        <f>IF(成本费用登记表!$C100="","",成本费用登记表!$C100)</f>
        <v/>
      </c>
      <c r="AA100">
        <f t="shared" si="23"/>
        <v>0</v>
      </c>
      <c r="AB100">
        <f t="shared" si="24"/>
        <v>0</v>
      </c>
      <c r="AD100" t="str">
        <f>IFERROR(INDEX($Z$4:$Z$303,MATCH(97,$AB$4:$AB$303,0)),"")</f>
        <v/>
      </c>
      <c r="AF100" t="str">
        <f>IF(OR(资金日记账!$E100="",N(资金日记账!$H100)=0),"",资金日记账!$E100)</f>
        <v/>
      </c>
      <c r="AG100">
        <f t="shared" si="25"/>
        <v>0</v>
      </c>
      <c r="AH100">
        <f t="shared" si="26"/>
        <v>0</v>
      </c>
    </row>
    <row r="101" spans="1:34">
      <c r="A101" t="str">
        <f>IF(进销存对接!$D101="客户应收",进销存对接!$C101,"")</f>
        <v/>
      </c>
      <c r="B101">
        <f t="shared" si="16"/>
        <v>0</v>
      </c>
      <c r="C101">
        <f t="shared" si="17"/>
        <v>0</v>
      </c>
      <c r="E101" t="str">
        <f t="shared" si="18"/>
        <v/>
      </c>
      <c r="G101">
        <f>IF(OR($G$1="",资金日记账!$E94="",资金日记账!$E94&lt;&gt;$G$1),0,IF(NOT(OR(N(资金日记账!$H94)&lt;&gt;0,N(资金日记账!$I94)&lt;&gt;0)),0,IF(资金日记账!$B94="",1,IF(OR(N(资金日记账!$B94)&lt;$H$1,N(资金日记账!$B94)&gt;$I$1),0,1))))</f>
        <v>0</v>
      </c>
      <c r="H101">
        <f t="shared" si="19"/>
        <v>0</v>
      </c>
      <c r="I101" t="str">
        <f>IF($G101=0,"",IF(资金日记账!$B94=0,"",资金日记账!$B94))</f>
        <v/>
      </c>
      <c r="J101" t="str">
        <f>IF($G101=0,"",IF(资金日记账!$D94=0,"",资金日记账!$D94))</f>
        <v/>
      </c>
      <c r="K101" t="str">
        <f t="shared" si="27"/>
        <v/>
      </c>
      <c r="L101" t="str">
        <f t="shared" si="28"/>
        <v/>
      </c>
      <c r="M101" t="str">
        <f t="shared" si="20"/>
        <v/>
      </c>
      <c r="N101" t="str">
        <f>IF($G101=0,"",IF(IF(N(资金日记账!$I94)=0,"",-ROUND(N(资金日记账!$I94),2))=0,"",IF(N(资金日记账!$I94)=0,"",-ROUND(N(资金日记账!$I94),2))))</f>
        <v/>
      </c>
      <c r="O101" t="str">
        <f>IF($G101=0,"",IF(IF(N(资金日记账!$H94)=0,"",ROUND(N(资金日记账!$H94),2))=0,"",IF(N(资金日记账!$H94)=0,"",ROUND(N(资金日记账!$H94),2))))</f>
        <v/>
      </c>
      <c r="P101" t="str">
        <f>IF($G101=0,"",IF(资金日记账!$L94=0,"",资金日记账!$L94))</f>
        <v/>
      </c>
      <c r="T101" t="str">
        <f>IF(资金日记账!$G101="","",资金日记账!$G101)</f>
        <v/>
      </c>
      <c r="U101">
        <f t="shared" si="21"/>
        <v>0</v>
      </c>
      <c r="V101">
        <f t="shared" si="22"/>
        <v>0</v>
      </c>
      <c r="Z101" t="str">
        <f>IF(成本费用登记表!$C101="","",成本费用登记表!$C101)</f>
        <v/>
      </c>
      <c r="AA101">
        <f t="shared" si="23"/>
        <v>0</v>
      </c>
      <c r="AB101">
        <f t="shared" si="24"/>
        <v>0</v>
      </c>
      <c r="AD101" t="str">
        <f>IFERROR(INDEX($Z$4:$Z$303,MATCH(98,$AB$4:$AB$303,0)),"")</f>
        <v/>
      </c>
      <c r="AF101" t="str">
        <f>IF(OR(资金日记账!$E101="",N(资金日记账!$H101)=0),"",资金日记账!$E101)</f>
        <v/>
      </c>
      <c r="AG101">
        <f t="shared" si="25"/>
        <v>0</v>
      </c>
      <c r="AH101">
        <f t="shared" si="26"/>
        <v>0</v>
      </c>
    </row>
    <row r="102" spans="1:34">
      <c r="A102" t="str">
        <f>IF(进销存对接!$D102="客户应收",进销存对接!$C102,"")</f>
        <v/>
      </c>
      <c r="B102">
        <f t="shared" si="16"/>
        <v>0</v>
      </c>
      <c r="C102">
        <f t="shared" si="17"/>
        <v>0</v>
      </c>
      <c r="E102" t="str">
        <f t="shared" si="18"/>
        <v/>
      </c>
      <c r="G102">
        <f>IF(OR($G$1="",资金日记账!$E95="",资金日记账!$E95&lt;&gt;$G$1),0,IF(NOT(OR(N(资金日记账!$H95)&lt;&gt;0,N(资金日记账!$I95)&lt;&gt;0)),0,IF(资金日记账!$B95="",1,IF(OR(N(资金日记账!$B95)&lt;$H$1,N(资金日记账!$B95)&gt;$I$1),0,1))))</f>
        <v>0</v>
      </c>
      <c r="H102">
        <f t="shared" si="19"/>
        <v>0</v>
      </c>
      <c r="I102" t="str">
        <f>IF($G102=0,"",IF(资金日记账!$B95=0,"",资金日记账!$B95))</f>
        <v/>
      </c>
      <c r="J102" t="str">
        <f>IF($G102=0,"",IF(资金日记账!$D95=0,"",资金日记账!$D95))</f>
        <v/>
      </c>
      <c r="K102" t="str">
        <f t="shared" si="27"/>
        <v/>
      </c>
      <c r="L102" t="str">
        <f t="shared" si="28"/>
        <v/>
      </c>
      <c r="M102" t="str">
        <f t="shared" si="20"/>
        <v/>
      </c>
      <c r="N102" t="str">
        <f>IF($G102=0,"",IF(IF(N(资金日记账!$I95)=0,"",-ROUND(N(资金日记账!$I95),2))=0,"",IF(N(资金日记账!$I95)=0,"",-ROUND(N(资金日记账!$I95),2))))</f>
        <v/>
      </c>
      <c r="O102" t="str">
        <f>IF($G102=0,"",IF(IF(N(资金日记账!$H95)=0,"",ROUND(N(资金日记账!$H95),2))=0,"",IF(N(资金日记账!$H95)=0,"",ROUND(N(资金日记账!$H95),2))))</f>
        <v/>
      </c>
      <c r="P102" t="str">
        <f>IF($G102=0,"",IF(资金日记账!$L95=0,"",资金日记账!$L95))</f>
        <v/>
      </c>
      <c r="T102" t="str">
        <f>IF(资金日记账!$G102="","",资金日记账!$G102)</f>
        <v/>
      </c>
      <c r="U102">
        <f t="shared" si="21"/>
        <v>0</v>
      </c>
      <c r="V102">
        <f t="shared" si="22"/>
        <v>0</v>
      </c>
      <c r="Z102" t="str">
        <f>IF(成本费用登记表!$C102="","",成本费用登记表!$C102)</f>
        <v/>
      </c>
      <c r="AA102">
        <f t="shared" si="23"/>
        <v>0</v>
      </c>
      <c r="AB102">
        <f t="shared" si="24"/>
        <v>0</v>
      </c>
      <c r="AD102" t="str">
        <f>IFERROR(INDEX($Z$4:$Z$303,MATCH(99,$AB$4:$AB$303,0)),"")</f>
        <v/>
      </c>
      <c r="AF102" t="str">
        <f>IF(OR(资金日记账!$E102="",N(资金日记账!$H102)=0),"",资金日记账!$E102)</f>
        <v/>
      </c>
      <c r="AG102">
        <f t="shared" si="25"/>
        <v>0</v>
      </c>
      <c r="AH102">
        <f t="shared" si="26"/>
        <v>0</v>
      </c>
    </row>
    <row r="103" spans="1:34">
      <c r="A103" t="str">
        <f>IF(进销存对接!$D103="客户应收",进销存对接!$C103,"")</f>
        <v/>
      </c>
      <c r="B103">
        <f t="shared" si="16"/>
        <v>0</v>
      </c>
      <c r="C103">
        <f t="shared" si="17"/>
        <v>0</v>
      </c>
      <c r="E103" t="str">
        <f t="shared" si="18"/>
        <v/>
      </c>
      <c r="G103">
        <f>IF(OR($G$1="",资金日记账!$E96="",资金日记账!$E96&lt;&gt;$G$1),0,IF(NOT(OR(N(资金日记账!$H96)&lt;&gt;0,N(资金日记账!$I96)&lt;&gt;0)),0,IF(资金日记账!$B96="",1,IF(OR(N(资金日记账!$B96)&lt;$H$1,N(资金日记账!$B96)&gt;$I$1),0,1))))</f>
        <v>0</v>
      </c>
      <c r="H103">
        <f t="shared" si="19"/>
        <v>0</v>
      </c>
      <c r="I103" t="str">
        <f>IF($G103=0,"",IF(资金日记账!$B96=0,"",资金日记账!$B96))</f>
        <v/>
      </c>
      <c r="J103" t="str">
        <f>IF($G103=0,"",IF(资金日记账!$D96=0,"",资金日记账!$D96))</f>
        <v/>
      </c>
      <c r="K103" t="str">
        <f t="shared" si="27"/>
        <v/>
      </c>
      <c r="L103" t="str">
        <f t="shared" si="28"/>
        <v/>
      </c>
      <c r="M103" t="str">
        <f t="shared" si="20"/>
        <v/>
      </c>
      <c r="N103" t="str">
        <f>IF($G103=0,"",IF(IF(N(资金日记账!$I96)=0,"",-ROUND(N(资金日记账!$I96),2))=0,"",IF(N(资金日记账!$I96)=0,"",-ROUND(N(资金日记账!$I96),2))))</f>
        <v/>
      </c>
      <c r="O103" t="str">
        <f>IF($G103=0,"",IF(IF(N(资金日记账!$H96)=0,"",ROUND(N(资金日记账!$H96),2))=0,"",IF(N(资金日记账!$H96)=0,"",ROUND(N(资金日记账!$H96),2))))</f>
        <v/>
      </c>
      <c r="P103" t="str">
        <f>IF($G103=0,"",IF(资金日记账!$L96=0,"",资金日记账!$L96))</f>
        <v/>
      </c>
      <c r="T103" t="str">
        <f>IF(资金日记账!$G103="","",资金日记账!$G103)</f>
        <v/>
      </c>
      <c r="U103">
        <f t="shared" si="21"/>
        <v>0</v>
      </c>
      <c r="V103">
        <f t="shared" si="22"/>
        <v>0</v>
      </c>
      <c r="Z103" t="str">
        <f>IF(成本费用登记表!$C103="","",成本费用登记表!$C103)</f>
        <v/>
      </c>
      <c r="AA103">
        <f t="shared" si="23"/>
        <v>0</v>
      </c>
      <c r="AB103">
        <f t="shared" si="24"/>
        <v>0</v>
      </c>
      <c r="AD103" t="str">
        <f>IFERROR(INDEX($Z$4:$Z$303,MATCH(100,$AB$4:$AB$303,0)),"")</f>
        <v/>
      </c>
      <c r="AF103" t="str">
        <f>IF(OR(资金日记账!$E103="",N(资金日记账!$H103)=0),"",资金日记账!$E103)</f>
        <v/>
      </c>
      <c r="AG103">
        <f t="shared" si="25"/>
        <v>0</v>
      </c>
      <c r="AH103">
        <f t="shared" si="26"/>
        <v>0</v>
      </c>
    </row>
    <row r="104" spans="1:34">
      <c r="A104" t="str">
        <f>IF(进销存对接!$D104="客户应收",进销存对接!$C104,"")</f>
        <v/>
      </c>
      <c r="B104">
        <f t="shared" si="16"/>
        <v>0</v>
      </c>
      <c r="C104">
        <f t="shared" si="17"/>
        <v>0</v>
      </c>
      <c r="E104" t="str">
        <f t="shared" si="18"/>
        <v/>
      </c>
      <c r="G104">
        <f>IF(OR($G$1="",资金日记账!$E97="",资金日记账!$E97&lt;&gt;$G$1),0,IF(NOT(OR(N(资金日记账!$H97)&lt;&gt;0,N(资金日记账!$I97)&lt;&gt;0)),0,IF(资金日记账!$B97="",1,IF(OR(N(资金日记账!$B97)&lt;$H$1,N(资金日记账!$B97)&gt;$I$1),0,1))))</f>
        <v>0</v>
      </c>
      <c r="H104">
        <f t="shared" si="19"/>
        <v>0</v>
      </c>
      <c r="I104" t="str">
        <f>IF($G104=0,"",IF(资金日记账!$B97=0,"",资金日记账!$B97))</f>
        <v/>
      </c>
      <c r="J104" t="str">
        <f>IF($G104=0,"",IF(资金日记账!$D97=0,"",资金日记账!$D97))</f>
        <v/>
      </c>
      <c r="K104" t="str">
        <f t="shared" si="27"/>
        <v/>
      </c>
      <c r="L104" t="str">
        <f t="shared" si="28"/>
        <v/>
      </c>
      <c r="M104" t="str">
        <f t="shared" si="20"/>
        <v/>
      </c>
      <c r="N104" t="str">
        <f>IF($G104=0,"",IF(IF(N(资金日记账!$I97)=0,"",-ROUND(N(资金日记账!$I97),2))=0,"",IF(N(资金日记账!$I97)=0,"",-ROUND(N(资金日记账!$I97),2))))</f>
        <v/>
      </c>
      <c r="O104" t="str">
        <f>IF($G104=0,"",IF(IF(N(资金日记账!$H97)=0,"",ROUND(N(资金日记账!$H97),2))=0,"",IF(N(资金日记账!$H97)=0,"",ROUND(N(资金日记账!$H97),2))))</f>
        <v/>
      </c>
      <c r="P104" t="str">
        <f>IF($G104=0,"",IF(资金日记账!$L97=0,"",资金日记账!$L97))</f>
        <v/>
      </c>
      <c r="T104" t="str">
        <f>IF(资金日记账!$G104="","",资金日记账!$G104)</f>
        <v/>
      </c>
      <c r="U104">
        <f t="shared" si="21"/>
        <v>0</v>
      </c>
      <c r="V104">
        <f t="shared" si="22"/>
        <v>0</v>
      </c>
      <c r="Z104" t="str">
        <f>IF(成本费用登记表!$C104="","",成本费用登记表!$C104)</f>
        <v/>
      </c>
      <c r="AA104">
        <f t="shared" si="23"/>
        <v>0</v>
      </c>
      <c r="AB104">
        <f t="shared" si="24"/>
        <v>0</v>
      </c>
      <c r="AD104" t="str">
        <f>IFERROR(INDEX($Z$4:$Z$303,MATCH(101,$AB$4:$AB$303,0)),"")</f>
        <v/>
      </c>
      <c r="AF104" t="str">
        <f>IF(OR(资金日记账!$E104="",N(资金日记账!$H104)=0),"",资金日记账!$E104)</f>
        <v/>
      </c>
      <c r="AG104">
        <f t="shared" si="25"/>
        <v>0</v>
      </c>
      <c r="AH104">
        <f t="shared" si="26"/>
        <v>0</v>
      </c>
    </row>
    <row r="105" spans="1:34">
      <c r="A105" t="str">
        <f>IF(进销存对接!$D105="客户应收",进销存对接!$C105,"")</f>
        <v/>
      </c>
      <c r="B105">
        <f t="shared" si="16"/>
        <v>0</v>
      </c>
      <c r="C105">
        <f t="shared" si="17"/>
        <v>0</v>
      </c>
      <c r="E105" t="str">
        <f t="shared" si="18"/>
        <v/>
      </c>
      <c r="G105">
        <f>IF(OR($G$1="",资金日记账!$E98="",资金日记账!$E98&lt;&gt;$G$1),0,IF(NOT(OR(N(资金日记账!$H98)&lt;&gt;0,N(资金日记账!$I98)&lt;&gt;0)),0,IF(资金日记账!$B98="",1,IF(OR(N(资金日记账!$B98)&lt;$H$1,N(资金日记账!$B98)&gt;$I$1),0,1))))</f>
        <v>0</v>
      </c>
      <c r="H105">
        <f t="shared" si="19"/>
        <v>0</v>
      </c>
      <c r="I105" t="str">
        <f>IF($G105=0,"",IF(资金日记账!$B98=0,"",资金日记账!$B98))</f>
        <v/>
      </c>
      <c r="J105" t="str">
        <f>IF($G105=0,"",IF(资金日记账!$D98=0,"",资金日记账!$D98))</f>
        <v/>
      </c>
      <c r="K105" t="str">
        <f t="shared" si="27"/>
        <v/>
      </c>
      <c r="L105" t="str">
        <f t="shared" si="28"/>
        <v/>
      </c>
      <c r="M105" t="str">
        <f t="shared" si="20"/>
        <v/>
      </c>
      <c r="N105" t="str">
        <f>IF($G105=0,"",IF(IF(N(资金日记账!$I98)=0,"",-ROUND(N(资金日记账!$I98),2))=0,"",IF(N(资金日记账!$I98)=0,"",-ROUND(N(资金日记账!$I98),2))))</f>
        <v/>
      </c>
      <c r="O105" t="str">
        <f>IF($G105=0,"",IF(IF(N(资金日记账!$H98)=0,"",ROUND(N(资金日记账!$H98),2))=0,"",IF(N(资金日记账!$H98)=0,"",ROUND(N(资金日记账!$H98),2))))</f>
        <v/>
      </c>
      <c r="P105" t="str">
        <f>IF($G105=0,"",IF(资金日记账!$L98=0,"",资金日记账!$L98))</f>
        <v/>
      </c>
      <c r="T105" t="str">
        <f>IF(资金日记账!$G105="","",资金日记账!$G105)</f>
        <v/>
      </c>
      <c r="U105">
        <f t="shared" si="21"/>
        <v>0</v>
      </c>
      <c r="V105">
        <f t="shared" si="22"/>
        <v>0</v>
      </c>
      <c r="Z105" t="str">
        <f>IF(成本费用登记表!$C105="","",成本费用登记表!$C105)</f>
        <v/>
      </c>
      <c r="AA105">
        <f t="shared" si="23"/>
        <v>0</v>
      </c>
      <c r="AB105">
        <f t="shared" si="24"/>
        <v>0</v>
      </c>
      <c r="AD105" t="str">
        <f>IFERROR(INDEX($Z$4:$Z$303,MATCH(102,$AB$4:$AB$303,0)),"")</f>
        <v/>
      </c>
      <c r="AF105" t="str">
        <f>IF(OR(资金日记账!$E105="",N(资金日记账!$H105)=0),"",资金日记账!$E105)</f>
        <v/>
      </c>
      <c r="AG105">
        <f t="shared" si="25"/>
        <v>0</v>
      </c>
      <c r="AH105">
        <f t="shared" si="26"/>
        <v>0</v>
      </c>
    </row>
    <row r="106" spans="1:34">
      <c r="A106" t="str">
        <f>IF(进销存对接!$D106="客户应收",进销存对接!$C106,"")</f>
        <v/>
      </c>
      <c r="B106">
        <f t="shared" si="16"/>
        <v>0</v>
      </c>
      <c r="C106">
        <f t="shared" si="17"/>
        <v>0</v>
      </c>
      <c r="E106" t="str">
        <f t="shared" si="18"/>
        <v/>
      </c>
      <c r="G106">
        <f>IF(OR($G$1="",资金日记账!$E99="",资金日记账!$E99&lt;&gt;$G$1),0,IF(NOT(OR(N(资金日记账!$H99)&lt;&gt;0,N(资金日记账!$I99)&lt;&gt;0)),0,IF(资金日记账!$B99="",1,IF(OR(N(资金日记账!$B99)&lt;$H$1,N(资金日记账!$B99)&gt;$I$1),0,1))))</f>
        <v>0</v>
      </c>
      <c r="H106">
        <f t="shared" si="19"/>
        <v>0</v>
      </c>
      <c r="I106" t="str">
        <f>IF($G106=0,"",IF(资金日记账!$B99=0,"",资金日记账!$B99))</f>
        <v/>
      </c>
      <c r="J106" t="str">
        <f>IF($G106=0,"",IF(资金日记账!$D99=0,"",资金日记账!$D99))</f>
        <v/>
      </c>
      <c r="K106" t="str">
        <f t="shared" si="27"/>
        <v/>
      </c>
      <c r="L106" t="str">
        <f t="shared" si="28"/>
        <v/>
      </c>
      <c r="M106" t="str">
        <f t="shared" si="20"/>
        <v/>
      </c>
      <c r="N106" t="str">
        <f>IF($G106=0,"",IF(IF(N(资金日记账!$I99)=0,"",-ROUND(N(资金日记账!$I99),2))=0,"",IF(N(资金日记账!$I99)=0,"",-ROUND(N(资金日记账!$I99),2))))</f>
        <v/>
      </c>
      <c r="O106" t="str">
        <f>IF($G106=0,"",IF(IF(N(资金日记账!$H99)=0,"",ROUND(N(资金日记账!$H99),2))=0,"",IF(N(资金日记账!$H99)=0,"",ROUND(N(资金日记账!$H99),2))))</f>
        <v/>
      </c>
      <c r="P106" t="str">
        <f>IF($G106=0,"",IF(资金日记账!$L99=0,"",资金日记账!$L99))</f>
        <v/>
      </c>
      <c r="T106" t="str">
        <f>IF(资金日记账!$G106="","",资金日记账!$G106)</f>
        <v/>
      </c>
      <c r="U106">
        <f t="shared" si="21"/>
        <v>0</v>
      </c>
      <c r="V106">
        <f t="shared" si="22"/>
        <v>0</v>
      </c>
      <c r="Z106" t="str">
        <f>IF(成本费用登记表!$C106="","",成本费用登记表!$C106)</f>
        <v/>
      </c>
      <c r="AA106">
        <f t="shared" si="23"/>
        <v>0</v>
      </c>
      <c r="AB106">
        <f t="shared" si="24"/>
        <v>0</v>
      </c>
      <c r="AD106" t="str">
        <f>IFERROR(INDEX($Z$4:$Z$303,MATCH(103,$AB$4:$AB$303,0)),"")</f>
        <v/>
      </c>
      <c r="AF106" t="str">
        <f>IF(OR(资金日记账!$E106="",N(资金日记账!$H106)=0),"",资金日记账!$E106)</f>
        <v/>
      </c>
      <c r="AG106">
        <f t="shared" si="25"/>
        <v>0</v>
      </c>
      <c r="AH106">
        <f t="shared" si="26"/>
        <v>0</v>
      </c>
    </row>
    <row r="107" spans="1:34">
      <c r="A107" t="str">
        <f>IF(进销存对接!$D107="客户应收",进销存对接!$C107,"")</f>
        <v/>
      </c>
      <c r="B107">
        <f t="shared" si="16"/>
        <v>0</v>
      </c>
      <c r="C107">
        <f t="shared" si="17"/>
        <v>0</v>
      </c>
      <c r="E107" t="str">
        <f t="shared" si="18"/>
        <v/>
      </c>
      <c r="G107">
        <f>IF(OR($G$1="",资金日记账!$E100="",资金日记账!$E100&lt;&gt;$G$1),0,IF(NOT(OR(N(资金日记账!$H100)&lt;&gt;0,N(资金日记账!$I100)&lt;&gt;0)),0,IF(资金日记账!$B100="",1,IF(OR(N(资金日记账!$B100)&lt;$H$1,N(资金日记账!$B100)&gt;$I$1),0,1))))</f>
        <v>0</v>
      </c>
      <c r="H107">
        <f t="shared" si="19"/>
        <v>0</v>
      </c>
      <c r="I107" t="str">
        <f>IF($G107=0,"",IF(资金日记账!$B100=0,"",资金日记账!$B100))</f>
        <v/>
      </c>
      <c r="J107" t="str">
        <f>IF($G107=0,"",IF(资金日记账!$D100=0,"",资金日记账!$D100))</f>
        <v/>
      </c>
      <c r="K107" t="str">
        <f t="shared" si="27"/>
        <v/>
      </c>
      <c r="L107" t="str">
        <f t="shared" si="28"/>
        <v/>
      </c>
      <c r="M107" t="str">
        <f t="shared" si="20"/>
        <v/>
      </c>
      <c r="N107" t="str">
        <f>IF($G107=0,"",IF(IF(N(资金日记账!$I100)=0,"",-ROUND(N(资金日记账!$I100),2))=0,"",IF(N(资金日记账!$I100)=0,"",-ROUND(N(资金日记账!$I100),2))))</f>
        <v/>
      </c>
      <c r="O107" t="str">
        <f>IF($G107=0,"",IF(IF(N(资金日记账!$H100)=0,"",ROUND(N(资金日记账!$H100),2))=0,"",IF(N(资金日记账!$H100)=0,"",ROUND(N(资金日记账!$H100),2))))</f>
        <v/>
      </c>
      <c r="P107" t="str">
        <f>IF($G107=0,"",IF(资金日记账!$L100=0,"",资金日记账!$L100))</f>
        <v/>
      </c>
      <c r="T107" t="str">
        <f>IF(资金日记账!$G107="","",资金日记账!$G107)</f>
        <v/>
      </c>
      <c r="U107">
        <f t="shared" si="21"/>
        <v>0</v>
      </c>
      <c r="V107">
        <f t="shared" si="22"/>
        <v>0</v>
      </c>
      <c r="Z107" t="str">
        <f>IF(成本费用登记表!$C107="","",成本费用登记表!$C107)</f>
        <v/>
      </c>
      <c r="AA107">
        <f t="shared" si="23"/>
        <v>0</v>
      </c>
      <c r="AB107">
        <f t="shared" si="24"/>
        <v>0</v>
      </c>
      <c r="AD107" t="str">
        <f>IFERROR(INDEX($Z$4:$Z$303,MATCH(104,$AB$4:$AB$303,0)),"")</f>
        <v/>
      </c>
      <c r="AF107" t="str">
        <f>IF(OR(资金日记账!$E107="",N(资金日记账!$H107)=0),"",资金日记账!$E107)</f>
        <v/>
      </c>
      <c r="AG107">
        <f t="shared" si="25"/>
        <v>0</v>
      </c>
      <c r="AH107">
        <f t="shared" si="26"/>
        <v>0</v>
      </c>
    </row>
    <row r="108" spans="1:34">
      <c r="A108" t="str">
        <f>IF(进销存对接!$D108="客户应收",进销存对接!$C108,"")</f>
        <v/>
      </c>
      <c r="B108">
        <f t="shared" si="16"/>
        <v>0</v>
      </c>
      <c r="C108">
        <f t="shared" si="17"/>
        <v>0</v>
      </c>
      <c r="E108" t="str">
        <f t="shared" si="18"/>
        <v/>
      </c>
      <c r="G108">
        <f>IF(OR($G$1="",资金日记账!$E101="",资金日记账!$E101&lt;&gt;$G$1),0,IF(NOT(OR(N(资金日记账!$H101)&lt;&gt;0,N(资金日记账!$I101)&lt;&gt;0)),0,IF(资金日记账!$B101="",1,IF(OR(N(资金日记账!$B101)&lt;$H$1,N(资金日记账!$B101)&gt;$I$1),0,1))))</f>
        <v>0</v>
      </c>
      <c r="H108">
        <f t="shared" si="19"/>
        <v>0</v>
      </c>
      <c r="I108" t="str">
        <f>IF($G108=0,"",IF(资金日记账!$B101=0,"",资金日记账!$B101))</f>
        <v/>
      </c>
      <c r="J108" t="str">
        <f>IF($G108=0,"",IF(资金日记账!$D101=0,"",资金日记账!$D101))</f>
        <v/>
      </c>
      <c r="K108" t="str">
        <f t="shared" si="27"/>
        <v/>
      </c>
      <c r="L108" t="str">
        <f t="shared" si="28"/>
        <v/>
      </c>
      <c r="M108" t="str">
        <f t="shared" si="20"/>
        <v/>
      </c>
      <c r="N108" t="str">
        <f>IF($G108=0,"",IF(IF(N(资金日记账!$I101)=0,"",-ROUND(N(资金日记账!$I101),2))=0,"",IF(N(资金日记账!$I101)=0,"",-ROUND(N(资金日记账!$I101),2))))</f>
        <v/>
      </c>
      <c r="O108" t="str">
        <f>IF($G108=0,"",IF(IF(N(资金日记账!$H101)=0,"",ROUND(N(资金日记账!$H101),2))=0,"",IF(N(资金日记账!$H101)=0,"",ROUND(N(资金日记账!$H101),2))))</f>
        <v/>
      </c>
      <c r="P108" t="str">
        <f>IF($G108=0,"",IF(资金日记账!$L101=0,"",资金日记账!$L101))</f>
        <v/>
      </c>
      <c r="T108" t="str">
        <f>IF(资金日记账!$G108="","",资金日记账!$G108)</f>
        <v/>
      </c>
      <c r="U108">
        <f t="shared" si="21"/>
        <v>0</v>
      </c>
      <c r="V108">
        <f t="shared" si="22"/>
        <v>0</v>
      </c>
      <c r="Z108" t="str">
        <f>IF(成本费用登记表!$C108="","",成本费用登记表!$C108)</f>
        <v/>
      </c>
      <c r="AA108">
        <f t="shared" si="23"/>
        <v>0</v>
      </c>
      <c r="AB108">
        <f t="shared" si="24"/>
        <v>0</v>
      </c>
      <c r="AD108" t="str">
        <f>IFERROR(INDEX($Z$4:$Z$303,MATCH(105,$AB$4:$AB$303,0)),"")</f>
        <v/>
      </c>
      <c r="AF108" t="str">
        <f>IF(OR(资金日记账!$E108="",N(资金日记账!$H108)=0),"",资金日记账!$E108)</f>
        <v/>
      </c>
      <c r="AG108">
        <f t="shared" si="25"/>
        <v>0</v>
      </c>
      <c r="AH108">
        <f t="shared" si="26"/>
        <v>0</v>
      </c>
    </row>
    <row r="109" spans="1:34">
      <c r="A109" t="str">
        <f>IF(进销存对接!$D109="客户应收",进销存对接!$C109,"")</f>
        <v/>
      </c>
      <c r="B109">
        <f t="shared" si="16"/>
        <v>0</v>
      </c>
      <c r="C109">
        <f t="shared" si="17"/>
        <v>0</v>
      </c>
      <c r="E109" t="str">
        <f t="shared" si="18"/>
        <v/>
      </c>
      <c r="G109">
        <f>IF(OR($G$1="",资金日记账!$E102="",资金日记账!$E102&lt;&gt;$G$1),0,IF(NOT(OR(N(资金日记账!$H102)&lt;&gt;0,N(资金日记账!$I102)&lt;&gt;0)),0,IF(资金日记账!$B102="",1,IF(OR(N(资金日记账!$B102)&lt;$H$1,N(资金日记账!$B102)&gt;$I$1),0,1))))</f>
        <v>0</v>
      </c>
      <c r="H109">
        <f t="shared" si="19"/>
        <v>0</v>
      </c>
      <c r="I109" t="str">
        <f>IF($G109=0,"",IF(资金日记账!$B102=0,"",资金日记账!$B102))</f>
        <v/>
      </c>
      <c r="J109" t="str">
        <f>IF($G109=0,"",IF(资金日记账!$D102=0,"",资金日记账!$D102))</f>
        <v/>
      </c>
      <c r="K109" t="str">
        <f t="shared" si="27"/>
        <v/>
      </c>
      <c r="L109" t="str">
        <f t="shared" si="28"/>
        <v/>
      </c>
      <c r="M109" t="str">
        <f t="shared" si="20"/>
        <v/>
      </c>
      <c r="N109" t="str">
        <f>IF($G109=0,"",IF(IF(N(资金日记账!$I102)=0,"",-ROUND(N(资金日记账!$I102),2))=0,"",IF(N(资金日记账!$I102)=0,"",-ROUND(N(资金日记账!$I102),2))))</f>
        <v/>
      </c>
      <c r="O109" t="str">
        <f>IF($G109=0,"",IF(IF(N(资金日记账!$H102)=0,"",ROUND(N(资金日记账!$H102),2))=0,"",IF(N(资金日记账!$H102)=0,"",ROUND(N(资金日记账!$H102),2))))</f>
        <v/>
      </c>
      <c r="P109" t="str">
        <f>IF($G109=0,"",IF(资金日记账!$L102=0,"",资金日记账!$L102))</f>
        <v/>
      </c>
      <c r="T109" t="str">
        <f>IF(资金日记账!$G109="","",资金日记账!$G109)</f>
        <v/>
      </c>
      <c r="U109">
        <f t="shared" si="21"/>
        <v>0</v>
      </c>
      <c r="V109">
        <f t="shared" si="22"/>
        <v>0</v>
      </c>
      <c r="Z109" t="str">
        <f>IF(成本费用登记表!$C109="","",成本费用登记表!$C109)</f>
        <v/>
      </c>
      <c r="AA109">
        <f t="shared" si="23"/>
        <v>0</v>
      </c>
      <c r="AB109">
        <f t="shared" si="24"/>
        <v>0</v>
      </c>
      <c r="AD109" t="str">
        <f>IFERROR(INDEX($Z$4:$Z$303,MATCH(106,$AB$4:$AB$303,0)),"")</f>
        <v/>
      </c>
      <c r="AF109" t="str">
        <f>IF(OR(资金日记账!$E109="",N(资金日记账!$H109)=0),"",资金日记账!$E109)</f>
        <v/>
      </c>
      <c r="AG109">
        <f t="shared" si="25"/>
        <v>0</v>
      </c>
      <c r="AH109">
        <f t="shared" si="26"/>
        <v>0</v>
      </c>
    </row>
    <row r="110" spans="1:34">
      <c r="A110" t="str">
        <f>IF(进销存对接!$D110="客户应收",进销存对接!$C110,"")</f>
        <v/>
      </c>
      <c r="B110">
        <f t="shared" si="16"/>
        <v>0</v>
      </c>
      <c r="C110">
        <f t="shared" si="17"/>
        <v>0</v>
      </c>
      <c r="E110" t="str">
        <f t="shared" si="18"/>
        <v/>
      </c>
      <c r="G110">
        <f>IF(OR($G$1="",资金日记账!$E103="",资金日记账!$E103&lt;&gt;$G$1),0,IF(NOT(OR(N(资金日记账!$H103)&lt;&gt;0,N(资金日记账!$I103)&lt;&gt;0)),0,IF(资金日记账!$B103="",1,IF(OR(N(资金日记账!$B103)&lt;$H$1,N(资金日记账!$B103)&gt;$I$1),0,1))))</f>
        <v>0</v>
      </c>
      <c r="H110">
        <f t="shared" si="19"/>
        <v>0</v>
      </c>
      <c r="I110" t="str">
        <f>IF($G110=0,"",IF(资金日记账!$B103=0,"",资金日记账!$B103))</f>
        <v/>
      </c>
      <c r="J110" t="str">
        <f>IF($G110=0,"",IF(资金日记账!$D103=0,"",资金日记账!$D103))</f>
        <v/>
      </c>
      <c r="K110" t="str">
        <f t="shared" si="27"/>
        <v/>
      </c>
      <c r="L110" t="str">
        <f t="shared" si="28"/>
        <v/>
      </c>
      <c r="M110" t="str">
        <f t="shared" si="20"/>
        <v/>
      </c>
      <c r="N110" t="str">
        <f>IF($G110=0,"",IF(IF(N(资金日记账!$I103)=0,"",-ROUND(N(资金日记账!$I103),2))=0,"",IF(N(资金日记账!$I103)=0,"",-ROUND(N(资金日记账!$I103),2))))</f>
        <v/>
      </c>
      <c r="O110" t="str">
        <f>IF($G110=0,"",IF(IF(N(资金日记账!$H103)=0,"",ROUND(N(资金日记账!$H103),2))=0,"",IF(N(资金日记账!$H103)=0,"",ROUND(N(资金日记账!$H103),2))))</f>
        <v/>
      </c>
      <c r="P110" t="str">
        <f>IF($G110=0,"",IF(资金日记账!$L103=0,"",资金日记账!$L103))</f>
        <v/>
      </c>
      <c r="T110" t="str">
        <f>IF(资金日记账!$G110="","",资金日记账!$G110)</f>
        <v/>
      </c>
      <c r="U110">
        <f t="shared" si="21"/>
        <v>0</v>
      </c>
      <c r="V110">
        <f t="shared" si="22"/>
        <v>0</v>
      </c>
      <c r="Z110" t="str">
        <f>IF(成本费用登记表!$C110="","",成本费用登记表!$C110)</f>
        <v/>
      </c>
      <c r="AA110">
        <f t="shared" si="23"/>
        <v>0</v>
      </c>
      <c r="AB110">
        <f t="shared" si="24"/>
        <v>0</v>
      </c>
      <c r="AD110" t="str">
        <f>IFERROR(INDEX($Z$4:$Z$303,MATCH(107,$AB$4:$AB$303,0)),"")</f>
        <v/>
      </c>
      <c r="AF110" t="str">
        <f>IF(OR(资金日记账!$E110="",N(资金日记账!$H110)=0),"",资金日记账!$E110)</f>
        <v/>
      </c>
      <c r="AG110">
        <f t="shared" si="25"/>
        <v>0</v>
      </c>
      <c r="AH110">
        <f t="shared" si="26"/>
        <v>0</v>
      </c>
    </row>
    <row r="111" spans="1:34">
      <c r="A111" t="str">
        <f>IF(进销存对接!$D111="客户应收",进销存对接!$C111,"")</f>
        <v/>
      </c>
      <c r="B111">
        <f t="shared" si="16"/>
        <v>0</v>
      </c>
      <c r="C111">
        <f t="shared" si="17"/>
        <v>0</v>
      </c>
      <c r="E111" t="str">
        <f t="shared" si="18"/>
        <v/>
      </c>
      <c r="G111">
        <f>IF(OR($G$1="",资金日记账!$E104="",资金日记账!$E104&lt;&gt;$G$1),0,IF(NOT(OR(N(资金日记账!$H104)&lt;&gt;0,N(资金日记账!$I104)&lt;&gt;0)),0,IF(资金日记账!$B104="",1,IF(OR(N(资金日记账!$B104)&lt;$H$1,N(资金日记账!$B104)&gt;$I$1),0,1))))</f>
        <v>0</v>
      </c>
      <c r="H111">
        <f t="shared" si="19"/>
        <v>0</v>
      </c>
      <c r="I111" t="str">
        <f>IF($G111=0,"",IF(资金日记账!$B104=0,"",资金日记账!$B104))</f>
        <v/>
      </c>
      <c r="J111" t="str">
        <f>IF($G111=0,"",IF(资金日记账!$D104=0,"",资金日记账!$D104))</f>
        <v/>
      </c>
      <c r="K111" t="str">
        <f t="shared" si="27"/>
        <v/>
      </c>
      <c r="L111" t="str">
        <f t="shared" si="28"/>
        <v/>
      </c>
      <c r="M111" t="str">
        <f t="shared" si="20"/>
        <v/>
      </c>
      <c r="N111" t="str">
        <f>IF($G111=0,"",IF(IF(N(资金日记账!$I104)=0,"",-ROUND(N(资金日记账!$I104),2))=0,"",IF(N(资金日记账!$I104)=0,"",-ROUND(N(资金日记账!$I104),2))))</f>
        <v/>
      </c>
      <c r="O111" t="str">
        <f>IF($G111=0,"",IF(IF(N(资金日记账!$H104)=0,"",ROUND(N(资金日记账!$H104),2))=0,"",IF(N(资金日记账!$H104)=0,"",ROUND(N(资金日记账!$H104),2))))</f>
        <v/>
      </c>
      <c r="P111" t="str">
        <f>IF($G111=0,"",IF(资金日记账!$L104=0,"",资金日记账!$L104))</f>
        <v/>
      </c>
      <c r="T111" t="str">
        <f>IF(资金日记账!$G111="","",资金日记账!$G111)</f>
        <v/>
      </c>
      <c r="U111">
        <f t="shared" si="21"/>
        <v>0</v>
      </c>
      <c r="V111">
        <f t="shared" si="22"/>
        <v>0</v>
      </c>
      <c r="Z111" t="str">
        <f>IF(成本费用登记表!$C111="","",成本费用登记表!$C111)</f>
        <v/>
      </c>
      <c r="AA111">
        <f t="shared" si="23"/>
        <v>0</v>
      </c>
      <c r="AB111">
        <f t="shared" si="24"/>
        <v>0</v>
      </c>
      <c r="AD111" t="str">
        <f>IFERROR(INDEX($Z$4:$Z$303,MATCH(108,$AB$4:$AB$303,0)),"")</f>
        <v/>
      </c>
      <c r="AF111" t="str">
        <f>IF(OR(资金日记账!$E111="",N(资金日记账!$H111)=0),"",资金日记账!$E111)</f>
        <v/>
      </c>
      <c r="AG111">
        <f t="shared" si="25"/>
        <v>0</v>
      </c>
      <c r="AH111">
        <f t="shared" si="26"/>
        <v>0</v>
      </c>
    </row>
    <row r="112" spans="1:34">
      <c r="A112" t="str">
        <f>IF(进销存对接!$D112="客户应收",进销存对接!$C112,"")</f>
        <v/>
      </c>
      <c r="B112">
        <f t="shared" si="16"/>
        <v>0</v>
      </c>
      <c r="C112">
        <f t="shared" si="17"/>
        <v>0</v>
      </c>
      <c r="E112" t="str">
        <f t="shared" si="18"/>
        <v/>
      </c>
      <c r="G112">
        <f>IF(OR($G$1="",资金日记账!$E105="",资金日记账!$E105&lt;&gt;$G$1),0,IF(NOT(OR(N(资金日记账!$H105)&lt;&gt;0,N(资金日记账!$I105)&lt;&gt;0)),0,IF(资金日记账!$B105="",1,IF(OR(N(资金日记账!$B105)&lt;$H$1,N(资金日记账!$B105)&gt;$I$1),0,1))))</f>
        <v>0</v>
      </c>
      <c r="H112">
        <f t="shared" si="19"/>
        <v>0</v>
      </c>
      <c r="I112" t="str">
        <f>IF($G112=0,"",IF(资金日记账!$B105=0,"",资金日记账!$B105))</f>
        <v/>
      </c>
      <c r="J112" t="str">
        <f>IF($G112=0,"",IF(资金日记账!$D105=0,"",资金日记账!$D105))</f>
        <v/>
      </c>
      <c r="K112" t="str">
        <f t="shared" si="27"/>
        <v/>
      </c>
      <c r="L112" t="str">
        <f t="shared" si="28"/>
        <v/>
      </c>
      <c r="M112" t="str">
        <f t="shared" si="20"/>
        <v/>
      </c>
      <c r="N112" t="str">
        <f>IF($G112=0,"",IF(IF(N(资金日记账!$I105)=0,"",-ROUND(N(资金日记账!$I105),2))=0,"",IF(N(资金日记账!$I105)=0,"",-ROUND(N(资金日记账!$I105),2))))</f>
        <v/>
      </c>
      <c r="O112" t="str">
        <f>IF($G112=0,"",IF(IF(N(资金日记账!$H105)=0,"",ROUND(N(资金日记账!$H105),2))=0,"",IF(N(资金日记账!$H105)=0,"",ROUND(N(资金日记账!$H105),2))))</f>
        <v/>
      </c>
      <c r="P112" t="str">
        <f>IF($G112=0,"",IF(资金日记账!$L105=0,"",资金日记账!$L105))</f>
        <v/>
      </c>
      <c r="T112" t="str">
        <f>IF(资金日记账!$G112="","",资金日记账!$G112)</f>
        <v/>
      </c>
      <c r="U112">
        <f t="shared" si="21"/>
        <v>0</v>
      </c>
      <c r="V112">
        <f t="shared" si="22"/>
        <v>0</v>
      </c>
      <c r="Z112" t="str">
        <f>IF(成本费用登记表!$C112="","",成本费用登记表!$C112)</f>
        <v/>
      </c>
      <c r="AA112">
        <f t="shared" si="23"/>
        <v>0</v>
      </c>
      <c r="AB112">
        <f t="shared" si="24"/>
        <v>0</v>
      </c>
      <c r="AD112" t="str">
        <f>IFERROR(INDEX($Z$4:$Z$303,MATCH(109,$AB$4:$AB$303,0)),"")</f>
        <v/>
      </c>
      <c r="AF112" t="str">
        <f>IF(OR(资金日记账!$E112="",N(资金日记账!$H112)=0),"",资金日记账!$E112)</f>
        <v/>
      </c>
      <c r="AG112">
        <f t="shared" si="25"/>
        <v>0</v>
      </c>
      <c r="AH112">
        <f t="shared" si="26"/>
        <v>0</v>
      </c>
    </row>
    <row r="113" spans="1:34">
      <c r="A113" t="str">
        <f>IF(进销存对接!$D113="客户应收",进销存对接!$C113,"")</f>
        <v/>
      </c>
      <c r="B113">
        <f t="shared" si="16"/>
        <v>0</v>
      </c>
      <c r="C113">
        <f t="shared" si="17"/>
        <v>0</v>
      </c>
      <c r="E113" t="str">
        <f t="shared" si="18"/>
        <v/>
      </c>
      <c r="G113">
        <f>IF(OR($G$1="",资金日记账!$E106="",资金日记账!$E106&lt;&gt;$G$1),0,IF(NOT(OR(N(资金日记账!$H106)&lt;&gt;0,N(资金日记账!$I106)&lt;&gt;0)),0,IF(资金日记账!$B106="",1,IF(OR(N(资金日记账!$B106)&lt;$H$1,N(资金日记账!$B106)&gt;$I$1),0,1))))</f>
        <v>0</v>
      </c>
      <c r="H113">
        <f t="shared" si="19"/>
        <v>0</v>
      </c>
      <c r="I113" t="str">
        <f>IF($G113=0,"",IF(资金日记账!$B106=0,"",资金日记账!$B106))</f>
        <v/>
      </c>
      <c r="J113" t="str">
        <f>IF($G113=0,"",IF(资金日记账!$D106=0,"",资金日记账!$D106))</f>
        <v/>
      </c>
      <c r="K113" t="str">
        <f t="shared" si="27"/>
        <v/>
      </c>
      <c r="L113" t="str">
        <f t="shared" si="28"/>
        <v/>
      </c>
      <c r="M113" t="str">
        <f t="shared" si="20"/>
        <v/>
      </c>
      <c r="N113" t="str">
        <f>IF($G113=0,"",IF(IF(N(资金日记账!$I106)=0,"",-ROUND(N(资金日记账!$I106),2))=0,"",IF(N(资金日记账!$I106)=0,"",-ROUND(N(资金日记账!$I106),2))))</f>
        <v/>
      </c>
      <c r="O113" t="str">
        <f>IF($G113=0,"",IF(IF(N(资金日记账!$H106)=0,"",ROUND(N(资金日记账!$H106),2))=0,"",IF(N(资金日记账!$H106)=0,"",ROUND(N(资金日记账!$H106),2))))</f>
        <v/>
      </c>
      <c r="P113" t="str">
        <f>IF($G113=0,"",IF(资金日记账!$L106=0,"",资金日记账!$L106))</f>
        <v/>
      </c>
      <c r="T113" t="str">
        <f>IF(资金日记账!$G113="","",资金日记账!$G113)</f>
        <v/>
      </c>
      <c r="U113">
        <f t="shared" si="21"/>
        <v>0</v>
      </c>
      <c r="V113">
        <f t="shared" si="22"/>
        <v>0</v>
      </c>
      <c r="Z113" t="str">
        <f>IF(成本费用登记表!$C113="","",成本费用登记表!$C113)</f>
        <v/>
      </c>
      <c r="AA113">
        <f t="shared" si="23"/>
        <v>0</v>
      </c>
      <c r="AB113">
        <f t="shared" si="24"/>
        <v>0</v>
      </c>
      <c r="AD113" t="str">
        <f>IFERROR(INDEX($Z$4:$Z$303,MATCH(110,$AB$4:$AB$303,0)),"")</f>
        <v/>
      </c>
      <c r="AF113" t="str">
        <f>IF(OR(资金日记账!$E113="",N(资金日记账!$H113)=0),"",资金日记账!$E113)</f>
        <v/>
      </c>
      <c r="AG113">
        <f t="shared" si="25"/>
        <v>0</v>
      </c>
      <c r="AH113">
        <f t="shared" si="26"/>
        <v>0</v>
      </c>
    </row>
    <row r="114" spans="1:34">
      <c r="A114" t="str">
        <f>IF(进销存对接!$D114="客户应收",进销存对接!$C114,"")</f>
        <v/>
      </c>
      <c r="B114">
        <f t="shared" si="16"/>
        <v>0</v>
      </c>
      <c r="C114">
        <f t="shared" si="17"/>
        <v>0</v>
      </c>
      <c r="E114" t="str">
        <f t="shared" si="18"/>
        <v/>
      </c>
      <c r="G114">
        <f>IF(OR($G$1="",资金日记账!$E107="",资金日记账!$E107&lt;&gt;$G$1),0,IF(NOT(OR(N(资金日记账!$H107)&lt;&gt;0,N(资金日记账!$I107)&lt;&gt;0)),0,IF(资金日记账!$B107="",1,IF(OR(N(资金日记账!$B107)&lt;$H$1,N(资金日记账!$B107)&gt;$I$1),0,1))))</f>
        <v>0</v>
      </c>
      <c r="H114">
        <f t="shared" si="19"/>
        <v>0</v>
      </c>
      <c r="I114" t="str">
        <f>IF($G114=0,"",IF(资金日记账!$B107=0,"",资金日记账!$B107))</f>
        <v/>
      </c>
      <c r="J114" t="str">
        <f>IF($G114=0,"",IF(资金日记账!$D107=0,"",资金日记账!$D107))</f>
        <v/>
      </c>
      <c r="K114" t="str">
        <f t="shared" si="27"/>
        <v/>
      </c>
      <c r="L114" t="str">
        <f t="shared" si="28"/>
        <v/>
      </c>
      <c r="M114" t="str">
        <f t="shared" si="20"/>
        <v/>
      </c>
      <c r="N114" t="str">
        <f>IF($G114=0,"",IF(IF(N(资金日记账!$I107)=0,"",-ROUND(N(资金日记账!$I107),2))=0,"",IF(N(资金日记账!$I107)=0,"",-ROUND(N(资金日记账!$I107),2))))</f>
        <v/>
      </c>
      <c r="O114" t="str">
        <f>IF($G114=0,"",IF(IF(N(资金日记账!$H107)=0,"",ROUND(N(资金日记账!$H107),2))=0,"",IF(N(资金日记账!$H107)=0,"",ROUND(N(资金日记账!$H107),2))))</f>
        <v/>
      </c>
      <c r="P114" t="str">
        <f>IF($G114=0,"",IF(资金日记账!$L107=0,"",资金日记账!$L107))</f>
        <v/>
      </c>
      <c r="T114" t="str">
        <f>IF(资金日记账!$G114="","",资金日记账!$G114)</f>
        <v/>
      </c>
      <c r="U114">
        <f t="shared" si="21"/>
        <v>0</v>
      </c>
      <c r="V114">
        <f t="shared" si="22"/>
        <v>0</v>
      </c>
      <c r="Z114" t="str">
        <f>IF(成本费用登记表!$C114="","",成本费用登记表!$C114)</f>
        <v/>
      </c>
      <c r="AA114">
        <f t="shared" si="23"/>
        <v>0</v>
      </c>
      <c r="AB114">
        <f t="shared" si="24"/>
        <v>0</v>
      </c>
      <c r="AD114" t="str">
        <f>IFERROR(INDEX($Z$4:$Z$303,MATCH(111,$AB$4:$AB$303,0)),"")</f>
        <v/>
      </c>
      <c r="AF114" t="str">
        <f>IF(OR(资金日记账!$E114="",N(资金日记账!$H114)=0),"",资金日记账!$E114)</f>
        <v/>
      </c>
      <c r="AG114">
        <f t="shared" si="25"/>
        <v>0</v>
      </c>
      <c r="AH114">
        <f t="shared" si="26"/>
        <v>0</v>
      </c>
    </row>
    <row r="115" spans="1:34">
      <c r="A115" t="str">
        <f>IF(进销存对接!$D115="客户应收",进销存对接!$C115,"")</f>
        <v/>
      </c>
      <c r="B115">
        <f t="shared" si="16"/>
        <v>0</v>
      </c>
      <c r="C115">
        <f t="shared" si="17"/>
        <v>0</v>
      </c>
      <c r="E115" t="str">
        <f t="shared" si="18"/>
        <v/>
      </c>
      <c r="G115">
        <f>IF(OR($G$1="",资金日记账!$E108="",资金日记账!$E108&lt;&gt;$G$1),0,IF(NOT(OR(N(资金日记账!$H108)&lt;&gt;0,N(资金日记账!$I108)&lt;&gt;0)),0,IF(资金日记账!$B108="",1,IF(OR(N(资金日记账!$B108)&lt;$H$1,N(资金日记账!$B108)&gt;$I$1),0,1))))</f>
        <v>0</v>
      </c>
      <c r="H115">
        <f t="shared" si="19"/>
        <v>0</v>
      </c>
      <c r="I115" t="str">
        <f>IF($G115=0,"",IF(资金日记账!$B108=0,"",资金日记账!$B108))</f>
        <v/>
      </c>
      <c r="J115" t="str">
        <f>IF($G115=0,"",IF(资金日记账!$D108=0,"",资金日记账!$D108))</f>
        <v/>
      </c>
      <c r="K115" t="str">
        <f t="shared" si="27"/>
        <v/>
      </c>
      <c r="L115" t="str">
        <f t="shared" si="28"/>
        <v/>
      </c>
      <c r="M115" t="str">
        <f t="shared" si="20"/>
        <v/>
      </c>
      <c r="N115" t="str">
        <f>IF($G115=0,"",IF(IF(N(资金日记账!$I108)=0,"",-ROUND(N(资金日记账!$I108),2))=0,"",IF(N(资金日记账!$I108)=0,"",-ROUND(N(资金日记账!$I108),2))))</f>
        <v/>
      </c>
      <c r="O115" t="str">
        <f>IF($G115=0,"",IF(IF(N(资金日记账!$H108)=0,"",ROUND(N(资金日记账!$H108),2))=0,"",IF(N(资金日记账!$H108)=0,"",ROUND(N(资金日记账!$H108),2))))</f>
        <v/>
      </c>
      <c r="P115" t="str">
        <f>IF($G115=0,"",IF(资金日记账!$L108=0,"",资金日记账!$L108))</f>
        <v/>
      </c>
      <c r="T115" t="str">
        <f>IF(资金日记账!$G115="","",资金日记账!$G115)</f>
        <v/>
      </c>
      <c r="U115">
        <f t="shared" si="21"/>
        <v>0</v>
      </c>
      <c r="V115">
        <f t="shared" si="22"/>
        <v>0</v>
      </c>
      <c r="Z115" t="str">
        <f>IF(成本费用登记表!$C115="","",成本费用登记表!$C115)</f>
        <v/>
      </c>
      <c r="AA115">
        <f t="shared" si="23"/>
        <v>0</v>
      </c>
      <c r="AB115">
        <f t="shared" si="24"/>
        <v>0</v>
      </c>
      <c r="AD115" t="str">
        <f>IFERROR(INDEX($Z$4:$Z$303,MATCH(112,$AB$4:$AB$303,0)),"")</f>
        <v/>
      </c>
      <c r="AF115" t="str">
        <f>IF(OR(资金日记账!$E115="",N(资金日记账!$H115)=0),"",资金日记账!$E115)</f>
        <v/>
      </c>
      <c r="AG115">
        <f t="shared" si="25"/>
        <v>0</v>
      </c>
      <c r="AH115">
        <f t="shared" si="26"/>
        <v>0</v>
      </c>
    </row>
    <row r="116" spans="1:34">
      <c r="A116" t="str">
        <f>IF(进销存对接!$D116="客户应收",进销存对接!$C116,"")</f>
        <v/>
      </c>
      <c r="B116">
        <f t="shared" si="16"/>
        <v>0</v>
      </c>
      <c r="C116">
        <f t="shared" si="17"/>
        <v>0</v>
      </c>
      <c r="E116" t="str">
        <f t="shared" si="18"/>
        <v/>
      </c>
      <c r="G116">
        <f>IF(OR($G$1="",资金日记账!$E109="",资金日记账!$E109&lt;&gt;$G$1),0,IF(NOT(OR(N(资金日记账!$H109)&lt;&gt;0,N(资金日记账!$I109)&lt;&gt;0)),0,IF(资金日记账!$B109="",1,IF(OR(N(资金日记账!$B109)&lt;$H$1,N(资金日记账!$B109)&gt;$I$1),0,1))))</f>
        <v>0</v>
      </c>
      <c r="H116">
        <f t="shared" si="19"/>
        <v>0</v>
      </c>
      <c r="I116" t="str">
        <f>IF($G116=0,"",IF(资金日记账!$B109=0,"",资金日记账!$B109))</f>
        <v/>
      </c>
      <c r="J116" t="str">
        <f>IF($G116=0,"",IF(资金日记账!$D109=0,"",资金日记账!$D109))</f>
        <v/>
      </c>
      <c r="K116" t="str">
        <f t="shared" si="27"/>
        <v/>
      </c>
      <c r="L116" t="str">
        <f t="shared" si="28"/>
        <v/>
      </c>
      <c r="M116" t="str">
        <f t="shared" si="20"/>
        <v/>
      </c>
      <c r="N116" t="str">
        <f>IF($G116=0,"",IF(IF(N(资金日记账!$I109)=0,"",-ROUND(N(资金日记账!$I109),2))=0,"",IF(N(资金日记账!$I109)=0,"",-ROUND(N(资金日记账!$I109),2))))</f>
        <v/>
      </c>
      <c r="O116" t="str">
        <f>IF($G116=0,"",IF(IF(N(资金日记账!$H109)=0,"",ROUND(N(资金日记账!$H109),2))=0,"",IF(N(资金日记账!$H109)=0,"",ROUND(N(资金日记账!$H109),2))))</f>
        <v/>
      </c>
      <c r="P116" t="str">
        <f>IF($G116=0,"",IF(资金日记账!$L109=0,"",资金日记账!$L109))</f>
        <v/>
      </c>
      <c r="T116" t="str">
        <f>IF(资金日记账!$G116="","",资金日记账!$G116)</f>
        <v/>
      </c>
      <c r="U116">
        <f t="shared" si="21"/>
        <v>0</v>
      </c>
      <c r="V116">
        <f t="shared" si="22"/>
        <v>0</v>
      </c>
      <c r="Z116" t="str">
        <f>IF(成本费用登记表!$C116="","",成本费用登记表!$C116)</f>
        <v/>
      </c>
      <c r="AA116">
        <f t="shared" si="23"/>
        <v>0</v>
      </c>
      <c r="AB116">
        <f t="shared" si="24"/>
        <v>0</v>
      </c>
      <c r="AD116" t="str">
        <f>IFERROR(INDEX($Z$4:$Z$303,MATCH(113,$AB$4:$AB$303,0)),"")</f>
        <v/>
      </c>
      <c r="AF116" t="str">
        <f>IF(OR(资金日记账!$E116="",N(资金日记账!$H116)=0),"",资金日记账!$E116)</f>
        <v/>
      </c>
      <c r="AG116">
        <f t="shared" si="25"/>
        <v>0</v>
      </c>
      <c r="AH116">
        <f t="shared" si="26"/>
        <v>0</v>
      </c>
    </row>
    <row r="117" spans="1:34">
      <c r="A117" t="str">
        <f>IF(进销存对接!$D117="客户应收",进销存对接!$C117,"")</f>
        <v/>
      </c>
      <c r="B117">
        <f t="shared" si="16"/>
        <v>0</v>
      </c>
      <c r="C117">
        <f t="shared" si="17"/>
        <v>0</v>
      </c>
      <c r="E117" t="str">
        <f t="shared" si="18"/>
        <v/>
      </c>
      <c r="G117">
        <f>IF(OR($G$1="",资金日记账!$E110="",资金日记账!$E110&lt;&gt;$G$1),0,IF(NOT(OR(N(资金日记账!$H110)&lt;&gt;0,N(资金日记账!$I110)&lt;&gt;0)),0,IF(资金日记账!$B110="",1,IF(OR(N(资金日记账!$B110)&lt;$H$1,N(资金日记账!$B110)&gt;$I$1),0,1))))</f>
        <v>0</v>
      </c>
      <c r="H117">
        <f t="shared" si="19"/>
        <v>0</v>
      </c>
      <c r="I117" t="str">
        <f>IF($G117=0,"",IF(资金日记账!$B110=0,"",资金日记账!$B110))</f>
        <v/>
      </c>
      <c r="J117" t="str">
        <f>IF($G117=0,"",IF(资金日记账!$D110=0,"",资金日记账!$D110))</f>
        <v/>
      </c>
      <c r="K117" t="str">
        <f t="shared" si="27"/>
        <v/>
      </c>
      <c r="L117" t="str">
        <f t="shared" si="28"/>
        <v/>
      </c>
      <c r="M117" t="str">
        <f t="shared" si="20"/>
        <v/>
      </c>
      <c r="N117" t="str">
        <f>IF($G117=0,"",IF(IF(N(资金日记账!$I110)=0,"",-ROUND(N(资金日记账!$I110),2))=0,"",IF(N(资金日记账!$I110)=0,"",-ROUND(N(资金日记账!$I110),2))))</f>
        <v/>
      </c>
      <c r="O117" t="str">
        <f>IF($G117=0,"",IF(IF(N(资金日记账!$H110)=0,"",ROUND(N(资金日记账!$H110),2))=0,"",IF(N(资金日记账!$H110)=0,"",ROUND(N(资金日记账!$H110),2))))</f>
        <v/>
      </c>
      <c r="P117" t="str">
        <f>IF($G117=0,"",IF(资金日记账!$L110=0,"",资金日记账!$L110))</f>
        <v/>
      </c>
      <c r="T117" t="str">
        <f>IF(资金日记账!$G117="","",资金日记账!$G117)</f>
        <v/>
      </c>
      <c r="U117">
        <f t="shared" si="21"/>
        <v>0</v>
      </c>
      <c r="V117">
        <f t="shared" si="22"/>
        <v>0</v>
      </c>
      <c r="Z117" t="str">
        <f>IF(成本费用登记表!$C117="","",成本费用登记表!$C117)</f>
        <v/>
      </c>
      <c r="AA117">
        <f t="shared" si="23"/>
        <v>0</v>
      </c>
      <c r="AB117">
        <f t="shared" si="24"/>
        <v>0</v>
      </c>
      <c r="AD117" t="str">
        <f>IFERROR(INDEX($Z$4:$Z$303,MATCH(114,$AB$4:$AB$303,0)),"")</f>
        <v/>
      </c>
      <c r="AF117" t="str">
        <f>IF(OR(资金日记账!$E117="",N(资金日记账!$H117)=0),"",资金日记账!$E117)</f>
        <v/>
      </c>
      <c r="AG117">
        <f t="shared" si="25"/>
        <v>0</v>
      </c>
      <c r="AH117">
        <f t="shared" si="26"/>
        <v>0</v>
      </c>
    </row>
    <row r="118" spans="1:34">
      <c r="A118" t="str">
        <f>IF(进销存对接!$D118="客户应收",进销存对接!$C118,"")</f>
        <v/>
      </c>
      <c r="B118">
        <f t="shared" si="16"/>
        <v>0</v>
      </c>
      <c r="C118">
        <f t="shared" si="17"/>
        <v>0</v>
      </c>
      <c r="E118" t="str">
        <f t="shared" si="18"/>
        <v/>
      </c>
      <c r="G118">
        <f>IF(OR($G$1="",资金日记账!$E111="",资金日记账!$E111&lt;&gt;$G$1),0,IF(NOT(OR(N(资金日记账!$H111)&lt;&gt;0,N(资金日记账!$I111)&lt;&gt;0)),0,IF(资金日记账!$B111="",1,IF(OR(N(资金日记账!$B111)&lt;$H$1,N(资金日记账!$B111)&gt;$I$1),0,1))))</f>
        <v>0</v>
      </c>
      <c r="H118">
        <f t="shared" si="19"/>
        <v>0</v>
      </c>
      <c r="I118" t="str">
        <f>IF($G118=0,"",IF(资金日记账!$B111=0,"",资金日记账!$B111))</f>
        <v/>
      </c>
      <c r="J118" t="str">
        <f>IF($G118=0,"",IF(资金日记账!$D111=0,"",资金日记账!$D111))</f>
        <v/>
      </c>
      <c r="K118" t="str">
        <f t="shared" si="27"/>
        <v/>
      </c>
      <c r="L118" t="str">
        <f t="shared" si="28"/>
        <v/>
      </c>
      <c r="M118" t="str">
        <f t="shared" si="20"/>
        <v/>
      </c>
      <c r="N118" t="str">
        <f>IF($G118=0,"",IF(IF(N(资金日记账!$I111)=0,"",-ROUND(N(资金日记账!$I111),2))=0,"",IF(N(资金日记账!$I111)=0,"",-ROUND(N(资金日记账!$I111),2))))</f>
        <v/>
      </c>
      <c r="O118" t="str">
        <f>IF($G118=0,"",IF(IF(N(资金日记账!$H111)=0,"",ROUND(N(资金日记账!$H111),2))=0,"",IF(N(资金日记账!$H111)=0,"",ROUND(N(资金日记账!$H111),2))))</f>
        <v/>
      </c>
      <c r="P118" t="str">
        <f>IF($G118=0,"",IF(资金日记账!$L111=0,"",资金日记账!$L111))</f>
        <v/>
      </c>
      <c r="T118" t="str">
        <f>IF(资金日记账!$G118="","",资金日记账!$G118)</f>
        <v/>
      </c>
      <c r="U118">
        <f t="shared" si="21"/>
        <v>0</v>
      </c>
      <c r="V118">
        <f t="shared" si="22"/>
        <v>0</v>
      </c>
      <c r="Z118" t="str">
        <f>IF(成本费用登记表!$C118="","",成本费用登记表!$C118)</f>
        <v/>
      </c>
      <c r="AA118">
        <f t="shared" si="23"/>
        <v>0</v>
      </c>
      <c r="AB118">
        <f t="shared" si="24"/>
        <v>0</v>
      </c>
      <c r="AD118" t="str">
        <f>IFERROR(INDEX($Z$4:$Z$303,MATCH(115,$AB$4:$AB$303,0)),"")</f>
        <v/>
      </c>
      <c r="AF118" t="str">
        <f>IF(OR(资金日记账!$E118="",N(资金日记账!$H118)=0),"",资金日记账!$E118)</f>
        <v/>
      </c>
      <c r="AG118">
        <f t="shared" si="25"/>
        <v>0</v>
      </c>
      <c r="AH118">
        <f t="shared" si="26"/>
        <v>0</v>
      </c>
    </row>
    <row r="119" spans="1:34">
      <c r="A119" t="str">
        <f>IF(进销存对接!$D119="客户应收",进销存对接!$C119,"")</f>
        <v/>
      </c>
      <c r="B119">
        <f t="shared" si="16"/>
        <v>0</v>
      </c>
      <c r="C119">
        <f t="shared" si="17"/>
        <v>0</v>
      </c>
      <c r="E119" t="str">
        <f t="shared" si="18"/>
        <v/>
      </c>
      <c r="G119">
        <f>IF(OR($G$1="",资金日记账!$E112="",资金日记账!$E112&lt;&gt;$G$1),0,IF(NOT(OR(N(资金日记账!$H112)&lt;&gt;0,N(资金日记账!$I112)&lt;&gt;0)),0,IF(资金日记账!$B112="",1,IF(OR(N(资金日记账!$B112)&lt;$H$1,N(资金日记账!$B112)&gt;$I$1),0,1))))</f>
        <v>0</v>
      </c>
      <c r="H119">
        <f t="shared" si="19"/>
        <v>0</v>
      </c>
      <c r="I119" t="str">
        <f>IF($G119=0,"",IF(资金日记账!$B112=0,"",资金日记账!$B112))</f>
        <v/>
      </c>
      <c r="J119" t="str">
        <f>IF($G119=0,"",IF(资金日记账!$D112=0,"",资金日记账!$D112))</f>
        <v/>
      </c>
      <c r="K119" t="str">
        <f t="shared" si="27"/>
        <v/>
      </c>
      <c r="L119" t="str">
        <f t="shared" si="28"/>
        <v/>
      </c>
      <c r="M119" t="str">
        <f t="shared" si="20"/>
        <v/>
      </c>
      <c r="N119" t="str">
        <f>IF($G119=0,"",IF(IF(N(资金日记账!$I112)=0,"",-ROUND(N(资金日记账!$I112),2))=0,"",IF(N(资金日记账!$I112)=0,"",-ROUND(N(资金日记账!$I112),2))))</f>
        <v/>
      </c>
      <c r="O119" t="str">
        <f>IF($G119=0,"",IF(IF(N(资金日记账!$H112)=0,"",ROUND(N(资金日记账!$H112),2))=0,"",IF(N(资金日记账!$H112)=0,"",ROUND(N(资金日记账!$H112),2))))</f>
        <v/>
      </c>
      <c r="P119" t="str">
        <f>IF($G119=0,"",IF(资金日记账!$L112=0,"",资金日记账!$L112))</f>
        <v/>
      </c>
      <c r="T119" t="str">
        <f>IF(资金日记账!$G119="","",资金日记账!$G119)</f>
        <v/>
      </c>
      <c r="U119">
        <f t="shared" si="21"/>
        <v>0</v>
      </c>
      <c r="V119">
        <f t="shared" si="22"/>
        <v>0</v>
      </c>
      <c r="Z119" t="str">
        <f>IF(成本费用登记表!$C119="","",成本费用登记表!$C119)</f>
        <v/>
      </c>
      <c r="AA119">
        <f t="shared" si="23"/>
        <v>0</v>
      </c>
      <c r="AB119">
        <f t="shared" si="24"/>
        <v>0</v>
      </c>
      <c r="AD119" t="str">
        <f>IFERROR(INDEX($Z$4:$Z$303,MATCH(116,$AB$4:$AB$303,0)),"")</f>
        <v/>
      </c>
      <c r="AF119" t="str">
        <f>IF(OR(资金日记账!$E119="",N(资金日记账!$H119)=0),"",资金日记账!$E119)</f>
        <v/>
      </c>
      <c r="AG119">
        <f t="shared" si="25"/>
        <v>0</v>
      </c>
      <c r="AH119">
        <f t="shared" si="26"/>
        <v>0</v>
      </c>
    </row>
    <row r="120" spans="1:34">
      <c r="A120" t="str">
        <f>IF(进销存对接!$D120="客户应收",进销存对接!$C120,"")</f>
        <v/>
      </c>
      <c r="B120">
        <f t="shared" si="16"/>
        <v>0</v>
      </c>
      <c r="C120">
        <f t="shared" si="17"/>
        <v>0</v>
      </c>
      <c r="E120" t="str">
        <f t="shared" si="18"/>
        <v/>
      </c>
      <c r="G120">
        <f>IF(OR($G$1="",资金日记账!$E113="",资金日记账!$E113&lt;&gt;$G$1),0,IF(NOT(OR(N(资金日记账!$H113)&lt;&gt;0,N(资金日记账!$I113)&lt;&gt;0)),0,IF(资金日记账!$B113="",1,IF(OR(N(资金日记账!$B113)&lt;$H$1,N(资金日记账!$B113)&gt;$I$1),0,1))))</f>
        <v>0</v>
      </c>
      <c r="H120">
        <f t="shared" si="19"/>
        <v>0</v>
      </c>
      <c r="I120" t="str">
        <f>IF($G120=0,"",IF(资金日记账!$B113=0,"",资金日记账!$B113))</f>
        <v/>
      </c>
      <c r="J120" t="str">
        <f>IF($G120=0,"",IF(资金日记账!$D113=0,"",资金日记账!$D113))</f>
        <v/>
      </c>
      <c r="K120" t="str">
        <f t="shared" si="27"/>
        <v/>
      </c>
      <c r="L120" t="str">
        <f t="shared" si="28"/>
        <v/>
      </c>
      <c r="M120" t="str">
        <f t="shared" si="20"/>
        <v/>
      </c>
      <c r="N120" t="str">
        <f>IF($G120=0,"",IF(IF(N(资金日记账!$I113)=0,"",-ROUND(N(资金日记账!$I113),2))=0,"",IF(N(资金日记账!$I113)=0,"",-ROUND(N(资金日记账!$I113),2))))</f>
        <v/>
      </c>
      <c r="O120" t="str">
        <f>IF($G120=0,"",IF(IF(N(资金日记账!$H113)=0,"",ROUND(N(资金日记账!$H113),2))=0,"",IF(N(资金日记账!$H113)=0,"",ROUND(N(资金日记账!$H113),2))))</f>
        <v/>
      </c>
      <c r="P120" t="str">
        <f>IF($G120=0,"",IF(资金日记账!$L113=0,"",资金日记账!$L113))</f>
        <v/>
      </c>
      <c r="T120" t="str">
        <f>IF(资金日记账!$G120="","",资金日记账!$G120)</f>
        <v/>
      </c>
      <c r="U120">
        <f t="shared" si="21"/>
        <v>0</v>
      </c>
      <c r="V120">
        <f t="shared" si="22"/>
        <v>0</v>
      </c>
      <c r="Z120" t="str">
        <f>IF(成本费用登记表!$C120="","",成本费用登记表!$C120)</f>
        <v/>
      </c>
      <c r="AA120">
        <f t="shared" si="23"/>
        <v>0</v>
      </c>
      <c r="AB120">
        <f t="shared" si="24"/>
        <v>0</v>
      </c>
      <c r="AD120" t="str">
        <f>IFERROR(INDEX($Z$4:$Z$303,MATCH(117,$AB$4:$AB$303,0)),"")</f>
        <v/>
      </c>
      <c r="AF120" t="str">
        <f>IF(OR(资金日记账!$E120="",N(资金日记账!$H120)=0),"",资金日记账!$E120)</f>
        <v/>
      </c>
      <c r="AG120">
        <f t="shared" si="25"/>
        <v>0</v>
      </c>
      <c r="AH120">
        <f t="shared" si="26"/>
        <v>0</v>
      </c>
    </row>
    <row r="121" spans="1:34">
      <c r="A121" t="str">
        <f>IF(进销存对接!$D121="客户应收",进销存对接!$C121,"")</f>
        <v/>
      </c>
      <c r="B121">
        <f t="shared" si="16"/>
        <v>0</v>
      </c>
      <c r="C121">
        <f t="shared" si="17"/>
        <v>0</v>
      </c>
      <c r="E121" t="str">
        <f t="shared" si="18"/>
        <v/>
      </c>
      <c r="G121">
        <f>IF(OR($G$1="",资金日记账!$E114="",资金日记账!$E114&lt;&gt;$G$1),0,IF(NOT(OR(N(资金日记账!$H114)&lt;&gt;0,N(资金日记账!$I114)&lt;&gt;0)),0,IF(资金日记账!$B114="",1,IF(OR(N(资金日记账!$B114)&lt;$H$1,N(资金日记账!$B114)&gt;$I$1),0,1))))</f>
        <v>0</v>
      </c>
      <c r="H121">
        <f t="shared" si="19"/>
        <v>0</v>
      </c>
      <c r="I121" t="str">
        <f>IF($G121=0,"",IF(资金日记账!$B114=0,"",资金日记账!$B114))</f>
        <v/>
      </c>
      <c r="J121" t="str">
        <f>IF($G121=0,"",IF(资金日记账!$D114=0,"",资金日记账!$D114))</f>
        <v/>
      </c>
      <c r="K121" t="str">
        <f t="shared" si="27"/>
        <v/>
      </c>
      <c r="L121" t="str">
        <f t="shared" si="28"/>
        <v/>
      </c>
      <c r="M121" t="str">
        <f t="shared" si="20"/>
        <v/>
      </c>
      <c r="N121" t="str">
        <f>IF($G121=0,"",IF(IF(N(资金日记账!$I114)=0,"",-ROUND(N(资金日记账!$I114),2))=0,"",IF(N(资金日记账!$I114)=0,"",-ROUND(N(资金日记账!$I114),2))))</f>
        <v/>
      </c>
      <c r="O121" t="str">
        <f>IF($G121=0,"",IF(IF(N(资金日记账!$H114)=0,"",ROUND(N(资金日记账!$H114),2))=0,"",IF(N(资金日记账!$H114)=0,"",ROUND(N(资金日记账!$H114),2))))</f>
        <v/>
      </c>
      <c r="P121" t="str">
        <f>IF($G121=0,"",IF(资金日记账!$L114=0,"",资金日记账!$L114))</f>
        <v/>
      </c>
      <c r="T121" t="str">
        <f>IF(资金日记账!$G121="","",资金日记账!$G121)</f>
        <v/>
      </c>
      <c r="U121">
        <f t="shared" si="21"/>
        <v>0</v>
      </c>
      <c r="V121">
        <f t="shared" si="22"/>
        <v>0</v>
      </c>
      <c r="Z121" t="str">
        <f>IF(成本费用登记表!$C121="","",成本费用登记表!$C121)</f>
        <v/>
      </c>
      <c r="AA121">
        <f t="shared" si="23"/>
        <v>0</v>
      </c>
      <c r="AB121">
        <f t="shared" si="24"/>
        <v>0</v>
      </c>
      <c r="AD121" t="str">
        <f>IFERROR(INDEX($Z$4:$Z$303,MATCH(118,$AB$4:$AB$303,0)),"")</f>
        <v/>
      </c>
      <c r="AF121" t="str">
        <f>IF(OR(资金日记账!$E121="",N(资金日记账!$H121)=0),"",资金日记账!$E121)</f>
        <v/>
      </c>
      <c r="AG121">
        <f t="shared" si="25"/>
        <v>0</v>
      </c>
      <c r="AH121">
        <f t="shared" si="26"/>
        <v>0</v>
      </c>
    </row>
    <row r="122" spans="1:34">
      <c r="A122" t="str">
        <f>IF(进销存对接!$D122="客户应收",进销存对接!$C122,"")</f>
        <v/>
      </c>
      <c r="B122">
        <f t="shared" si="16"/>
        <v>0</v>
      </c>
      <c r="C122">
        <f t="shared" si="17"/>
        <v>0</v>
      </c>
      <c r="E122" t="str">
        <f t="shared" si="18"/>
        <v/>
      </c>
      <c r="G122">
        <f>IF(OR($G$1="",资金日记账!$E115="",资金日记账!$E115&lt;&gt;$G$1),0,IF(NOT(OR(N(资金日记账!$H115)&lt;&gt;0,N(资金日记账!$I115)&lt;&gt;0)),0,IF(资金日记账!$B115="",1,IF(OR(N(资金日记账!$B115)&lt;$H$1,N(资金日记账!$B115)&gt;$I$1),0,1))))</f>
        <v>0</v>
      </c>
      <c r="H122">
        <f t="shared" si="19"/>
        <v>0</v>
      </c>
      <c r="I122" t="str">
        <f>IF($G122=0,"",IF(资金日记账!$B115=0,"",资金日记账!$B115))</f>
        <v/>
      </c>
      <c r="J122" t="str">
        <f>IF($G122=0,"",IF(资金日记账!$D115=0,"",资金日记账!$D115))</f>
        <v/>
      </c>
      <c r="K122" t="str">
        <f t="shared" si="27"/>
        <v/>
      </c>
      <c r="L122" t="str">
        <f t="shared" si="28"/>
        <v/>
      </c>
      <c r="M122" t="str">
        <f t="shared" si="20"/>
        <v/>
      </c>
      <c r="N122" t="str">
        <f>IF($G122=0,"",IF(IF(N(资金日记账!$I115)=0,"",-ROUND(N(资金日记账!$I115),2))=0,"",IF(N(资金日记账!$I115)=0,"",-ROUND(N(资金日记账!$I115),2))))</f>
        <v/>
      </c>
      <c r="O122" t="str">
        <f>IF($G122=0,"",IF(IF(N(资金日记账!$H115)=0,"",ROUND(N(资金日记账!$H115),2))=0,"",IF(N(资金日记账!$H115)=0,"",ROUND(N(资金日记账!$H115),2))))</f>
        <v/>
      </c>
      <c r="P122" t="str">
        <f>IF($G122=0,"",IF(资金日记账!$L115=0,"",资金日记账!$L115))</f>
        <v/>
      </c>
      <c r="T122" t="str">
        <f>IF(资金日记账!$G122="","",资金日记账!$G122)</f>
        <v/>
      </c>
      <c r="U122">
        <f t="shared" si="21"/>
        <v>0</v>
      </c>
      <c r="V122">
        <f t="shared" si="22"/>
        <v>0</v>
      </c>
      <c r="Z122" t="str">
        <f>IF(成本费用登记表!$C122="","",成本费用登记表!$C122)</f>
        <v/>
      </c>
      <c r="AA122">
        <f t="shared" si="23"/>
        <v>0</v>
      </c>
      <c r="AB122">
        <f t="shared" si="24"/>
        <v>0</v>
      </c>
      <c r="AD122" t="str">
        <f>IFERROR(INDEX($Z$4:$Z$303,MATCH(119,$AB$4:$AB$303,0)),"")</f>
        <v/>
      </c>
      <c r="AF122" t="str">
        <f>IF(OR(资金日记账!$E122="",N(资金日记账!$H122)=0),"",资金日记账!$E122)</f>
        <v/>
      </c>
      <c r="AG122">
        <f t="shared" si="25"/>
        <v>0</v>
      </c>
      <c r="AH122">
        <f t="shared" si="26"/>
        <v>0</v>
      </c>
    </row>
    <row r="123" spans="1:34">
      <c r="A123" t="str">
        <f>IF(进销存对接!$D123="客户应收",进销存对接!$C123,"")</f>
        <v/>
      </c>
      <c r="B123">
        <f t="shared" si="16"/>
        <v>0</v>
      </c>
      <c r="C123">
        <f t="shared" si="17"/>
        <v>0</v>
      </c>
      <c r="E123" t="str">
        <f t="shared" si="18"/>
        <v/>
      </c>
      <c r="G123">
        <f>IF(OR($G$1="",资金日记账!$E116="",资金日记账!$E116&lt;&gt;$G$1),0,IF(NOT(OR(N(资金日记账!$H116)&lt;&gt;0,N(资金日记账!$I116)&lt;&gt;0)),0,IF(资金日记账!$B116="",1,IF(OR(N(资金日记账!$B116)&lt;$H$1,N(资金日记账!$B116)&gt;$I$1),0,1))))</f>
        <v>0</v>
      </c>
      <c r="H123">
        <f t="shared" si="19"/>
        <v>0</v>
      </c>
      <c r="I123" t="str">
        <f>IF($G123=0,"",IF(资金日记账!$B116=0,"",资金日记账!$B116))</f>
        <v/>
      </c>
      <c r="J123" t="str">
        <f>IF($G123=0,"",IF(资金日记账!$D116=0,"",资金日记账!$D116))</f>
        <v/>
      </c>
      <c r="K123" t="str">
        <f t="shared" si="27"/>
        <v/>
      </c>
      <c r="L123" t="str">
        <f t="shared" si="28"/>
        <v/>
      </c>
      <c r="M123" t="str">
        <f t="shared" si="20"/>
        <v/>
      </c>
      <c r="N123" t="str">
        <f>IF($G123=0,"",IF(IF(N(资金日记账!$I116)=0,"",-ROUND(N(资金日记账!$I116),2))=0,"",IF(N(资金日记账!$I116)=0,"",-ROUND(N(资金日记账!$I116),2))))</f>
        <v/>
      </c>
      <c r="O123" t="str">
        <f>IF($G123=0,"",IF(IF(N(资金日记账!$H116)=0,"",ROUND(N(资金日记账!$H116),2))=0,"",IF(N(资金日记账!$H116)=0,"",ROUND(N(资金日记账!$H116),2))))</f>
        <v/>
      </c>
      <c r="P123" t="str">
        <f>IF($G123=0,"",IF(资金日记账!$L116=0,"",资金日记账!$L116))</f>
        <v/>
      </c>
      <c r="T123" t="str">
        <f>IF(资金日记账!$G123="","",资金日记账!$G123)</f>
        <v/>
      </c>
      <c r="U123">
        <f t="shared" si="21"/>
        <v>0</v>
      </c>
      <c r="V123">
        <f t="shared" si="22"/>
        <v>0</v>
      </c>
      <c r="Z123" t="str">
        <f>IF(成本费用登记表!$C123="","",成本费用登记表!$C123)</f>
        <v/>
      </c>
      <c r="AA123">
        <f t="shared" si="23"/>
        <v>0</v>
      </c>
      <c r="AB123">
        <f t="shared" si="24"/>
        <v>0</v>
      </c>
      <c r="AD123" t="str">
        <f>IFERROR(INDEX($Z$4:$Z$303,MATCH(120,$AB$4:$AB$303,0)),"")</f>
        <v/>
      </c>
      <c r="AF123" t="str">
        <f>IF(OR(资金日记账!$E123="",N(资金日记账!$H123)=0),"",资金日记账!$E123)</f>
        <v/>
      </c>
      <c r="AG123">
        <f t="shared" si="25"/>
        <v>0</v>
      </c>
      <c r="AH123">
        <f t="shared" si="26"/>
        <v>0</v>
      </c>
    </row>
    <row r="124" spans="1:34">
      <c r="A124" t="str">
        <f>IF(进销存对接!$D124="客户应收",进销存对接!$C124,"")</f>
        <v/>
      </c>
      <c r="B124">
        <f t="shared" si="16"/>
        <v>0</v>
      </c>
      <c r="C124">
        <f t="shared" si="17"/>
        <v>0</v>
      </c>
      <c r="E124" t="str">
        <f t="shared" si="18"/>
        <v/>
      </c>
      <c r="G124">
        <f>IF(OR($G$1="",资金日记账!$E117="",资金日记账!$E117&lt;&gt;$G$1),0,IF(NOT(OR(N(资金日记账!$H117)&lt;&gt;0,N(资金日记账!$I117)&lt;&gt;0)),0,IF(资金日记账!$B117="",1,IF(OR(N(资金日记账!$B117)&lt;$H$1,N(资金日记账!$B117)&gt;$I$1),0,1))))</f>
        <v>0</v>
      </c>
      <c r="H124">
        <f t="shared" si="19"/>
        <v>0</v>
      </c>
      <c r="I124" t="str">
        <f>IF($G124=0,"",IF(资金日记账!$B117=0,"",资金日记账!$B117))</f>
        <v/>
      </c>
      <c r="J124" t="str">
        <f>IF($G124=0,"",IF(资金日记账!$D117=0,"",资金日记账!$D117))</f>
        <v/>
      </c>
      <c r="K124" t="str">
        <f t="shared" si="27"/>
        <v/>
      </c>
      <c r="L124" t="str">
        <f t="shared" si="28"/>
        <v/>
      </c>
      <c r="M124" t="str">
        <f t="shared" si="20"/>
        <v/>
      </c>
      <c r="N124" t="str">
        <f>IF($G124=0,"",IF(IF(N(资金日记账!$I117)=0,"",-ROUND(N(资金日记账!$I117),2))=0,"",IF(N(资金日记账!$I117)=0,"",-ROUND(N(资金日记账!$I117),2))))</f>
        <v/>
      </c>
      <c r="O124" t="str">
        <f>IF($G124=0,"",IF(IF(N(资金日记账!$H117)=0,"",ROUND(N(资金日记账!$H117),2))=0,"",IF(N(资金日记账!$H117)=0,"",ROUND(N(资金日记账!$H117),2))))</f>
        <v/>
      </c>
      <c r="P124" t="str">
        <f>IF($G124=0,"",IF(资金日记账!$L117=0,"",资金日记账!$L117))</f>
        <v/>
      </c>
      <c r="T124" t="str">
        <f>IF(资金日记账!$G124="","",资金日记账!$G124)</f>
        <v/>
      </c>
      <c r="U124">
        <f t="shared" si="21"/>
        <v>0</v>
      </c>
      <c r="V124">
        <f t="shared" si="22"/>
        <v>0</v>
      </c>
      <c r="Z124" t="str">
        <f>IF(成本费用登记表!$C124="","",成本费用登记表!$C124)</f>
        <v/>
      </c>
      <c r="AA124">
        <f t="shared" si="23"/>
        <v>0</v>
      </c>
      <c r="AB124">
        <f t="shared" si="24"/>
        <v>0</v>
      </c>
      <c r="AD124" t="str">
        <f>IFERROR(INDEX($Z$4:$Z$303,MATCH(121,$AB$4:$AB$303,0)),"")</f>
        <v/>
      </c>
      <c r="AF124" t="str">
        <f>IF(OR(资金日记账!$E124="",N(资金日记账!$H124)=0),"",资金日记账!$E124)</f>
        <v/>
      </c>
      <c r="AG124">
        <f t="shared" si="25"/>
        <v>0</v>
      </c>
      <c r="AH124">
        <f t="shared" si="26"/>
        <v>0</v>
      </c>
    </row>
    <row r="125" spans="1:34">
      <c r="A125" t="str">
        <f>IF(进销存对接!$D125="客户应收",进销存对接!$C125,"")</f>
        <v/>
      </c>
      <c r="B125">
        <f t="shared" si="16"/>
        <v>0</v>
      </c>
      <c r="C125">
        <f t="shared" si="17"/>
        <v>0</v>
      </c>
      <c r="E125" t="str">
        <f t="shared" si="18"/>
        <v/>
      </c>
      <c r="G125">
        <f>IF(OR($G$1="",资金日记账!$E118="",资金日记账!$E118&lt;&gt;$G$1),0,IF(NOT(OR(N(资金日记账!$H118)&lt;&gt;0,N(资金日记账!$I118)&lt;&gt;0)),0,IF(资金日记账!$B118="",1,IF(OR(N(资金日记账!$B118)&lt;$H$1,N(资金日记账!$B118)&gt;$I$1),0,1))))</f>
        <v>0</v>
      </c>
      <c r="H125">
        <f t="shared" si="19"/>
        <v>0</v>
      </c>
      <c r="I125" t="str">
        <f>IF($G125=0,"",IF(资金日记账!$B118=0,"",资金日记账!$B118))</f>
        <v/>
      </c>
      <c r="J125" t="str">
        <f>IF($G125=0,"",IF(资金日记账!$D118=0,"",资金日记账!$D118))</f>
        <v/>
      </c>
      <c r="K125" t="str">
        <f t="shared" si="27"/>
        <v/>
      </c>
      <c r="L125" t="str">
        <f t="shared" si="28"/>
        <v/>
      </c>
      <c r="M125" t="str">
        <f t="shared" si="20"/>
        <v/>
      </c>
      <c r="N125" t="str">
        <f>IF($G125=0,"",IF(IF(N(资金日记账!$I118)=0,"",-ROUND(N(资金日记账!$I118),2))=0,"",IF(N(资金日记账!$I118)=0,"",-ROUND(N(资金日记账!$I118),2))))</f>
        <v/>
      </c>
      <c r="O125" t="str">
        <f>IF($G125=0,"",IF(IF(N(资金日记账!$H118)=0,"",ROUND(N(资金日记账!$H118),2))=0,"",IF(N(资金日记账!$H118)=0,"",ROUND(N(资金日记账!$H118),2))))</f>
        <v/>
      </c>
      <c r="P125" t="str">
        <f>IF($G125=0,"",IF(资金日记账!$L118=0,"",资金日记账!$L118))</f>
        <v/>
      </c>
      <c r="T125" t="str">
        <f>IF(资金日记账!$G125="","",资金日记账!$G125)</f>
        <v/>
      </c>
      <c r="U125">
        <f t="shared" si="21"/>
        <v>0</v>
      </c>
      <c r="V125">
        <f t="shared" si="22"/>
        <v>0</v>
      </c>
      <c r="Z125" t="str">
        <f>IF(成本费用登记表!$C125="","",成本费用登记表!$C125)</f>
        <v/>
      </c>
      <c r="AA125">
        <f t="shared" si="23"/>
        <v>0</v>
      </c>
      <c r="AB125">
        <f t="shared" si="24"/>
        <v>0</v>
      </c>
      <c r="AD125" t="str">
        <f>IFERROR(INDEX($Z$4:$Z$303,MATCH(122,$AB$4:$AB$303,0)),"")</f>
        <v/>
      </c>
      <c r="AF125" t="str">
        <f>IF(OR(资金日记账!$E125="",N(资金日记账!$H125)=0),"",资金日记账!$E125)</f>
        <v/>
      </c>
      <c r="AG125">
        <f t="shared" si="25"/>
        <v>0</v>
      </c>
      <c r="AH125">
        <f t="shared" si="26"/>
        <v>0</v>
      </c>
    </row>
    <row r="126" spans="1:34">
      <c r="A126" t="str">
        <f>IF(进销存对接!$D126="客户应收",进销存对接!$C126,"")</f>
        <v/>
      </c>
      <c r="B126">
        <f t="shared" si="16"/>
        <v>0</v>
      </c>
      <c r="C126">
        <f t="shared" si="17"/>
        <v>0</v>
      </c>
      <c r="E126" t="str">
        <f t="shared" si="18"/>
        <v/>
      </c>
      <c r="G126">
        <f>IF(OR($G$1="",资金日记账!$E119="",资金日记账!$E119&lt;&gt;$G$1),0,IF(NOT(OR(N(资金日记账!$H119)&lt;&gt;0,N(资金日记账!$I119)&lt;&gt;0)),0,IF(资金日记账!$B119="",1,IF(OR(N(资金日记账!$B119)&lt;$H$1,N(资金日记账!$B119)&gt;$I$1),0,1))))</f>
        <v>0</v>
      </c>
      <c r="H126">
        <f t="shared" si="19"/>
        <v>0</v>
      </c>
      <c r="I126" t="str">
        <f>IF($G126=0,"",IF(资金日记账!$B119=0,"",资金日记账!$B119))</f>
        <v/>
      </c>
      <c r="J126" t="str">
        <f>IF($G126=0,"",IF(资金日记账!$D119=0,"",资金日记账!$D119))</f>
        <v/>
      </c>
      <c r="K126" t="str">
        <f t="shared" si="27"/>
        <v/>
      </c>
      <c r="L126" t="str">
        <f t="shared" si="28"/>
        <v/>
      </c>
      <c r="M126" t="str">
        <f t="shared" si="20"/>
        <v/>
      </c>
      <c r="N126" t="str">
        <f>IF($G126=0,"",IF(IF(N(资金日记账!$I119)=0,"",-ROUND(N(资金日记账!$I119),2))=0,"",IF(N(资金日记账!$I119)=0,"",-ROUND(N(资金日记账!$I119),2))))</f>
        <v/>
      </c>
      <c r="O126" t="str">
        <f>IF($G126=0,"",IF(IF(N(资金日记账!$H119)=0,"",ROUND(N(资金日记账!$H119),2))=0,"",IF(N(资金日记账!$H119)=0,"",ROUND(N(资金日记账!$H119),2))))</f>
        <v/>
      </c>
      <c r="P126" t="str">
        <f>IF($G126=0,"",IF(资金日记账!$L119=0,"",资金日记账!$L119))</f>
        <v/>
      </c>
      <c r="T126" t="str">
        <f>IF(资金日记账!$G126="","",资金日记账!$G126)</f>
        <v/>
      </c>
      <c r="U126">
        <f t="shared" si="21"/>
        <v>0</v>
      </c>
      <c r="V126">
        <f t="shared" si="22"/>
        <v>0</v>
      </c>
      <c r="Z126" t="str">
        <f>IF(成本费用登记表!$C126="","",成本费用登记表!$C126)</f>
        <v/>
      </c>
      <c r="AA126">
        <f t="shared" si="23"/>
        <v>0</v>
      </c>
      <c r="AB126">
        <f t="shared" si="24"/>
        <v>0</v>
      </c>
      <c r="AD126" t="str">
        <f>IFERROR(INDEX($Z$4:$Z$303,MATCH(123,$AB$4:$AB$303,0)),"")</f>
        <v/>
      </c>
      <c r="AF126" t="str">
        <f>IF(OR(资金日记账!$E126="",N(资金日记账!$H126)=0),"",资金日记账!$E126)</f>
        <v/>
      </c>
      <c r="AG126">
        <f t="shared" si="25"/>
        <v>0</v>
      </c>
      <c r="AH126">
        <f t="shared" si="26"/>
        <v>0</v>
      </c>
    </row>
    <row r="127" spans="1:34">
      <c r="A127" t="str">
        <f>IF(进销存对接!$D127="客户应收",进销存对接!$C127,"")</f>
        <v/>
      </c>
      <c r="B127">
        <f t="shared" si="16"/>
        <v>0</v>
      </c>
      <c r="C127">
        <f t="shared" si="17"/>
        <v>0</v>
      </c>
      <c r="E127" t="str">
        <f t="shared" si="18"/>
        <v/>
      </c>
      <c r="G127">
        <f>IF(OR($G$1="",资金日记账!$E120="",资金日记账!$E120&lt;&gt;$G$1),0,IF(NOT(OR(N(资金日记账!$H120)&lt;&gt;0,N(资金日记账!$I120)&lt;&gt;0)),0,IF(资金日记账!$B120="",1,IF(OR(N(资金日记账!$B120)&lt;$H$1,N(资金日记账!$B120)&gt;$I$1),0,1))))</f>
        <v>0</v>
      </c>
      <c r="H127">
        <f t="shared" si="19"/>
        <v>0</v>
      </c>
      <c r="I127" t="str">
        <f>IF($G127=0,"",IF(资金日记账!$B120=0,"",资金日记账!$B120))</f>
        <v/>
      </c>
      <c r="J127" t="str">
        <f>IF($G127=0,"",IF(资金日记账!$D120=0,"",资金日记账!$D120))</f>
        <v/>
      </c>
      <c r="K127" t="str">
        <f t="shared" si="27"/>
        <v/>
      </c>
      <c r="L127" t="str">
        <f t="shared" si="28"/>
        <v/>
      </c>
      <c r="M127" t="str">
        <f t="shared" si="20"/>
        <v/>
      </c>
      <c r="N127" t="str">
        <f>IF($G127=0,"",IF(IF(N(资金日记账!$I120)=0,"",-ROUND(N(资金日记账!$I120),2))=0,"",IF(N(资金日记账!$I120)=0,"",-ROUND(N(资金日记账!$I120),2))))</f>
        <v/>
      </c>
      <c r="O127" t="str">
        <f>IF($G127=0,"",IF(IF(N(资金日记账!$H120)=0,"",ROUND(N(资金日记账!$H120),2))=0,"",IF(N(资金日记账!$H120)=0,"",ROUND(N(资金日记账!$H120),2))))</f>
        <v/>
      </c>
      <c r="P127" t="str">
        <f>IF($G127=0,"",IF(资金日记账!$L120=0,"",资金日记账!$L120))</f>
        <v/>
      </c>
      <c r="T127" t="str">
        <f>IF(资金日记账!$G127="","",资金日记账!$G127)</f>
        <v/>
      </c>
      <c r="U127">
        <f t="shared" si="21"/>
        <v>0</v>
      </c>
      <c r="V127">
        <f t="shared" si="22"/>
        <v>0</v>
      </c>
      <c r="Z127" t="str">
        <f>IF(成本费用登记表!$C127="","",成本费用登记表!$C127)</f>
        <v/>
      </c>
      <c r="AA127">
        <f t="shared" si="23"/>
        <v>0</v>
      </c>
      <c r="AB127">
        <f t="shared" si="24"/>
        <v>0</v>
      </c>
      <c r="AD127" t="str">
        <f>IFERROR(INDEX($Z$4:$Z$303,MATCH(124,$AB$4:$AB$303,0)),"")</f>
        <v/>
      </c>
      <c r="AF127" t="str">
        <f>IF(OR(资金日记账!$E127="",N(资金日记账!$H127)=0),"",资金日记账!$E127)</f>
        <v/>
      </c>
      <c r="AG127">
        <f t="shared" si="25"/>
        <v>0</v>
      </c>
      <c r="AH127">
        <f t="shared" si="26"/>
        <v>0</v>
      </c>
    </row>
    <row r="128" spans="1:34">
      <c r="A128" t="str">
        <f>IF(进销存对接!$D128="客户应收",进销存对接!$C128,"")</f>
        <v/>
      </c>
      <c r="B128">
        <f t="shared" si="16"/>
        <v>0</v>
      </c>
      <c r="C128">
        <f t="shared" si="17"/>
        <v>0</v>
      </c>
      <c r="E128" t="str">
        <f t="shared" si="18"/>
        <v/>
      </c>
      <c r="G128">
        <f>IF(OR($G$1="",资金日记账!$E121="",资金日记账!$E121&lt;&gt;$G$1),0,IF(NOT(OR(N(资金日记账!$H121)&lt;&gt;0,N(资金日记账!$I121)&lt;&gt;0)),0,IF(资金日记账!$B121="",1,IF(OR(N(资金日记账!$B121)&lt;$H$1,N(资金日记账!$B121)&gt;$I$1),0,1))))</f>
        <v>0</v>
      </c>
      <c r="H128">
        <f t="shared" si="19"/>
        <v>0</v>
      </c>
      <c r="I128" t="str">
        <f>IF($G128=0,"",IF(资金日记账!$B121=0,"",资金日记账!$B121))</f>
        <v/>
      </c>
      <c r="J128" t="str">
        <f>IF($G128=0,"",IF(资金日记账!$D121=0,"",资金日记账!$D121))</f>
        <v/>
      </c>
      <c r="K128" t="str">
        <f t="shared" si="27"/>
        <v/>
      </c>
      <c r="L128" t="str">
        <f t="shared" si="28"/>
        <v/>
      </c>
      <c r="M128" t="str">
        <f t="shared" si="20"/>
        <v/>
      </c>
      <c r="N128" t="str">
        <f>IF($G128=0,"",IF(IF(N(资金日记账!$I121)=0,"",-ROUND(N(资金日记账!$I121),2))=0,"",IF(N(资金日记账!$I121)=0,"",-ROUND(N(资金日记账!$I121),2))))</f>
        <v/>
      </c>
      <c r="O128" t="str">
        <f>IF($G128=0,"",IF(IF(N(资金日记账!$H121)=0,"",ROUND(N(资金日记账!$H121),2))=0,"",IF(N(资金日记账!$H121)=0,"",ROUND(N(资金日记账!$H121),2))))</f>
        <v/>
      </c>
      <c r="P128" t="str">
        <f>IF($G128=0,"",IF(资金日记账!$L121=0,"",资金日记账!$L121))</f>
        <v/>
      </c>
      <c r="T128" t="str">
        <f>IF(资金日记账!$G128="","",资金日记账!$G128)</f>
        <v/>
      </c>
      <c r="U128">
        <f t="shared" si="21"/>
        <v>0</v>
      </c>
      <c r="V128">
        <f t="shared" si="22"/>
        <v>0</v>
      </c>
      <c r="Z128" t="str">
        <f>IF(成本费用登记表!$C128="","",成本费用登记表!$C128)</f>
        <v/>
      </c>
      <c r="AA128">
        <f t="shared" si="23"/>
        <v>0</v>
      </c>
      <c r="AB128">
        <f t="shared" si="24"/>
        <v>0</v>
      </c>
      <c r="AD128" t="str">
        <f>IFERROR(INDEX($Z$4:$Z$303,MATCH(125,$AB$4:$AB$303,0)),"")</f>
        <v/>
      </c>
      <c r="AF128" t="str">
        <f>IF(OR(资金日记账!$E128="",N(资金日记账!$H128)=0),"",资金日记账!$E128)</f>
        <v/>
      </c>
      <c r="AG128">
        <f t="shared" si="25"/>
        <v>0</v>
      </c>
      <c r="AH128">
        <f t="shared" si="26"/>
        <v>0</v>
      </c>
    </row>
    <row r="129" spans="1:34">
      <c r="A129" t="str">
        <f>IF(进销存对接!$D129="客户应收",进销存对接!$C129,"")</f>
        <v/>
      </c>
      <c r="B129">
        <f t="shared" si="16"/>
        <v>0</v>
      </c>
      <c r="C129">
        <f t="shared" si="17"/>
        <v>0</v>
      </c>
      <c r="E129" t="str">
        <f t="shared" si="18"/>
        <v/>
      </c>
      <c r="G129">
        <f>IF(OR($G$1="",资金日记账!$E122="",资金日记账!$E122&lt;&gt;$G$1),0,IF(NOT(OR(N(资金日记账!$H122)&lt;&gt;0,N(资金日记账!$I122)&lt;&gt;0)),0,IF(资金日记账!$B122="",1,IF(OR(N(资金日记账!$B122)&lt;$H$1,N(资金日记账!$B122)&gt;$I$1),0,1))))</f>
        <v>0</v>
      </c>
      <c r="H129">
        <f t="shared" si="19"/>
        <v>0</v>
      </c>
      <c r="I129" t="str">
        <f>IF($G129=0,"",IF(资金日记账!$B122=0,"",资金日记账!$B122))</f>
        <v/>
      </c>
      <c r="J129" t="str">
        <f>IF($G129=0,"",IF(资金日记账!$D122=0,"",资金日记账!$D122))</f>
        <v/>
      </c>
      <c r="K129" t="str">
        <f t="shared" si="27"/>
        <v/>
      </c>
      <c r="L129" t="str">
        <f t="shared" si="28"/>
        <v/>
      </c>
      <c r="M129" t="str">
        <f t="shared" si="20"/>
        <v/>
      </c>
      <c r="N129" t="str">
        <f>IF($G129=0,"",IF(IF(N(资金日记账!$I122)=0,"",-ROUND(N(资金日记账!$I122),2))=0,"",IF(N(资金日记账!$I122)=0,"",-ROUND(N(资金日记账!$I122),2))))</f>
        <v/>
      </c>
      <c r="O129" t="str">
        <f>IF($G129=0,"",IF(IF(N(资金日记账!$H122)=0,"",ROUND(N(资金日记账!$H122),2))=0,"",IF(N(资金日记账!$H122)=0,"",ROUND(N(资金日记账!$H122),2))))</f>
        <v/>
      </c>
      <c r="P129" t="str">
        <f>IF($G129=0,"",IF(资金日记账!$L122=0,"",资金日记账!$L122))</f>
        <v/>
      </c>
      <c r="T129" t="str">
        <f>IF(资金日记账!$G129="","",资金日记账!$G129)</f>
        <v/>
      </c>
      <c r="U129">
        <f t="shared" si="21"/>
        <v>0</v>
      </c>
      <c r="V129">
        <f t="shared" si="22"/>
        <v>0</v>
      </c>
      <c r="Z129" t="str">
        <f>IF(成本费用登记表!$C129="","",成本费用登记表!$C129)</f>
        <v/>
      </c>
      <c r="AA129">
        <f t="shared" si="23"/>
        <v>0</v>
      </c>
      <c r="AB129">
        <f t="shared" si="24"/>
        <v>0</v>
      </c>
      <c r="AD129" t="str">
        <f>IFERROR(INDEX($Z$4:$Z$303,MATCH(126,$AB$4:$AB$303,0)),"")</f>
        <v/>
      </c>
      <c r="AF129" t="str">
        <f>IF(OR(资金日记账!$E129="",N(资金日记账!$H129)=0),"",资金日记账!$E129)</f>
        <v/>
      </c>
      <c r="AG129">
        <f t="shared" si="25"/>
        <v>0</v>
      </c>
      <c r="AH129">
        <f t="shared" si="26"/>
        <v>0</v>
      </c>
    </row>
    <row r="130" spans="1:34">
      <c r="A130" t="str">
        <f>IF(进销存对接!$D130="客户应收",进销存对接!$C130,"")</f>
        <v/>
      </c>
      <c r="B130">
        <f t="shared" si="16"/>
        <v>0</v>
      </c>
      <c r="C130">
        <f t="shared" si="17"/>
        <v>0</v>
      </c>
      <c r="E130" t="str">
        <f t="shared" si="18"/>
        <v/>
      </c>
      <c r="G130">
        <f>IF(OR($G$1="",资金日记账!$E123="",资金日记账!$E123&lt;&gt;$G$1),0,IF(NOT(OR(N(资金日记账!$H123)&lt;&gt;0,N(资金日记账!$I123)&lt;&gt;0)),0,IF(资金日记账!$B123="",1,IF(OR(N(资金日记账!$B123)&lt;$H$1,N(资金日记账!$B123)&gt;$I$1),0,1))))</f>
        <v>0</v>
      </c>
      <c r="H130">
        <f t="shared" si="19"/>
        <v>0</v>
      </c>
      <c r="I130" t="str">
        <f>IF($G130=0,"",IF(资金日记账!$B123=0,"",资金日记账!$B123))</f>
        <v/>
      </c>
      <c r="J130" t="str">
        <f>IF($G130=0,"",IF(资金日记账!$D123=0,"",资金日记账!$D123))</f>
        <v/>
      </c>
      <c r="K130" t="str">
        <f t="shared" si="27"/>
        <v/>
      </c>
      <c r="L130" t="str">
        <f t="shared" si="28"/>
        <v/>
      </c>
      <c r="M130" t="str">
        <f t="shared" si="20"/>
        <v/>
      </c>
      <c r="N130" t="str">
        <f>IF($G130=0,"",IF(IF(N(资金日记账!$I123)=0,"",-ROUND(N(资金日记账!$I123),2))=0,"",IF(N(资金日记账!$I123)=0,"",-ROUND(N(资金日记账!$I123),2))))</f>
        <v/>
      </c>
      <c r="O130" t="str">
        <f>IF($G130=0,"",IF(IF(N(资金日记账!$H123)=0,"",ROUND(N(资金日记账!$H123),2))=0,"",IF(N(资金日记账!$H123)=0,"",ROUND(N(资金日记账!$H123),2))))</f>
        <v/>
      </c>
      <c r="P130" t="str">
        <f>IF($G130=0,"",IF(资金日记账!$L123=0,"",资金日记账!$L123))</f>
        <v/>
      </c>
      <c r="T130" t="str">
        <f>IF(资金日记账!$G130="","",资金日记账!$G130)</f>
        <v/>
      </c>
      <c r="U130">
        <f t="shared" si="21"/>
        <v>0</v>
      </c>
      <c r="V130">
        <f t="shared" si="22"/>
        <v>0</v>
      </c>
      <c r="Z130" t="str">
        <f>IF(成本费用登记表!$C130="","",成本费用登记表!$C130)</f>
        <v/>
      </c>
      <c r="AA130">
        <f t="shared" si="23"/>
        <v>0</v>
      </c>
      <c r="AB130">
        <f t="shared" si="24"/>
        <v>0</v>
      </c>
      <c r="AD130" t="str">
        <f>IFERROR(INDEX($Z$4:$Z$303,MATCH(127,$AB$4:$AB$303,0)),"")</f>
        <v/>
      </c>
      <c r="AF130" t="str">
        <f>IF(OR(资金日记账!$E130="",N(资金日记账!$H130)=0),"",资金日记账!$E130)</f>
        <v/>
      </c>
      <c r="AG130">
        <f t="shared" si="25"/>
        <v>0</v>
      </c>
      <c r="AH130">
        <f t="shared" si="26"/>
        <v>0</v>
      </c>
    </row>
    <row r="131" spans="1:34">
      <c r="A131" t="str">
        <f>IF(进销存对接!$D131="客户应收",进销存对接!$C131,"")</f>
        <v/>
      </c>
      <c r="B131">
        <f t="shared" si="16"/>
        <v>0</v>
      </c>
      <c r="C131">
        <f t="shared" si="17"/>
        <v>0</v>
      </c>
      <c r="E131" t="str">
        <f t="shared" si="18"/>
        <v/>
      </c>
      <c r="G131">
        <f>IF(OR($G$1="",资金日记账!$E124="",资金日记账!$E124&lt;&gt;$G$1),0,IF(NOT(OR(N(资金日记账!$H124)&lt;&gt;0,N(资金日记账!$I124)&lt;&gt;0)),0,IF(资金日记账!$B124="",1,IF(OR(N(资金日记账!$B124)&lt;$H$1,N(资金日记账!$B124)&gt;$I$1),0,1))))</f>
        <v>0</v>
      </c>
      <c r="H131">
        <f t="shared" si="19"/>
        <v>0</v>
      </c>
      <c r="I131" t="str">
        <f>IF($G131=0,"",IF(资金日记账!$B124=0,"",资金日记账!$B124))</f>
        <v/>
      </c>
      <c r="J131" t="str">
        <f>IF($G131=0,"",IF(资金日记账!$D124=0,"",资金日记账!$D124))</f>
        <v/>
      </c>
      <c r="K131" t="str">
        <f t="shared" si="27"/>
        <v/>
      </c>
      <c r="L131" t="str">
        <f t="shared" si="28"/>
        <v/>
      </c>
      <c r="M131" t="str">
        <f t="shared" si="20"/>
        <v/>
      </c>
      <c r="N131" t="str">
        <f>IF($G131=0,"",IF(IF(N(资金日记账!$I124)=0,"",-ROUND(N(资金日记账!$I124),2))=0,"",IF(N(资金日记账!$I124)=0,"",-ROUND(N(资金日记账!$I124),2))))</f>
        <v/>
      </c>
      <c r="O131" t="str">
        <f>IF($G131=0,"",IF(IF(N(资金日记账!$H124)=0,"",ROUND(N(资金日记账!$H124),2))=0,"",IF(N(资金日记账!$H124)=0,"",ROUND(N(资金日记账!$H124),2))))</f>
        <v/>
      </c>
      <c r="P131" t="str">
        <f>IF($G131=0,"",IF(资金日记账!$L124=0,"",资金日记账!$L124))</f>
        <v/>
      </c>
      <c r="T131" t="str">
        <f>IF(资金日记账!$G131="","",资金日记账!$G131)</f>
        <v/>
      </c>
      <c r="U131">
        <f t="shared" si="21"/>
        <v>0</v>
      </c>
      <c r="V131">
        <f t="shared" si="22"/>
        <v>0</v>
      </c>
      <c r="Z131" t="str">
        <f>IF(成本费用登记表!$C131="","",成本费用登记表!$C131)</f>
        <v/>
      </c>
      <c r="AA131">
        <f t="shared" si="23"/>
        <v>0</v>
      </c>
      <c r="AB131">
        <f t="shared" si="24"/>
        <v>0</v>
      </c>
      <c r="AD131" t="str">
        <f>IFERROR(INDEX($Z$4:$Z$303,MATCH(128,$AB$4:$AB$303,0)),"")</f>
        <v/>
      </c>
      <c r="AF131" t="str">
        <f>IF(OR(资金日记账!$E131="",N(资金日记账!$H131)=0),"",资金日记账!$E131)</f>
        <v/>
      </c>
      <c r="AG131">
        <f t="shared" si="25"/>
        <v>0</v>
      </c>
      <c r="AH131">
        <f t="shared" si="26"/>
        <v>0</v>
      </c>
    </row>
    <row r="132" spans="1:34">
      <c r="A132" t="str">
        <f>IF(进销存对接!$D132="客户应收",进销存对接!$C132,"")</f>
        <v/>
      </c>
      <c r="B132">
        <f t="shared" ref="B132:B195" si="29">IF(A132="",0,IF(MATCH(A132,$A$4:$A$1805,0)=ROW()-3,1,0))</f>
        <v>0</v>
      </c>
      <c r="C132">
        <f t="shared" ref="C132:C195" si="30">N(C131)+B132</f>
        <v>0</v>
      </c>
      <c r="E132" t="str">
        <f t="shared" ref="E132:E195" si="31">IFERROR(INDEX($A$4:$A$1805,MATCH(ROW()-3,$C$4:$C$1805,0)),"")</f>
        <v/>
      </c>
      <c r="G132">
        <f>IF(OR($G$1="",资金日记账!$E125="",资金日记账!$E125&lt;&gt;$G$1),0,IF(NOT(OR(N(资金日记账!$H125)&lt;&gt;0,N(资金日记账!$I125)&lt;&gt;0)),0,IF(资金日记账!$B125="",1,IF(OR(N(资金日记账!$B125)&lt;$H$1,N(资金日记账!$B125)&gt;$I$1),0,1))))</f>
        <v>0</v>
      </c>
      <c r="H132">
        <f t="shared" ref="H132:H195" si="32">N(H131)+$G132</f>
        <v>0</v>
      </c>
      <c r="I132" t="str">
        <f>IF($G132=0,"",IF(资金日记账!$B125=0,"",资金日记账!$B125))</f>
        <v/>
      </c>
      <c r="J132" t="str">
        <f>IF($G132=0,"",IF(资金日记账!$D125=0,"",资金日记账!$D125))</f>
        <v/>
      </c>
      <c r="K132" t="str">
        <f t="shared" si="27"/>
        <v/>
      </c>
      <c r="L132" t="str">
        <f t="shared" si="28"/>
        <v/>
      </c>
      <c r="M132" t="str">
        <f t="shared" ref="M132:M195" si="33">IF($G132=0,"",IF(""=0,"",""))</f>
        <v/>
      </c>
      <c r="N132" t="str">
        <f>IF($G132=0,"",IF(IF(N(资金日记账!$I125)=0,"",-ROUND(N(资金日记账!$I125),2))=0,"",IF(N(资金日记账!$I125)=0,"",-ROUND(N(资金日记账!$I125),2))))</f>
        <v/>
      </c>
      <c r="O132" t="str">
        <f>IF($G132=0,"",IF(IF(N(资金日记账!$H125)=0,"",ROUND(N(资金日记账!$H125),2))=0,"",IF(N(资金日记账!$H125)=0,"",ROUND(N(资金日记账!$H125),2))))</f>
        <v/>
      </c>
      <c r="P132" t="str">
        <f>IF($G132=0,"",IF(资金日记账!$L125=0,"",资金日记账!$L125))</f>
        <v/>
      </c>
      <c r="T132" t="str">
        <f>IF(资金日记账!$G132="","",资金日记账!$G132)</f>
        <v/>
      </c>
      <c r="U132">
        <f t="shared" ref="U132:U195" si="34">IF(T132="",0,IF(MATCH(T132,$T$4:$T$903,0)=ROW()-3,1,0))</f>
        <v>0</v>
      </c>
      <c r="V132">
        <f t="shared" ref="V132:V195" si="35">N(V131)+U132</f>
        <v>0</v>
      </c>
      <c r="Z132" t="str">
        <f>IF(成本费用登记表!$C132="","",成本费用登记表!$C132)</f>
        <v/>
      </c>
      <c r="AA132">
        <f t="shared" ref="AA132:AA195" si="36">IF(Z132="",0,IF(MATCH(Z132,$Z$4:$Z$303,0)=ROW()-3,1,0))</f>
        <v>0</v>
      </c>
      <c r="AB132">
        <f t="shared" ref="AB132:AB195" si="37">N(AB131)+AA132</f>
        <v>0</v>
      </c>
      <c r="AD132" t="str">
        <f>IFERROR(INDEX($Z$4:$Z$303,MATCH(129,$AB$4:$AB$303,0)),"")</f>
        <v/>
      </c>
      <c r="AF132" t="str">
        <f>IF(OR(资金日记账!$E132="",N(资金日记账!$H132)=0),"",资金日记账!$E132)</f>
        <v/>
      </c>
      <c r="AG132">
        <f t="shared" ref="AG132:AG195" si="38">IF(AF132="",0,IF(MATCH(AF132,$AF$4:$AF$603,0)=ROW()-3,1,0))</f>
        <v>0</v>
      </c>
      <c r="AH132">
        <f t="shared" ref="AH132:AH195" si="39">N(AH131)+AG132</f>
        <v>0</v>
      </c>
    </row>
    <row r="133" spans="1:34">
      <c r="A133" t="str">
        <f>IF(进销存对接!$D133="客户应收",进销存对接!$C133,"")</f>
        <v/>
      </c>
      <c r="B133">
        <f t="shared" si="29"/>
        <v>0</v>
      </c>
      <c r="C133">
        <f t="shared" si="30"/>
        <v>0</v>
      </c>
      <c r="E133" t="str">
        <f t="shared" si="31"/>
        <v/>
      </c>
      <c r="G133">
        <f>IF(OR($G$1="",资金日记账!$E126="",资金日记账!$E126&lt;&gt;$G$1),0,IF(NOT(OR(N(资金日记账!$H126)&lt;&gt;0,N(资金日记账!$I126)&lt;&gt;0)),0,IF(资金日记账!$B126="",1,IF(OR(N(资金日记账!$B126)&lt;$H$1,N(资金日记账!$B126)&gt;$I$1),0,1))))</f>
        <v>0</v>
      </c>
      <c r="H133">
        <f t="shared" si="32"/>
        <v>0</v>
      </c>
      <c r="I133" t="str">
        <f>IF($G133=0,"",IF(资金日记账!$B126=0,"",资金日记账!$B126))</f>
        <v/>
      </c>
      <c r="J133" t="str">
        <f>IF($G133=0,"",IF(资金日记账!$D126=0,"",资金日记账!$D126))</f>
        <v/>
      </c>
      <c r="K133" t="str">
        <f t="shared" si="27"/>
        <v/>
      </c>
      <c r="L133" t="str">
        <f t="shared" si="28"/>
        <v/>
      </c>
      <c r="M133" t="str">
        <f t="shared" si="33"/>
        <v/>
      </c>
      <c r="N133" t="str">
        <f>IF($G133=0,"",IF(IF(N(资金日记账!$I126)=0,"",-ROUND(N(资金日记账!$I126),2))=0,"",IF(N(资金日记账!$I126)=0,"",-ROUND(N(资金日记账!$I126),2))))</f>
        <v/>
      </c>
      <c r="O133" t="str">
        <f>IF($G133=0,"",IF(IF(N(资金日记账!$H126)=0,"",ROUND(N(资金日记账!$H126),2))=0,"",IF(N(资金日记账!$H126)=0,"",ROUND(N(资金日记账!$H126),2))))</f>
        <v/>
      </c>
      <c r="P133" t="str">
        <f>IF($G133=0,"",IF(资金日记账!$L126=0,"",资金日记账!$L126))</f>
        <v/>
      </c>
      <c r="T133" t="str">
        <f>IF(资金日记账!$G133="","",资金日记账!$G133)</f>
        <v/>
      </c>
      <c r="U133">
        <f t="shared" si="34"/>
        <v>0</v>
      </c>
      <c r="V133">
        <f t="shared" si="35"/>
        <v>0</v>
      </c>
      <c r="Z133" t="str">
        <f>IF(成本费用登记表!$C133="","",成本费用登记表!$C133)</f>
        <v/>
      </c>
      <c r="AA133">
        <f t="shared" si="36"/>
        <v>0</v>
      </c>
      <c r="AB133">
        <f t="shared" si="37"/>
        <v>0</v>
      </c>
      <c r="AD133" t="str">
        <f>IFERROR(INDEX($Z$4:$Z$303,MATCH(130,$AB$4:$AB$303,0)),"")</f>
        <v/>
      </c>
      <c r="AF133" t="str">
        <f>IF(OR(资金日记账!$E133="",N(资金日记账!$H133)=0),"",资金日记账!$E133)</f>
        <v/>
      </c>
      <c r="AG133">
        <f t="shared" si="38"/>
        <v>0</v>
      </c>
      <c r="AH133">
        <f t="shared" si="39"/>
        <v>0</v>
      </c>
    </row>
    <row r="134" spans="1:34">
      <c r="A134" t="str">
        <f>IF(进销存对接!$D134="客户应收",进销存对接!$C134,"")</f>
        <v/>
      </c>
      <c r="B134">
        <f t="shared" si="29"/>
        <v>0</v>
      </c>
      <c r="C134">
        <f t="shared" si="30"/>
        <v>0</v>
      </c>
      <c r="E134" t="str">
        <f t="shared" si="31"/>
        <v/>
      </c>
      <c r="G134">
        <f>IF(OR($G$1="",资金日记账!$E127="",资金日记账!$E127&lt;&gt;$G$1),0,IF(NOT(OR(N(资金日记账!$H127)&lt;&gt;0,N(资金日记账!$I127)&lt;&gt;0)),0,IF(资金日记账!$B127="",1,IF(OR(N(资金日记账!$B127)&lt;$H$1,N(资金日记账!$B127)&gt;$I$1),0,1))))</f>
        <v>0</v>
      </c>
      <c r="H134">
        <f t="shared" si="32"/>
        <v>0</v>
      </c>
      <c r="I134" t="str">
        <f>IF($G134=0,"",IF(资金日记账!$B127=0,"",资金日记账!$B127))</f>
        <v/>
      </c>
      <c r="J134" t="str">
        <f>IF($G134=0,"",IF(资金日记账!$D127=0,"",资金日记账!$D127))</f>
        <v/>
      </c>
      <c r="K134" t="str">
        <f t="shared" si="27"/>
        <v/>
      </c>
      <c r="L134" t="str">
        <f t="shared" si="28"/>
        <v/>
      </c>
      <c r="M134" t="str">
        <f t="shared" si="33"/>
        <v/>
      </c>
      <c r="N134" t="str">
        <f>IF($G134=0,"",IF(IF(N(资金日记账!$I127)=0,"",-ROUND(N(资金日记账!$I127),2))=0,"",IF(N(资金日记账!$I127)=0,"",-ROUND(N(资金日记账!$I127),2))))</f>
        <v/>
      </c>
      <c r="O134" t="str">
        <f>IF($G134=0,"",IF(IF(N(资金日记账!$H127)=0,"",ROUND(N(资金日记账!$H127),2))=0,"",IF(N(资金日记账!$H127)=0,"",ROUND(N(资金日记账!$H127),2))))</f>
        <v/>
      </c>
      <c r="P134" t="str">
        <f>IF($G134=0,"",IF(资金日记账!$L127=0,"",资金日记账!$L127))</f>
        <v/>
      </c>
      <c r="T134" t="str">
        <f>IF(资金日记账!$G134="","",资金日记账!$G134)</f>
        <v/>
      </c>
      <c r="U134">
        <f t="shared" si="34"/>
        <v>0</v>
      </c>
      <c r="V134">
        <f t="shared" si="35"/>
        <v>0</v>
      </c>
      <c r="Z134" t="str">
        <f>IF(成本费用登记表!$C134="","",成本费用登记表!$C134)</f>
        <v/>
      </c>
      <c r="AA134">
        <f t="shared" si="36"/>
        <v>0</v>
      </c>
      <c r="AB134">
        <f t="shared" si="37"/>
        <v>0</v>
      </c>
      <c r="AD134" t="str">
        <f>IFERROR(INDEX($Z$4:$Z$303,MATCH(131,$AB$4:$AB$303,0)),"")</f>
        <v/>
      </c>
      <c r="AF134" t="str">
        <f>IF(OR(资金日记账!$E134="",N(资金日记账!$H134)=0),"",资金日记账!$E134)</f>
        <v/>
      </c>
      <c r="AG134">
        <f t="shared" si="38"/>
        <v>0</v>
      </c>
      <c r="AH134">
        <f t="shared" si="39"/>
        <v>0</v>
      </c>
    </row>
    <row r="135" spans="1:34">
      <c r="A135" t="str">
        <f>IF(进销存对接!$D135="客户应收",进销存对接!$C135,"")</f>
        <v/>
      </c>
      <c r="B135">
        <f t="shared" si="29"/>
        <v>0</v>
      </c>
      <c r="C135">
        <f t="shared" si="30"/>
        <v>0</v>
      </c>
      <c r="E135" t="str">
        <f t="shared" si="31"/>
        <v/>
      </c>
      <c r="G135">
        <f>IF(OR($G$1="",资金日记账!$E128="",资金日记账!$E128&lt;&gt;$G$1),0,IF(NOT(OR(N(资金日记账!$H128)&lt;&gt;0,N(资金日记账!$I128)&lt;&gt;0)),0,IF(资金日记账!$B128="",1,IF(OR(N(资金日记账!$B128)&lt;$H$1,N(资金日记账!$B128)&gt;$I$1),0,1))))</f>
        <v>0</v>
      </c>
      <c r="H135">
        <f t="shared" si="32"/>
        <v>0</v>
      </c>
      <c r="I135" t="str">
        <f>IF($G135=0,"",IF(资金日记账!$B128=0,"",资金日记账!$B128))</f>
        <v/>
      </c>
      <c r="J135" t="str">
        <f>IF($G135=0,"",IF(资金日记账!$D128=0,"",资金日记账!$D128))</f>
        <v/>
      </c>
      <c r="K135" t="str">
        <f t="shared" ref="K135:K198" si="40">IF($G135=0,"",IF(""=0,"",""))</f>
        <v/>
      </c>
      <c r="L135" t="str">
        <f t="shared" ref="L135:L198" si="41">IF($G135=0,"",IF(""=0,"",""))</f>
        <v/>
      </c>
      <c r="M135" t="str">
        <f t="shared" si="33"/>
        <v/>
      </c>
      <c r="N135" t="str">
        <f>IF($G135=0,"",IF(IF(N(资金日记账!$I128)=0,"",-ROUND(N(资金日记账!$I128),2))=0,"",IF(N(资金日记账!$I128)=0,"",-ROUND(N(资金日记账!$I128),2))))</f>
        <v/>
      </c>
      <c r="O135" t="str">
        <f>IF($G135=0,"",IF(IF(N(资金日记账!$H128)=0,"",ROUND(N(资金日记账!$H128),2))=0,"",IF(N(资金日记账!$H128)=0,"",ROUND(N(资金日记账!$H128),2))))</f>
        <v/>
      </c>
      <c r="P135" t="str">
        <f>IF($G135=0,"",IF(资金日记账!$L128=0,"",资金日记账!$L128))</f>
        <v/>
      </c>
      <c r="T135" t="str">
        <f>IF(资金日记账!$G135="","",资金日记账!$G135)</f>
        <v/>
      </c>
      <c r="U135">
        <f t="shared" si="34"/>
        <v>0</v>
      </c>
      <c r="V135">
        <f t="shared" si="35"/>
        <v>0</v>
      </c>
      <c r="Z135" t="str">
        <f>IF(成本费用登记表!$C135="","",成本费用登记表!$C135)</f>
        <v/>
      </c>
      <c r="AA135">
        <f t="shared" si="36"/>
        <v>0</v>
      </c>
      <c r="AB135">
        <f t="shared" si="37"/>
        <v>0</v>
      </c>
      <c r="AD135" t="str">
        <f>IFERROR(INDEX($Z$4:$Z$303,MATCH(132,$AB$4:$AB$303,0)),"")</f>
        <v/>
      </c>
      <c r="AF135" t="str">
        <f>IF(OR(资金日记账!$E135="",N(资金日记账!$H135)=0),"",资金日记账!$E135)</f>
        <v/>
      </c>
      <c r="AG135">
        <f t="shared" si="38"/>
        <v>0</v>
      </c>
      <c r="AH135">
        <f t="shared" si="39"/>
        <v>0</v>
      </c>
    </row>
    <row r="136" spans="1:34">
      <c r="A136" t="str">
        <f>IF(进销存对接!$D136="客户应收",进销存对接!$C136,"")</f>
        <v/>
      </c>
      <c r="B136">
        <f t="shared" si="29"/>
        <v>0</v>
      </c>
      <c r="C136">
        <f t="shared" si="30"/>
        <v>0</v>
      </c>
      <c r="E136" t="str">
        <f t="shared" si="31"/>
        <v/>
      </c>
      <c r="G136">
        <f>IF(OR($G$1="",资金日记账!$E129="",资金日记账!$E129&lt;&gt;$G$1),0,IF(NOT(OR(N(资金日记账!$H129)&lt;&gt;0,N(资金日记账!$I129)&lt;&gt;0)),0,IF(资金日记账!$B129="",1,IF(OR(N(资金日记账!$B129)&lt;$H$1,N(资金日记账!$B129)&gt;$I$1),0,1))))</f>
        <v>0</v>
      </c>
      <c r="H136">
        <f t="shared" si="32"/>
        <v>0</v>
      </c>
      <c r="I136" t="str">
        <f>IF($G136=0,"",IF(资金日记账!$B129=0,"",资金日记账!$B129))</f>
        <v/>
      </c>
      <c r="J136" t="str">
        <f>IF($G136=0,"",IF(资金日记账!$D129=0,"",资金日记账!$D129))</f>
        <v/>
      </c>
      <c r="K136" t="str">
        <f t="shared" si="40"/>
        <v/>
      </c>
      <c r="L136" t="str">
        <f t="shared" si="41"/>
        <v/>
      </c>
      <c r="M136" t="str">
        <f t="shared" si="33"/>
        <v/>
      </c>
      <c r="N136" t="str">
        <f>IF($G136=0,"",IF(IF(N(资金日记账!$I129)=0,"",-ROUND(N(资金日记账!$I129),2))=0,"",IF(N(资金日记账!$I129)=0,"",-ROUND(N(资金日记账!$I129),2))))</f>
        <v/>
      </c>
      <c r="O136" t="str">
        <f>IF($G136=0,"",IF(IF(N(资金日记账!$H129)=0,"",ROUND(N(资金日记账!$H129),2))=0,"",IF(N(资金日记账!$H129)=0,"",ROUND(N(资金日记账!$H129),2))))</f>
        <v/>
      </c>
      <c r="P136" t="str">
        <f>IF($G136=0,"",IF(资金日记账!$L129=0,"",资金日记账!$L129))</f>
        <v/>
      </c>
      <c r="T136" t="str">
        <f>IF(资金日记账!$G136="","",资金日记账!$G136)</f>
        <v/>
      </c>
      <c r="U136">
        <f t="shared" si="34"/>
        <v>0</v>
      </c>
      <c r="V136">
        <f t="shared" si="35"/>
        <v>0</v>
      </c>
      <c r="Z136" t="str">
        <f>IF(成本费用登记表!$C136="","",成本费用登记表!$C136)</f>
        <v/>
      </c>
      <c r="AA136">
        <f t="shared" si="36"/>
        <v>0</v>
      </c>
      <c r="AB136">
        <f t="shared" si="37"/>
        <v>0</v>
      </c>
      <c r="AD136" t="str">
        <f>IFERROR(INDEX($Z$4:$Z$303,MATCH(133,$AB$4:$AB$303,0)),"")</f>
        <v/>
      </c>
      <c r="AF136" t="str">
        <f>IF(OR(资金日记账!$E136="",N(资金日记账!$H136)=0),"",资金日记账!$E136)</f>
        <v/>
      </c>
      <c r="AG136">
        <f t="shared" si="38"/>
        <v>0</v>
      </c>
      <c r="AH136">
        <f t="shared" si="39"/>
        <v>0</v>
      </c>
    </row>
    <row r="137" spans="1:34">
      <c r="A137" t="str">
        <f>IF(进销存对接!$D137="客户应收",进销存对接!$C137,"")</f>
        <v/>
      </c>
      <c r="B137">
        <f t="shared" si="29"/>
        <v>0</v>
      </c>
      <c r="C137">
        <f t="shared" si="30"/>
        <v>0</v>
      </c>
      <c r="E137" t="str">
        <f t="shared" si="31"/>
        <v/>
      </c>
      <c r="G137">
        <f>IF(OR($G$1="",资金日记账!$E130="",资金日记账!$E130&lt;&gt;$G$1),0,IF(NOT(OR(N(资金日记账!$H130)&lt;&gt;0,N(资金日记账!$I130)&lt;&gt;0)),0,IF(资金日记账!$B130="",1,IF(OR(N(资金日记账!$B130)&lt;$H$1,N(资金日记账!$B130)&gt;$I$1),0,1))))</f>
        <v>0</v>
      </c>
      <c r="H137">
        <f t="shared" si="32"/>
        <v>0</v>
      </c>
      <c r="I137" t="str">
        <f>IF($G137=0,"",IF(资金日记账!$B130=0,"",资金日记账!$B130))</f>
        <v/>
      </c>
      <c r="J137" t="str">
        <f>IF($G137=0,"",IF(资金日记账!$D130=0,"",资金日记账!$D130))</f>
        <v/>
      </c>
      <c r="K137" t="str">
        <f t="shared" si="40"/>
        <v/>
      </c>
      <c r="L137" t="str">
        <f t="shared" si="41"/>
        <v/>
      </c>
      <c r="M137" t="str">
        <f t="shared" si="33"/>
        <v/>
      </c>
      <c r="N137" t="str">
        <f>IF($G137=0,"",IF(IF(N(资金日记账!$I130)=0,"",-ROUND(N(资金日记账!$I130),2))=0,"",IF(N(资金日记账!$I130)=0,"",-ROUND(N(资金日记账!$I130),2))))</f>
        <v/>
      </c>
      <c r="O137" t="str">
        <f>IF($G137=0,"",IF(IF(N(资金日记账!$H130)=0,"",ROUND(N(资金日记账!$H130),2))=0,"",IF(N(资金日记账!$H130)=0,"",ROUND(N(资金日记账!$H130),2))))</f>
        <v/>
      </c>
      <c r="P137" t="str">
        <f>IF($G137=0,"",IF(资金日记账!$L130=0,"",资金日记账!$L130))</f>
        <v/>
      </c>
      <c r="T137" t="str">
        <f>IF(资金日记账!$G137="","",资金日记账!$G137)</f>
        <v/>
      </c>
      <c r="U137">
        <f t="shared" si="34"/>
        <v>0</v>
      </c>
      <c r="V137">
        <f t="shared" si="35"/>
        <v>0</v>
      </c>
      <c r="Z137" t="str">
        <f>IF(成本费用登记表!$C137="","",成本费用登记表!$C137)</f>
        <v/>
      </c>
      <c r="AA137">
        <f t="shared" si="36"/>
        <v>0</v>
      </c>
      <c r="AB137">
        <f t="shared" si="37"/>
        <v>0</v>
      </c>
      <c r="AD137" t="str">
        <f>IFERROR(INDEX($Z$4:$Z$303,MATCH(134,$AB$4:$AB$303,0)),"")</f>
        <v/>
      </c>
      <c r="AF137" t="str">
        <f>IF(OR(资金日记账!$E137="",N(资金日记账!$H137)=0),"",资金日记账!$E137)</f>
        <v/>
      </c>
      <c r="AG137">
        <f t="shared" si="38"/>
        <v>0</v>
      </c>
      <c r="AH137">
        <f t="shared" si="39"/>
        <v>0</v>
      </c>
    </row>
    <row r="138" spans="1:34">
      <c r="A138" t="str">
        <f>IF(进销存对接!$D138="客户应收",进销存对接!$C138,"")</f>
        <v/>
      </c>
      <c r="B138">
        <f t="shared" si="29"/>
        <v>0</v>
      </c>
      <c r="C138">
        <f t="shared" si="30"/>
        <v>0</v>
      </c>
      <c r="E138" t="str">
        <f t="shared" si="31"/>
        <v/>
      </c>
      <c r="G138">
        <f>IF(OR($G$1="",资金日记账!$E131="",资金日记账!$E131&lt;&gt;$G$1),0,IF(NOT(OR(N(资金日记账!$H131)&lt;&gt;0,N(资金日记账!$I131)&lt;&gt;0)),0,IF(资金日记账!$B131="",1,IF(OR(N(资金日记账!$B131)&lt;$H$1,N(资金日记账!$B131)&gt;$I$1),0,1))))</f>
        <v>0</v>
      </c>
      <c r="H138">
        <f t="shared" si="32"/>
        <v>0</v>
      </c>
      <c r="I138" t="str">
        <f>IF($G138=0,"",IF(资金日记账!$B131=0,"",资金日记账!$B131))</f>
        <v/>
      </c>
      <c r="J138" t="str">
        <f>IF($G138=0,"",IF(资金日记账!$D131=0,"",资金日记账!$D131))</f>
        <v/>
      </c>
      <c r="K138" t="str">
        <f t="shared" si="40"/>
        <v/>
      </c>
      <c r="L138" t="str">
        <f t="shared" si="41"/>
        <v/>
      </c>
      <c r="M138" t="str">
        <f t="shared" si="33"/>
        <v/>
      </c>
      <c r="N138" t="str">
        <f>IF($G138=0,"",IF(IF(N(资金日记账!$I131)=0,"",-ROUND(N(资金日记账!$I131),2))=0,"",IF(N(资金日记账!$I131)=0,"",-ROUND(N(资金日记账!$I131),2))))</f>
        <v/>
      </c>
      <c r="O138" t="str">
        <f>IF($G138=0,"",IF(IF(N(资金日记账!$H131)=0,"",ROUND(N(资金日记账!$H131),2))=0,"",IF(N(资金日记账!$H131)=0,"",ROUND(N(资金日记账!$H131),2))))</f>
        <v/>
      </c>
      <c r="P138" t="str">
        <f>IF($G138=0,"",IF(资金日记账!$L131=0,"",资金日记账!$L131))</f>
        <v/>
      </c>
      <c r="T138" t="str">
        <f>IF(资金日记账!$G138="","",资金日记账!$G138)</f>
        <v/>
      </c>
      <c r="U138">
        <f t="shared" si="34"/>
        <v>0</v>
      </c>
      <c r="V138">
        <f t="shared" si="35"/>
        <v>0</v>
      </c>
      <c r="Z138" t="str">
        <f>IF(成本费用登记表!$C138="","",成本费用登记表!$C138)</f>
        <v/>
      </c>
      <c r="AA138">
        <f t="shared" si="36"/>
        <v>0</v>
      </c>
      <c r="AB138">
        <f t="shared" si="37"/>
        <v>0</v>
      </c>
      <c r="AD138" t="str">
        <f>IFERROR(INDEX($Z$4:$Z$303,MATCH(135,$AB$4:$AB$303,0)),"")</f>
        <v/>
      </c>
      <c r="AF138" t="str">
        <f>IF(OR(资金日记账!$E138="",N(资金日记账!$H138)=0),"",资金日记账!$E138)</f>
        <v/>
      </c>
      <c r="AG138">
        <f t="shared" si="38"/>
        <v>0</v>
      </c>
      <c r="AH138">
        <f t="shared" si="39"/>
        <v>0</v>
      </c>
    </row>
    <row r="139" spans="1:34">
      <c r="A139" t="str">
        <f>IF(进销存对接!$D139="客户应收",进销存对接!$C139,"")</f>
        <v/>
      </c>
      <c r="B139">
        <f t="shared" si="29"/>
        <v>0</v>
      </c>
      <c r="C139">
        <f t="shared" si="30"/>
        <v>0</v>
      </c>
      <c r="E139" t="str">
        <f t="shared" si="31"/>
        <v/>
      </c>
      <c r="G139">
        <f>IF(OR($G$1="",资金日记账!$E132="",资金日记账!$E132&lt;&gt;$G$1),0,IF(NOT(OR(N(资金日记账!$H132)&lt;&gt;0,N(资金日记账!$I132)&lt;&gt;0)),0,IF(资金日记账!$B132="",1,IF(OR(N(资金日记账!$B132)&lt;$H$1,N(资金日记账!$B132)&gt;$I$1),0,1))))</f>
        <v>0</v>
      </c>
      <c r="H139">
        <f t="shared" si="32"/>
        <v>0</v>
      </c>
      <c r="I139" t="str">
        <f>IF($G139=0,"",IF(资金日记账!$B132=0,"",资金日记账!$B132))</f>
        <v/>
      </c>
      <c r="J139" t="str">
        <f>IF($G139=0,"",IF(资金日记账!$D132=0,"",资金日记账!$D132))</f>
        <v/>
      </c>
      <c r="K139" t="str">
        <f t="shared" si="40"/>
        <v/>
      </c>
      <c r="L139" t="str">
        <f t="shared" si="41"/>
        <v/>
      </c>
      <c r="M139" t="str">
        <f t="shared" si="33"/>
        <v/>
      </c>
      <c r="N139" t="str">
        <f>IF($G139=0,"",IF(IF(N(资金日记账!$I132)=0,"",-ROUND(N(资金日记账!$I132),2))=0,"",IF(N(资金日记账!$I132)=0,"",-ROUND(N(资金日记账!$I132),2))))</f>
        <v/>
      </c>
      <c r="O139" t="str">
        <f>IF($G139=0,"",IF(IF(N(资金日记账!$H132)=0,"",ROUND(N(资金日记账!$H132),2))=0,"",IF(N(资金日记账!$H132)=0,"",ROUND(N(资金日记账!$H132),2))))</f>
        <v/>
      </c>
      <c r="P139" t="str">
        <f>IF($G139=0,"",IF(资金日记账!$L132=0,"",资金日记账!$L132))</f>
        <v/>
      </c>
      <c r="T139" t="str">
        <f>IF(资金日记账!$G139="","",资金日记账!$G139)</f>
        <v/>
      </c>
      <c r="U139">
        <f t="shared" si="34"/>
        <v>0</v>
      </c>
      <c r="V139">
        <f t="shared" si="35"/>
        <v>0</v>
      </c>
      <c r="Z139" t="str">
        <f>IF(成本费用登记表!$C139="","",成本费用登记表!$C139)</f>
        <v/>
      </c>
      <c r="AA139">
        <f t="shared" si="36"/>
        <v>0</v>
      </c>
      <c r="AB139">
        <f t="shared" si="37"/>
        <v>0</v>
      </c>
      <c r="AD139" t="str">
        <f>IFERROR(INDEX($Z$4:$Z$303,MATCH(136,$AB$4:$AB$303,0)),"")</f>
        <v/>
      </c>
      <c r="AF139" t="str">
        <f>IF(OR(资金日记账!$E139="",N(资金日记账!$H139)=0),"",资金日记账!$E139)</f>
        <v/>
      </c>
      <c r="AG139">
        <f t="shared" si="38"/>
        <v>0</v>
      </c>
      <c r="AH139">
        <f t="shared" si="39"/>
        <v>0</v>
      </c>
    </row>
    <row r="140" spans="1:34">
      <c r="A140" t="str">
        <f>IF(进销存对接!$D140="客户应收",进销存对接!$C140,"")</f>
        <v/>
      </c>
      <c r="B140">
        <f t="shared" si="29"/>
        <v>0</v>
      </c>
      <c r="C140">
        <f t="shared" si="30"/>
        <v>0</v>
      </c>
      <c r="E140" t="str">
        <f t="shared" si="31"/>
        <v/>
      </c>
      <c r="G140">
        <f>IF(OR($G$1="",资金日记账!$E133="",资金日记账!$E133&lt;&gt;$G$1),0,IF(NOT(OR(N(资金日记账!$H133)&lt;&gt;0,N(资金日记账!$I133)&lt;&gt;0)),0,IF(资金日记账!$B133="",1,IF(OR(N(资金日记账!$B133)&lt;$H$1,N(资金日记账!$B133)&gt;$I$1),0,1))))</f>
        <v>0</v>
      </c>
      <c r="H140">
        <f t="shared" si="32"/>
        <v>0</v>
      </c>
      <c r="I140" t="str">
        <f>IF($G140=0,"",IF(资金日记账!$B133=0,"",资金日记账!$B133))</f>
        <v/>
      </c>
      <c r="J140" t="str">
        <f>IF($G140=0,"",IF(资金日记账!$D133=0,"",资金日记账!$D133))</f>
        <v/>
      </c>
      <c r="K140" t="str">
        <f t="shared" si="40"/>
        <v/>
      </c>
      <c r="L140" t="str">
        <f t="shared" si="41"/>
        <v/>
      </c>
      <c r="M140" t="str">
        <f t="shared" si="33"/>
        <v/>
      </c>
      <c r="N140" t="str">
        <f>IF($G140=0,"",IF(IF(N(资金日记账!$I133)=0,"",-ROUND(N(资金日记账!$I133),2))=0,"",IF(N(资金日记账!$I133)=0,"",-ROUND(N(资金日记账!$I133),2))))</f>
        <v/>
      </c>
      <c r="O140" t="str">
        <f>IF($G140=0,"",IF(IF(N(资金日记账!$H133)=0,"",ROUND(N(资金日记账!$H133),2))=0,"",IF(N(资金日记账!$H133)=0,"",ROUND(N(资金日记账!$H133),2))))</f>
        <v/>
      </c>
      <c r="P140" t="str">
        <f>IF($G140=0,"",IF(资金日记账!$L133=0,"",资金日记账!$L133))</f>
        <v/>
      </c>
      <c r="T140" t="str">
        <f>IF(资金日记账!$G140="","",资金日记账!$G140)</f>
        <v/>
      </c>
      <c r="U140">
        <f t="shared" si="34"/>
        <v>0</v>
      </c>
      <c r="V140">
        <f t="shared" si="35"/>
        <v>0</v>
      </c>
      <c r="Z140" t="str">
        <f>IF(成本费用登记表!$C140="","",成本费用登记表!$C140)</f>
        <v/>
      </c>
      <c r="AA140">
        <f t="shared" si="36"/>
        <v>0</v>
      </c>
      <c r="AB140">
        <f t="shared" si="37"/>
        <v>0</v>
      </c>
      <c r="AD140" t="str">
        <f>IFERROR(INDEX($Z$4:$Z$303,MATCH(137,$AB$4:$AB$303,0)),"")</f>
        <v/>
      </c>
      <c r="AF140" t="str">
        <f>IF(OR(资金日记账!$E140="",N(资金日记账!$H140)=0),"",资金日记账!$E140)</f>
        <v/>
      </c>
      <c r="AG140">
        <f t="shared" si="38"/>
        <v>0</v>
      </c>
      <c r="AH140">
        <f t="shared" si="39"/>
        <v>0</v>
      </c>
    </row>
    <row r="141" spans="1:34">
      <c r="A141" t="str">
        <f>IF(进销存对接!$D141="客户应收",进销存对接!$C141,"")</f>
        <v/>
      </c>
      <c r="B141">
        <f t="shared" si="29"/>
        <v>0</v>
      </c>
      <c r="C141">
        <f t="shared" si="30"/>
        <v>0</v>
      </c>
      <c r="E141" t="str">
        <f t="shared" si="31"/>
        <v/>
      </c>
      <c r="G141">
        <f>IF(OR($G$1="",资金日记账!$E134="",资金日记账!$E134&lt;&gt;$G$1),0,IF(NOT(OR(N(资金日记账!$H134)&lt;&gt;0,N(资金日记账!$I134)&lt;&gt;0)),0,IF(资金日记账!$B134="",1,IF(OR(N(资金日记账!$B134)&lt;$H$1,N(资金日记账!$B134)&gt;$I$1),0,1))))</f>
        <v>0</v>
      </c>
      <c r="H141">
        <f t="shared" si="32"/>
        <v>0</v>
      </c>
      <c r="I141" t="str">
        <f>IF($G141=0,"",IF(资金日记账!$B134=0,"",资金日记账!$B134))</f>
        <v/>
      </c>
      <c r="J141" t="str">
        <f>IF($G141=0,"",IF(资金日记账!$D134=0,"",资金日记账!$D134))</f>
        <v/>
      </c>
      <c r="K141" t="str">
        <f t="shared" si="40"/>
        <v/>
      </c>
      <c r="L141" t="str">
        <f t="shared" si="41"/>
        <v/>
      </c>
      <c r="M141" t="str">
        <f t="shared" si="33"/>
        <v/>
      </c>
      <c r="N141" t="str">
        <f>IF($G141=0,"",IF(IF(N(资金日记账!$I134)=0,"",-ROUND(N(资金日记账!$I134),2))=0,"",IF(N(资金日记账!$I134)=0,"",-ROUND(N(资金日记账!$I134),2))))</f>
        <v/>
      </c>
      <c r="O141" t="str">
        <f>IF($G141=0,"",IF(IF(N(资金日记账!$H134)=0,"",ROUND(N(资金日记账!$H134),2))=0,"",IF(N(资金日记账!$H134)=0,"",ROUND(N(资金日记账!$H134),2))))</f>
        <v/>
      </c>
      <c r="P141" t="str">
        <f>IF($G141=0,"",IF(资金日记账!$L134=0,"",资金日记账!$L134))</f>
        <v/>
      </c>
      <c r="T141" t="str">
        <f>IF(资金日记账!$G141="","",资金日记账!$G141)</f>
        <v/>
      </c>
      <c r="U141">
        <f t="shared" si="34"/>
        <v>0</v>
      </c>
      <c r="V141">
        <f t="shared" si="35"/>
        <v>0</v>
      </c>
      <c r="Z141" t="str">
        <f>IF(成本费用登记表!$C141="","",成本费用登记表!$C141)</f>
        <v/>
      </c>
      <c r="AA141">
        <f t="shared" si="36"/>
        <v>0</v>
      </c>
      <c r="AB141">
        <f t="shared" si="37"/>
        <v>0</v>
      </c>
      <c r="AD141" t="str">
        <f>IFERROR(INDEX($Z$4:$Z$303,MATCH(138,$AB$4:$AB$303,0)),"")</f>
        <v/>
      </c>
      <c r="AF141" t="str">
        <f>IF(OR(资金日记账!$E141="",N(资金日记账!$H141)=0),"",资金日记账!$E141)</f>
        <v/>
      </c>
      <c r="AG141">
        <f t="shared" si="38"/>
        <v>0</v>
      </c>
      <c r="AH141">
        <f t="shared" si="39"/>
        <v>0</v>
      </c>
    </row>
    <row r="142" spans="1:34">
      <c r="A142" t="str">
        <f>IF(进销存对接!$D142="客户应收",进销存对接!$C142,"")</f>
        <v/>
      </c>
      <c r="B142">
        <f t="shared" si="29"/>
        <v>0</v>
      </c>
      <c r="C142">
        <f t="shared" si="30"/>
        <v>0</v>
      </c>
      <c r="E142" t="str">
        <f t="shared" si="31"/>
        <v/>
      </c>
      <c r="G142">
        <f>IF(OR($G$1="",资金日记账!$E135="",资金日记账!$E135&lt;&gt;$G$1),0,IF(NOT(OR(N(资金日记账!$H135)&lt;&gt;0,N(资金日记账!$I135)&lt;&gt;0)),0,IF(资金日记账!$B135="",1,IF(OR(N(资金日记账!$B135)&lt;$H$1,N(资金日记账!$B135)&gt;$I$1),0,1))))</f>
        <v>0</v>
      </c>
      <c r="H142">
        <f t="shared" si="32"/>
        <v>0</v>
      </c>
      <c r="I142" t="str">
        <f>IF($G142=0,"",IF(资金日记账!$B135=0,"",资金日记账!$B135))</f>
        <v/>
      </c>
      <c r="J142" t="str">
        <f>IF($G142=0,"",IF(资金日记账!$D135=0,"",资金日记账!$D135))</f>
        <v/>
      </c>
      <c r="K142" t="str">
        <f t="shared" si="40"/>
        <v/>
      </c>
      <c r="L142" t="str">
        <f t="shared" si="41"/>
        <v/>
      </c>
      <c r="M142" t="str">
        <f t="shared" si="33"/>
        <v/>
      </c>
      <c r="N142" t="str">
        <f>IF($G142=0,"",IF(IF(N(资金日记账!$I135)=0,"",-ROUND(N(资金日记账!$I135),2))=0,"",IF(N(资金日记账!$I135)=0,"",-ROUND(N(资金日记账!$I135),2))))</f>
        <v/>
      </c>
      <c r="O142" t="str">
        <f>IF($G142=0,"",IF(IF(N(资金日记账!$H135)=0,"",ROUND(N(资金日记账!$H135),2))=0,"",IF(N(资金日记账!$H135)=0,"",ROUND(N(资金日记账!$H135),2))))</f>
        <v/>
      </c>
      <c r="P142" t="str">
        <f>IF($G142=0,"",IF(资金日记账!$L135=0,"",资金日记账!$L135))</f>
        <v/>
      </c>
      <c r="T142" t="str">
        <f>IF(资金日记账!$G142="","",资金日记账!$G142)</f>
        <v/>
      </c>
      <c r="U142">
        <f t="shared" si="34"/>
        <v>0</v>
      </c>
      <c r="V142">
        <f t="shared" si="35"/>
        <v>0</v>
      </c>
      <c r="Z142" t="str">
        <f>IF(成本费用登记表!$C142="","",成本费用登记表!$C142)</f>
        <v/>
      </c>
      <c r="AA142">
        <f t="shared" si="36"/>
        <v>0</v>
      </c>
      <c r="AB142">
        <f t="shared" si="37"/>
        <v>0</v>
      </c>
      <c r="AD142" t="str">
        <f>IFERROR(INDEX($Z$4:$Z$303,MATCH(139,$AB$4:$AB$303,0)),"")</f>
        <v/>
      </c>
      <c r="AF142" t="str">
        <f>IF(OR(资金日记账!$E142="",N(资金日记账!$H142)=0),"",资金日记账!$E142)</f>
        <v/>
      </c>
      <c r="AG142">
        <f t="shared" si="38"/>
        <v>0</v>
      </c>
      <c r="AH142">
        <f t="shared" si="39"/>
        <v>0</v>
      </c>
    </row>
    <row r="143" spans="1:34">
      <c r="A143" t="str">
        <f>IF(进销存对接!$D143="客户应收",进销存对接!$C143,"")</f>
        <v/>
      </c>
      <c r="B143">
        <f t="shared" si="29"/>
        <v>0</v>
      </c>
      <c r="C143">
        <f t="shared" si="30"/>
        <v>0</v>
      </c>
      <c r="E143" t="str">
        <f t="shared" si="31"/>
        <v/>
      </c>
      <c r="G143">
        <f>IF(OR($G$1="",资金日记账!$E136="",资金日记账!$E136&lt;&gt;$G$1),0,IF(NOT(OR(N(资金日记账!$H136)&lt;&gt;0,N(资金日记账!$I136)&lt;&gt;0)),0,IF(资金日记账!$B136="",1,IF(OR(N(资金日记账!$B136)&lt;$H$1,N(资金日记账!$B136)&gt;$I$1),0,1))))</f>
        <v>0</v>
      </c>
      <c r="H143">
        <f t="shared" si="32"/>
        <v>0</v>
      </c>
      <c r="I143" t="str">
        <f>IF($G143=0,"",IF(资金日记账!$B136=0,"",资金日记账!$B136))</f>
        <v/>
      </c>
      <c r="J143" t="str">
        <f>IF($G143=0,"",IF(资金日记账!$D136=0,"",资金日记账!$D136))</f>
        <v/>
      </c>
      <c r="K143" t="str">
        <f t="shared" si="40"/>
        <v/>
      </c>
      <c r="L143" t="str">
        <f t="shared" si="41"/>
        <v/>
      </c>
      <c r="M143" t="str">
        <f t="shared" si="33"/>
        <v/>
      </c>
      <c r="N143" t="str">
        <f>IF($G143=0,"",IF(IF(N(资金日记账!$I136)=0,"",-ROUND(N(资金日记账!$I136),2))=0,"",IF(N(资金日记账!$I136)=0,"",-ROUND(N(资金日记账!$I136),2))))</f>
        <v/>
      </c>
      <c r="O143" t="str">
        <f>IF($G143=0,"",IF(IF(N(资金日记账!$H136)=0,"",ROUND(N(资金日记账!$H136),2))=0,"",IF(N(资金日记账!$H136)=0,"",ROUND(N(资金日记账!$H136),2))))</f>
        <v/>
      </c>
      <c r="P143" t="str">
        <f>IF($G143=0,"",IF(资金日记账!$L136=0,"",资金日记账!$L136))</f>
        <v/>
      </c>
      <c r="T143" t="str">
        <f>IF(资金日记账!$G143="","",资金日记账!$G143)</f>
        <v/>
      </c>
      <c r="U143">
        <f t="shared" si="34"/>
        <v>0</v>
      </c>
      <c r="V143">
        <f t="shared" si="35"/>
        <v>0</v>
      </c>
      <c r="Z143" t="str">
        <f>IF(成本费用登记表!$C143="","",成本费用登记表!$C143)</f>
        <v/>
      </c>
      <c r="AA143">
        <f t="shared" si="36"/>
        <v>0</v>
      </c>
      <c r="AB143">
        <f t="shared" si="37"/>
        <v>0</v>
      </c>
      <c r="AD143" t="str">
        <f>IFERROR(INDEX($Z$4:$Z$303,MATCH(140,$AB$4:$AB$303,0)),"")</f>
        <v/>
      </c>
      <c r="AF143" t="str">
        <f>IF(OR(资金日记账!$E143="",N(资金日记账!$H143)=0),"",资金日记账!$E143)</f>
        <v/>
      </c>
      <c r="AG143">
        <f t="shared" si="38"/>
        <v>0</v>
      </c>
      <c r="AH143">
        <f t="shared" si="39"/>
        <v>0</v>
      </c>
    </row>
    <row r="144" spans="1:34">
      <c r="A144" t="str">
        <f>IF(进销存对接!$D144="客户应收",进销存对接!$C144,"")</f>
        <v/>
      </c>
      <c r="B144">
        <f t="shared" si="29"/>
        <v>0</v>
      </c>
      <c r="C144">
        <f t="shared" si="30"/>
        <v>0</v>
      </c>
      <c r="E144" t="str">
        <f t="shared" si="31"/>
        <v/>
      </c>
      <c r="G144">
        <f>IF(OR($G$1="",资金日记账!$E137="",资金日记账!$E137&lt;&gt;$G$1),0,IF(NOT(OR(N(资金日记账!$H137)&lt;&gt;0,N(资金日记账!$I137)&lt;&gt;0)),0,IF(资金日记账!$B137="",1,IF(OR(N(资金日记账!$B137)&lt;$H$1,N(资金日记账!$B137)&gt;$I$1),0,1))))</f>
        <v>0</v>
      </c>
      <c r="H144">
        <f t="shared" si="32"/>
        <v>0</v>
      </c>
      <c r="I144" t="str">
        <f>IF($G144=0,"",IF(资金日记账!$B137=0,"",资金日记账!$B137))</f>
        <v/>
      </c>
      <c r="J144" t="str">
        <f>IF($G144=0,"",IF(资金日记账!$D137=0,"",资金日记账!$D137))</f>
        <v/>
      </c>
      <c r="K144" t="str">
        <f t="shared" si="40"/>
        <v/>
      </c>
      <c r="L144" t="str">
        <f t="shared" si="41"/>
        <v/>
      </c>
      <c r="M144" t="str">
        <f t="shared" si="33"/>
        <v/>
      </c>
      <c r="N144" t="str">
        <f>IF($G144=0,"",IF(IF(N(资金日记账!$I137)=0,"",-ROUND(N(资金日记账!$I137),2))=0,"",IF(N(资金日记账!$I137)=0,"",-ROUND(N(资金日记账!$I137),2))))</f>
        <v/>
      </c>
      <c r="O144" t="str">
        <f>IF($G144=0,"",IF(IF(N(资金日记账!$H137)=0,"",ROUND(N(资金日记账!$H137),2))=0,"",IF(N(资金日记账!$H137)=0,"",ROUND(N(资金日记账!$H137),2))))</f>
        <v/>
      </c>
      <c r="P144" t="str">
        <f>IF($G144=0,"",IF(资金日记账!$L137=0,"",资金日记账!$L137))</f>
        <v/>
      </c>
      <c r="T144" t="str">
        <f>IF(资金日记账!$G144="","",资金日记账!$G144)</f>
        <v/>
      </c>
      <c r="U144">
        <f t="shared" si="34"/>
        <v>0</v>
      </c>
      <c r="V144">
        <f t="shared" si="35"/>
        <v>0</v>
      </c>
      <c r="Z144" t="str">
        <f>IF(成本费用登记表!$C144="","",成本费用登记表!$C144)</f>
        <v/>
      </c>
      <c r="AA144">
        <f t="shared" si="36"/>
        <v>0</v>
      </c>
      <c r="AB144">
        <f t="shared" si="37"/>
        <v>0</v>
      </c>
      <c r="AD144" t="str">
        <f>IFERROR(INDEX($Z$4:$Z$303,MATCH(141,$AB$4:$AB$303,0)),"")</f>
        <v/>
      </c>
      <c r="AF144" t="str">
        <f>IF(OR(资金日记账!$E144="",N(资金日记账!$H144)=0),"",资金日记账!$E144)</f>
        <v/>
      </c>
      <c r="AG144">
        <f t="shared" si="38"/>
        <v>0</v>
      </c>
      <c r="AH144">
        <f t="shared" si="39"/>
        <v>0</v>
      </c>
    </row>
    <row r="145" spans="1:34">
      <c r="A145" t="str">
        <f>IF(进销存对接!$D145="客户应收",进销存对接!$C145,"")</f>
        <v/>
      </c>
      <c r="B145">
        <f t="shared" si="29"/>
        <v>0</v>
      </c>
      <c r="C145">
        <f t="shared" si="30"/>
        <v>0</v>
      </c>
      <c r="E145" t="str">
        <f t="shared" si="31"/>
        <v/>
      </c>
      <c r="G145">
        <f>IF(OR($G$1="",资金日记账!$E138="",资金日记账!$E138&lt;&gt;$G$1),0,IF(NOT(OR(N(资金日记账!$H138)&lt;&gt;0,N(资金日记账!$I138)&lt;&gt;0)),0,IF(资金日记账!$B138="",1,IF(OR(N(资金日记账!$B138)&lt;$H$1,N(资金日记账!$B138)&gt;$I$1),0,1))))</f>
        <v>0</v>
      </c>
      <c r="H145">
        <f t="shared" si="32"/>
        <v>0</v>
      </c>
      <c r="I145" t="str">
        <f>IF($G145=0,"",IF(资金日记账!$B138=0,"",资金日记账!$B138))</f>
        <v/>
      </c>
      <c r="J145" t="str">
        <f>IF($G145=0,"",IF(资金日记账!$D138=0,"",资金日记账!$D138))</f>
        <v/>
      </c>
      <c r="K145" t="str">
        <f t="shared" si="40"/>
        <v/>
      </c>
      <c r="L145" t="str">
        <f t="shared" si="41"/>
        <v/>
      </c>
      <c r="M145" t="str">
        <f t="shared" si="33"/>
        <v/>
      </c>
      <c r="N145" t="str">
        <f>IF($G145=0,"",IF(IF(N(资金日记账!$I138)=0,"",-ROUND(N(资金日记账!$I138),2))=0,"",IF(N(资金日记账!$I138)=0,"",-ROUND(N(资金日记账!$I138),2))))</f>
        <v/>
      </c>
      <c r="O145" t="str">
        <f>IF($G145=0,"",IF(IF(N(资金日记账!$H138)=0,"",ROUND(N(资金日记账!$H138),2))=0,"",IF(N(资金日记账!$H138)=0,"",ROUND(N(资金日记账!$H138),2))))</f>
        <v/>
      </c>
      <c r="P145" t="str">
        <f>IF($G145=0,"",IF(资金日记账!$L138=0,"",资金日记账!$L138))</f>
        <v/>
      </c>
      <c r="T145" t="str">
        <f>IF(资金日记账!$G145="","",资金日记账!$G145)</f>
        <v/>
      </c>
      <c r="U145">
        <f t="shared" si="34"/>
        <v>0</v>
      </c>
      <c r="V145">
        <f t="shared" si="35"/>
        <v>0</v>
      </c>
      <c r="Z145" t="str">
        <f>IF(成本费用登记表!$C145="","",成本费用登记表!$C145)</f>
        <v/>
      </c>
      <c r="AA145">
        <f t="shared" si="36"/>
        <v>0</v>
      </c>
      <c r="AB145">
        <f t="shared" si="37"/>
        <v>0</v>
      </c>
      <c r="AD145" t="str">
        <f>IFERROR(INDEX($Z$4:$Z$303,MATCH(142,$AB$4:$AB$303,0)),"")</f>
        <v/>
      </c>
      <c r="AF145" t="str">
        <f>IF(OR(资金日记账!$E145="",N(资金日记账!$H145)=0),"",资金日记账!$E145)</f>
        <v/>
      </c>
      <c r="AG145">
        <f t="shared" si="38"/>
        <v>0</v>
      </c>
      <c r="AH145">
        <f t="shared" si="39"/>
        <v>0</v>
      </c>
    </row>
    <row r="146" spans="1:34">
      <c r="A146" t="str">
        <f>IF(进销存对接!$D146="客户应收",进销存对接!$C146,"")</f>
        <v/>
      </c>
      <c r="B146">
        <f t="shared" si="29"/>
        <v>0</v>
      </c>
      <c r="C146">
        <f t="shared" si="30"/>
        <v>0</v>
      </c>
      <c r="E146" t="str">
        <f t="shared" si="31"/>
        <v/>
      </c>
      <c r="G146">
        <f>IF(OR($G$1="",资金日记账!$E139="",资金日记账!$E139&lt;&gt;$G$1),0,IF(NOT(OR(N(资金日记账!$H139)&lt;&gt;0,N(资金日记账!$I139)&lt;&gt;0)),0,IF(资金日记账!$B139="",1,IF(OR(N(资金日记账!$B139)&lt;$H$1,N(资金日记账!$B139)&gt;$I$1),0,1))))</f>
        <v>0</v>
      </c>
      <c r="H146">
        <f t="shared" si="32"/>
        <v>0</v>
      </c>
      <c r="I146" t="str">
        <f>IF($G146=0,"",IF(资金日记账!$B139=0,"",资金日记账!$B139))</f>
        <v/>
      </c>
      <c r="J146" t="str">
        <f>IF($G146=0,"",IF(资金日记账!$D139=0,"",资金日记账!$D139))</f>
        <v/>
      </c>
      <c r="K146" t="str">
        <f t="shared" si="40"/>
        <v/>
      </c>
      <c r="L146" t="str">
        <f t="shared" si="41"/>
        <v/>
      </c>
      <c r="M146" t="str">
        <f t="shared" si="33"/>
        <v/>
      </c>
      <c r="N146" t="str">
        <f>IF($G146=0,"",IF(IF(N(资金日记账!$I139)=0,"",-ROUND(N(资金日记账!$I139),2))=0,"",IF(N(资金日记账!$I139)=0,"",-ROUND(N(资金日记账!$I139),2))))</f>
        <v/>
      </c>
      <c r="O146" t="str">
        <f>IF($G146=0,"",IF(IF(N(资金日记账!$H139)=0,"",ROUND(N(资金日记账!$H139),2))=0,"",IF(N(资金日记账!$H139)=0,"",ROUND(N(资金日记账!$H139),2))))</f>
        <v/>
      </c>
      <c r="P146" t="str">
        <f>IF($G146=0,"",IF(资金日记账!$L139=0,"",资金日记账!$L139))</f>
        <v/>
      </c>
      <c r="T146" t="str">
        <f>IF(资金日记账!$G146="","",资金日记账!$G146)</f>
        <v/>
      </c>
      <c r="U146">
        <f t="shared" si="34"/>
        <v>0</v>
      </c>
      <c r="V146">
        <f t="shared" si="35"/>
        <v>0</v>
      </c>
      <c r="Z146" t="str">
        <f>IF(成本费用登记表!$C146="","",成本费用登记表!$C146)</f>
        <v/>
      </c>
      <c r="AA146">
        <f t="shared" si="36"/>
        <v>0</v>
      </c>
      <c r="AB146">
        <f t="shared" si="37"/>
        <v>0</v>
      </c>
      <c r="AD146" t="str">
        <f>IFERROR(INDEX($Z$4:$Z$303,MATCH(143,$AB$4:$AB$303,0)),"")</f>
        <v/>
      </c>
      <c r="AF146" t="str">
        <f>IF(OR(资金日记账!$E146="",N(资金日记账!$H146)=0),"",资金日记账!$E146)</f>
        <v/>
      </c>
      <c r="AG146">
        <f t="shared" si="38"/>
        <v>0</v>
      </c>
      <c r="AH146">
        <f t="shared" si="39"/>
        <v>0</v>
      </c>
    </row>
    <row r="147" spans="1:34">
      <c r="A147" t="str">
        <f>IF(进销存对接!$D147="客户应收",进销存对接!$C147,"")</f>
        <v/>
      </c>
      <c r="B147">
        <f t="shared" si="29"/>
        <v>0</v>
      </c>
      <c r="C147">
        <f t="shared" si="30"/>
        <v>0</v>
      </c>
      <c r="E147" t="str">
        <f t="shared" si="31"/>
        <v/>
      </c>
      <c r="G147">
        <f>IF(OR($G$1="",资金日记账!$E140="",资金日记账!$E140&lt;&gt;$G$1),0,IF(NOT(OR(N(资金日记账!$H140)&lt;&gt;0,N(资金日记账!$I140)&lt;&gt;0)),0,IF(资金日记账!$B140="",1,IF(OR(N(资金日记账!$B140)&lt;$H$1,N(资金日记账!$B140)&gt;$I$1),0,1))))</f>
        <v>0</v>
      </c>
      <c r="H147">
        <f t="shared" si="32"/>
        <v>0</v>
      </c>
      <c r="I147" t="str">
        <f>IF($G147=0,"",IF(资金日记账!$B140=0,"",资金日记账!$B140))</f>
        <v/>
      </c>
      <c r="J147" t="str">
        <f>IF($G147=0,"",IF(资金日记账!$D140=0,"",资金日记账!$D140))</f>
        <v/>
      </c>
      <c r="K147" t="str">
        <f t="shared" si="40"/>
        <v/>
      </c>
      <c r="L147" t="str">
        <f t="shared" si="41"/>
        <v/>
      </c>
      <c r="M147" t="str">
        <f t="shared" si="33"/>
        <v/>
      </c>
      <c r="N147" t="str">
        <f>IF($G147=0,"",IF(IF(N(资金日记账!$I140)=0,"",-ROUND(N(资金日记账!$I140),2))=0,"",IF(N(资金日记账!$I140)=0,"",-ROUND(N(资金日记账!$I140),2))))</f>
        <v/>
      </c>
      <c r="O147" t="str">
        <f>IF($G147=0,"",IF(IF(N(资金日记账!$H140)=0,"",ROUND(N(资金日记账!$H140),2))=0,"",IF(N(资金日记账!$H140)=0,"",ROUND(N(资金日记账!$H140),2))))</f>
        <v/>
      </c>
      <c r="P147" t="str">
        <f>IF($G147=0,"",IF(资金日记账!$L140=0,"",资金日记账!$L140))</f>
        <v/>
      </c>
      <c r="T147" t="str">
        <f>IF(资金日记账!$G147="","",资金日记账!$G147)</f>
        <v/>
      </c>
      <c r="U147">
        <f t="shared" si="34"/>
        <v>0</v>
      </c>
      <c r="V147">
        <f t="shared" si="35"/>
        <v>0</v>
      </c>
      <c r="Z147" t="str">
        <f>IF(成本费用登记表!$C147="","",成本费用登记表!$C147)</f>
        <v/>
      </c>
      <c r="AA147">
        <f t="shared" si="36"/>
        <v>0</v>
      </c>
      <c r="AB147">
        <f t="shared" si="37"/>
        <v>0</v>
      </c>
      <c r="AD147" t="str">
        <f>IFERROR(INDEX($Z$4:$Z$303,MATCH(144,$AB$4:$AB$303,0)),"")</f>
        <v/>
      </c>
      <c r="AF147" t="str">
        <f>IF(OR(资金日记账!$E147="",N(资金日记账!$H147)=0),"",资金日记账!$E147)</f>
        <v/>
      </c>
      <c r="AG147">
        <f t="shared" si="38"/>
        <v>0</v>
      </c>
      <c r="AH147">
        <f t="shared" si="39"/>
        <v>0</v>
      </c>
    </row>
    <row r="148" spans="1:34">
      <c r="A148" t="str">
        <f>IF(进销存对接!$D148="客户应收",进销存对接!$C148,"")</f>
        <v/>
      </c>
      <c r="B148">
        <f t="shared" si="29"/>
        <v>0</v>
      </c>
      <c r="C148">
        <f t="shared" si="30"/>
        <v>0</v>
      </c>
      <c r="E148" t="str">
        <f t="shared" si="31"/>
        <v/>
      </c>
      <c r="G148">
        <f>IF(OR($G$1="",资金日记账!$E141="",资金日记账!$E141&lt;&gt;$G$1),0,IF(NOT(OR(N(资金日记账!$H141)&lt;&gt;0,N(资金日记账!$I141)&lt;&gt;0)),0,IF(资金日记账!$B141="",1,IF(OR(N(资金日记账!$B141)&lt;$H$1,N(资金日记账!$B141)&gt;$I$1),0,1))))</f>
        <v>0</v>
      </c>
      <c r="H148">
        <f t="shared" si="32"/>
        <v>0</v>
      </c>
      <c r="I148" t="str">
        <f>IF($G148=0,"",IF(资金日记账!$B141=0,"",资金日记账!$B141))</f>
        <v/>
      </c>
      <c r="J148" t="str">
        <f>IF($G148=0,"",IF(资金日记账!$D141=0,"",资金日记账!$D141))</f>
        <v/>
      </c>
      <c r="K148" t="str">
        <f t="shared" si="40"/>
        <v/>
      </c>
      <c r="L148" t="str">
        <f t="shared" si="41"/>
        <v/>
      </c>
      <c r="M148" t="str">
        <f t="shared" si="33"/>
        <v/>
      </c>
      <c r="N148" t="str">
        <f>IF($G148=0,"",IF(IF(N(资金日记账!$I141)=0,"",-ROUND(N(资金日记账!$I141),2))=0,"",IF(N(资金日记账!$I141)=0,"",-ROUND(N(资金日记账!$I141),2))))</f>
        <v/>
      </c>
      <c r="O148" t="str">
        <f>IF($G148=0,"",IF(IF(N(资金日记账!$H141)=0,"",ROUND(N(资金日记账!$H141),2))=0,"",IF(N(资金日记账!$H141)=0,"",ROUND(N(资金日记账!$H141),2))))</f>
        <v/>
      </c>
      <c r="P148" t="str">
        <f>IF($G148=0,"",IF(资金日记账!$L141=0,"",资金日记账!$L141))</f>
        <v/>
      </c>
      <c r="T148" t="str">
        <f>IF(资金日记账!$G148="","",资金日记账!$G148)</f>
        <v/>
      </c>
      <c r="U148">
        <f t="shared" si="34"/>
        <v>0</v>
      </c>
      <c r="V148">
        <f t="shared" si="35"/>
        <v>0</v>
      </c>
      <c r="Z148" t="str">
        <f>IF(成本费用登记表!$C148="","",成本费用登记表!$C148)</f>
        <v/>
      </c>
      <c r="AA148">
        <f t="shared" si="36"/>
        <v>0</v>
      </c>
      <c r="AB148">
        <f t="shared" si="37"/>
        <v>0</v>
      </c>
      <c r="AD148" t="str">
        <f>IFERROR(INDEX($Z$4:$Z$303,MATCH(145,$AB$4:$AB$303,0)),"")</f>
        <v/>
      </c>
      <c r="AF148" t="str">
        <f>IF(OR(资金日记账!$E148="",N(资金日记账!$H148)=0),"",资金日记账!$E148)</f>
        <v/>
      </c>
      <c r="AG148">
        <f t="shared" si="38"/>
        <v>0</v>
      </c>
      <c r="AH148">
        <f t="shared" si="39"/>
        <v>0</v>
      </c>
    </row>
    <row r="149" spans="1:34">
      <c r="A149" t="str">
        <f>IF(进销存对接!$D149="客户应收",进销存对接!$C149,"")</f>
        <v/>
      </c>
      <c r="B149">
        <f t="shared" si="29"/>
        <v>0</v>
      </c>
      <c r="C149">
        <f t="shared" si="30"/>
        <v>0</v>
      </c>
      <c r="E149" t="str">
        <f t="shared" si="31"/>
        <v/>
      </c>
      <c r="G149">
        <f>IF(OR($G$1="",资金日记账!$E142="",资金日记账!$E142&lt;&gt;$G$1),0,IF(NOT(OR(N(资金日记账!$H142)&lt;&gt;0,N(资金日记账!$I142)&lt;&gt;0)),0,IF(资金日记账!$B142="",1,IF(OR(N(资金日记账!$B142)&lt;$H$1,N(资金日记账!$B142)&gt;$I$1),0,1))))</f>
        <v>0</v>
      </c>
      <c r="H149">
        <f t="shared" si="32"/>
        <v>0</v>
      </c>
      <c r="I149" t="str">
        <f>IF($G149=0,"",IF(资金日记账!$B142=0,"",资金日记账!$B142))</f>
        <v/>
      </c>
      <c r="J149" t="str">
        <f>IF($G149=0,"",IF(资金日记账!$D142=0,"",资金日记账!$D142))</f>
        <v/>
      </c>
      <c r="K149" t="str">
        <f t="shared" si="40"/>
        <v/>
      </c>
      <c r="L149" t="str">
        <f t="shared" si="41"/>
        <v/>
      </c>
      <c r="M149" t="str">
        <f t="shared" si="33"/>
        <v/>
      </c>
      <c r="N149" t="str">
        <f>IF($G149=0,"",IF(IF(N(资金日记账!$I142)=0,"",-ROUND(N(资金日记账!$I142),2))=0,"",IF(N(资金日记账!$I142)=0,"",-ROUND(N(资金日记账!$I142),2))))</f>
        <v/>
      </c>
      <c r="O149" t="str">
        <f>IF($G149=0,"",IF(IF(N(资金日记账!$H142)=0,"",ROUND(N(资金日记账!$H142),2))=0,"",IF(N(资金日记账!$H142)=0,"",ROUND(N(资金日记账!$H142),2))))</f>
        <v/>
      </c>
      <c r="P149" t="str">
        <f>IF($G149=0,"",IF(资金日记账!$L142=0,"",资金日记账!$L142))</f>
        <v/>
      </c>
      <c r="T149" t="str">
        <f>IF(资金日记账!$G149="","",资金日记账!$G149)</f>
        <v/>
      </c>
      <c r="U149">
        <f t="shared" si="34"/>
        <v>0</v>
      </c>
      <c r="V149">
        <f t="shared" si="35"/>
        <v>0</v>
      </c>
      <c r="Z149" t="str">
        <f>IF(成本费用登记表!$C149="","",成本费用登记表!$C149)</f>
        <v/>
      </c>
      <c r="AA149">
        <f t="shared" si="36"/>
        <v>0</v>
      </c>
      <c r="AB149">
        <f t="shared" si="37"/>
        <v>0</v>
      </c>
      <c r="AD149" t="str">
        <f>IFERROR(INDEX($Z$4:$Z$303,MATCH(146,$AB$4:$AB$303,0)),"")</f>
        <v/>
      </c>
      <c r="AF149" t="str">
        <f>IF(OR(资金日记账!$E149="",N(资金日记账!$H149)=0),"",资金日记账!$E149)</f>
        <v/>
      </c>
      <c r="AG149">
        <f t="shared" si="38"/>
        <v>0</v>
      </c>
      <c r="AH149">
        <f t="shared" si="39"/>
        <v>0</v>
      </c>
    </row>
    <row r="150" spans="1:34">
      <c r="A150" t="str">
        <f>IF(进销存对接!$D150="客户应收",进销存对接!$C150,"")</f>
        <v/>
      </c>
      <c r="B150">
        <f t="shared" si="29"/>
        <v>0</v>
      </c>
      <c r="C150">
        <f t="shared" si="30"/>
        <v>0</v>
      </c>
      <c r="E150" t="str">
        <f t="shared" si="31"/>
        <v/>
      </c>
      <c r="G150">
        <f>IF(OR($G$1="",资金日记账!$E143="",资金日记账!$E143&lt;&gt;$G$1),0,IF(NOT(OR(N(资金日记账!$H143)&lt;&gt;0,N(资金日记账!$I143)&lt;&gt;0)),0,IF(资金日记账!$B143="",1,IF(OR(N(资金日记账!$B143)&lt;$H$1,N(资金日记账!$B143)&gt;$I$1),0,1))))</f>
        <v>0</v>
      </c>
      <c r="H150">
        <f t="shared" si="32"/>
        <v>0</v>
      </c>
      <c r="I150" t="str">
        <f>IF($G150=0,"",IF(资金日记账!$B143=0,"",资金日记账!$B143))</f>
        <v/>
      </c>
      <c r="J150" t="str">
        <f>IF($G150=0,"",IF(资金日记账!$D143=0,"",资金日记账!$D143))</f>
        <v/>
      </c>
      <c r="K150" t="str">
        <f t="shared" si="40"/>
        <v/>
      </c>
      <c r="L150" t="str">
        <f t="shared" si="41"/>
        <v/>
      </c>
      <c r="M150" t="str">
        <f t="shared" si="33"/>
        <v/>
      </c>
      <c r="N150" t="str">
        <f>IF($G150=0,"",IF(IF(N(资金日记账!$I143)=0,"",-ROUND(N(资金日记账!$I143),2))=0,"",IF(N(资金日记账!$I143)=0,"",-ROUND(N(资金日记账!$I143),2))))</f>
        <v/>
      </c>
      <c r="O150" t="str">
        <f>IF($G150=0,"",IF(IF(N(资金日记账!$H143)=0,"",ROUND(N(资金日记账!$H143),2))=0,"",IF(N(资金日记账!$H143)=0,"",ROUND(N(资金日记账!$H143),2))))</f>
        <v/>
      </c>
      <c r="P150" t="str">
        <f>IF($G150=0,"",IF(资金日记账!$L143=0,"",资金日记账!$L143))</f>
        <v/>
      </c>
      <c r="T150" t="str">
        <f>IF(资金日记账!$G150="","",资金日记账!$G150)</f>
        <v/>
      </c>
      <c r="U150">
        <f t="shared" si="34"/>
        <v>0</v>
      </c>
      <c r="V150">
        <f t="shared" si="35"/>
        <v>0</v>
      </c>
      <c r="Z150" t="str">
        <f>IF(成本费用登记表!$C150="","",成本费用登记表!$C150)</f>
        <v/>
      </c>
      <c r="AA150">
        <f t="shared" si="36"/>
        <v>0</v>
      </c>
      <c r="AB150">
        <f t="shared" si="37"/>
        <v>0</v>
      </c>
      <c r="AD150" t="str">
        <f>IFERROR(INDEX($Z$4:$Z$303,MATCH(147,$AB$4:$AB$303,0)),"")</f>
        <v/>
      </c>
      <c r="AF150" t="str">
        <f>IF(OR(资金日记账!$E150="",N(资金日记账!$H150)=0),"",资金日记账!$E150)</f>
        <v/>
      </c>
      <c r="AG150">
        <f t="shared" si="38"/>
        <v>0</v>
      </c>
      <c r="AH150">
        <f t="shared" si="39"/>
        <v>0</v>
      </c>
    </row>
    <row r="151" spans="1:34">
      <c r="A151" t="str">
        <f>IF(进销存对接!$D151="客户应收",进销存对接!$C151,"")</f>
        <v/>
      </c>
      <c r="B151">
        <f t="shared" si="29"/>
        <v>0</v>
      </c>
      <c r="C151">
        <f t="shared" si="30"/>
        <v>0</v>
      </c>
      <c r="E151" t="str">
        <f t="shared" si="31"/>
        <v/>
      </c>
      <c r="G151">
        <f>IF(OR($G$1="",资金日记账!$E144="",资金日记账!$E144&lt;&gt;$G$1),0,IF(NOT(OR(N(资金日记账!$H144)&lt;&gt;0,N(资金日记账!$I144)&lt;&gt;0)),0,IF(资金日记账!$B144="",1,IF(OR(N(资金日记账!$B144)&lt;$H$1,N(资金日记账!$B144)&gt;$I$1),0,1))))</f>
        <v>0</v>
      </c>
      <c r="H151">
        <f t="shared" si="32"/>
        <v>0</v>
      </c>
      <c r="I151" t="str">
        <f>IF($G151=0,"",IF(资金日记账!$B144=0,"",资金日记账!$B144))</f>
        <v/>
      </c>
      <c r="J151" t="str">
        <f>IF($G151=0,"",IF(资金日记账!$D144=0,"",资金日记账!$D144))</f>
        <v/>
      </c>
      <c r="K151" t="str">
        <f t="shared" si="40"/>
        <v/>
      </c>
      <c r="L151" t="str">
        <f t="shared" si="41"/>
        <v/>
      </c>
      <c r="M151" t="str">
        <f t="shared" si="33"/>
        <v/>
      </c>
      <c r="N151" t="str">
        <f>IF($G151=0,"",IF(IF(N(资金日记账!$I144)=0,"",-ROUND(N(资金日记账!$I144),2))=0,"",IF(N(资金日记账!$I144)=0,"",-ROUND(N(资金日记账!$I144),2))))</f>
        <v/>
      </c>
      <c r="O151" t="str">
        <f>IF($G151=0,"",IF(IF(N(资金日记账!$H144)=0,"",ROUND(N(资金日记账!$H144),2))=0,"",IF(N(资金日记账!$H144)=0,"",ROUND(N(资金日记账!$H144),2))))</f>
        <v/>
      </c>
      <c r="P151" t="str">
        <f>IF($G151=0,"",IF(资金日记账!$L144=0,"",资金日记账!$L144))</f>
        <v/>
      </c>
      <c r="T151" t="str">
        <f>IF(资金日记账!$G151="","",资金日记账!$G151)</f>
        <v/>
      </c>
      <c r="U151">
        <f t="shared" si="34"/>
        <v>0</v>
      </c>
      <c r="V151">
        <f t="shared" si="35"/>
        <v>0</v>
      </c>
      <c r="Z151" t="str">
        <f>IF(成本费用登记表!$C151="","",成本费用登记表!$C151)</f>
        <v/>
      </c>
      <c r="AA151">
        <f t="shared" si="36"/>
        <v>0</v>
      </c>
      <c r="AB151">
        <f t="shared" si="37"/>
        <v>0</v>
      </c>
      <c r="AD151" t="str">
        <f>IFERROR(INDEX($Z$4:$Z$303,MATCH(148,$AB$4:$AB$303,0)),"")</f>
        <v/>
      </c>
      <c r="AF151" t="str">
        <f>IF(OR(资金日记账!$E151="",N(资金日记账!$H151)=0),"",资金日记账!$E151)</f>
        <v/>
      </c>
      <c r="AG151">
        <f t="shared" si="38"/>
        <v>0</v>
      </c>
      <c r="AH151">
        <f t="shared" si="39"/>
        <v>0</v>
      </c>
    </row>
    <row r="152" spans="1:34">
      <c r="A152" t="str">
        <f>IF(进销存对接!$D152="客户应收",进销存对接!$C152,"")</f>
        <v/>
      </c>
      <c r="B152">
        <f t="shared" si="29"/>
        <v>0</v>
      </c>
      <c r="C152">
        <f t="shared" si="30"/>
        <v>0</v>
      </c>
      <c r="E152" t="str">
        <f t="shared" si="31"/>
        <v/>
      </c>
      <c r="G152">
        <f>IF(OR($G$1="",资金日记账!$E145="",资金日记账!$E145&lt;&gt;$G$1),0,IF(NOT(OR(N(资金日记账!$H145)&lt;&gt;0,N(资金日记账!$I145)&lt;&gt;0)),0,IF(资金日记账!$B145="",1,IF(OR(N(资金日记账!$B145)&lt;$H$1,N(资金日记账!$B145)&gt;$I$1),0,1))))</f>
        <v>0</v>
      </c>
      <c r="H152">
        <f t="shared" si="32"/>
        <v>0</v>
      </c>
      <c r="I152" t="str">
        <f>IF($G152=0,"",IF(资金日记账!$B145=0,"",资金日记账!$B145))</f>
        <v/>
      </c>
      <c r="J152" t="str">
        <f>IF($G152=0,"",IF(资金日记账!$D145=0,"",资金日记账!$D145))</f>
        <v/>
      </c>
      <c r="K152" t="str">
        <f t="shared" si="40"/>
        <v/>
      </c>
      <c r="L152" t="str">
        <f t="shared" si="41"/>
        <v/>
      </c>
      <c r="M152" t="str">
        <f t="shared" si="33"/>
        <v/>
      </c>
      <c r="N152" t="str">
        <f>IF($G152=0,"",IF(IF(N(资金日记账!$I145)=0,"",-ROUND(N(资金日记账!$I145),2))=0,"",IF(N(资金日记账!$I145)=0,"",-ROUND(N(资金日记账!$I145),2))))</f>
        <v/>
      </c>
      <c r="O152" t="str">
        <f>IF($G152=0,"",IF(IF(N(资金日记账!$H145)=0,"",ROUND(N(资金日记账!$H145),2))=0,"",IF(N(资金日记账!$H145)=0,"",ROUND(N(资金日记账!$H145),2))))</f>
        <v/>
      </c>
      <c r="P152" t="str">
        <f>IF($G152=0,"",IF(资金日记账!$L145=0,"",资金日记账!$L145))</f>
        <v/>
      </c>
      <c r="T152" t="str">
        <f>IF(资金日记账!$G152="","",资金日记账!$G152)</f>
        <v/>
      </c>
      <c r="U152">
        <f t="shared" si="34"/>
        <v>0</v>
      </c>
      <c r="V152">
        <f t="shared" si="35"/>
        <v>0</v>
      </c>
      <c r="Z152" t="str">
        <f>IF(成本费用登记表!$C152="","",成本费用登记表!$C152)</f>
        <v/>
      </c>
      <c r="AA152">
        <f t="shared" si="36"/>
        <v>0</v>
      </c>
      <c r="AB152">
        <f t="shared" si="37"/>
        <v>0</v>
      </c>
      <c r="AD152" t="str">
        <f>IFERROR(INDEX($Z$4:$Z$303,MATCH(149,$AB$4:$AB$303,0)),"")</f>
        <v/>
      </c>
      <c r="AF152" t="str">
        <f>IF(OR(资金日记账!$E152="",N(资金日记账!$H152)=0),"",资金日记账!$E152)</f>
        <v/>
      </c>
      <c r="AG152">
        <f t="shared" si="38"/>
        <v>0</v>
      </c>
      <c r="AH152">
        <f t="shared" si="39"/>
        <v>0</v>
      </c>
    </row>
    <row r="153" spans="1:34">
      <c r="A153" t="str">
        <f>IF(进销存对接!$D153="客户应收",进销存对接!$C153,"")</f>
        <v/>
      </c>
      <c r="B153">
        <f t="shared" si="29"/>
        <v>0</v>
      </c>
      <c r="C153">
        <f t="shared" si="30"/>
        <v>0</v>
      </c>
      <c r="E153" t="str">
        <f t="shared" si="31"/>
        <v/>
      </c>
      <c r="G153">
        <f>IF(OR($G$1="",资金日记账!$E146="",资金日记账!$E146&lt;&gt;$G$1),0,IF(NOT(OR(N(资金日记账!$H146)&lt;&gt;0,N(资金日记账!$I146)&lt;&gt;0)),0,IF(资金日记账!$B146="",1,IF(OR(N(资金日记账!$B146)&lt;$H$1,N(资金日记账!$B146)&gt;$I$1),0,1))))</f>
        <v>0</v>
      </c>
      <c r="H153">
        <f t="shared" si="32"/>
        <v>0</v>
      </c>
      <c r="I153" t="str">
        <f>IF($G153=0,"",IF(资金日记账!$B146=0,"",资金日记账!$B146))</f>
        <v/>
      </c>
      <c r="J153" t="str">
        <f>IF($G153=0,"",IF(资金日记账!$D146=0,"",资金日记账!$D146))</f>
        <v/>
      </c>
      <c r="K153" t="str">
        <f t="shared" si="40"/>
        <v/>
      </c>
      <c r="L153" t="str">
        <f t="shared" si="41"/>
        <v/>
      </c>
      <c r="M153" t="str">
        <f t="shared" si="33"/>
        <v/>
      </c>
      <c r="N153" t="str">
        <f>IF($G153=0,"",IF(IF(N(资金日记账!$I146)=0,"",-ROUND(N(资金日记账!$I146),2))=0,"",IF(N(资金日记账!$I146)=0,"",-ROUND(N(资金日记账!$I146),2))))</f>
        <v/>
      </c>
      <c r="O153" t="str">
        <f>IF($G153=0,"",IF(IF(N(资金日记账!$H146)=0,"",ROUND(N(资金日记账!$H146),2))=0,"",IF(N(资金日记账!$H146)=0,"",ROUND(N(资金日记账!$H146),2))))</f>
        <v/>
      </c>
      <c r="P153" t="str">
        <f>IF($G153=0,"",IF(资金日记账!$L146=0,"",资金日记账!$L146))</f>
        <v/>
      </c>
      <c r="T153" t="str">
        <f>IF(资金日记账!$G153="","",资金日记账!$G153)</f>
        <v/>
      </c>
      <c r="U153">
        <f t="shared" si="34"/>
        <v>0</v>
      </c>
      <c r="V153">
        <f t="shared" si="35"/>
        <v>0</v>
      </c>
      <c r="Z153" t="str">
        <f>IF(成本费用登记表!$C153="","",成本费用登记表!$C153)</f>
        <v/>
      </c>
      <c r="AA153">
        <f t="shared" si="36"/>
        <v>0</v>
      </c>
      <c r="AB153">
        <f t="shared" si="37"/>
        <v>0</v>
      </c>
      <c r="AD153" t="str">
        <f>IFERROR(INDEX($Z$4:$Z$303,MATCH(150,$AB$4:$AB$303,0)),"")</f>
        <v/>
      </c>
      <c r="AF153" t="str">
        <f>IF(OR(资金日记账!$E153="",N(资金日记账!$H153)=0),"",资金日记账!$E153)</f>
        <v/>
      </c>
      <c r="AG153">
        <f t="shared" si="38"/>
        <v>0</v>
      </c>
      <c r="AH153">
        <f t="shared" si="39"/>
        <v>0</v>
      </c>
    </row>
    <row r="154" spans="1:34">
      <c r="A154" t="str">
        <f>IF(进销存对接!$D154="客户应收",进销存对接!$C154,"")</f>
        <v/>
      </c>
      <c r="B154">
        <f t="shared" si="29"/>
        <v>0</v>
      </c>
      <c r="C154">
        <f t="shared" si="30"/>
        <v>0</v>
      </c>
      <c r="E154" t="str">
        <f t="shared" si="31"/>
        <v/>
      </c>
      <c r="G154">
        <f>IF(OR($G$1="",资金日记账!$E147="",资金日记账!$E147&lt;&gt;$G$1),0,IF(NOT(OR(N(资金日记账!$H147)&lt;&gt;0,N(资金日记账!$I147)&lt;&gt;0)),0,IF(资金日记账!$B147="",1,IF(OR(N(资金日记账!$B147)&lt;$H$1,N(资金日记账!$B147)&gt;$I$1),0,1))))</f>
        <v>0</v>
      </c>
      <c r="H154">
        <f t="shared" si="32"/>
        <v>0</v>
      </c>
      <c r="I154" t="str">
        <f>IF($G154=0,"",IF(资金日记账!$B147=0,"",资金日记账!$B147))</f>
        <v/>
      </c>
      <c r="J154" t="str">
        <f>IF($G154=0,"",IF(资金日记账!$D147=0,"",资金日记账!$D147))</f>
        <v/>
      </c>
      <c r="K154" t="str">
        <f t="shared" si="40"/>
        <v/>
      </c>
      <c r="L154" t="str">
        <f t="shared" si="41"/>
        <v/>
      </c>
      <c r="M154" t="str">
        <f t="shared" si="33"/>
        <v/>
      </c>
      <c r="N154" t="str">
        <f>IF($G154=0,"",IF(IF(N(资金日记账!$I147)=0,"",-ROUND(N(资金日记账!$I147),2))=0,"",IF(N(资金日记账!$I147)=0,"",-ROUND(N(资金日记账!$I147),2))))</f>
        <v/>
      </c>
      <c r="O154" t="str">
        <f>IF($G154=0,"",IF(IF(N(资金日记账!$H147)=0,"",ROUND(N(资金日记账!$H147),2))=0,"",IF(N(资金日记账!$H147)=0,"",ROUND(N(资金日记账!$H147),2))))</f>
        <v/>
      </c>
      <c r="P154" t="str">
        <f>IF($G154=0,"",IF(资金日记账!$L147=0,"",资金日记账!$L147))</f>
        <v/>
      </c>
      <c r="T154" t="str">
        <f>IF(资金日记账!$G154="","",资金日记账!$G154)</f>
        <v/>
      </c>
      <c r="U154">
        <f t="shared" si="34"/>
        <v>0</v>
      </c>
      <c r="V154">
        <f t="shared" si="35"/>
        <v>0</v>
      </c>
      <c r="Z154" t="str">
        <f>IF(成本费用登记表!$C154="","",成本费用登记表!$C154)</f>
        <v/>
      </c>
      <c r="AA154">
        <f t="shared" si="36"/>
        <v>0</v>
      </c>
      <c r="AB154">
        <f t="shared" si="37"/>
        <v>0</v>
      </c>
      <c r="AF154" t="str">
        <f>IF(OR(资金日记账!$E154="",N(资金日记账!$H154)=0),"",资金日记账!$E154)</f>
        <v/>
      </c>
      <c r="AG154">
        <f t="shared" si="38"/>
        <v>0</v>
      </c>
      <c r="AH154">
        <f t="shared" si="39"/>
        <v>0</v>
      </c>
    </row>
    <row r="155" spans="1:34">
      <c r="A155" t="str">
        <f>IF(进销存对接!$D155="客户应收",进销存对接!$C155,"")</f>
        <v/>
      </c>
      <c r="B155">
        <f t="shared" si="29"/>
        <v>0</v>
      </c>
      <c r="C155">
        <f t="shared" si="30"/>
        <v>0</v>
      </c>
      <c r="E155" t="str">
        <f t="shared" si="31"/>
        <v/>
      </c>
      <c r="G155">
        <f>IF(OR($G$1="",资金日记账!$E148="",资金日记账!$E148&lt;&gt;$G$1),0,IF(NOT(OR(N(资金日记账!$H148)&lt;&gt;0,N(资金日记账!$I148)&lt;&gt;0)),0,IF(资金日记账!$B148="",1,IF(OR(N(资金日记账!$B148)&lt;$H$1,N(资金日记账!$B148)&gt;$I$1),0,1))))</f>
        <v>0</v>
      </c>
      <c r="H155">
        <f t="shared" si="32"/>
        <v>0</v>
      </c>
      <c r="I155" t="str">
        <f>IF($G155=0,"",IF(资金日记账!$B148=0,"",资金日记账!$B148))</f>
        <v/>
      </c>
      <c r="J155" t="str">
        <f>IF($G155=0,"",IF(资金日记账!$D148=0,"",资金日记账!$D148))</f>
        <v/>
      </c>
      <c r="K155" t="str">
        <f t="shared" si="40"/>
        <v/>
      </c>
      <c r="L155" t="str">
        <f t="shared" si="41"/>
        <v/>
      </c>
      <c r="M155" t="str">
        <f t="shared" si="33"/>
        <v/>
      </c>
      <c r="N155" t="str">
        <f>IF($G155=0,"",IF(IF(N(资金日记账!$I148)=0,"",-ROUND(N(资金日记账!$I148),2))=0,"",IF(N(资金日记账!$I148)=0,"",-ROUND(N(资金日记账!$I148),2))))</f>
        <v/>
      </c>
      <c r="O155" t="str">
        <f>IF($G155=0,"",IF(IF(N(资金日记账!$H148)=0,"",ROUND(N(资金日记账!$H148),2))=0,"",IF(N(资金日记账!$H148)=0,"",ROUND(N(资金日记账!$H148),2))))</f>
        <v/>
      </c>
      <c r="P155" t="str">
        <f>IF($G155=0,"",IF(资金日记账!$L148=0,"",资金日记账!$L148))</f>
        <v/>
      </c>
      <c r="T155" t="str">
        <f>IF(资金日记账!$G155="","",资金日记账!$G155)</f>
        <v/>
      </c>
      <c r="U155">
        <f t="shared" si="34"/>
        <v>0</v>
      </c>
      <c r="V155">
        <f t="shared" si="35"/>
        <v>0</v>
      </c>
      <c r="Z155" t="str">
        <f>IF(成本费用登记表!$C155="","",成本费用登记表!$C155)</f>
        <v/>
      </c>
      <c r="AA155">
        <f t="shared" si="36"/>
        <v>0</v>
      </c>
      <c r="AB155">
        <f t="shared" si="37"/>
        <v>0</v>
      </c>
      <c r="AF155" t="str">
        <f>IF(OR(资金日记账!$E155="",N(资金日记账!$H155)=0),"",资金日记账!$E155)</f>
        <v/>
      </c>
      <c r="AG155">
        <f t="shared" si="38"/>
        <v>0</v>
      </c>
      <c r="AH155">
        <f t="shared" si="39"/>
        <v>0</v>
      </c>
    </row>
    <row r="156" spans="1:34">
      <c r="A156" t="str">
        <f>IF(进销存对接!$D156="客户应收",进销存对接!$C156,"")</f>
        <v/>
      </c>
      <c r="B156">
        <f t="shared" si="29"/>
        <v>0</v>
      </c>
      <c r="C156">
        <f t="shared" si="30"/>
        <v>0</v>
      </c>
      <c r="E156" t="str">
        <f t="shared" si="31"/>
        <v/>
      </c>
      <c r="G156">
        <f>IF(OR($G$1="",资金日记账!$E149="",资金日记账!$E149&lt;&gt;$G$1),0,IF(NOT(OR(N(资金日记账!$H149)&lt;&gt;0,N(资金日记账!$I149)&lt;&gt;0)),0,IF(资金日记账!$B149="",1,IF(OR(N(资金日记账!$B149)&lt;$H$1,N(资金日记账!$B149)&gt;$I$1),0,1))))</f>
        <v>0</v>
      </c>
      <c r="H156">
        <f t="shared" si="32"/>
        <v>0</v>
      </c>
      <c r="I156" t="str">
        <f>IF($G156=0,"",IF(资金日记账!$B149=0,"",资金日记账!$B149))</f>
        <v/>
      </c>
      <c r="J156" t="str">
        <f>IF($G156=0,"",IF(资金日记账!$D149=0,"",资金日记账!$D149))</f>
        <v/>
      </c>
      <c r="K156" t="str">
        <f t="shared" si="40"/>
        <v/>
      </c>
      <c r="L156" t="str">
        <f t="shared" si="41"/>
        <v/>
      </c>
      <c r="M156" t="str">
        <f t="shared" si="33"/>
        <v/>
      </c>
      <c r="N156" t="str">
        <f>IF($G156=0,"",IF(IF(N(资金日记账!$I149)=0,"",-ROUND(N(资金日记账!$I149),2))=0,"",IF(N(资金日记账!$I149)=0,"",-ROUND(N(资金日记账!$I149),2))))</f>
        <v/>
      </c>
      <c r="O156" t="str">
        <f>IF($G156=0,"",IF(IF(N(资金日记账!$H149)=0,"",ROUND(N(资金日记账!$H149),2))=0,"",IF(N(资金日记账!$H149)=0,"",ROUND(N(资金日记账!$H149),2))))</f>
        <v/>
      </c>
      <c r="P156" t="str">
        <f>IF($G156=0,"",IF(资金日记账!$L149=0,"",资金日记账!$L149))</f>
        <v/>
      </c>
      <c r="T156" t="str">
        <f>IF(资金日记账!$G156="","",资金日记账!$G156)</f>
        <v/>
      </c>
      <c r="U156">
        <f t="shared" si="34"/>
        <v>0</v>
      </c>
      <c r="V156">
        <f t="shared" si="35"/>
        <v>0</v>
      </c>
      <c r="Z156" t="str">
        <f>IF(成本费用登记表!$C156="","",成本费用登记表!$C156)</f>
        <v/>
      </c>
      <c r="AA156">
        <f t="shared" si="36"/>
        <v>0</v>
      </c>
      <c r="AB156">
        <f t="shared" si="37"/>
        <v>0</v>
      </c>
      <c r="AF156" t="str">
        <f>IF(OR(资金日记账!$E156="",N(资金日记账!$H156)=0),"",资金日记账!$E156)</f>
        <v/>
      </c>
      <c r="AG156">
        <f t="shared" si="38"/>
        <v>0</v>
      </c>
      <c r="AH156">
        <f t="shared" si="39"/>
        <v>0</v>
      </c>
    </row>
    <row r="157" spans="1:34">
      <c r="A157" t="str">
        <f>IF(进销存对接!$D157="客户应收",进销存对接!$C157,"")</f>
        <v/>
      </c>
      <c r="B157">
        <f t="shared" si="29"/>
        <v>0</v>
      </c>
      <c r="C157">
        <f t="shared" si="30"/>
        <v>0</v>
      </c>
      <c r="E157" t="str">
        <f t="shared" si="31"/>
        <v/>
      </c>
      <c r="G157">
        <f>IF(OR($G$1="",资金日记账!$E150="",资金日记账!$E150&lt;&gt;$G$1),0,IF(NOT(OR(N(资金日记账!$H150)&lt;&gt;0,N(资金日记账!$I150)&lt;&gt;0)),0,IF(资金日记账!$B150="",1,IF(OR(N(资金日记账!$B150)&lt;$H$1,N(资金日记账!$B150)&gt;$I$1),0,1))))</f>
        <v>0</v>
      </c>
      <c r="H157">
        <f t="shared" si="32"/>
        <v>0</v>
      </c>
      <c r="I157" t="str">
        <f>IF($G157=0,"",IF(资金日记账!$B150=0,"",资金日记账!$B150))</f>
        <v/>
      </c>
      <c r="J157" t="str">
        <f>IF($G157=0,"",IF(资金日记账!$D150=0,"",资金日记账!$D150))</f>
        <v/>
      </c>
      <c r="K157" t="str">
        <f t="shared" si="40"/>
        <v/>
      </c>
      <c r="L157" t="str">
        <f t="shared" si="41"/>
        <v/>
      </c>
      <c r="M157" t="str">
        <f t="shared" si="33"/>
        <v/>
      </c>
      <c r="N157" t="str">
        <f>IF($G157=0,"",IF(IF(N(资金日记账!$I150)=0,"",-ROUND(N(资金日记账!$I150),2))=0,"",IF(N(资金日记账!$I150)=0,"",-ROUND(N(资金日记账!$I150),2))))</f>
        <v/>
      </c>
      <c r="O157" t="str">
        <f>IF($G157=0,"",IF(IF(N(资金日记账!$H150)=0,"",ROUND(N(资金日记账!$H150),2))=0,"",IF(N(资金日记账!$H150)=0,"",ROUND(N(资金日记账!$H150),2))))</f>
        <v/>
      </c>
      <c r="P157" t="str">
        <f>IF($G157=0,"",IF(资金日记账!$L150=0,"",资金日记账!$L150))</f>
        <v/>
      </c>
      <c r="T157" t="str">
        <f>IF(资金日记账!$G157="","",资金日记账!$G157)</f>
        <v/>
      </c>
      <c r="U157">
        <f t="shared" si="34"/>
        <v>0</v>
      </c>
      <c r="V157">
        <f t="shared" si="35"/>
        <v>0</v>
      </c>
      <c r="Z157" t="str">
        <f>IF(成本费用登记表!$C157="","",成本费用登记表!$C157)</f>
        <v/>
      </c>
      <c r="AA157">
        <f t="shared" si="36"/>
        <v>0</v>
      </c>
      <c r="AB157">
        <f t="shared" si="37"/>
        <v>0</v>
      </c>
      <c r="AF157" t="str">
        <f>IF(OR(资金日记账!$E157="",N(资金日记账!$H157)=0),"",资金日记账!$E157)</f>
        <v/>
      </c>
      <c r="AG157">
        <f t="shared" si="38"/>
        <v>0</v>
      </c>
      <c r="AH157">
        <f t="shared" si="39"/>
        <v>0</v>
      </c>
    </row>
    <row r="158" spans="1:34">
      <c r="A158" t="str">
        <f>IF(进销存对接!$D158="客户应收",进销存对接!$C158,"")</f>
        <v/>
      </c>
      <c r="B158">
        <f t="shared" si="29"/>
        <v>0</v>
      </c>
      <c r="C158">
        <f t="shared" si="30"/>
        <v>0</v>
      </c>
      <c r="E158" t="str">
        <f t="shared" si="31"/>
        <v/>
      </c>
      <c r="G158">
        <f>IF(OR($G$1="",资金日记账!$E151="",资金日记账!$E151&lt;&gt;$G$1),0,IF(NOT(OR(N(资金日记账!$H151)&lt;&gt;0,N(资金日记账!$I151)&lt;&gt;0)),0,IF(资金日记账!$B151="",1,IF(OR(N(资金日记账!$B151)&lt;$H$1,N(资金日记账!$B151)&gt;$I$1),0,1))))</f>
        <v>0</v>
      </c>
      <c r="H158">
        <f t="shared" si="32"/>
        <v>0</v>
      </c>
      <c r="I158" t="str">
        <f>IF($G158=0,"",IF(资金日记账!$B151=0,"",资金日记账!$B151))</f>
        <v/>
      </c>
      <c r="J158" t="str">
        <f>IF($G158=0,"",IF(资金日记账!$D151=0,"",资金日记账!$D151))</f>
        <v/>
      </c>
      <c r="K158" t="str">
        <f t="shared" si="40"/>
        <v/>
      </c>
      <c r="L158" t="str">
        <f t="shared" si="41"/>
        <v/>
      </c>
      <c r="M158" t="str">
        <f t="shared" si="33"/>
        <v/>
      </c>
      <c r="N158" t="str">
        <f>IF($G158=0,"",IF(IF(N(资金日记账!$I151)=0,"",-ROUND(N(资金日记账!$I151),2))=0,"",IF(N(资金日记账!$I151)=0,"",-ROUND(N(资金日记账!$I151),2))))</f>
        <v/>
      </c>
      <c r="O158" t="str">
        <f>IF($G158=0,"",IF(IF(N(资金日记账!$H151)=0,"",ROUND(N(资金日记账!$H151),2))=0,"",IF(N(资金日记账!$H151)=0,"",ROUND(N(资金日记账!$H151),2))))</f>
        <v/>
      </c>
      <c r="P158" t="str">
        <f>IF($G158=0,"",IF(资金日记账!$L151=0,"",资金日记账!$L151))</f>
        <v/>
      </c>
      <c r="T158" t="str">
        <f>IF(资金日记账!$G158="","",资金日记账!$G158)</f>
        <v/>
      </c>
      <c r="U158">
        <f t="shared" si="34"/>
        <v>0</v>
      </c>
      <c r="V158">
        <f t="shared" si="35"/>
        <v>0</v>
      </c>
      <c r="Z158" t="str">
        <f>IF(成本费用登记表!$C158="","",成本费用登记表!$C158)</f>
        <v/>
      </c>
      <c r="AA158">
        <f t="shared" si="36"/>
        <v>0</v>
      </c>
      <c r="AB158">
        <f t="shared" si="37"/>
        <v>0</v>
      </c>
      <c r="AF158" t="str">
        <f>IF(OR(资金日记账!$E158="",N(资金日记账!$H158)=0),"",资金日记账!$E158)</f>
        <v/>
      </c>
      <c r="AG158">
        <f t="shared" si="38"/>
        <v>0</v>
      </c>
      <c r="AH158">
        <f t="shared" si="39"/>
        <v>0</v>
      </c>
    </row>
    <row r="159" spans="1:34">
      <c r="A159" t="str">
        <f>IF(进销存对接!$D159="客户应收",进销存对接!$C159,"")</f>
        <v/>
      </c>
      <c r="B159">
        <f t="shared" si="29"/>
        <v>0</v>
      </c>
      <c r="C159">
        <f t="shared" si="30"/>
        <v>0</v>
      </c>
      <c r="E159" t="str">
        <f t="shared" si="31"/>
        <v/>
      </c>
      <c r="G159">
        <f>IF(OR($G$1="",资金日记账!$E152="",资金日记账!$E152&lt;&gt;$G$1),0,IF(NOT(OR(N(资金日记账!$H152)&lt;&gt;0,N(资金日记账!$I152)&lt;&gt;0)),0,IF(资金日记账!$B152="",1,IF(OR(N(资金日记账!$B152)&lt;$H$1,N(资金日记账!$B152)&gt;$I$1),0,1))))</f>
        <v>0</v>
      </c>
      <c r="H159">
        <f t="shared" si="32"/>
        <v>0</v>
      </c>
      <c r="I159" t="str">
        <f>IF($G159=0,"",IF(资金日记账!$B152=0,"",资金日记账!$B152))</f>
        <v/>
      </c>
      <c r="J159" t="str">
        <f>IF($G159=0,"",IF(资金日记账!$D152=0,"",资金日记账!$D152))</f>
        <v/>
      </c>
      <c r="K159" t="str">
        <f t="shared" si="40"/>
        <v/>
      </c>
      <c r="L159" t="str">
        <f t="shared" si="41"/>
        <v/>
      </c>
      <c r="M159" t="str">
        <f t="shared" si="33"/>
        <v/>
      </c>
      <c r="N159" t="str">
        <f>IF($G159=0,"",IF(IF(N(资金日记账!$I152)=0,"",-ROUND(N(资金日记账!$I152),2))=0,"",IF(N(资金日记账!$I152)=0,"",-ROUND(N(资金日记账!$I152),2))))</f>
        <v/>
      </c>
      <c r="O159" t="str">
        <f>IF($G159=0,"",IF(IF(N(资金日记账!$H152)=0,"",ROUND(N(资金日记账!$H152),2))=0,"",IF(N(资金日记账!$H152)=0,"",ROUND(N(资金日记账!$H152),2))))</f>
        <v/>
      </c>
      <c r="P159" t="str">
        <f>IF($G159=0,"",IF(资金日记账!$L152=0,"",资金日记账!$L152))</f>
        <v/>
      </c>
      <c r="T159" t="str">
        <f>IF(资金日记账!$G159="","",资金日记账!$G159)</f>
        <v/>
      </c>
      <c r="U159">
        <f t="shared" si="34"/>
        <v>0</v>
      </c>
      <c r="V159">
        <f t="shared" si="35"/>
        <v>0</v>
      </c>
      <c r="Z159" t="str">
        <f>IF(成本费用登记表!$C159="","",成本费用登记表!$C159)</f>
        <v/>
      </c>
      <c r="AA159">
        <f t="shared" si="36"/>
        <v>0</v>
      </c>
      <c r="AB159">
        <f t="shared" si="37"/>
        <v>0</v>
      </c>
      <c r="AF159" t="str">
        <f>IF(OR(资金日记账!$E159="",N(资金日记账!$H159)=0),"",资金日记账!$E159)</f>
        <v/>
      </c>
      <c r="AG159">
        <f t="shared" si="38"/>
        <v>0</v>
      </c>
      <c r="AH159">
        <f t="shared" si="39"/>
        <v>0</v>
      </c>
    </row>
    <row r="160" spans="1:34">
      <c r="A160" t="str">
        <f>IF(进销存对接!$D160="客户应收",进销存对接!$C160,"")</f>
        <v/>
      </c>
      <c r="B160">
        <f t="shared" si="29"/>
        <v>0</v>
      </c>
      <c r="C160">
        <f t="shared" si="30"/>
        <v>0</v>
      </c>
      <c r="E160" t="str">
        <f t="shared" si="31"/>
        <v/>
      </c>
      <c r="G160">
        <f>IF(OR($G$1="",资金日记账!$E153="",资金日记账!$E153&lt;&gt;$G$1),0,IF(NOT(OR(N(资金日记账!$H153)&lt;&gt;0,N(资金日记账!$I153)&lt;&gt;0)),0,IF(资金日记账!$B153="",1,IF(OR(N(资金日记账!$B153)&lt;$H$1,N(资金日记账!$B153)&gt;$I$1),0,1))))</f>
        <v>0</v>
      </c>
      <c r="H160">
        <f t="shared" si="32"/>
        <v>0</v>
      </c>
      <c r="I160" t="str">
        <f>IF($G160=0,"",IF(资金日记账!$B153=0,"",资金日记账!$B153))</f>
        <v/>
      </c>
      <c r="J160" t="str">
        <f>IF($G160=0,"",IF(资金日记账!$D153=0,"",资金日记账!$D153))</f>
        <v/>
      </c>
      <c r="K160" t="str">
        <f t="shared" si="40"/>
        <v/>
      </c>
      <c r="L160" t="str">
        <f t="shared" si="41"/>
        <v/>
      </c>
      <c r="M160" t="str">
        <f t="shared" si="33"/>
        <v/>
      </c>
      <c r="N160" t="str">
        <f>IF($G160=0,"",IF(IF(N(资金日记账!$I153)=0,"",-ROUND(N(资金日记账!$I153),2))=0,"",IF(N(资金日记账!$I153)=0,"",-ROUND(N(资金日记账!$I153),2))))</f>
        <v/>
      </c>
      <c r="O160" t="str">
        <f>IF($G160=0,"",IF(IF(N(资金日记账!$H153)=0,"",ROUND(N(资金日记账!$H153),2))=0,"",IF(N(资金日记账!$H153)=0,"",ROUND(N(资金日记账!$H153),2))))</f>
        <v/>
      </c>
      <c r="P160" t="str">
        <f>IF($G160=0,"",IF(资金日记账!$L153=0,"",资金日记账!$L153))</f>
        <v/>
      </c>
      <c r="T160" t="str">
        <f>IF(资金日记账!$G160="","",资金日记账!$G160)</f>
        <v/>
      </c>
      <c r="U160">
        <f t="shared" si="34"/>
        <v>0</v>
      </c>
      <c r="V160">
        <f t="shared" si="35"/>
        <v>0</v>
      </c>
      <c r="Z160" t="str">
        <f>IF(成本费用登记表!$C160="","",成本费用登记表!$C160)</f>
        <v/>
      </c>
      <c r="AA160">
        <f t="shared" si="36"/>
        <v>0</v>
      </c>
      <c r="AB160">
        <f t="shared" si="37"/>
        <v>0</v>
      </c>
      <c r="AF160" t="str">
        <f>IF(OR(资金日记账!$E160="",N(资金日记账!$H160)=0),"",资金日记账!$E160)</f>
        <v/>
      </c>
      <c r="AG160">
        <f t="shared" si="38"/>
        <v>0</v>
      </c>
      <c r="AH160">
        <f t="shared" si="39"/>
        <v>0</v>
      </c>
    </row>
    <row r="161" spans="1:34">
      <c r="A161" t="str">
        <f>IF(进销存对接!$D161="客户应收",进销存对接!$C161,"")</f>
        <v/>
      </c>
      <c r="B161">
        <f t="shared" si="29"/>
        <v>0</v>
      </c>
      <c r="C161">
        <f t="shared" si="30"/>
        <v>0</v>
      </c>
      <c r="E161" t="str">
        <f t="shared" si="31"/>
        <v/>
      </c>
      <c r="G161">
        <f>IF(OR($G$1="",资金日记账!$E154="",资金日记账!$E154&lt;&gt;$G$1),0,IF(NOT(OR(N(资金日记账!$H154)&lt;&gt;0,N(资金日记账!$I154)&lt;&gt;0)),0,IF(资金日记账!$B154="",1,IF(OR(N(资金日记账!$B154)&lt;$H$1,N(资金日记账!$B154)&gt;$I$1),0,1))))</f>
        <v>0</v>
      </c>
      <c r="H161">
        <f t="shared" si="32"/>
        <v>0</v>
      </c>
      <c r="I161" t="str">
        <f>IF($G161=0,"",IF(资金日记账!$B154=0,"",资金日记账!$B154))</f>
        <v/>
      </c>
      <c r="J161" t="str">
        <f>IF($G161=0,"",IF(资金日记账!$D154=0,"",资金日记账!$D154))</f>
        <v/>
      </c>
      <c r="K161" t="str">
        <f t="shared" si="40"/>
        <v/>
      </c>
      <c r="L161" t="str">
        <f t="shared" si="41"/>
        <v/>
      </c>
      <c r="M161" t="str">
        <f t="shared" si="33"/>
        <v/>
      </c>
      <c r="N161" t="str">
        <f>IF($G161=0,"",IF(IF(N(资金日记账!$I154)=0,"",-ROUND(N(资金日记账!$I154),2))=0,"",IF(N(资金日记账!$I154)=0,"",-ROUND(N(资金日记账!$I154),2))))</f>
        <v/>
      </c>
      <c r="O161" t="str">
        <f>IF($G161=0,"",IF(IF(N(资金日记账!$H154)=0,"",ROUND(N(资金日记账!$H154),2))=0,"",IF(N(资金日记账!$H154)=0,"",ROUND(N(资金日记账!$H154),2))))</f>
        <v/>
      </c>
      <c r="P161" t="str">
        <f>IF($G161=0,"",IF(资金日记账!$L154=0,"",资金日记账!$L154))</f>
        <v/>
      </c>
      <c r="T161" t="str">
        <f>IF(资金日记账!$G161="","",资金日记账!$G161)</f>
        <v/>
      </c>
      <c r="U161">
        <f t="shared" si="34"/>
        <v>0</v>
      </c>
      <c r="V161">
        <f t="shared" si="35"/>
        <v>0</v>
      </c>
      <c r="Z161" t="str">
        <f>IF(成本费用登记表!$C161="","",成本费用登记表!$C161)</f>
        <v/>
      </c>
      <c r="AA161">
        <f t="shared" si="36"/>
        <v>0</v>
      </c>
      <c r="AB161">
        <f t="shared" si="37"/>
        <v>0</v>
      </c>
      <c r="AF161" t="str">
        <f>IF(OR(资金日记账!$E161="",N(资金日记账!$H161)=0),"",资金日记账!$E161)</f>
        <v/>
      </c>
      <c r="AG161">
        <f t="shared" si="38"/>
        <v>0</v>
      </c>
      <c r="AH161">
        <f t="shared" si="39"/>
        <v>0</v>
      </c>
    </row>
    <row r="162" spans="1:34">
      <c r="A162" t="str">
        <f>IF(进销存对接!$D162="客户应收",进销存对接!$C162,"")</f>
        <v/>
      </c>
      <c r="B162">
        <f t="shared" si="29"/>
        <v>0</v>
      </c>
      <c r="C162">
        <f t="shared" si="30"/>
        <v>0</v>
      </c>
      <c r="E162" t="str">
        <f t="shared" si="31"/>
        <v/>
      </c>
      <c r="G162">
        <f>IF(OR($G$1="",资金日记账!$E155="",资金日记账!$E155&lt;&gt;$G$1),0,IF(NOT(OR(N(资金日记账!$H155)&lt;&gt;0,N(资金日记账!$I155)&lt;&gt;0)),0,IF(资金日记账!$B155="",1,IF(OR(N(资金日记账!$B155)&lt;$H$1,N(资金日记账!$B155)&gt;$I$1),0,1))))</f>
        <v>0</v>
      </c>
      <c r="H162">
        <f t="shared" si="32"/>
        <v>0</v>
      </c>
      <c r="I162" t="str">
        <f>IF($G162=0,"",IF(资金日记账!$B155=0,"",资金日记账!$B155))</f>
        <v/>
      </c>
      <c r="J162" t="str">
        <f>IF($G162=0,"",IF(资金日记账!$D155=0,"",资金日记账!$D155))</f>
        <v/>
      </c>
      <c r="K162" t="str">
        <f t="shared" si="40"/>
        <v/>
      </c>
      <c r="L162" t="str">
        <f t="shared" si="41"/>
        <v/>
      </c>
      <c r="M162" t="str">
        <f t="shared" si="33"/>
        <v/>
      </c>
      <c r="N162" t="str">
        <f>IF($G162=0,"",IF(IF(N(资金日记账!$I155)=0,"",-ROUND(N(资金日记账!$I155),2))=0,"",IF(N(资金日记账!$I155)=0,"",-ROUND(N(资金日记账!$I155),2))))</f>
        <v/>
      </c>
      <c r="O162" t="str">
        <f>IF($G162=0,"",IF(IF(N(资金日记账!$H155)=0,"",ROUND(N(资金日记账!$H155),2))=0,"",IF(N(资金日记账!$H155)=0,"",ROUND(N(资金日记账!$H155),2))))</f>
        <v/>
      </c>
      <c r="P162" t="str">
        <f>IF($G162=0,"",IF(资金日记账!$L155=0,"",资金日记账!$L155))</f>
        <v/>
      </c>
      <c r="T162" t="str">
        <f>IF(资金日记账!$G162="","",资金日记账!$G162)</f>
        <v/>
      </c>
      <c r="U162">
        <f t="shared" si="34"/>
        <v>0</v>
      </c>
      <c r="V162">
        <f t="shared" si="35"/>
        <v>0</v>
      </c>
      <c r="Z162" t="str">
        <f>IF(成本费用登记表!$C162="","",成本费用登记表!$C162)</f>
        <v/>
      </c>
      <c r="AA162">
        <f t="shared" si="36"/>
        <v>0</v>
      </c>
      <c r="AB162">
        <f t="shared" si="37"/>
        <v>0</v>
      </c>
      <c r="AF162" t="str">
        <f>IF(OR(资金日记账!$E162="",N(资金日记账!$H162)=0),"",资金日记账!$E162)</f>
        <v/>
      </c>
      <c r="AG162">
        <f t="shared" si="38"/>
        <v>0</v>
      </c>
      <c r="AH162">
        <f t="shared" si="39"/>
        <v>0</v>
      </c>
    </row>
    <row r="163" spans="1:34">
      <c r="A163" t="str">
        <f>IF(进销存对接!$D163="客户应收",进销存对接!$C163,"")</f>
        <v/>
      </c>
      <c r="B163">
        <f t="shared" si="29"/>
        <v>0</v>
      </c>
      <c r="C163">
        <f t="shared" si="30"/>
        <v>0</v>
      </c>
      <c r="E163" t="str">
        <f t="shared" si="31"/>
        <v/>
      </c>
      <c r="G163">
        <f>IF(OR($G$1="",资金日记账!$E156="",资金日记账!$E156&lt;&gt;$G$1),0,IF(NOT(OR(N(资金日记账!$H156)&lt;&gt;0,N(资金日记账!$I156)&lt;&gt;0)),0,IF(资金日记账!$B156="",1,IF(OR(N(资金日记账!$B156)&lt;$H$1,N(资金日记账!$B156)&gt;$I$1),0,1))))</f>
        <v>0</v>
      </c>
      <c r="H163">
        <f t="shared" si="32"/>
        <v>0</v>
      </c>
      <c r="I163" t="str">
        <f>IF($G163=0,"",IF(资金日记账!$B156=0,"",资金日记账!$B156))</f>
        <v/>
      </c>
      <c r="J163" t="str">
        <f>IF($G163=0,"",IF(资金日记账!$D156=0,"",资金日记账!$D156))</f>
        <v/>
      </c>
      <c r="K163" t="str">
        <f t="shared" si="40"/>
        <v/>
      </c>
      <c r="L163" t="str">
        <f t="shared" si="41"/>
        <v/>
      </c>
      <c r="M163" t="str">
        <f t="shared" si="33"/>
        <v/>
      </c>
      <c r="N163" t="str">
        <f>IF($G163=0,"",IF(IF(N(资金日记账!$I156)=0,"",-ROUND(N(资金日记账!$I156),2))=0,"",IF(N(资金日记账!$I156)=0,"",-ROUND(N(资金日记账!$I156),2))))</f>
        <v/>
      </c>
      <c r="O163" t="str">
        <f>IF($G163=0,"",IF(IF(N(资金日记账!$H156)=0,"",ROUND(N(资金日记账!$H156),2))=0,"",IF(N(资金日记账!$H156)=0,"",ROUND(N(资金日记账!$H156),2))))</f>
        <v/>
      </c>
      <c r="P163" t="str">
        <f>IF($G163=0,"",IF(资金日记账!$L156=0,"",资金日记账!$L156))</f>
        <v/>
      </c>
      <c r="T163" t="str">
        <f>IF(资金日记账!$G163="","",资金日记账!$G163)</f>
        <v/>
      </c>
      <c r="U163">
        <f t="shared" si="34"/>
        <v>0</v>
      </c>
      <c r="V163">
        <f t="shared" si="35"/>
        <v>0</v>
      </c>
      <c r="Z163" t="str">
        <f>IF(成本费用登记表!$C163="","",成本费用登记表!$C163)</f>
        <v/>
      </c>
      <c r="AA163">
        <f t="shared" si="36"/>
        <v>0</v>
      </c>
      <c r="AB163">
        <f t="shared" si="37"/>
        <v>0</v>
      </c>
      <c r="AF163" t="str">
        <f>IF(OR(资金日记账!$E163="",N(资金日记账!$H163)=0),"",资金日记账!$E163)</f>
        <v/>
      </c>
      <c r="AG163">
        <f t="shared" si="38"/>
        <v>0</v>
      </c>
      <c r="AH163">
        <f t="shared" si="39"/>
        <v>0</v>
      </c>
    </row>
    <row r="164" spans="1:34">
      <c r="A164" t="str">
        <f>IF(进销存对接!$D164="客户应收",进销存对接!$C164,"")</f>
        <v/>
      </c>
      <c r="B164">
        <f t="shared" si="29"/>
        <v>0</v>
      </c>
      <c r="C164">
        <f t="shared" si="30"/>
        <v>0</v>
      </c>
      <c r="E164" t="str">
        <f t="shared" si="31"/>
        <v/>
      </c>
      <c r="G164">
        <f>IF(OR($G$1="",资金日记账!$E157="",资金日记账!$E157&lt;&gt;$G$1),0,IF(NOT(OR(N(资金日记账!$H157)&lt;&gt;0,N(资金日记账!$I157)&lt;&gt;0)),0,IF(资金日记账!$B157="",1,IF(OR(N(资金日记账!$B157)&lt;$H$1,N(资金日记账!$B157)&gt;$I$1),0,1))))</f>
        <v>0</v>
      </c>
      <c r="H164">
        <f t="shared" si="32"/>
        <v>0</v>
      </c>
      <c r="I164" t="str">
        <f>IF($G164=0,"",IF(资金日记账!$B157=0,"",资金日记账!$B157))</f>
        <v/>
      </c>
      <c r="J164" t="str">
        <f>IF($G164=0,"",IF(资金日记账!$D157=0,"",资金日记账!$D157))</f>
        <v/>
      </c>
      <c r="K164" t="str">
        <f t="shared" si="40"/>
        <v/>
      </c>
      <c r="L164" t="str">
        <f t="shared" si="41"/>
        <v/>
      </c>
      <c r="M164" t="str">
        <f t="shared" si="33"/>
        <v/>
      </c>
      <c r="N164" t="str">
        <f>IF($G164=0,"",IF(IF(N(资金日记账!$I157)=0,"",-ROUND(N(资金日记账!$I157),2))=0,"",IF(N(资金日记账!$I157)=0,"",-ROUND(N(资金日记账!$I157),2))))</f>
        <v/>
      </c>
      <c r="O164" t="str">
        <f>IF($G164=0,"",IF(IF(N(资金日记账!$H157)=0,"",ROUND(N(资金日记账!$H157),2))=0,"",IF(N(资金日记账!$H157)=0,"",ROUND(N(资金日记账!$H157),2))))</f>
        <v/>
      </c>
      <c r="P164" t="str">
        <f>IF($G164=0,"",IF(资金日记账!$L157=0,"",资金日记账!$L157))</f>
        <v/>
      </c>
      <c r="T164" t="str">
        <f>IF(资金日记账!$G164="","",资金日记账!$G164)</f>
        <v/>
      </c>
      <c r="U164">
        <f t="shared" si="34"/>
        <v>0</v>
      </c>
      <c r="V164">
        <f t="shared" si="35"/>
        <v>0</v>
      </c>
      <c r="Z164" t="str">
        <f>IF(成本费用登记表!$C164="","",成本费用登记表!$C164)</f>
        <v/>
      </c>
      <c r="AA164">
        <f t="shared" si="36"/>
        <v>0</v>
      </c>
      <c r="AB164">
        <f t="shared" si="37"/>
        <v>0</v>
      </c>
      <c r="AF164" t="str">
        <f>IF(OR(资金日记账!$E164="",N(资金日记账!$H164)=0),"",资金日记账!$E164)</f>
        <v/>
      </c>
      <c r="AG164">
        <f t="shared" si="38"/>
        <v>0</v>
      </c>
      <c r="AH164">
        <f t="shared" si="39"/>
        <v>0</v>
      </c>
    </row>
    <row r="165" spans="1:34">
      <c r="A165" t="str">
        <f>IF(进销存对接!$D165="客户应收",进销存对接!$C165,"")</f>
        <v/>
      </c>
      <c r="B165">
        <f t="shared" si="29"/>
        <v>0</v>
      </c>
      <c r="C165">
        <f t="shared" si="30"/>
        <v>0</v>
      </c>
      <c r="E165" t="str">
        <f t="shared" si="31"/>
        <v/>
      </c>
      <c r="G165">
        <f>IF(OR($G$1="",资金日记账!$E158="",资金日记账!$E158&lt;&gt;$G$1),0,IF(NOT(OR(N(资金日记账!$H158)&lt;&gt;0,N(资金日记账!$I158)&lt;&gt;0)),0,IF(资金日记账!$B158="",1,IF(OR(N(资金日记账!$B158)&lt;$H$1,N(资金日记账!$B158)&gt;$I$1),0,1))))</f>
        <v>0</v>
      </c>
      <c r="H165">
        <f t="shared" si="32"/>
        <v>0</v>
      </c>
      <c r="I165" t="str">
        <f>IF($G165=0,"",IF(资金日记账!$B158=0,"",资金日记账!$B158))</f>
        <v/>
      </c>
      <c r="J165" t="str">
        <f>IF($G165=0,"",IF(资金日记账!$D158=0,"",资金日记账!$D158))</f>
        <v/>
      </c>
      <c r="K165" t="str">
        <f t="shared" si="40"/>
        <v/>
      </c>
      <c r="L165" t="str">
        <f t="shared" si="41"/>
        <v/>
      </c>
      <c r="M165" t="str">
        <f t="shared" si="33"/>
        <v/>
      </c>
      <c r="N165" t="str">
        <f>IF($G165=0,"",IF(IF(N(资金日记账!$I158)=0,"",-ROUND(N(资金日记账!$I158),2))=0,"",IF(N(资金日记账!$I158)=0,"",-ROUND(N(资金日记账!$I158),2))))</f>
        <v/>
      </c>
      <c r="O165" t="str">
        <f>IF($G165=0,"",IF(IF(N(资金日记账!$H158)=0,"",ROUND(N(资金日记账!$H158),2))=0,"",IF(N(资金日记账!$H158)=0,"",ROUND(N(资金日记账!$H158),2))))</f>
        <v/>
      </c>
      <c r="P165" t="str">
        <f>IF($G165=0,"",IF(资金日记账!$L158=0,"",资金日记账!$L158))</f>
        <v/>
      </c>
      <c r="T165" t="str">
        <f>IF(资金日记账!$G165="","",资金日记账!$G165)</f>
        <v/>
      </c>
      <c r="U165">
        <f t="shared" si="34"/>
        <v>0</v>
      </c>
      <c r="V165">
        <f t="shared" si="35"/>
        <v>0</v>
      </c>
      <c r="Z165" t="str">
        <f>IF(成本费用登记表!$C165="","",成本费用登记表!$C165)</f>
        <v/>
      </c>
      <c r="AA165">
        <f t="shared" si="36"/>
        <v>0</v>
      </c>
      <c r="AB165">
        <f t="shared" si="37"/>
        <v>0</v>
      </c>
      <c r="AF165" t="str">
        <f>IF(OR(资金日记账!$E165="",N(资金日记账!$H165)=0),"",资金日记账!$E165)</f>
        <v/>
      </c>
      <c r="AG165">
        <f t="shared" si="38"/>
        <v>0</v>
      </c>
      <c r="AH165">
        <f t="shared" si="39"/>
        <v>0</v>
      </c>
    </row>
    <row r="166" spans="1:34">
      <c r="A166" t="str">
        <f>IF(进销存对接!$D166="客户应收",进销存对接!$C166,"")</f>
        <v/>
      </c>
      <c r="B166">
        <f t="shared" si="29"/>
        <v>0</v>
      </c>
      <c r="C166">
        <f t="shared" si="30"/>
        <v>0</v>
      </c>
      <c r="E166" t="str">
        <f t="shared" si="31"/>
        <v/>
      </c>
      <c r="G166">
        <f>IF(OR($G$1="",资金日记账!$E159="",资金日记账!$E159&lt;&gt;$G$1),0,IF(NOT(OR(N(资金日记账!$H159)&lt;&gt;0,N(资金日记账!$I159)&lt;&gt;0)),0,IF(资金日记账!$B159="",1,IF(OR(N(资金日记账!$B159)&lt;$H$1,N(资金日记账!$B159)&gt;$I$1),0,1))))</f>
        <v>0</v>
      </c>
      <c r="H166">
        <f t="shared" si="32"/>
        <v>0</v>
      </c>
      <c r="I166" t="str">
        <f>IF($G166=0,"",IF(资金日记账!$B159=0,"",资金日记账!$B159))</f>
        <v/>
      </c>
      <c r="J166" t="str">
        <f>IF($G166=0,"",IF(资金日记账!$D159=0,"",资金日记账!$D159))</f>
        <v/>
      </c>
      <c r="K166" t="str">
        <f t="shared" si="40"/>
        <v/>
      </c>
      <c r="L166" t="str">
        <f t="shared" si="41"/>
        <v/>
      </c>
      <c r="M166" t="str">
        <f t="shared" si="33"/>
        <v/>
      </c>
      <c r="N166" t="str">
        <f>IF($G166=0,"",IF(IF(N(资金日记账!$I159)=0,"",-ROUND(N(资金日记账!$I159),2))=0,"",IF(N(资金日记账!$I159)=0,"",-ROUND(N(资金日记账!$I159),2))))</f>
        <v/>
      </c>
      <c r="O166" t="str">
        <f>IF($G166=0,"",IF(IF(N(资金日记账!$H159)=0,"",ROUND(N(资金日记账!$H159),2))=0,"",IF(N(资金日记账!$H159)=0,"",ROUND(N(资金日记账!$H159),2))))</f>
        <v/>
      </c>
      <c r="P166" t="str">
        <f>IF($G166=0,"",IF(资金日记账!$L159=0,"",资金日记账!$L159))</f>
        <v/>
      </c>
      <c r="T166" t="str">
        <f>IF(资金日记账!$G166="","",资金日记账!$G166)</f>
        <v/>
      </c>
      <c r="U166">
        <f t="shared" si="34"/>
        <v>0</v>
      </c>
      <c r="V166">
        <f t="shared" si="35"/>
        <v>0</v>
      </c>
      <c r="Z166" t="str">
        <f>IF(成本费用登记表!$C166="","",成本费用登记表!$C166)</f>
        <v/>
      </c>
      <c r="AA166">
        <f t="shared" si="36"/>
        <v>0</v>
      </c>
      <c r="AB166">
        <f t="shared" si="37"/>
        <v>0</v>
      </c>
      <c r="AF166" t="str">
        <f>IF(OR(资金日记账!$E166="",N(资金日记账!$H166)=0),"",资金日记账!$E166)</f>
        <v/>
      </c>
      <c r="AG166">
        <f t="shared" si="38"/>
        <v>0</v>
      </c>
      <c r="AH166">
        <f t="shared" si="39"/>
        <v>0</v>
      </c>
    </row>
    <row r="167" spans="1:34">
      <c r="A167" t="str">
        <f>IF(进销存对接!$D167="客户应收",进销存对接!$C167,"")</f>
        <v/>
      </c>
      <c r="B167">
        <f t="shared" si="29"/>
        <v>0</v>
      </c>
      <c r="C167">
        <f t="shared" si="30"/>
        <v>0</v>
      </c>
      <c r="E167" t="str">
        <f t="shared" si="31"/>
        <v/>
      </c>
      <c r="G167">
        <f>IF(OR($G$1="",资金日记账!$E160="",资金日记账!$E160&lt;&gt;$G$1),0,IF(NOT(OR(N(资金日记账!$H160)&lt;&gt;0,N(资金日记账!$I160)&lt;&gt;0)),0,IF(资金日记账!$B160="",1,IF(OR(N(资金日记账!$B160)&lt;$H$1,N(资金日记账!$B160)&gt;$I$1),0,1))))</f>
        <v>0</v>
      </c>
      <c r="H167">
        <f t="shared" si="32"/>
        <v>0</v>
      </c>
      <c r="I167" t="str">
        <f>IF($G167=0,"",IF(资金日记账!$B160=0,"",资金日记账!$B160))</f>
        <v/>
      </c>
      <c r="J167" t="str">
        <f>IF($G167=0,"",IF(资金日记账!$D160=0,"",资金日记账!$D160))</f>
        <v/>
      </c>
      <c r="K167" t="str">
        <f t="shared" si="40"/>
        <v/>
      </c>
      <c r="L167" t="str">
        <f t="shared" si="41"/>
        <v/>
      </c>
      <c r="M167" t="str">
        <f t="shared" si="33"/>
        <v/>
      </c>
      <c r="N167" t="str">
        <f>IF($G167=0,"",IF(IF(N(资金日记账!$I160)=0,"",-ROUND(N(资金日记账!$I160),2))=0,"",IF(N(资金日记账!$I160)=0,"",-ROUND(N(资金日记账!$I160),2))))</f>
        <v/>
      </c>
      <c r="O167" t="str">
        <f>IF($G167=0,"",IF(IF(N(资金日记账!$H160)=0,"",ROUND(N(资金日记账!$H160),2))=0,"",IF(N(资金日记账!$H160)=0,"",ROUND(N(资金日记账!$H160),2))))</f>
        <v/>
      </c>
      <c r="P167" t="str">
        <f>IF($G167=0,"",IF(资金日记账!$L160=0,"",资金日记账!$L160))</f>
        <v/>
      </c>
      <c r="T167" t="str">
        <f>IF(资金日记账!$G167="","",资金日记账!$G167)</f>
        <v/>
      </c>
      <c r="U167">
        <f t="shared" si="34"/>
        <v>0</v>
      </c>
      <c r="V167">
        <f t="shared" si="35"/>
        <v>0</v>
      </c>
      <c r="Z167" t="str">
        <f>IF(成本费用登记表!$C167="","",成本费用登记表!$C167)</f>
        <v/>
      </c>
      <c r="AA167">
        <f t="shared" si="36"/>
        <v>0</v>
      </c>
      <c r="AB167">
        <f t="shared" si="37"/>
        <v>0</v>
      </c>
      <c r="AF167" t="str">
        <f>IF(OR(资金日记账!$E167="",N(资金日记账!$H167)=0),"",资金日记账!$E167)</f>
        <v/>
      </c>
      <c r="AG167">
        <f t="shared" si="38"/>
        <v>0</v>
      </c>
      <c r="AH167">
        <f t="shared" si="39"/>
        <v>0</v>
      </c>
    </row>
    <row r="168" spans="1:34">
      <c r="A168" t="str">
        <f>IF(进销存对接!$D168="客户应收",进销存对接!$C168,"")</f>
        <v/>
      </c>
      <c r="B168">
        <f t="shared" si="29"/>
        <v>0</v>
      </c>
      <c r="C168">
        <f t="shared" si="30"/>
        <v>0</v>
      </c>
      <c r="E168" t="str">
        <f t="shared" si="31"/>
        <v/>
      </c>
      <c r="G168">
        <f>IF(OR($G$1="",资金日记账!$E161="",资金日记账!$E161&lt;&gt;$G$1),0,IF(NOT(OR(N(资金日记账!$H161)&lt;&gt;0,N(资金日记账!$I161)&lt;&gt;0)),0,IF(资金日记账!$B161="",1,IF(OR(N(资金日记账!$B161)&lt;$H$1,N(资金日记账!$B161)&gt;$I$1),0,1))))</f>
        <v>0</v>
      </c>
      <c r="H168">
        <f t="shared" si="32"/>
        <v>0</v>
      </c>
      <c r="I168" t="str">
        <f>IF($G168=0,"",IF(资金日记账!$B161=0,"",资金日记账!$B161))</f>
        <v/>
      </c>
      <c r="J168" t="str">
        <f>IF($G168=0,"",IF(资金日记账!$D161=0,"",资金日记账!$D161))</f>
        <v/>
      </c>
      <c r="K168" t="str">
        <f t="shared" si="40"/>
        <v/>
      </c>
      <c r="L168" t="str">
        <f t="shared" si="41"/>
        <v/>
      </c>
      <c r="M168" t="str">
        <f t="shared" si="33"/>
        <v/>
      </c>
      <c r="N168" t="str">
        <f>IF($G168=0,"",IF(IF(N(资金日记账!$I161)=0,"",-ROUND(N(资金日记账!$I161),2))=0,"",IF(N(资金日记账!$I161)=0,"",-ROUND(N(资金日记账!$I161),2))))</f>
        <v/>
      </c>
      <c r="O168" t="str">
        <f>IF($G168=0,"",IF(IF(N(资金日记账!$H161)=0,"",ROUND(N(资金日记账!$H161),2))=0,"",IF(N(资金日记账!$H161)=0,"",ROUND(N(资金日记账!$H161),2))))</f>
        <v/>
      </c>
      <c r="P168" t="str">
        <f>IF($G168=0,"",IF(资金日记账!$L161=0,"",资金日记账!$L161))</f>
        <v/>
      </c>
      <c r="T168" t="str">
        <f>IF(资金日记账!$G168="","",资金日记账!$G168)</f>
        <v/>
      </c>
      <c r="U168">
        <f t="shared" si="34"/>
        <v>0</v>
      </c>
      <c r="V168">
        <f t="shared" si="35"/>
        <v>0</v>
      </c>
      <c r="Z168" t="str">
        <f>IF(成本费用登记表!$C168="","",成本费用登记表!$C168)</f>
        <v/>
      </c>
      <c r="AA168">
        <f t="shared" si="36"/>
        <v>0</v>
      </c>
      <c r="AB168">
        <f t="shared" si="37"/>
        <v>0</v>
      </c>
      <c r="AF168" t="str">
        <f>IF(OR(资金日记账!$E168="",N(资金日记账!$H168)=0),"",资金日记账!$E168)</f>
        <v/>
      </c>
      <c r="AG168">
        <f t="shared" si="38"/>
        <v>0</v>
      </c>
      <c r="AH168">
        <f t="shared" si="39"/>
        <v>0</v>
      </c>
    </row>
    <row r="169" spans="1:34">
      <c r="A169" t="str">
        <f>IF(进销存对接!$D169="客户应收",进销存对接!$C169,"")</f>
        <v/>
      </c>
      <c r="B169">
        <f t="shared" si="29"/>
        <v>0</v>
      </c>
      <c r="C169">
        <f t="shared" si="30"/>
        <v>0</v>
      </c>
      <c r="E169" t="str">
        <f t="shared" si="31"/>
        <v/>
      </c>
      <c r="G169">
        <f>IF(OR($G$1="",资金日记账!$E162="",资金日记账!$E162&lt;&gt;$G$1),0,IF(NOT(OR(N(资金日记账!$H162)&lt;&gt;0,N(资金日记账!$I162)&lt;&gt;0)),0,IF(资金日记账!$B162="",1,IF(OR(N(资金日记账!$B162)&lt;$H$1,N(资金日记账!$B162)&gt;$I$1),0,1))))</f>
        <v>0</v>
      </c>
      <c r="H169">
        <f t="shared" si="32"/>
        <v>0</v>
      </c>
      <c r="I169" t="str">
        <f>IF($G169=0,"",IF(资金日记账!$B162=0,"",资金日记账!$B162))</f>
        <v/>
      </c>
      <c r="J169" t="str">
        <f>IF($G169=0,"",IF(资金日记账!$D162=0,"",资金日记账!$D162))</f>
        <v/>
      </c>
      <c r="K169" t="str">
        <f t="shared" si="40"/>
        <v/>
      </c>
      <c r="L169" t="str">
        <f t="shared" si="41"/>
        <v/>
      </c>
      <c r="M169" t="str">
        <f t="shared" si="33"/>
        <v/>
      </c>
      <c r="N169" t="str">
        <f>IF($G169=0,"",IF(IF(N(资金日记账!$I162)=0,"",-ROUND(N(资金日记账!$I162),2))=0,"",IF(N(资金日记账!$I162)=0,"",-ROUND(N(资金日记账!$I162),2))))</f>
        <v/>
      </c>
      <c r="O169" t="str">
        <f>IF($G169=0,"",IF(IF(N(资金日记账!$H162)=0,"",ROUND(N(资金日记账!$H162),2))=0,"",IF(N(资金日记账!$H162)=0,"",ROUND(N(资金日记账!$H162),2))))</f>
        <v/>
      </c>
      <c r="P169" t="str">
        <f>IF($G169=0,"",IF(资金日记账!$L162=0,"",资金日记账!$L162))</f>
        <v/>
      </c>
      <c r="T169" t="str">
        <f>IF(资金日记账!$G169="","",资金日记账!$G169)</f>
        <v/>
      </c>
      <c r="U169">
        <f t="shared" si="34"/>
        <v>0</v>
      </c>
      <c r="V169">
        <f t="shared" si="35"/>
        <v>0</v>
      </c>
      <c r="Z169" t="str">
        <f>IF(成本费用登记表!$C169="","",成本费用登记表!$C169)</f>
        <v/>
      </c>
      <c r="AA169">
        <f t="shared" si="36"/>
        <v>0</v>
      </c>
      <c r="AB169">
        <f t="shared" si="37"/>
        <v>0</v>
      </c>
      <c r="AF169" t="str">
        <f>IF(OR(资金日记账!$E169="",N(资金日记账!$H169)=0),"",资金日记账!$E169)</f>
        <v/>
      </c>
      <c r="AG169">
        <f t="shared" si="38"/>
        <v>0</v>
      </c>
      <c r="AH169">
        <f t="shared" si="39"/>
        <v>0</v>
      </c>
    </row>
    <row r="170" spans="1:34">
      <c r="A170" t="str">
        <f>IF(进销存对接!$D170="客户应收",进销存对接!$C170,"")</f>
        <v/>
      </c>
      <c r="B170">
        <f t="shared" si="29"/>
        <v>0</v>
      </c>
      <c r="C170">
        <f t="shared" si="30"/>
        <v>0</v>
      </c>
      <c r="E170" t="str">
        <f t="shared" si="31"/>
        <v/>
      </c>
      <c r="G170">
        <f>IF(OR($G$1="",资金日记账!$E163="",资金日记账!$E163&lt;&gt;$G$1),0,IF(NOT(OR(N(资金日记账!$H163)&lt;&gt;0,N(资金日记账!$I163)&lt;&gt;0)),0,IF(资金日记账!$B163="",1,IF(OR(N(资金日记账!$B163)&lt;$H$1,N(资金日记账!$B163)&gt;$I$1),0,1))))</f>
        <v>0</v>
      </c>
      <c r="H170">
        <f t="shared" si="32"/>
        <v>0</v>
      </c>
      <c r="I170" t="str">
        <f>IF($G170=0,"",IF(资金日记账!$B163=0,"",资金日记账!$B163))</f>
        <v/>
      </c>
      <c r="J170" t="str">
        <f>IF($G170=0,"",IF(资金日记账!$D163=0,"",资金日记账!$D163))</f>
        <v/>
      </c>
      <c r="K170" t="str">
        <f t="shared" si="40"/>
        <v/>
      </c>
      <c r="L170" t="str">
        <f t="shared" si="41"/>
        <v/>
      </c>
      <c r="M170" t="str">
        <f t="shared" si="33"/>
        <v/>
      </c>
      <c r="N170" t="str">
        <f>IF($G170=0,"",IF(IF(N(资金日记账!$I163)=0,"",-ROUND(N(资金日记账!$I163),2))=0,"",IF(N(资金日记账!$I163)=0,"",-ROUND(N(资金日记账!$I163),2))))</f>
        <v/>
      </c>
      <c r="O170" t="str">
        <f>IF($G170=0,"",IF(IF(N(资金日记账!$H163)=0,"",ROUND(N(资金日记账!$H163),2))=0,"",IF(N(资金日记账!$H163)=0,"",ROUND(N(资金日记账!$H163),2))))</f>
        <v/>
      </c>
      <c r="P170" t="str">
        <f>IF($G170=0,"",IF(资金日记账!$L163=0,"",资金日记账!$L163))</f>
        <v/>
      </c>
      <c r="T170" t="str">
        <f>IF(资金日记账!$G170="","",资金日记账!$G170)</f>
        <v/>
      </c>
      <c r="U170">
        <f t="shared" si="34"/>
        <v>0</v>
      </c>
      <c r="V170">
        <f t="shared" si="35"/>
        <v>0</v>
      </c>
      <c r="Z170" t="str">
        <f>IF(成本费用登记表!$C170="","",成本费用登记表!$C170)</f>
        <v/>
      </c>
      <c r="AA170">
        <f t="shared" si="36"/>
        <v>0</v>
      </c>
      <c r="AB170">
        <f t="shared" si="37"/>
        <v>0</v>
      </c>
      <c r="AF170" t="str">
        <f>IF(OR(资金日记账!$E170="",N(资金日记账!$H170)=0),"",资金日记账!$E170)</f>
        <v/>
      </c>
      <c r="AG170">
        <f t="shared" si="38"/>
        <v>0</v>
      </c>
      <c r="AH170">
        <f t="shared" si="39"/>
        <v>0</v>
      </c>
    </row>
    <row r="171" spans="1:34">
      <c r="A171" t="str">
        <f>IF(进销存对接!$D171="客户应收",进销存对接!$C171,"")</f>
        <v/>
      </c>
      <c r="B171">
        <f t="shared" si="29"/>
        <v>0</v>
      </c>
      <c r="C171">
        <f t="shared" si="30"/>
        <v>0</v>
      </c>
      <c r="E171" t="str">
        <f t="shared" si="31"/>
        <v/>
      </c>
      <c r="G171">
        <f>IF(OR($G$1="",资金日记账!$E164="",资金日记账!$E164&lt;&gt;$G$1),0,IF(NOT(OR(N(资金日记账!$H164)&lt;&gt;0,N(资金日记账!$I164)&lt;&gt;0)),0,IF(资金日记账!$B164="",1,IF(OR(N(资金日记账!$B164)&lt;$H$1,N(资金日记账!$B164)&gt;$I$1),0,1))))</f>
        <v>0</v>
      </c>
      <c r="H171">
        <f t="shared" si="32"/>
        <v>0</v>
      </c>
      <c r="I171" t="str">
        <f>IF($G171=0,"",IF(资金日记账!$B164=0,"",资金日记账!$B164))</f>
        <v/>
      </c>
      <c r="J171" t="str">
        <f>IF($G171=0,"",IF(资金日记账!$D164=0,"",资金日记账!$D164))</f>
        <v/>
      </c>
      <c r="K171" t="str">
        <f t="shared" si="40"/>
        <v/>
      </c>
      <c r="L171" t="str">
        <f t="shared" si="41"/>
        <v/>
      </c>
      <c r="M171" t="str">
        <f t="shared" si="33"/>
        <v/>
      </c>
      <c r="N171" t="str">
        <f>IF($G171=0,"",IF(IF(N(资金日记账!$I164)=0,"",-ROUND(N(资金日记账!$I164),2))=0,"",IF(N(资金日记账!$I164)=0,"",-ROUND(N(资金日记账!$I164),2))))</f>
        <v/>
      </c>
      <c r="O171" t="str">
        <f>IF($G171=0,"",IF(IF(N(资金日记账!$H164)=0,"",ROUND(N(资金日记账!$H164),2))=0,"",IF(N(资金日记账!$H164)=0,"",ROUND(N(资金日记账!$H164),2))))</f>
        <v/>
      </c>
      <c r="P171" t="str">
        <f>IF($G171=0,"",IF(资金日记账!$L164=0,"",资金日记账!$L164))</f>
        <v/>
      </c>
      <c r="T171" t="str">
        <f>IF(资金日记账!$G171="","",资金日记账!$G171)</f>
        <v/>
      </c>
      <c r="U171">
        <f t="shared" si="34"/>
        <v>0</v>
      </c>
      <c r="V171">
        <f t="shared" si="35"/>
        <v>0</v>
      </c>
      <c r="Z171" t="str">
        <f>IF(成本费用登记表!$C171="","",成本费用登记表!$C171)</f>
        <v/>
      </c>
      <c r="AA171">
        <f t="shared" si="36"/>
        <v>0</v>
      </c>
      <c r="AB171">
        <f t="shared" si="37"/>
        <v>0</v>
      </c>
      <c r="AF171" t="str">
        <f>IF(OR(资金日记账!$E171="",N(资金日记账!$H171)=0),"",资金日记账!$E171)</f>
        <v/>
      </c>
      <c r="AG171">
        <f t="shared" si="38"/>
        <v>0</v>
      </c>
      <c r="AH171">
        <f t="shared" si="39"/>
        <v>0</v>
      </c>
    </row>
    <row r="172" spans="1:34">
      <c r="A172" t="str">
        <f>IF(进销存对接!$D172="客户应收",进销存对接!$C172,"")</f>
        <v/>
      </c>
      <c r="B172">
        <f t="shared" si="29"/>
        <v>0</v>
      </c>
      <c r="C172">
        <f t="shared" si="30"/>
        <v>0</v>
      </c>
      <c r="E172" t="str">
        <f t="shared" si="31"/>
        <v/>
      </c>
      <c r="G172">
        <f>IF(OR($G$1="",资金日记账!$E165="",资金日记账!$E165&lt;&gt;$G$1),0,IF(NOT(OR(N(资金日记账!$H165)&lt;&gt;0,N(资金日记账!$I165)&lt;&gt;0)),0,IF(资金日记账!$B165="",1,IF(OR(N(资金日记账!$B165)&lt;$H$1,N(资金日记账!$B165)&gt;$I$1),0,1))))</f>
        <v>0</v>
      </c>
      <c r="H172">
        <f t="shared" si="32"/>
        <v>0</v>
      </c>
      <c r="I172" t="str">
        <f>IF($G172=0,"",IF(资金日记账!$B165=0,"",资金日记账!$B165))</f>
        <v/>
      </c>
      <c r="J172" t="str">
        <f>IF($G172=0,"",IF(资金日记账!$D165=0,"",资金日记账!$D165))</f>
        <v/>
      </c>
      <c r="K172" t="str">
        <f t="shared" si="40"/>
        <v/>
      </c>
      <c r="L172" t="str">
        <f t="shared" si="41"/>
        <v/>
      </c>
      <c r="M172" t="str">
        <f t="shared" si="33"/>
        <v/>
      </c>
      <c r="N172" t="str">
        <f>IF($G172=0,"",IF(IF(N(资金日记账!$I165)=0,"",-ROUND(N(资金日记账!$I165),2))=0,"",IF(N(资金日记账!$I165)=0,"",-ROUND(N(资金日记账!$I165),2))))</f>
        <v/>
      </c>
      <c r="O172" t="str">
        <f>IF($G172=0,"",IF(IF(N(资金日记账!$H165)=0,"",ROUND(N(资金日记账!$H165),2))=0,"",IF(N(资金日记账!$H165)=0,"",ROUND(N(资金日记账!$H165),2))))</f>
        <v/>
      </c>
      <c r="P172" t="str">
        <f>IF($G172=0,"",IF(资金日记账!$L165=0,"",资金日记账!$L165))</f>
        <v/>
      </c>
      <c r="T172" t="str">
        <f>IF(资金日记账!$G172="","",资金日记账!$G172)</f>
        <v/>
      </c>
      <c r="U172">
        <f t="shared" si="34"/>
        <v>0</v>
      </c>
      <c r="V172">
        <f t="shared" si="35"/>
        <v>0</v>
      </c>
      <c r="Z172" t="str">
        <f>IF(成本费用登记表!$C172="","",成本费用登记表!$C172)</f>
        <v/>
      </c>
      <c r="AA172">
        <f t="shared" si="36"/>
        <v>0</v>
      </c>
      <c r="AB172">
        <f t="shared" si="37"/>
        <v>0</v>
      </c>
      <c r="AF172" t="str">
        <f>IF(OR(资金日记账!$E172="",N(资金日记账!$H172)=0),"",资金日记账!$E172)</f>
        <v/>
      </c>
      <c r="AG172">
        <f t="shared" si="38"/>
        <v>0</v>
      </c>
      <c r="AH172">
        <f t="shared" si="39"/>
        <v>0</v>
      </c>
    </row>
    <row r="173" spans="1:34">
      <c r="A173" t="str">
        <f>IF(进销存对接!$D173="客户应收",进销存对接!$C173,"")</f>
        <v/>
      </c>
      <c r="B173">
        <f t="shared" si="29"/>
        <v>0</v>
      </c>
      <c r="C173">
        <f t="shared" si="30"/>
        <v>0</v>
      </c>
      <c r="E173" t="str">
        <f t="shared" si="31"/>
        <v/>
      </c>
      <c r="G173">
        <f>IF(OR($G$1="",资金日记账!$E166="",资金日记账!$E166&lt;&gt;$G$1),0,IF(NOT(OR(N(资金日记账!$H166)&lt;&gt;0,N(资金日记账!$I166)&lt;&gt;0)),0,IF(资金日记账!$B166="",1,IF(OR(N(资金日记账!$B166)&lt;$H$1,N(资金日记账!$B166)&gt;$I$1),0,1))))</f>
        <v>0</v>
      </c>
      <c r="H173">
        <f t="shared" si="32"/>
        <v>0</v>
      </c>
      <c r="I173" t="str">
        <f>IF($G173=0,"",IF(资金日记账!$B166=0,"",资金日记账!$B166))</f>
        <v/>
      </c>
      <c r="J173" t="str">
        <f>IF($G173=0,"",IF(资金日记账!$D166=0,"",资金日记账!$D166))</f>
        <v/>
      </c>
      <c r="K173" t="str">
        <f t="shared" si="40"/>
        <v/>
      </c>
      <c r="L173" t="str">
        <f t="shared" si="41"/>
        <v/>
      </c>
      <c r="M173" t="str">
        <f t="shared" si="33"/>
        <v/>
      </c>
      <c r="N173" t="str">
        <f>IF($G173=0,"",IF(IF(N(资金日记账!$I166)=0,"",-ROUND(N(资金日记账!$I166),2))=0,"",IF(N(资金日记账!$I166)=0,"",-ROUND(N(资金日记账!$I166),2))))</f>
        <v/>
      </c>
      <c r="O173" t="str">
        <f>IF($G173=0,"",IF(IF(N(资金日记账!$H166)=0,"",ROUND(N(资金日记账!$H166),2))=0,"",IF(N(资金日记账!$H166)=0,"",ROUND(N(资金日记账!$H166),2))))</f>
        <v/>
      </c>
      <c r="P173" t="str">
        <f>IF($G173=0,"",IF(资金日记账!$L166=0,"",资金日记账!$L166))</f>
        <v/>
      </c>
      <c r="T173" t="str">
        <f>IF(资金日记账!$G173="","",资金日记账!$G173)</f>
        <v/>
      </c>
      <c r="U173">
        <f t="shared" si="34"/>
        <v>0</v>
      </c>
      <c r="V173">
        <f t="shared" si="35"/>
        <v>0</v>
      </c>
      <c r="Z173" t="str">
        <f>IF(成本费用登记表!$C173="","",成本费用登记表!$C173)</f>
        <v/>
      </c>
      <c r="AA173">
        <f t="shared" si="36"/>
        <v>0</v>
      </c>
      <c r="AB173">
        <f t="shared" si="37"/>
        <v>0</v>
      </c>
      <c r="AF173" t="str">
        <f>IF(OR(资金日记账!$E173="",N(资金日记账!$H173)=0),"",资金日记账!$E173)</f>
        <v/>
      </c>
      <c r="AG173">
        <f t="shared" si="38"/>
        <v>0</v>
      </c>
      <c r="AH173">
        <f t="shared" si="39"/>
        <v>0</v>
      </c>
    </row>
    <row r="174" spans="1:34">
      <c r="A174" t="str">
        <f>IF(进销存对接!$D174="客户应收",进销存对接!$C174,"")</f>
        <v/>
      </c>
      <c r="B174">
        <f t="shared" si="29"/>
        <v>0</v>
      </c>
      <c r="C174">
        <f t="shared" si="30"/>
        <v>0</v>
      </c>
      <c r="E174" t="str">
        <f t="shared" si="31"/>
        <v/>
      </c>
      <c r="G174">
        <f>IF(OR($G$1="",资金日记账!$E167="",资金日记账!$E167&lt;&gt;$G$1),0,IF(NOT(OR(N(资金日记账!$H167)&lt;&gt;0,N(资金日记账!$I167)&lt;&gt;0)),0,IF(资金日记账!$B167="",1,IF(OR(N(资金日记账!$B167)&lt;$H$1,N(资金日记账!$B167)&gt;$I$1),0,1))))</f>
        <v>0</v>
      </c>
      <c r="H174">
        <f t="shared" si="32"/>
        <v>0</v>
      </c>
      <c r="I174" t="str">
        <f>IF($G174=0,"",IF(资金日记账!$B167=0,"",资金日记账!$B167))</f>
        <v/>
      </c>
      <c r="J174" t="str">
        <f>IF($G174=0,"",IF(资金日记账!$D167=0,"",资金日记账!$D167))</f>
        <v/>
      </c>
      <c r="K174" t="str">
        <f t="shared" si="40"/>
        <v/>
      </c>
      <c r="L174" t="str">
        <f t="shared" si="41"/>
        <v/>
      </c>
      <c r="M174" t="str">
        <f t="shared" si="33"/>
        <v/>
      </c>
      <c r="N174" t="str">
        <f>IF($G174=0,"",IF(IF(N(资金日记账!$I167)=0,"",-ROUND(N(资金日记账!$I167),2))=0,"",IF(N(资金日记账!$I167)=0,"",-ROUND(N(资金日记账!$I167),2))))</f>
        <v/>
      </c>
      <c r="O174" t="str">
        <f>IF($G174=0,"",IF(IF(N(资金日记账!$H167)=0,"",ROUND(N(资金日记账!$H167),2))=0,"",IF(N(资金日记账!$H167)=0,"",ROUND(N(资金日记账!$H167),2))))</f>
        <v/>
      </c>
      <c r="P174" t="str">
        <f>IF($G174=0,"",IF(资金日记账!$L167=0,"",资金日记账!$L167))</f>
        <v/>
      </c>
      <c r="T174" t="str">
        <f>IF(资金日记账!$G174="","",资金日记账!$G174)</f>
        <v/>
      </c>
      <c r="U174">
        <f t="shared" si="34"/>
        <v>0</v>
      </c>
      <c r="V174">
        <f t="shared" si="35"/>
        <v>0</v>
      </c>
      <c r="Z174" t="str">
        <f>IF(成本费用登记表!$C174="","",成本费用登记表!$C174)</f>
        <v/>
      </c>
      <c r="AA174">
        <f t="shared" si="36"/>
        <v>0</v>
      </c>
      <c r="AB174">
        <f t="shared" si="37"/>
        <v>0</v>
      </c>
      <c r="AF174" t="str">
        <f>IF(OR(资金日记账!$E174="",N(资金日记账!$H174)=0),"",资金日记账!$E174)</f>
        <v/>
      </c>
      <c r="AG174">
        <f t="shared" si="38"/>
        <v>0</v>
      </c>
      <c r="AH174">
        <f t="shared" si="39"/>
        <v>0</v>
      </c>
    </row>
    <row r="175" spans="1:34">
      <c r="A175" t="str">
        <f>IF(进销存对接!$D175="客户应收",进销存对接!$C175,"")</f>
        <v/>
      </c>
      <c r="B175">
        <f t="shared" si="29"/>
        <v>0</v>
      </c>
      <c r="C175">
        <f t="shared" si="30"/>
        <v>0</v>
      </c>
      <c r="E175" t="str">
        <f t="shared" si="31"/>
        <v/>
      </c>
      <c r="G175">
        <f>IF(OR($G$1="",资金日记账!$E168="",资金日记账!$E168&lt;&gt;$G$1),0,IF(NOT(OR(N(资金日记账!$H168)&lt;&gt;0,N(资金日记账!$I168)&lt;&gt;0)),0,IF(资金日记账!$B168="",1,IF(OR(N(资金日记账!$B168)&lt;$H$1,N(资金日记账!$B168)&gt;$I$1),0,1))))</f>
        <v>0</v>
      </c>
      <c r="H175">
        <f t="shared" si="32"/>
        <v>0</v>
      </c>
      <c r="I175" t="str">
        <f>IF($G175=0,"",IF(资金日记账!$B168=0,"",资金日记账!$B168))</f>
        <v/>
      </c>
      <c r="J175" t="str">
        <f>IF($G175=0,"",IF(资金日记账!$D168=0,"",资金日记账!$D168))</f>
        <v/>
      </c>
      <c r="K175" t="str">
        <f t="shared" si="40"/>
        <v/>
      </c>
      <c r="L175" t="str">
        <f t="shared" si="41"/>
        <v/>
      </c>
      <c r="M175" t="str">
        <f t="shared" si="33"/>
        <v/>
      </c>
      <c r="N175" t="str">
        <f>IF($G175=0,"",IF(IF(N(资金日记账!$I168)=0,"",-ROUND(N(资金日记账!$I168),2))=0,"",IF(N(资金日记账!$I168)=0,"",-ROUND(N(资金日记账!$I168),2))))</f>
        <v/>
      </c>
      <c r="O175" t="str">
        <f>IF($G175=0,"",IF(IF(N(资金日记账!$H168)=0,"",ROUND(N(资金日记账!$H168),2))=0,"",IF(N(资金日记账!$H168)=0,"",ROUND(N(资金日记账!$H168),2))))</f>
        <v/>
      </c>
      <c r="P175" t="str">
        <f>IF($G175=0,"",IF(资金日记账!$L168=0,"",资金日记账!$L168))</f>
        <v/>
      </c>
      <c r="T175" t="str">
        <f>IF(资金日记账!$G175="","",资金日记账!$G175)</f>
        <v/>
      </c>
      <c r="U175">
        <f t="shared" si="34"/>
        <v>0</v>
      </c>
      <c r="V175">
        <f t="shared" si="35"/>
        <v>0</v>
      </c>
      <c r="Z175" t="str">
        <f>IF(成本费用登记表!$C175="","",成本费用登记表!$C175)</f>
        <v/>
      </c>
      <c r="AA175">
        <f t="shared" si="36"/>
        <v>0</v>
      </c>
      <c r="AB175">
        <f t="shared" si="37"/>
        <v>0</v>
      </c>
      <c r="AF175" t="str">
        <f>IF(OR(资金日记账!$E175="",N(资金日记账!$H175)=0),"",资金日记账!$E175)</f>
        <v/>
      </c>
      <c r="AG175">
        <f t="shared" si="38"/>
        <v>0</v>
      </c>
      <c r="AH175">
        <f t="shared" si="39"/>
        <v>0</v>
      </c>
    </row>
    <row r="176" spans="1:34">
      <c r="A176" t="str">
        <f>IF(进销存对接!$D176="客户应收",进销存对接!$C176,"")</f>
        <v/>
      </c>
      <c r="B176">
        <f t="shared" si="29"/>
        <v>0</v>
      </c>
      <c r="C176">
        <f t="shared" si="30"/>
        <v>0</v>
      </c>
      <c r="E176" t="str">
        <f t="shared" si="31"/>
        <v/>
      </c>
      <c r="G176">
        <f>IF(OR($G$1="",资金日记账!$E169="",资金日记账!$E169&lt;&gt;$G$1),0,IF(NOT(OR(N(资金日记账!$H169)&lt;&gt;0,N(资金日记账!$I169)&lt;&gt;0)),0,IF(资金日记账!$B169="",1,IF(OR(N(资金日记账!$B169)&lt;$H$1,N(资金日记账!$B169)&gt;$I$1),0,1))))</f>
        <v>0</v>
      </c>
      <c r="H176">
        <f t="shared" si="32"/>
        <v>0</v>
      </c>
      <c r="I176" t="str">
        <f>IF($G176=0,"",IF(资金日记账!$B169=0,"",资金日记账!$B169))</f>
        <v/>
      </c>
      <c r="J176" t="str">
        <f>IF($G176=0,"",IF(资金日记账!$D169=0,"",资金日记账!$D169))</f>
        <v/>
      </c>
      <c r="K176" t="str">
        <f t="shared" si="40"/>
        <v/>
      </c>
      <c r="L176" t="str">
        <f t="shared" si="41"/>
        <v/>
      </c>
      <c r="M176" t="str">
        <f t="shared" si="33"/>
        <v/>
      </c>
      <c r="N176" t="str">
        <f>IF($G176=0,"",IF(IF(N(资金日记账!$I169)=0,"",-ROUND(N(资金日记账!$I169),2))=0,"",IF(N(资金日记账!$I169)=0,"",-ROUND(N(资金日记账!$I169),2))))</f>
        <v/>
      </c>
      <c r="O176" t="str">
        <f>IF($G176=0,"",IF(IF(N(资金日记账!$H169)=0,"",ROUND(N(资金日记账!$H169),2))=0,"",IF(N(资金日记账!$H169)=0,"",ROUND(N(资金日记账!$H169),2))))</f>
        <v/>
      </c>
      <c r="P176" t="str">
        <f>IF($G176=0,"",IF(资金日记账!$L169=0,"",资金日记账!$L169))</f>
        <v/>
      </c>
      <c r="T176" t="str">
        <f>IF(资金日记账!$G176="","",资金日记账!$G176)</f>
        <v/>
      </c>
      <c r="U176">
        <f t="shared" si="34"/>
        <v>0</v>
      </c>
      <c r="V176">
        <f t="shared" si="35"/>
        <v>0</v>
      </c>
      <c r="Z176" t="str">
        <f>IF(成本费用登记表!$C176="","",成本费用登记表!$C176)</f>
        <v/>
      </c>
      <c r="AA176">
        <f t="shared" si="36"/>
        <v>0</v>
      </c>
      <c r="AB176">
        <f t="shared" si="37"/>
        <v>0</v>
      </c>
      <c r="AF176" t="str">
        <f>IF(OR(资金日记账!$E176="",N(资金日记账!$H176)=0),"",资金日记账!$E176)</f>
        <v/>
      </c>
      <c r="AG176">
        <f t="shared" si="38"/>
        <v>0</v>
      </c>
      <c r="AH176">
        <f t="shared" si="39"/>
        <v>0</v>
      </c>
    </row>
    <row r="177" spans="1:34">
      <c r="A177" t="str">
        <f>IF(进销存对接!$D177="客户应收",进销存对接!$C177,"")</f>
        <v/>
      </c>
      <c r="B177">
        <f t="shared" si="29"/>
        <v>0</v>
      </c>
      <c r="C177">
        <f t="shared" si="30"/>
        <v>0</v>
      </c>
      <c r="E177" t="str">
        <f t="shared" si="31"/>
        <v/>
      </c>
      <c r="G177">
        <f>IF(OR($G$1="",资金日记账!$E170="",资金日记账!$E170&lt;&gt;$G$1),0,IF(NOT(OR(N(资金日记账!$H170)&lt;&gt;0,N(资金日记账!$I170)&lt;&gt;0)),0,IF(资金日记账!$B170="",1,IF(OR(N(资金日记账!$B170)&lt;$H$1,N(资金日记账!$B170)&gt;$I$1),0,1))))</f>
        <v>0</v>
      </c>
      <c r="H177">
        <f t="shared" si="32"/>
        <v>0</v>
      </c>
      <c r="I177" t="str">
        <f>IF($G177=0,"",IF(资金日记账!$B170=0,"",资金日记账!$B170))</f>
        <v/>
      </c>
      <c r="J177" t="str">
        <f>IF($G177=0,"",IF(资金日记账!$D170=0,"",资金日记账!$D170))</f>
        <v/>
      </c>
      <c r="K177" t="str">
        <f t="shared" si="40"/>
        <v/>
      </c>
      <c r="L177" t="str">
        <f t="shared" si="41"/>
        <v/>
      </c>
      <c r="M177" t="str">
        <f t="shared" si="33"/>
        <v/>
      </c>
      <c r="N177" t="str">
        <f>IF($G177=0,"",IF(IF(N(资金日记账!$I170)=0,"",-ROUND(N(资金日记账!$I170),2))=0,"",IF(N(资金日记账!$I170)=0,"",-ROUND(N(资金日记账!$I170),2))))</f>
        <v/>
      </c>
      <c r="O177" t="str">
        <f>IF($G177=0,"",IF(IF(N(资金日记账!$H170)=0,"",ROUND(N(资金日记账!$H170),2))=0,"",IF(N(资金日记账!$H170)=0,"",ROUND(N(资金日记账!$H170),2))))</f>
        <v/>
      </c>
      <c r="P177" t="str">
        <f>IF($G177=0,"",IF(资金日记账!$L170=0,"",资金日记账!$L170))</f>
        <v/>
      </c>
      <c r="T177" t="str">
        <f>IF(资金日记账!$G177="","",资金日记账!$G177)</f>
        <v/>
      </c>
      <c r="U177">
        <f t="shared" si="34"/>
        <v>0</v>
      </c>
      <c r="V177">
        <f t="shared" si="35"/>
        <v>0</v>
      </c>
      <c r="Z177" t="str">
        <f>IF(成本费用登记表!$C177="","",成本费用登记表!$C177)</f>
        <v/>
      </c>
      <c r="AA177">
        <f t="shared" si="36"/>
        <v>0</v>
      </c>
      <c r="AB177">
        <f t="shared" si="37"/>
        <v>0</v>
      </c>
      <c r="AF177" t="str">
        <f>IF(OR(资金日记账!$E177="",N(资金日记账!$H177)=0),"",资金日记账!$E177)</f>
        <v/>
      </c>
      <c r="AG177">
        <f t="shared" si="38"/>
        <v>0</v>
      </c>
      <c r="AH177">
        <f t="shared" si="39"/>
        <v>0</v>
      </c>
    </row>
    <row r="178" spans="1:34">
      <c r="A178" t="str">
        <f>IF(进销存对接!$D178="客户应收",进销存对接!$C178,"")</f>
        <v/>
      </c>
      <c r="B178">
        <f t="shared" si="29"/>
        <v>0</v>
      </c>
      <c r="C178">
        <f t="shared" si="30"/>
        <v>0</v>
      </c>
      <c r="E178" t="str">
        <f t="shared" si="31"/>
        <v/>
      </c>
      <c r="G178">
        <f>IF(OR($G$1="",资金日记账!$E171="",资金日记账!$E171&lt;&gt;$G$1),0,IF(NOT(OR(N(资金日记账!$H171)&lt;&gt;0,N(资金日记账!$I171)&lt;&gt;0)),0,IF(资金日记账!$B171="",1,IF(OR(N(资金日记账!$B171)&lt;$H$1,N(资金日记账!$B171)&gt;$I$1),0,1))))</f>
        <v>0</v>
      </c>
      <c r="H178">
        <f t="shared" si="32"/>
        <v>0</v>
      </c>
      <c r="I178" t="str">
        <f>IF($G178=0,"",IF(资金日记账!$B171=0,"",资金日记账!$B171))</f>
        <v/>
      </c>
      <c r="J178" t="str">
        <f>IF($G178=0,"",IF(资金日记账!$D171=0,"",资金日记账!$D171))</f>
        <v/>
      </c>
      <c r="K178" t="str">
        <f t="shared" si="40"/>
        <v/>
      </c>
      <c r="L178" t="str">
        <f t="shared" si="41"/>
        <v/>
      </c>
      <c r="M178" t="str">
        <f t="shared" si="33"/>
        <v/>
      </c>
      <c r="N178" t="str">
        <f>IF($G178=0,"",IF(IF(N(资金日记账!$I171)=0,"",-ROUND(N(资金日记账!$I171),2))=0,"",IF(N(资金日记账!$I171)=0,"",-ROUND(N(资金日记账!$I171),2))))</f>
        <v/>
      </c>
      <c r="O178" t="str">
        <f>IF($G178=0,"",IF(IF(N(资金日记账!$H171)=0,"",ROUND(N(资金日记账!$H171),2))=0,"",IF(N(资金日记账!$H171)=0,"",ROUND(N(资金日记账!$H171),2))))</f>
        <v/>
      </c>
      <c r="P178" t="str">
        <f>IF($G178=0,"",IF(资金日记账!$L171=0,"",资金日记账!$L171))</f>
        <v/>
      </c>
      <c r="T178" t="str">
        <f>IF(资金日记账!$G178="","",资金日记账!$G178)</f>
        <v/>
      </c>
      <c r="U178">
        <f t="shared" si="34"/>
        <v>0</v>
      </c>
      <c r="V178">
        <f t="shared" si="35"/>
        <v>0</v>
      </c>
      <c r="Z178" t="str">
        <f>IF(成本费用登记表!$C178="","",成本费用登记表!$C178)</f>
        <v/>
      </c>
      <c r="AA178">
        <f t="shared" si="36"/>
        <v>0</v>
      </c>
      <c r="AB178">
        <f t="shared" si="37"/>
        <v>0</v>
      </c>
      <c r="AF178" t="str">
        <f>IF(OR(资金日记账!$E178="",N(资金日记账!$H178)=0),"",资金日记账!$E178)</f>
        <v/>
      </c>
      <c r="AG178">
        <f t="shared" si="38"/>
        <v>0</v>
      </c>
      <c r="AH178">
        <f t="shared" si="39"/>
        <v>0</v>
      </c>
    </row>
    <row r="179" spans="1:34">
      <c r="A179" t="str">
        <f>IF(进销存对接!$D179="客户应收",进销存对接!$C179,"")</f>
        <v/>
      </c>
      <c r="B179">
        <f t="shared" si="29"/>
        <v>0</v>
      </c>
      <c r="C179">
        <f t="shared" si="30"/>
        <v>0</v>
      </c>
      <c r="E179" t="str">
        <f t="shared" si="31"/>
        <v/>
      </c>
      <c r="G179">
        <f>IF(OR($G$1="",资金日记账!$E172="",资金日记账!$E172&lt;&gt;$G$1),0,IF(NOT(OR(N(资金日记账!$H172)&lt;&gt;0,N(资金日记账!$I172)&lt;&gt;0)),0,IF(资金日记账!$B172="",1,IF(OR(N(资金日记账!$B172)&lt;$H$1,N(资金日记账!$B172)&gt;$I$1),0,1))))</f>
        <v>0</v>
      </c>
      <c r="H179">
        <f t="shared" si="32"/>
        <v>0</v>
      </c>
      <c r="I179" t="str">
        <f>IF($G179=0,"",IF(资金日记账!$B172=0,"",资金日记账!$B172))</f>
        <v/>
      </c>
      <c r="J179" t="str">
        <f>IF($G179=0,"",IF(资金日记账!$D172=0,"",资金日记账!$D172))</f>
        <v/>
      </c>
      <c r="K179" t="str">
        <f t="shared" si="40"/>
        <v/>
      </c>
      <c r="L179" t="str">
        <f t="shared" si="41"/>
        <v/>
      </c>
      <c r="M179" t="str">
        <f t="shared" si="33"/>
        <v/>
      </c>
      <c r="N179" t="str">
        <f>IF($G179=0,"",IF(IF(N(资金日记账!$I172)=0,"",-ROUND(N(资金日记账!$I172),2))=0,"",IF(N(资金日记账!$I172)=0,"",-ROUND(N(资金日记账!$I172),2))))</f>
        <v/>
      </c>
      <c r="O179" t="str">
        <f>IF($G179=0,"",IF(IF(N(资金日记账!$H172)=0,"",ROUND(N(资金日记账!$H172),2))=0,"",IF(N(资金日记账!$H172)=0,"",ROUND(N(资金日记账!$H172),2))))</f>
        <v/>
      </c>
      <c r="P179" t="str">
        <f>IF($G179=0,"",IF(资金日记账!$L172=0,"",资金日记账!$L172))</f>
        <v/>
      </c>
      <c r="T179" t="str">
        <f>IF(资金日记账!$G179="","",资金日记账!$G179)</f>
        <v/>
      </c>
      <c r="U179">
        <f t="shared" si="34"/>
        <v>0</v>
      </c>
      <c r="V179">
        <f t="shared" si="35"/>
        <v>0</v>
      </c>
      <c r="Z179" t="str">
        <f>IF(成本费用登记表!$C179="","",成本费用登记表!$C179)</f>
        <v/>
      </c>
      <c r="AA179">
        <f t="shared" si="36"/>
        <v>0</v>
      </c>
      <c r="AB179">
        <f t="shared" si="37"/>
        <v>0</v>
      </c>
      <c r="AF179" t="str">
        <f>IF(OR(资金日记账!$E179="",N(资金日记账!$H179)=0),"",资金日记账!$E179)</f>
        <v/>
      </c>
      <c r="AG179">
        <f t="shared" si="38"/>
        <v>0</v>
      </c>
      <c r="AH179">
        <f t="shared" si="39"/>
        <v>0</v>
      </c>
    </row>
    <row r="180" spans="1:34">
      <c r="A180" t="str">
        <f>IF(进销存对接!$D180="客户应收",进销存对接!$C180,"")</f>
        <v/>
      </c>
      <c r="B180">
        <f t="shared" si="29"/>
        <v>0</v>
      </c>
      <c r="C180">
        <f t="shared" si="30"/>
        <v>0</v>
      </c>
      <c r="E180" t="str">
        <f t="shared" si="31"/>
        <v/>
      </c>
      <c r="G180">
        <f>IF(OR($G$1="",资金日记账!$E173="",资金日记账!$E173&lt;&gt;$G$1),0,IF(NOT(OR(N(资金日记账!$H173)&lt;&gt;0,N(资金日记账!$I173)&lt;&gt;0)),0,IF(资金日记账!$B173="",1,IF(OR(N(资金日记账!$B173)&lt;$H$1,N(资金日记账!$B173)&gt;$I$1),0,1))))</f>
        <v>0</v>
      </c>
      <c r="H180">
        <f t="shared" si="32"/>
        <v>0</v>
      </c>
      <c r="I180" t="str">
        <f>IF($G180=0,"",IF(资金日记账!$B173=0,"",资金日记账!$B173))</f>
        <v/>
      </c>
      <c r="J180" t="str">
        <f>IF($G180=0,"",IF(资金日记账!$D173=0,"",资金日记账!$D173))</f>
        <v/>
      </c>
      <c r="K180" t="str">
        <f t="shared" si="40"/>
        <v/>
      </c>
      <c r="L180" t="str">
        <f t="shared" si="41"/>
        <v/>
      </c>
      <c r="M180" t="str">
        <f t="shared" si="33"/>
        <v/>
      </c>
      <c r="N180" t="str">
        <f>IF($G180=0,"",IF(IF(N(资金日记账!$I173)=0,"",-ROUND(N(资金日记账!$I173),2))=0,"",IF(N(资金日记账!$I173)=0,"",-ROUND(N(资金日记账!$I173),2))))</f>
        <v/>
      </c>
      <c r="O180" t="str">
        <f>IF($G180=0,"",IF(IF(N(资金日记账!$H173)=0,"",ROUND(N(资金日记账!$H173),2))=0,"",IF(N(资金日记账!$H173)=0,"",ROUND(N(资金日记账!$H173),2))))</f>
        <v/>
      </c>
      <c r="P180" t="str">
        <f>IF($G180=0,"",IF(资金日记账!$L173=0,"",资金日记账!$L173))</f>
        <v/>
      </c>
      <c r="T180" t="str">
        <f>IF(资金日记账!$G180="","",资金日记账!$G180)</f>
        <v/>
      </c>
      <c r="U180">
        <f t="shared" si="34"/>
        <v>0</v>
      </c>
      <c r="V180">
        <f t="shared" si="35"/>
        <v>0</v>
      </c>
      <c r="Z180" t="str">
        <f>IF(成本费用登记表!$C180="","",成本费用登记表!$C180)</f>
        <v/>
      </c>
      <c r="AA180">
        <f t="shared" si="36"/>
        <v>0</v>
      </c>
      <c r="AB180">
        <f t="shared" si="37"/>
        <v>0</v>
      </c>
      <c r="AF180" t="str">
        <f>IF(OR(资金日记账!$E180="",N(资金日记账!$H180)=0),"",资金日记账!$E180)</f>
        <v/>
      </c>
      <c r="AG180">
        <f t="shared" si="38"/>
        <v>0</v>
      </c>
      <c r="AH180">
        <f t="shared" si="39"/>
        <v>0</v>
      </c>
    </row>
    <row r="181" spans="1:34">
      <c r="A181" t="str">
        <f>IF(进销存对接!$D181="客户应收",进销存对接!$C181,"")</f>
        <v/>
      </c>
      <c r="B181">
        <f t="shared" si="29"/>
        <v>0</v>
      </c>
      <c r="C181">
        <f t="shared" si="30"/>
        <v>0</v>
      </c>
      <c r="E181" t="str">
        <f t="shared" si="31"/>
        <v/>
      </c>
      <c r="G181">
        <f>IF(OR($G$1="",资金日记账!$E174="",资金日记账!$E174&lt;&gt;$G$1),0,IF(NOT(OR(N(资金日记账!$H174)&lt;&gt;0,N(资金日记账!$I174)&lt;&gt;0)),0,IF(资金日记账!$B174="",1,IF(OR(N(资金日记账!$B174)&lt;$H$1,N(资金日记账!$B174)&gt;$I$1),0,1))))</f>
        <v>0</v>
      </c>
      <c r="H181">
        <f t="shared" si="32"/>
        <v>0</v>
      </c>
      <c r="I181" t="str">
        <f>IF($G181=0,"",IF(资金日记账!$B174=0,"",资金日记账!$B174))</f>
        <v/>
      </c>
      <c r="J181" t="str">
        <f>IF($G181=0,"",IF(资金日记账!$D174=0,"",资金日记账!$D174))</f>
        <v/>
      </c>
      <c r="K181" t="str">
        <f t="shared" si="40"/>
        <v/>
      </c>
      <c r="L181" t="str">
        <f t="shared" si="41"/>
        <v/>
      </c>
      <c r="M181" t="str">
        <f t="shared" si="33"/>
        <v/>
      </c>
      <c r="N181" t="str">
        <f>IF($G181=0,"",IF(IF(N(资金日记账!$I174)=0,"",-ROUND(N(资金日记账!$I174),2))=0,"",IF(N(资金日记账!$I174)=0,"",-ROUND(N(资金日记账!$I174),2))))</f>
        <v/>
      </c>
      <c r="O181" t="str">
        <f>IF($G181=0,"",IF(IF(N(资金日记账!$H174)=0,"",ROUND(N(资金日记账!$H174),2))=0,"",IF(N(资金日记账!$H174)=0,"",ROUND(N(资金日记账!$H174),2))))</f>
        <v/>
      </c>
      <c r="P181" t="str">
        <f>IF($G181=0,"",IF(资金日记账!$L174=0,"",资金日记账!$L174))</f>
        <v/>
      </c>
      <c r="T181" t="str">
        <f>IF(资金日记账!$G181="","",资金日记账!$G181)</f>
        <v/>
      </c>
      <c r="U181">
        <f t="shared" si="34"/>
        <v>0</v>
      </c>
      <c r="V181">
        <f t="shared" si="35"/>
        <v>0</v>
      </c>
      <c r="Z181" t="str">
        <f>IF(成本费用登记表!$C181="","",成本费用登记表!$C181)</f>
        <v/>
      </c>
      <c r="AA181">
        <f t="shared" si="36"/>
        <v>0</v>
      </c>
      <c r="AB181">
        <f t="shared" si="37"/>
        <v>0</v>
      </c>
      <c r="AF181" t="str">
        <f>IF(OR(资金日记账!$E181="",N(资金日记账!$H181)=0),"",资金日记账!$E181)</f>
        <v/>
      </c>
      <c r="AG181">
        <f t="shared" si="38"/>
        <v>0</v>
      </c>
      <c r="AH181">
        <f t="shared" si="39"/>
        <v>0</v>
      </c>
    </row>
    <row r="182" spans="1:34">
      <c r="A182" t="str">
        <f>IF(进销存对接!$D182="客户应收",进销存对接!$C182,"")</f>
        <v/>
      </c>
      <c r="B182">
        <f t="shared" si="29"/>
        <v>0</v>
      </c>
      <c r="C182">
        <f t="shared" si="30"/>
        <v>0</v>
      </c>
      <c r="E182" t="str">
        <f t="shared" si="31"/>
        <v/>
      </c>
      <c r="G182">
        <f>IF(OR($G$1="",资金日记账!$E175="",资金日记账!$E175&lt;&gt;$G$1),0,IF(NOT(OR(N(资金日记账!$H175)&lt;&gt;0,N(资金日记账!$I175)&lt;&gt;0)),0,IF(资金日记账!$B175="",1,IF(OR(N(资金日记账!$B175)&lt;$H$1,N(资金日记账!$B175)&gt;$I$1),0,1))))</f>
        <v>0</v>
      </c>
      <c r="H182">
        <f t="shared" si="32"/>
        <v>0</v>
      </c>
      <c r="I182" t="str">
        <f>IF($G182=0,"",IF(资金日记账!$B175=0,"",资金日记账!$B175))</f>
        <v/>
      </c>
      <c r="J182" t="str">
        <f>IF($G182=0,"",IF(资金日记账!$D175=0,"",资金日记账!$D175))</f>
        <v/>
      </c>
      <c r="K182" t="str">
        <f t="shared" si="40"/>
        <v/>
      </c>
      <c r="L182" t="str">
        <f t="shared" si="41"/>
        <v/>
      </c>
      <c r="M182" t="str">
        <f t="shared" si="33"/>
        <v/>
      </c>
      <c r="N182" t="str">
        <f>IF($G182=0,"",IF(IF(N(资金日记账!$I175)=0,"",-ROUND(N(资金日记账!$I175),2))=0,"",IF(N(资金日记账!$I175)=0,"",-ROUND(N(资金日记账!$I175),2))))</f>
        <v/>
      </c>
      <c r="O182" t="str">
        <f>IF($G182=0,"",IF(IF(N(资金日记账!$H175)=0,"",ROUND(N(资金日记账!$H175),2))=0,"",IF(N(资金日记账!$H175)=0,"",ROUND(N(资金日记账!$H175),2))))</f>
        <v/>
      </c>
      <c r="P182" t="str">
        <f>IF($G182=0,"",IF(资金日记账!$L175=0,"",资金日记账!$L175))</f>
        <v/>
      </c>
      <c r="T182" t="str">
        <f>IF(资金日记账!$G182="","",资金日记账!$G182)</f>
        <v/>
      </c>
      <c r="U182">
        <f t="shared" si="34"/>
        <v>0</v>
      </c>
      <c r="V182">
        <f t="shared" si="35"/>
        <v>0</v>
      </c>
      <c r="Z182" t="str">
        <f>IF(成本费用登记表!$C182="","",成本费用登记表!$C182)</f>
        <v/>
      </c>
      <c r="AA182">
        <f t="shared" si="36"/>
        <v>0</v>
      </c>
      <c r="AB182">
        <f t="shared" si="37"/>
        <v>0</v>
      </c>
      <c r="AF182" t="str">
        <f>IF(OR(资金日记账!$E182="",N(资金日记账!$H182)=0),"",资金日记账!$E182)</f>
        <v/>
      </c>
      <c r="AG182">
        <f t="shared" si="38"/>
        <v>0</v>
      </c>
      <c r="AH182">
        <f t="shared" si="39"/>
        <v>0</v>
      </c>
    </row>
    <row r="183" spans="1:34">
      <c r="A183" t="str">
        <f>IF(进销存对接!$D183="客户应收",进销存对接!$C183,"")</f>
        <v/>
      </c>
      <c r="B183">
        <f t="shared" si="29"/>
        <v>0</v>
      </c>
      <c r="C183">
        <f t="shared" si="30"/>
        <v>0</v>
      </c>
      <c r="E183" t="str">
        <f t="shared" si="31"/>
        <v/>
      </c>
      <c r="G183">
        <f>IF(OR($G$1="",资金日记账!$E176="",资金日记账!$E176&lt;&gt;$G$1),0,IF(NOT(OR(N(资金日记账!$H176)&lt;&gt;0,N(资金日记账!$I176)&lt;&gt;0)),0,IF(资金日记账!$B176="",1,IF(OR(N(资金日记账!$B176)&lt;$H$1,N(资金日记账!$B176)&gt;$I$1),0,1))))</f>
        <v>0</v>
      </c>
      <c r="H183">
        <f t="shared" si="32"/>
        <v>0</v>
      </c>
      <c r="I183" t="str">
        <f>IF($G183=0,"",IF(资金日记账!$B176=0,"",资金日记账!$B176))</f>
        <v/>
      </c>
      <c r="J183" t="str">
        <f>IF($G183=0,"",IF(资金日记账!$D176=0,"",资金日记账!$D176))</f>
        <v/>
      </c>
      <c r="K183" t="str">
        <f t="shared" si="40"/>
        <v/>
      </c>
      <c r="L183" t="str">
        <f t="shared" si="41"/>
        <v/>
      </c>
      <c r="M183" t="str">
        <f t="shared" si="33"/>
        <v/>
      </c>
      <c r="N183" t="str">
        <f>IF($G183=0,"",IF(IF(N(资金日记账!$I176)=0,"",-ROUND(N(资金日记账!$I176),2))=0,"",IF(N(资金日记账!$I176)=0,"",-ROUND(N(资金日记账!$I176),2))))</f>
        <v/>
      </c>
      <c r="O183" t="str">
        <f>IF($G183=0,"",IF(IF(N(资金日记账!$H176)=0,"",ROUND(N(资金日记账!$H176),2))=0,"",IF(N(资金日记账!$H176)=0,"",ROUND(N(资金日记账!$H176),2))))</f>
        <v/>
      </c>
      <c r="P183" t="str">
        <f>IF($G183=0,"",IF(资金日记账!$L176=0,"",资金日记账!$L176))</f>
        <v/>
      </c>
      <c r="T183" t="str">
        <f>IF(资金日记账!$G183="","",资金日记账!$G183)</f>
        <v/>
      </c>
      <c r="U183">
        <f t="shared" si="34"/>
        <v>0</v>
      </c>
      <c r="V183">
        <f t="shared" si="35"/>
        <v>0</v>
      </c>
      <c r="Z183" t="str">
        <f>IF(成本费用登记表!$C183="","",成本费用登记表!$C183)</f>
        <v/>
      </c>
      <c r="AA183">
        <f t="shared" si="36"/>
        <v>0</v>
      </c>
      <c r="AB183">
        <f t="shared" si="37"/>
        <v>0</v>
      </c>
      <c r="AF183" t="str">
        <f>IF(OR(资金日记账!$E183="",N(资金日记账!$H183)=0),"",资金日记账!$E183)</f>
        <v/>
      </c>
      <c r="AG183">
        <f t="shared" si="38"/>
        <v>0</v>
      </c>
      <c r="AH183">
        <f t="shared" si="39"/>
        <v>0</v>
      </c>
    </row>
    <row r="184" spans="1:34">
      <c r="A184" t="str">
        <f>IF(进销存对接!$D184="客户应收",进销存对接!$C184,"")</f>
        <v/>
      </c>
      <c r="B184">
        <f t="shared" si="29"/>
        <v>0</v>
      </c>
      <c r="C184">
        <f t="shared" si="30"/>
        <v>0</v>
      </c>
      <c r="E184" t="str">
        <f t="shared" si="31"/>
        <v/>
      </c>
      <c r="G184">
        <f>IF(OR($G$1="",资金日记账!$E177="",资金日记账!$E177&lt;&gt;$G$1),0,IF(NOT(OR(N(资金日记账!$H177)&lt;&gt;0,N(资金日记账!$I177)&lt;&gt;0)),0,IF(资金日记账!$B177="",1,IF(OR(N(资金日记账!$B177)&lt;$H$1,N(资金日记账!$B177)&gt;$I$1),0,1))))</f>
        <v>0</v>
      </c>
      <c r="H184">
        <f t="shared" si="32"/>
        <v>0</v>
      </c>
      <c r="I184" t="str">
        <f>IF($G184=0,"",IF(资金日记账!$B177=0,"",资金日记账!$B177))</f>
        <v/>
      </c>
      <c r="J184" t="str">
        <f>IF($G184=0,"",IF(资金日记账!$D177=0,"",资金日记账!$D177))</f>
        <v/>
      </c>
      <c r="K184" t="str">
        <f t="shared" si="40"/>
        <v/>
      </c>
      <c r="L184" t="str">
        <f t="shared" si="41"/>
        <v/>
      </c>
      <c r="M184" t="str">
        <f t="shared" si="33"/>
        <v/>
      </c>
      <c r="N184" t="str">
        <f>IF($G184=0,"",IF(IF(N(资金日记账!$I177)=0,"",-ROUND(N(资金日记账!$I177),2))=0,"",IF(N(资金日记账!$I177)=0,"",-ROUND(N(资金日记账!$I177),2))))</f>
        <v/>
      </c>
      <c r="O184" t="str">
        <f>IF($G184=0,"",IF(IF(N(资金日记账!$H177)=0,"",ROUND(N(资金日记账!$H177),2))=0,"",IF(N(资金日记账!$H177)=0,"",ROUND(N(资金日记账!$H177),2))))</f>
        <v/>
      </c>
      <c r="P184" t="str">
        <f>IF($G184=0,"",IF(资金日记账!$L177=0,"",资金日记账!$L177))</f>
        <v/>
      </c>
      <c r="T184" t="str">
        <f>IF(资金日记账!$G184="","",资金日记账!$G184)</f>
        <v/>
      </c>
      <c r="U184">
        <f t="shared" si="34"/>
        <v>0</v>
      </c>
      <c r="V184">
        <f t="shared" si="35"/>
        <v>0</v>
      </c>
      <c r="Z184" t="str">
        <f>IF(成本费用登记表!$C184="","",成本费用登记表!$C184)</f>
        <v/>
      </c>
      <c r="AA184">
        <f t="shared" si="36"/>
        <v>0</v>
      </c>
      <c r="AB184">
        <f t="shared" si="37"/>
        <v>0</v>
      </c>
      <c r="AF184" t="str">
        <f>IF(OR(资金日记账!$E184="",N(资金日记账!$H184)=0),"",资金日记账!$E184)</f>
        <v/>
      </c>
      <c r="AG184">
        <f t="shared" si="38"/>
        <v>0</v>
      </c>
      <c r="AH184">
        <f t="shared" si="39"/>
        <v>0</v>
      </c>
    </row>
    <row r="185" spans="1:34">
      <c r="A185" t="str">
        <f>IF(进销存对接!$D185="客户应收",进销存对接!$C185,"")</f>
        <v/>
      </c>
      <c r="B185">
        <f t="shared" si="29"/>
        <v>0</v>
      </c>
      <c r="C185">
        <f t="shared" si="30"/>
        <v>0</v>
      </c>
      <c r="E185" t="str">
        <f t="shared" si="31"/>
        <v/>
      </c>
      <c r="G185">
        <f>IF(OR($G$1="",资金日记账!$E178="",资金日记账!$E178&lt;&gt;$G$1),0,IF(NOT(OR(N(资金日记账!$H178)&lt;&gt;0,N(资金日记账!$I178)&lt;&gt;0)),0,IF(资金日记账!$B178="",1,IF(OR(N(资金日记账!$B178)&lt;$H$1,N(资金日记账!$B178)&gt;$I$1),0,1))))</f>
        <v>0</v>
      </c>
      <c r="H185">
        <f t="shared" si="32"/>
        <v>0</v>
      </c>
      <c r="I185" t="str">
        <f>IF($G185=0,"",IF(资金日记账!$B178=0,"",资金日记账!$B178))</f>
        <v/>
      </c>
      <c r="J185" t="str">
        <f>IF($G185=0,"",IF(资金日记账!$D178=0,"",资金日记账!$D178))</f>
        <v/>
      </c>
      <c r="K185" t="str">
        <f t="shared" si="40"/>
        <v/>
      </c>
      <c r="L185" t="str">
        <f t="shared" si="41"/>
        <v/>
      </c>
      <c r="M185" t="str">
        <f t="shared" si="33"/>
        <v/>
      </c>
      <c r="N185" t="str">
        <f>IF($G185=0,"",IF(IF(N(资金日记账!$I178)=0,"",-ROUND(N(资金日记账!$I178),2))=0,"",IF(N(资金日记账!$I178)=0,"",-ROUND(N(资金日记账!$I178),2))))</f>
        <v/>
      </c>
      <c r="O185" t="str">
        <f>IF($G185=0,"",IF(IF(N(资金日记账!$H178)=0,"",ROUND(N(资金日记账!$H178),2))=0,"",IF(N(资金日记账!$H178)=0,"",ROUND(N(资金日记账!$H178),2))))</f>
        <v/>
      </c>
      <c r="P185" t="str">
        <f>IF($G185=0,"",IF(资金日记账!$L178=0,"",资金日记账!$L178))</f>
        <v/>
      </c>
      <c r="T185" t="str">
        <f>IF(资金日记账!$G185="","",资金日记账!$G185)</f>
        <v/>
      </c>
      <c r="U185">
        <f t="shared" si="34"/>
        <v>0</v>
      </c>
      <c r="V185">
        <f t="shared" si="35"/>
        <v>0</v>
      </c>
      <c r="Z185" t="str">
        <f>IF(成本费用登记表!$C185="","",成本费用登记表!$C185)</f>
        <v/>
      </c>
      <c r="AA185">
        <f t="shared" si="36"/>
        <v>0</v>
      </c>
      <c r="AB185">
        <f t="shared" si="37"/>
        <v>0</v>
      </c>
      <c r="AF185" t="str">
        <f>IF(OR(资金日记账!$E185="",N(资金日记账!$H185)=0),"",资金日记账!$E185)</f>
        <v/>
      </c>
      <c r="AG185">
        <f t="shared" si="38"/>
        <v>0</v>
      </c>
      <c r="AH185">
        <f t="shared" si="39"/>
        <v>0</v>
      </c>
    </row>
    <row r="186" spans="1:34">
      <c r="A186" t="str">
        <f>IF(进销存对接!$D186="客户应收",进销存对接!$C186,"")</f>
        <v/>
      </c>
      <c r="B186">
        <f t="shared" si="29"/>
        <v>0</v>
      </c>
      <c r="C186">
        <f t="shared" si="30"/>
        <v>0</v>
      </c>
      <c r="E186" t="str">
        <f t="shared" si="31"/>
        <v/>
      </c>
      <c r="G186">
        <f>IF(OR($G$1="",资金日记账!$E179="",资金日记账!$E179&lt;&gt;$G$1),0,IF(NOT(OR(N(资金日记账!$H179)&lt;&gt;0,N(资金日记账!$I179)&lt;&gt;0)),0,IF(资金日记账!$B179="",1,IF(OR(N(资金日记账!$B179)&lt;$H$1,N(资金日记账!$B179)&gt;$I$1),0,1))))</f>
        <v>0</v>
      </c>
      <c r="H186">
        <f t="shared" si="32"/>
        <v>0</v>
      </c>
      <c r="I186" t="str">
        <f>IF($G186=0,"",IF(资金日记账!$B179=0,"",资金日记账!$B179))</f>
        <v/>
      </c>
      <c r="J186" t="str">
        <f>IF($G186=0,"",IF(资金日记账!$D179=0,"",资金日记账!$D179))</f>
        <v/>
      </c>
      <c r="K186" t="str">
        <f t="shared" si="40"/>
        <v/>
      </c>
      <c r="L186" t="str">
        <f t="shared" si="41"/>
        <v/>
      </c>
      <c r="M186" t="str">
        <f t="shared" si="33"/>
        <v/>
      </c>
      <c r="N186" t="str">
        <f>IF($G186=0,"",IF(IF(N(资金日记账!$I179)=0,"",-ROUND(N(资金日记账!$I179),2))=0,"",IF(N(资金日记账!$I179)=0,"",-ROUND(N(资金日记账!$I179),2))))</f>
        <v/>
      </c>
      <c r="O186" t="str">
        <f>IF($G186=0,"",IF(IF(N(资金日记账!$H179)=0,"",ROUND(N(资金日记账!$H179),2))=0,"",IF(N(资金日记账!$H179)=0,"",ROUND(N(资金日记账!$H179),2))))</f>
        <v/>
      </c>
      <c r="P186" t="str">
        <f>IF($G186=0,"",IF(资金日记账!$L179=0,"",资金日记账!$L179))</f>
        <v/>
      </c>
      <c r="T186" t="str">
        <f>IF(资金日记账!$G186="","",资金日记账!$G186)</f>
        <v/>
      </c>
      <c r="U186">
        <f t="shared" si="34"/>
        <v>0</v>
      </c>
      <c r="V186">
        <f t="shared" si="35"/>
        <v>0</v>
      </c>
      <c r="Z186" t="str">
        <f>IF(成本费用登记表!$C186="","",成本费用登记表!$C186)</f>
        <v/>
      </c>
      <c r="AA186">
        <f t="shared" si="36"/>
        <v>0</v>
      </c>
      <c r="AB186">
        <f t="shared" si="37"/>
        <v>0</v>
      </c>
      <c r="AF186" t="str">
        <f>IF(OR(资金日记账!$E186="",N(资金日记账!$H186)=0),"",资金日记账!$E186)</f>
        <v/>
      </c>
      <c r="AG186">
        <f t="shared" si="38"/>
        <v>0</v>
      </c>
      <c r="AH186">
        <f t="shared" si="39"/>
        <v>0</v>
      </c>
    </row>
    <row r="187" spans="1:34">
      <c r="A187" t="str">
        <f>IF(进销存对接!$D187="客户应收",进销存对接!$C187,"")</f>
        <v/>
      </c>
      <c r="B187">
        <f t="shared" si="29"/>
        <v>0</v>
      </c>
      <c r="C187">
        <f t="shared" si="30"/>
        <v>0</v>
      </c>
      <c r="E187" t="str">
        <f t="shared" si="31"/>
        <v/>
      </c>
      <c r="G187">
        <f>IF(OR($G$1="",资金日记账!$E180="",资金日记账!$E180&lt;&gt;$G$1),0,IF(NOT(OR(N(资金日记账!$H180)&lt;&gt;0,N(资金日记账!$I180)&lt;&gt;0)),0,IF(资金日记账!$B180="",1,IF(OR(N(资金日记账!$B180)&lt;$H$1,N(资金日记账!$B180)&gt;$I$1),0,1))))</f>
        <v>0</v>
      </c>
      <c r="H187">
        <f t="shared" si="32"/>
        <v>0</v>
      </c>
      <c r="I187" t="str">
        <f>IF($G187=0,"",IF(资金日记账!$B180=0,"",资金日记账!$B180))</f>
        <v/>
      </c>
      <c r="J187" t="str">
        <f>IF($G187=0,"",IF(资金日记账!$D180=0,"",资金日记账!$D180))</f>
        <v/>
      </c>
      <c r="K187" t="str">
        <f t="shared" si="40"/>
        <v/>
      </c>
      <c r="L187" t="str">
        <f t="shared" si="41"/>
        <v/>
      </c>
      <c r="M187" t="str">
        <f t="shared" si="33"/>
        <v/>
      </c>
      <c r="N187" t="str">
        <f>IF($G187=0,"",IF(IF(N(资金日记账!$I180)=0,"",-ROUND(N(资金日记账!$I180),2))=0,"",IF(N(资金日记账!$I180)=0,"",-ROUND(N(资金日记账!$I180),2))))</f>
        <v/>
      </c>
      <c r="O187" t="str">
        <f>IF($G187=0,"",IF(IF(N(资金日记账!$H180)=0,"",ROUND(N(资金日记账!$H180),2))=0,"",IF(N(资金日记账!$H180)=0,"",ROUND(N(资金日记账!$H180),2))))</f>
        <v/>
      </c>
      <c r="P187" t="str">
        <f>IF($G187=0,"",IF(资金日记账!$L180=0,"",资金日记账!$L180))</f>
        <v/>
      </c>
      <c r="T187" t="str">
        <f>IF(资金日记账!$G187="","",资金日记账!$G187)</f>
        <v/>
      </c>
      <c r="U187">
        <f t="shared" si="34"/>
        <v>0</v>
      </c>
      <c r="V187">
        <f t="shared" si="35"/>
        <v>0</v>
      </c>
      <c r="Z187" t="str">
        <f>IF(成本费用登记表!$C187="","",成本费用登记表!$C187)</f>
        <v/>
      </c>
      <c r="AA187">
        <f t="shared" si="36"/>
        <v>0</v>
      </c>
      <c r="AB187">
        <f t="shared" si="37"/>
        <v>0</v>
      </c>
      <c r="AF187" t="str">
        <f>IF(OR(资金日记账!$E187="",N(资金日记账!$H187)=0),"",资金日记账!$E187)</f>
        <v/>
      </c>
      <c r="AG187">
        <f t="shared" si="38"/>
        <v>0</v>
      </c>
      <c r="AH187">
        <f t="shared" si="39"/>
        <v>0</v>
      </c>
    </row>
    <row r="188" spans="1:34">
      <c r="A188" t="str">
        <f>IF(进销存对接!$D188="客户应收",进销存对接!$C188,"")</f>
        <v/>
      </c>
      <c r="B188">
        <f t="shared" si="29"/>
        <v>0</v>
      </c>
      <c r="C188">
        <f t="shared" si="30"/>
        <v>0</v>
      </c>
      <c r="E188" t="str">
        <f t="shared" si="31"/>
        <v/>
      </c>
      <c r="G188">
        <f>IF(OR($G$1="",资金日记账!$E181="",资金日记账!$E181&lt;&gt;$G$1),0,IF(NOT(OR(N(资金日记账!$H181)&lt;&gt;0,N(资金日记账!$I181)&lt;&gt;0)),0,IF(资金日记账!$B181="",1,IF(OR(N(资金日记账!$B181)&lt;$H$1,N(资金日记账!$B181)&gt;$I$1),0,1))))</f>
        <v>0</v>
      </c>
      <c r="H188">
        <f t="shared" si="32"/>
        <v>0</v>
      </c>
      <c r="I188" t="str">
        <f>IF($G188=0,"",IF(资金日记账!$B181=0,"",资金日记账!$B181))</f>
        <v/>
      </c>
      <c r="J188" t="str">
        <f>IF($G188=0,"",IF(资金日记账!$D181=0,"",资金日记账!$D181))</f>
        <v/>
      </c>
      <c r="K188" t="str">
        <f t="shared" si="40"/>
        <v/>
      </c>
      <c r="L188" t="str">
        <f t="shared" si="41"/>
        <v/>
      </c>
      <c r="M188" t="str">
        <f t="shared" si="33"/>
        <v/>
      </c>
      <c r="N188" t="str">
        <f>IF($G188=0,"",IF(IF(N(资金日记账!$I181)=0,"",-ROUND(N(资金日记账!$I181),2))=0,"",IF(N(资金日记账!$I181)=0,"",-ROUND(N(资金日记账!$I181),2))))</f>
        <v/>
      </c>
      <c r="O188" t="str">
        <f>IF($G188=0,"",IF(IF(N(资金日记账!$H181)=0,"",ROUND(N(资金日记账!$H181),2))=0,"",IF(N(资金日记账!$H181)=0,"",ROUND(N(资金日记账!$H181),2))))</f>
        <v/>
      </c>
      <c r="P188" t="str">
        <f>IF($G188=0,"",IF(资金日记账!$L181=0,"",资金日记账!$L181))</f>
        <v/>
      </c>
      <c r="T188" t="str">
        <f>IF(资金日记账!$G188="","",资金日记账!$G188)</f>
        <v/>
      </c>
      <c r="U188">
        <f t="shared" si="34"/>
        <v>0</v>
      </c>
      <c r="V188">
        <f t="shared" si="35"/>
        <v>0</v>
      </c>
      <c r="Z188" t="str">
        <f>IF(成本费用登记表!$C188="","",成本费用登记表!$C188)</f>
        <v/>
      </c>
      <c r="AA188">
        <f t="shared" si="36"/>
        <v>0</v>
      </c>
      <c r="AB188">
        <f t="shared" si="37"/>
        <v>0</v>
      </c>
      <c r="AF188" t="str">
        <f>IF(OR(资金日记账!$E188="",N(资金日记账!$H188)=0),"",资金日记账!$E188)</f>
        <v/>
      </c>
      <c r="AG188">
        <f t="shared" si="38"/>
        <v>0</v>
      </c>
      <c r="AH188">
        <f t="shared" si="39"/>
        <v>0</v>
      </c>
    </row>
    <row r="189" spans="1:34">
      <c r="A189" t="str">
        <f>IF(进销存对接!$D189="客户应收",进销存对接!$C189,"")</f>
        <v/>
      </c>
      <c r="B189">
        <f t="shared" si="29"/>
        <v>0</v>
      </c>
      <c r="C189">
        <f t="shared" si="30"/>
        <v>0</v>
      </c>
      <c r="E189" t="str">
        <f t="shared" si="31"/>
        <v/>
      </c>
      <c r="G189">
        <f>IF(OR($G$1="",资金日记账!$E182="",资金日记账!$E182&lt;&gt;$G$1),0,IF(NOT(OR(N(资金日记账!$H182)&lt;&gt;0,N(资金日记账!$I182)&lt;&gt;0)),0,IF(资金日记账!$B182="",1,IF(OR(N(资金日记账!$B182)&lt;$H$1,N(资金日记账!$B182)&gt;$I$1),0,1))))</f>
        <v>0</v>
      </c>
      <c r="H189">
        <f t="shared" si="32"/>
        <v>0</v>
      </c>
      <c r="I189" t="str">
        <f>IF($G189=0,"",IF(资金日记账!$B182=0,"",资金日记账!$B182))</f>
        <v/>
      </c>
      <c r="J189" t="str">
        <f>IF($G189=0,"",IF(资金日记账!$D182=0,"",资金日记账!$D182))</f>
        <v/>
      </c>
      <c r="K189" t="str">
        <f t="shared" si="40"/>
        <v/>
      </c>
      <c r="L189" t="str">
        <f t="shared" si="41"/>
        <v/>
      </c>
      <c r="M189" t="str">
        <f t="shared" si="33"/>
        <v/>
      </c>
      <c r="N189" t="str">
        <f>IF($G189=0,"",IF(IF(N(资金日记账!$I182)=0,"",-ROUND(N(资金日记账!$I182),2))=0,"",IF(N(资金日记账!$I182)=0,"",-ROUND(N(资金日记账!$I182),2))))</f>
        <v/>
      </c>
      <c r="O189" t="str">
        <f>IF($G189=0,"",IF(IF(N(资金日记账!$H182)=0,"",ROUND(N(资金日记账!$H182),2))=0,"",IF(N(资金日记账!$H182)=0,"",ROUND(N(资金日记账!$H182),2))))</f>
        <v/>
      </c>
      <c r="P189" t="str">
        <f>IF($G189=0,"",IF(资金日记账!$L182=0,"",资金日记账!$L182))</f>
        <v/>
      </c>
      <c r="T189" t="str">
        <f>IF(资金日记账!$G189="","",资金日记账!$G189)</f>
        <v/>
      </c>
      <c r="U189">
        <f t="shared" si="34"/>
        <v>0</v>
      </c>
      <c r="V189">
        <f t="shared" si="35"/>
        <v>0</v>
      </c>
      <c r="Z189" t="str">
        <f>IF(成本费用登记表!$C189="","",成本费用登记表!$C189)</f>
        <v/>
      </c>
      <c r="AA189">
        <f t="shared" si="36"/>
        <v>0</v>
      </c>
      <c r="AB189">
        <f t="shared" si="37"/>
        <v>0</v>
      </c>
      <c r="AF189" t="str">
        <f>IF(OR(资金日记账!$E189="",N(资金日记账!$H189)=0),"",资金日记账!$E189)</f>
        <v/>
      </c>
      <c r="AG189">
        <f t="shared" si="38"/>
        <v>0</v>
      </c>
      <c r="AH189">
        <f t="shared" si="39"/>
        <v>0</v>
      </c>
    </row>
    <row r="190" spans="1:34">
      <c r="A190" t="str">
        <f>IF(进销存对接!$D190="客户应收",进销存对接!$C190,"")</f>
        <v/>
      </c>
      <c r="B190">
        <f t="shared" si="29"/>
        <v>0</v>
      </c>
      <c r="C190">
        <f t="shared" si="30"/>
        <v>0</v>
      </c>
      <c r="E190" t="str">
        <f t="shared" si="31"/>
        <v/>
      </c>
      <c r="G190">
        <f>IF(OR($G$1="",资金日记账!$E183="",资金日记账!$E183&lt;&gt;$G$1),0,IF(NOT(OR(N(资金日记账!$H183)&lt;&gt;0,N(资金日记账!$I183)&lt;&gt;0)),0,IF(资金日记账!$B183="",1,IF(OR(N(资金日记账!$B183)&lt;$H$1,N(资金日记账!$B183)&gt;$I$1),0,1))))</f>
        <v>0</v>
      </c>
      <c r="H190">
        <f t="shared" si="32"/>
        <v>0</v>
      </c>
      <c r="I190" t="str">
        <f>IF($G190=0,"",IF(资金日记账!$B183=0,"",资金日记账!$B183))</f>
        <v/>
      </c>
      <c r="J190" t="str">
        <f>IF($G190=0,"",IF(资金日记账!$D183=0,"",资金日记账!$D183))</f>
        <v/>
      </c>
      <c r="K190" t="str">
        <f t="shared" si="40"/>
        <v/>
      </c>
      <c r="L190" t="str">
        <f t="shared" si="41"/>
        <v/>
      </c>
      <c r="M190" t="str">
        <f t="shared" si="33"/>
        <v/>
      </c>
      <c r="N190" t="str">
        <f>IF($G190=0,"",IF(IF(N(资金日记账!$I183)=0,"",-ROUND(N(资金日记账!$I183),2))=0,"",IF(N(资金日记账!$I183)=0,"",-ROUND(N(资金日记账!$I183),2))))</f>
        <v/>
      </c>
      <c r="O190" t="str">
        <f>IF($G190=0,"",IF(IF(N(资金日记账!$H183)=0,"",ROUND(N(资金日记账!$H183),2))=0,"",IF(N(资金日记账!$H183)=0,"",ROUND(N(资金日记账!$H183),2))))</f>
        <v/>
      </c>
      <c r="P190" t="str">
        <f>IF($G190=0,"",IF(资金日记账!$L183=0,"",资金日记账!$L183))</f>
        <v/>
      </c>
      <c r="T190" t="str">
        <f>IF(资金日记账!$G190="","",资金日记账!$G190)</f>
        <v/>
      </c>
      <c r="U190">
        <f t="shared" si="34"/>
        <v>0</v>
      </c>
      <c r="V190">
        <f t="shared" si="35"/>
        <v>0</v>
      </c>
      <c r="Z190" t="str">
        <f>IF(成本费用登记表!$C190="","",成本费用登记表!$C190)</f>
        <v/>
      </c>
      <c r="AA190">
        <f t="shared" si="36"/>
        <v>0</v>
      </c>
      <c r="AB190">
        <f t="shared" si="37"/>
        <v>0</v>
      </c>
      <c r="AF190" t="str">
        <f>IF(OR(资金日记账!$E190="",N(资金日记账!$H190)=0),"",资金日记账!$E190)</f>
        <v/>
      </c>
      <c r="AG190">
        <f t="shared" si="38"/>
        <v>0</v>
      </c>
      <c r="AH190">
        <f t="shared" si="39"/>
        <v>0</v>
      </c>
    </row>
    <row r="191" spans="1:34">
      <c r="A191" t="str">
        <f>IF(进销存对接!$D191="客户应收",进销存对接!$C191,"")</f>
        <v/>
      </c>
      <c r="B191">
        <f t="shared" si="29"/>
        <v>0</v>
      </c>
      <c r="C191">
        <f t="shared" si="30"/>
        <v>0</v>
      </c>
      <c r="E191" t="str">
        <f t="shared" si="31"/>
        <v/>
      </c>
      <c r="G191">
        <f>IF(OR($G$1="",资金日记账!$E184="",资金日记账!$E184&lt;&gt;$G$1),0,IF(NOT(OR(N(资金日记账!$H184)&lt;&gt;0,N(资金日记账!$I184)&lt;&gt;0)),0,IF(资金日记账!$B184="",1,IF(OR(N(资金日记账!$B184)&lt;$H$1,N(资金日记账!$B184)&gt;$I$1),0,1))))</f>
        <v>0</v>
      </c>
      <c r="H191">
        <f t="shared" si="32"/>
        <v>0</v>
      </c>
      <c r="I191" t="str">
        <f>IF($G191=0,"",IF(资金日记账!$B184=0,"",资金日记账!$B184))</f>
        <v/>
      </c>
      <c r="J191" t="str">
        <f>IF($G191=0,"",IF(资金日记账!$D184=0,"",资金日记账!$D184))</f>
        <v/>
      </c>
      <c r="K191" t="str">
        <f t="shared" si="40"/>
        <v/>
      </c>
      <c r="L191" t="str">
        <f t="shared" si="41"/>
        <v/>
      </c>
      <c r="M191" t="str">
        <f t="shared" si="33"/>
        <v/>
      </c>
      <c r="N191" t="str">
        <f>IF($G191=0,"",IF(IF(N(资金日记账!$I184)=0,"",-ROUND(N(资金日记账!$I184),2))=0,"",IF(N(资金日记账!$I184)=0,"",-ROUND(N(资金日记账!$I184),2))))</f>
        <v/>
      </c>
      <c r="O191" t="str">
        <f>IF($G191=0,"",IF(IF(N(资金日记账!$H184)=0,"",ROUND(N(资金日记账!$H184),2))=0,"",IF(N(资金日记账!$H184)=0,"",ROUND(N(资金日记账!$H184),2))))</f>
        <v/>
      </c>
      <c r="P191" t="str">
        <f>IF($G191=0,"",IF(资金日记账!$L184=0,"",资金日记账!$L184))</f>
        <v/>
      </c>
      <c r="T191" t="str">
        <f>IF(资金日记账!$G191="","",资金日记账!$G191)</f>
        <v/>
      </c>
      <c r="U191">
        <f t="shared" si="34"/>
        <v>0</v>
      </c>
      <c r="V191">
        <f t="shared" si="35"/>
        <v>0</v>
      </c>
      <c r="Z191" t="str">
        <f>IF(成本费用登记表!$C191="","",成本费用登记表!$C191)</f>
        <v/>
      </c>
      <c r="AA191">
        <f t="shared" si="36"/>
        <v>0</v>
      </c>
      <c r="AB191">
        <f t="shared" si="37"/>
        <v>0</v>
      </c>
      <c r="AF191" t="str">
        <f>IF(OR(资金日记账!$E191="",N(资金日记账!$H191)=0),"",资金日记账!$E191)</f>
        <v/>
      </c>
      <c r="AG191">
        <f t="shared" si="38"/>
        <v>0</v>
      </c>
      <c r="AH191">
        <f t="shared" si="39"/>
        <v>0</v>
      </c>
    </row>
    <row r="192" spans="1:34">
      <c r="A192" t="str">
        <f>IF(进销存对接!$D192="客户应收",进销存对接!$C192,"")</f>
        <v/>
      </c>
      <c r="B192">
        <f t="shared" si="29"/>
        <v>0</v>
      </c>
      <c r="C192">
        <f t="shared" si="30"/>
        <v>0</v>
      </c>
      <c r="E192" t="str">
        <f t="shared" si="31"/>
        <v/>
      </c>
      <c r="G192">
        <f>IF(OR($G$1="",资金日记账!$E185="",资金日记账!$E185&lt;&gt;$G$1),0,IF(NOT(OR(N(资金日记账!$H185)&lt;&gt;0,N(资金日记账!$I185)&lt;&gt;0)),0,IF(资金日记账!$B185="",1,IF(OR(N(资金日记账!$B185)&lt;$H$1,N(资金日记账!$B185)&gt;$I$1),0,1))))</f>
        <v>0</v>
      </c>
      <c r="H192">
        <f t="shared" si="32"/>
        <v>0</v>
      </c>
      <c r="I192" t="str">
        <f>IF($G192=0,"",IF(资金日记账!$B185=0,"",资金日记账!$B185))</f>
        <v/>
      </c>
      <c r="J192" t="str">
        <f>IF($G192=0,"",IF(资金日记账!$D185=0,"",资金日记账!$D185))</f>
        <v/>
      </c>
      <c r="K192" t="str">
        <f t="shared" si="40"/>
        <v/>
      </c>
      <c r="L192" t="str">
        <f t="shared" si="41"/>
        <v/>
      </c>
      <c r="M192" t="str">
        <f t="shared" si="33"/>
        <v/>
      </c>
      <c r="N192" t="str">
        <f>IF($G192=0,"",IF(IF(N(资金日记账!$I185)=0,"",-ROUND(N(资金日记账!$I185),2))=0,"",IF(N(资金日记账!$I185)=0,"",-ROUND(N(资金日记账!$I185),2))))</f>
        <v/>
      </c>
      <c r="O192" t="str">
        <f>IF($G192=0,"",IF(IF(N(资金日记账!$H185)=0,"",ROUND(N(资金日记账!$H185),2))=0,"",IF(N(资金日记账!$H185)=0,"",ROUND(N(资金日记账!$H185),2))))</f>
        <v/>
      </c>
      <c r="P192" t="str">
        <f>IF($G192=0,"",IF(资金日记账!$L185=0,"",资金日记账!$L185))</f>
        <v/>
      </c>
      <c r="T192" t="str">
        <f>IF(资金日记账!$G192="","",资金日记账!$G192)</f>
        <v/>
      </c>
      <c r="U192">
        <f t="shared" si="34"/>
        <v>0</v>
      </c>
      <c r="V192">
        <f t="shared" si="35"/>
        <v>0</v>
      </c>
      <c r="Z192" t="str">
        <f>IF(成本费用登记表!$C192="","",成本费用登记表!$C192)</f>
        <v/>
      </c>
      <c r="AA192">
        <f t="shared" si="36"/>
        <v>0</v>
      </c>
      <c r="AB192">
        <f t="shared" si="37"/>
        <v>0</v>
      </c>
      <c r="AF192" t="str">
        <f>IF(OR(资金日记账!$E192="",N(资金日记账!$H192)=0),"",资金日记账!$E192)</f>
        <v/>
      </c>
      <c r="AG192">
        <f t="shared" si="38"/>
        <v>0</v>
      </c>
      <c r="AH192">
        <f t="shared" si="39"/>
        <v>0</v>
      </c>
    </row>
    <row r="193" spans="1:34">
      <c r="A193" t="str">
        <f>IF(进销存对接!$D193="客户应收",进销存对接!$C193,"")</f>
        <v/>
      </c>
      <c r="B193">
        <f t="shared" si="29"/>
        <v>0</v>
      </c>
      <c r="C193">
        <f t="shared" si="30"/>
        <v>0</v>
      </c>
      <c r="E193" t="str">
        <f t="shared" si="31"/>
        <v/>
      </c>
      <c r="G193">
        <f>IF(OR($G$1="",资金日记账!$E186="",资金日记账!$E186&lt;&gt;$G$1),0,IF(NOT(OR(N(资金日记账!$H186)&lt;&gt;0,N(资金日记账!$I186)&lt;&gt;0)),0,IF(资金日记账!$B186="",1,IF(OR(N(资金日记账!$B186)&lt;$H$1,N(资金日记账!$B186)&gt;$I$1),0,1))))</f>
        <v>0</v>
      </c>
      <c r="H193">
        <f t="shared" si="32"/>
        <v>0</v>
      </c>
      <c r="I193" t="str">
        <f>IF($G193=0,"",IF(资金日记账!$B186=0,"",资金日记账!$B186))</f>
        <v/>
      </c>
      <c r="J193" t="str">
        <f>IF($G193=0,"",IF(资金日记账!$D186=0,"",资金日记账!$D186))</f>
        <v/>
      </c>
      <c r="K193" t="str">
        <f t="shared" si="40"/>
        <v/>
      </c>
      <c r="L193" t="str">
        <f t="shared" si="41"/>
        <v/>
      </c>
      <c r="M193" t="str">
        <f t="shared" si="33"/>
        <v/>
      </c>
      <c r="N193" t="str">
        <f>IF($G193=0,"",IF(IF(N(资金日记账!$I186)=0,"",-ROUND(N(资金日记账!$I186),2))=0,"",IF(N(资金日记账!$I186)=0,"",-ROUND(N(资金日记账!$I186),2))))</f>
        <v/>
      </c>
      <c r="O193" t="str">
        <f>IF($G193=0,"",IF(IF(N(资金日记账!$H186)=0,"",ROUND(N(资金日记账!$H186),2))=0,"",IF(N(资金日记账!$H186)=0,"",ROUND(N(资金日记账!$H186),2))))</f>
        <v/>
      </c>
      <c r="P193" t="str">
        <f>IF($G193=0,"",IF(资金日记账!$L186=0,"",资金日记账!$L186))</f>
        <v/>
      </c>
      <c r="T193" t="str">
        <f>IF(资金日记账!$G193="","",资金日记账!$G193)</f>
        <v/>
      </c>
      <c r="U193">
        <f t="shared" si="34"/>
        <v>0</v>
      </c>
      <c r="V193">
        <f t="shared" si="35"/>
        <v>0</v>
      </c>
      <c r="Z193" t="str">
        <f>IF(成本费用登记表!$C193="","",成本费用登记表!$C193)</f>
        <v/>
      </c>
      <c r="AA193">
        <f t="shared" si="36"/>
        <v>0</v>
      </c>
      <c r="AB193">
        <f t="shared" si="37"/>
        <v>0</v>
      </c>
      <c r="AF193" t="str">
        <f>IF(OR(资金日记账!$E193="",N(资金日记账!$H193)=0),"",资金日记账!$E193)</f>
        <v/>
      </c>
      <c r="AG193">
        <f t="shared" si="38"/>
        <v>0</v>
      </c>
      <c r="AH193">
        <f t="shared" si="39"/>
        <v>0</v>
      </c>
    </row>
    <row r="194" spans="1:34">
      <c r="A194" t="str">
        <f>IF(进销存对接!$D194="客户应收",进销存对接!$C194,"")</f>
        <v/>
      </c>
      <c r="B194">
        <f t="shared" si="29"/>
        <v>0</v>
      </c>
      <c r="C194">
        <f t="shared" si="30"/>
        <v>0</v>
      </c>
      <c r="E194" t="str">
        <f t="shared" si="31"/>
        <v/>
      </c>
      <c r="G194">
        <f>IF(OR($G$1="",资金日记账!$E187="",资金日记账!$E187&lt;&gt;$G$1),0,IF(NOT(OR(N(资金日记账!$H187)&lt;&gt;0,N(资金日记账!$I187)&lt;&gt;0)),0,IF(资金日记账!$B187="",1,IF(OR(N(资金日记账!$B187)&lt;$H$1,N(资金日记账!$B187)&gt;$I$1),0,1))))</f>
        <v>0</v>
      </c>
      <c r="H194">
        <f t="shared" si="32"/>
        <v>0</v>
      </c>
      <c r="I194" t="str">
        <f>IF($G194=0,"",IF(资金日记账!$B187=0,"",资金日记账!$B187))</f>
        <v/>
      </c>
      <c r="J194" t="str">
        <f>IF($G194=0,"",IF(资金日记账!$D187=0,"",资金日记账!$D187))</f>
        <v/>
      </c>
      <c r="K194" t="str">
        <f t="shared" si="40"/>
        <v/>
      </c>
      <c r="L194" t="str">
        <f t="shared" si="41"/>
        <v/>
      </c>
      <c r="M194" t="str">
        <f t="shared" si="33"/>
        <v/>
      </c>
      <c r="N194" t="str">
        <f>IF($G194=0,"",IF(IF(N(资金日记账!$I187)=0,"",-ROUND(N(资金日记账!$I187),2))=0,"",IF(N(资金日记账!$I187)=0,"",-ROUND(N(资金日记账!$I187),2))))</f>
        <v/>
      </c>
      <c r="O194" t="str">
        <f>IF($G194=0,"",IF(IF(N(资金日记账!$H187)=0,"",ROUND(N(资金日记账!$H187),2))=0,"",IF(N(资金日记账!$H187)=0,"",ROUND(N(资金日记账!$H187),2))))</f>
        <v/>
      </c>
      <c r="P194" t="str">
        <f>IF($G194=0,"",IF(资金日记账!$L187=0,"",资金日记账!$L187))</f>
        <v/>
      </c>
      <c r="T194" t="str">
        <f>IF(资金日记账!$G194="","",资金日记账!$G194)</f>
        <v/>
      </c>
      <c r="U194">
        <f t="shared" si="34"/>
        <v>0</v>
      </c>
      <c r="V194">
        <f t="shared" si="35"/>
        <v>0</v>
      </c>
      <c r="Z194" t="str">
        <f>IF(成本费用登记表!$C194="","",成本费用登记表!$C194)</f>
        <v/>
      </c>
      <c r="AA194">
        <f t="shared" si="36"/>
        <v>0</v>
      </c>
      <c r="AB194">
        <f t="shared" si="37"/>
        <v>0</v>
      </c>
      <c r="AF194" t="str">
        <f>IF(OR(资金日记账!$E194="",N(资金日记账!$H194)=0),"",资金日记账!$E194)</f>
        <v/>
      </c>
      <c r="AG194">
        <f t="shared" si="38"/>
        <v>0</v>
      </c>
      <c r="AH194">
        <f t="shared" si="39"/>
        <v>0</v>
      </c>
    </row>
    <row r="195" spans="1:34">
      <c r="A195" t="str">
        <f>IF(进销存对接!$D195="客户应收",进销存对接!$C195,"")</f>
        <v/>
      </c>
      <c r="B195">
        <f t="shared" si="29"/>
        <v>0</v>
      </c>
      <c r="C195">
        <f t="shared" si="30"/>
        <v>0</v>
      </c>
      <c r="E195" t="str">
        <f t="shared" si="31"/>
        <v/>
      </c>
      <c r="G195">
        <f>IF(OR($G$1="",资金日记账!$E188="",资金日记账!$E188&lt;&gt;$G$1),0,IF(NOT(OR(N(资金日记账!$H188)&lt;&gt;0,N(资金日记账!$I188)&lt;&gt;0)),0,IF(资金日记账!$B188="",1,IF(OR(N(资金日记账!$B188)&lt;$H$1,N(资金日记账!$B188)&gt;$I$1),0,1))))</f>
        <v>0</v>
      </c>
      <c r="H195">
        <f t="shared" si="32"/>
        <v>0</v>
      </c>
      <c r="I195" t="str">
        <f>IF($G195=0,"",IF(资金日记账!$B188=0,"",资金日记账!$B188))</f>
        <v/>
      </c>
      <c r="J195" t="str">
        <f>IF($G195=0,"",IF(资金日记账!$D188=0,"",资金日记账!$D188))</f>
        <v/>
      </c>
      <c r="K195" t="str">
        <f t="shared" si="40"/>
        <v/>
      </c>
      <c r="L195" t="str">
        <f t="shared" si="41"/>
        <v/>
      </c>
      <c r="M195" t="str">
        <f t="shared" si="33"/>
        <v/>
      </c>
      <c r="N195" t="str">
        <f>IF($G195=0,"",IF(IF(N(资金日记账!$I188)=0,"",-ROUND(N(资金日记账!$I188),2))=0,"",IF(N(资金日记账!$I188)=0,"",-ROUND(N(资金日记账!$I188),2))))</f>
        <v/>
      </c>
      <c r="O195" t="str">
        <f>IF($G195=0,"",IF(IF(N(资金日记账!$H188)=0,"",ROUND(N(资金日记账!$H188),2))=0,"",IF(N(资金日记账!$H188)=0,"",ROUND(N(资金日记账!$H188),2))))</f>
        <v/>
      </c>
      <c r="P195" t="str">
        <f>IF($G195=0,"",IF(资金日记账!$L188=0,"",资金日记账!$L188))</f>
        <v/>
      </c>
      <c r="T195" t="str">
        <f>IF(资金日记账!$G195="","",资金日记账!$G195)</f>
        <v/>
      </c>
      <c r="U195">
        <f t="shared" si="34"/>
        <v>0</v>
      </c>
      <c r="V195">
        <f t="shared" si="35"/>
        <v>0</v>
      </c>
      <c r="Z195" t="str">
        <f>IF(成本费用登记表!$C195="","",成本费用登记表!$C195)</f>
        <v/>
      </c>
      <c r="AA195">
        <f t="shared" si="36"/>
        <v>0</v>
      </c>
      <c r="AB195">
        <f t="shared" si="37"/>
        <v>0</v>
      </c>
      <c r="AF195" t="str">
        <f>IF(OR(资金日记账!$E195="",N(资金日记账!$H195)=0),"",资金日记账!$E195)</f>
        <v/>
      </c>
      <c r="AG195">
        <f t="shared" si="38"/>
        <v>0</v>
      </c>
      <c r="AH195">
        <f t="shared" si="39"/>
        <v>0</v>
      </c>
    </row>
    <row r="196" spans="1:34">
      <c r="A196" t="str">
        <f>IF(进销存对接!$D196="客户应收",进销存对接!$C196,"")</f>
        <v/>
      </c>
      <c r="B196">
        <f t="shared" ref="B196:B259" si="42">IF(A196="",0,IF(MATCH(A196,$A$4:$A$1805,0)=ROW()-3,1,0))</f>
        <v>0</v>
      </c>
      <c r="C196">
        <f t="shared" ref="C196:C259" si="43">N(C195)+B196</f>
        <v>0</v>
      </c>
      <c r="E196" t="str">
        <f t="shared" ref="E196:E253" si="44">IFERROR(INDEX($A$4:$A$1805,MATCH(ROW()-3,$C$4:$C$1805,0)),"")</f>
        <v/>
      </c>
      <c r="G196">
        <f>IF(OR($G$1="",资金日记账!$E189="",资金日记账!$E189&lt;&gt;$G$1),0,IF(NOT(OR(N(资金日记账!$H189)&lt;&gt;0,N(资金日记账!$I189)&lt;&gt;0)),0,IF(资金日记账!$B189="",1,IF(OR(N(资金日记账!$B189)&lt;$H$1,N(资金日记账!$B189)&gt;$I$1),0,1))))</f>
        <v>0</v>
      </c>
      <c r="H196">
        <f t="shared" ref="H196:H259" si="45">N(H195)+$G196</f>
        <v>0</v>
      </c>
      <c r="I196" t="str">
        <f>IF($G196=0,"",IF(资金日记账!$B189=0,"",资金日记账!$B189))</f>
        <v/>
      </c>
      <c r="J196" t="str">
        <f>IF($G196=0,"",IF(资金日记账!$D189=0,"",资金日记账!$D189))</f>
        <v/>
      </c>
      <c r="K196" t="str">
        <f t="shared" si="40"/>
        <v/>
      </c>
      <c r="L196" t="str">
        <f t="shared" si="41"/>
        <v/>
      </c>
      <c r="M196" t="str">
        <f t="shared" ref="M196:M259" si="46">IF($G196=0,"",IF(""=0,"",""))</f>
        <v/>
      </c>
      <c r="N196" t="str">
        <f>IF($G196=0,"",IF(IF(N(资金日记账!$I189)=0,"",-ROUND(N(资金日记账!$I189),2))=0,"",IF(N(资金日记账!$I189)=0,"",-ROUND(N(资金日记账!$I189),2))))</f>
        <v/>
      </c>
      <c r="O196" t="str">
        <f>IF($G196=0,"",IF(IF(N(资金日记账!$H189)=0,"",ROUND(N(资金日记账!$H189),2))=0,"",IF(N(资金日记账!$H189)=0,"",ROUND(N(资金日记账!$H189),2))))</f>
        <v/>
      </c>
      <c r="P196" t="str">
        <f>IF($G196=0,"",IF(资金日记账!$L189=0,"",资金日记账!$L189))</f>
        <v/>
      </c>
      <c r="T196" t="str">
        <f>IF(资金日记账!$G196="","",资金日记账!$G196)</f>
        <v/>
      </c>
      <c r="U196">
        <f t="shared" ref="U196:U259" si="47">IF(T196="",0,IF(MATCH(T196,$T$4:$T$903,0)=ROW()-3,1,0))</f>
        <v>0</v>
      </c>
      <c r="V196">
        <f t="shared" ref="V196:V259" si="48">N(V195)+U196</f>
        <v>0</v>
      </c>
      <c r="Z196" t="str">
        <f>IF(成本费用登记表!$C196="","",成本费用登记表!$C196)</f>
        <v/>
      </c>
      <c r="AA196">
        <f t="shared" ref="AA196:AA259" si="49">IF(Z196="",0,IF(MATCH(Z196,$Z$4:$Z$303,0)=ROW()-3,1,0))</f>
        <v>0</v>
      </c>
      <c r="AB196">
        <f t="shared" ref="AB196:AB259" si="50">N(AB195)+AA196</f>
        <v>0</v>
      </c>
      <c r="AF196" t="str">
        <f>IF(OR(资金日记账!$E196="",N(资金日记账!$H196)=0),"",资金日记账!$E196)</f>
        <v/>
      </c>
      <c r="AG196">
        <f t="shared" ref="AG196:AG259" si="51">IF(AF196="",0,IF(MATCH(AF196,$AF$4:$AF$603,0)=ROW()-3,1,0))</f>
        <v>0</v>
      </c>
      <c r="AH196">
        <f t="shared" ref="AH196:AH259" si="52">N(AH195)+AG196</f>
        <v>0</v>
      </c>
    </row>
    <row r="197" spans="1:34">
      <c r="A197" t="str">
        <f>IF(进销存对接!$D197="客户应收",进销存对接!$C197,"")</f>
        <v/>
      </c>
      <c r="B197">
        <f t="shared" si="42"/>
        <v>0</v>
      </c>
      <c r="C197">
        <f t="shared" si="43"/>
        <v>0</v>
      </c>
      <c r="E197" t="str">
        <f t="shared" si="44"/>
        <v/>
      </c>
      <c r="G197">
        <f>IF(OR($G$1="",资金日记账!$E190="",资金日记账!$E190&lt;&gt;$G$1),0,IF(NOT(OR(N(资金日记账!$H190)&lt;&gt;0,N(资金日记账!$I190)&lt;&gt;0)),0,IF(资金日记账!$B190="",1,IF(OR(N(资金日记账!$B190)&lt;$H$1,N(资金日记账!$B190)&gt;$I$1),0,1))))</f>
        <v>0</v>
      </c>
      <c r="H197">
        <f t="shared" si="45"/>
        <v>0</v>
      </c>
      <c r="I197" t="str">
        <f>IF($G197=0,"",IF(资金日记账!$B190=0,"",资金日记账!$B190))</f>
        <v/>
      </c>
      <c r="J197" t="str">
        <f>IF($G197=0,"",IF(资金日记账!$D190=0,"",资金日记账!$D190))</f>
        <v/>
      </c>
      <c r="K197" t="str">
        <f t="shared" si="40"/>
        <v/>
      </c>
      <c r="L197" t="str">
        <f t="shared" si="41"/>
        <v/>
      </c>
      <c r="M197" t="str">
        <f t="shared" si="46"/>
        <v/>
      </c>
      <c r="N197" t="str">
        <f>IF($G197=0,"",IF(IF(N(资金日记账!$I190)=0,"",-ROUND(N(资金日记账!$I190),2))=0,"",IF(N(资金日记账!$I190)=0,"",-ROUND(N(资金日记账!$I190),2))))</f>
        <v/>
      </c>
      <c r="O197" t="str">
        <f>IF($G197=0,"",IF(IF(N(资金日记账!$H190)=0,"",ROUND(N(资金日记账!$H190),2))=0,"",IF(N(资金日记账!$H190)=0,"",ROUND(N(资金日记账!$H190),2))))</f>
        <v/>
      </c>
      <c r="P197" t="str">
        <f>IF($G197=0,"",IF(资金日记账!$L190=0,"",资金日记账!$L190))</f>
        <v/>
      </c>
      <c r="T197" t="str">
        <f>IF(资金日记账!$G197="","",资金日记账!$G197)</f>
        <v/>
      </c>
      <c r="U197">
        <f t="shared" si="47"/>
        <v>0</v>
      </c>
      <c r="V197">
        <f t="shared" si="48"/>
        <v>0</v>
      </c>
      <c r="Z197" t="str">
        <f>IF(成本费用登记表!$C197="","",成本费用登记表!$C197)</f>
        <v/>
      </c>
      <c r="AA197">
        <f t="shared" si="49"/>
        <v>0</v>
      </c>
      <c r="AB197">
        <f t="shared" si="50"/>
        <v>0</v>
      </c>
      <c r="AF197" t="str">
        <f>IF(OR(资金日记账!$E197="",N(资金日记账!$H197)=0),"",资金日记账!$E197)</f>
        <v/>
      </c>
      <c r="AG197">
        <f t="shared" si="51"/>
        <v>0</v>
      </c>
      <c r="AH197">
        <f t="shared" si="52"/>
        <v>0</v>
      </c>
    </row>
    <row r="198" spans="1:34">
      <c r="A198" t="str">
        <f>IF(进销存对接!$D198="客户应收",进销存对接!$C198,"")</f>
        <v/>
      </c>
      <c r="B198">
        <f t="shared" si="42"/>
        <v>0</v>
      </c>
      <c r="C198">
        <f t="shared" si="43"/>
        <v>0</v>
      </c>
      <c r="E198" t="str">
        <f t="shared" si="44"/>
        <v/>
      </c>
      <c r="G198">
        <f>IF(OR($G$1="",资金日记账!$E191="",资金日记账!$E191&lt;&gt;$G$1),0,IF(NOT(OR(N(资金日记账!$H191)&lt;&gt;0,N(资金日记账!$I191)&lt;&gt;0)),0,IF(资金日记账!$B191="",1,IF(OR(N(资金日记账!$B191)&lt;$H$1,N(资金日记账!$B191)&gt;$I$1),0,1))))</f>
        <v>0</v>
      </c>
      <c r="H198">
        <f t="shared" si="45"/>
        <v>0</v>
      </c>
      <c r="I198" t="str">
        <f>IF($G198=0,"",IF(资金日记账!$B191=0,"",资金日记账!$B191))</f>
        <v/>
      </c>
      <c r="J198" t="str">
        <f>IF($G198=0,"",IF(资金日记账!$D191=0,"",资金日记账!$D191))</f>
        <v/>
      </c>
      <c r="K198" t="str">
        <f t="shared" si="40"/>
        <v/>
      </c>
      <c r="L198" t="str">
        <f t="shared" si="41"/>
        <v/>
      </c>
      <c r="M198" t="str">
        <f t="shared" si="46"/>
        <v/>
      </c>
      <c r="N198" t="str">
        <f>IF($G198=0,"",IF(IF(N(资金日记账!$I191)=0,"",-ROUND(N(资金日记账!$I191),2))=0,"",IF(N(资金日记账!$I191)=0,"",-ROUND(N(资金日记账!$I191),2))))</f>
        <v/>
      </c>
      <c r="O198" t="str">
        <f>IF($G198=0,"",IF(IF(N(资金日记账!$H191)=0,"",ROUND(N(资金日记账!$H191),2))=0,"",IF(N(资金日记账!$H191)=0,"",ROUND(N(资金日记账!$H191),2))))</f>
        <v/>
      </c>
      <c r="P198" t="str">
        <f>IF($G198=0,"",IF(资金日记账!$L191=0,"",资金日记账!$L191))</f>
        <v/>
      </c>
      <c r="T198" t="str">
        <f>IF(资金日记账!$G198="","",资金日记账!$G198)</f>
        <v/>
      </c>
      <c r="U198">
        <f t="shared" si="47"/>
        <v>0</v>
      </c>
      <c r="V198">
        <f t="shared" si="48"/>
        <v>0</v>
      </c>
      <c r="Z198" t="str">
        <f>IF(成本费用登记表!$C198="","",成本费用登记表!$C198)</f>
        <v/>
      </c>
      <c r="AA198">
        <f t="shared" si="49"/>
        <v>0</v>
      </c>
      <c r="AB198">
        <f t="shared" si="50"/>
        <v>0</v>
      </c>
      <c r="AF198" t="str">
        <f>IF(OR(资金日记账!$E198="",N(资金日记账!$H198)=0),"",资金日记账!$E198)</f>
        <v/>
      </c>
      <c r="AG198">
        <f t="shared" si="51"/>
        <v>0</v>
      </c>
      <c r="AH198">
        <f t="shared" si="52"/>
        <v>0</v>
      </c>
    </row>
    <row r="199" spans="1:34">
      <c r="A199" t="str">
        <f>IF(进销存对接!$D199="客户应收",进销存对接!$C199,"")</f>
        <v/>
      </c>
      <c r="B199">
        <f t="shared" si="42"/>
        <v>0</v>
      </c>
      <c r="C199">
        <f t="shared" si="43"/>
        <v>0</v>
      </c>
      <c r="E199" t="str">
        <f t="shared" si="44"/>
        <v/>
      </c>
      <c r="G199">
        <f>IF(OR($G$1="",资金日记账!$E192="",资金日记账!$E192&lt;&gt;$G$1),0,IF(NOT(OR(N(资金日记账!$H192)&lt;&gt;0,N(资金日记账!$I192)&lt;&gt;0)),0,IF(资金日记账!$B192="",1,IF(OR(N(资金日记账!$B192)&lt;$H$1,N(资金日记账!$B192)&gt;$I$1),0,1))))</f>
        <v>0</v>
      </c>
      <c r="H199">
        <f t="shared" si="45"/>
        <v>0</v>
      </c>
      <c r="I199" t="str">
        <f>IF($G199=0,"",IF(资金日记账!$B192=0,"",资金日记账!$B192))</f>
        <v/>
      </c>
      <c r="J199" t="str">
        <f>IF($G199=0,"",IF(资金日记账!$D192=0,"",资金日记账!$D192))</f>
        <v/>
      </c>
      <c r="K199" t="str">
        <f t="shared" ref="K199:K262" si="53">IF($G199=0,"",IF(""=0,"",""))</f>
        <v/>
      </c>
      <c r="L199" t="str">
        <f t="shared" ref="L199:L262" si="54">IF($G199=0,"",IF(""=0,"",""))</f>
        <v/>
      </c>
      <c r="M199" t="str">
        <f t="shared" si="46"/>
        <v/>
      </c>
      <c r="N199" t="str">
        <f>IF($G199=0,"",IF(IF(N(资金日记账!$I192)=0,"",-ROUND(N(资金日记账!$I192),2))=0,"",IF(N(资金日记账!$I192)=0,"",-ROUND(N(资金日记账!$I192),2))))</f>
        <v/>
      </c>
      <c r="O199" t="str">
        <f>IF($G199=0,"",IF(IF(N(资金日记账!$H192)=0,"",ROUND(N(资金日记账!$H192),2))=0,"",IF(N(资金日记账!$H192)=0,"",ROUND(N(资金日记账!$H192),2))))</f>
        <v/>
      </c>
      <c r="P199" t="str">
        <f>IF($G199=0,"",IF(资金日记账!$L192=0,"",资金日记账!$L192))</f>
        <v/>
      </c>
      <c r="T199" t="str">
        <f>IF(资金日记账!$G199="","",资金日记账!$G199)</f>
        <v/>
      </c>
      <c r="U199">
        <f t="shared" si="47"/>
        <v>0</v>
      </c>
      <c r="V199">
        <f t="shared" si="48"/>
        <v>0</v>
      </c>
      <c r="Z199" t="str">
        <f>IF(成本费用登记表!$C199="","",成本费用登记表!$C199)</f>
        <v/>
      </c>
      <c r="AA199">
        <f t="shared" si="49"/>
        <v>0</v>
      </c>
      <c r="AB199">
        <f t="shared" si="50"/>
        <v>0</v>
      </c>
      <c r="AF199" t="str">
        <f>IF(OR(资金日记账!$E199="",N(资金日记账!$H199)=0),"",资金日记账!$E199)</f>
        <v/>
      </c>
      <c r="AG199">
        <f t="shared" si="51"/>
        <v>0</v>
      </c>
      <c r="AH199">
        <f t="shared" si="52"/>
        <v>0</v>
      </c>
    </row>
    <row r="200" spans="1:34">
      <c r="A200" t="str">
        <f>IF(进销存对接!$D200="客户应收",进销存对接!$C200,"")</f>
        <v/>
      </c>
      <c r="B200">
        <f t="shared" si="42"/>
        <v>0</v>
      </c>
      <c r="C200">
        <f t="shared" si="43"/>
        <v>0</v>
      </c>
      <c r="E200" t="str">
        <f t="shared" si="44"/>
        <v/>
      </c>
      <c r="G200">
        <f>IF(OR($G$1="",资金日记账!$E193="",资金日记账!$E193&lt;&gt;$G$1),0,IF(NOT(OR(N(资金日记账!$H193)&lt;&gt;0,N(资金日记账!$I193)&lt;&gt;0)),0,IF(资金日记账!$B193="",1,IF(OR(N(资金日记账!$B193)&lt;$H$1,N(资金日记账!$B193)&gt;$I$1),0,1))))</f>
        <v>0</v>
      </c>
      <c r="H200">
        <f t="shared" si="45"/>
        <v>0</v>
      </c>
      <c r="I200" t="str">
        <f>IF($G200=0,"",IF(资金日记账!$B193=0,"",资金日记账!$B193))</f>
        <v/>
      </c>
      <c r="J200" t="str">
        <f>IF($G200=0,"",IF(资金日记账!$D193=0,"",资金日记账!$D193))</f>
        <v/>
      </c>
      <c r="K200" t="str">
        <f t="shared" si="53"/>
        <v/>
      </c>
      <c r="L200" t="str">
        <f t="shared" si="54"/>
        <v/>
      </c>
      <c r="M200" t="str">
        <f t="shared" si="46"/>
        <v/>
      </c>
      <c r="N200" t="str">
        <f>IF($G200=0,"",IF(IF(N(资金日记账!$I193)=0,"",-ROUND(N(资金日记账!$I193),2))=0,"",IF(N(资金日记账!$I193)=0,"",-ROUND(N(资金日记账!$I193),2))))</f>
        <v/>
      </c>
      <c r="O200" t="str">
        <f>IF($G200=0,"",IF(IF(N(资金日记账!$H193)=0,"",ROUND(N(资金日记账!$H193),2))=0,"",IF(N(资金日记账!$H193)=0,"",ROUND(N(资金日记账!$H193),2))))</f>
        <v/>
      </c>
      <c r="P200" t="str">
        <f>IF($G200=0,"",IF(资金日记账!$L193=0,"",资金日记账!$L193))</f>
        <v/>
      </c>
      <c r="T200" t="str">
        <f>IF(资金日记账!$G200="","",资金日记账!$G200)</f>
        <v/>
      </c>
      <c r="U200">
        <f t="shared" si="47"/>
        <v>0</v>
      </c>
      <c r="V200">
        <f t="shared" si="48"/>
        <v>0</v>
      </c>
      <c r="Z200" t="str">
        <f>IF(成本费用登记表!$C200="","",成本费用登记表!$C200)</f>
        <v/>
      </c>
      <c r="AA200">
        <f t="shared" si="49"/>
        <v>0</v>
      </c>
      <c r="AB200">
        <f t="shared" si="50"/>
        <v>0</v>
      </c>
      <c r="AF200" t="str">
        <f>IF(OR(资金日记账!$E200="",N(资金日记账!$H200)=0),"",资金日记账!$E200)</f>
        <v/>
      </c>
      <c r="AG200">
        <f t="shared" si="51"/>
        <v>0</v>
      </c>
      <c r="AH200">
        <f t="shared" si="52"/>
        <v>0</v>
      </c>
    </row>
    <row r="201" spans="1:34">
      <c r="A201" t="str">
        <f>IF(进销存对接!$D201="客户应收",进销存对接!$C201,"")</f>
        <v/>
      </c>
      <c r="B201">
        <f t="shared" si="42"/>
        <v>0</v>
      </c>
      <c r="C201">
        <f t="shared" si="43"/>
        <v>0</v>
      </c>
      <c r="E201" t="str">
        <f t="shared" si="44"/>
        <v/>
      </c>
      <c r="G201">
        <f>IF(OR($G$1="",资金日记账!$E194="",资金日记账!$E194&lt;&gt;$G$1),0,IF(NOT(OR(N(资金日记账!$H194)&lt;&gt;0,N(资金日记账!$I194)&lt;&gt;0)),0,IF(资金日记账!$B194="",1,IF(OR(N(资金日记账!$B194)&lt;$H$1,N(资金日记账!$B194)&gt;$I$1),0,1))))</f>
        <v>0</v>
      </c>
      <c r="H201">
        <f t="shared" si="45"/>
        <v>0</v>
      </c>
      <c r="I201" t="str">
        <f>IF($G201=0,"",IF(资金日记账!$B194=0,"",资金日记账!$B194))</f>
        <v/>
      </c>
      <c r="J201" t="str">
        <f>IF($G201=0,"",IF(资金日记账!$D194=0,"",资金日记账!$D194))</f>
        <v/>
      </c>
      <c r="K201" t="str">
        <f t="shared" si="53"/>
        <v/>
      </c>
      <c r="L201" t="str">
        <f t="shared" si="54"/>
        <v/>
      </c>
      <c r="M201" t="str">
        <f t="shared" si="46"/>
        <v/>
      </c>
      <c r="N201" t="str">
        <f>IF($G201=0,"",IF(IF(N(资金日记账!$I194)=0,"",-ROUND(N(资金日记账!$I194),2))=0,"",IF(N(资金日记账!$I194)=0,"",-ROUND(N(资金日记账!$I194),2))))</f>
        <v/>
      </c>
      <c r="O201" t="str">
        <f>IF($G201=0,"",IF(IF(N(资金日记账!$H194)=0,"",ROUND(N(资金日记账!$H194),2))=0,"",IF(N(资金日记账!$H194)=0,"",ROUND(N(资金日记账!$H194),2))))</f>
        <v/>
      </c>
      <c r="P201" t="str">
        <f>IF($G201=0,"",IF(资金日记账!$L194=0,"",资金日记账!$L194))</f>
        <v/>
      </c>
      <c r="T201" t="str">
        <f>IF(资金日记账!$G201="","",资金日记账!$G201)</f>
        <v/>
      </c>
      <c r="U201">
        <f t="shared" si="47"/>
        <v>0</v>
      </c>
      <c r="V201">
        <f t="shared" si="48"/>
        <v>0</v>
      </c>
      <c r="Z201" t="str">
        <f>IF(成本费用登记表!$C201="","",成本费用登记表!$C201)</f>
        <v/>
      </c>
      <c r="AA201">
        <f t="shared" si="49"/>
        <v>0</v>
      </c>
      <c r="AB201">
        <f t="shared" si="50"/>
        <v>0</v>
      </c>
      <c r="AF201" t="str">
        <f>IF(OR(资金日记账!$E201="",N(资金日记账!$H201)=0),"",资金日记账!$E201)</f>
        <v/>
      </c>
      <c r="AG201">
        <f t="shared" si="51"/>
        <v>0</v>
      </c>
      <c r="AH201">
        <f t="shared" si="52"/>
        <v>0</v>
      </c>
    </row>
    <row r="202" spans="1:34">
      <c r="A202" t="str">
        <f>IF(进销存对接!$D202="客户应收",进销存对接!$C202,"")</f>
        <v/>
      </c>
      <c r="B202">
        <f t="shared" si="42"/>
        <v>0</v>
      </c>
      <c r="C202">
        <f t="shared" si="43"/>
        <v>0</v>
      </c>
      <c r="E202" t="str">
        <f t="shared" si="44"/>
        <v/>
      </c>
      <c r="G202">
        <f>IF(OR($G$1="",资金日记账!$E195="",资金日记账!$E195&lt;&gt;$G$1),0,IF(NOT(OR(N(资金日记账!$H195)&lt;&gt;0,N(资金日记账!$I195)&lt;&gt;0)),0,IF(资金日记账!$B195="",1,IF(OR(N(资金日记账!$B195)&lt;$H$1,N(资金日记账!$B195)&gt;$I$1),0,1))))</f>
        <v>0</v>
      </c>
      <c r="H202">
        <f t="shared" si="45"/>
        <v>0</v>
      </c>
      <c r="I202" t="str">
        <f>IF($G202=0,"",IF(资金日记账!$B195=0,"",资金日记账!$B195))</f>
        <v/>
      </c>
      <c r="J202" t="str">
        <f>IF($G202=0,"",IF(资金日记账!$D195=0,"",资金日记账!$D195))</f>
        <v/>
      </c>
      <c r="K202" t="str">
        <f t="shared" si="53"/>
        <v/>
      </c>
      <c r="L202" t="str">
        <f t="shared" si="54"/>
        <v/>
      </c>
      <c r="M202" t="str">
        <f t="shared" si="46"/>
        <v/>
      </c>
      <c r="N202" t="str">
        <f>IF($G202=0,"",IF(IF(N(资金日记账!$I195)=0,"",-ROUND(N(资金日记账!$I195),2))=0,"",IF(N(资金日记账!$I195)=0,"",-ROUND(N(资金日记账!$I195),2))))</f>
        <v/>
      </c>
      <c r="O202" t="str">
        <f>IF($G202=0,"",IF(IF(N(资金日记账!$H195)=0,"",ROUND(N(资金日记账!$H195),2))=0,"",IF(N(资金日记账!$H195)=0,"",ROUND(N(资金日记账!$H195),2))))</f>
        <v/>
      </c>
      <c r="P202" t="str">
        <f>IF($G202=0,"",IF(资金日记账!$L195=0,"",资金日记账!$L195))</f>
        <v/>
      </c>
      <c r="T202" t="str">
        <f>IF(资金日记账!$G202="","",资金日记账!$G202)</f>
        <v/>
      </c>
      <c r="U202">
        <f t="shared" si="47"/>
        <v>0</v>
      </c>
      <c r="V202">
        <f t="shared" si="48"/>
        <v>0</v>
      </c>
      <c r="Z202" t="str">
        <f>IF(成本费用登记表!$C202="","",成本费用登记表!$C202)</f>
        <v/>
      </c>
      <c r="AA202">
        <f t="shared" si="49"/>
        <v>0</v>
      </c>
      <c r="AB202">
        <f t="shared" si="50"/>
        <v>0</v>
      </c>
      <c r="AF202" t="str">
        <f>IF(OR(资金日记账!$E202="",N(资金日记账!$H202)=0),"",资金日记账!$E202)</f>
        <v/>
      </c>
      <c r="AG202">
        <f t="shared" si="51"/>
        <v>0</v>
      </c>
      <c r="AH202">
        <f t="shared" si="52"/>
        <v>0</v>
      </c>
    </row>
    <row r="203" spans="1:34">
      <c r="A203" t="str">
        <f>IF(进销存对接!$D203="客户应收",进销存对接!$C203,"")</f>
        <v/>
      </c>
      <c r="B203">
        <f t="shared" si="42"/>
        <v>0</v>
      </c>
      <c r="C203">
        <f t="shared" si="43"/>
        <v>0</v>
      </c>
      <c r="E203" t="str">
        <f t="shared" si="44"/>
        <v/>
      </c>
      <c r="G203">
        <f>IF(OR($G$1="",资金日记账!$E196="",资金日记账!$E196&lt;&gt;$G$1),0,IF(NOT(OR(N(资金日记账!$H196)&lt;&gt;0,N(资金日记账!$I196)&lt;&gt;0)),0,IF(资金日记账!$B196="",1,IF(OR(N(资金日记账!$B196)&lt;$H$1,N(资金日记账!$B196)&gt;$I$1),0,1))))</f>
        <v>0</v>
      </c>
      <c r="H203">
        <f t="shared" si="45"/>
        <v>0</v>
      </c>
      <c r="I203" t="str">
        <f>IF($G203=0,"",IF(资金日记账!$B196=0,"",资金日记账!$B196))</f>
        <v/>
      </c>
      <c r="J203" t="str">
        <f>IF($G203=0,"",IF(资金日记账!$D196=0,"",资金日记账!$D196))</f>
        <v/>
      </c>
      <c r="K203" t="str">
        <f t="shared" si="53"/>
        <v/>
      </c>
      <c r="L203" t="str">
        <f t="shared" si="54"/>
        <v/>
      </c>
      <c r="M203" t="str">
        <f t="shared" si="46"/>
        <v/>
      </c>
      <c r="N203" t="str">
        <f>IF($G203=0,"",IF(IF(N(资金日记账!$I196)=0,"",-ROUND(N(资金日记账!$I196),2))=0,"",IF(N(资金日记账!$I196)=0,"",-ROUND(N(资金日记账!$I196),2))))</f>
        <v/>
      </c>
      <c r="O203" t="str">
        <f>IF($G203=0,"",IF(IF(N(资金日记账!$H196)=0,"",ROUND(N(资金日记账!$H196),2))=0,"",IF(N(资金日记账!$H196)=0,"",ROUND(N(资金日记账!$H196),2))))</f>
        <v/>
      </c>
      <c r="P203" t="str">
        <f>IF($G203=0,"",IF(资金日记账!$L196=0,"",资金日记账!$L196))</f>
        <v/>
      </c>
      <c r="T203" t="str">
        <f>IF(资金日记账!$G203="","",资金日记账!$G203)</f>
        <v/>
      </c>
      <c r="U203">
        <f t="shared" si="47"/>
        <v>0</v>
      </c>
      <c r="V203">
        <f t="shared" si="48"/>
        <v>0</v>
      </c>
      <c r="Z203" t="str">
        <f>IF(成本费用登记表!$C203="","",成本费用登记表!$C203)</f>
        <v/>
      </c>
      <c r="AA203">
        <f t="shared" si="49"/>
        <v>0</v>
      </c>
      <c r="AB203">
        <f t="shared" si="50"/>
        <v>0</v>
      </c>
      <c r="AF203" t="str">
        <f>IF(OR(资金日记账!$E203="",N(资金日记账!$H203)=0),"",资金日记账!$E203)</f>
        <v/>
      </c>
      <c r="AG203">
        <f t="shared" si="51"/>
        <v>0</v>
      </c>
      <c r="AH203">
        <f t="shared" si="52"/>
        <v>0</v>
      </c>
    </row>
    <row r="204" spans="1:34">
      <c r="A204" t="str">
        <f>IF(进销存对接!$D204="客户应收",进销存对接!$C204,"")</f>
        <v/>
      </c>
      <c r="B204">
        <f t="shared" si="42"/>
        <v>0</v>
      </c>
      <c r="C204">
        <f t="shared" si="43"/>
        <v>0</v>
      </c>
      <c r="E204" t="str">
        <f t="shared" si="44"/>
        <v/>
      </c>
      <c r="G204">
        <f>IF(OR($G$1="",资金日记账!$E197="",资金日记账!$E197&lt;&gt;$G$1),0,IF(NOT(OR(N(资金日记账!$H197)&lt;&gt;0,N(资金日记账!$I197)&lt;&gt;0)),0,IF(资金日记账!$B197="",1,IF(OR(N(资金日记账!$B197)&lt;$H$1,N(资金日记账!$B197)&gt;$I$1),0,1))))</f>
        <v>0</v>
      </c>
      <c r="H204">
        <f t="shared" si="45"/>
        <v>0</v>
      </c>
      <c r="I204" t="str">
        <f>IF($G204=0,"",IF(资金日记账!$B197=0,"",资金日记账!$B197))</f>
        <v/>
      </c>
      <c r="J204" t="str">
        <f>IF($G204=0,"",IF(资金日记账!$D197=0,"",资金日记账!$D197))</f>
        <v/>
      </c>
      <c r="K204" t="str">
        <f t="shared" si="53"/>
        <v/>
      </c>
      <c r="L204" t="str">
        <f t="shared" si="54"/>
        <v/>
      </c>
      <c r="M204" t="str">
        <f t="shared" si="46"/>
        <v/>
      </c>
      <c r="N204" t="str">
        <f>IF($G204=0,"",IF(IF(N(资金日记账!$I197)=0,"",-ROUND(N(资金日记账!$I197),2))=0,"",IF(N(资金日记账!$I197)=0,"",-ROUND(N(资金日记账!$I197),2))))</f>
        <v/>
      </c>
      <c r="O204" t="str">
        <f>IF($G204=0,"",IF(IF(N(资金日记账!$H197)=0,"",ROUND(N(资金日记账!$H197),2))=0,"",IF(N(资金日记账!$H197)=0,"",ROUND(N(资金日记账!$H197),2))))</f>
        <v/>
      </c>
      <c r="P204" t="str">
        <f>IF($G204=0,"",IF(资金日记账!$L197=0,"",资金日记账!$L197))</f>
        <v/>
      </c>
      <c r="T204" t="str">
        <f>IF(资金日记账!$G204="","",资金日记账!$G204)</f>
        <v/>
      </c>
      <c r="U204">
        <f t="shared" si="47"/>
        <v>0</v>
      </c>
      <c r="V204">
        <f t="shared" si="48"/>
        <v>0</v>
      </c>
      <c r="Z204" t="str">
        <f>IF(成本费用登记表!$C204="","",成本费用登记表!$C204)</f>
        <v/>
      </c>
      <c r="AA204">
        <f t="shared" si="49"/>
        <v>0</v>
      </c>
      <c r="AB204">
        <f t="shared" si="50"/>
        <v>0</v>
      </c>
      <c r="AF204" t="str">
        <f>IF(OR(资金日记账!$E204="",N(资金日记账!$H204)=0),"",资金日记账!$E204)</f>
        <v/>
      </c>
      <c r="AG204">
        <f t="shared" si="51"/>
        <v>0</v>
      </c>
      <c r="AH204">
        <f t="shared" si="52"/>
        <v>0</v>
      </c>
    </row>
    <row r="205" spans="1:34">
      <c r="A205" t="str">
        <f>IF(进销存对接!$D205="客户应收",进销存对接!$C205,"")</f>
        <v/>
      </c>
      <c r="B205">
        <f t="shared" si="42"/>
        <v>0</v>
      </c>
      <c r="C205">
        <f t="shared" si="43"/>
        <v>0</v>
      </c>
      <c r="E205" t="str">
        <f t="shared" si="44"/>
        <v/>
      </c>
      <c r="G205">
        <f>IF(OR($G$1="",资金日记账!$E198="",资金日记账!$E198&lt;&gt;$G$1),0,IF(NOT(OR(N(资金日记账!$H198)&lt;&gt;0,N(资金日记账!$I198)&lt;&gt;0)),0,IF(资金日记账!$B198="",1,IF(OR(N(资金日记账!$B198)&lt;$H$1,N(资金日记账!$B198)&gt;$I$1),0,1))))</f>
        <v>0</v>
      </c>
      <c r="H205">
        <f t="shared" si="45"/>
        <v>0</v>
      </c>
      <c r="I205" t="str">
        <f>IF($G205=0,"",IF(资金日记账!$B198=0,"",资金日记账!$B198))</f>
        <v/>
      </c>
      <c r="J205" t="str">
        <f>IF($G205=0,"",IF(资金日记账!$D198=0,"",资金日记账!$D198))</f>
        <v/>
      </c>
      <c r="K205" t="str">
        <f t="shared" si="53"/>
        <v/>
      </c>
      <c r="L205" t="str">
        <f t="shared" si="54"/>
        <v/>
      </c>
      <c r="M205" t="str">
        <f t="shared" si="46"/>
        <v/>
      </c>
      <c r="N205" t="str">
        <f>IF($G205=0,"",IF(IF(N(资金日记账!$I198)=0,"",-ROUND(N(资金日记账!$I198),2))=0,"",IF(N(资金日记账!$I198)=0,"",-ROUND(N(资金日记账!$I198),2))))</f>
        <v/>
      </c>
      <c r="O205" t="str">
        <f>IF($G205=0,"",IF(IF(N(资金日记账!$H198)=0,"",ROUND(N(资金日记账!$H198),2))=0,"",IF(N(资金日记账!$H198)=0,"",ROUND(N(资金日记账!$H198),2))))</f>
        <v/>
      </c>
      <c r="P205" t="str">
        <f>IF($G205=0,"",IF(资金日记账!$L198=0,"",资金日记账!$L198))</f>
        <v/>
      </c>
      <c r="T205" t="str">
        <f>IF(资金日记账!$G205="","",资金日记账!$G205)</f>
        <v/>
      </c>
      <c r="U205">
        <f t="shared" si="47"/>
        <v>0</v>
      </c>
      <c r="V205">
        <f t="shared" si="48"/>
        <v>0</v>
      </c>
      <c r="Z205" t="str">
        <f>IF(成本费用登记表!$C205="","",成本费用登记表!$C205)</f>
        <v/>
      </c>
      <c r="AA205">
        <f t="shared" si="49"/>
        <v>0</v>
      </c>
      <c r="AB205">
        <f t="shared" si="50"/>
        <v>0</v>
      </c>
      <c r="AF205" t="str">
        <f>IF(OR(资金日记账!$E205="",N(资金日记账!$H205)=0),"",资金日记账!$E205)</f>
        <v/>
      </c>
      <c r="AG205">
        <f t="shared" si="51"/>
        <v>0</v>
      </c>
      <c r="AH205">
        <f t="shared" si="52"/>
        <v>0</v>
      </c>
    </row>
    <row r="206" spans="1:34">
      <c r="A206" t="str">
        <f>IF(进销存对接!$D206="客户应收",进销存对接!$C206,"")</f>
        <v/>
      </c>
      <c r="B206">
        <f t="shared" si="42"/>
        <v>0</v>
      </c>
      <c r="C206">
        <f t="shared" si="43"/>
        <v>0</v>
      </c>
      <c r="E206" t="str">
        <f t="shared" si="44"/>
        <v/>
      </c>
      <c r="G206">
        <f>IF(OR($G$1="",资金日记账!$E199="",资金日记账!$E199&lt;&gt;$G$1),0,IF(NOT(OR(N(资金日记账!$H199)&lt;&gt;0,N(资金日记账!$I199)&lt;&gt;0)),0,IF(资金日记账!$B199="",1,IF(OR(N(资金日记账!$B199)&lt;$H$1,N(资金日记账!$B199)&gt;$I$1),0,1))))</f>
        <v>0</v>
      </c>
      <c r="H206">
        <f t="shared" si="45"/>
        <v>0</v>
      </c>
      <c r="I206" t="str">
        <f>IF($G206=0,"",IF(资金日记账!$B199=0,"",资金日记账!$B199))</f>
        <v/>
      </c>
      <c r="J206" t="str">
        <f>IF($G206=0,"",IF(资金日记账!$D199=0,"",资金日记账!$D199))</f>
        <v/>
      </c>
      <c r="K206" t="str">
        <f t="shared" si="53"/>
        <v/>
      </c>
      <c r="L206" t="str">
        <f t="shared" si="54"/>
        <v/>
      </c>
      <c r="M206" t="str">
        <f t="shared" si="46"/>
        <v/>
      </c>
      <c r="N206" t="str">
        <f>IF($G206=0,"",IF(IF(N(资金日记账!$I199)=0,"",-ROUND(N(资金日记账!$I199),2))=0,"",IF(N(资金日记账!$I199)=0,"",-ROUND(N(资金日记账!$I199),2))))</f>
        <v/>
      </c>
      <c r="O206" t="str">
        <f>IF($G206=0,"",IF(IF(N(资金日记账!$H199)=0,"",ROUND(N(资金日记账!$H199),2))=0,"",IF(N(资金日记账!$H199)=0,"",ROUND(N(资金日记账!$H199),2))))</f>
        <v/>
      </c>
      <c r="P206" t="str">
        <f>IF($G206=0,"",IF(资金日记账!$L199=0,"",资金日记账!$L199))</f>
        <v/>
      </c>
      <c r="T206" t="str">
        <f>IF(资金日记账!$G206="","",资金日记账!$G206)</f>
        <v/>
      </c>
      <c r="U206">
        <f t="shared" si="47"/>
        <v>0</v>
      </c>
      <c r="V206">
        <f t="shared" si="48"/>
        <v>0</v>
      </c>
      <c r="Z206" t="str">
        <f>IF(成本费用登记表!$C206="","",成本费用登记表!$C206)</f>
        <v/>
      </c>
      <c r="AA206">
        <f t="shared" si="49"/>
        <v>0</v>
      </c>
      <c r="AB206">
        <f t="shared" si="50"/>
        <v>0</v>
      </c>
      <c r="AF206" t="str">
        <f>IF(OR(资金日记账!$E206="",N(资金日记账!$H206)=0),"",资金日记账!$E206)</f>
        <v/>
      </c>
      <c r="AG206">
        <f t="shared" si="51"/>
        <v>0</v>
      </c>
      <c r="AH206">
        <f t="shared" si="52"/>
        <v>0</v>
      </c>
    </row>
    <row r="207" spans="1:34">
      <c r="A207" t="str">
        <f>IF(进销存对接!$D207="客户应收",进销存对接!$C207,"")</f>
        <v/>
      </c>
      <c r="B207">
        <f t="shared" si="42"/>
        <v>0</v>
      </c>
      <c r="C207">
        <f t="shared" si="43"/>
        <v>0</v>
      </c>
      <c r="E207" t="str">
        <f t="shared" si="44"/>
        <v/>
      </c>
      <c r="G207">
        <f>IF(OR($G$1="",资金日记账!$E200="",资金日记账!$E200&lt;&gt;$G$1),0,IF(NOT(OR(N(资金日记账!$H200)&lt;&gt;0,N(资金日记账!$I200)&lt;&gt;0)),0,IF(资金日记账!$B200="",1,IF(OR(N(资金日记账!$B200)&lt;$H$1,N(资金日记账!$B200)&gt;$I$1),0,1))))</f>
        <v>0</v>
      </c>
      <c r="H207">
        <f t="shared" si="45"/>
        <v>0</v>
      </c>
      <c r="I207" t="str">
        <f>IF($G207=0,"",IF(资金日记账!$B200=0,"",资金日记账!$B200))</f>
        <v/>
      </c>
      <c r="J207" t="str">
        <f>IF($G207=0,"",IF(资金日记账!$D200=0,"",资金日记账!$D200))</f>
        <v/>
      </c>
      <c r="K207" t="str">
        <f t="shared" si="53"/>
        <v/>
      </c>
      <c r="L207" t="str">
        <f t="shared" si="54"/>
        <v/>
      </c>
      <c r="M207" t="str">
        <f t="shared" si="46"/>
        <v/>
      </c>
      <c r="N207" t="str">
        <f>IF($G207=0,"",IF(IF(N(资金日记账!$I200)=0,"",-ROUND(N(资金日记账!$I200),2))=0,"",IF(N(资金日记账!$I200)=0,"",-ROUND(N(资金日记账!$I200),2))))</f>
        <v/>
      </c>
      <c r="O207" t="str">
        <f>IF($G207=0,"",IF(IF(N(资金日记账!$H200)=0,"",ROUND(N(资金日记账!$H200),2))=0,"",IF(N(资金日记账!$H200)=0,"",ROUND(N(资金日记账!$H200),2))))</f>
        <v/>
      </c>
      <c r="P207" t="str">
        <f>IF($G207=0,"",IF(资金日记账!$L200=0,"",资金日记账!$L200))</f>
        <v/>
      </c>
      <c r="T207" t="str">
        <f>IF(资金日记账!$G207="","",资金日记账!$G207)</f>
        <v/>
      </c>
      <c r="U207">
        <f t="shared" si="47"/>
        <v>0</v>
      </c>
      <c r="V207">
        <f t="shared" si="48"/>
        <v>0</v>
      </c>
      <c r="Z207" t="str">
        <f>IF(成本费用登记表!$C207="","",成本费用登记表!$C207)</f>
        <v/>
      </c>
      <c r="AA207">
        <f t="shared" si="49"/>
        <v>0</v>
      </c>
      <c r="AB207">
        <f t="shared" si="50"/>
        <v>0</v>
      </c>
      <c r="AF207" t="str">
        <f>IF(OR(资金日记账!$E207="",N(资金日记账!$H207)=0),"",资金日记账!$E207)</f>
        <v/>
      </c>
      <c r="AG207">
        <f t="shared" si="51"/>
        <v>0</v>
      </c>
      <c r="AH207">
        <f t="shared" si="52"/>
        <v>0</v>
      </c>
    </row>
    <row r="208" spans="1:34">
      <c r="A208" t="str">
        <f>IF(进销存对接!$D208="客户应收",进销存对接!$C208,"")</f>
        <v/>
      </c>
      <c r="B208">
        <f t="shared" si="42"/>
        <v>0</v>
      </c>
      <c r="C208">
        <f t="shared" si="43"/>
        <v>0</v>
      </c>
      <c r="E208" t="str">
        <f t="shared" si="44"/>
        <v/>
      </c>
      <c r="G208">
        <f>IF(OR($G$1="",资金日记账!$E201="",资金日记账!$E201&lt;&gt;$G$1),0,IF(NOT(OR(N(资金日记账!$H201)&lt;&gt;0,N(资金日记账!$I201)&lt;&gt;0)),0,IF(资金日记账!$B201="",1,IF(OR(N(资金日记账!$B201)&lt;$H$1,N(资金日记账!$B201)&gt;$I$1),0,1))))</f>
        <v>0</v>
      </c>
      <c r="H208">
        <f t="shared" si="45"/>
        <v>0</v>
      </c>
      <c r="I208" t="str">
        <f>IF($G208=0,"",IF(资金日记账!$B201=0,"",资金日记账!$B201))</f>
        <v/>
      </c>
      <c r="J208" t="str">
        <f>IF($G208=0,"",IF(资金日记账!$D201=0,"",资金日记账!$D201))</f>
        <v/>
      </c>
      <c r="K208" t="str">
        <f t="shared" si="53"/>
        <v/>
      </c>
      <c r="L208" t="str">
        <f t="shared" si="54"/>
        <v/>
      </c>
      <c r="M208" t="str">
        <f t="shared" si="46"/>
        <v/>
      </c>
      <c r="N208" t="str">
        <f>IF($G208=0,"",IF(IF(N(资金日记账!$I201)=0,"",-ROUND(N(资金日记账!$I201),2))=0,"",IF(N(资金日记账!$I201)=0,"",-ROUND(N(资金日记账!$I201),2))))</f>
        <v/>
      </c>
      <c r="O208" t="str">
        <f>IF($G208=0,"",IF(IF(N(资金日记账!$H201)=0,"",ROUND(N(资金日记账!$H201),2))=0,"",IF(N(资金日记账!$H201)=0,"",ROUND(N(资金日记账!$H201),2))))</f>
        <v/>
      </c>
      <c r="P208" t="str">
        <f>IF($G208=0,"",IF(资金日记账!$L201=0,"",资金日记账!$L201))</f>
        <v/>
      </c>
      <c r="T208" t="str">
        <f>IF(资金日记账!$G208="","",资金日记账!$G208)</f>
        <v/>
      </c>
      <c r="U208">
        <f t="shared" si="47"/>
        <v>0</v>
      </c>
      <c r="V208">
        <f t="shared" si="48"/>
        <v>0</v>
      </c>
      <c r="Z208" t="str">
        <f>IF(成本费用登记表!$C208="","",成本费用登记表!$C208)</f>
        <v/>
      </c>
      <c r="AA208">
        <f t="shared" si="49"/>
        <v>0</v>
      </c>
      <c r="AB208">
        <f t="shared" si="50"/>
        <v>0</v>
      </c>
      <c r="AF208" t="str">
        <f>IF(OR(资金日记账!$E208="",N(资金日记账!$H208)=0),"",资金日记账!$E208)</f>
        <v/>
      </c>
      <c r="AG208">
        <f t="shared" si="51"/>
        <v>0</v>
      </c>
      <c r="AH208">
        <f t="shared" si="52"/>
        <v>0</v>
      </c>
    </row>
    <row r="209" spans="1:34">
      <c r="A209" t="str">
        <f>IF(进销存对接!$D209="客户应收",进销存对接!$C209,"")</f>
        <v/>
      </c>
      <c r="B209">
        <f t="shared" si="42"/>
        <v>0</v>
      </c>
      <c r="C209">
        <f t="shared" si="43"/>
        <v>0</v>
      </c>
      <c r="E209" t="str">
        <f t="shared" si="44"/>
        <v/>
      </c>
      <c r="G209">
        <f>IF(OR($G$1="",资金日记账!$E202="",资金日记账!$E202&lt;&gt;$G$1),0,IF(NOT(OR(N(资金日记账!$H202)&lt;&gt;0,N(资金日记账!$I202)&lt;&gt;0)),0,IF(资金日记账!$B202="",1,IF(OR(N(资金日记账!$B202)&lt;$H$1,N(资金日记账!$B202)&gt;$I$1),0,1))))</f>
        <v>0</v>
      </c>
      <c r="H209">
        <f t="shared" si="45"/>
        <v>0</v>
      </c>
      <c r="I209" t="str">
        <f>IF($G209=0,"",IF(资金日记账!$B202=0,"",资金日记账!$B202))</f>
        <v/>
      </c>
      <c r="J209" t="str">
        <f>IF($G209=0,"",IF(资金日记账!$D202=0,"",资金日记账!$D202))</f>
        <v/>
      </c>
      <c r="K209" t="str">
        <f t="shared" si="53"/>
        <v/>
      </c>
      <c r="L209" t="str">
        <f t="shared" si="54"/>
        <v/>
      </c>
      <c r="M209" t="str">
        <f t="shared" si="46"/>
        <v/>
      </c>
      <c r="N209" t="str">
        <f>IF($G209=0,"",IF(IF(N(资金日记账!$I202)=0,"",-ROUND(N(资金日记账!$I202),2))=0,"",IF(N(资金日记账!$I202)=0,"",-ROUND(N(资金日记账!$I202),2))))</f>
        <v/>
      </c>
      <c r="O209" t="str">
        <f>IF($G209=0,"",IF(IF(N(资金日记账!$H202)=0,"",ROUND(N(资金日记账!$H202),2))=0,"",IF(N(资金日记账!$H202)=0,"",ROUND(N(资金日记账!$H202),2))))</f>
        <v/>
      </c>
      <c r="P209" t="str">
        <f>IF($G209=0,"",IF(资金日记账!$L202=0,"",资金日记账!$L202))</f>
        <v/>
      </c>
      <c r="T209" t="str">
        <f>IF(资金日记账!$G209="","",资金日记账!$G209)</f>
        <v/>
      </c>
      <c r="U209">
        <f t="shared" si="47"/>
        <v>0</v>
      </c>
      <c r="V209">
        <f t="shared" si="48"/>
        <v>0</v>
      </c>
      <c r="Z209" t="str">
        <f>IF(成本费用登记表!$C209="","",成本费用登记表!$C209)</f>
        <v/>
      </c>
      <c r="AA209">
        <f t="shared" si="49"/>
        <v>0</v>
      </c>
      <c r="AB209">
        <f t="shared" si="50"/>
        <v>0</v>
      </c>
      <c r="AF209" t="str">
        <f>IF(OR(资金日记账!$E209="",N(资金日记账!$H209)=0),"",资金日记账!$E209)</f>
        <v/>
      </c>
      <c r="AG209">
        <f t="shared" si="51"/>
        <v>0</v>
      </c>
      <c r="AH209">
        <f t="shared" si="52"/>
        <v>0</v>
      </c>
    </row>
    <row r="210" spans="1:34">
      <c r="A210" t="str">
        <f>IF(进销存对接!$D210="客户应收",进销存对接!$C210,"")</f>
        <v/>
      </c>
      <c r="B210">
        <f t="shared" si="42"/>
        <v>0</v>
      </c>
      <c r="C210">
        <f t="shared" si="43"/>
        <v>0</v>
      </c>
      <c r="E210" t="str">
        <f t="shared" si="44"/>
        <v/>
      </c>
      <c r="G210">
        <f>IF(OR($G$1="",资金日记账!$E203="",资金日记账!$E203&lt;&gt;$G$1),0,IF(NOT(OR(N(资金日记账!$H203)&lt;&gt;0,N(资金日记账!$I203)&lt;&gt;0)),0,IF(资金日记账!$B203="",1,IF(OR(N(资金日记账!$B203)&lt;$H$1,N(资金日记账!$B203)&gt;$I$1),0,1))))</f>
        <v>0</v>
      </c>
      <c r="H210">
        <f t="shared" si="45"/>
        <v>0</v>
      </c>
      <c r="I210" t="str">
        <f>IF($G210=0,"",IF(资金日记账!$B203=0,"",资金日记账!$B203))</f>
        <v/>
      </c>
      <c r="J210" t="str">
        <f>IF($G210=0,"",IF(资金日记账!$D203=0,"",资金日记账!$D203))</f>
        <v/>
      </c>
      <c r="K210" t="str">
        <f t="shared" si="53"/>
        <v/>
      </c>
      <c r="L210" t="str">
        <f t="shared" si="54"/>
        <v/>
      </c>
      <c r="M210" t="str">
        <f t="shared" si="46"/>
        <v/>
      </c>
      <c r="N210" t="str">
        <f>IF($G210=0,"",IF(IF(N(资金日记账!$I203)=0,"",-ROUND(N(资金日记账!$I203),2))=0,"",IF(N(资金日记账!$I203)=0,"",-ROUND(N(资金日记账!$I203),2))))</f>
        <v/>
      </c>
      <c r="O210" t="str">
        <f>IF($G210=0,"",IF(IF(N(资金日记账!$H203)=0,"",ROUND(N(资金日记账!$H203),2))=0,"",IF(N(资金日记账!$H203)=0,"",ROUND(N(资金日记账!$H203),2))))</f>
        <v/>
      </c>
      <c r="P210" t="str">
        <f>IF($G210=0,"",IF(资金日记账!$L203=0,"",资金日记账!$L203))</f>
        <v/>
      </c>
      <c r="T210" t="str">
        <f>IF(资金日记账!$G210="","",资金日记账!$G210)</f>
        <v/>
      </c>
      <c r="U210">
        <f t="shared" si="47"/>
        <v>0</v>
      </c>
      <c r="V210">
        <f t="shared" si="48"/>
        <v>0</v>
      </c>
      <c r="Z210" t="str">
        <f>IF(成本费用登记表!$C210="","",成本费用登记表!$C210)</f>
        <v/>
      </c>
      <c r="AA210">
        <f t="shared" si="49"/>
        <v>0</v>
      </c>
      <c r="AB210">
        <f t="shared" si="50"/>
        <v>0</v>
      </c>
      <c r="AF210" t="str">
        <f>IF(OR(资金日记账!$E210="",N(资金日记账!$H210)=0),"",资金日记账!$E210)</f>
        <v/>
      </c>
      <c r="AG210">
        <f t="shared" si="51"/>
        <v>0</v>
      </c>
      <c r="AH210">
        <f t="shared" si="52"/>
        <v>0</v>
      </c>
    </row>
    <row r="211" spans="1:34">
      <c r="A211" t="str">
        <f>IF(进销存对接!$D211="客户应收",进销存对接!$C211,"")</f>
        <v/>
      </c>
      <c r="B211">
        <f t="shared" si="42"/>
        <v>0</v>
      </c>
      <c r="C211">
        <f t="shared" si="43"/>
        <v>0</v>
      </c>
      <c r="E211" t="str">
        <f t="shared" si="44"/>
        <v/>
      </c>
      <c r="G211">
        <f>IF(OR($G$1="",资金日记账!$E204="",资金日记账!$E204&lt;&gt;$G$1),0,IF(NOT(OR(N(资金日记账!$H204)&lt;&gt;0,N(资金日记账!$I204)&lt;&gt;0)),0,IF(资金日记账!$B204="",1,IF(OR(N(资金日记账!$B204)&lt;$H$1,N(资金日记账!$B204)&gt;$I$1),0,1))))</f>
        <v>0</v>
      </c>
      <c r="H211">
        <f t="shared" si="45"/>
        <v>0</v>
      </c>
      <c r="I211" t="str">
        <f>IF($G211=0,"",IF(资金日记账!$B204=0,"",资金日记账!$B204))</f>
        <v/>
      </c>
      <c r="J211" t="str">
        <f>IF($G211=0,"",IF(资金日记账!$D204=0,"",资金日记账!$D204))</f>
        <v/>
      </c>
      <c r="K211" t="str">
        <f t="shared" si="53"/>
        <v/>
      </c>
      <c r="L211" t="str">
        <f t="shared" si="54"/>
        <v/>
      </c>
      <c r="M211" t="str">
        <f t="shared" si="46"/>
        <v/>
      </c>
      <c r="N211" t="str">
        <f>IF($G211=0,"",IF(IF(N(资金日记账!$I204)=0,"",-ROUND(N(资金日记账!$I204),2))=0,"",IF(N(资金日记账!$I204)=0,"",-ROUND(N(资金日记账!$I204),2))))</f>
        <v/>
      </c>
      <c r="O211" t="str">
        <f>IF($G211=0,"",IF(IF(N(资金日记账!$H204)=0,"",ROUND(N(资金日记账!$H204),2))=0,"",IF(N(资金日记账!$H204)=0,"",ROUND(N(资金日记账!$H204),2))))</f>
        <v/>
      </c>
      <c r="P211" t="str">
        <f>IF($G211=0,"",IF(资金日记账!$L204=0,"",资金日记账!$L204))</f>
        <v/>
      </c>
      <c r="T211" t="str">
        <f>IF(资金日记账!$G211="","",资金日记账!$G211)</f>
        <v/>
      </c>
      <c r="U211">
        <f t="shared" si="47"/>
        <v>0</v>
      </c>
      <c r="V211">
        <f t="shared" si="48"/>
        <v>0</v>
      </c>
      <c r="Z211" t="str">
        <f>IF(成本费用登记表!$C211="","",成本费用登记表!$C211)</f>
        <v/>
      </c>
      <c r="AA211">
        <f t="shared" si="49"/>
        <v>0</v>
      </c>
      <c r="AB211">
        <f t="shared" si="50"/>
        <v>0</v>
      </c>
      <c r="AF211" t="str">
        <f>IF(OR(资金日记账!$E211="",N(资金日记账!$H211)=0),"",资金日记账!$E211)</f>
        <v/>
      </c>
      <c r="AG211">
        <f t="shared" si="51"/>
        <v>0</v>
      </c>
      <c r="AH211">
        <f t="shared" si="52"/>
        <v>0</v>
      </c>
    </row>
    <row r="212" spans="1:34">
      <c r="A212" t="str">
        <f>IF(进销存对接!$D212="客户应收",进销存对接!$C212,"")</f>
        <v/>
      </c>
      <c r="B212">
        <f t="shared" si="42"/>
        <v>0</v>
      </c>
      <c r="C212">
        <f t="shared" si="43"/>
        <v>0</v>
      </c>
      <c r="E212" t="str">
        <f t="shared" si="44"/>
        <v/>
      </c>
      <c r="G212">
        <f>IF(OR($G$1="",资金日记账!$E205="",资金日记账!$E205&lt;&gt;$G$1),0,IF(NOT(OR(N(资金日记账!$H205)&lt;&gt;0,N(资金日记账!$I205)&lt;&gt;0)),0,IF(资金日记账!$B205="",1,IF(OR(N(资金日记账!$B205)&lt;$H$1,N(资金日记账!$B205)&gt;$I$1),0,1))))</f>
        <v>0</v>
      </c>
      <c r="H212">
        <f t="shared" si="45"/>
        <v>0</v>
      </c>
      <c r="I212" t="str">
        <f>IF($G212=0,"",IF(资金日记账!$B205=0,"",资金日记账!$B205))</f>
        <v/>
      </c>
      <c r="J212" t="str">
        <f>IF($G212=0,"",IF(资金日记账!$D205=0,"",资金日记账!$D205))</f>
        <v/>
      </c>
      <c r="K212" t="str">
        <f t="shared" si="53"/>
        <v/>
      </c>
      <c r="L212" t="str">
        <f t="shared" si="54"/>
        <v/>
      </c>
      <c r="M212" t="str">
        <f t="shared" si="46"/>
        <v/>
      </c>
      <c r="N212" t="str">
        <f>IF($G212=0,"",IF(IF(N(资金日记账!$I205)=0,"",-ROUND(N(资金日记账!$I205),2))=0,"",IF(N(资金日记账!$I205)=0,"",-ROUND(N(资金日记账!$I205),2))))</f>
        <v/>
      </c>
      <c r="O212" t="str">
        <f>IF($G212=0,"",IF(IF(N(资金日记账!$H205)=0,"",ROUND(N(资金日记账!$H205),2))=0,"",IF(N(资金日记账!$H205)=0,"",ROUND(N(资金日记账!$H205),2))))</f>
        <v/>
      </c>
      <c r="P212" t="str">
        <f>IF($G212=0,"",IF(资金日记账!$L205=0,"",资金日记账!$L205))</f>
        <v/>
      </c>
      <c r="T212" t="str">
        <f>IF(资金日记账!$G212="","",资金日记账!$G212)</f>
        <v/>
      </c>
      <c r="U212">
        <f t="shared" si="47"/>
        <v>0</v>
      </c>
      <c r="V212">
        <f t="shared" si="48"/>
        <v>0</v>
      </c>
      <c r="Z212" t="str">
        <f>IF(成本费用登记表!$C212="","",成本费用登记表!$C212)</f>
        <v/>
      </c>
      <c r="AA212">
        <f t="shared" si="49"/>
        <v>0</v>
      </c>
      <c r="AB212">
        <f t="shared" si="50"/>
        <v>0</v>
      </c>
      <c r="AF212" t="str">
        <f>IF(OR(资金日记账!$E212="",N(资金日记账!$H212)=0),"",资金日记账!$E212)</f>
        <v/>
      </c>
      <c r="AG212">
        <f t="shared" si="51"/>
        <v>0</v>
      </c>
      <c r="AH212">
        <f t="shared" si="52"/>
        <v>0</v>
      </c>
    </row>
    <row r="213" spans="1:34">
      <c r="A213" t="str">
        <f>IF(进销存对接!$D213="客户应收",进销存对接!$C213,"")</f>
        <v/>
      </c>
      <c r="B213">
        <f t="shared" si="42"/>
        <v>0</v>
      </c>
      <c r="C213">
        <f t="shared" si="43"/>
        <v>0</v>
      </c>
      <c r="E213" t="str">
        <f t="shared" si="44"/>
        <v/>
      </c>
      <c r="G213">
        <f>IF(OR($G$1="",资金日记账!$E206="",资金日记账!$E206&lt;&gt;$G$1),0,IF(NOT(OR(N(资金日记账!$H206)&lt;&gt;0,N(资金日记账!$I206)&lt;&gt;0)),0,IF(资金日记账!$B206="",1,IF(OR(N(资金日记账!$B206)&lt;$H$1,N(资金日记账!$B206)&gt;$I$1),0,1))))</f>
        <v>0</v>
      </c>
      <c r="H213">
        <f t="shared" si="45"/>
        <v>0</v>
      </c>
      <c r="I213" t="str">
        <f>IF($G213=0,"",IF(资金日记账!$B206=0,"",资金日记账!$B206))</f>
        <v/>
      </c>
      <c r="J213" t="str">
        <f>IF($G213=0,"",IF(资金日记账!$D206=0,"",资金日记账!$D206))</f>
        <v/>
      </c>
      <c r="K213" t="str">
        <f t="shared" si="53"/>
        <v/>
      </c>
      <c r="L213" t="str">
        <f t="shared" si="54"/>
        <v/>
      </c>
      <c r="M213" t="str">
        <f t="shared" si="46"/>
        <v/>
      </c>
      <c r="N213" t="str">
        <f>IF($G213=0,"",IF(IF(N(资金日记账!$I206)=0,"",-ROUND(N(资金日记账!$I206),2))=0,"",IF(N(资金日记账!$I206)=0,"",-ROUND(N(资金日记账!$I206),2))))</f>
        <v/>
      </c>
      <c r="O213" t="str">
        <f>IF($G213=0,"",IF(IF(N(资金日记账!$H206)=0,"",ROUND(N(资金日记账!$H206),2))=0,"",IF(N(资金日记账!$H206)=0,"",ROUND(N(资金日记账!$H206),2))))</f>
        <v/>
      </c>
      <c r="P213" t="str">
        <f>IF($G213=0,"",IF(资金日记账!$L206=0,"",资金日记账!$L206))</f>
        <v/>
      </c>
      <c r="T213" t="str">
        <f>IF(资金日记账!$G213="","",资金日记账!$G213)</f>
        <v/>
      </c>
      <c r="U213">
        <f t="shared" si="47"/>
        <v>0</v>
      </c>
      <c r="V213">
        <f t="shared" si="48"/>
        <v>0</v>
      </c>
      <c r="Z213" t="str">
        <f>IF(成本费用登记表!$C213="","",成本费用登记表!$C213)</f>
        <v/>
      </c>
      <c r="AA213">
        <f t="shared" si="49"/>
        <v>0</v>
      </c>
      <c r="AB213">
        <f t="shared" si="50"/>
        <v>0</v>
      </c>
      <c r="AF213" t="str">
        <f>IF(OR(资金日记账!$E213="",N(资金日记账!$H213)=0),"",资金日记账!$E213)</f>
        <v/>
      </c>
      <c r="AG213">
        <f t="shared" si="51"/>
        <v>0</v>
      </c>
      <c r="AH213">
        <f t="shared" si="52"/>
        <v>0</v>
      </c>
    </row>
    <row r="214" spans="1:34">
      <c r="A214" t="str">
        <f>IF(进销存对接!$D214="客户应收",进销存对接!$C214,"")</f>
        <v/>
      </c>
      <c r="B214">
        <f t="shared" si="42"/>
        <v>0</v>
      </c>
      <c r="C214">
        <f t="shared" si="43"/>
        <v>0</v>
      </c>
      <c r="E214" t="str">
        <f t="shared" si="44"/>
        <v/>
      </c>
      <c r="G214">
        <f>IF(OR($G$1="",资金日记账!$E207="",资金日记账!$E207&lt;&gt;$G$1),0,IF(NOT(OR(N(资金日记账!$H207)&lt;&gt;0,N(资金日记账!$I207)&lt;&gt;0)),0,IF(资金日记账!$B207="",1,IF(OR(N(资金日记账!$B207)&lt;$H$1,N(资金日记账!$B207)&gt;$I$1),0,1))))</f>
        <v>0</v>
      </c>
      <c r="H214">
        <f t="shared" si="45"/>
        <v>0</v>
      </c>
      <c r="I214" t="str">
        <f>IF($G214=0,"",IF(资金日记账!$B207=0,"",资金日记账!$B207))</f>
        <v/>
      </c>
      <c r="J214" t="str">
        <f>IF($G214=0,"",IF(资金日记账!$D207=0,"",资金日记账!$D207))</f>
        <v/>
      </c>
      <c r="K214" t="str">
        <f t="shared" si="53"/>
        <v/>
      </c>
      <c r="L214" t="str">
        <f t="shared" si="54"/>
        <v/>
      </c>
      <c r="M214" t="str">
        <f t="shared" si="46"/>
        <v/>
      </c>
      <c r="N214" t="str">
        <f>IF($G214=0,"",IF(IF(N(资金日记账!$I207)=0,"",-ROUND(N(资金日记账!$I207),2))=0,"",IF(N(资金日记账!$I207)=0,"",-ROUND(N(资金日记账!$I207),2))))</f>
        <v/>
      </c>
      <c r="O214" t="str">
        <f>IF($G214=0,"",IF(IF(N(资金日记账!$H207)=0,"",ROUND(N(资金日记账!$H207),2))=0,"",IF(N(资金日记账!$H207)=0,"",ROUND(N(资金日记账!$H207),2))))</f>
        <v/>
      </c>
      <c r="P214" t="str">
        <f>IF($G214=0,"",IF(资金日记账!$L207=0,"",资金日记账!$L207))</f>
        <v/>
      </c>
      <c r="T214" t="str">
        <f>IF(资金日记账!$G214="","",资金日记账!$G214)</f>
        <v/>
      </c>
      <c r="U214">
        <f t="shared" si="47"/>
        <v>0</v>
      </c>
      <c r="V214">
        <f t="shared" si="48"/>
        <v>0</v>
      </c>
      <c r="Z214" t="str">
        <f>IF(成本费用登记表!$C214="","",成本费用登记表!$C214)</f>
        <v/>
      </c>
      <c r="AA214">
        <f t="shared" si="49"/>
        <v>0</v>
      </c>
      <c r="AB214">
        <f t="shared" si="50"/>
        <v>0</v>
      </c>
      <c r="AF214" t="str">
        <f>IF(OR(资金日记账!$E214="",N(资金日记账!$H214)=0),"",资金日记账!$E214)</f>
        <v/>
      </c>
      <c r="AG214">
        <f t="shared" si="51"/>
        <v>0</v>
      </c>
      <c r="AH214">
        <f t="shared" si="52"/>
        <v>0</v>
      </c>
    </row>
    <row r="215" spans="1:34">
      <c r="A215" t="str">
        <f>IF(进销存对接!$D215="客户应收",进销存对接!$C215,"")</f>
        <v/>
      </c>
      <c r="B215">
        <f t="shared" si="42"/>
        <v>0</v>
      </c>
      <c r="C215">
        <f t="shared" si="43"/>
        <v>0</v>
      </c>
      <c r="E215" t="str">
        <f t="shared" si="44"/>
        <v/>
      </c>
      <c r="G215">
        <f>IF(OR($G$1="",资金日记账!$E208="",资金日记账!$E208&lt;&gt;$G$1),0,IF(NOT(OR(N(资金日记账!$H208)&lt;&gt;0,N(资金日记账!$I208)&lt;&gt;0)),0,IF(资金日记账!$B208="",1,IF(OR(N(资金日记账!$B208)&lt;$H$1,N(资金日记账!$B208)&gt;$I$1),0,1))))</f>
        <v>0</v>
      </c>
      <c r="H215">
        <f t="shared" si="45"/>
        <v>0</v>
      </c>
      <c r="I215" t="str">
        <f>IF($G215=0,"",IF(资金日记账!$B208=0,"",资金日记账!$B208))</f>
        <v/>
      </c>
      <c r="J215" t="str">
        <f>IF($G215=0,"",IF(资金日记账!$D208=0,"",资金日记账!$D208))</f>
        <v/>
      </c>
      <c r="K215" t="str">
        <f t="shared" si="53"/>
        <v/>
      </c>
      <c r="L215" t="str">
        <f t="shared" si="54"/>
        <v/>
      </c>
      <c r="M215" t="str">
        <f t="shared" si="46"/>
        <v/>
      </c>
      <c r="N215" t="str">
        <f>IF($G215=0,"",IF(IF(N(资金日记账!$I208)=0,"",-ROUND(N(资金日记账!$I208),2))=0,"",IF(N(资金日记账!$I208)=0,"",-ROUND(N(资金日记账!$I208),2))))</f>
        <v/>
      </c>
      <c r="O215" t="str">
        <f>IF($G215=0,"",IF(IF(N(资金日记账!$H208)=0,"",ROUND(N(资金日记账!$H208),2))=0,"",IF(N(资金日记账!$H208)=0,"",ROUND(N(资金日记账!$H208),2))))</f>
        <v/>
      </c>
      <c r="P215" t="str">
        <f>IF($G215=0,"",IF(资金日记账!$L208=0,"",资金日记账!$L208))</f>
        <v/>
      </c>
      <c r="T215" t="str">
        <f>IF(资金日记账!$G215="","",资金日记账!$G215)</f>
        <v/>
      </c>
      <c r="U215">
        <f t="shared" si="47"/>
        <v>0</v>
      </c>
      <c r="V215">
        <f t="shared" si="48"/>
        <v>0</v>
      </c>
      <c r="Z215" t="str">
        <f>IF(成本费用登记表!$C215="","",成本费用登记表!$C215)</f>
        <v/>
      </c>
      <c r="AA215">
        <f t="shared" si="49"/>
        <v>0</v>
      </c>
      <c r="AB215">
        <f t="shared" si="50"/>
        <v>0</v>
      </c>
      <c r="AF215" t="str">
        <f>IF(OR(资金日记账!$E215="",N(资金日记账!$H215)=0),"",资金日记账!$E215)</f>
        <v/>
      </c>
      <c r="AG215">
        <f t="shared" si="51"/>
        <v>0</v>
      </c>
      <c r="AH215">
        <f t="shared" si="52"/>
        <v>0</v>
      </c>
    </row>
    <row r="216" spans="1:34">
      <c r="A216" t="str">
        <f>IF(进销存对接!$D216="客户应收",进销存对接!$C216,"")</f>
        <v/>
      </c>
      <c r="B216">
        <f t="shared" si="42"/>
        <v>0</v>
      </c>
      <c r="C216">
        <f t="shared" si="43"/>
        <v>0</v>
      </c>
      <c r="E216" t="str">
        <f t="shared" si="44"/>
        <v/>
      </c>
      <c r="G216">
        <f>IF(OR($G$1="",资金日记账!$E209="",资金日记账!$E209&lt;&gt;$G$1),0,IF(NOT(OR(N(资金日记账!$H209)&lt;&gt;0,N(资金日记账!$I209)&lt;&gt;0)),0,IF(资金日记账!$B209="",1,IF(OR(N(资金日记账!$B209)&lt;$H$1,N(资金日记账!$B209)&gt;$I$1),0,1))))</f>
        <v>0</v>
      </c>
      <c r="H216">
        <f t="shared" si="45"/>
        <v>0</v>
      </c>
      <c r="I216" t="str">
        <f>IF($G216=0,"",IF(资金日记账!$B209=0,"",资金日记账!$B209))</f>
        <v/>
      </c>
      <c r="J216" t="str">
        <f>IF($G216=0,"",IF(资金日记账!$D209=0,"",资金日记账!$D209))</f>
        <v/>
      </c>
      <c r="K216" t="str">
        <f t="shared" si="53"/>
        <v/>
      </c>
      <c r="L216" t="str">
        <f t="shared" si="54"/>
        <v/>
      </c>
      <c r="M216" t="str">
        <f t="shared" si="46"/>
        <v/>
      </c>
      <c r="N216" t="str">
        <f>IF($G216=0,"",IF(IF(N(资金日记账!$I209)=0,"",-ROUND(N(资金日记账!$I209),2))=0,"",IF(N(资金日记账!$I209)=0,"",-ROUND(N(资金日记账!$I209),2))))</f>
        <v/>
      </c>
      <c r="O216" t="str">
        <f>IF($G216=0,"",IF(IF(N(资金日记账!$H209)=0,"",ROUND(N(资金日记账!$H209),2))=0,"",IF(N(资金日记账!$H209)=0,"",ROUND(N(资金日记账!$H209),2))))</f>
        <v/>
      </c>
      <c r="P216" t="str">
        <f>IF($G216=0,"",IF(资金日记账!$L209=0,"",资金日记账!$L209))</f>
        <v/>
      </c>
      <c r="T216" t="str">
        <f>IF(资金日记账!$G216="","",资金日记账!$G216)</f>
        <v/>
      </c>
      <c r="U216">
        <f t="shared" si="47"/>
        <v>0</v>
      </c>
      <c r="V216">
        <f t="shared" si="48"/>
        <v>0</v>
      </c>
      <c r="Z216" t="str">
        <f>IF(成本费用登记表!$C216="","",成本费用登记表!$C216)</f>
        <v/>
      </c>
      <c r="AA216">
        <f t="shared" si="49"/>
        <v>0</v>
      </c>
      <c r="AB216">
        <f t="shared" si="50"/>
        <v>0</v>
      </c>
      <c r="AF216" t="str">
        <f>IF(OR(资金日记账!$E216="",N(资金日记账!$H216)=0),"",资金日记账!$E216)</f>
        <v/>
      </c>
      <c r="AG216">
        <f t="shared" si="51"/>
        <v>0</v>
      </c>
      <c r="AH216">
        <f t="shared" si="52"/>
        <v>0</v>
      </c>
    </row>
    <row r="217" spans="1:34">
      <c r="A217" t="str">
        <f>IF(进销存对接!$D217="客户应收",进销存对接!$C217,"")</f>
        <v/>
      </c>
      <c r="B217">
        <f t="shared" si="42"/>
        <v>0</v>
      </c>
      <c r="C217">
        <f t="shared" si="43"/>
        <v>0</v>
      </c>
      <c r="E217" t="str">
        <f t="shared" si="44"/>
        <v/>
      </c>
      <c r="G217">
        <f>IF(OR($G$1="",资金日记账!$E210="",资金日记账!$E210&lt;&gt;$G$1),0,IF(NOT(OR(N(资金日记账!$H210)&lt;&gt;0,N(资金日记账!$I210)&lt;&gt;0)),0,IF(资金日记账!$B210="",1,IF(OR(N(资金日记账!$B210)&lt;$H$1,N(资金日记账!$B210)&gt;$I$1),0,1))))</f>
        <v>0</v>
      </c>
      <c r="H217">
        <f t="shared" si="45"/>
        <v>0</v>
      </c>
      <c r="I217" t="str">
        <f>IF($G217=0,"",IF(资金日记账!$B210=0,"",资金日记账!$B210))</f>
        <v/>
      </c>
      <c r="J217" t="str">
        <f>IF($G217=0,"",IF(资金日记账!$D210=0,"",资金日记账!$D210))</f>
        <v/>
      </c>
      <c r="K217" t="str">
        <f t="shared" si="53"/>
        <v/>
      </c>
      <c r="L217" t="str">
        <f t="shared" si="54"/>
        <v/>
      </c>
      <c r="M217" t="str">
        <f t="shared" si="46"/>
        <v/>
      </c>
      <c r="N217" t="str">
        <f>IF($G217=0,"",IF(IF(N(资金日记账!$I210)=0,"",-ROUND(N(资金日记账!$I210),2))=0,"",IF(N(资金日记账!$I210)=0,"",-ROUND(N(资金日记账!$I210),2))))</f>
        <v/>
      </c>
      <c r="O217" t="str">
        <f>IF($G217=0,"",IF(IF(N(资金日记账!$H210)=0,"",ROUND(N(资金日记账!$H210),2))=0,"",IF(N(资金日记账!$H210)=0,"",ROUND(N(资金日记账!$H210),2))))</f>
        <v/>
      </c>
      <c r="P217" t="str">
        <f>IF($G217=0,"",IF(资金日记账!$L210=0,"",资金日记账!$L210))</f>
        <v/>
      </c>
      <c r="T217" t="str">
        <f>IF(资金日记账!$G217="","",资金日记账!$G217)</f>
        <v/>
      </c>
      <c r="U217">
        <f t="shared" si="47"/>
        <v>0</v>
      </c>
      <c r="V217">
        <f t="shared" si="48"/>
        <v>0</v>
      </c>
      <c r="Z217" t="str">
        <f>IF(成本费用登记表!$C217="","",成本费用登记表!$C217)</f>
        <v/>
      </c>
      <c r="AA217">
        <f t="shared" si="49"/>
        <v>0</v>
      </c>
      <c r="AB217">
        <f t="shared" si="50"/>
        <v>0</v>
      </c>
      <c r="AF217" t="str">
        <f>IF(OR(资金日记账!$E217="",N(资金日记账!$H217)=0),"",资金日记账!$E217)</f>
        <v/>
      </c>
      <c r="AG217">
        <f t="shared" si="51"/>
        <v>0</v>
      </c>
      <c r="AH217">
        <f t="shared" si="52"/>
        <v>0</v>
      </c>
    </row>
    <row r="218" spans="1:34">
      <c r="A218" t="str">
        <f>IF(进销存对接!$D218="客户应收",进销存对接!$C218,"")</f>
        <v/>
      </c>
      <c r="B218">
        <f t="shared" si="42"/>
        <v>0</v>
      </c>
      <c r="C218">
        <f t="shared" si="43"/>
        <v>0</v>
      </c>
      <c r="E218" t="str">
        <f t="shared" si="44"/>
        <v/>
      </c>
      <c r="G218">
        <f>IF(OR($G$1="",资金日记账!$E211="",资金日记账!$E211&lt;&gt;$G$1),0,IF(NOT(OR(N(资金日记账!$H211)&lt;&gt;0,N(资金日记账!$I211)&lt;&gt;0)),0,IF(资金日记账!$B211="",1,IF(OR(N(资金日记账!$B211)&lt;$H$1,N(资金日记账!$B211)&gt;$I$1),0,1))))</f>
        <v>0</v>
      </c>
      <c r="H218">
        <f t="shared" si="45"/>
        <v>0</v>
      </c>
      <c r="I218" t="str">
        <f>IF($G218=0,"",IF(资金日记账!$B211=0,"",资金日记账!$B211))</f>
        <v/>
      </c>
      <c r="J218" t="str">
        <f>IF($G218=0,"",IF(资金日记账!$D211=0,"",资金日记账!$D211))</f>
        <v/>
      </c>
      <c r="K218" t="str">
        <f t="shared" si="53"/>
        <v/>
      </c>
      <c r="L218" t="str">
        <f t="shared" si="54"/>
        <v/>
      </c>
      <c r="M218" t="str">
        <f t="shared" si="46"/>
        <v/>
      </c>
      <c r="N218" t="str">
        <f>IF($G218=0,"",IF(IF(N(资金日记账!$I211)=0,"",-ROUND(N(资金日记账!$I211),2))=0,"",IF(N(资金日记账!$I211)=0,"",-ROUND(N(资金日记账!$I211),2))))</f>
        <v/>
      </c>
      <c r="O218" t="str">
        <f>IF($G218=0,"",IF(IF(N(资金日记账!$H211)=0,"",ROUND(N(资金日记账!$H211),2))=0,"",IF(N(资金日记账!$H211)=0,"",ROUND(N(资金日记账!$H211),2))))</f>
        <v/>
      </c>
      <c r="P218" t="str">
        <f>IF($G218=0,"",IF(资金日记账!$L211=0,"",资金日记账!$L211))</f>
        <v/>
      </c>
      <c r="T218" t="str">
        <f>IF(资金日记账!$G218="","",资金日记账!$G218)</f>
        <v/>
      </c>
      <c r="U218">
        <f t="shared" si="47"/>
        <v>0</v>
      </c>
      <c r="V218">
        <f t="shared" si="48"/>
        <v>0</v>
      </c>
      <c r="Z218" t="str">
        <f>IF(成本费用登记表!$C218="","",成本费用登记表!$C218)</f>
        <v/>
      </c>
      <c r="AA218">
        <f t="shared" si="49"/>
        <v>0</v>
      </c>
      <c r="AB218">
        <f t="shared" si="50"/>
        <v>0</v>
      </c>
      <c r="AF218" t="str">
        <f>IF(OR(资金日记账!$E218="",N(资金日记账!$H218)=0),"",资金日记账!$E218)</f>
        <v/>
      </c>
      <c r="AG218">
        <f t="shared" si="51"/>
        <v>0</v>
      </c>
      <c r="AH218">
        <f t="shared" si="52"/>
        <v>0</v>
      </c>
    </row>
    <row r="219" spans="1:34">
      <c r="A219" t="str">
        <f>IF(进销存对接!$D219="客户应收",进销存对接!$C219,"")</f>
        <v/>
      </c>
      <c r="B219">
        <f t="shared" si="42"/>
        <v>0</v>
      </c>
      <c r="C219">
        <f t="shared" si="43"/>
        <v>0</v>
      </c>
      <c r="E219" t="str">
        <f t="shared" si="44"/>
        <v/>
      </c>
      <c r="G219">
        <f>IF(OR($G$1="",资金日记账!$E212="",资金日记账!$E212&lt;&gt;$G$1),0,IF(NOT(OR(N(资金日记账!$H212)&lt;&gt;0,N(资金日记账!$I212)&lt;&gt;0)),0,IF(资金日记账!$B212="",1,IF(OR(N(资金日记账!$B212)&lt;$H$1,N(资金日记账!$B212)&gt;$I$1),0,1))))</f>
        <v>0</v>
      </c>
      <c r="H219">
        <f t="shared" si="45"/>
        <v>0</v>
      </c>
      <c r="I219" t="str">
        <f>IF($G219=0,"",IF(资金日记账!$B212=0,"",资金日记账!$B212))</f>
        <v/>
      </c>
      <c r="J219" t="str">
        <f>IF($G219=0,"",IF(资金日记账!$D212=0,"",资金日记账!$D212))</f>
        <v/>
      </c>
      <c r="K219" t="str">
        <f t="shared" si="53"/>
        <v/>
      </c>
      <c r="L219" t="str">
        <f t="shared" si="54"/>
        <v/>
      </c>
      <c r="M219" t="str">
        <f t="shared" si="46"/>
        <v/>
      </c>
      <c r="N219" t="str">
        <f>IF($G219=0,"",IF(IF(N(资金日记账!$I212)=0,"",-ROUND(N(资金日记账!$I212),2))=0,"",IF(N(资金日记账!$I212)=0,"",-ROUND(N(资金日记账!$I212),2))))</f>
        <v/>
      </c>
      <c r="O219" t="str">
        <f>IF($G219=0,"",IF(IF(N(资金日记账!$H212)=0,"",ROUND(N(资金日记账!$H212),2))=0,"",IF(N(资金日记账!$H212)=0,"",ROUND(N(资金日记账!$H212),2))))</f>
        <v/>
      </c>
      <c r="P219" t="str">
        <f>IF($G219=0,"",IF(资金日记账!$L212=0,"",资金日记账!$L212))</f>
        <v/>
      </c>
      <c r="T219" t="str">
        <f>IF(资金日记账!$G219="","",资金日记账!$G219)</f>
        <v/>
      </c>
      <c r="U219">
        <f t="shared" si="47"/>
        <v>0</v>
      </c>
      <c r="V219">
        <f t="shared" si="48"/>
        <v>0</v>
      </c>
      <c r="Z219" t="str">
        <f>IF(成本费用登记表!$C219="","",成本费用登记表!$C219)</f>
        <v/>
      </c>
      <c r="AA219">
        <f t="shared" si="49"/>
        <v>0</v>
      </c>
      <c r="AB219">
        <f t="shared" si="50"/>
        <v>0</v>
      </c>
      <c r="AF219" t="str">
        <f>IF(OR(资金日记账!$E219="",N(资金日记账!$H219)=0),"",资金日记账!$E219)</f>
        <v/>
      </c>
      <c r="AG219">
        <f t="shared" si="51"/>
        <v>0</v>
      </c>
      <c r="AH219">
        <f t="shared" si="52"/>
        <v>0</v>
      </c>
    </row>
    <row r="220" spans="1:34">
      <c r="A220" t="str">
        <f>IF(进销存对接!$D220="客户应收",进销存对接!$C220,"")</f>
        <v/>
      </c>
      <c r="B220">
        <f t="shared" si="42"/>
        <v>0</v>
      </c>
      <c r="C220">
        <f t="shared" si="43"/>
        <v>0</v>
      </c>
      <c r="E220" t="str">
        <f t="shared" si="44"/>
        <v/>
      </c>
      <c r="G220">
        <f>IF(OR($G$1="",资金日记账!$E213="",资金日记账!$E213&lt;&gt;$G$1),0,IF(NOT(OR(N(资金日记账!$H213)&lt;&gt;0,N(资金日记账!$I213)&lt;&gt;0)),0,IF(资金日记账!$B213="",1,IF(OR(N(资金日记账!$B213)&lt;$H$1,N(资金日记账!$B213)&gt;$I$1),0,1))))</f>
        <v>0</v>
      </c>
      <c r="H220">
        <f t="shared" si="45"/>
        <v>0</v>
      </c>
      <c r="I220" t="str">
        <f>IF($G220=0,"",IF(资金日记账!$B213=0,"",资金日记账!$B213))</f>
        <v/>
      </c>
      <c r="J220" t="str">
        <f>IF($G220=0,"",IF(资金日记账!$D213=0,"",资金日记账!$D213))</f>
        <v/>
      </c>
      <c r="K220" t="str">
        <f t="shared" si="53"/>
        <v/>
      </c>
      <c r="L220" t="str">
        <f t="shared" si="54"/>
        <v/>
      </c>
      <c r="M220" t="str">
        <f t="shared" si="46"/>
        <v/>
      </c>
      <c r="N220" t="str">
        <f>IF($G220=0,"",IF(IF(N(资金日记账!$I213)=0,"",-ROUND(N(资金日记账!$I213),2))=0,"",IF(N(资金日记账!$I213)=0,"",-ROUND(N(资金日记账!$I213),2))))</f>
        <v/>
      </c>
      <c r="O220" t="str">
        <f>IF($G220=0,"",IF(IF(N(资金日记账!$H213)=0,"",ROUND(N(资金日记账!$H213),2))=0,"",IF(N(资金日记账!$H213)=0,"",ROUND(N(资金日记账!$H213),2))))</f>
        <v/>
      </c>
      <c r="P220" t="str">
        <f>IF($G220=0,"",IF(资金日记账!$L213=0,"",资金日记账!$L213))</f>
        <v/>
      </c>
      <c r="T220" t="str">
        <f>IF(资金日记账!$G220="","",资金日记账!$G220)</f>
        <v/>
      </c>
      <c r="U220">
        <f t="shared" si="47"/>
        <v>0</v>
      </c>
      <c r="V220">
        <f t="shared" si="48"/>
        <v>0</v>
      </c>
      <c r="Z220" t="str">
        <f>IF(成本费用登记表!$C220="","",成本费用登记表!$C220)</f>
        <v/>
      </c>
      <c r="AA220">
        <f t="shared" si="49"/>
        <v>0</v>
      </c>
      <c r="AB220">
        <f t="shared" si="50"/>
        <v>0</v>
      </c>
      <c r="AF220" t="str">
        <f>IF(OR(资金日记账!$E220="",N(资金日记账!$H220)=0),"",资金日记账!$E220)</f>
        <v/>
      </c>
      <c r="AG220">
        <f t="shared" si="51"/>
        <v>0</v>
      </c>
      <c r="AH220">
        <f t="shared" si="52"/>
        <v>0</v>
      </c>
    </row>
    <row r="221" spans="1:34">
      <c r="A221" t="str">
        <f>IF(进销存对接!$D221="客户应收",进销存对接!$C221,"")</f>
        <v/>
      </c>
      <c r="B221">
        <f t="shared" si="42"/>
        <v>0</v>
      </c>
      <c r="C221">
        <f t="shared" si="43"/>
        <v>0</v>
      </c>
      <c r="E221" t="str">
        <f t="shared" si="44"/>
        <v/>
      </c>
      <c r="G221">
        <f>IF(OR($G$1="",资金日记账!$E214="",资金日记账!$E214&lt;&gt;$G$1),0,IF(NOT(OR(N(资金日记账!$H214)&lt;&gt;0,N(资金日记账!$I214)&lt;&gt;0)),0,IF(资金日记账!$B214="",1,IF(OR(N(资金日记账!$B214)&lt;$H$1,N(资金日记账!$B214)&gt;$I$1),0,1))))</f>
        <v>0</v>
      </c>
      <c r="H221">
        <f t="shared" si="45"/>
        <v>0</v>
      </c>
      <c r="I221" t="str">
        <f>IF($G221=0,"",IF(资金日记账!$B214=0,"",资金日记账!$B214))</f>
        <v/>
      </c>
      <c r="J221" t="str">
        <f>IF($G221=0,"",IF(资金日记账!$D214=0,"",资金日记账!$D214))</f>
        <v/>
      </c>
      <c r="K221" t="str">
        <f t="shared" si="53"/>
        <v/>
      </c>
      <c r="L221" t="str">
        <f t="shared" si="54"/>
        <v/>
      </c>
      <c r="M221" t="str">
        <f t="shared" si="46"/>
        <v/>
      </c>
      <c r="N221" t="str">
        <f>IF($G221=0,"",IF(IF(N(资金日记账!$I214)=0,"",-ROUND(N(资金日记账!$I214),2))=0,"",IF(N(资金日记账!$I214)=0,"",-ROUND(N(资金日记账!$I214),2))))</f>
        <v/>
      </c>
      <c r="O221" t="str">
        <f>IF($G221=0,"",IF(IF(N(资金日记账!$H214)=0,"",ROUND(N(资金日记账!$H214),2))=0,"",IF(N(资金日记账!$H214)=0,"",ROUND(N(资金日记账!$H214),2))))</f>
        <v/>
      </c>
      <c r="P221" t="str">
        <f>IF($G221=0,"",IF(资金日记账!$L214=0,"",资金日记账!$L214))</f>
        <v/>
      </c>
      <c r="T221" t="str">
        <f>IF(资金日记账!$G221="","",资金日记账!$G221)</f>
        <v/>
      </c>
      <c r="U221">
        <f t="shared" si="47"/>
        <v>0</v>
      </c>
      <c r="V221">
        <f t="shared" si="48"/>
        <v>0</v>
      </c>
      <c r="Z221" t="str">
        <f>IF(成本费用登记表!$C221="","",成本费用登记表!$C221)</f>
        <v/>
      </c>
      <c r="AA221">
        <f t="shared" si="49"/>
        <v>0</v>
      </c>
      <c r="AB221">
        <f t="shared" si="50"/>
        <v>0</v>
      </c>
      <c r="AF221" t="str">
        <f>IF(OR(资金日记账!$E221="",N(资金日记账!$H221)=0),"",资金日记账!$E221)</f>
        <v/>
      </c>
      <c r="AG221">
        <f t="shared" si="51"/>
        <v>0</v>
      </c>
      <c r="AH221">
        <f t="shared" si="52"/>
        <v>0</v>
      </c>
    </row>
    <row r="222" spans="1:34">
      <c r="A222" t="str">
        <f>IF(进销存对接!$D222="客户应收",进销存对接!$C222,"")</f>
        <v/>
      </c>
      <c r="B222">
        <f t="shared" si="42"/>
        <v>0</v>
      </c>
      <c r="C222">
        <f t="shared" si="43"/>
        <v>0</v>
      </c>
      <c r="E222" t="str">
        <f t="shared" si="44"/>
        <v/>
      </c>
      <c r="G222">
        <f>IF(OR($G$1="",资金日记账!$E215="",资金日记账!$E215&lt;&gt;$G$1),0,IF(NOT(OR(N(资金日记账!$H215)&lt;&gt;0,N(资金日记账!$I215)&lt;&gt;0)),0,IF(资金日记账!$B215="",1,IF(OR(N(资金日记账!$B215)&lt;$H$1,N(资金日记账!$B215)&gt;$I$1),0,1))))</f>
        <v>0</v>
      </c>
      <c r="H222">
        <f t="shared" si="45"/>
        <v>0</v>
      </c>
      <c r="I222" t="str">
        <f>IF($G222=0,"",IF(资金日记账!$B215=0,"",资金日记账!$B215))</f>
        <v/>
      </c>
      <c r="J222" t="str">
        <f>IF($G222=0,"",IF(资金日记账!$D215=0,"",资金日记账!$D215))</f>
        <v/>
      </c>
      <c r="K222" t="str">
        <f t="shared" si="53"/>
        <v/>
      </c>
      <c r="L222" t="str">
        <f t="shared" si="54"/>
        <v/>
      </c>
      <c r="M222" t="str">
        <f t="shared" si="46"/>
        <v/>
      </c>
      <c r="N222" t="str">
        <f>IF($G222=0,"",IF(IF(N(资金日记账!$I215)=0,"",-ROUND(N(资金日记账!$I215),2))=0,"",IF(N(资金日记账!$I215)=0,"",-ROUND(N(资金日记账!$I215),2))))</f>
        <v/>
      </c>
      <c r="O222" t="str">
        <f>IF($G222=0,"",IF(IF(N(资金日记账!$H215)=0,"",ROUND(N(资金日记账!$H215),2))=0,"",IF(N(资金日记账!$H215)=0,"",ROUND(N(资金日记账!$H215),2))))</f>
        <v/>
      </c>
      <c r="P222" t="str">
        <f>IF($G222=0,"",IF(资金日记账!$L215=0,"",资金日记账!$L215))</f>
        <v/>
      </c>
      <c r="T222" t="str">
        <f>IF(资金日记账!$G222="","",资金日记账!$G222)</f>
        <v/>
      </c>
      <c r="U222">
        <f t="shared" si="47"/>
        <v>0</v>
      </c>
      <c r="V222">
        <f t="shared" si="48"/>
        <v>0</v>
      </c>
      <c r="Z222" t="str">
        <f>IF(成本费用登记表!$C222="","",成本费用登记表!$C222)</f>
        <v/>
      </c>
      <c r="AA222">
        <f t="shared" si="49"/>
        <v>0</v>
      </c>
      <c r="AB222">
        <f t="shared" si="50"/>
        <v>0</v>
      </c>
      <c r="AF222" t="str">
        <f>IF(OR(资金日记账!$E222="",N(资金日记账!$H222)=0),"",资金日记账!$E222)</f>
        <v/>
      </c>
      <c r="AG222">
        <f t="shared" si="51"/>
        <v>0</v>
      </c>
      <c r="AH222">
        <f t="shared" si="52"/>
        <v>0</v>
      </c>
    </row>
    <row r="223" spans="1:34">
      <c r="A223" t="str">
        <f>IF(进销存对接!$D223="客户应收",进销存对接!$C223,"")</f>
        <v/>
      </c>
      <c r="B223">
        <f t="shared" si="42"/>
        <v>0</v>
      </c>
      <c r="C223">
        <f t="shared" si="43"/>
        <v>0</v>
      </c>
      <c r="E223" t="str">
        <f t="shared" si="44"/>
        <v/>
      </c>
      <c r="G223">
        <f>IF(OR($G$1="",资金日记账!$E216="",资金日记账!$E216&lt;&gt;$G$1),0,IF(NOT(OR(N(资金日记账!$H216)&lt;&gt;0,N(资金日记账!$I216)&lt;&gt;0)),0,IF(资金日记账!$B216="",1,IF(OR(N(资金日记账!$B216)&lt;$H$1,N(资金日记账!$B216)&gt;$I$1),0,1))))</f>
        <v>0</v>
      </c>
      <c r="H223">
        <f t="shared" si="45"/>
        <v>0</v>
      </c>
      <c r="I223" t="str">
        <f>IF($G223=0,"",IF(资金日记账!$B216=0,"",资金日记账!$B216))</f>
        <v/>
      </c>
      <c r="J223" t="str">
        <f>IF($G223=0,"",IF(资金日记账!$D216=0,"",资金日记账!$D216))</f>
        <v/>
      </c>
      <c r="K223" t="str">
        <f t="shared" si="53"/>
        <v/>
      </c>
      <c r="L223" t="str">
        <f t="shared" si="54"/>
        <v/>
      </c>
      <c r="M223" t="str">
        <f t="shared" si="46"/>
        <v/>
      </c>
      <c r="N223" t="str">
        <f>IF($G223=0,"",IF(IF(N(资金日记账!$I216)=0,"",-ROUND(N(资金日记账!$I216),2))=0,"",IF(N(资金日记账!$I216)=0,"",-ROUND(N(资金日记账!$I216),2))))</f>
        <v/>
      </c>
      <c r="O223" t="str">
        <f>IF($G223=0,"",IF(IF(N(资金日记账!$H216)=0,"",ROUND(N(资金日记账!$H216),2))=0,"",IF(N(资金日记账!$H216)=0,"",ROUND(N(资金日记账!$H216),2))))</f>
        <v/>
      </c>
      <c r="P223" t="str">
        <f>IF($G223=0,"",IF(资金日记账!$L216=0,"",资金日记账!$L216))</f>
        <v/>
      </c>
      <c r="T223" t="str">
        <f>IF(资金日记账!$G223="","",资金日记账!$G223)</f>
        <v/>
      </c>
      <c r="U223">
        <f t="shared" si="47"/>
        <v>0</v>
      </c>
      <c r="V223">
        <f t="shared" si="48"/>
        <v>0</v>
      </c>
      <c r="Z223" t="str">
        <f>IF(成本费用登记表!$C223="","",成本费用登记表!$C223)</f>
        <v/>
      </c>
      <c r="AA223">
        <f t="shared" si="49"/>
        <v>0</v>
      </c>
      <c r="AB223">
        <f t="shared" si="50"/>
        <v>0</v>
      </c>
      <c r="AF223" t="str">
        <f>IF(OR(资金日记账!$E223="",N(资金日记账!$H223)=0),"",资金日记账!$E223)</f>
        <v/>
      </c>
      <c r="AG223">
        <f t="shared" si="51"/>
        <v>0</v>
      </c>
      <c r="AH223">
        <f t="shared" si="52"/>
        <v>0</v>
      </c>
    </row>
    <row r="224" spans="1:34">
      <c r="A224" t="str">
        <f>IF(进销存对接!$D224="客户应收",进销存对接!$C224,"")</f>
        <v/>
      </c>
      <c r="B224">
        <f t="shared" si="42"/>
        <v>0</v>
      </c>
      <c r="C224">
        <f t="shared" si="43"/>
        <v>0</v>
      </c>
      <c r="E224" t="str">
        <f t="shared" si="44"/>
        <v/>
      </c>
      <c r="G224">
        <f>IF(OR($G$1="",资金日记账!$E217="",资金日记账!$E217&lt;&gt;$G$1),0,IF(NOT(OR(N(资金日记账!$H217)&lt;&gt;0,N(资金日记账!$I217)&lt;&gt;0)),0,IF(资金日记账!$B217="",1,IF(OR(N(资金日记账!$B217)&lt;$H$1,N(资金日记账!$B217)&gt;$I$1),0,1))))</f>
        <v>0</v>
      </c>
      <c r="H224">
        <f t="shared" si="45"/>
        <v>0</v>
      </c>
      <c r="I224" t="str">
        <f>IF($G224=0,"",IF(资金日记账!$B217=0,"",资金日记账!$B217))</f>
        <v/>
      </c>
      <c r="J224" t="str">
        <f>IF($G224=0,"",IF(资金日记账!$D217=0,"",资金日记账!$D217))</f>
        <v/>
      </c>
      <c r="K224" t="str">
        <f t="shared" si="53"/>
        <v/>
      </c>
      <c r="L224" t="str">
        <f t="shared" si="54"/>
        <v/>
      </c>
      <c r="M224" t="str">
        <f t="shared" si="46"/>
        <v/>
      </c>
      <c r="N224" t="str">
        <f>IF($G224=0,"",IF(IF(N(资金日记账!$I217)=0,"",-ROUND(N(资金日记账!$I217),2))=0,"",IF(N(资金日记账!$I217)=0,"",-ROUND(N(资金日记账!$I217),2))))</f>
        <v/>
      </c>
      <c r="O224" t="str">
        <f>IF($G224=0,"",IF(IF(N(资金日记账!$H217)=0,"",ROUND(N(资金日记账!$H217),2))=0,"",IF(N(资金日记账!$H217)=0,"",ROUND(N(资金日记账!$H217),2))))</f>
        <v/>
      </c>
      <c r="P224" t="str">
        <f>IF($G224=0,"",IF(资金日记账!$L217=0,"",资金日记账!$L217))</f>
        <v/>
      </c>
      <c r="T224" t="str">
        <f>IF(资金日记账!$G224="","",资金日记账!$G224)</f>
        <v/>
      </c>
      <c r="U224">
        <f t="shared" si="47"/>
        <v>0</v>
      </c>
      <c r="V224">
        <f t="shared" si="48"/>
        <v>0</v>
      </c>
      <c r="Z224" t="str">
        <f>IF(成本费用登记表!$C224="","",成本费用登记表!$C224)</f>
        <v/>
      </c>
      <c r="AA224">
        <f t="shared" si="49"/>
        <v>0</v>
      </c>
      <c r="AB224">
        <f t="shared" si="50"/>
        <v>0</v>
      </c>
      <c r="AF224" t="str">
        <f>IF(OR(资金日记账!$E224="",N(资金日记账!$H224)=0),"",资金日记账!$E224)</f>
        <v/>
      </c>
      <c r="AG224">
        <f t="shared" si="51"/>
        <v>0</v>
      </c>
      <c r="AH224">
        <f t="shared" si="52"/>
        <v>0</v>
      </c>
    </row>
    <row r="225" spans="1:34">
      <c r="A225" t="str">
        <f>IF(进销存对接!$D225="客户应收",进销存对接!$C225,"")</f>
        <v/>
      </c>
      <c r="B225">
        <f t="shared" si="42"/>
        <v>0</v>
      </c>
      <c r="C225">
        <f t="shared" si="43"/>
        <v>0</v>
      </c>
      <c r="E225" t="str">
        <f t="shared" si="44"/>
        <v/>
      </c>
      <c r="G225">
        <f>IF(OR($G$1="",资金日记账!$E218="",资金日记账!$E218&lt;&gt;$G$1),0,IF(NOT(OR(N(资金日记账!$H218)&lt;&gt;0,N(资金日记账!$I218)&lt;&gt;0)),0,IF(资金日记账!$B218="",1,IF(OR(N(资金日记账!$B218)&lt;$H$1,N(资金日记账!$B218)&gt;$I$1),0,1))))</f>
        <v>0</v>
      </c>
      <c r="H225">
        <f t="shared" si="45"/>
        <v>0</v>
      </c>
      <c r="I225" t="str">
        <f>IF($G225=0,"",IF(资金日记账!$B218=0,"",资金日记账!$B218))</f>
        <v/>
      </c>
      <c r="J225" t="str">
        <f>IF($G225=0,"",IF(资金日记账!$D218=0,"",资金日记账!$D218))</f>
        <v/>
      </c>
      <c r="K225" t="str">
        <f t="shared" si="53"/>
        <v/>
      </c>
      <c r="L225" t="str">
        <f t="shared" si="54"/>
        <v/>
      </c>
      <c r="M225" t="str">
        <f t="shared" si="46"/>
        <v/>
      </c>
      <c r="N225" t="str">
        <f>IF($G225=0,"",IF(IF(N(资金日记账!$I218)=0,"",-ROUND(N(资金日记账!$I218),2))=0,"",IF(N(资金日记账!$I218)=0,"",-ROUND(N(资金日记账!$I218),2))))</f>
        <v/>
      </c>
      <c r="O225" t="str">
        <f>IF($G225=0,"",IF(IF(N(资金日记账!$H218)=0,"",ROUND(N(资金日记账!$H218),2))=0,"",IF(N(资金日记账!$H218)=0,"",ROUND(N(资金日记账!$H218),2))))</f>
        <v/>
      </c>
      <c r="P225" t="str">
        <f>IF($G225=0,"",IF(资金日记账!$L218=0,"",资金日记账!$L218))</f>
        <v/>
      </c>
      <c r="T225" t="str">
        <f>IF(资金日记账!$G225="","",资金日记账!$G225)</f>
        <v/>
      </c>
      <c r="U225">
        <f t="shared" si="47"/>
        <v>0</v>
      </c>
      <c r="V225">
        <f t="shared" si="48"/>
        <v>0</v>
      </c>
      <c r="Z225" t="str">
        <f>IF(成本费用登记表!$C225="","",成本费用登记表!$C225)</f>
        <v/>
      </c>
      <c r="AA225">
        <f t="shared" si="49"/>
        <v>0</v>
      </c>
      <c r="AB225">
        <f t="shared" si="50"/>
        <v>0</v>
      </c>
      <c r="AF225" t="str">
        <f>IF(OR(资金日记账!$E225="",N(资金日记账!$H225)=0),"",资金日记账!$E225)</f>
        <v/>
      </c>
      <c r="AG225">
        <f t="shared" si="51"/>
        <v>0</v>
      </c>
      <c r="AH225">
        <f t="shared" si="52"/>
        <v>0</v>
      </c>
    </row>
    <row r="226" spans="1:34">
      <c r="A226" t="str">
        <f>IF(进销存对接!$D226="客户应收",进销存对接!$C226,"")</f>
        <v/>
      </c>
      <c r="B226">
        <f t="shared" si="42"/>
        <v>0</v>
      </c>
      <c r="C226">
        <f t="shared" si="43"/>
        <v>0</v>
      </c>
      <c r="E226" t="str">
        <f t="shared" si="44"/>
        <v/>
      </c>
      <c r="G226">
        <f>IF(OR($G$1="",资金日记账!$E219="",资金日记账!$E219&lt;&gt;$G$1),0,IF(NOT(OR(N(资金日记账!$H219)&lt;&gt;0,N(资金日记账!$I219)&lt;&gt;0)),0,IF(资金日记账!$B219="",1,IF(OR(N(资金日记账!$B219)&lt;$H$1,N(资金日记账!$B219)&gt;$I$1),0,1))))</f>
        <v>0</v>
      </c>
      <c r="H226">
        <f t="shared" si="45"/>
        <v>0</v>
      </c>
      <c r="I226" t="str">
        <f>IF($G226=0,"",IF(资金日记账!$B219=0,"",资金日记账!$B219))</f>
        <v/>
      </c>
      <c r="J226" t="str">
        <f>IF($G226=0,"",IF(资金日记账!$D219=0,"",资金日记账!$D219))</f>
        <v/>
      </c>
      <c r="K226" t="str">
        <f t="shared" si="53"/>
        <v/>
      </c>
      <c r="L226" t="str">
        <f t="shared" si="54"/>
        <v/>
      </c>
      <c r="M226" t="str">
        <f t="shared" si="46"/>
        <v/>
      </c>
      <c r="N226" t="str">
        <f>IF($G226=0,"",IF(IF(N(资金日记账!$I219)=0,"",-ROUND(N(资金日记账!$I219),2))=0,"",IF(N(资金日记账!$I219)=0,"",-ROUND(N(资金日记账!$I219),2))))</f>
        <v/>
      </c>
      <c r="O226" t="str">
        <f>IF($G226=0,"",IF(IF(N(资金日记账!$H219)=0,"",ROUND(N(资金日记账!$H219),2))=0,"",IF(N(资金日记账!$H219)=0,"",ROUND(N(资金日记账!$H219),2))))</f>
        <v/>
      </c>
      <c r="P226" t="str">
        <f>IF($G226=0,"",IF(资金日记账!$L219=0,"",资金日记账!$L219))</f>
        <v/>
      </c>
      <c r="T226" t="str">
        <f>IF(资金日记账!$G226="","",资金日记账!$G226)</f>
        <v/>
      </c>
      <c r="U226">
        <f t="shared" si="47"/>
        <v>0</v>
      </c>
      <c r="V226">
        <f t="shared" si="48"/>
        <v>0</v>
      </c>
      <c r="Z226" t="str">
        <f>IF(成本费用登记表!$C226="","",成本费用登记表!$C226)</f>
        <v/>
      </c>
      <c r="AA226">
        <f t="shared" si="49"/>
        <v>0</v>
      </c>
      <c r="AB226">
        <f t="shared" si="50"/>
        <v>0</v>
      </c>
      <c r="AF226" t="str">
        <f>IF(OR(资金日记账!$E226="",N(资金日记账!$H226)=0),"",资金日记账!$E226)</f>
        <v/>
      </c>
      <c r="AG226">
        <f t="shared" si="51"/>
        <v>0</v>
      </c>
      <c r="AH226">
        <f t="shared" si="52"/>
        <v>0</v>
      </c>
    </row>
    <row r="227" spans="1:34">
      <c r="A227" t="str">
        <f>IF(进销存对接!$D227="客户应收",进销存对接!$C227,"")</f>
        <v/>
      </c>
      <c r="B227">
        <f t="shared" si="42"/>
        <v>0</v>
      </c>
      <c r="C227">
        <f t="shared" si="43"/>
        <v>0</v>
      </c>
      <c r="E227" t="str">
        <f t="shared" si="44"/>
        <v/>
      </c>
      <c r="G227">
        <f>IF(OR($G$1="",资金日记账!$E220="",资金日记账!$E220&lt;&gt;$G$1),0,IF(NOT(OR(N(资金日记账!$H220)&lt;&gt;0,N(资金日记账!$I220)&lt;&gt;0)),0,IF(资金日记账!$B220="",1,IF(OR(N(资金日记账!$B220)&lt;$H$1,N(资金日记账!$B220)&gt;$I$1),0,1))))</f>
        <v>0</v>
      </c>
      <c r="H227">
        <f t="shared" si="45"/>
        <v>0</v>
      </c>
      <c r="I227" t="str">
        <f>IF($G227=0,"",IF(资金日记账!$B220=0,"",资金日记账!$B220))</f>
        <v/>
      </c>
      <c r="J227" t="str">
        <f>IF($G227=0,"",IF(资金日记账!$D220=0,"",资金日记账!$D220))</f>
        <v/>
      </c>
      <c r="K227" t="str">
        <f t="shared" si="53"/>
        <v/>
      </c>
      <c r="L227" t="str">
        <f t="shared" si="54"/>
        <v/>
      </c>
      <c r="M227" t="str">
        <f t="shared" si="46"/>
        <v/>
      </c>
      <c r="N227" t="str">
        <f>IF($G227=0,"",IF(IF(N(资金日记账!$I220)=0,"",-ROUND(N(资金日记账!$I220),2))=0,"",IF(N(资金日记账!$I220)=0,"",-ROUND(N(资金日记账!$I220),2))))</f>
        <v/>
      </c>
      <c r="O227" t="str">
        <f>IF($G227=0,"",IF(IF(N(资金日记账!$H220)=0,"",ROUND(N(资金日记账!$H220),2))=0,"",IF(N(资金日记账!$H220)=0,"",ROUND(N(资金日记账!$H220),2))))</f>
        <v/>
      </c>
      <c r="P227" t="str">
        <f>IF($G227=0,"",IF(资金日记账!$L220=0,"",资金日记账!$L220))</f>
        <v/>
      </c>
      <c r="T227" t="str">
        <f>IF(资金日记账!$G227="","",资金日记账!$G227)</f>
        <v/>
      </c>
      <c r="U227">
        <f t="shared" si="47"/>
        <v>0</v>
      </c>
      <c r="V227">
        <f t="shared" si="48"/>
        <v>0</v>
      </c>
      <c r="Z227" t="str">
        <f>IF(成本费用登记表!$C227="","",成本费用登记表!$C227)</f>
        <v/>
      </c>
      <c r="AA227">
        <f t="shared" si="49"/>
        <v>0</v>
      </c>
      <c r="AB227">
        <f t="shared" si="50"/>
        <v>0</v>
      </c>
      <c r="AF227" t="str">
        <f>IF(OR(资金日记账!$E227="",N(资金日记账!$H227)=0),"",资金日记账!$E227)</f>
        <v/>
      </c>
      <c r="AG227">
        <f t="shared" si="51"/>
        <v>0</v>
      </c>
      <c r="AH227">
        <f t="shared" si="52"/>
        <v>0</v>
      </c>
    </row>
    <row r="228" spans="1:34">
      <c r="A228" t="str">
        <f>IF(进销存对接!$D228="客户应收",进销存对接!$C228,"")</f>
        <v/>
      </c>
      <c r="B228">
        <f t="shared" si="42"/>
        <v>0</v>
      </c>
      <c r="C228">
        <f t="shared" si="43"/>
        <v>0</v>
      </c>
      <c r="E228" t="str">
        <f t="shared" si="44"/>
        <v/>
      </c>
      <c r="G228">
        <f>IF(OR($G$1="",资金日记账!$E221="",资金日记账!$E221&lt;&gt;$G$1),0,IF(NOT(OR(N(资金日记账!$H221)&lt;&gt;0,N(资金日记账!$I221)&lt;&gt;0)),0,IF(资金日记账!$B221="",1,IF(OR(N(资金日记账!$B221)&lt;$H$1,N(资金日记账!$B221)&gt;$I$1),0,1))))</f>
        <v>0</v>
      </c>
      <c r="H228">
        <f t="shared" si="45"/>
        <v>0</v>
      </c>
      <c r="I228" t="str">
        <f>IF($G228=0,"",IF(资金日记账!$B221=0,"",资金日记账!$B221))</f>
        <v/>
      </c>
      <c r="J228" t="str">
        <f>IF($G228=0,"",IF(资金日记账!$D221=0,"",资金日记账!$D221))</f>
        <v/>
      </c>
      <c r="K228" t="str">
        <f t="shared" si="53"/>
        <v/>
      </c>
      <c r="L228" t="str">
        <f t="shared" si="54"/>
        <v/>
      </c>
      <c r="M228" t="str">
        <f t="shared" si="46"/>
        <v/>
      </c>
      <c r="N228" t="str">
        <f>IF($G228=0,"",IF(IF(N(资金日记账!$I221)=0,"",-ROUND(N(资金日记账!$I221),2))=0,"",IF(N(资金日记账!$I221)=0,"",-ROUND(N(资金日记账!$I221),2))))</f>
        <v/>
      </c>
      <c r="O228" t="str">
        <f>IF($G228=0,"",IF(IF(N(资金日记账!$H221)=0,"",ROUND(N(资金日记账!$H221),2))=0,"",IF(N(资金日记账!$H221)=0,"",ROUND(N(资金日记账!$H221),2))))</f>
        <v/>
      </c>
      <c r="P228" t="str">
        <f>IF($G228=0,"",IF(资金日记账!$L221=0,"",资金日记账!$L221))</f>
        <v/>
      </c>
      <c r="T228" t="str">
        <f>IF(资金日记账!$G228="","",资金日记账!$G228)</f>
        <v/>
      </c>
      <c r="U228">
        <f t="shared" si="47"/>
        <v>0</v>
      </c>
      <c r="V228">
        <f t="shared" si="48"/>
        <v>0</v>
      </c>
      <c r="Z228" t="str">
        <f>IF(成本费用登记表!$C228="","",成本费用登记表!$C228)</f>
        <v/>
      </c>
      <c r="AA228">
        <f t="shared" si="49"/>
        <v>0</v>
      </c>
      <c r="AB228">
        <f t="shared" si="50"/>
        <v>0</v>
      </c>
      <c r="AF228" t="str">
        <f>IF(OR(资金日记账!$E228="",N(资金日记账!$H228)=0),"",资金日记账!$E228)</f>
        <v/>
      </c>
      <c r="AG228">
        <f t="shared" si="51"/>
        <v>0</v>
      </c>
      <c r="AH228">
        <f t="shared" si="52"/>
        <v>0</v>
      </c>
    </row>
    <row r="229" spans="1:34">
      <c r="A229" t="str">
        <f>IF(进销存对接!$D229="客户应收",进销存对接!$C229,"")</f>
        <v/>
      </c>
      <c r="B229">
        <f t="shared" si="42"/>
        <v>0</v>
      </c>
      <c r="C229">
        <f t="shared" si="43"/>
        <v>0</v>
      </c>
      <c r="E229" t="str">
        <f t="shared" si="44"/>
        <v/>
      </c>
      <c r="G229">
        <f>IF(OR($G$1="",资金日记账!$E222="",资金日记账!$E222&lt;&gt;$G$1),0,IF(NOT(OR(N(资金日记账!$H222)&lt;&gt;0,N(资金日记账!$I222)&lt;&gt;0)),0,IF(资金日记账!$B222="",1,IF(OR(N(资金日记账!$B222)&lt;$H$1,N(资金日记账!$B222)&gt;$I$1),0,1))))</f>
        <v>0</v>
      </c>
      <c r="H229">
        <f t="shared" si="45"/>
        <v>0</v>
      </c>
      <c r="I229" t="str">
        <f>IF($G229=0,"",IF(资金日记账!$B222=0,"",资金日记账!$B222))</f>
        <v/>
      </c>
      <c r="J229" t="str">
        <f>IF($G229=0,"",IF(资金日记账!$D222=0,"",资金日记账!$D222))</f>
        <v/>
      </c>
      <c r="K229" t="str">
        <f t="shared" si="53"/>
        <v/>
      </c>
      <c r="L229" t="str">
        <f t="shared" si="54"/>
        <v/>
      </c>
      <c r="M229" t="str">
        <f t="shared" si="46"/>
        <v/>
      </c>
      <c r="N229" t="str">
        <f>IF($G229=0,"",IF(IF(N(资金日记账!$I222)=0,"",-ROUND(N(资金日记账!$I222),2))=0,"",IF(N(资金日记账!$I222)=0,"",-ROUND(N(资金日记账!$I222),2))))</f>
        <v/>
      </c>
      <c r="O229" t="str">
        <f>IF($G229=0,"",IF(IF(N(资金日记账!$H222)=0,"",ROUND(N(资金日记账!$H222),2))=0,"",IF(N(资金日记账!$H222)=0,"",ROUND(N(资金日记账!$H222),2))))</f>
        <v/>
      </c>
      <c r="P229" t="str">
        <f>IF($G229=0,"",IF(资金日记账!$L222=0,"",资金日记账!$L222))</f>
        <v/>
      </c>
      <c r="T229" t="str">
        <f>IF(资金日记账!$G229="","",资金日记账!$G229)</f>
        <v/>
      </c>
      <c r="U229">
        <f t="shared" si="47"/>
        <v>0</v>
      </c>
      <c r="V229">
        <f t="shared" si="48"/>
        <v>0</v>
      </c>
      <c r="Z229" t="str">
        <f>IF(成本费用登记表!$C229="","",成本费用登记表!$C229)</f>
        <v/>
      </c>
      <c r="AA229">
        <f t="shared" si="49"/>
        <v>0</v>
      </c>
      <c r="AB229">
        <f t="shared" si="50"/>
        <v>0</v>
      </c>
      <c r="AF229" t="str">
        <f>IF(OR(资金日记账!$E229="",N(资金日记账!$H229)=0),"",资金日记账!$E229)</f>
        <v/>
      </c>
      <c r="AG229">
        <f t="shared" si="51"/>
        <v>0</v>
      </c>
      <c r="AH229">
        <f t="shared" si="52"/>
        <v>0</v>
      </c>
    </row>
    <row r="230" spans="1:34">
      <c r="A230" t="str">
        <f>IF(进销存对接!$D230="客户应收",进销存对接!$C230,"")</f>
        <v/>
      </c>
      <c r="B230">
        <f t="shared" si="42"/>
        <v>0</v>
      </c>
      <c r="C230">
        <f t="shared" si="43"/>
        <v>0</v>
      </c>
      <c r="E230" t="str">
        <f t="shared" si="44"/>
        <v/>
      </c>
      <c r="G230">
        <f>IF(OR($G$1="",资金日记账!$E223="",资金日记账!$E223&lt;&gt;$G$1),0,IF(NOT(OR(N(资金日记账!$H223)&lt;&gt;0,N(资金日记账!$I223)&lt;&gt;0)),0,IF(资金日记账!$B223="",1,IF(OR(N(资金日记账!$B223)&lt;$H$1,N(资金日记账!$B223)&gt;$I$1),0,1))))</f>
        <v>0</v>
      </c>
      <c r="H230">
        <f t="shared" si="45"/>
        <v>0</v>
      </c>
      <c r="I230" t="str">
        <f>IF($G230=0,"",IF(资金日记账!$B223=0,"",资金日记账!$B223))</f>
        <v/>
      </c>
      <c r="J230" t="str">
        <f>IF($G230=0,"",IF(资金日记账!$D223=0,"",资金日记账!$D223))</f>
        <v/>
      </c>
      <c r="K230" t="str">
        <f t="shared" si="53"/>
        <v/>
      </c>
      <c r="L230" t="str">
        <f t="shared" si="54"/>
        <v/>
      </c>
      <c r="M230" t="str">
        <f t="shared" si="46"/>
        <v/>
      </c>
      <c r="N230" t="str">
        <f>IF($G230=0,"",IF(IF(N(资金日记账!$I223)=0,"",-ROUND(N(资金日记账!$I223),2))=0,"",IF(N(资金日记账!$I223)=0,"",-ROUND(N(资金日记账!$I223),2))))</f>
        <v/>
      </c>
      <c r="O230" t="str">
        <f>IF($G230=0,"",IF(IF(N(资金日记账!$H223)=0,"",ROUND(N(资金日记账!$H223),2))=0,"",IF(N(资金日记账!$H223)=0,"",ROUND(N(资金日记账!$H223),2))))</f>
        <v/>
      </c>
      <c r="P230" t="str">
        <f>IF($G230=0,"",IF(资金日记账!$L223=0,"",资金日记账!$L223))</f>
        <v/>
      </c>
      <c r="T230" t="str">
        <f>IF(资金日记账!$G230="","",资金日记账!$G230)</f>
        <v/>
      </c>
      <c r="U230">
        <f t="shared" si="47"/>
        <v>0</v>
      </c>
      <c r="V230">
        <f t="shared" si="48"/>
        <v>0</v>
      </c>
      <c r="Z230" t="str">
        <f>IF(成本费用登记表!$C230="","",成本费用登记表!$C230)</f>
        <v/>
      </c>
      <c r="AA230">
        <f t="shared" si="49"/>
        <v>0</v>
      </c>
      <c r="AB230">
        <f t="shared" si="50"/>
        <v>0</v>
      </c>
      <c r="AF230" t="str">
        <f>IF(OR(资金日记账!$E230="",N(资金日记账!$H230)=0),"",资金日记账!$E230)</f>
        <v/>
      </c>
      <c r="AG230">
        <f t="shared" si="51"/>
        <v>0</v>
      </c>
      <c r="AH230">
        <f t="shared" si="52"/>
        <v>0</v>
      </c>
    </row>
    <row r="231" spans="1:34">
      <c r="A231" t="str">
        <f>IF(进销存对接!$D231="客户应收",进销存对接!$C231,"")</f>
        <v/>
      </c>
      <c r="B231">
        <f t="shared" si="42"/>
        <v>0</v>
      </c>
      <c r="C231">
        <f t="shared" si="43"/>
        <v>0</v>
      </c>
      <c r="E231" t="str">
        <f t="shared" si="44"/>
        <v/>
      </c>
      <c r="G231">
        <f>IF(OR($G$1="",资金日记账!$E224="",资金日记账!$E224&lt;&gt;$G$1),0,IF(NOT(OR(N(资金日记账!$H224)&lt;&gt;0,N(资金日记账!$I224)&lt;&gt;0)),0,IF(资金日记账!$B224="",1,IF(OR(N(资金日记账!$B224)&lt;$H$1,N(资金日记账!$B224)&gt;$I$1),0,1))))</f>
        <v>0</v>
      </c>
      <c r="H231">
        <f t="shared" si="45"/>
        <v>0</v>
      </c>
      <c r="I231" t="str">
        <f>IF($G231=0,"",IF(资金日记账!$B224=0,"",资金日记账!$B224))</f>
        <v/>
      </c>
      <c r="J231" t="str">
        <f>IF($G231=0,"",IF(资金日记账!$D224=0,"",资金日记账!$D224))</f>
        <v/>
      </c>
      <c r="K231" t="str">
        <f t="shared" si="53"/>
        <v/>
      </c>
      <c r="L231" t="str">
        <f t="shared" si="54"/>
        <v/>
      </c>
      <c r="M231" t="str">
        <f t="shared" si="46"/>
        <v/>
      </c>
      <c r="N231" t="str">
        <f>IF($G231=0,"",IF(IF(N(资金日记账!$I224)=0,"",-ROUND(N(资金日记账!$I224),2))=0,"",IF(N(资金日记账!$I224)=0,"",-ROUND(N(资金日记账!$I224),2))))</f>
        <v/>
      </c>
      <c r="O231" t="str">
        <f>IF($G231=0,"",IF(IF(N(资金日记账!$H224)=0,"",ROUND(N(资金日记账!$H224),2))=0,"",IF(N(资金日记账!$H224)=0,"",ROUND(N(资金日记账!$H224),2))))</f>
        <v/>
      </c>
      <c r="P231" t="str">
        <f>IF($G231=0,"",IF(资金日记账!$L224=0,"",资金日记账!$L224))</f>
        <v/>
      </c>
      <c r="T231" t="str">
        <f>IF(资金日记账!$G231="","",资金日记账!$G231)</f>
        <v/>
      </c>
      <c r="U231">
        <f t="shared" si="47"/>
        <v>0</v>
      </c>
      <c r="V231">
        <f t="shared" si="48"/>
        <v>0</v>
      </c>
      <c r="Z231" t="str">
        <f>IF(成本费用登记表!$C231="","",成本费用登记表!$C231)</f>
        <v/>
      </c>
      <c r="AA231">
        <f t="shared" si="49"/>
        <v>0</v>
      </c>
      <c r="AB231">
        <f t="shared" si="50"/>
        <v>0</v>
      </c>
      <c r="AF231" t="str">
        <f>IF(OR(资金日记账!$E231="",N(资金日记账!$H231)=0),"",资金日记账!$E231)</f>
        <v/>
      </c>
      <c r="AG231">
        <f t="shared" si="51"/>
        <v>0</v>
      </c>
      <c r="AH231">
        <f t="shared" si="52"/>
        <v>0</v>
      </c>
    </row>
    <row r="232" spans="1:34">
      <c r="A232" t="str">
        <f>IF(进销存对接!$D232="客户应收",进销存对接!$C232,"")</f>
        <v/>
      </c>
      <c r="B232">
        <f t="shared" si="42"/>
        <v>0</v>
      </c>
      <c r="C232">
        <f t="shared" si="43"/>
        <v>0</v>
      </c>
      <c r="E232" t="str">
        <f t="shared" si="44"/>
        <v/>
      </c>
      <c r="G232">
        <f>IF(OR($G$1="",资金日记账!$E225="",资金日记账!$E225&lt;&gt;$G$1),0,IF(NOT(OR(N(资金日记账!$H225)&lt;&gt;0,N(资金日记账!$I225)&lt;&gt;0)),0,IF(资金日记账!$B225="",1,IF(OR(N(资金日记账!$B225)&lt;$H$1,N(资金日记账!$B225)&gt;$I$1),0,1))))</f>
        <v>0</v>
      </c>
      <c r="H232">
        <f t="shared" si="45"/>
        <v>0</v>
      </c>
      <c r="I232" t="str">
        <f>IF($G232=0,"",IF(资金日记账!$B225=0,"",资金日记账!$B225))</f>
        <v/>
      </c>
      <c r="J232" t="str">
        <f>IF($G232=0,"",IF(资金日记账!$D225=0,"",资金日记账!$D225))</f>
        <v/>
      </c>
      <c r="K232" t="str">
        <f t="shared" si="53"/>
        <v/>
      </c>
      <c r="L232" t="str">
        <f t="shared" si="54"/>
        <v/>
      </c>
      <c r="M232" t="str">
        <f t="shared" si="46"/>
        <v/>
      </c>
      <c r="N232" t="str">
        <f>IF($G232=0,"",IF(IF(N(资金日记账!$I225)=0,"",-ROUND(N(资金日记账!$I225),2))=0,"",IF(N(资金日记账!$I225)=0,"",-ROUND(N(资金日记账!$I225),2))))</f>
        <v/>
      </c>
      <c r="O232" t="str">
        <f>IF($G232=0,"",IF(IF(N(资金日记账!$H225)=0,"",ROUND(N(资金日记账!$H225),2))=0,"",IF(N(资金日记账!$H225)=0,"",ROUND(N(资金日记账!$H225),2))))</f>
        <v/>
      </c>
      <c r="P232" t="str">
        <f>IF($G232=0,"",IF(资金日记账!$L225=0,"",资金日记账!$L225))</f>
        <v/>
      </c>
      <c r="T232" t="str">
        <f>IF(资金日记账!$G232="","",资金日记账!$G232)</f>
        <v/>
      </c>
      <c r="U232">
        <f t="shared" si="47"/>
        <v>0</v>
      </c>
      <c r="V232">
        <f t="shared" si="48"/>
        <v>0</v>
      </c>
      <c r="Z232" t="str">
        <f>IF(成本费用登记表!$C232="","",成本费用登记表!$C232)</f>
        <v/>
      </c>
      <c r="AA232">
        <f t="shared" si="49"/>
        <v>0</v>
      </c>
      <c r="AB232">
        <f t="shared" si="50"/>
        <v>0</v>
      </c>
      <c r="AF232" t="str">
        <f>IF(OR(资金日记账!$E232="",N(资金日记账!$H232)=0),"",资金日记账!$E232)</f>
        <v/>
      </c>
      <c r="AG232">
        <f t="shared" si="51"/>
        <v>0</v>
      </c>
      <c r="AH232">
        <f t="shared" si="52"/>
        <v>0</v>
      </c>
    </row>
    <row r="233" spans="1:34">
      <c r="A233" t="str">
        <f>IF(进销存对接!$D233="客户应收",进销存对接!$C233,"")</f>
        <v/>
      </c>
      <c r="B233">
        <f t="shared" si="42"/>
        <v>0</v>
      </c>
      <c r="C233">
        <f t="shared" si="43"/>
        <v>0</v>
      </c>
      <c r="E233" t="str">
        <f t="shared" si="44"/>
        <v/>
      </c>
      <c r="G233">
        <f>IF(OR($G$1="",资金日记账!$E226="",资金日记账!$E226&lt;&gt;$G$1),0,IF(NOT(OR(N(资金日记账!$H226)&lt;&gt;0,N(资金日记账!$I226)&lt;&gt;0)),0,IF(资金日记账!$B226="",1,IF(OR(N(资金日记账!$B226)&lt;$H$1,N(资金日记账!$B226)&gt;$I$1),0,1))))</f>
        <v>0</v>
      </c>
      <c r="H233">
        <f t="shared" si="45"/>
        <v>0</v>
      </c>
      <c r="I233" t="str">
        <f>IF($G233=0,"",IF(资金日记账!$B226=0,"",资金日记账!$B226))</f>
        <v/>
      </c>
      <c r="J233" t="str">
        <f>IF($G233=0,"",IF(资金日记账!$D226=0,"",资金日记账!$D226))</f>
        <v/>
      </c>
      <c r="K233" t="str">
        <f t="shared" si="53"/>
        <v/>
      </c>
      <c r="L233" t="str">
        <f t="shared" si="54"/>
        <v/>
      </c>
      <c r="M233" t="str">
        <f t="shared" si="46"/>
        <v/>
      </c>
      <c r="N233" t="str">
        <f>IF($G233=0,"",IF(IF(N(资金日记账!$I226)=0,"",-ROUND(N(资金日记账!$I226),2))=0,"",IF(N(资金日记账!$I226)=0,"",-ROUND(N(资金日记账!$I226),2))))</f>
        <v/>
      </c>
      <c r="O233" t="str">
        <f>IF($G233=0,"",IF(IF(N(资金日记账!$H226)=0,"",ROUND(N(资金日记账!$H226),2))=0,"",IF(N(资金日记账!$H226)=0,"",ROUND(N(资金日记账!$H226),2))))</f>
        <v/>
      </c>
      <c r="P233" t="str">
        <f>IF($G233=0,"",IF(资金日记账!$L226=0,"",资金日记账!$L226))</f>
        <v/>
      </c>
      <c r="T233" t="str">
        <f>IF(资金日记账!$G233="","",资金日记账!$G233)</f>
        <v/>
      </c>
      <c r="U233">
        <f t="shared" si="47"/>
        <v>0</v>
      </c>
      <c r="V233">
        <f t="shared" si="48"/>
        <v>0</v>
      </c>
      <c r="Z233" t="str">
        <f>IF(成本费用登记表!$C233="","",成本费用登记表!$C233)</f>
        <v/>
      </c>
      <c r="AA233">
        <f t="shared" si="49"/>
        <v>0</v>
      </c>
      <c r="AB233">
        <f t="shared" si="50"/>
        <v>0</v>
      </c>
      <c r="AF233" t="str">
        <f>IF(OR(资金日记账!$E233="",N(资金日记账!$H233)=0),"",资金日记账!$E233)</f>
        <v/>
      </c>
      <c r="AG233">
        <f t="shared" si="51"/>
        <v>0</v>
      </c>
      <c r="AH233">
        <f t="shared" si="52"/>
        <v>0</v>
      </c>
    </row>
    <row r="234" spans="1:34">
      <c r="A234" t="str">
        <f>IF(进销存对接!$D234="客户应收",进销存对接!$C234,"")</f>
        <v/>
      </c>
      <c r="B234">
        <f t="shared" si="42"/>
        <v>0</v>
      </c>
      <c r="C234">
        <f t="shared" si="43"/>
        <v>0</v>
      </c>
      <c r="E234" t="str">
        <f t="shared" si="44"/>
        <v/>
      </c>
      <c r="G234">
        <f>IF(OR($G$1="",资金日记账!$E227="",资金日记账!$E227&lt;&gt;$G$1),0,IF(NOT(OR(N(资金日记账!$H227)&lt;&gt;0,N(资金日记账!$I227)&lt;&gt;0)),0,IF(资金日记账!$B227="",1,IF(OR(N(资金日记账!$B227)&lt;$H$1,N(资金日记账!$B227)&gt;$I$1),0,1))))</f>
        <v>0</v>
      </c>
      <c r="H234">
        <f t="shared" si="45"/>
        <v>0</v>
      </c>
      <c r="I234" t="str">
        <f>IF($G234=0,"",IF(资金日记账!$B227=0,"",资金日记账!$B227))</f>
        <v/>
      </c>
      <c r="J234" t="str">
        <f>IF($G234=0,"",IF(资金日记账!$D227=0,"",资金日记账!$D227))</f>
        <v/>
      </c>
      <c r="K234" t="str">
        <f t="shared" si="53"/>
        <v/>
      </c>
      <c r="L234" t="str">
        <f t="shared" si="54"/>
        <v/>
      </c>
      <c r="M234" t="str">
        <f t="shared" si="46"/>
        <v/>
      </c>
      <c r="N234" t="str">
        <f>IF($G234=0,"",IF(IF(N(资金日记账!$I227)=0,"",-ROUND(N(资金日记账!$I227),2))=0,"",IF(N(资金日记账!$I227)=0,"",-ROUND(N(资金日记账!$I227),2))))</f>
        <v/>
      </c>
      <c r="O234" t="str">
        <f>IF($G234=0,"",IF(IF(N(资金日记账!$H227)=0,"",ROUND(N(资金日记账!$H227),2))=0,"",IF(N(资金日记账!$H227)=0,"",ROUND(N(资金日记账!$H227),2))))</f>
        <v/>
      </c>
      <c r="P234" t="str">
        <f>IF($G234=0,"",IF(资金日记账!$L227=0,"",资金日记账!$L227))</f>
        <v/>
      </c>
      <c r="T234" t="str">
        <f>IF(资金日记账!$G234="","",资金日记账!$G234)</f>
        <v/>
      </c>
      <c r="U234">
        <f t="shared" si="47"/>
        <v>0</v>
      </c>
      <c r="V234">
        <f t="shared" si="48"/>
        <v>0</v>
      </c>
      <c r="Z234" t="str">
        <f>IF(成本费用登记表!$C234="","",成本费用登记表!$C234)</f>
        <v/>
      </c>
      <c r="AA234">
        <f t="shared" si="49"/>
        <v>0</v>
      </c>
      <c r="AB234">
        <f t="shared" si="50"/>
        <v>0</v>
      </c>
      <c r="AF234" t="str">
        <f>IF(OR(资金日记账!$E234="",N(资金日记账!$H234)=0),"",资金日记账!$E234)</f>
        <v/>
      </c>
      <c r="AG234">
        <f t="shared" si="51"/>
        <v>0</v>
      </c>
      <c r="AH234">
        <f t="shared" si="52"/>
        <v>0</v>
      </c>
    </row>
    <row r="235" spans="1:34">
      <c r="A235" t="str">
        <f>IF(进销存对接!$D235="客户应收",进销存对接!$C235,"")</f>
        <v/>
      </c>
      <c r="B235">
        <f t="shared" si="42"/>
        <v>0</v>
      </c>
      <c r="C235">
        <f t="shared" si="43"/>
        <v>0</v>
      </c>
      <c r="E235" t="str">
        <f t="shared" si="44"/>
        <v/>
      </c>
      <c r="G235">
        <f>IF(OR($G$1="",资金日记账!$E228="",资金日记账!$E228&lt;&gt;$G$1),0,IF(NOT(OR(N(资金日记账!$H228)&lt;&gt;0,N(资金日记账!$I228)&lt;&gt;0)),0,IF(资金日记账!$B228="",1,IF(OR(N(资金日记账!$B228)&lt;$H$1,N(资金日记账!$B228)&gt;$I$1),0,1))))</f>
        <v>0</v>
      </c>
      <c r="H235">
        <f t="shared" si="45"/>
        <v>0</v>
      </c>
      <c r="I235" t="str">
        <f>IF($G235=0,"",IF(资金日记账!$B228=0,"",资金日记账!$B228))</f>
        <v/>
      </c>
      <c r="J235" t="str">
        <f>IF($G235=0,"",IF(资金日记账!$D228=0,"",资金日记账!$D228))</f>
        <v/>
      </c>
      <c r="K235" t="str">
        <f t="shared" si="53"/>
        <v/>
      </c>
      <c r="L235" t="str">
        <f t="shared" si="54"/>
        <v/>
      </c>
      <c r="M235" t="str">
        <f t="shared" si="46"/>
        <v/>
      </c>
      <c r="N235" t="str">
        <f>IF($G235=0,"",IF(IF(N(资金日记账!$I228)=0,"",-ROUND(N(资金日记账!$I228),2))=0,"",IF(N(资金日记账!$I228)=0,"",-ROUND(N(资金日记账!$I228),2))))</f>
        <v/>
      </c>
      <c r="O235" t="str">
        <f>IF($G235=0,"",IF(IF(N(资金日记账!$H228)=0,"",ROUND(N(资金日记账!$H228),2))=0,"",IF(N(资金日记账!$H228)=0,"",ROUND(N(资金日记账!$H228),2))))</f>
        <v/>
      </c>
      <c r="P235" t="str">
        <f>IF($G235=0,"",IF(资金日记账!$L228=0,"",资金日记账!$L228))</f>
        <v/>
      </c>
      <c r="T235" t="str">
        <f>IF(资金日记账!$G235="","",资金日记账!$G235)</f>
        <v/>
      </c>
      <c r="U235">
        <f t="shared" si="47"/>
        <v>0</v>
      </c>
      <c r="V235">
        <f t="shared" si="48"/>
        <v>0</v>
      </c>
      <c r="Z235" t="str">
        <f>IF(成本费用登记表!$C235="","",成本费用登记表!$C235)</f>
        <v/>
      </c>
      <c r="AA235">
        <f t="shared" si="49"/>
        <v>0</v>
      </c>
      <c r="AB235">
        <f t="shared" si="50"/>
        <v>0</v>
      </c>
      <c r="AF235" t="str">
        <f>IF(OR(资金日记账!$E235="",N(资金日记账!$H235)=0),"",资金日记账!$E235)</f>
        <v/>
      </c>
      <c r="AG235">
        <f t="shared" si="51"/>
        <v>0</v>
      </c>
      <c r="AH235">
        <f t="shared" si="52"/>
        <v>0</v>
      </c>
    </row>
    <row r="236" spans="1:34">
      <c r="A236" t="str">
        <f>IF(进销存对接!$D236="客户应收",进销存对接!$C236,"")</f>
        <v/>
      </c>
      <c r="B236">
        <f t="shared" si="42"/>
        <v>0</v>
      </c>
      <c r="C236">
        <f t="shared" si="43"/>
        <v>0</v>
      </c>
      <c r="E236" t="str">
        <f t="shared" si="44"/>
        <v/>
      </c>
      <c r="G236">
        <f>IF(OR($G$1="",资金日记账!$E229="",资金日记账!$E229&lt;&gt;$G$1),0,IF(NOT(OR(N(资金日记账!$H229)&lt;&gt;0,N(资金日记账!$I229)&lt;&gt;0)),0,IF(资金日记账!$B229="",1,IF(OR(N(资金日记账!$B229)&lt;$H$1,N(资金日记账!$B229)&gt;$I$1),0,1))))</f>
        <v>0</v>
      </c>
      <c r="H236">
        <f t="shared" si="45"/>
        <v>0</v>
      </c>
      <c r="I236" t="str">
        <f>IF($G236=0,"",IF(资金日记账!$B229=0,"",资金日记账!$B229))</f>
        <v/>
      </c>
      <c r="J236" t="str">
        <f>IF($G236=0,"",IF(资金日记账!$D229=0,"",资金日记账!$D229))</f>
        <v/>
      </c>
      <c r="K236" t="str">
        <f t="shared" si="53"/>
        <v/>
      </c>
      <c r="L236" t="str">
        <f t="shared" si="54"/>
        <v/>
      </c>
      <c r="M236" t="str">
        <f t="shared" si="46"/>
        <v/>
      </c>
      <c r="N236" t="str">
        <f>IF($G236=0,"",IF(IF(N(资金日记账!$I229)=0,"",-ROUND(N(资金日记账!$I229),2))=0,"",IF(N(资金日记账!$I229)=0,"",-ROUND(N(资金日记账!$I229),2))))</f>
        <v/>
      </c>
      <c r="O236" t="str">
        <f>IF($G236=0,"",IF(IF(N(资金日记账!$H229)=0,"",ROUND(N(资金日记账!$H229),2))=0,"",IF(N(资金日记账!$H229)=0,"",ROUND(N(资金日记账!$H229),2))))</f>
        <v/>
      </c>
      <c r="P236" t="str">
        <f>IF($G236=0,"",IF(资金日记账!$L229=0,"",资金日记账!$L229))</f>
        <v/>
      </c>
      <c r="T236" t="str">
        <f>IF(资金日记账!$G236="","",资金日记账!$G236)</f>
        <v/>
      </c>
      <c r="U236">
        <f t="shared" si="47"/>
        <v>0</v>
      </c>
      <c r="V236">
        <f t="shared" si="48"/>
        <v>0</v>
      </c>
      <c r="Z236" t="str">
        <f>IF(成本费用登记表!$C236="","",成本费用登记表!$C236)</f>
        <v/>
      </c>
      <c r="AA236">
        <f t="shared" si="49"/>
        <v>0</v>
      </c>
      <c r="AB236">
        <f t="shared" si="50"/>
        <v>0</v>
      </c>
      <c r="AF236" t="str">
        <f>IF(OR(资金日记账!$E236="",N(资金日记账!$H236)=0),"",资金日记账!$E236)</f>
        <v/>
      </c>
      <c r="AG236">
        <f t="shared" si="51"/>
        <v>0</v>
      </c>
      <c r="AH236">
        <f t="shared" si="52"/>
        <v>0</v>
      </c>
    </row>
    <row r="237" spans="1:34">
      <c r="A237" t="str">
        <f>IF(进销存对接!$D237="客户应收",进销存对接!$C237,"")</f>
        <v/>
      </c>
      <c r="B237">
        <f t="shared" si="42"/>
        <v>0</v>
      </c>
      <c r="C237">
        <f t="shared" si="43"/>
        <v>0</v>
      </c>
      <c r="E237" t="str">
        <f t="shared" si="44"/>
        <v/>
      </c>
      <c r="G237">
        <f>IF(OR($G$1="",资金日记账!$E230="",资金日记账!$E230&lt;&gt;$G$1),0,IF(NOT(OR(N(资金日记账!$H230)&lt;&gt;0,N(资金日记账!$I230)&lt;&gt;0)),0,IF(资金日记账!$B230="",1,IF(OR(N(资金日记账!$B230)&lt;$H$1,N(资金日记账!$B230)&gt;$I$1),0,1))))</f>
        <v>0</v>
      </c>
      <c r="H237">
        <f t="shared" si="45"/>
        <v>0</v>
      </c>
      <c r="I237" t="str">
        <f>IF($G237=0,"",IF(资金日记账!$B230=0,"",资金日记账!$B230))</f>
        <v/>
      </c>
      <c r="J237" t="str">
        <f>IF($G237=0,"",IF(资金日记账!$D230=0,"",资金日记账!$D230))</f>
        <v/>
      </c>
      <c r="K237" t="str">
        <f t="shared" si="53"/>
        <v/>
      </c>
      <c r="L237" t="str">
        <f t="shared" si="54"/>
        <v/>
      </c>
      <c r="M237" t="str">
        <f t="shared" si="46"/>
        <v/>
      </c>
      <c r="N237" t="str">
        <f>IF($G237=0,"",IF(IF(N(资金日记账!$I230)=0,"",-ROUND(N(资金日记账!$I230),2))=0,"",IF(N(资金日记账!$I230)=0,"",-ROUND(N(资金日记账!$I230),2))))</f>
        <v/>
      </c>
      <c r="O237" t="str">
        <f>IF($G237=0,"",IF(IF(N(资金日记账!$H230)=0,"",ROUND(N(资金日记账!$H230),2))=0,"",IF(N(资金日记账!$H230)=0,"",ROUND(N(资金日记账!$H230),2))))</f>
        <v/>
      </c>
      <c r="P237" t="str">
        <f>IF($G237=0,"",IF(资金日记账!$L230=0,"",资金日记账!$L230))</f>
        <v/>
      </c>
      <c r="T237" t="str">
        <f>IF(资金日记账!$G237="","",资金日记账!$G237)</f>
        <v/>
      </c>
      <c r="U237">
        <f t="shared" si="47"/>
        <v>0</v>
      </c>
      <c r="V237">
        <f t="shared" si="48"/>
        <v>0</v>
      </c>
      <c r="Z237" t="str">
        <f>IF(成本费用登记表!$C237="","",成本费用登记表!$C237)</f>
        <v/>
      </c>
      <c r="AA237">
        <f t="shared" si="49"/>
        <v>0</v>
      </c>
      <c r="AB237">
        <f t="shared" si="50"/>
        <v>0</v>
      </c>
      <c r="AF237" t="str">
        <f>IF(OR(资金日记账!$E237="",N(资金日记账!$H237)=0),"",资金日记账!$E237)</f>
        <v/>
      </c>
      <c r="AG237">
        <f t="shared" si="51"/>
        <v>0</v>
      </c>
      <c r="AH237">
        <f t="shared" si="52"/>
        <v>0</v>
      </c>
    </row>
    <row r="238" spans="1:34">
      <c r="A238" t="str">
        <f>IF(进销存对接!$D238="客户应收",进销存对接!$C238,"")</f>
        <v/>
      </c>
      <c r="B238">
        <f t="shared" si="42"/>
        <v>0</v>
      </c>
      <c r="C238">
        <f t="shared" si="43"/>
        <v>0</v>
      </c>
      <c r="E238" t="str">
        <f t="shared" si="44"/>
        <v/>
      </c>
      <c r="G238">
        <f>IF(OR($G$1="",资金日记账!$E231="",资金日记账!$E231&lt;&gt;$G$1),0,IF(NOT(OR(N(资金日记账!$H231)&lt;&gt;0,N(资金日记账!$I231)&lt;&gt;0)),0,IF(资金日记账!$B231="",1,IF(OR(N(资金日记账!$B231)&lt;$H$1,N(资金日记账!$B231)&gt;$I$1),0,1))))</f>
        <v>0</v>
      </c>
      <c r="H238">
        <f t="shared" si="45"/>
        <v>0</v>
      </c>
      <c r="I238" t="str">
        <f>IF($G238=0,"",IF(资金日记账!$B231=0,"",资金日记账!$B231))</f>
        <v/>
      </c>
      <c r="J238" t="str">
        <f>IF($G238=0,"",IF(资金日记账!$D231=0,"",资金日记账!$D231))</f>
        <v/>
      </c>
      <c r="K238" t="str">
        <f t="shared" si="53"/>
        <v/>
      </c>
      <c r="L238" t="str">
        <f t="shared" si="54"/>
        <v/>
      </c>
      <c r="M238" t="str">
        <f t="shared" si="46"/>
        <v/>
      </c>
      <c r="N238" t="str">
        <f>IF($G238=0,"",IF(IF(N(资金日记账!$I231)=0,"",-ROUND(N(资金日记账!$I231),2))=0,"",IF(N(资金日记账!$I231)=0,"",-ROUND(N(资金日记账!$I231),2))))</f>
        <v/>
      </c>
      <c r="O238" t="str">
        <f>IF($G238=0,"",IF(IF(N(资金日记账!$H231)=0,"",ROUND(N(资金日记账!$H231),2))=0,"",IF(N(资金日记账!$H231)=0,"",ROUND(N(资金日记账!$H231),2))))</f>
        <v/>
      </c>
      <c r="P238" t="str">
        <f>IF($G238=0,"",IF(资金日记账!$L231=0,"",资金日记账!$L231))</f>
        <v/>
      </c>
      <c r="T238" t="str">
        <f>IF(资金日记账!$G238="","",资金日记账!$G238)</f>
        <v/>
      </c>
      <c r="U238">
        <f t="shared" si="47"/>
        <v>0</v>
      </c>
      <c r="V238">
        <f t="shared" si="48"/>
        <v>0</v>
      </c>
      <c r="Z238" t="str">
        <f>IF(成本费用登记表!$C238="","",成本费用登记表!$C238)</f>
        <v/>
      </c>
      <c r="AA238">
        <f t="shared" si="49"/>
        <v>0</v>
      </c>
      <c r="AB238">
        <f t="shared" si="50"/>
        <v>0</v>
      </c>
      <c r="AF238" t="str">
        <f>IF(OR(资金日记账!$E238="",N(资金日记账!$H238)=0),"",资金日记账!$E238)</f>
        <v/>
      </c>
      <c r="AG238">
        <f t="shared" si="51"/>
        <v>0</v>
      </c>
      <c r="AH238">
        <f t="shared" si="52"/>
        <v>0</v>
      </c>
    </row>
    <row r="239" spans="1:34">
      <c r="A239" t="str">
        <f>IF(进销存对接!$D239="客户应收",进销存对接!$C239,"")</f>
        <v/>
      </c>
      <c r="B239">
        <f t="shared" si="42"/>
        <v>0</v>
      </c>
      <c r="C239">
        <f t="shared" si="43"/>
        <v>0</v>
      </c>
      <c r="E239" t="str">
        <f t="shared" si="44"/>
        <v/>
      </c>
      <c r="G239">
        <f>IF(OR($G$1="",资金日记账!$E232="",资金日记账!$E232&lt;&gt;$G$1),0,IF(NOT(OR(N(资金日记账!$H232)&lt;&gt;0,N(资金日记账!$I232)&lt;&gt;0)),0,IF(资金日记账!$B232="",1,IF(OR(N(资金日记账!$B232)&lt;$H$1,N(资金日记账!$B232)&gt;$I$1),0,1))))</f>
        <v>0</v>
      </c>
      <c r="H239">
        <f t="shared" si="45"/>
        <v>0</v>
      </c>
      <c r="I239" t="str">
        <f>IF($G239=0,"",IF(资金日记账!$B232=0,"",资金日记账!$B232))</f>
        <v/>
      </c>
      <c r="J239" t="str">
        <f>IF($G239=0,"",IF(资金日记账!$D232=0,"",资金日记账!$D232))</f>
        <v/>
      </c>
      <c r="K239" t="str">
        <f t="shared" si="53"/>
        <v/>
      </c>
      <c r="L239" t="str">
        <f t="shared" si="54"/>
        <v/>
      </c>
      <c r="M239" t="str">
        <f t="shared" si="46"/>
        <v/>
      </c>
      <c r="N239" t="str">
        <f>IF($G239=0,"",IF(IF(N(资金日记账!$I232)=0,"",-ROUND(N(资金日记账!$I232),2))=0,"",IF(N(资金日记账!$I232)=0,"",-ROUND(N(资金日记账!$I232),2))))</f>
        <v/>
      </c>
      <c r="O239" t="str">
        <f>IF($G239=0,"",IF(IF(N(资金日记账!$H232)=0,"",ROUND(N(资金日记账!$H232),2))=0,"",IF(N(资金日记账!$H232)=0,"",ROUND(N(资金日记账!$H232),2))))</f>
        <v/>
      </c>
      <c r="P239" t="str">
        <f>IF($G239=0,"",IF(资金日记账!$L232=0,"",资金日记账!$L232))</f>
        <v/>
      </c>
      <c r="T239" t="str">
        <f>IF(资金日记账!$G239="","",资金日记账!$G239)</f>
        <v/>
      </c>
      <c r="U239">
        <f t="shared" si="47"/>
        <v>0</v>
      </c>
      <c r="V239">
        <f t="shared" si="48"/>
        <v>0</v>
      </c>
      <c r="Z239" t="str">
        <f>IF(成本费用登记表!$C239="","",成本费用登记表!$C239)</f>
        <v/>
      </c>
      <c r="AA239">
        <f t="shared" si="49"/>
        <v>0</v>
      </c>
      <c r="AB239">
        <f t="shared" si="50"/>
        <v>0</v>
      </c>
      <c r="AF239" t="str">
        <f>IF(OR(资金日记账!$E239="",N(资金日记账!$H239)=0),"",资金日记账!$E239)</f>
        <v/>
      </c>
      <c r="AG239">
        <f t="shared" si="51"/>
        <v>0</v>
      </c>
      <c r="AH239">
        <f t="shared" si="52"/>
        <v>0</v>
      </c>
    </row>
    <row r="240" spans="1:34">
      <c r="A240" t="str">
        <f>IF(进销存对接!$D240="客户应收",进销存对接!$C240,"")</f>
        <v/>
      </c>
      <c r="B240">
        <f t="shared" si="42"/>
        <v>0</v>
      </c>
      <c r="C240">
        <f t="shared" si="43"/>
        <v>0</v>
      </c>
      <c r="E240" t="str">
        <f t="shared" si="44"/>
        <v/>
      </c>
      <c r="G240">
        <f>IF(OR($G$1="",资金日记账!$E233="",资金日记账!$E233&lt;&gt;$G$1),0,IF(NOT(OR(N(资金日记账!$H233)&lt;&gt;0,N(资金日记账!$I233)&lt;&gt;0)),0,IF(资金日记账!$B233="",1,IF(OR(N(资金日记账!$B233)&lt;$H$1,N(资金日记账!$B233)&gt;$I$1),0,1))))</f>
        <v>0</v>
      </c>
      <c r="H240">
        <f t="shared" si="45"/>
        <v>0</v>
      </c>
      <c r="I240" t="str">
        <f>IF($G240=0,"",IF(资金日记账!$B233=0,"",资金日记账!$B233))</f>
        <v/>
      </c>
      <c r="J240" t="str">
        <f>IF($G240=0,"",IF(资金日记账!$D233=0,"",资金日记账!$D233))</f>
        <v/>
      </c>
      <c r="K240" t="str">
        <f t="shared" si="53"/>
        <v/>
      </c>
      <c r="L240" t="str">
        <f t="shared" si="54"/>
        <v/>
      </c>
      <c r="M240" t="str">
        <f t="shared" si="46"/>
        <v/>
      </c>
      <c r="N240" t="str">
        <f>IF($G240=0,"",IF(IF(N(资金日记账!$I233)=0,"",-ROUND(N(资金日记账!$I233),2))=0,"",IF(N(资金日记账!$I233)=0,"",-ROUND(N(资金日记账!$I233),2))))</f>
        <v/>
      </c>
      <c r="O240" t="str">
        <f>IF($G240=0,"",IF(IF(N(资金日记账!$H233)=0,"",ROUND(N(资金日记账!$H233),2))=0,"",IF(N(资金日记账!$H233)=0,"",ROUND(N(资金日记账!$H233),2))))</f>
        <v/>
      </c>
      <c r="P240" t="str">
        <f>IF($G240=0,"",IF(资金日记账!$L233=0,"",资金日记账!$L233))</f>
        <v/>
      </c>
      <c r="T240" t="str">
        <f>IF(资金日记账!$G240="","",资金日记账!$G240)</f>
        <v/>
      </c>
      <c r="U240">
        <f t="shared" si="47"/>
        <v>0</v>
      </c>
      <c r="V240">
        <f t="shared" si="48"/>
        <v>0</v>
      </c>
      <c r="Z240" t="str">
        <f>IF(成本费用登记表!$C240="","",成本费用登记表!$C240)</f>
        <v/>
      </c>
      <c r="AA240">
        <f t="shared" si="49"/>
        <v>0</v>
      </c>
      <c r="AB240">
        <f t="shared" si="50"/>
        <v>0</v>
      </c>
      <c r="AF240" t="str">
        <f>IF(OR(资金日记账!$E240="",N(资金日记账!$H240)=0),"",资金日记账!$E240)</f>
        <v/>
      </c>
      <c r="AG240">
        <f t="shared" si="51"/>
        <v>0</v>
      </c>
      <c r="AH240">
        <f t="shared" si="52"/>
        <v>0</v>
      </c>
    </row>
    <row r="241" spans="1:34">
      <c r="A241" t="str">
        <f>IF(进销存对接!$D241="客户应收",进销存对接!$C241,"")</f>
        <v/>
      </c>
      <c r="B241">
        <f t="shared" si="42"/>
        <v>0</v>
      </c>
      <c r="C241">
        <f t="shared" si="43"/>
        <v>0</v>
      </c>
      <c r="E241" t="str">
        <f t="shared" si="44"/>
        <v/>
      </c>
      <c r="G241">
        <f>IF(OR($G$1="",资金日记账!$E234="",资金日记账!$E234&lt;&gt;$G$1),0,IF(NOT(OR(N(资金日记账!$H234)&lt;&gt;0,N(资金日记账!$I234)&lt;&gt;0)),0,IF(资金日记账!$B234="",1,IF(OR(N(资金日记账!$B234)&lt;$H$1,N(资金日记账!$B234)&gt;$I$1),0,1))))</f>
        <v>0</v>
      </c>
      <c r="H241">
        <f t="shared" si="45"/>
        <v>0</v>
      </c>
      <c r="I241" t="str">
        <f>IF($G241=0,"",IF(资金日记账!$B234=0,"",资金日记账!$B234))</f>
        <v/>
      </c>
      <c r="J241" t="str">
        <f>IF($G241=0,"",IF(资金日记账!$D234=0,"",资金日记账!$D234))</f>
        <v/>
      </c>
      <c r="K241" t="str">
        <f t="shared" si="53"/>
        <v/>
      </c>
      <c r="L241" t="str">
        <f t="shared" si="54"/>
        <v/>
      </c>
      <c r="M241" t="str">
        <f t="shared" si="46"/>
        <v/>
      </c>
      <c r="N241" t="str">
        <f>IF($G241=0,"",IF(IF(N(资金日记账!$I234)=0,"",-ROUND(N(资金日记账!$I234),2))=0,"",IF(N(资金日记账!$I234)=0,"",-ROUND(N(资金日记账!$I234),2))))</f>
        <v/>
      </c>
      <c r="O241" t="str">
        <f>IF($G241=0,"",IF(IF(N(资金日记账!$H234)=0,"",ROUND(N(资金日记账!$H234),2))=0,"",IF(N(资金日记账!$H234)=0,"",ROUND(N(资金日记账!$H234),2))))</f>
        <v/>
      </c>
      <c r="P241" t="str">
        <f>IF($G241=0,"",IF(资金日记账!$L234=0,"",资金日记账!$L234))</f>
        <v/>
      </c>
      <c r="T241" t="str">
        <f>IF(资金日记账!$G241="","",资金日记账!$G241)</f>
        <v/>
      </c>
      <c r="U241">
        <f t="shared" si="47"/>
        <v>0</v>
      </c>
      <c r="V241">
        <f t="shared" si="48"/>
        <v>0</v>
      </c>
      <c r="Z241" t="str">
        <f>IF(成本费用登记表!$C241="","",成本费用登记表!$C241)</f>
        <v/>
      </c>
      <c r="AA241">
        <f t="shared" si="49"/>
        <v>0</v>
      </c>
      <c r="AB241">
        <f t="shared" si="50"/>
        <v>0</v>
      </c>
      <c r="AF241" t="str">
        <f>IF(OR(资金日记账!$E241="",N(资金日记账!$H241)=0),"",资金日记账!$E241)</f>
        <v/>
      </c>
      <c r="AG241">
        <f t="shared" si="51"/>
        <v>0</v>
      </c>
      <c r="AH241">
        <f t="shared" si="52"/>
        <v>0</v>
      </c>
    </row>
    <row r="242" spans="1:34">
      <c r="A242" t="str">
        <f>IF(进销存对接!$D242="客户应收",进销存对接!$C242,"")</f>
        <v/>
      </c>
      <c r="B242">
        <f t="shared" si="42"/>
        <v>0</v>
      </c>
      <c r="C242">
        <f t="shared" si="43"/>
        <v>0</v>
      </c>
      <c r="E242" t="str">
        <f t="shared" si="44"/>
        <v/>
      </c>
      <c r="G242">
        <f>IF(OR($G$1="",资金日记账!$E235="",资金日记账!$E235&lt;&gt;$G$1),0,IF(NOT(OR(N(资金日记账!$H235)&lt;&gt;0,N(资金日记账!$I235)&lt;&gt;0)),0,IF(资金日记账!$B235="",1,IF(OR(N(资金日记账!$B235)&lt;$H$1,N(资金日记账!$B235)&gt;$I$1),0,1))))</f>
        <v>0</v>
      </c>
      <c r="H242">
        <f t="shared" si="45"/>
        <v>0</v>
      </c>
      <c r="I242" t="str">
        <f>IF($G242=0,"",IF(资金日记账!$B235=0,"",资金日记账!$B235))</f>
        <v/>
      </c>
      <c r="J242" t="str">
        <f>IF($G242=0,"",IF(资金日记账!$D235=0,"",资金日记账!$D235))</f>
        <v/>
      </c>
      <c r="K242" t="str">
        <f t="shared" si="53"/>
        <v/>
      </c>
      <c r="L242" t="str">
        <f t="shared" si="54"/>
        <v/>
      </c>
      <c r="M242" t="str">
        <f t="shared" si="46"/>
        <v/>
      </c>
      <c r="N242" t="str">
        <f>IF($G242=0,"",IF(IF(N(资金日记账!$I235)=0,"",-ROUND(N(资金日记账!$I235),2))=0,"",IF(N(资金日记账!$I235)=0,"",-ROUND(N(资金日记账!$I235),2))))</f>
        <v/>
      </c>
      <c r="O242" t="str">
        <f>IF($G242=0,"",IF(IF(N(资金日记账!$H235)=0,"",ROUND(N(资金日记账!$H235),2))=0,"",IF(N(资金日记账!$H235)=0,"",ROUND(N(资金日记账!$H235),2))))</f>
        <v/>
      </c>
      <c r="P242" t="str">
        <f>IF($G242=0,"",IF(资金日记账!$L235=0,"",资金日记账!$L235))</f>
        <v/>
      </c>
      <c r="T242" t="str">
        <f>IF(资金日记账!$G242="","",资金日记账!$G242)</f>
        <v/>
      </c>
      <c r="U242">
        <f t="shared" si="47"/>
        <v>0</v>
      </c>
      <c r="V242">
        <f t="shared" si="48"/>
        <v>0</v>
      </c>
      <c r="Z242" t="str">
        <f>IF(成本费用登记表!$C242="","",成本费用登记表!$C242)</f>
        <v/>
      </c>
      <c r="AA242">
        <f t="shared" si="49"/>
        <v>0</v>
      </c>
      <c r="AB242">
        <f t="shared" si="50"/>
        <v>0</v>
      </c>
      <c r="AF242" t="str">
        <f>IF(OR(资金日记账!$E242="",N(资金日记账!$H242)=0),"",资金日记账!$E242)</f>
        <v/>
      </c>
      <c r="AG242">
        <f t="shared" si="51"/>
        <v>0</v>
      </c>
      <c r="AH242">
        <f t="shared" si="52"/>
        <v>0</v>
      </c>
    </row>
    <row r="243" spans="1:34">
      <c r="A243" t="str">
        <f>IF(进销存对接!$D243="客户应收",进销存对接!$C243,"")</f>
        <v/>
      </c>
      <c r="B243">
        <f t="shared" si="42"/>
        <v>0</v>
      </c>
      <c r="C243">
        <f t="shared" si="43"/>
        <v>0</v>
      </c>
      <c r="E243" t="str">
        <f t="shared" si="44"/>
        <v/>
      </c>
      <c r="G243">
        <f>IF(OR($G$1="",资金日记账!$E236="",资金日记账!$E236&lt;&gt;$G$1),0,IF(NOT(OR(N(资金日记账!$H236)&lt;&gt;0,N(资金日记账!$I236)&lt;&gt;0)),0,IF(资金日记账!$B236="",1,IF(OR(N(资金日记账!$B236)&lt;$H$1,N(资金日记账!$B236)&gt;$I$1),0,1))))</f>
        <v>0</v>
      </c>
      <c r="H243">
        <f t="shared" si="45"/>
        <v>0</v>
      </c>
      <c r="I243" t="str">
        <f>IF($G243=0,"",IF(资金日记账!$B236=0,"",资金日记账!$B236))</f>
        <v/>
      </c>
      <c r="J243" t="str">
        <f>IF($G243=0,"",IF(资金日记账!$D236=0,"",资金日记账!$D236))</f>
        <v/>
      </c>
      <c r="K243" t="str">
        <f t="shared" si="53"/>
        <v/>
      </c>
      <c r="L243" t="str">
        <f t="shared" si="54"/>
        <v/>
      </c>
      <c r="M243" t="str">
        <f t="shared" si="46"/>
        <v/>
      </c>
      <c r="N243" t="str">
        <f>IF($G243=0,"",IF(IF(N(资金日记账!$I236)=0,"",-ROUND(N(资金日记账!$I236),2))=0,"",IF(N(资金日记账!$I236)=0,"",-ROUND(N(资金日记账!$I236),2))))</f>
        <v/>
      </c>
      <c r="O243" t="str">
        <f>IF($G243=0,"",IF(IF(N(资金日记账!$H236)=0,"",ROUND(N(资金日记账!$H236),2))=0,"",IF(N(资金日记账!$H236)=0,"",ROUND(N(资金日记账!$H236),2))))</f>
        <v/>
      </c>
      <c r="P243" t="str">
        <f>IF($G243=0,"",IF(资金日记账!$L236=0,"",资金日记账!$L236))</f>
        <v/>
      </c>
      <c r="T243" t="str">
        <f>IF(资金日记账!$G243="","",资金日记账!$G243)</f>
        <v/>
      </c>
      <c r="U243">
        <f t="shared" si="47"/>
        <v>0</v>
      </c>
      <c r="V243">
        <f t="shared" si="48"/>
        <v>0</v>
      </c>
      <c r="Z243" t="str">
        <f>IF(成本费用登记表!$C243="","",成本费用登记表!$C243)</f>
        <v/>
      </c>
      <c r="AA243">
        <f t="shared" si="49"/>
        <v>0</v>
      </c>
      <c r="AB243">
        <f t="shared" si="50"/>
        <v>0</v>
      </c>
      <c r="AF243" t="str">
        <f>IF(OR(资金日记账!$E243="",N(资金日记账!$H243)=0),"",资金日记账!$E243)</f>
        <v/>
      </c>
      <c r="AG243">
        <f t="shared" si="51"/>
        <v>0</v>
      </c>
      <c r="AH243">
        <f t="shared" si="52"/>
        <v>0</v>
      </c>
    </row>
    <row r="244" spans="1:34">
      <c r="A244" t="str">
        <f>IF(进销存对接!$D244="客户应收",进销存对接!$C244,"")</f>
        <v/>
      </c>
      <c r="B244">
        <f t="shared" si="42"/>
        <v>0</v>
      </c>
      <c r="C244">
        <f t="shared" si="43"/>
        <v>0</v>
      </c>
      <c r="E244" t="str">
        <f t="shared" si="44"/>
        <v/>
      </c>
      <c r="G244">
        <f>IF(OR($G$1="",资金日记账!$E237="",资金日记账!$E237&lt;&gt;$G$1),0,IF(NOT(OR(N(资金日记账!$H237)&lt;&gt;0,N(资金日记账!$I237)&lt;&gt;0)),0,IF(资金日记账!$B237="",1,IF(OR(N(资金日记账!$B237)&lt;$H$1,N(资金日记账!$B237)&gt;$I$1),0,1))))</f>
        <v>0</v>
      </c>
      <c r="H244">
        <f t="shared" si="45"/>
        <v>0</v>
      </c>
      <c r="I244" t="str">
        <f>IF($G244=0,"",IF(资金日记账!$B237=0,"",资金日记账!$B237))</f>
        <v/>
      </c>
      <c r="J244" t="str">
        <f>IF($G244=0,"",IF(资金日记账!$D237=0,"",资金日记账!$D237))</f>
        <v/>
      </c>
      <c r="K244" t="str">
        <f t="shared" si="53"/>
        <v/>
      </c>
      <c r="L244" t="str">
        <f t="shared" si="54"/>
        <v/>
      </c>
      <c r="M244" t="str">
        <f t="shared" si="46"/>
        <v/>
      </c>
      <c r="N244" t="str">
        <f>IF($G244=0,"",IF(IF(N(资金日记账!$I237)=0,"",-ROUND(N(资金日记账!$I237),2))=0,"",IF(N(资金日记账!$I237)=0,"",-ROUND(N(资金日记账!$I237),2))))</f>
        <v/>
      </c>
      <c r="O244" t="str">
        <f>IF($G244=0,"",IF(IF(N(资金日记账!$H237)=0,"",ROUND(N(资金日记账!$H237),2))=0,"",IF(N(资金日记账!$H237)=0,"",ROUND(N(资金日记账!$H237),2))))</f>
        <v/>
      </c>
      <c r="P244" t="str">
        <f>IF($G244=0,"",IF(资金日记账!$L237=0,"",资金日记账!$L237))</f>
        <v/>
      </c>
      <c r="T244" t="str">
        <f>IF(资金日记账!$G244="","",资金日记账!$G244)</f>
        <v/>
      </c>
      <c r="U244">
        <f t="shared" si="47"/>
        <v>0</v>
      </c>
      <c r="V244">
        <f t="shared" si="48"/>
        <v>0</v>
      </c>
      <c r="Z244" t="str">
        <f>IF(成本费用登记表!$C244="","",成本费用登记表!$C244)</f>
        <v/>
      </c>
      <c r="AA244">
        <f t="shared" si="49"/>
        <v>0</v>
      </c>
      <c r="AB244">
        <f t="shared" si="50"/>
        <v>0</v>
      </c>
      <c r="AF244" t="str">
        <f>IF(OR(资金日记账!$E244="",N(资金日记账!$H244)=0),"",资金日记账!$E244)</f>
        <v/>
      </c>
      <c r="AG244">
        <f t="shared" si="51"/>
        <v>0</v>
      </c>
      <c r="AH244">
        <f t="shared" si="52"/>
        <v>0</v>
      </c>
    </row>
    <row r="245" spans="1:34">
      <c r="A245" t="str">
        <f>IF(进销存对接!$D245="客户应收",进销存对接!$C245,"")</f>
        <v/>
      </c>
      <c r="B245">
        <f t="shared" si="42"/>
        <v>0</v>
      </c>
      <c r="C245">
        <f t="shared" si="43"/>
        <v>0</v>
      </c>
      <c r="E245" t="str">
        <f t="shared" si="44"/>
        <v/>
      </c>
      <c r="G245">
        <f>IF(OR($G$1="",资金日记账!$E238="",资金日记账!$E238&lt;&gt;$G$1),0,IF(NOT(OR(N(资金日记账!$H238)&lt;&gt;0,N(资金日记账!$I238)&lt;&gt;0)),0,IF(资金日记账!$B238="",1,IF(OR(N(资金日记账!$B238)&lt;$H$1,N(资金日记账!$B238)&gt;$I$1),0,1))))</f>
        <v>0</v>
      </c>
      <c r="H245">
        <f t="shared" si="45"/>
        <v>0</v>
      </c>
      <c r="I245" t="str">
        <f>IF($G245=0,"",IF(资金日记账!$B238=0,"",资金日记账!$B238))</f>
        <v/>
      </c>
      <c r="J245" t="str">
        <f>IF($G245=0,"",IF(资金日记账!$D238=0,"",资金日记账!$D238))</f>
        <v/>
      </c>
      <c r="K245" t="str">
        <f t="shared" si="53"/>
        <v/>
      </c>
      <c r="L245" t="str">
        <f t="shared" si="54"/>
        <v/>
      </c>
      <c r="M245" t="str">
        <f t="shared" si="46"/>
        <v/>
      </c>
      <c r="N245" t="str">
        <f>IF($G245=0,"",IF(IF(N(资金日记账!$I238)=0,"",-ROUND(N(资金日记账!$I238),2))=0,"",IF(N(资金日记账!$I238)=0,"",-ROUND(N(资金日记账!$I238),2))))</f>
        <v/>
      </c>
      <c r="O245" t="str">
        <f>IF($G245=0,"",IF(IF(N(资金日记账!$H238)=0,"",ROUND(N(资金日记账!$H238),2))=0,"",IF(N(资金日记账!$H238)=0,"",ROUND(N(资金日记账!$H238),2))))</f>
        <v/>
      </c>
      <c r="P245" t="str">
        <f>IF($G245=0,"",IF(资金日记账!$L238=0,"",资金日记账!$L238))</f>
        <v/>
      </c>
      <c r="T245" t="str">
        <f>IF(资金日记账!$G245="","",资金日记账!$G245)</f>
        <v/>
      </c>
      <c r="U245">
        <f t="shared" si="47"/>
        <v>0</v>
      </c>
      <c r="V245">
        <f t="shared" si="48"/>
        <v>0</v>
      </c>
      <c r="Z245" t="str">
        <f>IF(成本费用登记表!$C245="","",成本费用登记表!$C245)</f>
        <v/>
      </c>
      <c r="AA245">
        <f t="shared" si="49"/>
        <v>0</v>
      </c>
      <c r="AB245">
        <f t="shared" si="50"/>
        <v>0</v>
      </c>
      <c r="AF245" t="str">
        <f>IF(OR(资金日记账!$E245="",N(资金日记账!$H245)=0),"",资金日记账!$E245)</f>
        <v/>
      </c>
      <c r="AG245">
        <f t="shared" si="51"/>
        <v>0</v>
      </c>
      <c r="AH245">
        <f t="shared" si="52"/>
        <v>0</v>
      </c>
    </row>
    <row r="246" spans="1:34">
      <c r="A246" t="str">
        <f>IF(进销存对接!$D246="客户应收",进销存对接!$C246,"")</f>
        <v/>
      </c>
      <c r="B246">
        <f t="shared" si="42"/>
        <v>0</v>
      </c>
      <c r="C246">
        <f t="shared" si="43"/>
        <v>0</v>
      </c>
      <c r="E246" t="str">
        <f t="shared" si="44"/>
        <v/>
      </c>
      <c r="G246">
        <f>IF(OR($G$1="",资金日记账!$E239="",资金日记账!$E239&lt;&gt;$G$1),0,IF(NOT(OR(N(资金日记账!$H239)&lt;&gt;0,N(资金日记账!$I239)&lt;&gt;0)),0,IF(资金日记账!$B239="",1,IF(OR(N(资金日记账!$B239)&lt;$H$1,N(资金日记账!$B239)&gt;$I$1),0,1))))</f>
        <v>0</v>
      </c>
      <c r="H246">
        <f t="shared" si="45"/>
        <v>0</v>
      </c>
      <c r="I246" t="str">
        <f>IF($G246=0,"",IF(资金日记账!$B239=0,"",资金日记账!$B239))</f>
        <v/>
      </c>
      <c r="J246" t="str">
        <f>IF($G246=0,"",IF(资金日记账!$D239=0,"",资金日记账!$D239))</f>
        <v/>
      </c>
      <c r="K246" t="str">
        <f t="shared" si="53"/>
        <v/>
      </c>
      <c r="L246" t="str">
        <f t="shared" si="54"/>
        <v/>
      </c>
      <c r="M246" t="str">
        <f t="shared" si="46"/>
        <v/>
      </c>
      <c r="N246" t="str">
        <f>IF($G246=0,"",IF(IF(N(资金日记账!$I239)=0,"",-ROUND(N(资金日记账!$I239),2))=0,"",IF(N(资金日记账!$I239)=0,"",-ROUND(N(资金日记账!$I239),2))))</f>
        <v/>
      </c>
      <c r="O246" t="str">
        <f>IF($G246=0,"",IF(IF(N(资金日记账!$H239)=0,"",ROUND(N(资金日记账!$H239),2))=0,"",IF(N(资金日记账!$H239)=0,"",ROUND(N(资金日记账!$H239),2))))</f>
        <v/>
      </c>
      <c r="P246" t="str">
        <f>IF($G246=0,"",IF(资金日记账!$L239=0,"",资金日记账!$L239))</f>
        <v/>
      </c>
      <c r="T246" t="str">
        <f>IF(资金日记账!$G246="","",资金日记账!$G246)</f>
        <v/>
      </c>
      <c r="U246">
        <f t="shared" si="47"/>
        <v>0</v>
      </c>
      <c r="V246">
        <f t="shared" si="48"/>
        <v>0</v>
      </c>
      <c r="Z246" t="str">
        <f>IF(成本费用登记表!$C246="","",成本费用登记表!$C246)</f>
        <v/>
      </c>
      <c r="AA246">
        <f t="shared" si="49"/>
        <v>0</v>
      </c>
      <c r="AB246">
        <f t="shared" si="50"/>
        <v>0</v>
      </c>
      <c r="AF246" t="str">
        <f>IF(OR(资金日记账!$E246="",N(资金日记账!$H246)=0),"",资金日记账!$E246)</f>
        <v/>
      </c>
      <c r="AG246">
        <f t="shared" si="51"/>
        <v>0</v>
      </c>
      <c r="AH246">
        <f t="shared" si="52"/>
        <v>0</v>
      </c>
    </row>
    <row r="247" spans="1:34">
      <c r="A247" t="str">
        <f>IF(进销存对接!$D247="客户应收",进销存对接!$C247,"")</f>
        <v/>
      </c>
      <c r="B247">
        <f t="shared" si="42"/>
        <v>0</v>
      </c>
      <c r="C247">
        <f t="shared" si="43"/>
        <v>0</v>
      </c>
      <c r="E247" t="str">
        <f t="shared" si="44"/>
        <v/>
      </c>
      <c r="G247">
        <f>IF(OR($G$1="",资金日记账!$E240="",资金日记账!$E240&lt;&gt;$G$1),0,IF(NOT(OR(N(资金日记账!$H240)&lt;&gt;0,N(资金日记账!$I240)&lt;&gt;0)),0,IF(资金日记账!$B240="",1,IF(OR(N(资金日记账!$B240)&lt;$H$1,N(资金日记账!$B240)&gt;$I$1),0,1))))</f>
        <v>0</v>
      </c>
      <c r="H247">
        <f t="shared" si="45"/>
        <v>0</v>
      </c>
      <c r="I247" t="str">
        <f>IF($G247=0,"",IF(资金日记账!$B240=0,"",资金日记账!$B240))</f>
        <v/>
      </c>
      <c r="J247" t="str">
        <f>IF($G247=0,"",IF(资金日记账!$D240=0,"",资金日记账!$D240))</f>
        <v/>
      </c>
      <c r="K247" t="str">
        <f t="shared" si="53"/>
        <v/>
      </c>
      <c r="L247" t="str">
        <f t="shared" si="54"/>
        <v/>
      </c>
      <c r="M247" t="str">
        <f t="shared" si="46"/>
        <v/>
      </c>
      <c r="N247" t="str">
        <f>IF($G247=0,"",IF(IF(N(资金日记账!$I240)=0,"",-ROUND(N(资金日记账!$I240),2))=0,"",IF(N(资金日记账!$I240)=0,"",-ROUND(N(资金日记账!$I240),2))))</f>
        <v/>
      </c>
      <c r="O247" t="str">
        <f>IF($G247=0,"",IF(IF(N(资金日记账!$H240)=0,"",ROUND(N(资金日记账!$H240),2))=0,"",IF(N(资金日记账!$H240)=0,"",ROUND(N(资金日记账!$H240),2))))</f>
        <v/>
      </c>
      <c r="P247" t="str">
        <f>IF($G247=0,"",IF(资金日记账!$L240=0,"",资金日记账!$L240))</f>
        <v/>
      </c>
      <c r="T247" t="str">
        <f>IF(资金日记账!$G247="","",资金日记账!$G247)</f>
        <v/>
      </c>
      <c r="U247">
        <f t="shared" si="47"/>
        <v>0</v>
      </c>
      <c r="V247">
        <f t="shared" si="48"/>
        <v>0</v>
      </c>
      <c r="Z247" t="str">
        <f>IF(成本费用登记表!$C247="","",成本费用登记表!$C247)</f>
        <v/>
      </c>
      <c r="AA247">
        <f t="shared" si="49"/>
        <v>0</v>
      </c>
      <c r="AB247">
        <f t="shared" si="50"/>
        <v>0</v>
      </c>
      <c r="AF247" t="str">
        <f>IF(OR(资金日记账!$E247="",N(资金日记账!$H247)=0),"",资金日记账!$E247)</f>
        <v/>
      </c>
      <c r="AG247">
        <f t="shared" si="51"/>
        <v>0</v>
      </c>
      <c r="AH247">
        <f t="shared" si="52"/>
        <v>0</v>
      </c>
    </row>
    <row r="248" spans="1:34">
      <c r="A248" t="str">
        <f>IF(进销存对接!$D248="客户应收",进销存对接!$C248,"")</f>
        <v/>
      </c>
      <c r="B248">
        <f t="shared" si="42"/>
        <v>0</v>
      </c>
      <c r="C248">
        <f t="shared" si="43"/>
        <v>0</v>
      </c>
      <c r="E248" t="str">
        <f t="shared" si="44"/>
        <v/>
      </c>
      <c r="G248">
        <f>IF(OR($G$1="",资金日记账!$E241="",资金日记账!$E241&lt;&gt;$G$1),0,IF(NOT(OR(N(资金日记账!$H241)&lt;&gt;0,N(资金日记账!$I241)&lt;&gt;0)),0,IF(资金日记账!$B241="",1,IF(OR(N(资金日记账!$B241)&lt;$H$1,N(资金日记账!$B241)&gt;$I$1),0,1))))</f>
        <v>0</v>
      </c>
      <c r="H248">
        <f t="shared" si="45"/>
        <v>0</v>
      </c>
      <c r="I248" t="str">
        <f>IF($G248=0,"",IF(资金日记账!$B241=0,"",资金日记账!$B241))</f>
        <v/>
      </c>
      <c r="J248" t="str">
        <f>IF($G248=0,"",IF(资金日记账!$D241=0,"",资金日记账!$D241))</f>
        <v/>
      </c>
      <c r="K248" t="str">
        <f t="shared" si="53"/>
        <v/>
      </c>
      <c r="L248" t="str">
        <f t="shared" si="54"/>
        <v/>
      </c>
      <c r="M248" t="str">
        <f t="shared" si="46"/>
        <v/>
      </c>
      <c r="N248" t="str">
        <f>IF($G248=0,"",IF(IF(N(资金日记账!$I241)=0,"",-ROUND(N(资金日记账!$I241),2))=0,"",IF(N(资金日记账!$I241)=0,"",-ROUND(N(资金日记账!$I241),2))))</f>
        <v/>
      </c>
      <c r="O248" t="str">
        <f>IF($G248=0,"",IF(IF(N(资金日记账!$H241)=0,"",ROUND(N(资金日记账!$H241),2))=0,"",IF(N(资金日记账!$H241)=0,"",ROUND(N(资金日记账!$H241),2))))</f>
        <v/>
      </c>
      <c r="P248" t="str">
        <f>IF($G248=0,"",IF(资金日记账!$L241=0,"",资金日记账!$L241))</f>
        <v/>
      </c>
      <c r="T248" t="str">
        <f>IF(资金日记账!$G248="","",资金日记账!$G248)</f>
        <v/>
      </c>
      <c r="U248">
        <f t="shared" si="47"/>
        <v>0</v>
      </c>
      <c r="V248">
        <f t="shared" si="48"/>
        <v>0</v>
      </c>
      <c r="Z248" t="str">
        <f>IF(成本费用登记表!$C248="","",成本费用登记表!$C248)</f>
        <v/>
      </c>
      <c r="AA248">
        <f t="shared" si="49"/>
        <v>0</v>
      </c>
      <c r="AB248">
        <f t="shared" si="50"/>
        <v>0</v>
      </c>
      <c r="AF248" t="str">
        <f>IF(OR(资金日记账!$E248="",N(资金日记账!$H248)=0),"",资金日记账!$E248)</f>
        <v/>
      </c>
      <c r="AG248">
        <f t="shared" si="51"/>
        <v>0</v>
      </c>
      <c r="AH248">
        <f t="shared" si="52"/>
        <v>0</v>
      </c>
    </row>
    <row r="249" spans="1:34">
      <c r="A249" t="str">
        <f>IF(进销存对接!$D249="客户应收",进销存对接!$C249,"")</f>
        <v/>
      </c>
      <c r="B249">
        <f t="shared" si="42"/>
        <v>0</v>
      </c>
      <c r="C249">
        <f t="shared" si="43"/>
        <v>0</v>
      </c>
      <c r="E249" t="str">
        <f t="shared" si="44"/>
        <v/>
      </c>
      <c r="G249">
        <f>IF(OR($G$1="",资金日记账!$E242="",资金日记账!$E242&lt;&gt;$G$1),0,IF(NOT(OR(N(资金日记账!$H242)&lt;&gt;0,N(资金日记账!$I242)&lt;&gt;0)),0,IF(资金日记账!$B242="",1,IF(OR(N(资金日记账!$B242)&lt;$H$1,N(资金日记账!$B242)&gt;$I$1),0,1))))</f>
        <v>0</v>
      </c>
      <c r="H249">
        <f t="shared" si="45"/>
        <v>0</v>
      </c>
      <c r="I249" t="str">
        <f>IF($G249=0,"",IF(资金日记账!$B242=0,"",资金日记账!$B242))</f>
        <v/>
      </c>
      <c r="J249" t="str">
        <f>IF($G249=0,"",IF(资金日记账!$D242=0,"",资金日记账!$D242))</f>
        <v/>
      </c>
      <c r="K249" t="str">
        <f t="shared" si="53"/>
        <v/>
      </c>
      <c r="L249" t="str">
        <f t="shared" si="54"/>
        <v/>
      </c>
      <c r="M249" t="str">
        <f t="shared" si="46"/>
        <v/>
      </c>
      <c r="N249" t="str">
        <f>IF($G249=0,"",IF(IF(N(资金日记账!$I242)=0,"",-ROUND(N(资金日记账!$I242),2))=0,"",IF(N(资金日记账!$I242)=0,"",-ROUND(N(资金日记账!$I242),2))))</f>
        <v/>
      </c>
      <c r="O249" t="str">
        <f>IF($G249=0,"",IF(IF(N(资金日记账!$H242)=0,"",ROUND(N(资金日记账!$H242),2))=0,"",IF(N(资金日记账!$H242)=0,"",ROUND(N(资金日记账!$H242),2))))</f>
        <v/>
      </c>
      <c r="P249" t="str">
        <f>IF($G249=0,"",IF(资金日记账!$L242=0,"",资金日记账!$L242))</f>
        <v/>
      </c>
      <c r="T249" t="str">
        <f>IF(资金日记账!$G249="","",资金日记账!$G249)</f>
        <v/>
      </c>
      <c r="U249">
        <f t="shared" si="47"/>
        <v>0</v>
      </c>
      <c r="V249">
        <f t="shared" si="48"/>
        <v>0</v>
      </c>
      <c r="Z249" t="str">
        <f>IF(成本费用登记表!$C249="","",成本费用登记表!$C249)</f>
        <v/>
      </c>
      <c r="AA249">
        <f t="shared" si="49"/>
        <v>0</v>
      </c>
      <c r="AB249">
        <f t="shared" si="50"/>
        <v>0</v>
      </c>
      <c r="AF249" t="str">
        <f>IF(OR(资金日记账!$E249="",N(资金日记账!$H249)=0),"",资金日记账!$E249)</f>
        <v/>
      </c>
      <c r="AG249">
        <f t="shared" si="51"/>
        <v>0</v>
      </c>
      <c r="AH249">
        <f t="shared" si="52"/>
        <v>0</v>
      </c>
    </row>
    <row r="250" spans="1:34">
      <c r="A250" t="str">
        <f>IF(进销存对接!$D250="客户应收",进销存对接!$C250,"")</f>
        <v/>
      </c>
      <c r="B250">
        <f t="shared" si="42"/>
        <v>0</v>
      </c>
      <c r="C250">
        <f t="shared" si="43"/>
        <v>0</v>
      </c>
      <c r="E250" t="str">
        <f t="shared" si="44"/>
        <v/>
      </c>
      <c r="G250">
        <f>IF(OR($G$1="",资金日记账!$E243="",资金日记账!$E243&lt;&gt;$G$1),0,IF(NOT(OR(N(资金日记账!$H243)&lt;&gt;0,N(资金日记账!$I243)&lt;&gt;0)),0,IF(资金日记账!$B243="",1,IF(OR(N(资金日记账!$B243)&lt;$H$1,N(资金日记账!$B243)&gt;$I$1),0,1))))</f>
        <v>0</v>
      </c>
      <c r="H250">
        <f t="shared" si="45"/>
        <v>0</v>
      </c>
      <c r="I250" t="str">
        <f>IF($G250=0,"",IF(资金日记账!$B243=0,"",资金日记账!$B243))</f>
        <v/>
      </c>
      <c r="J250" t="str">
        <f>IF($G250=0,"",IF(资金日记账!$D243=0,"",资金日记账!$D243))</f>
        <v/>
      </c>
      <c r="K250" t="str">
        <f t="shared" si="53"/>
        <v/>
      </c>
      <c r="L250" t="str">
        <f t="shared" si="54"/>
        <v/>
      </c>
      <c r="M250" t="str">
        <f t="shared" si="46"/>
        <v/>
      </c>
      <c r="N250" t="str">
        <f>IF($G250=0,"",IF(IF(N(资金日记账!$I243)=0,"",-ROUND(N(资金日记账!$I243),2))=0,"",IF(N(资金日记账!$I243)=0,"",-ROUND(N(资金日记账!$I243),2))))</f>
        <v/>
      </c>
      <c r="O250" t="str">
        <f>IF($G250=0,"",IF(IF(N(资金日记账!$H243)=0,"",ROUND(N(资金日记账!$H243),2))=0,"",IF(N(资金日记账!$H243)=0,"",ROUND(N(资金日记账!$H243),2))))</f>
        <v/>
      </c>
      <c r="P250" t="str">
        <f>IF($G250=0,"",IF(资金日记账!$L243=0,"",资金日记账!$L243))</f>
        <v/>
      </c>
      <c r="T250" t="str">
        <f>IF(资金日记账!$G250="","",资金日记账!$G250)</f>
        <v/>
      </c>
      <c r="U250">
        <f t="shared" si="47"/>
        <v>0</v>
      </c>
      <c r="V250">
        <f t="shared" si="48"/>
        <v>0</v>
      </c>
      <c r="Z250" t="str">
        <f>IF(成本费用登记表!$C250="","",成本费用登记表!$C250)</f>
        <v/>
      </c>
      <c r="AA250">
        <f t="shared" si="49"/>
        <v>0</v>
      </c>
      <c r="AB250">
        <f t="shared" si="50"/>
        <v>0</v>
      </c>
      <c r="AF250" t="str">
        <f>IF(OR(资金日记账!$E250="",N(资金日记账!$H250)=0),"",资金日记账!$E250)</f>
        <v/>
      </c>
      <c r="AG250">
        <f t="shared" si="51"/>
        <v>0</v>
      </c>
      <c r="AH250">
        <f t="shared" si="52"/>
        <v>0</v>
      </c>
    </row>
    <row r="251" spans="1:34">
      <c r="A251" t="str">
        <f>IF(进销存对接!$D251="客户应收",进销存对接!$C251,"")</f>
        <v/>
      </c>
      <c r="B251">
        <f t="shared" si="42"/>
        <v>0</v>
      </c>
      <c r="C251">
        <f t="shared" si="43"/>
        <v>0</v>
      </c>
      <c r="E251" t="str">
        <f t="shared" si="44"/>
        <v/>
      </c>
      <c r="G251">
        <f>IF(OR($G$1="",资金日记账!$E244="",资金日记账!$E244&lt;&gt;$G$1),0,IF(NOT(OR(N(资金日记账!$H244)&lt;&gt;0,N(资金日记账!$I244)&lt;&gt;0)),0,IF(资金日记账!$B244="",1,IF(OR(N(资金日记账!$B244)&lt;$H$1,N(资金日记账!$B244)&gt;$I$1),0,1))))</f>
        <v>0</v>
      </c>
      <c r="H251">
        <f t="shared" si="45"/>
        <v>0</v>
      </c>
      <c r="I251" t="str">
        <f>IF($G251=0,"",IF(资金日记账!$B244=0,"",资金日记账!$B244))</f>
        <v/>
      </c>
      <c r="J251" t="str">
        <f>IF($G251=0,"",IF(资金日记账!$D244=0,"",资金日记账!$D244))</f>
        <v/>
      </c>
      <c r="K251" t="str">
        <f t="shared" si="53"/>
        <v/>
      </c>
      <c r="L251" t="str">
        <f t="shared" si="54"/>
        <v/>
      </c>
      <c r="M251" t="str">
        <f t="shared" si="46"/>
        <v/>
      </c>
      <c r="N251" t="str">
        <f>IF($G251=0,"",IF(IF(N(资金日记账!$I244)=0,"",-ROUND(N(资金日记账!$I244),2))=0,"",IF(N(资金日记账!$I244)=0,"",-ROUND(N(资金日记账!$I244),2))))</f>
        <v/>
      </c>
      <c r="O251" t="str">
        <f>IF($G251=0,"",IF(IF(N(资金日记账!$H244)=0,"",ROUND(N(资金日记账!$H244),2))=0,"",IF(N(资金日记账!$H244)=0,"",ROUND(N(资金日记账!$H244),2))))</f>
        <v/>
      </c>
      <c r="P251" t="str">
        <f>IF($G251=0,"",IF(资金日记账!$L244=0,"",资金日记账!$L244))</f>
        <v/>
      </c>
      <c r="T251" t="str">
        <f>IF(资金日记账!$G251="","",资金日记账!$G251)</f>
        <v/>
      </c>
      <c r="U251">
        <f t="shared" si="47"/>
        <v>0</v>
      </c>
      <c r="V251">
        <f t="shared" si="48"/>
        <v>0</v>
      </c>
      <c r="Z251" t="str">
        <f>IF(成本费用登记表!$C251="","",成本费用登记表!$C251)</f>
        <v/>
      </c>
      <c r="AA251">
        <f t="shared" si="49"/>
        <v>0</v>
      </c>
      <c r="AB251">
        <f t="shared" si="50"/>
        <v>0</v>
      </c>
      <c r="AF251" t="str">
        <f>IF(OR(资金日记账!$E251="",N(资金日记账!$H251)=0),"",资金日记账!$E251)</f>
        <v/>
      </c>
      <c r="AG251">
        <f t="shared" si="51"/>
        <v>0</v>
      </c>
      <c r="AH251">
        <f t="shared" si="52"/>
        <v>0</v>
      </c>
    </row>
    <row r="252" spans="1:34">
      <c r="A252" t="str">
        <f>IF(进销存对接!$D252="客户应收",进销存对接!$C252,"")</f>
        <v/>
      </c>
      <c r="B252">
        <f t="shared" si="42"/>
        <v>0</v>
      </c>
      <c r="C252">
        <f t="shared" si="43"/>
        <v>0</v>
      </c>
      <c r="E252" t="str">
        <f t="shared" si="44"/>
        <v/>
      </c>
      <c r="G252">
        <f>IF(OR($G$1="",资金日记账!$E245="",资金日记账!$E245&lt;&gt;$G$1),0,IF(NOT(OR(N(资金日记账!$H245)&lt;&gt;0,N(资金日记账!$I245)&lt;&gt;0)),0,IF(资金日记账!$B245="",1,IF(OR(N(资金日记账!$B245)&lt;$H$1,N(资金日记账!$B245)&gt;$I$1),0,1))))</f>
        <v>0</v>
      </c>
      <c r="H252">
        <f t="shared" si="45"/>
        <v>0</v>
      </c>
      <c r="I252" t="str">
        <f>IF($G252=0,"",IF(资金日记账!$B245=0,"",资金日记账!$B245))</f>
        <v/>
      </c>
      <c r="J252" t="str">
        <f>IF($G252=0,"",IF(资金日记账!$D245=0,"",资金日记账!$D245))</f>
        <v/>
      </c>
      <c r="K252" t="str">
        <f t="shared" si="53"/>
        <v/>
      </c>
      <c r="L252" t="str">
        <f t="shared" si="54"/>
        <v/>
      </c>
      <c r="M252" t="str">
        <f t="shared" si="46"/>
        <v/>
      </c>
      <c r="N252" t="str">
        <f>IF($G252=0,"",IF(IF(N(资金日记账!$I245)=0,"",-ROUND(N(资金日记账!$I245),2))=0,"",IF(N(资金日记账!$I245)=0,"",-ROUND(N(资金日记账!$I245),2))))</f>
        <v/>
      </c>
      <c r="O252" t="str">
        <f>IF($G252=0,"",IF(IF(N(资金日记账!$H245)=0,"",ROUND(N(资金日记账!$H245),2))=0,"",IF(N(资金日记账!$H245)=0,"",ROUND(N(资金日记账!$H245),2))))</f>
        <v/>
      </c>
      <c r="P252" t="str">
        <f>IF($G252=0,"",IF(资金日记账!$L245=0,"",资金日记账!$L245))</f>
        <v/>
      </c>
      <c r="T252" t="str">
        <f>IF(资金日记账!$G252="","",资金日记账!$G252)</f>
        <v/>
      </c>
      <c r="U252">
        <f t="shared" si="47"/>
        <v>0</v>
      </c>
      <c r="V252">
        <f t="shared" si="48"/>
        <v>0</v>
      </c>
      <c r="Z252" t="str">
        <f>IF(成本费用登记表!$C252="","",成本费用登记表!$C252)</f>
        <v/>
      </c>
      <c r="AA252">
        <f t="shared" si="49"/>
        <v>0</v>
      </c>
      <c r="AB252">
        <f t="shared" si="50"/>
        <v>0</v>
      </c>
      <c r="AF252" t="str">
        <f>IF(OR(资金日记账!$E252="",N(资金日记账!$H252)=0),"",资金日记账!$E252)</f>
        <v/>
      </c>
      <c r="AG252">
        <f t="shared" si="51"/>
        <v>0</v>
      </c>
      <c r="AH252">
        <f t="shared" si="52"/>
        <v>0</v>
      </c>
    </row>
    <row r="253" spans="1:34">
      <c r="A253" t="str">
        <f>IF(进销存对接!$D253="客户应收",进销存对接!$C253,"")</f>
        <v/>
      </c>
      <c r="B253">
        <f t="shared" si="42"/>
        <v>0</v>
      </c>
      <c r="C253">
        <f t="shared" si="43"/>
        <v>0</v>
      </c>
      <c r="E253" t="str">
        <f t="shared" si="44"/>
        <v/>
      </c>
      <c r="G253">
        <f>IF(OR($G$1="",资金日记账!$E246="",资金日记账!$E246&lt;&gt;$G$1),0,IF(NOT(OR(N(资金日记账!$H246)&lt;&gt;0,N(资金日记账!$I246)&lt;&gt;0)),0,IF(资金日记账!$B246="",1,IF(OR(N(资金日记账!$B246)&lt;$H$1,N(资金日记账!$B246)&gt;$I$1),0,1))))</f>
        <v>0</v>
      </c>
      <c r="H253">
        <f t="shared" si="45"/>
        <v>0</v>
      </c>
      <c r="I253" t="str">
        <f>IF($G253=0,"",IF(资金日记账!$B246=0,"",资金日记账!$B246))</f>
        <v/>
      </c>
      <c r="J253" t="str">
        <f>IF($G253=0,"",IF(资金日记账!$D246=0,"",资金日记账!$D246))</f>
        <v/>
      </c>
      <c r="K253" t="str">
        <f t="shared" si="53"/>
        <v/>
      </c>
      <c r="L253" t="str">
        <f t="shared" si="54"/>
        <v/>
      </c>
      <c r="M253" t="str">
        <f t="shared" si="46"/>
        <v/>
      </c>
      <c r="N253" t="str">
        <f>IF($G253=0,"",IF(IF(N(资金日记账!$I246)=0,"",-ROUND(N(资金日记账!$I246),2))=0,"",IF(N(资金日记账!$I246)=0,"",-ROUND(N(资金日记账!$I246),2))))</f>
        <v/>
      </c>
      <c r="O253" t="str">
        <f>IF($G253=0,"",IF(IF(N(资金日记账!$H246)=0,"",ROUND(N(资金日记账!$H246),2))=0,"",IF(N(资金日记账!$H246)=0,"",ROUND(N(资金日记账!$H246),2))))</f>
        <v/>
      </c>
      <c r="P253" t="str">
        <f>IF($G253=0,"",IF(资金日记账!$L246=0,"",资金日记账!$L246))</f>
        <v/>
      </c>
      <c r="T253" t="str">
        <f>IF(资金日记账!$G253="","",资金日记账!$G253)</f>
        <v/>
      </c>
      <c r="U253">
        <f t="shared" si="47"/>
        <v>0</v>
      </c>
      <c r="V253">
        <f t="shared" si="48"/>
        <v>0</v>
      </c>
      <c r="Z253" t="str">
        <f>IF(成本费用登记表!$C253="","",成本费用登记表!$C253)</f>
        <v/>
      </c>
      <c r="AA253">
        <f t="shared" si="49"/>
        <v>0</v>
      </c>
      <c r="AB253">
        <f t="shared" si="50"/>
        <v>0</v>
      </c>
      <c r="AF253" t="str">
        <f>IF(OR(资金日记账!$E253="",N(资金日记账!$H253)=0),"",资金日记账!$E253)</f>
        <v/>
      </c>
      <c r="AG253">
        <f t="shared" si="51"/>
        <v>0</v>
      </c>
      <c r="AH253">
        <f t="shared" si="52"/>
        <v>0</v>
      </c>
    </row>
    <row r="254" spans="1:34">
      <c r="A254" t="str">
        <f>IF(进销存对接!$D254="客户应收",进销存对接!$C254,"")</f>
        <v/>
      </c>
      <c r="B254">
        <f t="shared" si="42"/>
        <v>0</v>
      </c>
      <c r="C254">
        <f t="shared" si="43"/>
        <v>0</v>
      </c>
      <c r="G254">
        <f>IF(OR($G$1="",资金日记账!$E247="",资金日记账!$E247&lt;&gt;$G$1),0,IF(NOT(OR(N(资金日记账!$H247)&lt;&gt;0,N(资金日记账!$I247)&lt;&gt;0)),0,IF(资金日记账!$B247="",1,IF(OR(N(资金日记账!$B247)&lt;$H$1,N(资金日记账!$B247)&gt;$I$1),0,1))))</f>
        <v>0</v>
      </c>
      <c r="H254">
        <f t="shared" si="45"/>
        <v>0</v>
      </c>
      <c r="I254" t="str">
        <f>IF($G254=0,"",IF(资金日记账!$B247=0,"",资金日记账!$B247))</f>
        <v/>
      </c>
      <c r="J254" t="str">
        <f>IF($G254=0,"",IF(资金日记账!$D247=0,"",资金日记账!$D247))</f>
        <v/>
      </c>
      <c r="K254" t="str">
        <f t="shared" si="53"/>
        <v/>
      </c>
      <c r="L254" t="str">
        <f t="shared" si="54"/>
        <v/>
      </c>
      <c r="M254" t="str">
        <f t="shared" si="46"/>
        <v/>
      </c>
      <c r="N254" t="str">
        <f>IF($G254=0,"",IF(IF(N(资金日记账!$I247)=0,"",-ROUND(N(资金日记账!$I247),2))=0,"",IF(N(资金日记账!$I247)=0,"",-ROUND(N(资金日记账!$I247),2))))</f>
        <v/>
      </c>
      <c r="O254" t="str">
        <f>IF($G254=0,"",IF(IF(N(资金日记账!$H247)=0,"",ROUND(N(资金日记账!$H247),2))=0,"",IF(N(资金日记账!$H247)=0,"",ROUND(N(资金日记账!$H247),2))))</f>
        <v/>
      </c>
      <c r="P254" t="str">
        <f>IF($G254=0,"",IF(资金日记账!$L247=0,"",资金日记账!$L247))</f>
        <v/>
      </c>
      <c r="T254" t="str">
        <f>IF(资金日记账!$G254="","",资金日记账!$G254)</f>
        <v/>
      </c>
      <c r="U254">
        <f t="shared" si="47"/>
        <v>0</v>
      </c>
      <c r="V254">
        <f t="shared" si="48"/>
        <v>0</v>
      </c>
      <c r="Z254" t="str">
        <f>IF(成本费用登记表!$C254="","",成本费用登记表!$C254)</f>
        <v/>
      </c>
      <c r="AA254">
        <f t="shared" si="49"/>
        <v>0</v>
      </c>
      <c r="AB254">
        <f t="shared" si="50"/>
        <v>0</v>
      </c>
      <c r="AF254" t="str">
        <f>IF(OR(资金日记账!$E254="",N(资金日记账!$H254)=0),"",资金日记账!$E254)</f>
        <v/>
      </c>
      <c r="AG254">
        <f t="shared" si="51"/>
        <v>0</v>
      </c>
      <c r="AH254">
        <f t="shared" si="52"/>
        <v>0</v>
      </c>
    </row>
    <row r="255" spans="1:34">
      <c r="A255" t="str">
        <f>IF(进销存对接!$D255="客户应收",进销存对接!$C255,"")</f>
        <v/>
      </c>
      <c r="B255">
        <f t="shared" si="42"/>
        <v>0</v>
      </c>
      <c r="C255">
        <f t="shared" si="43"/>
        <v>0</v>
      </c>
      <c r="G255">
        <f>IF(OR($G$1="",资金日记账!$E248="",资金日记账!$E248&lt;&gt;$G$1),0,IF(NOT(OR(N(资金日记账!$H248)&lt;&gt;0,N(资金日记账!$I248)&lt;&gt;0)),0,IF(资金日记账!$B248="",1,IF(OR(N(资金日记账!$B248)&lt;$H$1,N(资金日记账!$B248)&gt;$I$1),0,1))))</f>
        <v>0</v>
      </c>
      <c r="H255">
        <f t="shared" si="45"/>
        <v>0</v>
      </c>
      <c r="I255" t="str">
        <f>IF($G255=0,"",IF(资金日记账!$B248=0,"",资金日记账!$B248))</f>
        <v/>
      </c>
      <c r="J255" t="str">
        <f>IF($G255=0,"",IF(资金日记账!$D248=0,"",资金日记账!$D248))</f>
        <v/>
      </c>
      <c r="K255" t="str">
        <f t="shared" si="53"/>
        <v/>
      </c>
      <c r="L255" t="str">
        <f t="shared" si="54"/>
        <v/>
      </c>
      <c r="M255" t="str">
        <f t="shared" si="46"/>
        <v/>
      </c>
      <c r="N255" t="str">
        <f>IF($G255=0,"",IF(IF(N(资金日记账!$I248)=0,"",-ROUND(N(资金日记账!$I248),2))=0,"",IF(N(资金日记账!$I248)=0,"",-ROUND(N(资金日记账!$I248),2))))</f>
        <v/>
      </c>
      <c r="O255" t="str">
        <f>IF($G255=0,"",IF(IF(N(资金日记账!$H248)=0,"",ROUND(N(资金日记账!$H248),2))=0,"",IF(N(资金日记账!$H248)=0,"",ROUND(N(资金日记账!$H248),2))))</f>
        <v/>
      </c>
      <c r="P255" t="str">
        <f>IF($G255=0,"",IF(资金日记账!$L248=0,"",资金日记账!$L248))</f>
        <v/>
      </c>
      <c r="T255" t="str">
        <f>IF(资金日记账!$G255="","",资金日记账!$G255)</f>
        <v/>
      </c>
      <c r="U255">
        <f t="shared" si="47"/>
        <v>0</v>
      </c>
      <c r="V255">
        <f t="shared" si="48"/>
        <v>0</v>
      </c>
      <c r="Z255" t="str">
        <f>IF(成本费用登记表!$C255="","",成本费用登记表!$C255)</f>
        <v/>
      </c>
      <c r="AA255">
        <f t="shared" si="49"/>
        <v>0</v>
      </c>
      <c r="AB255">
        <f t="shared" si="50"/>
        <v>0</v>
      </c>
      <c r="AF255" t="str">
        <f>IF(OR(资金日记账!$E255="",N(资金日记账!$H255)=0),"",资金日记账!$E255)</f>
        <v/>
      </c>
      <c r="AG255">
        <f t="shared" si="51"/>
        <v>0</v>
      </c>
      <c r="AH255">
        <f t="shared" si="52"/>
        <v>0</v>
      </c>
    </row>
    <row r="256" spans="1:34">
      <c r="A256" t="str">
        <f>IF(进销存对接!$D256="客户应收",进销存对接!$C256,"")</f>
        <v/>
      </c>
      <c r="B256">
        <f t="shared" si="42"/>
        <v>0</v>
      </c>
      <c r="C256">
        <f t="shared" si="43"/>
        <v>0</v>
      </c>
      <c r="G256">
        <f>IF(OR($G$1="",资金日记账!$E249="",资金日记账!$E249&lt;&gt;$G$1),0,IF(NOT(OR(N(资金日记账!$H249)&lt;&gt;0,N(资金日记账!$I249)&lt;&gt;0)),0,IF(资金日记账!$B249="",1,IF(OR(N(资金日记账!$B249)&lt;$H$1,N(资金日记账!$B249)&gt;$I$1),0,1))))</f>
        <v>0</v>
      </c>
      <c r="H256">
        <f t="shared" si="45"/>
        <v>0</v>
      </c>
      <c r="I256" t="str">
        <f>IF($G256=0,"",IF(资金日记账!$B249=0,"",资金日记账!$B249))</f>
        <v/>
      </c>
      <c r="J256" t="str">
        <f>IF($G256=0,"",IF(资金日记账!$D249=0,"",资金日记账!$D249))</f>
        <v/>
      </c>
      <c r="K256" t="str">
        <f t="shared" si="53"/>
        <v/>
      </c>
      <c r="L256" t="str">
        <f t="shared" si="54"/>
        <v/>
      </c>
      <c r="M256" t="str">
        <f t="shared" si="46"/>
        <v/>
      </c>
      <c r="N256" t="str">
        <f>IF($G256=0,"",IF(IF(N(资金日记账!$I249)=0,"",-ROUND(N(资金日记账!$I249),2))=0,"",IF(N(资金日记账!$I249)=0,"",-ROUND(N(资金日记账!$I249),2))))</f>
        <v/>
      </c>
      <c r="O256" t="str">
        <f>IF($G256=0,"",IF(IF(N(资金日记账!$H249)=0,"",ROUND(N(资金日记账!$H249),2))=0,"",IF(N(资金日记账!$H249)=0,"",ROUND(N(资金日记账!$H249),2))))</f>
        <v/>
      </c>
      <c r="P256" t="str">
        <f>IF($G256=0,"",IF(资金日记账!$L249=0,"",资金日记账!$L249))</f>
        <v/>
      </c>
      <c r="T256" t="str">
        <f>IF(资金日记账!$G256="","",资金日记账!$G256)</f>
        <v/>
      </c>
      <c r="U256">
        <f t="shared" si="47"/>
        <v>0</v>
      </c>
      <c r="V256">
        <f t="shared" si="48"/>
        <v>0</v>
      </c>
      <c r="Z256" t="str">
        <f>IF(成本费用登记表!$C256="","",成本费用登记表!$C256)</f>
        <v/>
      </c>
      <c r="AA256">
        <f t="shared" si="49"/>
        <v>0</v>
      </c>
      <c r="AB256">
        <f t="shared" si="50"/>
        <v>0</v>
      </c>
      <c r="AF256" t="str">
        <f>IF(OR(资金日记账!$E256="",N(资金日记账!$H256)=0),"",资金日记账!$E256)</f>
        <v/>
      </c>
      <c r="AG256">
        <f t="shared" si="51"/>
        <v>0</v>
      </c>
      <c r="AH256">
        <f t="shared" si="52"/>
        <v>0</v>
      </c>
    </row>
    <row r="257" spans="1:34">
      <c r="A257" t="str">
        <f>IF(进销存对接!$D257="客户应收",进销存对接!$C257,"")</f>
        <v/>
      </c>
      <c r="B257">
        <f t="shared" si="42"/>
        <v>0</v>
      </c>
      <c r="C257">
        <f t="shared" si="43"/>
        <v>0</v>
      </c>
      <c r="G257">
        <f>IF(OR($G$1="",资金日记账!$E250="",资金日记账!$E250&lt;&gt;$G$1),0,IF(NOT(OR(N(资金日记账!$H250)&lt;&gt;0,N(资金日记账!$I250)&lt;&gt;0)),0,IF(资金日记账!$B250="",1,IF(OR(N(资金日记账!$B250)&lt;$H$1,N(资金日记账!$B250)&gt;$I$1),0,1))))</f>
        <v>0</v>
      </c>
      <c r="H257">
        <f t="shared" si="45"/>
        <v>0</v>
      </c>
      <c r="I257" t="str">
        <f>IF($G257=0,"",IF(资金日记账!$B250=0,"",资金日记账!$B250))</f>
        <v/>
      </c>
      <c r="J257" t="str">
        <f>IF($G257=0,"",IF(资金日记账!$D250=0,"",资金日记账!$D250))</f>
        <v/>
      </c>
      <c r="K257" t="str">
        <f t="shared" si="53"/>
        <v/>
      </c>
      <c r="L257" t="str">
        <f t="shared" si="54"/>
        <v/>
      </c>
      <c r="M257" t="str">
        <f t="shared" si="46"/>
        <v/>
      </c>
      <c r="N257" t="str">
        <f>IF($G257=0,"",IF(IF(N(资金日记账!$I250)=0,"",-ROUND(N(资金日记账!$I250),2))=0,"",IF(N(资金日记账!$I250)=0,"",-ROUND(N(资金日记账!$I250),2))))</f>
        <v/>
      </c>
      <c r="O257" t="str">
        <f>IF($G257=0,"",IF(IF(N(资金日记账!$H250)=0,"",ROUND(N(资金日记账!$H250),2))=0,"",IF(N(资金日记账!$H250)=0,"",ROUND(N(资金日记账!$H250),2))))</f>
        <v/>
      </c>
      <c r="P257" t="str">
        <f>IF($G257=0,"",IF(资金日记账!$L250=0,"",资金日记账!$L250))</f>
        <v/>
      </c>
      <c r="T257" t="str">
        <f>IF(资金日记账!$G257="","",资金日记账!$G257)</f>
        <v/>
      </c>
      <c r="U257">
        <f t="shared" si="47"/>
        <v>0</v>
      </c>
      <c r="V257">
        <f t="shared" si="48"/>
        <v>0</v>
      </c>
      <c r="Z257" t="str">
        <f>IF(成本费用登记表!$C257="","",成本费用登记表!$C257)</f>
        <v/>
      </c>
      <c r="AA257">
        <f t="shared" si="49"/>
        <v>0</v>
      </c>
      <c r="AB257">
        <f t="shared" si="50"/>
        <v>0</v>
      </c>
      <c r="AF257" t="str">
        <f>IF(OR(资金日记账!$E257="",N(资金日记账!$H257)=0),"",资金日记账!$E257)</f>
        <v/>
      </c>
      <c r="AG257">
        <f t="shared" si="51"/>
        <v>0</v>
      </c>
      <c r="AH257">
        <f t="shared" si="52"/>
        <v>0</v>
      </c>
    </row>
    <row r="258" spans="1:34">
      <c r="A258" t="str">
        <f>IF(进销存对接!$D258="客户应收",进销存对接!$C258,"")</f>
        <v/>
      </c>
      <c r="B258">
        <f t="shared" si="42"/>
        <v>0</v>
      </c>
      <c r="C258">
        <f t="shared" si="43"/>
        <v>0</v>
      </c>
      <c r="G258">
        <f>IF(OR($G$1="",资金日记账!$E251="",资金日记账!$E251&lt;&gt;$G$1),0,IF(NOT(OR(N(资金日记账!$H251)&lt;&gt;0,N(资金日记账!$I251)&lt;&gt;0)),0,IF(资金日记账!$B251="",1,IF(OR(N(资金日记账!$B251)&lt;$H$1,N(资金日记账!$B251)&gt;$I$1),0,1))))</f>
        <v>0</v>
      </c>
      <c r="H258">
        <f t="shared" si="45"/>
        <v>0</v>
      </c>
      <c r="I258" t="str">
        <f>IF($G258=0,"",IF(资金日记账!$B251=0,"",资金日记账!$B251))</f>
        <v/>
      </c>
      <c r="J258" t="str">
        <f>IF($G258=0,"",IF(资金日记账!$D251=0,"",资金日记账!$D251))</f>
        <v/>
      </c>
      <c r="K258" t="str">
        <f t="shared" si="53"/>
        <v/>
      </c>
      <c r="L258" t="str">
        <f t="shared" si="54"/>
        <v/>
      </c>
      <c r="M258" t="str">
        <f t="shared" si="46"/>
        <v/>
      </c>
      <c r="N258" t="str">
        <f>IF($G258=0,"",IF(IF(N(资金日记账!$I251)=0,"",-ROUND(N(资金日记账!$I251),2))=0,"",IF(N(资金日记账!$I251)=0,"",-ROUND(N(资金日记账!$I251),2))))</f>
        <v/>
      </c>
      <c r="O258" t="str">
        <f>IF($G258=0,"",IF(IF(N(资金日记账!$H251)=0,"",ROUND(N(资金日记账!$H251),2))=0,"",IF(N(资金日记账!$H251)=0,"",ROUND(N(资金日记账!$H251),2))))</f>
        <v/>
      </c>
      <c r="P258" t="str">
        <f>IF($G258=0,"",IF(资金日记账!$L251=0,"",资金日记账!$L251))</f>
        <v/>
      </c>
      <c r="T258" t="str">
        <f>IF(资金日记账!$G258="","",资金日记账!$G258)</f>
        <v/>
      </c>
      <c r="U258">
        <f t="shared" si="47"/>
        <v>0</v>
      </c>
      <c r="V258">
        <f t="shared" si="48"/>
        <v>0</v>
      </c>
      <c r="Z258" t="str">
        <f>IF(成本费用登记表!$C258="","",成本费用登记表!$C258)</f>
        <v/>
      </c>
      <c r="AA258">
        <f t="shared" si="49"/>
        <v>0</v>
      </c>
      <c r="AB258">
        <f t="shared" si="50"/>
        <v>0</v>
      </c>
      <c r="AF258" t="str">
        <f>IF(OR(资金日记账!$E258="",N(资金日记账!$H258)=0),"",资金日记账!$E258)</f>
        <v/>
      </c>
      <c r="AG258">
        <f t="shared" si="51"/>
        <v>0</v>
      </c>
      <c r="AH258">
        <f t="shared" si="52"/>
        <v>0</v>
      </c>
    </row>
    <row r="259" spans="1:34">
      <c r="A259" t="str">
        <f>IF(进销存对接!$D259="客户应收",进销存对接!$C259,"")</f>
        <v/>
      </c>
      <c r="B259">
        <f t="shared" si="42"/>
        <v>0</v>
      </c>
      <c r="C259">
        <f t="shared" si="43"/>
        <v>0</v>
      </c>
      <c r="G259">
        <f>IF(OR($G$1="",资金日记账!$E252="",资金日记账!$E252&lt;&gt;$G$1),0,IF(NOT(OR(N(资金日记账!$H252)&lt;&gt;0,N(资金日记账!$I252)&lt;&gt;0)),0,IF(资金日记账!$B252="",1,IF(OR(N(资金日记账!$B252)&lt;$H$1,N(资金日记账!$B252)&gt;$I$1),0,1))))</f>
        <v>0</v>
      </c>
      <c r="H259">
        <f t="shared" si="45"/>
        <v>0</v>
      </c>
      <c r="I259" t="str">
        <f>IF($G259=0,"",IF(资金日记账!$B252=0,"",资金日记账!$B252))</f>
        <v/>
      </c>
      <c r="J259" t="str">
        <f>IF($G259=0,"",IF(资金日记账!$D252=0,"",资金日记账!$D252))</f>
        <v/>
      </c>
      <c r="K259" t="str">
        <f t="shared" si="53"/>
        <v/>
      </c>
      <c r="L259" t="str">
        <f t="shared" si="54"/>
        <v/>
      </c>
      <c r="M259" t="str">
        <f t="shared" si="46"/>
        <v/>
      </c>
      <c r="N259" t="str">
        <f>IF($G259=0,"",IF(IF(N(资金日记账!$I252)=0,"",-ROUND(N(资金日记账!$I252),2))=0,"",IF(N(资金日记账!$I252)=0,"",-ROUND(N(资金日记账!$I252),2))))</f>
        <v/>
      </c>
      <c r="O259" t="str">
        <f>IF($G259=0,"",IF(IF(N(资金日记账!$H252)=0,"",ROUND(N(资金日记账!$H252),2))=0,"",IF(N(资金日记账!$H252)=0,"",ROUND(N(资金日记账!$H252),2))))</f>
        <v/>
      </c>
      <c r="P259" t="str">
        <f>IF($G259=0,"",IF(资金日记账!$L252=0,"",资金日记账!$L252))</f>
        <v/>
      </c>
      <c r="T259" t="str">
        <f>IF(资金日记账!$G259="","",资金日记账!$G259)</f>
        <v/>
      </c>
      <c r="U259">
        <f t="shared" si="47"/>
        <v>0</v>
      </c>
      <c r="V259">
        <f t="shared" si="48"/>
        <v>0</v>
      </c>
      <c r="Z259" t="str">
        <f>IF(成本费用登记表!$C259="","",成本费用登记表!$C259)</f>
        <v/>
      </c>
      <c r="AA259">
        <f t="shared" si="49"/>
        <v>0</v>
      </c>
      <c r="AB259">
        <f t="shared" si="50"/>
        <v>0</v>
      </c>
      <c r="AF259" t="str">
        <f>IF(OR(资金日记账!$E259="",N(资金日记账!$H259)=0),"",资金日记账!$E259)</f>
        <v/>
      </c>
      <c r="AG259">
        <f t="shared" si="51"/>
        <v>0</v>
      </c>
      <c r="AH259">
        <f t="shared" si="52"/>
        <v>0</v>
      </c>
    </row>
    <row r="260" spans="1:34">
      <c r="A260" t="str">
        <f>IF(进销存对接!$D260="客户应收",进销存对接!$C260,"")</f>
        <v/>
      </c>
      <c r="B260">
        <f t="shared" ref="B260:B323" si="55">IF(A260="",0,IF(MATCH(A260,$A$4:$A$1805,0)=ROW()-3,1,0))</f>
        <v>0</v>
      </c>
      <c r="C260">
        <f t="shared" ref="C260:C323" si="56">N(C259)+B260</f>
        <v>0</v>
      </c>
      <c r="G260">
        <f>IF(OR($G$1="",资金日记账!$E253="",资金日记账!$E253&lt;&gt;$G$1),0,IF(NOT(OR(N(资金日记账!$H253)&lt;&gt;0,N(资金日记账!$I253)&lt;&gt;0)),0,IF(资金日记账!$B253="",1,IF(OR(N(资金日记账!$B253)&lt;$H$1,N(资金日记账!$B253)&gt;$I$1),0,1))))</f>
        <v>0</v>
      </c>
      <c r="H260">
        <f t="shared" ref="H260:H323" si="57">N(H259)+$G260</f>
        <v>0</v>
      </c>
      <c r="I260" t="str">
        <f>IF($G260=0,"",IF(资金日记账!$B253=0,"",资金日记账!$B253))</f>
        <v/>
      </c>
      <c r="J260" t="str">
        <f>IF($G260=0,"",IF(资金日记账!$D253=0,"",资金日记账!$D253))</f>
        <v/>
      </c>
      <c r="K260" t="str">
        <f t="shared" si="53"/>
        <v/>
      </c>
      <c r="L260" t="str">
        <f t="shared" si="54"/>
        <v/>
      </c>
      <c r="M260" t="str">
        <f t="shared" ref="M260:M323" si="58">IF($G260=0,"",IF(""=0,"",""))</f>
        <v/>
      </c>
      <c r="N260" t="str">
        <f>IF($G260=0,"",IF(IF(N(资金日记账!$I253)=0,"",-ROUND(N(资金日记账!$I253),2))=0,"",IF(N(资金日记账!$I253)=0,"",-ROUND(N(资金日记账!$I253),2))))</f>
        <v/>
      </c>
      <c r="O260" t="str">
        <f>IF($G260=0,"",IF(IF(N(资金日记账!$H253)=0,"",ROUND(N(资金日记账!$H253),2))=0,"",IF(N(资金日记账!$H253)=0,"",ROUND(N(资金日记账!$H253),2))))</f>
        <v/>
      </c>
      <c r="P260" t="str">
        <f>IF($G260=0,"",IF(资金日记账!$L253=0,"",资金日记账!$L253))</f>
        <v/>
      </c>
      <c r="T260" t="str">
        <f>IF(资金日记账!$G260="","",资金日记账!$G260)</f>
        <v/>
      </c>
      <c r="U260">
        <f t="shared" ref="U260:U323" si="59">IF(T260="",0,IF(MATCH(T260,$T$4:$T$903,0)=ROW()-3,1,0))</f>
        <v>0</v>
      </c>
      <c r="V260">
        <f t="shared" ref="V260:V323" si="60">N(V259)+U260</f>
        <v>0</v>
      </c>
      <c r="Z260" t="str">
        <f>IF(成本费用登记表!$C260="","",成本费用登记表!$C260)</f>
        <v/>
      </c>
      <c r="AA260">
        <f t="shared" ref="AA260:AA303" si="61">IF(Z260="",0,IF(MATCH(Z260,$Z$4:$Z$303,0)=ROW()-3,1,0))</f>
        <v>0</v>
      </c>
      <c r="AB260">
        <f t="shared" ref="AB260:AB303" si="62">N(AB259)+AA260</f>
        <v>0</v>
      </c>
      <c r="AF260" t="str">
        <f>IF(OR(资金日记账!$E260="",N(资金日记账!$H260)=0),"",资金日记账!$E260)</f>
        <v/>
      </c>
      <c r="AG260">
        <f t="shared" ref="AG260:AG323" si="63">IF(AF260="",0,IF(MATCH(AF260,$AF$4:$AF$603,0)=ROW()-3,1,0))</f>
        <v>0</v>
      </c>
      <c r="AH260">
        <f t="shared" ref="AH260:AH323" si="64">N(AH259)+AG260</f>
        <v>0</v>
      </c>
    </row>
    <row r="261" spans="1:34">
      <c r="A261" t="str">
        <f>IF(进销存对接!$D261="客户应收",进销存对接!$C261,"")</f>
        <v/>
      </c>
      <c r="B261">
        <f t="shared" si="55"/>
        <v>0</v>
      </c>
      <c r="C261">
        <f t="shared" si="56"/>
        <v>0</v>
      </c>
      <c r="G261">
        <f>IF(OR($G$1="",资金日记账!$E254="",资金日记账!$E254&lt;&gt;$G$1),0,IF(NOT(OR(N(资金日记账!$H254)&lt;&gt;0,N(资金日记账!$I254)&lt;&gt;0)),0,IF(资金日记账!$B254="",1,IF(OR(N(资金日记账!$B254)&lt;$H$1,N(资金日记账!$B254)&gt;$I$1),0,1))))</f>
        <v>0</v>
      </c>
      <c r="H261">
        <f t="shared" si="57"/>
        <v>0</v>
      </c>
      <c r="I261" t="str">
        <f>IF($G261=0,"",IF(资金日记账!$B254=0,"",资金日记账!$B254))</f>
        <v/>
      </c>
      <c r="J261" t="str">
        <f>IF($G261=0,"",IF(资金日记账!$D254=0,"",资金日记账!$D254))</f>
        <v/>
      </c>
      <c r="K261" t="str">
        <f t="shared" si="53"/>
        <v/>
      </c>
      <c r="L261" t="str">
        <f t="shared" si="54"/>
        <v/>
      </c>
      <c r="M261" t="str">
        <f t="shared" si="58"/>
        <v/>
      </c>
      <c r="N261" t="str">
        <f>IF($G261=0,"",IF(IF(N(资金日记账!$I254)=0,"",-ROUND(N(资金日记账!$I254),2))=0,"",IF(N(资金日记账!$I254)=0,"",-ROUND(N(资金日记账!$I254),2))))</f>
        <v/>
      </c>
      <c r="O261" t="str">
        <f>IF($G261=0,"",IF(IF(N(资金日记账!$H254)=0,"",ROUND(N(资金日记账!$H254),2))=0,"",IF(N(资金日记账!$H254)=0,"",ROUND(N(资金日记账!$H254),2))))</f>
        <v/>
      </c>
      <c r="P261" t="str">
        <f>IF($G261=0,"",IF(资金日记账!$L254=0,"",资金日记账!$L254))</f>
        <v/>
      </c>
      <c r="T261" t="str">
        <f>IF(资金日记账!$G261="","",资金日记账!$G261)</f>
        <v/>
      </c>
      <c r="U261">
        <f t="shared" si="59"/>
        <v>0</v>
      </c>
      <c r="V261">
        <f t="shared" si="60"/>
        <v>0</v>
      </c>
      <c r="Z261" t="str">
        <f>IF(成本费用登记表!$C261="","",成本费用登记表!$C261)</f>
        <v/>
      </c>
      <c r="AA261">
        <f t="shared" si="61"/>
        <v>0</v>
      </c>
      <c r="AB261">
        <f t="shared" si="62"/>
        <v>0</v>
      </c>
      <c r="AF261" t="str">
        <f>IF(OR(资金日记账!$E261="",N(资金日记账!$H261)=0),"",资金日记账!$E261)</f>
        <v/>
      </c>
      <c r="AG261">
        <f t="shared" si="63"/>
        <v>0</v>
      </c>
      <c r="AH261">
        <f t="shared" si="64"/>
        <v>0</v>
      </c>
    </row>
    <row r="262" spans="1:34">
      <c r="A262" t="str">
        <f>IF(进销存对接!$D262="客户应收",进销存对接!$C262,"")</f>
        <v/>
      </c>
      <c r="B262">
        <f t="shared" si="55"/>
        <v>0</v>
      </c>
      <c r="C262">
        <f t="shared" si="56"/>
        <v>0</v>
      </c>
      <c r="G262">
        <f>IF(OR($G$1="",资金日记账!$E255="",资金日记账!$E255&lt;&gt;$G$1),0,IF(NOT(OR(N(资金日记账!$H255)&lt;&gt;0,N(资金日记账!$I255)&lt;&gt;0)),0,IF(资金日记账!$B255="",1,IF(OR(N(资金日记账!$B255)&lt;$H$1,N(资金日记账!$B255)&gt;$I$1),0,1))))</f>
        <v>0</v>
      </c>
      <c r="H262">
        <f t="shared" si="57"/>
        <v>0</v>
      </c>
      <c r="I262" t="str">
        <f>IF($G262=0,"",IF(资金日记账!$B255=0,"",资金日记账!$B255))</f>
        <v/>
      </c>
      <c r="J262" t="str">
        <f>IF($G262=0,"",IF(资金日记账!$D255=0,"",资金日记账!$D255))</f>
        <v/>
      </c>
      <c r="K262" t="str">
        <f t="shared" si="53"/>
        <v/>
      </c>
      <c r="L262" t="str">
        <f t="shared" si="54"/>
        <v/>
      </c>
      <c r="M262" t="str">
        <f t="shared" si="58"/>
        <v/>
      </c>
      <c r="N262" t="str">
        <f>IF($G262=0,"",IF(IF(N(资金日记账!$I255)=0,"",-ROUND(N(资金日记账!$I255),2))=0,"",IF(N(资金日记账!$I255)=0,"",-ROUND(N(资金日记账!$I255),2))))</f>
        <v/>
      </c>
      <c r="O262" t="str">
        <f>IF($G262=0,"",IF(IF(N(资金日记账!$H255)=0,"",ROUND(N(资金日记账!$H255),2))=0,"",IF(N(资金日记账!$H255)=0,"",ROUND(N(资金日记账!$H255),2))))</f>
        <v/>
      </c>
      <c r="P262" t="str">
        <f>IF($G262=0,"",IF(资金日记账!$L255=0,"",资金日记账!$L255))</f>
        <v/>
      </c>
      <c r="T262" t="str">
        <f>IF(资金日记账!$G262="","",资金日记账!$G262)</f>
        <v/>
      </c>
      <c r="U262">
        <f t="shared" si="59"/>
        <v>0</v>
      </c>
      <c r="V262">
        <f t="shared" si="60"/>
        <v>0</v>
      </c>
      <c r="Z262" t="str">
        <f>IF(成本费用登记表!$C262="","",成本费用登记表!$C262)</f>
        <v/>
      </c>
      <c r="AA262">
        <f t="shared" si="61"/>
        <v>0</v>
      </c>
      <c r="AB262">
        <f t="shared" si="62"/>
        <v>0</v>
      </c>
      <c r="AF262" t="str">
        <f>IF(OR(资金日记账!$E262="",N(资金日记账!$H262)=0),"",资金日记账!$E262)</f>
        <v/>
      </c>
      <c r="AG262">
        <f t="shared" si="63"/>
        <v>0</v>
      </c>
      <c r="AH262">
        <f t="shared" si="64"/>
        <v>0</v>
      </c>
    </row>
    <row r="263" spans="1:34">
      <c r="A263" t="str">
        <f>IF(进销存对接!$D263="客户应收",进销存对接!$C263,"")</f>
        <v/>
      </c>
      <c r="B263">
        <f t="shared" si="55"/>
        <v>0</v>
      </c>
      <c r="C263">
        <f t="shared" si="56"/>
        <v>0</v>
      </c>
      <c r="G263">
        <f>IF(OR($G$1="",资金日记账!$E256="",资金日记账!$E256&lt;&gt;$G$1),0,IF(NOT(OR(N(资金日记账!$H256)&lt;&gt;0,N(资金日记账!$I256)&lt;&gt;0)),0,IF(资金日记账!$B256="",1,IF(OR(N(资金日记账!$B256)&lt;$H$1,N(资金日记账!$B256)&gt;$I$1),0,1))))</f>
        <v>0</v>
      </c>
      <c r="H263">
        <f t="shared" si="57"/>
        <v>0</v>
      </c>
      <c r="I263" t="str">
        <f>IF($G263=0,"",IF(资金日记账!$B256=0,"",资金日记账!$B256))</f>
        <v/>
      </c>
      <c r="J263" t="str">
        <f>IF($G263=0,"",IF(资金日记账!$D256=0,"",资金日记账!$D256))</f>
        <v/>
      </c>
      <c r="K263" t="str">
        <f t="shared" ref="K263:K326" si="65">IF($G263=0,"",IF(""=0,"",""))</f>
        <v/>
      </c>
      <c r="L263" t="str">
        <f t="shared" ref="L263:L326" si="66">IF($G263=0,"",IF(""=0,"",""))</f>
        <v/>
      </c>
      <c r="M263" t="str">
        <f t="shared" si="58"/>
        <v/>
      </c>
      <c r="N263" t="str">
        <f>IF($G263=0,"",IF(IF(N(资金日记账!$I256)=0,"",-ROUND(N(资金日记账!$I256),2))=0,"",IF(N(资金日记账!$I256)=0,"",-ROUND(N(资金日记账!$I256),2))))</f>
        <v/>
      </c>
      <c r="O263" t="str">
        <f>IF($G263=0,"",IF(IF(N(资金日记账!$H256)=0,"",ROUND(N(资金日记账!$H256),2))=0,"",IF(N(资金日记账!$H256)=0,"",ROUND(N(资金日记账!$H256),2))))</f>
        <v/>
      </c>
      <c r="P263" t="str">
        <f>IF($G263=0,"",IF(资金日记账!$L256=0,"",资金日记账!$L256))</f>
        <v/>
      </c>
      <c r="T263" t="str">
        <f>IF(资金日记账!$G263="","",资金日记账!$G263)</f>
        <v/>
      </c>
      <c r="U263">
        <f t="shared" si="59"/>
        <v>0</v>
      </c>
      <c r="V263">
        <f t="shared" si="60"/>
        <v>0</v>
      </c>
      <c r="Z263" t="str">
        <f>IF(成本费用登记表!$C263="","",成本费用登记表!$C263)</f>
        <v/>
      </c>
      <c r="AA263">
        <f t="shared" si="61"/>
        <v>0</v>
      </c>
      <c r="AB263">
        <f t="shared" si="62"/>
        <v>0</v>
      </c>
      <c r="AF263" t="str">
        <f>IF(OR(资金日记账!$E263="",N(资金日记账!$H263)=0),"",资金日记账!$E263)</f>
        <v/>
      </c>
      <c r="AG263">
        <f t="shared" si="63"/>
        <v>0</v>
      </c>
      <c r="AH263">
        <f t="shared" si="64"/>
        <v>0</v>
      </c>
    </row>
    <row r="264" spans="1:34">
      <c r="A264" t="str">
        <f>IF(进销存对接!$D264="客户应收",进销存对接!$C264,"")</f>
        <v/>
      </c>
      <c r="B264">
        <f t="shared" si="55"/>
        <v>0</v>
      </c>
      <c r="C264">
        <f t="shared" si="56"/>
        <v>0</v>
      </c>
      <c r="G264">
        <f>IF(OR($G$1="",资金日记账!$E257="",资金日记账!$E257&lt;&gt;$G$1),0,IF(NOT(OR(N(资金日记账!$H257)&lt;&gt;0,N(资金日记账!$I257)&lt;&gt;0)),0,IF(资金日记账!$B257="",1,IF(OR(N(资金日记账!$B257)&lt;$H$1,N(资金日记账!$B257)&gt;$I$1),0,1))))</f>
        <v>0</v>
      </c>
      <c r="H264">
        <f t="shared" si="57"/>
        <v>0</v>
      </c>
      <c r="I264" t="str">
        <f>IF($G264=0,"",IF(资金日记账!$B257=0,"",资金日记账!$B257))</f>
        <v/>
      </c>
      <c r="J264" t="str">
        <f>IF($G264=0,"",IF(资金日记账!$D257=0,"",资金日记账!$D257))</f>
        <v/>
      </c>
      <c r="K264" t="str">
        <f t="shared" si="65"/>
        <v/>
      </c>
      <c r="L264" t="str">
        <f t="shared" si="66"/>
        <v/>
      </c>
      <c r="M264" t="str">
        <f t="shared" si="58"/>
        <v/>
      </c>
      <c r="N264" t="str">
        <f>IF($G264=0,"",IF(IF(N(资金日记账!$I257)=0,"",-ROUND(N(资金日记账!$I257),2))=0,"",IF(N(资金日记账!$I257)=0,"",-ROUND(N(资金日记账!$I257),2))))</f>
        <v/>
      </c>
      <c r="O264" t="str">
        <f>IF($G264=0,"",IF(IF(N(资金日记账!$H257)=0,"",ROUND(N(资金日记账!$H257),2))=0,"",IF(N(资金日记账!$H257)=0,"",ROUND(N(资金日记账!$H257),2))))</f>
        <v/>
      </c>
      <c r="P264" t="str">
        <f>IF($G264=0,"",IF(资金日记账!$L257=0,"",资金日记账!$L257))</f>
        <v/>
      </c>
      <c r="T264" t="str">
        <f>IF(资金日记账!$G264="","",资金日记账!$G264)</f>
        <v/>
      </c>
      <c r="U264">
        <f t="shared" si="59"/>
        <v>0</v>
      </c>
      <c r="V264">
        <f t="shared" si="60"/>
        <v>0</v>
      </c>
      <c r="Z264" t="str">
        <f>IF(成本费用登记表!$C264="","",成本费用登记表!$C264)</f>
        <v/>
      </c>
      <c r="AA264">
        <f t="shared" si="61"/>
        <v>0</v>
      </c>
      <c r="AB264">
        <f t="shared" si="62"/>
        <v>0</v>
      </c>
      <c r="AF264" t="str">
        <f>IF(OR(资金日记账!$E264="",N(资金日记账!$H264)=0),"",资金日记账!$E264)</f>
        <v/>
      </c>
      <c r="AG264">
        <f t="shared" si="63"/>
        <v>0</v>
      </c>
      <c r="AH264">
        <f t="shared" si="64"/>
        <v>0</v>
      </c>
    </row>
    <row r="265" spans="1:34">
      <c r="A265" t="str">
        <f>IF(进销存对接!$D265="客户应收",进销存对接!$C265,"")</f>
        <v/>
      </c>
      <c r="B265">
        <f t="shared" si="55"/>
        <v>0</v>
      </c>
      <c r="C265">
        <f t="shared" si="56"/>
        <v>0</v>
      </c>
      <c r="G265">
        <f>IF(OR($G$1="",资金日记账!$E258="",资金日记账!$E258&lt;&gt;$G$1),0,IF(NOT(OR(N(资金日记账!$H258)&lt;&gt;0,N(资金日记账!$I258)&lt;&gt;0)),0,IF(资金日记账!$B258="",1,IF(OR(N(资金日记账!$B258)&lt;$H$1,N(资金日记账!$B258)&gt;$I$1),0,1))))</f>
        <v>0</v>
      </c>
      <c r="H265">
        <f t="shared" si="57"/>
        <v>0</v>
      </c>
      <c r="I265" t="str">
        <f>IF($G265=0,"",IF(资金日记账!$B258=0,"",资金日记账!$B258))</f>
        <v/>
      </c>
      <c r="J265" t="str">
        <f>IF($G265=0,"",IF(资金日记账!$D258=0,"",资金日记账!$D258))</f>
        <v/>
      </c>
      <c r="K265" t="str">
        <f t="shared" si="65"/>
        <v/>
      </c>
      <c r="L265" t="str">
        <f t="shared" si="66"/>
        <v/>
      </c>
      <c r="M265" t="str">
        <f t="shared" si="58"/>
        <v/>
      </c>
      <c r="N265" t="str">
        <f>IF($G265=0,"",IF(IF(N(资金日记账!$I258)=0,"",-ROUND(N(资金日记账!$I258),2))=0,"",IF(N(资金日记账!$I258)=0,"",-ROUND(N(资金日记账!$I258),2))))</f>
        <v/>
      </c>
      <c r="O265" t="str">
        <f>IF($G265=0,"",IF(IF(N(资金日记账!$H258)=0,"",ROUND(N(资金日记账!$H258),2))=0,"",IF(N(资金日记账!$H258)=0,"",ROUND(N(资金日记账!$H258),2))))</f>
        <v/>
      </c>
      <c r="P265" t="str">
        <f>IF($G265=0,"",IF(资金日记账!$L258=0,"",资金日记账!$L258))</f>
        <v/>
      </c>
      <c r="T265" t="str">
        <f>IF(资金日记账!$G265="","",资金日记账!$G265)</f>
        <v/>
      </c>
      <c r="U265">
        <f t="shared" si="59"/>
        <v>0</v>
      </c>
      <c r="V265">
        <f t="shared" si="60"/>
        <v>0</v>
      </c>
      <c r="Z265" t="str">
        <f>IF(成本费用登记表!$C265="","",成本费用登记表!$C265)</f>
        <v/>
      </c>
      <c r="AA265">
        <f t="shared" si="61"/>
        <v>0</v>
      </c>
      <c r="AB265">
        <f t="shared" si="62"/>
        <v>0</v>
      </c>
      <c r="AF265" t="str">
        <f>IF(OR(资金日记账!$E265="",N(资金日记账!$H265)=0),"",资金日记账!$E265)</f>
        <v/>
      </c>
      <c r="AG265">
        <f t="shared" si="63"/>
        <v>0</v>
      </c>
      <c r="AH265">
        <f t="shared" si="64"/>
        <v>0</v>
      </c>
    </row>
    <row r="266" spans="1:34">
      <c r="A266" t="str">
        <f>IF(进销存对接!$D266="客户应收",进销存对接!$C266,"")</f>
        <v/>
      </c>
      <c r="B266">
        <f t="shared" si="55"/>
        <v>0</v>
      </c>
      <c r="C266">
        <f t="shared" si="56"/>
        <v>0</v>
      </c>
      <c r="G266">
        <f>IF(OR($G$1="",资金日记账!$E259="",资金日记账!$E259&lt;&gt;$G$1),0,IF(NOT(OR(N(资金日记账!$H259)&lt;&gt;0,N(资金日记账!$I259)&lt;&gt;0)),0,IF(资金日记账!$B259="",1,IF(OR(N(资金日记账!$B259)&lt;$H$1,N(资金日记账!$B259)&gt;$I$1),0,1))))</f>
        <v>0</v>
      </c>
      <c r="H266">
        <f t="shared" si="57"/>
        <v>0</v>
      </c>
      <c r="I266" t="str">
        <f>IF($G266=0,"",IF(资金日记账!$B259=0,"",资金日记账!$B259))</f>
        <v/>
      </c>
      <c r="J266" t="str">
        <f>IF($G266=0,"",IF(资金日记账!$D259=0,"",资金日记账!$D259))</f>
        <v/>
      </c>
      <c r="K266" t="str">
        <f t="shared" si="65"/>
        <v/>
      </c>
      <c r="L266" t="str">
        <f t="shared" si="66"/>
        <v/>
      </c>
      <c r="M266" t="str">
        <f t="shared" si="58"/>
        <v/>
      </c>
      <c r="N266" t="str">
        <f>IF($G266=0,"",IF(IF(N(资金日记账!$I259)=0,"",-ROUND(N(资金日记账!$I259),2))=0,"",IF(N(资金日记账!$I259)=0,"",-ROUND(N(资金日记账!$I259),2))))</f>
        <v/>
      </c>
      <c r="O266" t="str">
        <f>IF($G266=0,"",IF(IF(N(资金日记账!$H259)=0,"",ROUND(N(资金日记账!$H259),2))=0,"",IF(N(资金日记账!$H259)=0,"",ROUND(N(资金日记账!$H259),2))))</f>
        <v/>
      </c>
      <c r="P266" t="str">
        <f>IF($G266=0,"",IF(资金日记账!$L259=0,"",资金日记账!$L259))</f>
        <v/>
      </c>
      <c r="T266" t="str">
        <f>IF(资金日记账!$G266="","",资金日记账!$G266)</f>
        <v/>
      </c>
      <c r="U266">
        <f t="shared" si="59"/>
        <v>0</v>
      </c>
      <c r="V266">
        <f t="shared" si="60"/>
        <v>0</v>
      </c>
      <c r="Z266" t="str">
        <f>IF(成本费用登记表!$C266="","",成本费用登记表!$C266)</f>
        <v/>
      </c>
      <c r="AA266">
        <f t="shared" si="61"/>
        <v>0</v>
      </c>
      <c r="AB266">
        <f t="shared" si="62"/>
        <v>0</v>
      </c>
      <c r="AF266" t="str">
        <f>IF(OR(资金日记账!$E266="",N(资金日记账!$H266)=0),"",资金日记账!$E266)</f>
        <v/>
      </c>
      <c r="AG266">
        <f t="shared" si="63"/>
        <v>0</v>
      </c>
      <c r="AH266">
        <f t="shared" si="64"/>
        <v>0</v>
      </c>
    </row>
    <row r="267" spans="1:34">
      <c r="A267" t="str">
        <f>IF(进销存对接!$D267="客户应收",进销存对接!$C267,"")</f>
        <v/>
      </c>
      <c r="B267">
        <f t="shared" si="55"/>
        <v>0</v>
      </c>
      <c r="C267">
        <f t="shared" si="56"/>
        <v>0</v>
      </c>
      <c r="G267">
        <f>IF(OR($G$1="",资金日记账!$E260="",资金日记账!$E260&lt;&gt;$G$1),0,IF(NOT(OR(N(资金日记账!$H260)&lt;&gt;0,N(资金日记账!$I260)&lt;&gt;0)),0,IF(资金日记账!$B260="",1,IF(OR(N(资金日记账!$B260)&lt;$H$1,N(资金日记账!$B260)&gt;$I$1),0,1))))</f>
        <v>0</v>
      </c>
      <c r="H267">
        <f t="shared" si="57"/>
        <v>0</v>
      </c>
      <c r="I267" t="str">
        <f>IF($G267=0,"",IF(资金日记账!$B260=0,"",资金日记账!$B260))</f>
        <v/>
      </c>
      <c r="J267" t="str">
        <f>IF($G267=0,"",IF(资金日记账!$D260=0,"",资金日记账!$D260))</f>
        <v/>
      </c>
      <c r="K267" t="str">
        <f t="shared" si="65"/>
        <v/>
      </c>
      <c r="L267" t="str">
        <f t="shared" si="66"/>
        <v/>
      </c>
      <c r="M267" t="str">
        <f t="shared" si="58"/>
        <v/>
      </c>
      <c r="N267" t="str">
        <f>IF($G267=0,"",IF(IF(N(资金日记账!$I260)=0,"",-ROUND(N(资金日记账!$I260),2))=0,"",IF(N(资金日记账!$I260)=0,"",-ROUND(N(资金日记账!$I260),2))))</f>
        <v/>
      </c>
      <c r="O267" t="str">
        <f>IF($G267=0,"",IF(IF(N(资金日记账!$H260)=0,"",ROUND(N(资金日记账!$H260),2))=0,"",IF(N(资金日记账!$H260)=0,"",ROUND(N(资金日记账!$H260),2))))</f>
        <v/>
      </c>
      <c r="P267" t="str">
        <f>IF($G267=0,"",IF(资金日记账!$L260=0,"",资金日记账!$L260))</f>
        <v/>
      </c>
      <c r="T267" t="str">
        <f>IF(资金日记账!$G267="","",资金日记账!$G267)</f>
        <v/>
      </c>
      <c r="U267">
        <f t="shared" si="59"/>
        <v>0</v>
      </c>
      <c r="V267">
        <f t="shared" si="60"/>
        <v>0</v>
      </c>
      <c r="Z267" t="str">
        <f>IF(成本费用登记表!$C267="","",成本费用登记表!$C267)</f>
        <v/>
      </c>
      <c r="AA267">
        <f t="shared" si="61"/>
        <v>0</v>
      </c>
      <c r="AB267">
        <f t="shared" si="62"/>
        <v>0</v>
      </c>
      <c r="AF267" t="str">
        <f>IF(OR(资金日记账!$E267="",N(资金日记账!$H267)=0),"",资金日记账!$E267)</f>
        <v/>
      </c>
      <c r="AG267">
        <f t="shared" si="63"/>
        <v>0</v>
      </c>
      <c r="AH267">
        <f t="shared" si="64"/>
        <v>0</v>
      </c>
    </row>
    <row r="268" spans="1:34">
      <c r="A268" t="str">
        <f>IF(进销存对接!$D268="客户应收",进销存对接!$C268,"")</f>
        <v/>
      </c>
      <c r="B268">
        <f t="shared" si="55"/>
        <v>0</v>
      </c>
      <c r="C268">
        <f t="shared" si="56"/>
        <v>0</v>
      </c>
      <c r="G268">
        <f>IF(OR($G$1="",资金日记账!$E261="",资金日记账!$E261&lt;&gt;$G$1),0,IF(NOT(OR(N(资金日记账!$H261)&lt;&gt;0,N(资金日记账!$I261)&lt;&gt;0)),0,IF(资金日记账!$B261="",1,IF(OR(N(资金日记账!$B261)&lt;$H$1,N(资金日记账!$B261)&gt;$I$1),0,1))))</f>
        <v>0</v>
      </c>
      <c r="H268">
        <f t="shared" si="57"/>
        <v>0</v>
      </c>
      <c r="I268" t="str">
        <f>IF($G268=0,"",IF(资金日记账!$B261=0,"",资金日记账!$B261))</f>
        <v/>
      </c>
      <c r="J268" t="str">
        <f>IF($G268=0,"",IF(资金日记账!$D261=0,"",资金日记账!$D261))</f>
        <v/>
      </c>
      <c r="K268" t="str">
        <f t="shared" si="65"/>
        <v/>
      </c>
      <c r="L268" t="str">
        <f t="shared" si="66"/>
        <v/>
      </c>
      <c r="M268" t="str">
        <f t="shared" si="58"/>
        <v/>
      </c>
      <c r="N268" t="str">
        <f>IF($G268=0,"",IF(IF(N(资金日记账!$I261)=0,"",-ROUND(N(资金日记账!$I261),2))=0,"",IF(N(资金日记账!$I261)=0,"",-ROUND(N(资金日记账!$I261),2))))</f>
        <v/>
      </c>
      <c r="O268" t="str">
        <f>IF($G268=0,"",IF(IF(N(资金日记账!$H261)=0,"",ROUND(N(资金日记账!$H261),2))=0,"",IF(N(资金日记账!$H261)=0,"",ROUND(N(资金日记账!$H261),2))))</f>
        <v/>
      </c>
      <c r="P268" t="str">
        <f>IF($G268=0,"",IF(资金日记账!$L261=0,"",资金日记账!$L261))</f>
        <v/>
      </c>
      <c r="T268" t="str">
        <f>IF(资金日记账!$G268="","",资金日记账!$G268)</f>
        <v/>
      </c>
      <c r="U268">
        <f t="shared" si="59"/>
        <v>0</v>
      </c>
      <c r="V268">
        <f t="shared" si="60"/>
        <v>0</v>
      </c>
      <c r="Z268" t="str">
        <f>IF(成本费用登记表!$C268="","",成本费用登记表!$C268)</f>
        <v/>
      </c>
      <c r="AA268">
        <f t="shared" si="61"/>
        <v>0</v>
      </c>
      <c r="AB268">
        <f t="shared" si="62"/>
        <v>0</v>
      </c>
      <c r="AF268" t="str">
        <f>IF(OR(资金日记账!$E268="",N(资金日记账!$H268)=0),"",资金日记账!$E268)</f>
        <v/>
      </c>
      <c r="AG268">
        <f t="shared" si="63"/>
        <v>0</v>
      </c>
      <c r="AH268">
        <f t="shared" si="64"/>
        <v>0</v>
      </c>
    </row>
    <row r="269" spans="1:34">
      <c r="A269" t="str">
        <f>IF(进销存对接!$D269="客户应收",进销存对接!$C269,"")</f>
        <v/>
      </c>
      <c r="B269">
        <f t="shared" si="55"/>
        <v>0</v>
      </c>
      <c r="C269">
        <f t="shared" si="56"/>
        <v>0</v>
      </c>
      <c r="G269">
        <f>IF(OR($G$1="",资金日记账!$E262="",资金日记账!$E262&lt;&gt;$G$1),0,IF(NOT(OR(N(资金日记账!$H262)&lt;&gt;0,N(资金日记账!$I262)&lt;&gt;0)),0,IF(资金日记账!$B262="",1,IF(OR(N(资金日记账!$B262)&lt;$H$1,N(资金日记账!$B262)&gt;$I$1),0,1))))</f>
        <v>0</v>
      </c>
      <c r="H269">
        <f t="shared" si="57"/>
        <v>0</v>
      </c>
      <c r="I269" t="str">
        <f>IF($G269=0,"",IF(资金日记账!$B262=0,"",资金日记账!$B262))</f>
        <v/>
      </c>
      <c r="J269" t="str">
        <f>IF($G269=0,"",IF(资金日记账!$D262=0,"",资金日记账!$D262))</f>
        <v/>
      </c>
      <c r="K269" t="str">
        <f t="shared" si="65"/>
        <v/>
      </c>
      <c r="L269" t="str">
        <f t="shared" si="66"/>
        <v/>
      </c>
      <c r="M269" t="str">
        <f t="shared" si="58"/>
        <v/>
      </c>
      <c r="N269" t="str">
        <f>IF($G269=0,"",IF(IF(N(资金日记账!$I262)=0,"",-ROUND(N(资金日记账!$I262),2))=0,"",IF(N(资金日记账!$I262)=0,"",-ROUND(N(资金日记账!$I262),2))))</f>
        <v/>
      </c>
      <c r="O269" t="str">
        <f>IF($G269=0,"",IF(IF(N(资金日记账!$H262)=0,"",ROUND(N(资金日记账!$H262),2))=0,"",IF(N(资金日记账!$H262)=0,"",ROUND(N(资金日记账!$H262),2))))</f>
        <v/>
      </c>
      <c r="P269" t="str">
        <f>IF($G269=0,"",IF(资金日记账!$L262=0,"",资金日记账!$L262))</f>
        <v/>
      </c>
      <c r="T269" t="str">
        <f>IF(资金日记账!$G269="","",资金日记账!$G269)</f>
        <v/>
      </c>
      <c r="U269">
        <f t="shared" si="59"/>
        <v>0</v>
      </c>
      <c r="V269">
        <f t="shared" si="60"/>
        <v>0</v>
      </c>
      <c r="Z269" t="str">
        <f>IF(成本费用登记表!$C269="","",成本费用登记表!$C269)</f>
        <v/>
      </c>
      <c r="AA269">
        <f t="shared" si="61"/>
        <v>0</v>
      </c>
      <c r="AB269">
        <f t="shared" si="62"/>
        <v>0</v>
      </c>
      <c r="AF269" t="str">
        <f>IF(OR(资金日记账!$E269="",N(资金日记账!$H269)=0),"",资金日记账!$E269)</f>
        <v/>
      </c>
      <c r="AG269">
        <f t="shared" si="63"/>
        <v>0</v>
      </c>
      <c r="AH269">
        <f t="shared" si="64"/>
        <v>0</v>
      </c>
    </row>
    <row r="270" spans="1:34">
      <c r="A270" t="str">
        <f>IF(进销存对接!$D270="客户应收",进销存对接!$C270,"")</f>
        <v/>
      </c>
      <c r="B270">
        <f t="shared" si="55"/>
        <v>0</v>
      </c>
      <c r="C270">
        <f t="shared" si="56"/>
        <v>0</v>
      </c>
      <c r="G270">
        <f>IF(OR($G$1="",资金日记账!$E263="",资金日记账!$E263&lt;&gt;$G$1),0,IF(NOT(OR(N(资金日记账!$H263)&lt;&gt;0,N(资金日记账!$I263)&lt;&gt;0)),0,IF(资金日记账!$B263="",1,IF(OR(N(资金日记账!$B263)&lt;$H$1,N(资金日记账!$B263)&gt;$I$1),0,1))))</f>
        <v>0</v>
      </c>
      <c r="H270">
        <f t="shared" si="57"/>
        <v>0</v>
      </c>
      <c r="I270" t="str">
        <f>IF($G270=0,"",IF(资金日记账!$B263=0,"",资金日记账!$B263))</f>
        <v/>
      </c>
      <c r="J270" t="str">
        <f>IF($G270=0,"",IF(资金日记账!$D263=0,"",资金日记账!$D263))</f>
        <v/>
      </c>
      <c r="K270" t="str">
        <f t="shared" si="65"/>
        <v/>
      </c>
      <c r="L270" t="str">
        <f t="shared" si="66"/>
        <v/>
      </c>
      <c r="M270" t="str">
        <f t="shared" si="58"/>
        <v/>
      </c>
      <c r="N270" t="str">
        <f>IF($G270=0,"",IF(IF(N(资金日记账!$I263)=0,"",-ROUND(N(资金日记账!$I263),2))=0,"",IF(N(资金日记账!$I263)=0,"",-ROUND(N(资金日记账!$I263),2))))</f>
        <v/>
      </c>
      <c r="O270" t="str">
        <f>IF($G270=0,"",IF(IF(N(资金日记账!$H263)=0,"",ROUND(N(资金日记账!$H263),2))=0,"",IF(N(资金日记账!$H263)=0,"",ROUND(N(资金日记账!$H263),2))))</f>
        <v/>
      </c>
      <c r="P270" t="str">
        <f>IF($G270=0,"",IF(资金日记账!$L263=0,"",资金日记账!$L263))</f>
        <v/>
      </c>
      <c r="T270" t="str">
        <f>IF(资金日记账!$G270="","",资金日记账!$G270)</f>
        <v/>
      </c>
      <c r="U270">
        <f t="shared" si="59"/>
        <v>0</v>
      </c>
      <c r="V270">
        <f t="shared" si="60"/>
        <v>0</v>
      </c>
      <c r="Z270" t="str">
        <f>IF(成本费用登记表!$C270="","",成本费用登记表!$C270)</f>
        <v/>
      </c>
      <c r="AA270">
        <f t="shared" si="61"/>
        <v>0</v>
      </c>
      <c r="AB270">
        <f t="shared" si="62"/>
        <v>0</v>
      </c>
      <c r="AF270" t="str">
        <f>IF(OR(资金日记账!$E270="",N(资金日记账!$H270)=0),"",资金日记账!$E270)</f>
        <v/>
      </c>
      <c r="AG270">
        <f t="shared" si="63"/>
        <v>0</v>
      </c>
      <c r="AH270">
        <f t="shared" si="64"/>
        <v>0</v>
      </c>
    </row>
    <row r="271" spans="1:34">
      <c r="A271" t="str">
        <f>IF(进销存对接!$D271="客户应收",进销存对接!$C271,"")</f>
        <v/>
      </c>
      <c r="B271">
        <f t="shared" si="55"/>
        <v>0</v>
      </c>
      <c r="C271">
        <f t="shared" si="56"/>
        <v>0</v>
      </c>
      <c r="G271">
        <f>IF(OR($G$1="",资金日记账!$E264="",资金日记账!$E264&lt;&gt;$G$1),0,IF(NOT(OR(N(资金日记账!$H264)&lt;&gt;0,N(资金日记账!$I264)&lt;&gt;0)),0,IF(资金日记账!$B264="",1,IF(OR(N(资金日记账!$B264)&lt;$H$1,N(资金日记账!$B264)&gt;$I$1),0,1))))</f>
        <v>0</v>
      </c>
      <c r="H271">
        <f t="shared" si="57"/>
        <v>0</v>
      </c>
      <c r="I271" t="str">
        <f>IF($G271=0,"",IF(资金日记账!$B264=0,"",资金日记账!$B264))</f>
        <v/>
      </c>
      <c r="J271" t="str">
        <f>IF($G271=0,"",IF(资金日记账!$D264=0,"",资金日记账!$D264))</f>
        <v/>
      </c>
      <c r="K271" t="str">
        <f t="shared" si="65"/>
        <v/>
      </c>
      <c r="L271" t="str">
        <f t="shared" si="66"/>
        <v/>
      </c>
      <c r="M271" t="str">
        <f t="shared" si="58"/>
        <v/>
      </c>
      <c r="N271" t="str">
        <f>IF($G271=0,"",IF(IF(N(资金日记账!$I264)=0,"",-ROUND(N(资金日记账!$I264),2))=0,"",IF(N(资金日记账!$I264)=0,"",-ROUND(N(资金日记账!$I264),2))))</f>
        <v/>
      </c>
      <c r="O271" t="str">
        <f>IF($G271=0,"",IF(IF(N(资金日记账!$H264)=0,"",ROUND(N(资金日记账!$H264),2))=0,"",IF(N(资金日记账!$H264)=0,"",ROUND(N(资金日记账!$H264),2))))</f>
        <v/>
      </c>
      <c r="P271" t="str">
        <f>IF($G271=0,"",IF(资金日记账!$L264=0,"",资金日记账!$L264))</f>
        <v/>
      </c>
      <c r="T271" t="str">
        <f>IF(资金日记账!$G271="","",资金日记账!$G271)</f>
        <v/>
      </c>
      <c r="U271">
        <f t="shared" si="59"/>
        <v>0</v>
      </c>
      <c r="V271">
        <f t="shared" si="60"/>
        <v>0</v>
      </c>
      <c r="Z271" t="str">
        <f>IF(成本费用登记表!$C271="","",成本费用登记表!$C271)</f>
        <v/>
      </c>
      <c r="AA271">
        <f t="shared" si="61"/>
        <v>0</v>
      </c>
      <c r="AB271">
        <f t="shared" si="62"/>
        <v>0</v>
      </c>
      <c r="AF271" t="str">
        <f>IF(OR(资金日记账!$E271="",N(资金日记账!$H271)=0),"",资金日记账!$E271)</f>
        <v/>
      </c>
      <c r="AG271">
        <f t="shared" si="63"/>
        <v>0</v>
      </c>
      <c r="AH271">
        <f t="shared" si="64"/>
        <v>0</v>
      </c>
    </row>
    <row r="272" spans="1:34">
      <c r="A272" t="str">
        <f>IF(进销存对接!$D272="客户应收",进销存对接!$C272,"")</f>
        <v/>
      </c>
      <c r="B272">
        <f t="shared" si="55"/>
        <v>0</v>
      </c>
      <c r="C272">
        <f t="shared" si="56"/>
        <v>0</v>
      </c>
      <c r="G272">
        <f>IF(OR($G$1="",资金日记账!$E265="",资金日记账!$E265&lt;&gt;$G$1),0,IF(NOT(OR(N(资金日记账!$H265)&lt;&gt;0,N(资金日记账!$I265)&lt;&gt;0)),0,IF(资金日记账!$B265="",1,IF(OR(N(资金日记账!$B265)&lt;$H$1,N(资金日记账!$B265)&gt;$I$1),0,1))))</f>
        <v>0</v>
      </c>
      <c r="H272">
        <f t="shared" si="57"/>
        <v>0</v>
      </c>
      <c r="I272" t="str">
        <f>IF($G272=0,"",IF(资金日记账!$B265=0,"",资金日记账!$B265))</f>
        <v/>
      </c>
      <c r="J272" t="str">
        <f>IF($G272=0,"",IF(资金日记账!$D265=0,"",资金日记账!$D265))</f>
        <v/>
      </c>
      <c r="K272" t="str">
        <f t="shared" si="65"/>
        <v/>
      </c>
      <c r="L272" t="str">
        <f t="shared" si="66"/>
        <v/>
      </c>
      <c r="M272" t="str">
        <f t="shared" si="58"/>
        <v/>
      </c>
      <c r="N272" t="str">
        <f>IF($G272=0,"",IF(IF(N(资金日记账!$I265)=0,"",-ROUND(N(资金日记账!$I265),2))=0,"",IF(N(资金日记账!$I265)=0,"",-ROUND(N(资金日记账!$I265),2))))</f>
        <v/>
      </c>
      <c r="O272" t="str">
        <f>IF($G272=0,"",IF(IF(N(资金日记账!$H265)=0,"",ROUND(N(资金日记账!$H265),2))=0,"",IF(N(资金日记账!$H265)=0,"",ROUND(N(资金日记账!$H265),2))))</f>
        <v/>
      </c>
      <c r="P272" t="str">
        <f>IF($G272=0,"",IF(资金日记账!$L265=0,"",资金日记账!$L265))</f>
        <v/>
      </c>
      <c r="T272" t="str">
        <f>IF(资金日记账!$G272="","",资金日记账!$G272)</f>
        <v/>
      </c>
      <c r="U272">
        <f t="shared" si="59"/>
        <v>0</v>
      </c>
      <c r="V272">
        <f t="shared" si="60"/>
        <v>0</v>
      </c>
      <c r="Z272" t="str">
        <f>IF(成本费用登记表!$C272="","",成本费用登记表!$C272)</f>
        <v/>
      </c>
      <c r="AA272">
        <f t="shared" si="61"/>
        <v>0</v>
      </c>
      <c r="AB272">
        <f t="shared" si="62"/>
        <v>0</v>
      </c>
      <c r="AF272" t="str">
        <f>IF(OR(资金日记账!$E272="",N(资金日记账!$H272)=0),"",资金日记账!$E272)</f>
        <v/>
      </c>
      <c r="AG272">
        <f t="shared" si="63"/>
        <v>0</v>
      </c>
      <c r="AH272">
        <f t="shared" si="64"/>
        <v>0</v>
      </c>
    </row>
    <row r="273" spans="1:34">
      <c r="A273" t="str">
        <f>IF(进销存对接!$D273="客户应收",进销存对接!$C273,"")</f>
        <v/>
      </c>
      <c r="B273">
        <f t="shared" si="55"/>
        <v>0</v>
      </c>
      <c r="C273">
        <f t="shared" si="56"/>
        <v>0</v>
      </c>
      <c r="G273">
        <f>IF(OR($G$1="",资金日记账!$E266="",资金日记账!$E266&lt;&gt;$G$1),0,IF(NOT(OR(N(资金日记账!$H266)&lt;&gt;0,N(资金日记账!$I266)&lt;&gt;0)),0,IF(资金日记账!$B266="",1,IF(OR(N(资金日记账!$B266)&lt;$H$1,N(资金日记账!$B266)&gt;$I$1),0,1))))</f>
        <v>0</v>
      </c>
      <c r="H273">
        <f t="shared" si="57"/>
        <v>0</v>
      </c>
      <c r="I273" t="str">
        <f>IF($G273=0,"",IF(资金日记账!$B266=0,"",资金日记账!$B266))</f>
        <v/>
      </c>
      <c r="J273" t="str">
        <f>IF($G273=0,"",IF(资金日记账!$D266=0,"",资金日记账!$D266))</f>
        <v/>
      </c>
      <c r="K273" t="str">
        <f t="shared" si="65"/>
        <v/>
      </c>
      <c r="L273" t="str">
        <f t="shared" si="66"/>
        <v/>
      </c>
      <c r="M273" t="str">
        <f t="shared" si="58"/>
        <v/>
      </c>
      <c r="N273" t="str">
        <f>IF($G273=0,"",IF(IF(N(资金日记账!$I266)=0,"",-ROUND(N(资金日记账!$I266),2))=0,"",IF(N(资金日记账!$I266)=0,"",-ROUND(N(资金日记账!$I266),2))))</f>
        <v/>
      </c>
      <c r="O273" t="str">
        <f>IF($G273=0,"",IF(IF(N(资金日记账!$H266)=0,"",ROUND(N(资金日记账!$H266),2))=0,"",IF(N(资金日记账!$H266)=0,"",ROUND(N(资金日记账!$H266),2))))</f>
        <v/>
      </c>
      <c r="P273" t="str">
        <f>IF($G273=0,"",IF(资金日记账!$L266=0,"",资金日记账!$L266))</f>
        <v/>
      </c>
      <c r="T273" t="str">
        <f>IF(资金日记账!$G273="","",资金日记账!$G273)</f>
        <v/>
      </c>
      <c r="U273">
        <f t="shared" si="59"/>
        <v>0</v>
      </c>
      <c r="V273">
        <f t="shared" si="60"/>
        <v>0</v>
      </c>
      <c r="Z273" t="str">
        <f>IF(成本费用登记表!$C273="","",成本费用登记表!$C273)</f>
        <v/>
      </c>
      <c r="AA273">
        <f t="shared" si="61"/>
        <v>0</v>
      </c>
      <c r="AB273">
        <f t="shared" si="62"/>
        <v>0</v>
      </c>
      <c r="AF273" t="str">
        <f>IF(OR(资金日记账!$E273="",N(资金日记账!$H273)=0),"",资金日记账!$E273)</f>
        <v/>
      </c>
      <c r="AG273">
        <f t="shared" si="63"/>
        <v>0</v>
      </c>
      <c r="AH273">
        <f t="shared" si="64"/>
        <v>0</v>
      </c>
    </row>
    <row r="274" spans="1:34">
      <c r="A274" t="str">
        <f>IF(进销存对接!$D274="客户应收",进销存对接!$C274,"")</f>
        <v/>
      </c>
      <c r="B274">
        <f t="shared" si="55"/>
        <v>0</v>
      </c>
      <c r="C274">
        <f t="shared" si="56"/>
        <v>0</v>
      </c>
      <c r="G274">
        <f>IF(OR($G$1="",资金日记账!$E267="",资金日记账!$E267&lt;&gt;$G$1),0,IF(NOT(OR(N(资金日记账!$H267)&lt;&gt;0,N(资金日记账!$I267)&lt;&gt;0)),0,IF(资金日记账!$B267="",1,IF(OR(N(资金日记账!$B267)&lt;$H$1,N(资金日记账!$B267)&gt;$I$1),0,1))))</f>
        <v>0</v>
      </c>
      <c r="H274">
        <f t="shared" si="57"/>
        <v>0</v>
      </c>
      <c r="I274" t="str">
        <f>IF($G274=0,"",IF(资金日记账!$B267=0,"",资金日记账!$B267))</f>
        <v/>
      </c>
      <c r="J274" t="str">
        <f>IF($G274=0,"",IF(资金日记账!$D267=0,"",资金日记账!$D267))</f>
        <v/>
      </c>
      <c r="K274" t="str">
        <f t="shared" si="65"/>
        <v/>
      </c>
      <c r="L274" t="str">
        <f t="shared" si="66"/>
        <v/>
      </c>
      <c r="M274" t="str">
        <f t="shared" si="58"/>
        <v/>
      </c>
      <c r="N274" t="str">
        <f>IF($G274=0,"",IF(IF(N(资金日记账!$I267)=0,"",-ROUND(N(资金日记账!$I267),2))=0,"",IF(N(资金日记账!$I267)=0,"",-ROUND(N(资金日记账!$I267),2))))</f>
        <v/>
      </c>
      <c r="O274" t="str">
        <f>IF($G274=0,"",IF(IF(N(资金日记账!$H267)=0,"",ROUND(N(资金日记账!$H267),2))=0,"",IF(N(资金日记账!$H267)=0,"",ROUND(N(资金日记账!$H267),2))))</f>
        <v/>
      </c>
      <c r="P274" t="str">
        <f>IF($G274=0,"",IF(资金日记账!$L267=0,"",资金日记账!$L267))</f>
        <v/>
      </c>
      <c r="T274" t="str">
        <f>IF(资金日记账!$G274="","",资金日记账!$G274)</f>
        <v/>
      </c>
      <c r="U274">
        <f t="shared" si="59"/>
        <v>0</v>
      </c>
      <c r="V274">
        <f t="shared" si="60"/>
        <v>0</v>
      </c>
      <c r="Z274" t="str">
        <f>IF(成本费用登记表!$C274="","",成本费用登记表!$C274)</f>
        <v/>
      </c>
      <c r="AA274">
        <f t="shared" si="61"/>
        <v>0</v>
      </c>
      <c r="AB274">
        <f t="shared" si="62"/>
        <v>0</v>
      </c>
      <c r="AF274" t="str">
        <f>IF(OR(资金日记账!$E274="",N(资金日记账!$H274)=0),"",资金日记账!$E274)</f>
        <v/>
      </c>
      <c r="AG274">
        <f t="shared" si="63"/>
        <v>0</v>
      </c>
      <c r="AH274">
        <f t="shared" si="64"/>
        <v>0</v>
      </c>
    </row>
    <row r="275" spans="1:34">
      <c r="A275" t="str">
        <f>IF(进销存对接!$D275="客户应收",进销存对接!$C275,"")</f>
        <v/>
      </c>
      <c r="B275">
        <f t="shared" si="55"/>
        <v>0</v>
      </c>
      <c r="C275">
        <f t="shared" si="56"/>
        <v>0</v>
      </c>
      <c r="G275">
        <f>IF(OR($G$1="",资金日记账!$E268="",资金日记账!$E268&lt;&gt;$G$1),0,IF(NOT(OR(N(资金日记账!$H268)&lt;&gt;0,N(资金日记账!$I268)&lt;&gt;0)),0,IF(资金日记账!$B268="",1,IF(OR(N(资金日记账!$B268)&lt;$H$1,N(资金日记账!$B268)&gt;$I$1),0,1))))</f>
        <v>0</v>
      </c>
      <c r="H275">
        <f t="shared" si="57"/>
        <v>0</v>
      </c>
      <c r="I275" t="str">
        <f>IF($G275=0,"",IF(资金日记账!$B268=0,"",资金日记账!$B268))</f>
        <v/>
      </c>
      <c r="J275" t="str">
        <f>IF($G275=0,"",IF(资金日记账!$D268=0,"",资金日记账!$D268))</f>
        <v/>
      </c>
      <c r="K275" t="str">
        <f t="shared" si="65"/>
        <v/>
      </c>
      <c r="L275" t="str">
        <f t="shared" si="66"/>
        <v/>
      </c>
      <c r="M275" t="str">
        <f t="shared" si="58"/>
        <v/>
      </c>
      <c r="N275" t="str">
        <f>IF($G275=0,"",IF(IF(N(资金日记账!$I268)=0,"",-ROUND(N(资金日记账!$I268),2))=0,"",IF(N(资金日记账!$I268)=0,"",-ROUND(N(资金日记账!$I268),2))))</f>
        <v/>
      </c>
      <c r="O275" t="str">
        <f>IF($G275=0,"",IF(IF(N(资金日记账!$H268)=0,"",ROUND(N(资金日记账!$H268),2))=0,"",IF(N(资金日记账!$H268)=0,"",ROUND(N(资金日记账!$H268),2))))</f>
        <v/>
      </c>
      <c r="P275" t="str">
        <f>IF($G275=0,"",IF(资金日记账!$L268=0,"",资金日记账!$L268))</f>
        <v/>
      </c>
      <c r="T275" t="str">
        <f>IF(资金日记账!$G275="","",资金日记账!$G275)</f>
        <v/>
      </c>
      <c r="U275">
        <f t="shared" si="59"/>
        <v>0</v>
      </c>
      <c r="V275">
        <f t="shared" si="60"/>
        <v>0</v>
      </c>
      <c r="Z275" t="str">
        <f>IF(成本费用登记表!$C275="","",成本费用登记表!$C275)</f>
        <v/>
      </c>
      <c r="AA275">
        <f t="shared" si="61"/>
        <v>0</v>
      </c>
      <c r="AB275">
        <f t="shared" si="62"/>
        <v>0</v>
      </c>
      <c r="AF275" t="str">
        <f>IF(OR(资金日记账!$E275="",N(资金日记账!$H275)=0),"",资金日记账!$E275)</f>
        <v/>
      </c>
      <c r="AG275">
        <f t="shared" si="63"/>
        <v>0</v>
      </c>
      <c r="AH275">
        <f t="shared" si="64"/>
        <v>0</v>
      </c>
    </row>
    <row r="276" spans="1:34">
      <c r="A276" t="str">
        <f>IF(进销存对接!$D276="客户应收",进销存对接!$C276,"")</f>
        <v/>
      </c>
      <c r="B276">
        <f t="shared" si="55"/>
        <v>0</v>
      </c>
      <c r="C276">
        <f t="shared" si="56"/>
        <v>0</v>
      </c>
      <c r="G276">
        <f>IF(OR($G$1="",资金日记账!$E269="",资金日记账!$E269&lt;&gt;$G$1),0,IF(NOT(OR(N(资金日记账!$H269)&lt;&gt;0,N(资金日记账!$I269)&lt;&gt;0)),0,IF(资金日记账!$B269="",1,IF(OR(N(资金日记账!$B269)&lt;$H$1,N(资金日记账!$B269)&gt;$I$1),0,1))))</f>
        <v>0</v>
      </c>
      <c r="H276">
        <f t="shared" si="57"/>
        <v>0</v>
      </c>
      <c r="I276" t="str">
        <f>IF($G276=0,"",IF(资金日记账!$B269=0,"",资金日记账!$B269))</f>
        <v/>
      </c>
      <c r="J276" t="str">
        <f>IF($G276=0,"",IF(资金日记账!$D269=0,"",资金日记账!$D269))</f>
        <v/>
      </c>
      <c r="K276" t="str">
        <f t="shared" si="65"/>
        <v/>
      </c>
      <c r="L276" t="str">
        <f t="shared" si="66"/>
        <v/>
      </c>
      <c r="M276" t="str">
        <f t="shared" si="58"/>
        <v/>
      </c>
      <c r="N276" t="str">
        <f>IF($G276=0,"",IF(IF(N(资金日记账!$I269)=0,"",-ROUND(N(资金日记账!$I269),2))=0,"",IF(N(资金日记账!$I269)=0,"",-ROUND(N(资金日记账!$I269),2))))</f>
        <v/>
      </c>
      <c r="O276" t="str">
        <f>IF($G276=0,"",IF(IF(N(资金日记账!$H269)=0,"",ROUND(N(资金日记账!$H269),2))=0,"",IF(N(资金日记账!$H269)=0,"",ROUND(N(资金日记账!$H269),2))))</f>
        <v/>
      </c>
      <c r="P276" t="str">
        <f>IF($G276=0,"",IF(资金日记账!$L269=0,"",资金日记账!$L269))</f>
        <v/>
      </c>
      <c r="T276" t="str">
        <f>IF(资金日记账!$G276="","",资金日记账!$G276)</f>
        <v/>
      </c>
      <c r="U276">
        <f t="shared" si="59"/>
        <v>0</v>
      </c>
      <c r="V276">
        <f t="shared" si="60"/>
        <v>0</v>
      </c>
      <c r="Z276" t="str">
        <f>IF(成本费用登记表!$C276="","",成本费用登记表!$C276)</f>
        <v/>
      </c>
      <c r="AA276">
        <f t="shared" si="61"/>
        <v>0</v>
      </c>
      <c r="AB276">
        <f t="shared" si="62"/>
        <v>0</v>
      </c>
      <c r="AF276" t="str">
        <f>IF(OR(资金日记账!$E276="",N(资金日记账!$H276)=0),"",资金日记账!$E276)</f>
        <v/>
      </c>
      <c r="AG276">
        <f t="shared" si="63"/>
        <v>0</v>
      </c>
      <c r="AH276">
        <f t="shared" si="64"/>
        <v>0</v>
      </c>
    </row>
    <row r="277" spans="1:34">
      <c r="A277" t="str">
        <f>IF(进销存对接!$D277="客户应收",进销存对接!$C277,"")</f>
        <v/>
      </c>
      <c r="B277">
        <f t="shared" si="55"/>
        <v>0</v>
      </c>
      <c r="C277">
        <f t="shared" si="56"/>
        <v>0</v>
      </c>
      <c r="G277">
        <f>IF(OR($G$1="",资金日记账!$E270="",资金日记账!$E270&lt;&gt;$G$1),0,IF(NOT(OR(N(资金日记账!$H270)&lt;&gt;0,N(资金日记账!$I270)&lt;&gt;0)),0,IF(资金日记账!$B270="",1,IF(OR(N(资金日记账!$B270)&lt;$H$1,N(资金日记账!$B270)&gt;$I$1),0,1))))</f>
        <v>0</v>
      </c>
      <c r="H277">
        <f t="shared" si="57"/>
        <v>0</v>
      </c>
      <c r="I277" t="str">
        <f>IF($G277=0,"",IF(资金日记账!$B270=0,"",资金日记账!$B270))</f>
        <v/>
      </c>
      <c r="J277" t="str">
        <f>IF($G277=0,"",IF(资金日记账!$D270=0,"",资金日记账!$D270))</f>
        <v/>
      </c>
      <c r="K277" t="str">
        <f t="shared" si="65"/>
        <v/>
      </c>
      <c r="L277" t="str">
        <f t="shared" si="66"/>
        <v/>
      </c>
      <c r="M277" t="str">
        <f t="shared" si="58"/>
        <v/>
      </c>
      <c r="N277" t="str">
        <f>IF($G277=0,"",IF(IF(N(资金日记账!$I270)=0,"",-ROUND(N(资金日记账!$I270),2))=0,"",IF(N(资金日记账!$I270)=0,"",-ROUND(N(资金日记账!$I270),2))))</f>
        <v/>
      </c>
      <c r="O277" t="str">
        <f>IF($G277=0,"",IF(IF(N(资金日记账!$H270)=0,"",ROUND(N(资金日记账!$H270),2))=0,"",IF(N(资金日记账!$H270)=0,"",ROUND(N(资金日记账!$H270),2))))</f>
        <v/>
      </c>
      <c r="P277" t="str">
        <f>IF($G277=0,"",IF(资金日记账!$L270=0,"",资金日记账!$L270))</f>
        <v/>
      </c>
      <c r="T277" t="str">
        <f>IF(资金日记账!$G277="","",资金日记账!$G277)</f>
        <v/>
      </c>
      <c r="U277">
        <f t="shared" si="59"/>
        <v>0</v>
      </c>
      <c r="V277">
        <f t="shared" si="60"/>
        <v>0</v>
      </c>
      <c r="Z277" t="str">
        <f>IF(成本费用登记表!$C277="","",成本费用登记表!$C277)</f>
        <v/>
      </c>
      <c r="AA277">
        <f t="shared" si="61"/>
        <v>0</v>
      </c>
      <c r="AB277">
        <f t="shared" si="62"/>
        <v>0</v>
      </c>
      <c r="AF277" t="str">
        <f>IF(OR(资金日记账!$E277="",N(资金日记账!$H277)=0),"",资金日记账!$E277)</f>
        <v/>
      </c>
      <c r="AG277">
        <f t="shared" si="63"/>
        <v>0</v>
      </c>
      <c r="AH277">
        <f t="shared" si="64"/>
        <v>0</v>
      </c>
    </row>
    <row r="278" spans="1:34">
      <c r="A278" t="str">
        <f>IF(进销存对接!$D278="客户应收",进销存对接!$C278,"")</f>
        <v/>
      </c>
      <c r="B278">
        <f t="shared" si="55"/>
        <v>0</v>
      </c>
      <c r="C278">
        <f t="shared" si="56"/>
        <v>0</v>
      </c>
      <c r="G278">
        <f>IF(OR($G$1="",资金日记账!$E271="",资金日记账!$E271&lt;&gt;$G$1),0,IF(NOT(OR(N(资金日记账!$H271)&lt;&gt;0,N(资金日记账!$I271)&lt;&gt;0)),0,IF(资金日记账!$B271="",1,IF(OR(N(资金日记账!$B271)&lt;$H$1,N(资金日记账!$B271)&gt;$I$1),0,1))))</f>
        <v>0</v>
      </c>
      <c r="H278">
        <f t="shared" si="57"/>
        <v>0</v>
      </c>
      <c r="I278" t="str">
        <f>IF($G278=0,"",IF(资金日记账!$B271=0,"",资金日记账!$B271))</f>
        <v/>
      </c>
      <c r="J278" t="str">
        <f>IF($G278=0,"",IF(资金日记账!$D271=0,"",资金日记账!$D271))</f>
        <v/>
      </c>
      <c r="K278" t="str">
        <f t="shared" si="65"/>
        <v/>
      </c>
      <c r="L278" t="str">
        <f t="shared" si="66"/>
        <v/>
      </c>
      <c r="M278" t="str">
        <f t="shared" si="58"/>
        <v/>
      </c>
      <c r="N278" t="str">
        <f>IF($G278=0,"",IF(IF(N(资金日记账!$I271)=0,"",-ROUND(N(资金日记账!$I271),2))=0,"",IF(N(资金日记账!$I271)=0,"",-ROUND(N(资金日记账!$I271),2))))</f>
        <v/>
      </c>
      <c r="O278" t="str">
        <f>IF($G278=0,"",IF(IF(N(资金日记账!$H271)=0,"",ROUND(N(资金日记账!$H271),2))=0,"",IF(N(资金日记账!$H271)=0,"",ROUND(N(资金日记账!$H271),2))))</f>
        <v/>
      </c>
      <c r="P278" t="str">
        <f>IF($G278=0,"",IF(资金日记账!$L271=0,"",资金日记账!$L271))</f>
        <v/>
      </c>
      <c r="T278" t="str">
        <f>IF(资金日记账!$G278="","",资金日记账!$G278)</f>
        <v/>
      </c>
      <c r="U278">
        <f t="shared" si="59"/>
        <v>0</v>
      </c>
      <c r="V278">
        <f t="shared" si="60"/>
        <v>0</v>
      </c>
      <c r="Z278" t="str">
        <f>IF(成本费用登记表!$C278="","",成本费用登记表!$C278)</f>
        <v/>
      </c>
      <c r="AA278">
        <f t="shared" si="61"/>
        <v>0</v>
      </c>
      <c r="AB278">
        <f t="shared" si="62"/>
        <v>0</v>
      </c>
      <c r="AF278" t="str">
        <f>IF(OR(资金日记账!$E278="",N(资金日记账!$H278)=0),"",资金日记账!$E278)</f>
        <v/>
      </c>
      <c r="AG278">
        <f t="shared" si="63"/>
        <v>0</v>
      </c>
      <c r="AH278">
        <f t="shared" si="64"/>
        <v>0</v>
      </c>
    </row>
    <row r="279" spans="1:34">
      <c r="A279" t="str">
        <f>IF(进销存对接!$D279="客户应收",进销存对接!$C279,"")</f>
        <v/>
      </c>
      <c r="B279">
        <f t="shared" si="55"/>
        <v>0</v>
      </c>
      <c r="C279">
        <f t="shared" si="56"/>
        <v>0</v>
      </c>
      <c r="G279">
        <f>IF(OR($G$1="",资金日记账!$E272="",资金日记账!$E272&lt;&gt;$G$1),0,IF(NOT(OR(N(资金日记账!$H272)&lt;&gt;0,N(资金日记账!$I272)&lt;&gt;0)),0,IF(资金日记账!$B272="",1,IF(OR(N(资金日记账!$B272)&lt;$H$1,N(资金日记账!$B272)&gt;$I$1),0,1))))</f>
        <v>0</v>
      </c>
      <c r="H279">
        <f t="shared" si="57"/>
        <v>0</v>
      </c>
      <c r="I279" t="str">
        <f>IF($G279=0,"",IF(资金日记账!$B272=0,"",资金日记账!$B272))</f>
        <v/>
      </c>
      <c r="J279" t="str">
        <f>IF($G279=0,"",IF(资金日记账!$D272=0,"",资金日记账!$D272))</f>
        <v/>
      </c>
      <c r="K279" t="str">
        <f t="shared" si="65"/>
        <v/>
      </c>
      <c r="L279" t="str">
        <f t="shared" si="66"/>
        <v/>
      </c>
      <c r="M279" t="str">
        <f t="shared" si="58"/>
        <v/>
      </c>
      <c r="N279" t="str">
        <f>IF($G279=0,"",IF(IF(N(资金日记账!$I272)=0,"",-ROUND(N(资金日记账!$I272),2))=0,"",IF(N(资金日记账!$I272)=0,"",-ROUND(N(资金日记账!$I272),2))))</f>
        <v/>
      </c>
      <c r="O279" t="str">
        <f>IF($G279=0,"",IF(IF(N(资金日记账!$H272)=0,"",ROUND(N(资金日记账!$H272),2))=0,"",IF(N(资金日记账!$H272)=0,"",ROUND(N(资金日记账!$H272),2))))</f>
        <v/>
      </c>
      <c r="P279" t="str">
        <f>IF($G279=0,"",IF(资金日记账!$L272=0,"",资金日记账!$L272))</f>
        <v/>
      </c>
      <c r="T279" t="str">
        <f>IF(资金日记账!$G279="","",资金日记账!$G279)</f>
        <v/>
      </c>
      <c r="U279">
        <f t="shared" si="59"/>
        <v>0</v>
      </c>
      <c r="V279">
        <f t="shared" si="60"/>
        <v>0</v>
      </c>
      <c r="Z279" t="str">
        <f>IF(成本费用登记表!$C279="","",成本费用登记表!$C279)</f>
        <v/>
      </c>
      <c r="AA279">
        <f t="shared" si="61"/>
        <v>0</v>
      </c>
      <c r="AB279">
        <f t="shared" si="62"/>
        <v>0</v>
      </c>
      <c r="AF279" t="str">
        <f>IF(OR(资金日记账!$E279="",N(资金日记账!$H279)=0),"",资金日记账!$E279)</f>
        <v/>
      </c>
      <c r="AG279">
        <f t="shared" si="63"/>
        <v>0</v>
      </c>
      <c r="AH279">
        <f t="shared" si="64"/>
        <v>0</v>
      </c>
    </row>
    <row r="280" spans="1:34">
      <c r="A280" t="str">
        <f>IF(进销存对接!$D280="客户应收",进销存对接!$C280,"")</f>
        <v/>
      </c>
      <c r="B280">
        <f t="shared" si="55"/>
        <v>0</v>
      </c>
      <c r="C280">
        <f t="shared" si="56"/>
        <v>0</v>
      </c>
      <c r="G280">
        <f>IF(OR($G$1="",资金日记账!$E273="",资金日记账!$E273&lt;&gt;$G$1),0,IF(NOT(OR(N(资金日记账!$H273)&lt;&gt;0,N(资金日记账!$I273)&lt;&gt;0)),0,IF(资金日记账!$B273="",1,IF(OR(N(资金日记账!$B273)&lt;$H$1,N(资金日记账!$B273)&gt;$I$1),0,1))))</f>
        <v>0</v>
      </c>
      <c r="H280">
        <f t="shared" si="57"/>
        <v>0</v>
      </c>
      <c r="I280" t="str">
        <f>IF($G280=0,"",IF(资金日记账!$B273=0,"",资金日记账!$B273))</f>
        <v/>
      </c>
      <c r="J280" t="str">
        <f>IF($G280=0,"",IF(资金日记账!$D273=0,"",资金日记账!$D273))</f>
        <v/>
      </c>
      <c r="K280" t="str">
        <f t="shared" si="65"/>
        <v/>
      </c>
      <c r="L280" t="str">
        <f t="shared" si="66"/>
        <v/>
      </c>
      <c r="M280" t="str">
        <f t="shared" si="58"/>
        <v/>
      </c>
      <c r="N280" t="str">
        <f>IF($G280=0,"",IF(IF(N(资金日记账!$I273)=0,"",-ROUND(N(资金日记账!$I273),2))=0,"",IF(N(资金日记账!$I273)=0,"",-ROUND(N(资金日记账!$I273),2))))</f>
        <v/>
      </c>
      <c r="O280" t="str">
        <f>IF($G280=0,"",IF(IF(N(资金日记账!$H273)=0,"",ROUND(N(资金日记账!$H273),2))=0,"",IF(N(资金日记账!$H273)=0,"",ROUND(N(资金日记账!$H273),2))))</f>
        <v/>
      </c>
      <c r="P280" t="str">
        <f>IF($G280=0,"",IF(资金日记账!$L273=0,"",资金日记账!$L273))</f>
        <v/>
      </c>
      <c r="T280" t="str">
        <f>IF(资金日记账!$G280="","",资金日记账!$G280)</f>
        <v/>
      </c>
      <c r="U280">
        <f t="shared" si="59"/>
        <v>0</v>
      </c>
      <c r="V280">
        <f t="shared" si="60"/>
        <v>0</v>
      </c>
      <c r="Z280" t="str">
        <f>IF(成本费用登记表!$C280="","",成本费用登记表!$C280)</f>
        <v/>
      </c>
      <c r="AA280">
        <f t="shared" si="61"/>
        <v>0</v>
      </c>
      <c r="AB280">
        <f t="shared" si="62"/>
        <v>0</v>
      </c>
      <c r="AF280" t="str">
        <f>IF(OR(资金日记账!$E280="",N(资金日记账!$H280)=0),"",资金日记账!$E280)</f>
        <v/>
      </c>
      <c r="AG280">
        <f t="shared" si="63"/>
        <v>0</v>
      </c>
      <c r="AH280">
        <f t="shared" si="64"/>
        <v>0</v>
      </c>
    </row>
    <row r="281" spans="1:34">
      <c r="A281" t="str">
        <f>IF(进销存对接!$D281="客户应收",进销存对接!$C281,"")</f>
        <v/>
      </c>
      <c r="B281">
        <f t="shared" si="55"/>
        <v>0</v>
      </c>
      <c r="C281">
        <f t="shared" si="56"/>
        <v>0</v>
      </c>
      <c r="G281">
        <f>IF(OR($G$1="",资金日记账!$E274="",资金日记账!$E274&lt;&gt;$G$1),0,IF(NOT(OR(N(资金日记账!$H274)&lt;&gt;0,N(资金日记账!$I274)&lt;&gt;0)),0,IF(资金日记账!$B274="",1,IF(OR(N(资金日记账!$B274)&lt;$H$1,N(资金日记账!$B274)&gt;$I$1),0,1))))</f>
        <v>0</v>
      </c>
      <c r="H281">
        <f t="shared" si="57"/>
        <v>0</v>
      </c>
      <c r="I281" t="str">
        <f>IF($G281=0,"",IF(资金日记账!$B274=0,"",资金日记账!$B274))</f>
        <v/>
      </c>
      <c r="J281" t="str">
        <f>IF($G281=0,"",IF(资金日记账!$D274=0,"",资金日记账!$D274))</f>
        <v/>
      </c>
      <c r="K281" t="str">
        <f t="shared" si="65"/>
        <v/>
      </c>
      <c r="L281" t="str">
        <f t="shared" si="66"/>
        <v/>
      </c>
      <c r="M281" t="str">
        <f t="shared" si="58"/>
        <v/>
      </c>
      <c r="N281" t="str">
        <f>IF($G281=0,"",IF(IF(N(资金日记账!$I274)=0,"",-ROUND(N(资金日记账!$I274),2))=0,"",IF(N(资金日记账!$I274)=0,"",-ROUND(N(资金日记账!$I274),2))))</f>
        <v/>
      </c>
      <c r="O281" t="str">
        <f>IF($G281=0,"",IF(IF(N(资金日记账!$H274)=0,"",ROUND(N(资金日记账!$H274),2))=0,"",IF(N(资金日记账!$H274)=0,"",ROUND(N(资金日记账!$H274),2))))</f>
        <v/>
      </c>
      <c r="P281" t="str">
        <f>IF($G281=0,"",IF(资金日记账!$L274=0,"",资金日记账!$L274))</f>
        <v/>
      </c>
      <c r="T281" t="str">
        <f>IF(资金日记账!$G281="","",资金日记账!$G281)</f>
        <v/>
      </c>
      <c r="U281">
        <f t="shared" si="59"/>
        <v>0</v>
      </c>
      <c r="V281">
        <f t="shared" si="60"/>
        <v>0</v>
      </c>
      <c r="Z281" t="str">
        <f>IF(成本费用登记表!$C281="","",成本费用登记表!$C281)</f>
        <v/>
      </c>
      <c r="AA281">
        <f t="shared" si="61"/>
        <v>0</v>
      </c>
      <c r="AB281">
        <f t="shared" si="62"/>
        <v>0</v>
      </c>
      <c r="AF281" t="str">
        <f>IF(OR(资金日记账!$E281="",N(资金日记账!$H281)=0),"",资金日记账!$E281)</f>
        <v/>
      </c>
      <c r="AG281">
        <f t="shared" si="63"/>
        <v>0</v>
      </c>
      <c r="AH281">
        <f t="shared" si="64"/>
        <v>0</v>
      </c>
    </row>
    <row r="282" spans="1:34">
      <c r="A282" t="str">
        <f>IF(进销存对接!$D282="客户应收",进销存对接!$C282,"")</f>
        <v/>
      </c>
      <c r="B282">
        <f t="shared" si="55"/>
        <v>0</v>
      </c>
      <c r="C282">
        <f t="shared" si="56"/>
        <v>0</v>
      </c>
      <c r="G282">
        <f>IF(OR($G$1="",资金日记账!$E275="",资金日记账!$E275&lt;&gt;$G$1),0,IF(NOT(OR(N(资金日记账!$H275)&lt;&gt;0,N(资金日记账!$I275)&lt;&gt;0)),0,IF(资金日记账!$B275="",1,IF(OR(N(资金日记账!$B275)&lt;$H$1,N(资金日记账!$B275)&gt;$I$1),0,1))))</f>
        <v>0</v>
      </c>
      <c r="H282">
        <f t="shared" si="57"/>
        <v>0</v>
      </c>
      <c r="I282" t="str">
        <f>IF($G282=0,"",IF(资金日记账!$B275=0,"",资金日记账!$B275))</f>
        <v/>
      </c>
      <c r="J282" t="str">
        <f>IF($G282=0,"",IF(资金日记账!$D275=0,"",资金日记账!$D275))</f>
        <v/>
      </c>
      <c r="K282" t="str">
        <f t="shared" si="65"/>
        <v/>
      </c>
      <c r="L282" t="str">
        <f t="shared" si="66"/>
        <v/>
      </c>
      <c r="M282" t="str">
        <f t="shared" si="58"/>
        <v/>
      </c>
      <c r="N282" t="str">
        <f>IF($G282=0,"",IF(IF(N(资金日记账!$I275)=0,"",-ROUND(N(资金日记账!$I275),2))=0,"",IF(N(资金日记账!$I275)=0,"",-ROUND(N(资金日记账!$I275),2))))</f>
        <v/>
      </c>
      <c r="O282" t="str">
        <f>IF($G282=0,"",IF(IF(N(资金日记账!$H275)=0,"",ROUND(N(资金日记账!$H275),2))=0,"",IF(N(资金日记账!$H275)=0,"",ROUND(N(资金日记账!$H275),2))))</f>
        <v/>
      </c>
      <c r="P282" t="str">
        <f>IF($G282=0,"",IF(资金日记账!$L275=0,"",资金日记账!$L275))</f>
        <v/>
      </c>
      <c r="T282" t="str">
        <f>IF(资金日记账!$G282="","",资金日记账!$G282)</f>
        <v/>
      </c>
      <c r="U282">
        <f t="shared" si="59"/>
        <v>0</v>
      </c>
      <c r="V282">
        <f t="shared" si="60"/>
        <v>0</v>
      </c>
      <c r="Z282" t="str">
        <f>IF(成本费用登记表!$C282="","",成本费用登记表!$C282)</f>
        <v/>
      </c>
      <c r="AA282">
        <f t="shared" si="61"/>
        <v>0</v>
      </c>
      <c r="AB282">
        <f t="shared" si="62"/>
        <v>0</v>
      </c>
      <c r="AF282" t="str">
        <f>IF(OR(资金日记账!$E282="",N(资金日记账!$H282)=0),"",资金日记账!$E282)</f>
        <v/>
      </c>
      <c r="AG282">
        <f t="shared" si="63"/>
        <v>0</v>
      </c>
      <c r="AH282">
        <f t="shared" si="64"/>
        <v>0</v>
      </c>
    </row>
    <row r="283" spans="1:34">
      <c r="A283" t="str">
        <f>IF(进销存对接!$D283="客户应收",进销存对接!$C283,"")</f>
        <v/>
      </c>
      <c r="B283">
        <f t="shared" si="55"/>
        <v>0</v>
      </c>
      <c r="C283">
        <f t="shared" si="56"/>
        <v>0</v>
      </c>
      <c r="G283">
        <f>IF(OR($G$1="",资金日记账!$E276="",资金日记账!$E276&lt;&gt;$G$1),0,IF(NOT(OR(N(资金日记账!$H276)&lt;&gt;0,N(资金日记账!$I276)&lt;&gt;0)),0,IF(资金日记账!$B276="",1,IF(OR(N(资金日记账!$B276)&lt;$H$1,N(资金日记账!$B276)&gt;$I$1),0,1))))</f>
        <v>0</v>
      </c>
      <c r="H283">
        <f t="shared" si="57"/>
        <v>0</v>
      </c>
      <c r="I283" t="str">
        <f>IF($G283=0,"",IF(资金日记账!$B276=0,"",资金日记账!$B276))</f>
        <v/>
      </c>
      <c r="J283" t="str">
        <f>IF($G283=0,"",IF(资金日记账!$D276=0,"",资金日记账!$D276))</f>
        <v/>
      </c>
      <c r="K283" t="str">
        <f t="shared" si="65"/>
        <v/>
      </c>
      <c r="L283" t="str">
        <f t="shared" si="66"/>
        <v/>
      </c>
      <c r="M283" t="str">
        <f t="shared" si="58"/>
        <v/>
      </c>
      <c r="N283" t="str">
        <f>IF($G283=0,"",IF(IF(N(资金日记账!$I276)=0,"",-ROUND(N(资金日记账!$I276),2))=0,"",IF(N(资金日记账!$I276)=0,"",-ROUND(N(资金日记账!$I276),2))))</f>
        <v/>
      </c>
      <c r="O283" t="str">
        <f>IF($G283=0,"",IF(IF(N(资金日记账!$H276)=0,"",ROUND(N(资金日记账!$H276),2))=0,"",IF(N(资金日记账!$H276)=0,"",ROUND(N(资金日记账!$H276),2))))</f>
        <v/>
      </c>
      <c r="P283" t="str">
        <f>IF($G283=0,"",IF(资金日记账!$L276=0,"",资金日记账!$L276))</f>
        <v/>
      </c>
      <c r="T283" t="str">
        <f>IF(资金日记账!$G283="","",资金日记账!$G283)</f>
        <v/>
      </c>
      <c r="U283">
        <f t="shared" si="59"/>
        <v>0</v>
      </c>
      <c r="V283">
        <f t="shared" si="60"/>
        <v>0</v>
      </c>
      <c r="Z283" t="str">
        <f>IF(成本费用登记表!$C283="","",成本费用登记表!$C283)</f>
        <v/>
      </c>
      <c r="AA283">
        <f t="shared" si="61"/>
        <v>0</v>
      </c>
      <c r="AB283">
        <f t="shared" si="62"/>
        <v>0</v>
      </c>
      <c r="AF283" t="str">
        <f>IF(OR(资金日记账!$E283="",N(资金日记账!$H283)=0),"",资金日记账!$E283)</f>
        <v/>
      </c>
      <c r="AG283">
        <f t="shared" si="63"/>
        <v>0</v>
      </c>
      <c r="AH283">
        <f t="shared" si="64"/>
        <v>0</v>
      </c>
    </row>
    <row r="284" spans="1:34">
      <c r="A284" t="str">
        <f>IF(进销存对接!$D284="客户应收",进销存对接!$C284,"")</f>
        <v/>
      </c>
      <c r="B284">
        <f t="shared" si="55"/>
        <v>0</v>
      </c>
      <c r="C284">
        <f t="shared" si="56"/>
        <v>0</v>
      </c>
      <c r="G284">
        <f>IF(OR($G$1="",资金日记账!$E277="",资金日记账!$E277&lt;&gt;$G$1),0,IF(NOT(OR(N(资金日记账!$H277)&lt;&gt;0,N(资金日记账!$I277)&lt;&gt;0)),0,IF(资金日记账!$B277="",1,IF(OR(N(资金日记账!$B277)&lt;$H$1,N(资金日记账!$B277)&gt;$I$1),0,1))))</f>
        <v>0</v>
      </c>
      <c r="H284">
        <f t="shared" si="57"/>
        <v>0</v>
      </c>
      <c r="I284" t="str">
        <f>IF($G284=0,"",IF(资金日记账!$B277=0,"",资金日记账!$B277))</f>
        <v/>
      </c>
      <c r="J284" t="str">
        <f>IF($G284=0,"",IF(资金日记账!$D277=0,"",资金日记账!$D277))</f>
        <v/>
      </c>
      <c r="K284" t="str">
        <f t="shared" si="65"/>
        <v/>
      </c>
      <c r="L284" t="str">
        <f t="shared" si="66"/>
        <v/>
      </c>
      <c r="M284" t="str">
        <f t="shared" si="58"/>
        <v/>
      </c>
      <c r="N284" t="str">
        <f>IF($G284=0,"",IF(IF(N(资金日记账!$I277)=0,"",-ROUND(N(资金日记账!$I277),2))=0,"",IF(N(资金日记账!$I277)=0,"",-ROUND(N(资金日记账!$I277),2))))</f>
        <v/>
      </c>
      <c r="O284" t="str">
        <f>IF($G284=0,"",IF(IF(N(资金日记账!$H277)=0,"",ROUND(N(资金日记账!$H277),2))=0,"",IF(N(资金日记账!$H277)=0,"",ROUND(N(资金日记账!$H277),2))))</f>
        <v/>
      </c>
      <c r="P284" t="str">
        <f>IF($G284=0,"",IF(资金日记账!$L277=0,"",资金日记账!$L277))</f>
        <v/>
      </c>
      <c r="T284" t="str">
        <f>IF(资金日记账!$G284="","",资金日记账!$G284)</f>
        <v/>
      </c>
      <c r="U284">
        <f t="shared" si="59"/>
        <v>0</v>
      </c>
      <c r="V284">
        <f t="shared" si="60"/>
        <v>0</v>
      </c>
      <c r="Z284" t="str">
        <f>IF(成本费用登记表!$C284="","",成本费用登记表!$C284)</f>
        <v/>
      </c>
      <c r="AA284">
        <f t="shared" si="61"/>
        <v>0</v>
      </c>
      <c r="AB284">
        <f t="shared" si="62"/>
        <v>0</v>
      </c>
      <c r="AF284" t="str">
        <f>IF(OR(资金日记账!$E284="",N(资金日记账!$H284)=0),"",资金日记账!$E284)</f>
        <v/>
      </c>
      <c r="AG284">
        <f t="shared" si="63"/>
        <v>0</v>
      </c>
      <c r="AH284">
        <f t="shared" si="64"/>
        <v>0</v>
      </c>
    </row>
    <row r="285" spans="1:34">
      <c r="A285" t="str">
        <f>IF(进销存对接!$D285="客户应收",进销存对接!$C285,"")</f>
        <v/>
      </c>
      <c r="B285">
        <f t="shared" si="55"/>
        <v>0</v>
      </c>
      <c r="C285">
        <f t="shared" si="56"/>
        <v>0</v>
      </c>
      <c r="G285">
        <f>IF(OR($G$1="",资金日记账!$E278="",资金日记账!$E278&lt;&gt;$G$1),0,IF(NOT(OR(N(资金日记账!$H278)&lt;&gt;0,N(资金日记账!$I278)&lt;&gt;0)),0,IF(资金日记账!$B278="",1,IF(OR(N(资金日记账!$B278)&lt;$H$1,N(资金日记账!$B278)&gt;$I$1),0,1))))</f>
        <v>0</v>
      </c>
      <c r="H285">
        <f t="shared" si="57"/>
        <v>0</v>
      </c>
      <c r="I285" t="str">
        <f>IF($G285=0,"",IF(资金日记账!$B278=0,"",资金日记账!$B278))</f>
        <v/>
      </c>
      <c r="J285" t="str">
        <f>IF($G285=0,"",IF(资金日记账!$D278=0,"",资金日记账!$D278))</f>
        <v/>
      </c>
      <c r="K285" t="str">
        <f t="shared" si="65"/>
        <v/>
      </c>
      <c r="L285" t="str">
        <f t="shared" si="66"/>
        <v/>
      </c>
      <c r="M285" t="str">
        <f t="shared" si="58"/>
        <v/>
      </c>
      <c r="N285" t="str">
        <f>IF($G285=0,"",IF(IF(N(资金日记账!$I278)=0,"",-ROUND(N(资金日记账!$I278),2))=0,"",IF(N(资金日记账!$I278)=0,"",-ROUND(N(资金日记账!$I278),2))))</f>
        <v/>
      </c>
      <c r="O285" t="str">
        <f>IF($G285=0,"",IF(IF(N(资金日记账!$H278)=0,"",ROUND(N(资金日记账!$H278),2))=0,"",IF(N(资金日记账!$H278)=0,"",ROUND(N(资金日记账!$H278),2))))</f>
        <v/>
      </c>
      <c r="P285" t="str">
        <f>IF($G285=0,"",IF(资金日记账!$L278=0,"",资金日记账!$L278))</f>
        <v/>
      </c>
      <c r="T285" t="str">
        <f>IF(资金日记账!$G285="","",资金日记账!$G285)</f>
        <v/>
      </c>
      <c r="U285">
        <f t="shared" si="59"/>
        <v>0</v>
      </c>
      <c r="V285">
        <f t="shared" si="60"/>
        <v>0</v>
      </c>
      <c r="Z285" t="str">
        <f>IF(成本费用登记表!$C285="","",成本费用登记表!$C285)</f>
        <v/>
      </c>
      <c r="AA285">
        <f t="shared" si="61"/>
        <v>0</v>
      </c>
      <c r="AB285">
        <f t="shared" si="62"/>
        <v>0</v>
      </c>
      <c r="AF285" t="str">
        <f>IF(OR(资金日记账!$E285="",N(资金日记账!$H285)=0),"",资金日记账!$E285)</f>
        <v/>
      </c>
      <c r="AG285">
        <f t="shared" si="63"/>
        <v>0</v>
      </c>
      <c r="AH285">
        <f t="shared" si="64"/>
        <v>0</v>
      </c>
    </row>
    <row r="286" spans="1:34">
      <c r="A286" t="str">
        <f>IF(进销存对接!$D286="客户应收",进销存对接!$C286,"")</f>
        <v/>
      </c>
      <c r="B286">
        <f t="shared" si="55"/>
        <v>0</v>
      </c>
      <c r="C286">
        <f t="shared" si="56"/>
        <v>0</v>
      </c>
      <c r="G286">
        <f>IF(OR($G$1="",资金日记账!$E279="",资金日记账!$E279&lt;&gt;$G$1),0,IF(NOT(OR(N(资金日记账!$H279)&lt;&gt;0,N(资金日记账!$I279)&lt;&gt;0)),0,IF(资金日记账!$B279="",1,IF(OR(N(资金日记账!$B279)&lt;$H$1,N(资金日记账!$B279)&gt;$I$1),0,1))))</f>
        <v>0</v>
      </c>
      <c r="H286">
        <f t="shared" si="57"/>
        <v>0</v>
      </c>
      <c r="I286" t="str">
        <f>IF($G286=0,"",IF(资金日记账!$B279=0,"",资金日记账!$B279))</f>
        <v/>
      </c>
      <c r="J286" t="str">
        <f>IF($G286=0,"",IF(资金日记账!$D279=0,"",资金日记账!$D279))</f>
        <v/>
      </c>
      <c r="K286" t="str">
        <f t="shared" si="65"/>
        <v/>
      </c>
      <c r="L286" t="str">
        <f t="shared" si="66"/>
        <v/>
      </c>
      <c r="M286" t="str">
        <f t="shared" si="58"/>
        <v/>
      </c>
      <c r="N286" t="str">
        <f>IF($G286=0,"",IF(IF(N(资金日记账!$I279)=0,"",-ROUND(N(资金日记账!$I279),2))=0,"",IF(N(资金日记账!$I279)=0,"",-ROUND(N(资金日记账!$I279),2))))</f>
        <v/>
      </c>
      <c r="O286" t="str">
        <f>IF($G286=0,"",IF(IF(N(资金日记账!$H279)=0,"",ROUND(N(资金日记账!$H279),2))=0,"",IF(N(资金日记账!$H279)=0,"",ROUND(N(资金日记账!$H279),2))))</f>
        <v/>
      </c>
      <c r="P286" t="str">
        <f>IF($G286=0,"",IF(资金日记账!$L279=0,"",资金日记账!$L279))</f>
        <v/>
      </c>
      <c r="T286" t="str">
        <f>IF(资金日记账!$G286="","",资金日记账!$G286)</f>
        <v/>
      </c>
      <c r="U286">
        <f t="shared" si="59"/>
        <v>0</v>
      </c>
      <c r="V286">
        <f t="shared" si="60"/>
        <v>0</v>
      </c>
      <c r="Z286" t="str">
        <f>IF(成本费用登记表!$C286="","",成本费用登记表!$C286)</f>
        <v/>
      </c>
      <c r="AA286">
        <f t="shared" si="61"/>
        <v>0</v>
      </c>
      <c r="AB286">
        <f t="shared" si="62"/>
        <v>0</v>
      </c>
      <c r="AF286" t="str">
        <f>IF(OR(资金日记账!$E286="",N(资金日记账!$H286)=0),"",资金日记账!$E286)</f>
        <v/>
      </c>
      <c r="AG286">
        <f t="shared" si="63"/>
        <v>0</v>
      </c>
      <c r="AH286">
        <f t="shared" si="64"/>
        <v>0</v>
      </c>
    </row>
    <row r="287" spans="1:34">
      <c r="A287" t="str">
        <f>IF(进销存对接!$D287="客户应收",进销存对接!$C287,"")</f>
        <v/>
      </c>
      <c r="B287">
        <f t="shared" si="55"/>
        <v>0</v>
      </c>
      <c r="C287">
        <f t="shared" si="56"/>
        <v>0</v>
      </c>
      <c r="G287">
        <f>IF(OR($G$1="",资金日记账!$E280="",资金日记账!$E280&lt;&gt;$G$1),0,IF(NOT(OR(N(资金日记账!$H280)&lt;&gt;0,N(资金日记账!$I280)&lt;&gt;0)),0,IF(资金日记账!$B280="",1,IF(OR(N(资金日记账!$B280)&lt;$H$1,N(资金日记账!$B280)&gt;$I$1),0,1))))</f>
        <v>0</v>
      </c>
      <c r="H287">
        <f t="shared" si="57"/>
        <v>0</v>
      </c>
      <c r="I287" t="str">
        <f>IF($G287=0,"",IF(资金日记账!$B280=0,"",资金日记账!$B280))</f>
        <v/>
      </c>
      <c r="J287" t="str">
        <f>IF($G287=0,"",IF(资金日记账!$D280=0,"",资金日记账!$D280))</f>
        <v/>
      </c>
      <c r="K287" t="str">
        <f t="shared" si="65"/>
        <v/>
      </c>
      <c r="L287" t="str">
        <f t="shared" si="66"/>
        <v/>
      </c>
      <c r="M287" t="str">
        <f t="shared" si="58"/>
        <v/>
      </c>
      <c r="N287" t="str">
        <f>IF($G287=0,"",IF(IF(N(资金日记账!$I280)=0,"",-ROUND(N(资金日记账!$I280),2))=0,"",IF(N(资金日记账!$I280)=0,"",-ROUND(N(资金日记账!$I280),2))))</f>
        <v/>
      </c>
      <c r="O287" t="str">
        <f>IF($G287=0,"",IF(IF(N(资金日记账!$H280)=0,"",ROUND(N(资金日记账!$H280),2))=0,"",IF(N(资金日记账!$H280)=0,"",ROUND(N(资金日记账!$H280),2))))</f>
        <v/>
      </c>
      <c r="P287" t="str">
        <f>IF($G287=0,"",IF(资金日记账!$L280=0,"",资金日记账!$L280))</f>
        <v/>
      </c>
      <c r="T287" t="str">
        <f>IF(资金日记账!$G287="","",资金日记账!$G287)</f>
        <v/>
      </c>
      <c r="U287">
        <f t="shared" si="59"/>
        <v>0</v>
      </c>
      <c r="V287">
        <f t="shared" si="60"/>
        <v>0</v>
      </c>
      <c r="Z287" t="str">
        <f>IF(成本费用登记表!$C287="","",成本费用登记表!$C287)</f>
        <v/>
      </c>
      <c r="AA287">
        <f t="shared" si="61"/>
        <v>0</v>
      </c>
      <c r="AB287">
        <f t="shared" si="62"/>
        <v>0</v>
      </c>
      <c r="AF287" t="str">
        <f>IF(OR(资金日记账!$E287="",N(资金日记账!$H287)=0),"",资金日记账!$E287)</f>
        <v/>
      </c>
      <c r="AG287">
        <f t="shared" si="63"/>
        <v>0</v>
      </c>
      <c r="AH287">
        <f t="shared" si="64"/>
        <v>0</v>
      </c>
    </row>
    <row r="288" spans="1:34">
      <c r="A288" t="str">
        <f>IF(进销存对接!$D288="客户应收",进销存对接!$C288,"")</f>
        <v/>
      </c>
      <c r="B288">
        <f t="shared" si="55"/>
        <v>0</v>
      </c>
      <c r="C288">
        <f t="shared" si="56"/>
        <v>0</v>
      </c>
      <c r="G288">
        <f>IF(OR($G$1="",资金日记账!$E281="",资金日记账!$E281&lt;&gt;$G$1),0,IF(NOT(OR(N(资金日记账!$H281)&lt;&gt;0,N(资金日记账!$I281)&lt;&gt;0)),0,IF(资金日记账!$B281="",1,IF(OR(N(资金日记账!$B281)&lt;$H$1,N(资金日记账!$B281)&gt;$I$1),0,1))))</f>
        <v>0</v>
      </c>
      <c r="H288">
        <f t="shared" si="57"/>
        <v>0</v>
      </c>
      <c r="I288" t="str">
        <f>IF($G288=0,"",IF(资金日记账!$B281=0,"",资金日记账!$B281))</f>
        <v/>
      </c>
      <c r="J288" t="str">
        <f>IF($G288=0,"",IF(资金日记账!$D281=0,"",资金日记账!$D281))</f>
        <v/>
      </c>
      <c r="K288" t="str">
        <f t="shared" si="65"/>
        <v/>
      </c>
      <c r="L288" t="str">
        <f t="shared" si="66"/>
        <v/>
      </c>
      <c r="M288" t="str">
        <f t="shared" si="58"/>
        <v/>
      </c>
      <c r="N288" t="str">
        <f>IF($G288=0,"",IF(IF(N(资金日记账!$I281)=0,"",-ROUND(N(资金日记账!$I281),2))=0,"",IF(N(资金日记账!$I281)=0,"",-ROUND(N(资金日记账!$I281),2))))</f>
        <v/>
      </c>
      <c r="O288" t="str">
        <f>IF($G288=0,"",IF(IF(N(资金日记账!$H281)=0,"",ROUND(N(资金日记账!$H281),2))=0,"",IF(N(资金日记账!$H281)=0,"",ROUND(N(资金日记账!$H281),2))))</f>
        <v/>
      </c>
      <c r="P288" t="str">
        <f>IF($G288=0,"",IF(资金日记账!$L281=0,"",资金日记账!$L281))</f>
        <v/>
      </c>
      <c r="T288" t="str">
        <f>IF(资金日记账!$G288="","",资金日记账!$G288)</f>
        <v/>
      </c>
      <c r="U288">
        <f t="shared" si="59"/>
        <v>0</v>
      </c>
      <c r="V288">
        <f t="shared" si="60"/>
        <v>0</v>
      </c>
      <c r="Z288" t="str">
        <f>IF(成本费用登记表!$C288="","",成本费用登记表!$C288)</f>
        <v/>
      </c>
      <c r="AA288">
        <f t="shared" si="61"/>
        <v>0</v>
      </c>
      <c r="AB288">
        <f t="shared" si="62"/>
        <v>0</v>
      </c>
      <c r="AF288" t="str">
        <f>IF(OR(资金日记账!$E288="",N(资金日记账!$H288)=0),"",资金日记账!$E288)</f>
        <v/>
      </c>
      <c r="AG288">
        <f t="shared" si="63"/>
        <v>0</v>
      </c>
      <c r="AH288">
        <f t="shared" si="64"/>
        <v>0</v>
      </c>
    </row>
    <row r="289" spans="1:34">
      <c r="A289" t="str">
        <f>IF(进销存对接!$D289="客户应收",进销存对接!$C289,"")</f>
        <v/>
      </c>
      <c r="B289">
        <f t="shared" si="55"/>
        <v>0</v>
      </c>
      <c r="C289">
        <f t="shared" si="56"/>
        <v>0</v>
      </c>
      <c r="G289">
        <f>IF(OR($G$1="",资金日记账!$E282="",资金日记账!$E282&lt;&gt;$G$1),0,IF(NOT(OR(N(资金日记账!$H282)&lt;&gt;0,N(资金日记账!$I282)&lt;&gt;0)),0,IF(资金日记账!$B282="",1,IF(OR(N(资金日记账!$B282)&lt;$H$1,N(资金日记账!$B282)&gt;$I$1),0,1))))</f>
        <v>0</v>
      </c>
      <c r="H289">
        <f t="shared" si="57"/>
        <v>0</v>
      </c>
      <c r="I289" t="str">
        <f>IF($G289=0,"",IF(资金日记账!$B282=0,"",资金日记账!$B282))</f>
        <v/>
      </c>
      <c r="J289" t="str">
        <f>IF($G289=0,"",IF(资金日记账!$D282=0,"",资金日记账!$D282))</f>
        <v/>
      </c>
      <c r="K289" t="str">
        <f t="shared" si="65"/>
        <v/>
      </c>
      <c r="L289" t="str">
        <f t="shared" si="66"/>
        <v/>
      </c>
      <c r="M289" t="str">
        <f t="shared" si="58"/>
        <v/>
      </c>
      <c r="N289" t="str">
        <f>IF($G289=0,"",IF(IF(N(资金日记账!$I282)=0,"",-ROUND(N(资金日记账!$I282),2))=0,"",IF(N(资金日记账!$I282)=0,"",-ROUND(N(资金日记账!$I282),2))))</f>
        <v/>
      </c>
      <c r="O289" t="str">
        <f>IF($G289=0,"",IF(IF(N(资金日记账!$H282)=0,"",ROUND(N(资金日记账!$H282),2))=0,"",IF(N(资金日记账!$H282)=0,"",ROUND(N(资金日记账!$H282),2))))</f>
        <v/>
      </c>
      <c r="P289" t="str">
        <f>IF($G289=0,"",IF(资金日记账!$L282=0,"",资金日记账!$L282))</f>
        <v/>
      </c>
      <c r="T289" t="str">
        <f>IF(资金日记账!$G289="","",资金日记账!$G289)</f>
        <v/>
      </c>
      <c r="U289">
        <f t="shared" si="59"/>
        <v>0</v>
      </c>
      <c r="V289">
        <f t="shared" si="60"/>
        <v>0</v>
      </c>
      <c r="Z289" t="str">
        <f>IF(成本费用登记表!$C289="","",成本费用登记表!$C289)</f>
        <v/>
      </c>
      <c r="AA289">
        <f t="shared" si="61"/>
        <v>0</v>
      </c>
      <c r="AB289">
        <f t="shared" si="62"/>
        <v>0</v>
      </c>
      <c r="AF289" t="str">
        <f>IF(OR(资金日记账!$E289="",N(资金日记账!$H289)=0),"",资金日记账!$E289)</f>
        <v/>
      </c>
      <c r="AG289">
        <f t="shared" si="63"/>
        <v>0</v>
      </c>
      <c r="AH289">
        <f t="shared" si="64"/>
        <v>0</v>
      </c>
    </row>
    <row r="290" spans="1:34">
      <c r="A290" t="str">
        <f>IF(进销存对接!$D290="客户应收",进销存对接!$C290,"")</f>
        <v/>
      </c>
      <c r="B290">
        <f t="shared" si="55"/>
        <v>0</v>
      </c>
      <c r="C290">
        <f t="shared" si="56"/>
        <v>0</v>
      </c>
      <c r="G290">
        <f>IF(OR($G$1="",资金日记账!$E283="",资金日记账!$E283&lt;&gt;$G$1),0,IF(NOT(OR(N(资金日记账!$H283)&lt;&gt;0,N(资金日记账!$I283)&lt;&gt;0)),0,IF(资金日记账!$B283="",1,IF(OR(N(资金日记账!$B283)&lt;$H$1,N(资金日记账!$B283)&gt;$I$1),0,1))))</f>
        <v>0</v>
      </c>
      <c r="H290">
        <f t="shared" si="57"/>
        <v>0</v>
      </c>
      <c r="I290" t="str">
        <f>IF($G290=0,"",IF(资金日记账!$B283=0,"",资金日记账!$B283))</f>
        <v/>
      </c>
      <c r="J290" t="str">
        <f>IF($G290=0,"",IF(资金日记账!$D283=0,"",资金日记账!$D283))</f>
        <v/>
      </c>
      <c r="K290" t="str">
        <f t="shared" si="65"/>
        <v/>
      </c>
      <c r="L290" t="str">
        <f t="shared" si="66"/>
        <v/>
      </c>
      <c r="M290" t="str">
        <f t="shared" si="58"/>
        <v/>
      </c>
      <c r="N290" t="str">
        <f>IF($G290=0,"",IF(IF(N(资金日记账!$I283)=0,"",-ROUND(N(资金日记账!$I283),2))=0,"",IF(N(资金日记账!$I283)=0,"",-ROUND(N(资金日记账!$I283),2))))</f>
        <v/>
      </c>
      <c r="O290" t="str">
        <f>IF($G290=0,"",IF(IF(N(资金日记账!$H283)=0,"",ROUND(N(资金日记账!$H283),2))=0,"",IF(N(资金日记账!$H283)=0,"",ROUND(N(资金日记账!$H283),2))))</f>
        <v/>
      </c>
      <c r="P290" t="str">
        <f>IF($G290=0,"",IF(资金日记账!$L283=0,"",资金日记账!$L283))</f>
        <v/>
      </c>
      <c r="T290" t="str">
        <f>IF(资金日记账!$G290="","",资金日记账!$G290)</f>
        <v/>
      </c>
      <c r="U290">
        <f t="shared" si="59"/>
        <v>0</v>
      </c>
      <c r="V290">
        <f t="shared" si="60"/>
        <v>0</v>
      </c>
      <c r="Z290" t="str">
        <f>IF(成本费用登记表!$C290="","",成本费用登记表!$C290)</f>
        <v/>
      </c>
      <c r="AA290">
        <f t="shared" si="61"/>
        <v>0</v>
      </c>
      <c r="AB290">
        <f t="shared" si="62"/>
        <v>0</v>
      </c>
      <c r="AF290" t="str">
        <f>IF(OR(资金日记账!$E290="",N(资金日记账!$H290)=0),"",资金日记账!$E290)</f>
        <v/>
      </c>
      <c r="AG290">
        <f t="shared" si="63"/>
        <v>0</v>
      </c>
      <c r="AH290">
        <f t="shared" si="64"/>
        <v>0</v>
      </c>
    </row>
    <row r="291" spans="1:34">
      <c r="A291" t="str">
        <f>IF(进销存对接!$D291="客户应收",进销存对接!$C291,"")</f>
        <v/>
      </c>
      <c r="B291">
        <f t="shared" si="55"/>
        <v>0</v>
      </c>
      <c r="C291">
        <f t="shared" si="56"/>
        <v>0</v>
      </c>
      <c r="G291">
        <f>IF(OR($G$1="",资金日记账!$E284="",资金日记账!$E284&lt;&gt;$G$1),0,IF(NOT(OR(N(资金日记账!$H284)&lt;&gt;0,N(资金日记账!$I284)&lt;&gt;0)),0,IF(资金日记账!$B284="",1,IF(OR(N(资金日记账!$B284)&lt;$H$1,N(资金日记账!$B284)&gt;$I$1),0,1))))</f>
        <v>0</v>
      </c>
      <c r="H291">
        <f t="shared" si="57"/>
        <v>0</v>
      </c>
      <c r="I291" t="str">
        <f>IF($G291=0,"",IF(资金日记账!$B284=0,"",资金日记账!$B284))</f>
        <v/>
      </c>
      <c r="J291" t="str">
        <f>IF($G291=0,"",IF(资金日记账!$D284=0,"",资金日记账!$D284))</f>
        <v/>
      </c>
      <c r="K291" t="str">
        <f t="shared" si="65"/>
        <v/>
      </c>
      <c r="L291" t="str">
        <f t="shared" si="66"/>
        <v/>
      </c>
      <c r="M291" t="str">
        <f t="shared" si="58"/>
        <v/>
      </c>
      <c r="N291" t="str">
        <f>IF($G291=0,"",IF(IF(N(资金日记账!$I284)=0,"",-ROUND(N(资金日记账!$I284),2))=0,"",IF(N(资金日记账!$I284)=0,"",-ROUND(N(资金日记账!$I284),2))))</f>
        <v/>
      </c>
      <c r="O291" t="str">
        <f>IF($G291=0,"",IF(IF(N(资金日记账!$H284)=0,"",ROUND(N(资金日记账!$H284),2))=0,"",IF(N(资金日记账!$H284)=0,"",ROUND(N(资金日记账!$H284),2))))</f>
        <v/>
      </c>
      <c r="P291" t="str">
        <f>IF($G291=0,"",IF(资金日记账!$L284=0,"",资金日记账!$L284))</f>
        <v/>
      </c>
      <c r="T291" t="str">
        <f>IF(资金日记账!$G291="","",资金日记账!$G291)</f>
        <v/>
      </c>
      <c r="U291">
        <f t="shared" si="59"/>
        <v>0</v>
      </c>
      <c r="V291">
        <f t="shared" si="60"/>
        <v>0</v>
      </c>
      <c r="Z291" t="str">
        <f>IF(成本费用登记表!$C291="","",成本费用登记表!$C291)</f>
        <v/>
      </c>
      <c r="AA291">
        <f t="shared" si="61"/>
        <v>0</v>
      </c>
      <c r="AB291">
        <f t="shared" si="62"/>
        <v>0</v>
      </c>
      <c r="AF291" t="str">
        <f>IF(OR(资金日记账!$E291="",N(资金日记账!$H291)=0),"",资金日记账!$E291)</f>
        <v/>
      </c>
      <c r="AG291">
        <f t="shared" si="63"/>
        <v>0</v>
      </c>
      <c r="AH291">
        <f t="shared" si="64"/>
        <v>0</v>
      </c>
    </row>
    <row r="292" spans="1:34">
      <c r="A292" t="str">
        <f>IF(进销存对接!$D292="客户应收",进销存对接!$C292,"")</f>
        <v/>
      </c>
      <c r="B292">
        <f t="shared" si="55"/>
        <v>0</v>
      </c>
      <c r="C292">
        <f t="shared" si="56"/>
        <v>0</v>
      </c>
      <c r="G292">
        <f>IF(OR($G$1="",资金日记账!$E285="",资金日记账!$E285&lt;&gt;$G$1),0,IF(NOT(OR(N(资金日记账!$H285)&lt;&gt;0,N(资金日记账!$I285)&lt;&gt;0)),0,IF(资金日记账!$B285="",1,IF(OR(N(资金日记账!$B285)&lt;$H$1,N(资金日记账!$B285)&gt;$I$1),0,1))))</f>
        <v>0</v>
      </c>
      <c r="H292">
        <f t="shared" si="57"/>
        <v>0</v>
      </c>
      <c r="I292" t="str">
        <f>IF($G292=0,"",IF(资金日记账!$B285=0,"",资金日记账!$B285))</f>
        <v/>
      </c>
      <c r="J292" t="str">
        <f>IF($G292=0,"",IF(资金日记账!$D285=0,"",资金日记账!$D285))</f>
        <v/>
      </c>
      <c r="K292" t="str">
        <f t="shared" si="65"/>
        <v/>
      </c>
      <c r="L292" t="str">
        <f t="shared" si="66"/>
        <v/>
      </c>
      <c r="M292" t="str">
        <f t="shared" si="58"/>
        <v/>
      </c>
      <c r="N292" t="str">
        <f>IF($G292=0,"",IF(IF(N(资金日记账!$I285)=0,"",-ROUND(N(资金日记账!$I285),2))=0,"",IF(N(资金日记账!$I285)=0,"",-ROUND(N(资金日记账!$I285),2))))</f>
        <v/>
      </c>
      <c r="O292" t="str">
        <f>IF($G292=0,"",IF(IF(N(资金日记账!$H285)=0,"",ROUND(N(资金日记账!$H285),2))=0,"",IF(N(资金日记账!$H285)=0,"",ROUND(N(资金日记账!$H285),2))))</f>
        <v/>
      </c>
      <c r="P292" t="str">
        <f>IF($G292=0,"",IF(资金日记账!$L285=0,"",资金日记账!$L285))</f>
        <v/>
      </c>
      <c r="T292" t="str">
        <f>IF(资金日记账!$G292="","",资金日记账!$G292)</f>
        <v/>
      </c>
      <c r="U292">
        <f t="shared" si="59"/>
        <v>0</v>
      </c>
      <c r="V292">
        <f t="shared" si="60"/>
        <v>0</v>
      </c>
      <c r="Z292" t="str">
        <f>IF(成本费用登记表!$C292="","",成本费用登记表!$C292)</f>
        <v/>
      </c>
      <c r="AA292">
        <f t="shared" si="61"/>
        <v>0</v>
      </c>
      <c r="AB292">
        <f t="shared" si="62"/>
        <v>0</v>
      </c>
      <c r="AF292" t="str">
        <f>IF(OR(资金日记账!$E292="",N(资金日记账!$H292)=0),"",资金日记账!$E292)</f>
        <v/>
      </c>
      <c r="AG292">
        <f t="shared" si="63"/>
        <v>0</v>
      </c>
      <c r="AH292">
        <f t="shared" si="64"/>
        <v>0</v>
      </c>
    </row>
    <row r="293" spans="1:34">
      <c r="A293" t="str">
        <f>IF(进销存对接!$D293="客户应收",进销存对接!$C293,"")</f>
        <v/>
      </c>
      <c r="B293">
        <f t="shared" si="55"/>
        <v>0</v>
      </c>
      <c r="C293">
        <f t="shared" si="56"/>
        <v>0</v>
      </c>
      <c r="G293">
        <f>IF(OR($G$1="",资金日记账!$E286="",资金日记账!$E286&lt;&gt;$G$1),0,IF(NOT(OR(N(资金日记账!$H286)&lt;&gt;0,N(资金日记账!$I286)&lt;&gt;0)),0,IF(资金日记账!$B286="",1,IF(OR(N(资金日记账!$B286)&lt;$H$1,N(资金日记账!$B286)&gt;$I$1),0,1))))</f>
        <v>0</v>
      </c>
      <c r="H293">
        <f t="shared" si="57"/>
        <v>0</v>
      </c>
      <c r="I293" t="str">
        <f>IF($G293=0,"",IF(资金日记账!$B286=0,"",资金日记账!$B286))</f>
        <v/>
      </c>
      <c r="J293" t="str">
        <f>IF($G293=0,"",IF(资金日记账!$D286=0,"",资金日记账!$D286))</f>
        <v/>
      </c>
      <c r="K293" t="str">
        <f t="shared" si="65"/>
        <v/>
      </c>
      <c r="L293" t="str">
        <f t="shared" si="66"/>
        <v/>
      </c>
      <c r="M293" t="str">
        <f t="shared" si="58"/>
        <v/>
      </c>
      <c r="N293" t="str">
        <f>IF($G293=0,"",IF(IF(N(资金日记账!$I286)=0,"",-ROUND(N(资金日记账!$I286),2))=0,"",IF(N(资金日记账!$I286)=0,"",-ROUND(N(资金日记账!$I286),2))))</f>
        <v/>
      </c>
      <c r="O293" t="str">
        <f>IF($G293=0,"",IF(IF(N(资金日记账!$H286)=0,"",ROUND(N(资金日记账!$H286),2))=0,"",IF(N(资金日记账!$H286)=0,"",ROUND(N(资金日记账!$H286),2))))</f>
        <v/>
      </c>
      <c r="P293" t="str">
        <f>IF($G293=0,"",IF(资金日记账!$L286=0,"",资金日记账!$L286))</f>
        <v/>
      </c>
      <c r="T293" t="str">
        <f>IF(资金日记账!$G293="","",资金日记账!$G293)</f>
        <v/>
      </c>
      <c r="U293">
        <f t="shared" si="59"/>
        <v>0</v>
      </c>
      <c r="V293">
        <f t="shared" si="60"/>
        <v>0</v>
      </c>
      <c r="Z293" t="str">
        <f>IF(成本费用登记表!$C293="","",成本费用登记表!$C293)</f>
        <v/>
      </c>
      <c r="AA293">
        <f t="shared" si="61"/>
        <v>0</v>
      </c>
      <c r="AB293">
        <f t="shared" si="62"/>
        <v>0</v>
      </c>
      <c r="AF293" t="str">
        <f>IF(OR(资金日记账!$E293="",N(资金日记账!$H293)=0),"",资金日记账!$E293)</f>
        <v/>
      </c>
      <c r="AG293">
        <f t="shared" si="63"/>
        <v>0</v>
      </c>
      <c r="AH293">
        <f t="shared" si="64"/>
        <v>0</v>
      </c>
    </row>
    <row r="294" spans="1:34">
      <c r="A294" t="str">
        <f>IF(进销存对接!$D294="客户应收",进销存对接!$C294,"")</f>
        <v/>
      </c>
      <c r="B294">
        <f t="shared" si="55"/>
        <v>0</v>
      </c>
      <c r="C294">
        <f t="shared" si="56"/>
        <v>0</v>
      </c>
      <c r="G294">
        <f>IF(OR($G$1="",资金日记账!$E287="",资金日记账!$E287&lt;&gt;$G$1),0,IF(NOT(OR(N(资金日记账!$H287)&lt;&gt;0,N(资金日记账!$I287)&lt;&gt;0)),0,IF(资金日记账!$B287="",1,IF(OR(N(资金日记账!$B287)&lt;$H$1,N(资金日记账!$B287)&gt;$I$1),0,1))))</f>
        <v>0</v>
      </c>
      <c r="H294">
        <f t="shared" si="57"/>
        <v>0</v>
      </c>
      <c r="I294" t="str">
        <f>IF($G294=0,"",IF(资金日记账!$B287=0,"",资金日记账!$B287))</f>
        <v/>
      </c>
      <c r="J294" t="str">
        <f>IF($G294=0,"",IF(资金日记账!$D287=0,"",资金日记账!$D287))</f>
        <v/>
      </c>
      <c r="K294" t="str">
        <f t="shared" si="65"/>
        <v/>
      </c>
      <c r="L294" t="str">
        <f t="shared" si="66"/>
        <v/>
      </c>
      <c r="M294" t="str">
        <f t="shared" si="58"/>
        <v/>
      </c>
      <c r="N294" t="str">
        <f>IF($G294=0,"",IF(IF(N(资金日记账!$I287)=0,"",-ROUND(N(资金日记账!$I287),2))=0,"",IF(N(资金日记账!$I287)=0,"",-ROUND(N(资金日记账!$I287),2))))</f>
        <v/>
      </c>
      <c r="O294" t="str">
        <f>IF($G294=0,"",IF(IF(N(资金日记账!$H287)=0,"",ROUND(N(资金日记账!$H287),2))=0,"",IF(N(资金日记账!$H287)=0,"",ROUND(N(资金日记账!$H287),2))))</f>
        <v/>
      </c>
      <c r="P294" t="str">
        <f>IF($G294=0,"",IF(资金日记账!$L287=0,"",资金日记账!$L287))</f>
        <v/>
      </c>
      <c r="T294" t="str">
        <f>IF(资金日记账!$G294="","",资金日记账!$G294)</f>
        <v/>
      </c>
      <c r="U294">
        <f t="shared" si="59"/>
        <v>0</v>
      </c>
      <c r="V294">
        <f t="shared" si="60"/>
        <v>0</v>
      </c>
      <c r="Z294" t="str">
        <f>IF(成本费用登记表!$C294="","",成本费用登记表!$C294)</f>
        <v/>
      </c>
      <c r="AA294">
        <f t="shared" si="61"/>
        <v>0</v>
      </c>
      <c r="AB294">
        <f t="shared" si="62"/>
        <v>0</v>
      </c>
      <c r="AF294" t="str">
        <f>IF(OR(资金日记账!$E294="",N(资金日记账!$H294)=0),"",资金日记账!$E294)</f>
        <v/>
      </c>
      <c r="AG294">
        <f t="shared" si="63"/>
        <v>0</v>
      </c>
      <c r="AH294">
        <f t="shared" si="64"/>
        <v>0</v>
      </c>
    </row>
    <row r="295" spans="1:34">
      <c r="A295" t="str">
        <f>IF(进销存对接!$D295="客户应收",进销存对接!$C295,"")</f>
        <v/>
      </c>
      <c r="B295">
        <f t="shared" si="55"/>
        <v>0</v>
      </c>
      <c r="C295">
        <f t="shared" si="56"/>
        <v>0</v>
      </c>
      <c r="G295">
        <f>IF(OR($G$1="",资金日记账!$E288="",资金日记账!$E288&lt;&gt;$G$1),0,IF(NOT(OR(N(资金日记账!$H288)&lt;&gt;0,N(资金日记账!$I288)&lt;&gt;0)),0,IF(资金日记账!$B288="",1,IF(OR(N(资金日记账!$B288)&lt;$H$1,N(资金日记账!$B288)&gt;$I$1),0,1))))</f>
        <v>0</v>
      </c>
      <c r="H295">
        <f t="shared" si="57"/>
        <v>0</v>
      </c>
      <c r="I295" t="str">
        <f>IF($G295=0,"",IF(资金日记账!$B288=0,"",资金日记账!$B288))</f>
        <v/>
      </c>
      <c r="J295" t="str">
        <f>IF($G295=0,"",IF(资金日记账!$D288=0,"",资金日记账!$D288))</f>
        <v/>
      </c>
      <c r="K295" t="str">
        <f t="shared" si="65"/>
        <v/>
      </c>
      <c r="L295" t="str">
        <f t="shared" si="66"/>
        <v/>
      </c>
      <c r="M295" t="str">
        <f t="shared" si="58"/>
        <v/>
      </c>
      <c r="N295" t="str">
        <f>IF($G295=0,"",IF(IF(N(资金日记账!$I288)=0,"",-ROUND(N(资金日记账!$I288),2))=0,"",IF(N(资金日记账!$I288)=0,"",-ROUND(N(资金日记账!$I288),2))))</f>
        <v/>
      </c>
      <c r="O295" t="str">
        <f>IF($G295=0,"",IF(IF(N(资金日记账!$H288)=0,"",ROUND(N(资金日记账!$H288),2))=0,"",IF(N(资金日记账!$H288)=0,"",ROUND(N(资金日记账!$H288),2))))</f>
        <v/>
      </c>
      <c r="P295" t="str">
        <f>IF($G295=0,"",IF(资金日记账!$L288=0,"",资金日记账!$L288))</f>
        <v/>
      </c>
      <c r="T295" t="str">
        <f>IF(资金日记账!$G295="","",资金日记账!$G295)</f>
        <v/>
      </c>
      <c r="U295">
        <f t="shared" si="59"/>
        <v>0</v>
      </c>
      <c r="V295">
        <f t="shared" si="60"/>
        <v>0</v>
      </c>
      <c r="Z295" t="str">
        <f>IF(成本费用登记表!$C295="","",成本费用登记表!$C295)</f>
        <v/>
      </c>
      <c r="AA295">
        <f t="shared" si="61"/>
        <v>0</v>
      </c>
      <c r="AB295">
        <f t="shared" si="62"/>
        <v>0</v>
      </c>
      <c r="AF295" t="str">
        <f>IF(OR(资金日记账!$E295="",N(资金日记账!$H295)=0),"",资金日记账!$E295)</f>
        <v/>
      </c>
      <c r="AG295">
        <f t="shared" si="63"/>
        <v>0</v>
      </c>
      <c r="AH295">
        <f t="shared" si="64"/>
        <v>0</v>
      </c>
    </row>
    <row r="296" spans="1:34">
      <c r="A296" t="str">
        <f>IF(进销存对接!$D296="客户应收",进销存对接!$C296,"")</f>
        <v/>
      </c>
      <c r="B296">
        <f t="shared" si="55"/>
        <v>0</v>
      </c>
      <c r="C296">
        <f t="shared" si="56"/>
        <v>0</v>
      </c>
      <c r="G296">
        <f>IF(OR($G$1="",资金日记账!$E289="",资金日记账!$E289&lt;&gt;$G$1),0,IF(NOT(OR(N(资金日记账!$H289)&lt;&gt;0,N(资金日记账!$I289)&lt;&gt;0)),0,IF(资金日记账!$B289="",1,IF(OR(N(资金日记账!$B289)&lt;$H$1,N(资金日记账!$B289)&gt;$I$1),0,1))))</f>
        <v>0</v>
      </c>
      <c r="H296">
        <f t="shared" si="57"/>
        <v>0</v>
      </c>
      <c r="I296" t="str">
        <f>IF($G296=0,"",IF(资金日记账!$B289=0,"",资金日记账!$B289))</f>
        <v/>
      </c>
      <c r="J296" t="str">
        <f>IF($G296=0,"",IF(资金日记账!$D289=0,"",资金日记账!$D289))</f>
        <v/>
      </c>
      <c r="K296" t="str">
        <f t="shared" si="65"/>
        <v/>
      </c>
      <c r="L296" t="str">
        <f t="shared" si="66"/>
        <v/>
      </c>
      <c r="M296" t="str">
        <f t="shared" si="58"/>
        <v/>
      </c>
      <c r="N296" t="str">
        <f>IF($G296=0,"",IF(IF(N(资金日记账!$I289)=0,"",-ROUND(N(资金日记账!$I289),2))=0,"",IF(N(资金日记账!$I289)=0,"",-ROUND(N(资金日记账!$I289),2))))</f>
        <v/>
      </c>
      <c r="O296" t="str">
        <f>IF($G296=0,"",IF(IF(N(资金日记账!$H289)=0,"",ROUND(N(资金日记账!$H289),2))=0,"",IF(N(资金日记账!$H289)=0,"",ROUND(N(资金日记账!$H289),2))))</f>
        <v/>
      </c>
      <c r="P296" t="str">
        <f>IF($G296=0,"",IF(资金日记账!$L289=0,"",资金日记账!$L289))</f>
        <v/>
      </c>
      <c r="T296" t="str">
        <f>IF(资金日记账!$G296="","",资金日记账!$G296)</f>
        <v/>
      </c>
      <c r="U296">
        <f t="shared" si="59"/>
        <v>0</v>
      </c>
      <c r="V296">
        <f t="shared" si="60"/>
        <v>0</v>
      </c>
      <c r="Z296" t="str">
        <f>IF(成本费用登记表!$C296="","",成本费用登记表!$C296)</f>
        <v/>
      </c>
      <c r="AA296">
        <f t="shared" si="61"/>
        <v>0</v>
      </c>
      <c r="AB296">
        <f t="shared" si="62"/>
        <v>0</v>
      </c>
      <c r="AF296" t="str">
        <f>IF(OR(资金日记账!$E296="",N(资金日记账!$H296)=0),"",资金日记账!$E296)</f>
        <v/>
      </c>
      <c r="AG296">
        <f t="shared" si="63"/>
        <v>0</v>
      </c>
      <c r="AH296">
        <f t="shared" si="64"/>
        <v>0</v>
      </c>
    </row>
    <row r="297" spans="1:34">
      <c r="A297" t="str">
        <f>IF(进销存对接!$D297="客户应收",进销存对接!$C297,"")</f>
        <v/>
      </c>
      <c r="B297">
        <f t="shared" si="55"/>
        <v>0</v>
      </c>
      <c r="C297">
        <f t="shared" si="56"/>
        <v>0</v>
      </c>
      <c r="G297">
        <f>IF(OR($G$1="",资金日记账!$E290="",资金日记账!$E290&lt;&gt;$G$1),0,IF(NOT(OR(N(资金日记账!$H290)&lt;&gt;0,N(资金日记账!$I290)&lt;&gt;0)),0,IF(资金日记账!$B290="",1,IF(OR(N(资金日记账!$B290)&lt;$H$1,N(资金日记账!$B290)&gt;$I$1),0,1))))</f>
        <v>0</v>
      </c>
      <c r="H297">
        <f t="shared" si="57"/>
        <v>0</v>
      </c>
      <c r="I297" t="str">
        <f>IF($G297=0,"",IF(资金日记账!$B290=0,"",资金日记账!$B290))</f>
        <v/>
      </c>
      <c r="J297" t="str">
        <f>IF($G297=0,"",IF(资金日记账!$D290=0,"",资金日记账!$D290))</f>
        <v/>
      </c>
      <c r="K297" t="str">
        <f t="shared" si="65"/>
        <v/>
      </c>
      <c r="L297" t="str">
        <f t="shared" si="66"/>
        <v/>
      </c>
      <c r="M297" t="str">
        <f t="shared" si="58"/>
        <v/>
      </c>
      <c r="N297" t="str">
        <f>IF($G297=0,"",IF(IF(N(资金日记账!$I290)=0,"",-ROUND(N(资金日记账!$I290),2))=0,"",IF(N(资金日记账!$I290)=0,"",-ROUND(N(资金日记账!$I290),2))))</f>
        <v/>
      </c>
      <c r="O297" t="str">
        <f>IF($G297=0,"",IF(IF(N(资金日记账!$H290)=0,"",ROUND(N(资金日记账!$H290),2))=0,"",IF(N(资金日记账!$H290)=0,"",ROUND(N(资金日记账!$H290),2))))</f>
        <v/>
      </c>
      <c r="P297" t="str">
        <f>IF($G297=0,"",IF(资金日记账!$L290=0,"",资金日记账!$L290))</f>
        <v/>
      </c>
      <c r="T297" t="str">
        <f>IF(资金日记账!$G297="","",资金日记账!$G297)</f>
        <v/>
      </c>
      <c r="U297">
        <f t="shared" si="59"/>
        <v>0</v>
      </c>
      <c r="V297">
        <f t="shared" si="60"/>
        <v>0</v>
      </c>
      <c r="Z297" t="str">
        <f>IF(成本费用登记表!$C297="","",成本费用登记表!$C297)</f>
        <v/>
      </c>
      <c r="AA297">
        <f t="shared" si="61"/>
        <v>0</v>
      </c>
      <c r="AB297">
        <f t="shared" si="62"/>
        <v>0</v>
      </c>
      <c r="AF297" t="str">
        <f>IF(OR(资金日记账!$E297="",N(资金日记账!$H297)=0),"",资金日记账!$E297)</f>
        <v/>
      </c>
      <c r="AG297">
        <f t="shared" si="63"/>
        <v>0</v>
      </c>
      <c r="AH297">
        <f t="shared" si="64"/>
        <v>0</v>
      </c>
    </row>
    <row r="298" spans="1:34">
      <c r="A298" t="str">
        <f>IF(进销存对接!$D298="客户应收",进销存对接!$C298,"")</f>
        <v/>
      </c>
      <c r="B298">
        <f t="shared" si="55"/>
        <v>0</v>
      </c>
      <c r="C298">
        <f t="shared" si="56"/>
        <v>0</v>
      </c>
      <c r="G298">
        <f>IF(OR($G$1="",资金日记账!$E291="",资金日记账!$E291&lt;&gt;$G$1),0,IF(NOT(OR(N(资金日记账!$H291)&lt;&gt;0,N(资金日记账!$I291)&lt;&gt;0)),0,IF(资金日记账!$B291="",1,IF(OR(N(资金日记账!$B291)&lt;$H$1,N(资金日记账!$B291)&gt;$I$1),0,1))))</f>
        <v>0</v>
      </c>
      <c r="H298">
        <f t="shared" si="57"/>
        <v>0</v>
      </c>
      <c r="I298" t="str">
        <f>IF($G298=0,"",IF(资金日记账!$B291=0,"",资金日记账!$B291))</f>
        <v/>
      </c>
      <c r="J298" t="str">
        <f>IF($G298=0,"",IF(资金日记账!$D291=0,"",资金日记账!$D291))</f>
        <v/>
      </c>
      <c r="K298" t="str">
        <f t="shared" si="65"/>
        <v/>
      </c>
      <c r="L298" t="str">
        <f t="shared" si="66"/>
        <v/>
      </c>
      <c r="M298" t="str">
        <f t="shared" si="58"/>
        <v/>
      </c>
      <c r="N298" t="str">
        <f>IF($G298=0,"",IF(IF(N(资金日记账!$I291)=0,"",-ROUND(N(资金日记账!$I291),2))=0,"",IF(N(资金日记账!$I291)=0,"",-ROUND(N(资金日记账!$I291),2))))</f>
        <v/>
      </c>
      <c r="O298" t="str">
        <f>IF($G298=0,"",IF(IF(N(资金日记账!$H291)=0,"",ROUND(N(资金日记账!$H291),2))=0,"",IF(N(资金日记账!$H291)=0,"",ROUND(N(资金日记账!$H291),2))))</f>
        <v/>
      </c>
      <c r="P298" t="str">
        <f>IF($G298=0,"",IF(资金日记账!$L291=0,"",资金日记账!$L291))</f>
        <v/>
      </c>
      <c r="T298" t="str">
        <f>IF(资金日记账!$G298="","",资金日记账!$G298)</f>
        <v/>
      </c>
      <c r="U298">
        <f t="shared" si="59"/>
        <v>0</v>
      </c>
      <c r="V298">
        <f t="shared" si="60"/>
        <v>0</v>
      </c>
      <c r="Z298" t="str">
        <f>IF(成本费用登记表!$C298="","",成本费用登记表!$C298)</f>
        <v/>
      </c>
      <c r="AA298">
        <f t="shared" si="61"/>
        <v>0</v>
      </c>
      <c r="AB298">
        <f t="shared" si="62"/>
        <v>0</v>
      </c>
      <c r="AF298" t="str">
        <f>IF(OR(资金日记账!$E298="",N(资金日记账!$H298)=0),"",资金日记账!$E298)</f>
        <v/>
      </c>
      <c r="AG298">
        <f t="shared" si="63"/>
        <v>0</v>
      </c>
      <c r="AH298">
        <f t="shared" si="64"/>
        <v>0</v>
      </c>
    </row>
    <row r="299" spans="1:34">
      <c r="A299" t="str">
        <f>IF(进销存对接!$D299="客户应收",进销存对接!$C299,"")</f>
        <v/>
      </c>
      <c r="B299">
        <f t="shared" si="55"/>
        <v>0</v>
      </c>
      <c r="C299">
        <f t="shared" si="56"/>
        <v>0</v>
      </c>
      <c r="G299">
        <f>IF(OR($G$1="",资金日记账!$E292="",资金日记账!$E292&lt;&gt;$G$1),0,IF(NOT(OR(N(资金日记账!$H292)&lt;&gt;0,N(资金日记账!$I292)&lt;&gt;0)),0,IF(资金日记账!$B292="",1,IF(OR(N(资金日记账!$B292)&lt;$H$1,N(资金日记账!$B292)&gt;$I$1),0,1))))</f>
        <v>0</v>
      </c>
      <c r="H299">
        <f t="shared" si="57"/>
        <v>0</v>
      </c>
      <c r="I299" t="str">
        <f>IF($G299=0,"",IF(资金日记账!$B292=0,"",资金日记账!$B292))</f>
        <v/>
      </c>
      <c r="J299" t="str">
        <f>IF($G299=0,"",IF(资金日记账!$D292=0,"",资金日记账!$D292))</f>
        <v/>
      </c>
      <c r="K299" t="str">
        <f t="shared" si="65"/>
        <v/>
      </c>
      <c r="L299" t="str">
        <f t="shared" si="66"/>
        <v/>
      </c>
      <c r="M299" t="str">
        <f t="shared" si="58"/>
        <v/>
      </c>
      <c r="N299" t="str">
        <f>IF($G299=0,"",IF(IF(N(资金日记账!$I292)=0,"",-ROUND(N(资金日记账!$I292),2))=0,"",IF(N(资金日记账!$I292)=0,"",-ROUND(N(资金日记账!$I292),2))))</f>
        <v/>
      </c>
      <c r="O299" t="str">
        <f>IF($G299=0,"",IF(IF(N(资金日记账!$H292)=0,"",ROUND(N(资金日记账!$H292),2))=0,"",IF(N(资金日记账!$H292)=0,"",ROUND(N(资金日记账!$H292),2))))</f>
        <v/>
      </c>
      <c r="P299" t="str">
        <f>IF($G299=0,"",IF(资金日记账!$L292=0,"",资金日记账!$L292))</f>
        <v/>
      </c>
      <c r="T299" t="str">
        <f>IF(资金日记账!$G299="","",资金日记账!$G299)</f>
        <v/>
      </c>
      <c r="U299">
        <f t="shared" si="59"/>
        <v>0</v>
      </c>
      <c r="V299">
        <f t="shared" si="60"/>
        <v>0</v>
      </c>
      <c r="Z299" t="str">
        <f>IF(成本费用登记表!$C299="","",成本费用登记表!$C299)</f>
        <v/>
      </c>
      <c r="AA299">
        <f t="shared" si="61"/>
        <v>0</v>
      </c>
      <c r="AB299">
        <f t="shared" si="62"/>
        <v>0</v>
      </c>
      <c r="AF299" t="str">
        <f>IF(OR(资金日记账!$E299="",N(资金日记账!$H299)=0),"",资金日记账!$E299)</f>
        <v/>
      </c>
      <c r="AG299">
        <f t="shared" si="63"/>
        <v>0</v>
      </c>
      <c r="AH299">
        <f t="shared" si="64"/>
        <v>0</v>
      </c>
    </row>
    <row r="300" spans="1:34">
      <c r="A300" t="str">
        <f>IF(进销存对接!$D300="客户应收",进销存对接!$C300,"")</f>
        <v/>
      </c>
      <c r="B300">
        <f t="shared" si="55"/>
        <v>0</v>
      </c>
      <c r="C300">
        <f t="shared" si="56"/>
        <v>0</v>
      </c>
      <c r="G300">
        <f>IF(OR($G$1="",资金日记账!$E293="",资金日记账!$E293&lt;&gt;$G$1),0,IF(NOT(OR(N(资金日记账!$H293)&lt;&gt;0,N(资金日记账!$I293)&lt;&gt;0)),0,IF(资金日记账!$B293="",1,IF(OR(N(资金日记账!$B293)&lt;$H$1,N(资金日记账!$B293)&gt;$I$1),0,1))))</f>
        <v>0</v>
      </c>
      <c r="H300">
        <f t="shared" si="57"/>
        <v>0</v>
      </c>
      <c r="I300" t="str">
        <f>IF($G300=0,"",IF(资金日记账!$B293=0,"",资金日记账!$B293))</f>
        <v/>
      </c>
      <c r="J300" t="str">
        <f>IF($G300=0,"",IF(资金日记账!$D293=0,"",资金日记账!$D293))</f>
        <v/>
      </c>
      <c r="K300" t="str">
        <f t="shared" si="65"/>
        <v/>
      </c>
      <c r="L300" t="str">
        <f t="shared" si="66"/>
        <v/>
      </c>
      <c r="M300" t="str">
        <f t="shared" si="58"/>
        <v/>
      </c>
      <c r="N300" t="str">
        <f>IF($G300=0,"",IF(IF(N(资金日记账!$I293)=0,"",-ROUND(N(资金日记账!$I293),2))=0,"",IF(N(资金日记账!$I293)=0,"",-ROUND(N(资金日记账!$I293),2))))</f>
        <v/>
      </c>
      <c r="O300" t="str">
        <f>IF($G300=0,"",IF(IF(N(资金日记账!$H293)=0,"",ROUND(N(资金日记账!$H293),2))=0,"",IF(N(资金日记账!$H293)=0,"",ROUND(N(资金日记账!$H293),2))))</f>
        <v/>
      </c>
      <c r="P300" t="str">
        <f>IF($G300=0,"",IF(资金日记账!$L293=0,"",资金日记账!$L293))</f>
        <v/>
      </c>
      <c r="T300" t="str">
        <f>IF(资金日记账!$G300="","",资金日记账!$G300)</f>
        <v/>
      </c>
      <c r="U300">
        <f t="shared" si="59"/>
        <v>0</v>
      </c>
      <c r="V300">
        <f t="shared" si="60"/>
        <v>0</v>
      </c>
      <c r="Z300" t="str">
        <f>IF(成本费用登记表!$C300="","",成本费用登记表!$C300)</f>
        <v/>
      </c>
      <c r="AA300">
        <f t="shared" si="61"/>
        <v>0</v>
      </c>
      <c r="AB300">
        <f t="shared" si="62"/>
        <v>0</v>
      </c>
      <c r="AF300" t="str">
        <f>IF(OR(资金日记账!$E300="",N(资金日记账!$H300)=0),"",资金日记账!$E300)</f>
        <v/>
      </c>
      <c r="AG300">
        <f t="shared" si="63"/>
        <v>0</v>
      </c>
      <c r="AH300">
        <f t="shared" si="64"/>
        <v>0</v>
      </c>
    </row>
    <row r="301" spans="1:34">
      <c r="A301" t="str">
        <f>IF(进销存对接!$D301="客户应收",进销存对接!$C301,"")</f>
        <v/>
      </c>
      <c r="B301">
        <f t="shared" si="55"/>
        <v>0</v>
      </c>
      <c r="C301">
        <f t="shared" si="56"/>
        <v>0</v>
      </c>
      <c r="G301">
        <f>IF(OR($G$1="",资金日记账!$E294="",资金日记账!$E294&lt;&gt;$G$1),0,IF(NOT(OR(N(资金日记账!$H294)&lt;&gt;0,N(资金日记账!$I294)&lt;&gt;0)),0,IF(资金日记账!$B294="",1,IF(OR(N(资金日记账!$B294)&lt;$H$1,N(资金日记账!$B294)&gt;$I$1),0,1))))</f>
        <v>0</v>
      </c>
      <c r="H301">
        <f t="shared" si="57"/>
        <v>0</v>
      </c>
      <c r="I301" t="str">
        <f>IF($G301=0,"",IF(资金日记账!$B294=0,"",资金日记账!$B294))</f>
        <v/>
      </c>
      <c r="J301" t="str">
        <f>IF($G301=0,"",IF(资金日记账!$D294=0,"",资金日记账!$D294))</f>
        <v/>
      </c>
      <c r="K301" t="str">
        <f t="shared" si="65"/>
        <v/>
      </c>
      <c r="L301" t="str">
        <f t="shared" si="66"/>
        <v/>
      </c>
      <c r="M301" t="str">
        <f t="shared" si="58"/>
        <v/>
      </c>
      <c r="N301" t="str">
        <f>IF($G301=0,"",IF(IF(N(资金日记账!$I294)=0,"",-ROUND(N(资金日记账!$I294),2))=0,"",IF(N(资金日记账!$I294)=0,"",-ROUND(N(资金日记账!$I294),2))))</f>
        <v/>
      </c>
      <c r="O301" t="str">
        <f>IF($G301=0,"",IF(IF(N(资金日记账!$H294)=0,"",ROUND(N(资金日记账!$H294),2))=0,"",IF(N(资金日记账!$H294)=0,"",ROUND(N(资金日记账!$H294),2))))</f>
        <v/>
      </c>
      <c r="P301" t="str">
        <f>IF($G301=0,"",IF(资金日记账!$L294=0,"",资金日记账!$L294))</f>
        <v/>
      </c>
      <c r="T301" t="str">
        <f>IF(资金日记账!$G301="","",资金日记账!$G301)</f>
        <v/>
      </c>
      <c r="U301">
        <f t="shared" si="59"/>
        <v>0</v>
      </c>
      <c r="V301">
        <f t="shared" si="60"/>
        <v>0</v>
      </c>
      <c r="Z301" t="str">
        <f>IF(成本费用登记表!$C301="","",成本费用登记表!$C301)</f>
        <v/>
      </c>
      <c r="AA301">
        <f t="shared" si="61"/>
        <v>0</v>
      </c>
      <c r="AB301">
        <f t="shared" si="62"/>
        <v>0</v>
      </c>
      <c r="AF301" t="str">
        <f>IF(OR(资金日记账!$E301="",N(资金日记账!$H301)=0),"",资金日记账!$E301)</f>
        <v/>
      </c>
      <c r="AG301">
        <f t="shared" si="63"/>
        <v>0</v>
      </c>
      <c r="AH301">
        <f t="shared" si="64"/>
        <v>0</v>
      </c>
    </row>
    <row r="302" spans="1:34">
      <c r="A302" t="str">
        <f>IF(进销存对接!$D302="客户应收",进销存对接!$C302,"")</f>
        <v/>
      </c>
      <c r="B302">
        <f t="shared" si="55"/>
        <v>0</v>
      </c>
      <c r="C302">
        <f t="shared" si="56"/>
        <v>0</v>
      </c>
      <c r="G302">
        <f>IF(OR($G$1="",资金日记账!$E295="",资金日记账!$E295&lt;&gt;$G$1),0,IF(NOT(OR(N(资金日记账!$H295)&lt;&gt;0,N(资金日记账!$I295)&lt;&gt;0)),0,IF(资金日记账!$B295="",1,IF(OR(N(资金日记账!$B295)&lt;$H$1,N(资金日记账!$B295)&gt;$I$1),0,1))))</f>
        <v>0</v>
      </c>
      <c r="H302">
        <f t="shared" si="57"/>
        <v>0</v>
      </c>
      <c r="I302" t="str">
        <f>IF($G302=0,"",IF(资金日记账!$B295=0,"",资金日记账!$B295))</f>
        <v/>
      </c>
      <c r="J302" t="str">
        <f>IF($G302=0,"",IF(资金日记账!$D295=0,"",资金日记账!$D295))</f>
        <v/>
      </c>
      <c r="K302" t="str">
        <f t="shared" si="65"/>
        <v/>
      </c>
      <c r="L302" t="str">
        <f t="shared" si="66"/>
        <v/>
      </c>
      <c r="M302" t="str">
        <f t="shared" si="58"/>
        <v/>
      </c>
      <c r="N302" t="str">
        <f>IF($G302=0,"",IF(IF(N(资金日记账!$I295)=0,"",-ROUND(N(资金日记账!$I295),2))=0,"",IF(N(资金日记账!$I295)=0,"",-ROUND(N(资金日记账!$I295),2))))</f>
        <v/>
      </c>
      <c r="O302" t="str">
        <f>IF($G302=0,"",IF(IF(N(资金日记账!$H295)=0,"",ROUND(N(资金日记账!$H295),2))=0,"",IF(N(资金日记账!$H295)=0,"",ROUND(N(资金日记账!$H295),2))))</f>
        <v/>
      </c>
      <c r="P302" t="str">
        <f>IF($G302=0,"",IF(资金日记账!$L295=0,"",资金日记账!$L295))</f>
        <v/>
      </c>
      <c r="T302" t="str">
        <f>IF(资金日记账!$G302="","",资金日记账!$G302)</f>
        <v/>
      </c>
      <c r="U302">
        <f t="shared" si="59"/>
        <v>0</v>
      </c>
      <c r="V302">
        <f t="shared" si="60"/>
        <v>0</v>
      </c>
      <c r="Z302" t="str">
        <f>IF(成本费用登记表!$C302="","",成本费用登记表!$C302)</f>
        <v/>
      </c>
      <c r="AA302">
        <f t="shared" si="61"/>
        <v>0</v>
      </c>
      <c r="AB302">
        <f t="shared" si="62"/>
        <v>0</v>
      </c>
      <c r="AF302" t="str">
        <f>IF(OR(资金日记账!$E302="",N(资金日记账!$H302)=0),"",资金日记账!$E302)</f>
        <v/>
      </c>
      <c r="AG302">
        <f t="shared" si="63"/>
        <v>0</v>
      </c>
      <c r="AH302">
        <f t="shared" si="64"/>
        <v>0</v>
      </c>
    </row>
    <row r="303" spans="1:34">
      <c r="A303" t="str">
        <f>IF(进销存对接!$D303="客户应收",进销存对接!$C303,"")</f>
        <v/>
      </c>
      <c r="B303">
        <f t="shared" si="55"/>
        <v>0</v>
      </c>
      <c r="C303">
        <f t="shared" si="56"/>
        <v>0</v>
      </c>
      <c r="G303">
        <f>IF(OR($G$1="",资金日记账!$E296="",资金日记账!$E296&lt;&gt;$G$1),0,IF(NOT(OR(N(资金日记账!$H296)&lt;&gt;0,N(资金日记账!$I296)&lt;&gt;0)),0,IF(资金日记账!$B296="",1,IF(OR(N(资金日记账!$B296)&lt;$H$1,N(资金日记账!$B296)&gt;$I$1),0,1))))</f>
        <v>0</v>
      </c>
      <c r="H303">
        <f t="shared" si="57"/>
        <v>0</v>
      </c>
      <c r="I303" t="str">
        <f>IF($G303=0,"",IF(资金日记账!$B296=0,"",资金日记账!$B296))</f>
        <v/>
      </c>
      <c r="J303" t="str">
        <f>IF($G303=0,"",IF(资金日记账!$D296=0,"",资金日记账!$D296))</f>
        <v/>
      </c>
      <c r="K303" t="str">
        <f t="shared" si="65"/>
        <v/>
      </c>
      <c r="L303" t="str">
        <f t="shared" si="66"/>
        <v/>
      </c>
      <c r="M303" t="str">
        <f t="shared" si="58"/>
        <v/>
      </c>
      <c r="N303" t="str">
        <f>IF($G303=0,"",IF(IF(N(资金日记账!$I296)=0,"",-ROUND(N(资金日记账!$I296),2))=0,"",IF(N(资金日记账!$I296)=0,"",-ROUND(N(资金日记账!$I296),2))))</f>
        <v/>
      </c>
      <c r="O303" t="str">
        <f>IF($G303=0,"",IF(IF(N(资金日记账!$H296)=0,"",ROUND(N(资金日记账!$H296),2))=0,"",IF(N(资金日记账!$H296)=0,"",ROUND(N(资金日记账!$H296),2))))</f>
        <v/>
      </c>
      <c r="P303" t="str">
        <f>IF($G303=0,"",IF(资金日记账!$L296=0,"",资金日记账!$L296))</f>
        <v/>
      </c>
      <c r="T303" t="str">
        <f>IF(资金日记账!$G303="","",资金日记账!$G303)</f>
        <v/>
      </c>
      <c r="U303">
        <f t="shared" si="59"/>
        <v>0</v>
      </c>
      <c r="V303">
        <f t="shared" si="60"/>
        <v>0</v>
      </c>
      <c r="Z303" t="str">
        <f>IF(成本费用登记表!$C303="","",成本费用登记表!$C303)</f>
        <v/>
      </c>
      <c r="AA303">
        <f t="shared" si="61"/>
        <v>0</v>
      </c>
      <c r="AB303">
        <f t="shared" si="62"/>
        <v>0</v>
      </c>
      <c r="AF303" t="str">
        <f>IF(OR(资金日记账!$E303="",N(资金日记账!$H303)=0),"",资金日记账!$E303)</f>
        <v/>
      </c>
      <c r="AG303">
        <f t="shared" si="63"/>
        <v>0</v>
      </c>
      <c r="AH303">
        <f t="shared" si="64"/>
        <v>0</v>
      </c>
    </row>
    <row r="304" spans="1:34">
      <c r="A304" t="str">
        <f>IF(进销存对接!$D304="客户应收",进销存对接!$C304,"")</f>
        <v/>
      </c>
      <c r="B304">
        <f t="shared" si="55"/>
        <v>0</v>
      </c>
      <c r="C304">
        <f t="shared" si="56"/>
        <v>0</v>
      </c>
      <c r="G304">
        <f>IF(OR($G$1="",资金日记账!$E297="",资金日记账!$E297&lt;&gt;$G$1),0,IF(NOT(OR(N(资金日记账!$H297)&lt;&gt;0,N(资金日记账!$I297)&lt;&gt;0)),0,IF(资金日记账!$B297="",1,IF(OR(N(资金日记账!$B297)&lt;$H$1,N(资金日记账!$B297)&gt;$I$1),0,1))))</f>
        <v>0</v>
      </c>
      <c r="H304">
        <f t="shared" si="57"/>
        <v>0</v>
      </c>
      <c r="I304" t="str">
        <f>IF($G304=0,"",IF(资金日记账!$B297=0,"",资金日记账!$B297))</f>
        <v/>
      </c>
      <c r="J304" t="str">
        <f>IF($G304=0,"",IF(资金日记账!$D297=0,"",资金日记账!$D297))</f>
        <v/>
      </c>
      <c r="K304" t="str">
        <f t="shared" si="65"/>
        <v/>
      </c>
      <c r="L304" t="str">
        <f t="shared" si="66"/>
        <v/>
      </c>
      <c r="M304" t="str">
        <f t="shared" si="58"/>
        <v/>
      </c>
      <c r="N304" t="str">
        <f>IF($G304=0,"",IF(IF(N(资金日记账!$I297)=0,"",-ROUND(N(资金日记账!$I297),2))=0,"",IF(N(资金日记账!$I297)=0,"",-ROUND(N(资金日记账!$I297),2))))</f>
        <v/>
      </c>
      <c r="O304" t="str">
        <f>IF($G304=0,"",IF(IF(N(资金日记账!$H297)=0,"",ROUND(N(资金日记账!$H297),2))=0,"",IF(N(资金日记账!$H297)=0,"",ROUND(N(资金日记账!$H297),2))))</f>
        <v/>
      </c>
      <c r="P304" t="str">
        <f>IF($G304=0,"",IF(资金日记账!$L297=0,"",资金日记账!$L297))</f>
        <v/>
      </c>
      <c r="T304" t="str">
        <f>IF(资金日记账!$G304="","",资金日记账!$G304)</f>
        <v/>
      </c>
      <c r="U304">
        <f t="shared" si="59"/>
        <v>0</v>
      </c>
      <c r="V304">
        <f t="shared" si="60"/>
        <v>0</v>
      </c>
      <c r="AF304" t="str">
        <f>IF(OR(资金日记账!$E304="",N(资金日记账!$H304)=0),"",资金日记账!$E304)</f>
        <v/>
      </c>
      <c r="AG304">
        <f t="shared" si="63"/>
        <v>0</v>
      </c>
      <c r="AH304">
        <f t="shared" si="64"/>
        <v>0</v>
      </c>
    </row>
    <row r="305" spans="1:34">
      <c r="A305" t="str">
        <f>IF(进销存对接!$D305="客户应收",进销存对接!$C305,"")</f>
        <v/>
      </c>
      <c r="B305">
        <f t="shared" si="55"/>
        <v>0</v>
      </c>
      <c r="C305">
        <f t="shared" si="56"/>
        <v>0</v>
      </c>
      <c r="G305">
        <f>IF(OR($G$1="",资金日记账!$E298="",资金日记账!$E298&lt;&gt;$G$1),0,IF(NOT(OR(N(资金日记账!$H298)&lt;&gt;0,N(资金日记账!$I298)&lt;&gt;0)),0,IF(资金日记账!$B298="",1,IF(OR(N(资金日记账!$B298)&lt;$H$1,N(资金日记账!$B298)&gt;$I$1),0,1))))</f>
        <v>0</v>
      </c>
      <c r="H305">
        <f t="shared" si="57"/>
        <v>0</v>
      </c>
      <c r="I305" t="str">
        <f>IF($G305=0,"",IF(资金日记账!$B298=0,"",资金日记账!$B298))</f>
        <v/>
      </c>
      <c r="J305" t="str">
        <f>IF($G305=0,"",IF(资金日记账!$D298=0,"",资金日记账!$D298))</f>
        <v/>
      </c>
      <c r="K305" t="str">
        <f t="shared" si="65"/>
        <v/>
      </c>
      <c r="L305" t="str">
        <f t="shared" si="66"/>
        <v/>
      </c>
      <c r="M305" t="str">
        <f t="shared" si="58"/>
        <v/>
      </c>
      <c r="N305" t="str">
        <f>IF($G305=0,"",IF(IF(N(资金日记账!$I298)=0,"",-ROUND(N(资金日记账!$I298),2))=0,"",IF(N(资金日记账!$I298)=0,"",-ROUND(N(资金日记账!$I298),2))))</f>
        <v/>
      </c>
      <c r="O305" t="str">
        <f>IF($G305=0,"",IF(IF(N(资金日记账!$H298)=0,"",ROUND(N(资金日记账!$H298),2))=0,"",IF(N(资金日记账!$H298)=0,"",ROUND(N(资金日记账!$H298),2))))</f>
        <v/>
      </c>
      <c r="P305" t="str">
        <f>IF($G305=0,"",IF(资金日记账!$L298=0,"",资金日记账!$L298))</f>
        <v/>
      </c>
      <c r="T305" t="str">
        <f>IF(资金日记账!$G305="","",资金日记账!$G305)</f>
        <v/>
      </c>
      <c r="U305">
        <f t="shared" si="59"/>
        <v>0</v>
      </c>
      <c r="V305">
        <f t="shared" si="60"/>
        <v>0</v>
      </c>
      <c r="AF305" t="str">
        <f>IF(OR(资金日记账!$E305="",N(资金日记账!$H305)=0),"",资金日记账!$E305)</f>
        <v/>
      </c>
      <c r="AG305">
        <f t="shared" si="63"/>
        <v>0</v>
      </c>
      <c r="AH305">
        <f t="shared" si="64"/>
        <v>0</v>
      </c>
    </row>
    <row r="306" spans="1:34">
      <c r="A306" t="str">
        <f>IF(资金日记账!$F4="","",资金日记账!$F4)</f>
        <v/>
      </c>
      <c r="B306">
        <f t="shared" si="55"/>
        <v>0</v>
      </c>
      <c r="C306">
        <f t="shared" si="56"/>
        <v>0</v>
      </c>
      <c r="G306">
        <f>IF(OR($G$1="",资金日记账!$E299="",资金日记账!$E299&lt;&gt;$G$1),0,IF(NOT(OR(N(资金日记账!$H299)&lt;&gt;0,N(资金日记账!$I299)&lt;&gt;0)),0,IF(资金日记账!$B299="",1,IF(OR(N(资金日记账!$B299)&lt;$H$1,N(资金日记账!$B299)&gt;$I$1),0,1))))</f>
        <v>0</v>
      </c>
      <c r="H306">
        <f t="shared" si="57"/>
        <v>0</v>
      </c>
      <c r="I306" t="str">
        <f>IF($G306=0,"",IF(资金日记账!$B299=0,"",资金日记账!$B299))</f>
        <v/>
      </c>
      <c r="J306" t="str">
        <f>IF($G306=0,"",IF(资金日记账!$D299=0,"",资金日记账!$D299))</f>
        <v/>
      </c>
      <c r="K306" t="str">
        <f t="shared" si="65"/>
        <v/>
      </c>
      <c r="L306" t="str">
        <f t="shared" si="66"/>
        <v/>
      </c>
      <c r="M306" t="str">
        <f t="shared" si="58"/>
        <v/>
      </c>
      <c r="N306" t="str">
        <f>IF($G306=0,"",IF(IF(N(资金日记账!$I299)=0,"",-ROUND(N(资金日记账!$I299),2))=0,"",IF(N(资金日记账!$I299)=0,"",-ROUND(N(资金日记账!$I299),2))))</f>
        <v/>
      </c>
      <c r="O306" t="str">
        <f>IF($G306=0,"",IF(IF(N(资金日记账!$H299)=0,"",ROUND(N(资金日记账!$H299),2))=0,"",IF(N(资金日记账!$H299)=0,"",ROUND(N(资金日记账!$H299),2))))</f>
        <v/>
      </c>
      <c r="P306" t="str">
        <f>IF($G306=0,"",IF(资金日记账!$L299=0,"",资金日记账!$L299))</f>
        <v/>
      </c>
      <c r="T306" t="str">
        <f>IF(资金日记账!$G306="","",资金日记账!$G306)</f>
        <v/>
      </c>
      <c r="U306">
        <f t="shared" si="59"/>
        <v>0</v>
      </c>
      <c r="V306">
        <f t="shared" si="60"/>
        <v>0</v>
      </c>
      <c r="AF306" t="str">
        <f>IF(OR(资金日记账!$E306="",N(资金日记账!$H306)=0),"",资金日记账!$E306)</f>
        <v/>
      </c>
      <c r="AG306">
        <f t="shared" si="63"/>
        <v>0</v>
      </c>
      <c r="AH306">
        <f t="shared" si="64"/>
        <v>0</v>
      </c>
    </row>
    <row r="307" spans="1:34">
      <c r="A307" t="str">
        <f>IF(资金日记账!$F5="","",资金日记账!$F5)</f>
        <v/>
      </c>
      <c r="B307">
        <f t="shared" si="55"/>
        <v>0</v>
      </c>
      <c r="C307">
        <f t="shared" si="56"/>
        <v>0</v>
      </c>
      <c r="G307">
        <f>IF(OR($G$1="",资金日记账!$E300="",资金日记账!$E300&lt;&gt;$G$1),0,IF(NOT(OR(N(资金日记账!$H300)&lt;&gt;0,N(资金日记账!$I300)&lt;&gt;0)),0,IF(资金日记账!$B300="",1,IF(OR(N(资金日记账!$B300)&lt;$H$1,N(资金日记账!$B300)&gt;$I$1),0,1))))</f>
        <v>0</v>
      </c>
      <c r="H307">
        <f t="shared" si="57"/>
        <v>0</v>
      </c>
      <c r="I307" t="str">
        <f>IF($G307=0,"",IF(资金日记账!$B300=0,"",资金日记账!$B300))</f>
        <v/>
      </c>
      <c r="J307" t="str">
        <f>IF($G307=0,"",IF(资金日记账!$D300=0,"",资金日记账!$D300))</f>
        <v/>
      </c>
      <c r="K307" t="str">
        <f t="shared" si="65"/>
        <v/>
      </c>
      <c r="L307" t="str">
        <f t="shared" si="66"/>
        <v/>
      </c>
      <c r="M307" t="str">
        <f t="shared" si="58"/>
        <v/>
      </c>
      <c r="N307" t="str">
        <f>IF($G307=0,"",IF(IF(N(资金日记账!$I300)=0,"",-ROUND(N(资金日记账!$I300),2))=0,"",IF(N(资金日记账!$I300)=0,"",-ROUND(N(资金日记账!$I300),2))))</f>
        <v/>
      </c>
      <c r="O307" t="str">
        <f>IF($G307=0,"",IF(IF(N(资金日记账!$H300)=0,"",ROUND(N(资金日记账!$H300),2))=0,"",IF(N(资金日记账!$H300)=0,"",ROUND(N(资金日记账!$H300),2))))</f>
        <v/>
      </c>
      <c r="P307" t="str">
        <f>IF($G307=0,"",IF(资金日记账!$L300=0,"",资金日记账!$L300))</f>
        <v/>
      </c>
      <c r="T307" t="str">
        <f>IF(资金日记账!$G307="","",资金日记账!$G307)</f>
        <v/>
      </c>
      <c r="U307">
        <f t="shared" si="59"/>
        <v>0</v>
      </c>
      <c r="V307">
        <f t="shared" si="60"/>
        <v>0</v>
      </c>
      <c r="AF307" t="str">
        <f>IF(OR(资金日记账!$E307="",N(资金日记账!$H307)=0),"",资金日记账!$E307)</f>
        <v/>
      </c>
      <c r="AG307">
        <f t="shared" si="63"/>
        <v>0</v>
      </c>
      <c r="AH307">
        <f t="shared" si="64"/>
        <v>0</v>
      </c>
    </row>
    <row r="308" spans="1:34">
      <c r="A308" t="str">
        <f>IF(资金日记账!$F6="","",资金日记账!$F6)</f>
        <v/>
      </c>
      <c r="B308">
        <f t="shared" si="55"/>
        <v>0</v>
      </c>
      <c r="C308">
        <f t="shared" si="56"/>
        <v>0</v>
      </c>
      <c r="G308">
        <f>IF(OR($G$1="",资金日记账!$E301="",资金日记账!$E301&lt;&gt;$G$1),0,IF(NOT(OR(N(资金日记账!$H301)&lt;&gt;0,N(资金日记账!$I301)&lt;&gt;0)),0,IF(资金日记账!$B301="",1,IF(OR(N(资金日记账!$B301)&lt;$H$1,N(资金日记账!$B301)&gt;$I$1),0,1))))</f>
        <v>0</v>
      </c>
      <c r="H308">
        <f t="shared" si="57"/>
        <v>0</v>
      </c>
      <c r="I308" t="str">
        <f>IF($G308=0,"",IF(资金日记账!$B301=0,"",资金日记账!$B301))</f>
        <v/>
      </c>
      <c r="J308" t="str">
        <f>IF($G308=0,"",IF(资金日记账!$D301=0,"",资金日记账!$D301))</f>
        <v/>
      </c>
      <c r="K308" t="str">
        <f t="shared" si="65"/>
        <v/>
      </c>
      <c r="L308" t="str">
        <f t="shared" si="66"/>
        <v/>
      </c>
      <c r="M308" t="str">
        <f t="shared" si="58"/>
        <v/>
      </c>
      <c r="N308" t="str">
        <f>IF($G308=0,"",IF(IF(N(资金日记账!$I301)=0,"",-ROUND(N(资金日记账!$I301),2))=0,"",IF(N(资金日记账!$I301)=0,"",-ROUND(N(资金日记账!$I301),2))))</f>
        <v/>
      </c>
      <c r="O308" t="str">
        <f>IF($G308=0,"",IF(IF(N(资金日记账!$H301)=0,"",ROUND(N(资金日记账!$H301),2))=0,"",IF(N(资金日记账!$H301)=0,"",ROUND(N(资金日记账!$H301),2))))</f>
        <v/>
      </c>
      <c r="P308" t="str">
        <f>IF($G308=0,"",IF(资金日记账!$L301=0,"",资金日记账!$L301))</f>
        <v/>
      </c>
      <c r="T308" t="str">
        <f>IF(资金日记账!$G308="","",资金日记账!$G308)</f>
        <v/>
      </c>
      <c r="U308">
        <f t="shared" si="59"/>
        <v>0</v>
      </c>
      <c r="V308">
        <f t="shared" si="60"/>
        <v>0</v>
      </c>
      <c r="AF308" t="str">
        <f>IF(OR(资金日记账!$E308="",N(资金日记账!$H308)=0),"",资金日记账!$E308)</f>
        <v/>
      </c>
      <c r="AG308">
        <f t="shared" si="63"/>
        <v>0</v>
      </c>
      <c r="AH308">
        <f t="shared" si="64"/>
        <v>0</v>
      </c>
    </row>
    <row r="309" spans="1:34">
      <c r="A309" t="str">
        <f>IF(资金日记账!$F7="","",资金日记账!$F7)</f>
        <v/>
      </c>
      <c r="B309">
        <f t="shared" si="55"/>
        <v>0</v>
      </c>
      <c r="C309">
        <f t="shared" si="56"/>
        <v>0</v>
      </c>
      <c r="G309">
        <f>IF(OR($G$1="",资金日记账!$E302="",资金日记账!$E302&lt;&gt;$G$1),0,IF(NOT(OR(N(资金日记账!$H302)&lt;&gt;0,N(资金日记账!$I302)&lt;&gt;0)),0,IF(资金日记账!$B302="",1,IF(OR(N(资金日记账!$B302)&lt;$H$1,N(资金日记账!$B302)&gt;$I$1),0,1))))</f>
        <v>0</v>
      </c>
      <c r="H309">
        <f t="shared" si="57"/>
        <v>0</v>
      </c>
      <c r="I309" t="str">
        <f>IF($G309=0,"",IF(资金日记账!$B302=0,"",资金日记账!$B302))</f>
        <v/>
      </c>
      <c r="J309" t="str">
        <f>IF($G309=0,"",IF(资金日记账!$D302=0,"",资金日记账!$D302))</f>
        <v/>
      </c>
      <c r="K309" t="str">
        <f t="shared" si="65"/>
        <v/>
      </c>
      <c r="L309" t="str">
        <f t="shared" si="66"/>
        <v/>
      </c>
      <c r="M309" t="str">
        <f t="shared" si="58"/>
        <v/>
      </c>
      <c r="N309" t="str">
        <f>IF($G309=0,"",IF(IF(N(资金日记账!$I302)=0,"",-ROUND(N(资金日记账!$I302),2))=0,"",IF(N(资金日记账!$I302)=0,"",-ROUND(N(资金日记账!$I302),2))))</f>
        <v/>
      </c>
      <c r="O309" t="str">
        <f>IF($G309=0,"",IF(IF(N(资金日记账!$H302)=0,"",ROUND(N(资金日记账!$H302),2))=0,"",IF(N(资金日记账!$H302)=0,"",ROUND(N(资金日记账!$H302),2))))</f>
        <v/>
      </c>
      <c r="P309" t="str">
        <f>IF($G309=0,"",IF(资金日记账!$L302=0,"",资金日记账!$L302))</f>
        <v/>
      </c>
      <c r="T309" t="str">
        <f>IF(资金日记账!$G309="","",资金日记账!$G309)</f>
        <v/>
      </c>
      <c r="U309">
        <f t="shared" si="59"/>
        <v>0</v>
      </c>
      <c r="V309">
        <f t="shared" si="60"/>
        <v>0</v>
      </c>
      <c r="AF309" t="str">
        <f>IF(OR(资金日记账!$E309="",N(资金日记账!$H309)=0),"",资金日记账!$E309)</f>
        <v/>
      </c>
      <c r="AG309">
        <f t="shared" si="63"/>
        <v>0</v>
      </c>
      <c r="AH309">
        <f t="shared" si="64"/>
        <v>0</v>
      </c>
    </row>
    <row r="310" spans="1:34">
      <c r="A310" t="str">
        <f>IF(资金日记账!$F8="","",资金日记账!$F8)</f>
        <v/>
      </c>
      <c r="B310">
        <f t="shared" si="55"/>
        <v>0</v>
      </c>
      <c r="C310">
        <f t="shared" si="56"/>
        <v>0</v>
      </c>
      <c r="G310">
        <f>IF(OR($G$1="",资金日记账!$E303="",资金日记账!$E303&lt;&gt;$G$1),0,IF(NOT(OR(N(资金日记账!$H303)&lt;&gt;0,N(资金日记账!$I303)&lt;&gt;0)),0,IF(资金日记账!$B303="",1,IF(OR(N(资金日记账!$B303)&lt;$H$1,N(资金日记账!$B303)&gt;$I$1),0,1))))</f>
        <v>0</v>
      </c>
      <c r="H310">
        <f t="shared" si="57"/>
        <v>0</v>
      </c>
      <c r="I310" t="str">
        <f>IF($G310=0,"",IF(资金日记账!$B303=0,"",资金日记账!$B303))</f>
        <v/>
      </c>
      <c r="J310" t="str">
        <f>IF($G310=0,"",IF(资金日记账!$D303=0,"",资金日记账!$D303))</f>
        <v/>
      </c>
      <c r="K310" t="str">
        <f t="shared" si="65"/>
        <v/>
      </c>
      <c r="L310" t="str">
        <f t="shared" si="66"/>
        <v/>
      </c>
      <c r="M310" t="str">
        <f t="shared" si="58"/>
        <v/>
      </c>
      <c r="N310" t="str">
        <f>IF($G310=0,"",IF(IF(N(资金日记账!$I303)=0,"",-ROUND(N(资金日记账!$I303),2))=0,"",IF(N(资金日记账!$I303)=0,"",-ROUND(N(资金日记账!$I303),2))))</f>
        <v/>
      </c>
      <c r="O310" t="str">
        <f>IF($G310=0,"",IF(IF(N(资金日记账!$H303)=0,"",ROUND(N(资金日记账!$H303),2))=0,"",IF(N(资金日记账!$H303)=0,"",ROUND(N(资金日记账!$H303),2))))</f>
        <v/>
      </c>
      <c r="P310" t="str">
        <f>IF($G310=0,"",IF(资金日记账!$L303=0,"",资金日记账!$L303))</f>
        <v/>
      </c>
      <c r="T310" t="str">
        <f>IF(资金日记账!$G310="","",资金日记账!$G310)</f>
        <v/>
      </c>
      <c r="U310">
        <f t="shared" si="59"/>
        <v>0</v>
      </c>
      <c r="V310">
        <f t="shared" si="60"/>
        <v>0</v>
      </c>
      <c r="AF310" t="str">
        <f>IF(OR(资金日记账!$E310="",N(资金日记账!$H310)=0),"",资金日记账!$E310)</f>
        <v/>
      </c>
      <c r="AG310">
        <f t="shared" si="63"/>
        <v>0</v>
      </c>
      <c r="AH310">
        <f t="shared" si="64"/>
        <v>0</v>
      </c>
    </row>
    <row r="311" spans="1:34">
      <c r="A311" t="str">
        <f>IF(资金日记账!$F9="","",资金日记账!$F9)</f>
        <v/>
      </c>
      <c r="B311">
        <f t="shared" si="55"/>
        <v>0</v>
      </c>
      <c r="C311">
        <f t="shared" si="56"/>
        <v>0</v>
      </c>
      <c r="G311">
        <f>IF(OR($G$1="",资金日记账!$E304="",资金日记账!$E304&lt;&gt;$G$1),0,IF(NOT(OR(N(资金日记账!$H304)&lt;&gt;0,N(资金日记账!$I304)&lt;&gt;0)),0,IF(资金日记账!$B304="",1,IF(OR(N(资金日记账!$B304)&lt;$H$1,N(资金日记账!$B304)&gt;$I$1),0,1))))</f>
        <v>0</v>
      </c>
      <c r="H311">
        <f t="shared" si="57"/>
        <v>0</v>
      </c>
      <c r="I311" t="str">
        <f>IF($G311=0,"",IF(资金日记账!$B304=0,"",资金日记账!$B304))</f>
        <v/>
      </c>
      <c r="J311" t="str">
        <f>IF($G311=0,"",IF(资金日记账!$D304=0,"",资金日记账!$D304))</f>
        <v/>
      </c>
      <c r="K311" t="str">
        <f t="shared" si="65"/>
        <v/>
      </c>
      <c r="L311" t="str">
        <f t="shared" si="66"/>
        <v/>
      </c>
      <c r="M311" t="str">
        <f t="shared" si="58"/>
        <v/>
      </c>
      <c r="N311" t="str">
        <f>IF($G311=0,"",IF(IF(N(资金日记账!$I304)=0,"",-ROUND(N(资金日记账!$I304),2))=0,"",IF(N(资金日记账!$I304)=0,"",-ROUND(N(资金日记账!$I304),2))))</f>
        <v/>
      </c>
      <c r="O311" t="str">
        <f>IF($G311=0,"",IF(IF(N(资金日记账!$H304)=0,"",ROUND(N(资金日记账!$H304),2))=0,"",IF(N(资金日记账!$H304)=0,"",ROUND(N(资金日记账!$H304),2))))</f>
        <v/>
      </c>
      <c r="P311" t="str">
        <f>IF($G311=0,"",IF(资金日记账!$L304=0,"",资金日记账!$L304))</f>
        <v/>
      </c>
      <c r="T311" t="str">
        <f>IF(资金日记账!$G311="","",资金日记账!$G311)</f>
        <v/>
      </c>
      <c r="U311">
        <f t="shared" si="59"/>
        <v>0</v>
      </c>
      <c r="V311">
        <f t="shared" si="60"/>
        <v>0</v>
      </c>
      <c r="AF311" t="str">
        <f>IF(OR(资金日记账!$E311="",N(资金日记账!$H311)=0),"",资金日记账!$E311)</f>
        <v/>
      </c>
      <c r="AG311">
        <f t="shared" si="63"/>
        <v>0</v>
      </c>
      <c r="AH311">
        <f t="shared" si="64"/>
        <v>0</v>
      </c>
    </row>
    <row r="312" spans="1:34">
      <c r="A312" t="str">
        <f>IF(资金日记账!$F10="","",资金日记账!$F10)</f>
        <v/>
      </c>
      <c r="B312">
        <f t="shared" si="55"/>
        <v>0</v>
      </c>
      <c r="C312">
        <f t="shared" si="56"/>
        <v>0</v>
      </c>
      <c r="G312">
        <f>IF(OR($G$1="",资金日记账!$E305="",资金日记账!$E305&lt;&gt;$G$1),0,IF(NOT(OR(N(资金日记账!$H305)&lt;&gt;0,N(资金日记账!$I305)&lt;&gt;0)),0,IF(资金日记账!$B305="",1,IF(OR(N(资金日记账!$B305)&lt;$H$1,N(资金日记账!$B305)&gt;$I$1),0,1))))</f>
        <v>0</v>
      </c>
      <c r="H312">
        <f t="shared" si="57"/>
        <v>0</v>
      </c>
      <c r="I312" t="str">
        <f>IF($G312=0,"",IF(资金日记账!$B305=0,"",资金日记账!$B305))</f>
        <v/>
      </c>
      <c r="J312" t="str">
        <f>IF($G312=0,"",IF(资金日记账!$D305=0,"",资金日记账!$D305))</f>
        <v/>
      </c>
      <c r="K312" t="str">
        <f t="shared" si="65"/>
        <v/>
      </c>
      <c r="L312" t="str">
        <f t="shared" si="66"/>
        <v/>
      </c>
      <c r="M312" t="str">
        <f t="shared" si="58"/>
        <v/>
      </c>
      <c r="N312" t="str">
        <f>IF($G312=0,"",IF(IF(N(资金日记账!$I305)=0,"",-ROUND(N(资金日记账!$I305),2))=0,"",IF(N(资金日记账!$I305)=0,"",-ROUND(N(资金日记账!$I305),2))))</f>
        <v/>
      </c>
      <c r="O312" t="str">
        <f>IF($G312=0,"",IF(IF(N(资金日记账!$H305)=0,"",ROUND(N(资金日记账!$H305),2))=0,"",IF(N(资金日记账!$H305)=0,"",ROUND(N(资金日记账!$H305),2))))</f>
        <v/>
      </c>
      <c r="P312" t="str">
        <f>IF($G312=0,"",IF(资金日记账!$L305=0,"",资金日记账!$L305))</f>
        <v/>
      </c>
      <c r="T312" t="str">
        <f>IF(资金日记账!$G312="","",资金日记账!$G312)</f>
        <v/>
      </c>
      <c r="U312">
        <f t="shared" si="59"/>
        <v>0</v>
      </c>
      <c r="V312">
        <f t="shared" si="60"/>
        <v>0</v>
      </c>
      <c r="AF312" t="str">
        <f>IF(OR(资金日记账!$E312="",N(资金日记账!$H312)=0),"",资金日记账!$E312)</f>
        <v/>
      </c>
      <c r="AG312">
        <f t="shared" si="63"/>
        <v>0</v>
      </c>
      <c r="AH312">
        <f t="shared" si="64"/>
        <v>0</v>
      </c>
    </row>
    <row r="313" spans="1:34">
      <c r="A313" t="str">
        <f>IF(资金日记账!$F11="","",资金日记账!$F11)</f>
        <v/>
      </c>
      <c r="B313">
        <f t="shared" si="55"/>
        <v>0</v>
      </c>
      <c r="C313">
        <f t="shared" si="56"/>
        <v>0</v>
      </c>
      <c r="G313">
        <f>IF(OR($G$1="",资金日记账!$E306="",资金日记账!$E306&lt;&gt;$G$1),0,IF(NOT(OR(N(资金日记账!$H306)&lt;&gt;0,N(资金日记账!$I306)&lt;&gt;0)),0,IF(资金日记账!$B306="",1,IF(OR(N(资金日记账!$B306)&lt;$H$1,N(资金日记账!$B306)&gt;$I$1),0,1))))</f>
        <v>0</v>
      </c>
      <c r="H313">
        <f t="shared" si="57"/>
        <v>0</v>
      </c>
      <c r="I313" t="str">
        <f>IF($G313=0,"",IF(资金日记账!$B306=0,"",资金日记账!$B306))</f>
        <v/>
      </c>
      <c r="J313" t="str">
        <f>IF($G313=0,"",IF(资金日记账!$D306=0,"",资金日记账!$D306))</f>
        <v/>
      </c>
      <c r="K313" t="str">
        <f t="shared" si="65"/>
        <v/>
      </c>
      <c r="L313" t="str">
        <f t="shared" si="66"/>
        <v/>
      </c>
      <c r="M313" t="str">
        <f t="shared" si="58"/>
        <v/>
      </c>
      <c r="N313" t="str">
        <f>IF($G313=0,"",IF(IF(N(资金日记账!$I306)=0,"",-ROUND(N(资金日记账!$I306),2))=0,"",IF(N(资金日记账!$I306)=0,"",-ROUND(N(资金日记账!$I306),2))))</f>
        <v/>
      </c>
      <c r="O313" t="str">
        <f>IF($G313=0,"",IF(IF(N(资金日记账!$H306)=0,"",ROUND(N(资金日记账!$H306),2))=0,"",IF(N(资金日记账!$H306)=0,"",ROUND(N(资金日记账!$H306),2))))</f>
        <v/>
      </c>
      <c r="P313" t="str">
        <f>IF($G313=0,"",IF(资金日记账!$L306=0,"",资金日记账!$L306))</f>
        <v/>
      </c>
      <c r="T313" t="str">
        <f>IF(资金日记账!$G313="","",资金日记账!$G313)</f>
        <v/>
      </c>
      <c r="U313">
        <f t="shared" si="59"/>
        <v>0</v>
      </c>
      <c r="V313">
        <f t="shared" si="60"/>
        <v>0</v>
      </c>
      <c r="AF313" t="str">
        <f>IF(OR(资金日记账!$E313="",N(资金日记账!$H313)=0),"",资金日记账!$E313)</f>
        <v/>
      </c>
      <c r="AG313">
        <f t="shared" si="63"/>
        <v>0</v>
      </c>
      <c r="AH313">
        <f t="shared" si="64"/>
        <v>0</v>
      </c>
    </row>
    <row r="314" spans="1:34">
      <c r="A314" t="str">
        <f>IF(资金日记账!$F12="","",资金日记账!$F12)</f>
        <v/>
      </c>
      <c r="B314">
        <f t="shared" si="55"/>
        <v>0</v>
      </c>
      <c r="C314">
        <f t="shared" si="56"/>
        <v>0</v>
      </c>
      <c r="G314">
        <f>IF(OR($G$1="",资金日记账!$E307="",资金日记账!$E307&lt;&gt;$G$1),0,IF(NOT(OR(N(资金日记账!$H307)&lt;&gt;0,N(资金日记账!$I307)&lt;&gt;0)),0,IF(资金日记账!$B307="",1,IF(OR(N(资金日记账!$B307)&lt;$H$1,N(资金日记账!$B307)&gt;$I$1),0,1))))</f>
        <v>0</v>
      </c>
      <c r="H314">
        <f t="shared" si="57"/>
        <v>0</v>
      </c>
      <c r="I314" t="str">
        <f>IF($G314=0,"",IF(资金日记账!$B307=0,"",资金日记账!$B307))</f>
        <v/>
      </c>
      <c r="J314" t="str">
        <f>IF($G314=0,"",IF(资金日记账!$D307=0,"",资金日记账!$D307))</f>
        <v/>
      </c>
      <c r="K314" t="str">
        <f t="shared" si="65"/>
        <v/>
      </c>
      <c r="L314" t="str">
        <f t="shared" si="66"/>
        <v/>
      </c>
      <c r="M314" t="str">
        <f t="shared" si="58"/>
        <v/>
      </c>
      <c r="N314" t="str">
        <f>IF($G314=0,"",IF(IF(N(资金日记账!$I307)=0,"",-ROUND(N(资金日记账!$I307),2))=0,"",IF(N(资金日记账!$I307)=0,"",-ROUND(N(资金日记账!$I307),2))))</f>
        <v/>
      </c>
      <c r="O314" t="str">
        <f>IF($G314=0,"",IF(IF(N(资金日记账!$H307)=0,"",ROUND(N(资金日记账!$H307),2))=0,"",IF(N(资金日记账!$H307)=0,"",ROUND(N(资金日记账!$H307),2))))</f>
        <v/>
      </c>
      <c r="P314" t="str">
        <f>IF($G314=0,"",IF(资金日记账!$L307=0,"",资金日记账!$L307))</f>
        <v/>
      </c>
      <c r="T314" t="str">
        <f>IF(资金日记账!$G314="","",资金日记账!$G314)</f>
        <v/>
      </c>
      <c r="U314">
        <f t="shared" si="59"/>
        <v>0</v>
      </c>
      <c r="V314">
        <f t="shared" si="60"/>
        <v>0</v>
      </c>
      <c r="AF314" t="str">
        <f>IF(OR(资金日记账!$E314="",N(资金日记账!$H314)=0),"",资金日记账!$E314)</f>
        <v/>
      </c>
      <c r="AG314">
        <f t="shared" si="63"/>
        <v>0</v>
      </c>
      <c r="AH314">
        <f t="shared" si="64"/>
        <v>0</v>
      </c>
    </row>
    <row r="315" spans="1:34">
      <c r="A315" t="str">
        <f>IF(资金日记账!$F13="","",资金日记账!$F13)</f>
        <v/>
      </c>
      <c r="B315">
        <f t="shared" si="55"/>
        <v>0</v>
      </c>
      <c r="C315">
        <f t="shared" si="56"/>
        <v>0</v>
      </c>
      <c r="G315">
        <f>IF(OR($G$1="",资金日记账!$E308="",资金日记账!$E308&lt;&gt;$G$1),0,IF(NOT(OR(N(资金日记账!$H308)&lt;&gt;0,N(资金日记账!$I308)&lt;&gt;0)),0,IF(资金日记账!$B308="",1,IF(OR(N(资金日记账!$B308)&lt;$H$1,N(资金日记账!$B308)&gt;$I$1),0,1))))</f>
        <v>0</v>
      </c>
      <c r="H315">
        <f t="shared" si="57"/>
        <v>0</v>
      </c>
      <c r="I315" t="str">
        <f>IF($G315=0,"",IF(资金日记账!$B308=0,"",资金日记账!$B308))</f>
        <v/>
      </c>
      <c r="J315" t="str">
        <f>IF($G315=0,"",IF(资金日记账!$D308=0,"",资金日记账!$D308))</f>
        <v/>
      </c>
      <c r="K315" t="str">
        <f t="shared" si="65"/>
        <v/>
      </c>
      <c r="L315" t="str">
        <f t="shared" si="66"/>
        <v/>
      </c>
      <c r="M315" t="str">
        <f t="shared" si="58"/>
        <v/>
      </c>
      <c r="N315" t="str">
        <f>IF($G315=0,"",IF(IF(N(资金日记账!$I308)=0,"",-ROUND(N(资金日记账!$I308),2))=0,"",IF(N(资金日记账!$I308)=0,"",-ROUND(N(资金日记账!$I308),2))))</f>
        <v/>
      </c>
      <c r="O315" t="str">
        <f>IF($G315=0,"",IF(IF(N(资金日记账!$H308)=0,"",ROUND(N(资金日记账!$H308),2))=0,"",IF(N(资金日记账!$H308)=0,"",ROUND(N(资金日记账!$H308),2))))</f>
        <v/>
      </c>
      <c r="P315" t="str">
        <f>IF($G315=0,"",IF(资金日记账!$L308=0,"",资金日记账!$L308))</f>
        <v/>
      </c>
      <c r="T315" t="str">
        <f>IF(资金日记账!$G315="","",资金日记账!$G315)</f>
        <v/>
      </c>
      <c r="U315">
        <f t="shared" si="59"/>
        <v>0</v>
      </c>
      <c r="V315">
        <f t="shared" si="60"/>
        <v>0</v>
      </c>
      <c r="AF315" t="str">
        <f>IF(OR(资金日记账!$E315="",N(资金日记账!$H315)=0),"",资金日记账!$E315)</f>
        <v/>
      </c>
      <c r="AG315">
        <f t="shared" si="63"/>
        <v>0</v>
      </c>
      <c r="AH315">
        <f t="shared" si="64"/>
        <v>0</v>
      </c>
    </row>
    <row r="316" spans="1:34">
      <c r="A316" t="str">
        <f>IF(资金日记账!$F14="","",资金日记账!$F14)</f>
        <v/>
      </c>
      <c r="B316">
        <f t="shared" si="55"/>
        <v>0</v>
      </c>
      <c r="C316">
        <f t="shared" si="56"/>
        <v>0</v>
      </c>
      <c r="G316">
        <f>IF(OR($G$1="",资金日记账!$E309="",资金日记账!$E309&lt;&gt;$G$1),0,IF(NOT(OR(N(资金日记账!$H309)&lt;&gt;0,N(资金日记账!$I309)&lt;&gt;0)),0,IF(资金日记账!$B309="",1,IF(OR(N(资金日记账!$B309)&lt;$H$1,N(资金日记账!$B309)&gt;$I$1),0,1))))</f>
        <v>0</v>
      </c>
      <c r="H316">
        <f t="shared" si="57"/>
        <v>0</v>
      </c>
      <c r="I316" t="str">
        <f>IF($G316=0,"",IF(资金日记账!$B309=0,"",资金日记账!$B309))</f>
        <v/>
      </c>
      <c r="J316" t="str">
        <f>IF($G316=0,"",IF(资金日记账!$D309=0,"",资金日记账!$D309))</f>
        <v/>
      </c>
      <c r="K316" t="str">
        <f t="shared" si="65"/>
        <v/>
      </c>
      <c r="L316" t="str">
        <f t="shared" si="66"/>
        <v/>
      </c>
      <c r="M316" t="str">
        <f t="shared" si="58"/>
        <v/>
      </c>
      <c r="N316" t="str">
        <f>IF($G316=0,"",IF(IF(N(资金日记账!$I309)=0,"",-ROUND(N(资金日记账!$I309),2))=0,"",IF(N(资金日记账!$I309)=0,"",-ROUND(N(资金日记账!$I309),2))))</f>
        <v/>
      </c>
      <c r="O316" t="str">
        <f>IF($G316=0,"",IF(IF(N(资金日记账!$H309)=0,"",ROUND(N(资金日记账!$H309),2))=0,"",IF(N(资金日记账!$H309)=0,"",ROUND(N(资金日记账!$H309),2))))</f>
        <v/>
      </c>
      <c r="P316" t="str">
        <f>IF($G316=0,"",IF(资金日记账!$L309=0,"",资金日记账!$L309))</f>
        <v/>
      </c>
      <c r="T316" t="str">
        <f>IF(资金日记账!$G316="","",资金日记账!$G316)</f>
        <v/>
      </c>
      <c r="U316">
        <f t="shared" si="59"/>
        <v>0</v>
      </c>
      <c r="V316">
        <f t="shared" si="60"/>
        <v>0</v>
      </c>
      <c r="AF316" t="str">
        <f>IF(OR(资金日记账!$E316="",N(资金日记账!$H316)=0),"",资金日记账!$E316)</f>
        <v/>
      </c>
      <c r="AG316">
        <f t="shared" si="63"/>
        <v>0</v>
      </c>
      <c r="AH316">
        <f t="shared" si="64"/>
        <v>0</v>
      </c>
    </row>
    <row r="317" spans="1:34">
      <c r="A317" t="str">
        <f>IF(资金日记账!$F15="","",资金日记账!$F15)</f>
        <v/>
      </c>
      <c r="B317">
        <f t="shared" si="55"/>
        <v>0</v>
      </c>
      <c r="C317">
        <f t="shared" si="56"/>
        <v>0</v>
      </c>
      <c r="G317">
        <f>IF(OR($G$1="",资金日记账!$E310="",资金日记账!$E310&lt;&gt;$G$1),0,IF(NOT(OR(N(资金日记账!$H310)&lt;&gt;0,N(资金日记账!$I310)&lt;&gt;0)),0,IF(资金日记账!$B310="",1,IF(OR(N(资金日记账!$B310)&lt;$H$1,N(资金日记账!$B310)&gt;$I$1),0,1))))</f>
        <v>0</v>
      </c>
      <c r="H317">
        <f t="shared" si="57"/>
        <v>0</v>
      </c>
      <c r="I317" t="str">
        <f>IF($G317=0,"",IF(资金日记账!$B310=0,"",资金日记账!$B310))</f>
        <v/>
      </c>
      <c r="J317" t="str">
        <f>IF($G317=0,"",IF(资金日记账!$D310=0,"",资金日记账!$D310))</f>
        <v/>
      </c>
      <c r="K317" t="str">
        <f t="shared" si="65"/>
        <v/>
      </c>
      <c r="L317" t="str">
        <f t="shared" si="66"/>
        <v/>
      </c>
      <c r="M317" t="str">
        <f t="shared" si="58"/>
        <v/>
      </c>
      <c r="N317" t="str">
        <f>IF($G317=0,"",IF(IF(N(资金日记账!$I310)=0,"",-ROUND(N(资金日记账!$I310),2))=0,"",IF(N(资金日记账!$I310)=0,"",-ROUND(N(资金日记账!$I310),2))))</f>
        <v/>
      </c>
      <c r="O317" t="str">
        <f>IF($G317=0,"",IF(IF(N(资金日记账!$H310)=0,"",ROUND(N(资金日记账!$H310),2))=0,"",IF(N(资金日记账!$H310)=0,"",ROUND(N(资金日记账!$H310),2))))</f>
        <v/>
      </c>
      <c r="P317" t="str">
        <f>IF($G317=0,"",IF(资金日记账!$L310=0,"",资金日记账!$L310))</f>
        <v/>
      </c>
      <c r="T317" t="str">
        <f>IF(资金日记账!$G317="","",资金日记账!$G317)</f>
        <v/>
      </c>
      <c r="U317">
        <f t="shared" si="59"/>
        <v>0</v>
      </c>
      <c r="V317">
        <f t="shared" si="60"/>
        <v>0</v>
      </c>
      <c r="AF317" t="str">
        <f>IF(OR(资金日记账!$E317="",N(资金日记账!$H317)=0),"",资金日记账!$E317)</f>
        <v/>
      </c>
      <c r="AG317">
        <f t="shared" si="63"/>
        <v>0</v>
      </c>
      <c r="AH317">
        <f t="shared" si="64"/>
        <v>0</v>
      </c>
    </row>
    <row r="318" spans="1:34">
      <c r="A318" t="str">
        <f>IF(资金日记账!$F16="","",资金日记账!$F16)</f>
        <v/>
      </c>
      <c r="B318">
        <f t="shared" si="55"/>
        <v>0</v>
      </c>
      <c r="C318">
        <f t="shared" si="56"/>
        <v>0</v>
      </c>
      <c r="G318">
        <f>IF(OR($G$1="",资金日记账!$E311="",资金日记账!$E311&lt;&gt;$G$1),0,IF(NOT(OR(N(资金日记账!$H311)&lt;&gt;0,N(资金日记账!$I311)&lt;&gt;0)),0,IF(资金日记账!$B311="",1,IF(OR(N(资金日记账!$B311)&lt;$H$1,N(资金日记账!$B311)&gt;$I$1),0,1))))</f>
        <v>0</v>
      </c>
      <c r="H318">
        <f t="shared" si="57"/>
        <v>0</v>
      </c>
      <c r="I318" t="str">
        <f>IF($G318=0,"",IF(资金日记账!$B311=0,"",资金日记账!$B311))</f>
        <v/>
      </c>
      <c r="J318" t="str">
        <f>IF($G318=0,"",IF(资金日记账!$D311=0,"",资金日记账!$D311))</f>
        <v/>
      </c>
      <c r="K318" t="str">
        <f t="shared" si="65"/>
        <v/>
      </c>
      <c r="L318" t="str">
        <f t="shared" si="66"/>
        <v/>
      </c>
      <c r="M318" t="str">
        <f t="shared" si="58"/>
        <v/>
      </c>
      <c r="N318" t="str">
        <f>IF($G318=0,"",IF(IF(N(资金日记账!$I311)=0,"",-ROUND(N(资金日记账!$I311),2))=0,"",IF(N(资金日记账!$I311)=0,"",-ROUND(N(资金日记账!$I311),2))))</f>
        <v/>
      </c>
      <c r="O318" t="str">
        <f>IF($G318=0,"",IF(IF(N(资金日记账!$H311)=0,"",ROUND(N(资金日记账!$H311),2))=0,"",IF(N(资金日记账!$H311)=0,"",ROUND(N(资金日记账!$H311),2))))</f>
        <v/>
      </c>
      <c r="P318" t="str">
        <f>IF($G318=0,"",IF(资金日记账!$L311=0,"",资金日记账!$L311))</f>
        <v/>
      </c>
      <c r="T318" t="str">
        <f>IF(资金日记账!$G318="","",资金日记账!$G318)</f>
        <v/>
      </c>
      <c r="U318">
        <f t="shared" si="59"/>
        <v>0</v>
      </c>
      <c r="V318">
        <f t="shared" si="60"/>
        <v>0</v>
      </c>
      <c r="AF318" t="str">
        <f>IF(OR(资金日记账!$E318="",N(资金日记账!$H318)=0),"",资金日记账!$E318)</f>
        <v/>
      </c>
      <c r="AG318">
        <f t="shared" si="63"/>
        <v>0</v>
      </c>
      <c r="AH318">
        <f t="shared" si="64"/>
        <v>0</v>
      </c>
    </row>
    <row r="319" spans="1:34">
      <c r="A319" t="str">
        <f>IF(资金日记账!$F17="","",资金日记账!$F17)</f>
        <v/>
      </c>
      <c r="B319">
        <f t="shared" si="55"/>
        <v>0</v>
      </c>
      <c r="C319">
        <f t="shared" si="56"/>
        <v>0</v>
      </c>
      <c r="G319">
        <f>IF(OR($G$1="",资金日记账!$E312="",资金日记账!$E312&lt;&gt;$G$1),0,IF(NOT(OR(N(资金日记账!$H312)&lt;&gt;0,N(资金日记账!$I312)&lt;&gt;0)),0,IF(资金日记账!$B312="",1,IF(OR(N(资金日记账!$B312)&lt;$H$1,N(资金日记账!$B312)&gt;$I$1),0,1))))</f>
        <v>0</v>
      </c>
      <c r="H319">
        <f t="shared" si="57"/>
        <v>0</v>
      </c>
      <c r="I319" t="str">
        <f>IF($G319=0,"",IF(资金日记账!$B312=0,"",资金日记账!$B312))</f>
        <v/>
      </c>
      <c r="J319" t="str">
        <f>IF($G319=0,"",IF(资金日记账!$D312=0,"",资金日记账!$D312))</f>
        <v/>
      </c>
      <c r="K319" t="str">
        <f t="shared" si="65"/>
        <v/>
      </c>
      <c r="L319" t="str">
        <f t="shared" si="66"/>
        <v/>
      </c>
      <c r="M319" t="str">
        <f t="shared" si="58"/>
        <v/>
      </c>
      <c r="N319" t="str">
        <f>IF($G319=0,"",IF(IF(N(资金日记账!$I312)=0,"",-ROUND(N(资金日记账!$I312),2))=0,"",IF(N(资金日记账!$I312)=0,"",-ROUND(N(资金日记账!$I312),2))))</f>
        <v/>
      </c>
      <c r="O319" t="str">
        <f>IF($G319=0,"",IF(IF(N(资金日记账!$H312)=0,"",ROUND(N(资金日记账!$H312),2))=0,"",IF(N(资金日记账!$H312)=0,"",ROUND(N(资金日记账!$H312),2))))</f>
        <v/>
      </c>
      <c r="P319" t="str">
        <f>IF($G319=0,"",IF(资金日记账!$L312=0,"",资金日记账!$L312))</f>
        <v/>
      </c>
      <c r="T319" t="str">
        <f>IF(资金日记账!$G319="","",资金日记账!$G319)</f>
        <v/>
      </c>
      <c r="U319">
        <f t="shared" si="59"/>
        <v>0</v>
      </c>
      <c r="V319">
        <f t="shared" si="60"/>
        <v>0</v>
      </c>
      <c r="AF319" t="str">
        <f>IF(OR(资金日记账!$E319="",N(资金日记账!$H319)=0),"",资金日记账!$E319)</f>
        <v/>
      </c>
      <c r="AG319">
        <f t="shared" si="63"/>
        <v>0</v>
      </c>
      <c r="AH319">
        <f t="shared" si="64"/>
        <v>0</v>
      </c>
    </row>
    <row r="320" spans="1:34">
      <c r="A320" t="str">
        <f>IF(资金日记账!$F18="","",资金日记账!$F18)</f>
        <v/>
      </c>
      <c r="B320">
        <f t="shared" si="55"/>
        <v>0</v>
      </c>
      <c r="C320">
        <f t="shared" si="56"/>
        <v>0</v>
      </c>
      <c r="G320">
        <f>IF(OR($G$1="",资金日记账!$E313="",资金日记账!$E313&lt;&gt;$G$1),0,IF(NOT(OR(N(资金日记账!$H313)&lt;&gt;0,N(资金日记账!$I313)&lt;&gt;0)),0,IF(资金日记账!$B313="",1,IF(OR(N(资金日记账!$B313)&lt;$H$1,N(资金日记账!$B313)&gt;$I$1),0,1))))</f>
        <v>0</v>
      </c>
      <c r="H320">
        <f t="shared" si="57"/>
        <v>0</v>
      </c>
      <c r="I320" t="str">
        <f>IF($G320=0,"",IF(资金日记账!$B313=0,"",资金日记账!$B313))</f>
        <v/>
      </c>
      <c r="J320" t="str">
        <f>IF($G320=0,"",IF(资金日记账!$D313=0,"",资金日记账!$D313))</f>
        <v/>
      </c>
      <c r="K320" t="str">
        <f t="shared" si="65"/>
        <v/>
      </c>
      <c r="L320" t="str">
        <f t="shared" si="66"/>
        <v/>
      </c>
      <c r="M320" t="str">
        <f t="shared" si="58"/>
        <v/>
      </c>
      <c r="N320" t="str">
        <f>IF($G320=0,"",IF(IF(N(资金日记账!$I313)=0,"",-ROUND(N(资金日记账!$I313),2))=0,"",IF(N(资金日记账!$I313)=0,"",-ROUND(N(资金日记账!$I313),2))))</f>
        <v/>
      </c>
      <c r="O320" t="str">
        <f>IF($G320=0,"",IF(IF(N(资金日记账!$H313)=0,"",ROUND(N(资金日记账!$H313),2))=0,"",IF(N(资金日记账!$H313)=0,"",ROUND(N(资金日记账!$H313),2))))</f>
        <v/>
      </c>
      <c r="P320" t="str">
        <f>IF($G320=0,"",IF(资金日记账!$L313=0,"",资金日记账!$L313))</f>
        <v/>
      </c>
      <c r="T320" t="str">
        <f>IF(资金日记账!$G320="","",资金日记账!$G320)</f>
        <v/>
      </c>
      <c r="U320">
        <f t="shared" si="59"/>
        <v>0</v>
      </c>
      <c r="V320">
        <f t="shared" si="60"/>
        <v>0</v>
      </c>
      <c r="AF320" t="str">
        <f>IF(OR(资金日记账!$E320="",N(资金日记账!$H320)=0),"",资金日记账!$E320)</f>
        <v/>
      </c>
      <c r="AG320">
        <f t="shared" si="63"/>
        <v>0</v>
      </c>
      <c r="AH320">
        <f t="shared" si="64"/>
        <v>0</v>
      </c>
    </row>
    <row r="321" spans="1:34">
      <c r="A321" t="str">
        <f>IF(资金日记账!$F19="","",资金日记账!$F19)</f>
        <v/>
      </c>
      <c r="B321">
        <f t="shared" si="55"/>
        <v>0</v>
      </c>
      <c r="C321">
        <f t="shared" si="56"/>
        <v>0</v>
      </c>
      <c r="G321">
        <f>IF(OR($G$1="",资金日记账!$E314="",资金日记账!$E314&lt;&gt;$G$1),0,IF(NOT(OR(N(资金日记账!$H314)&lt;&gt;0,N(资金日记账!$I314)&lt;&gt;0)),0,IF(资金日记账!$B314="",1,IF(OR(N(资金日记账!$B314)&lt;$H$1,N(资金日记账!$B314)&gt;$I$1),0,1))))</f>
        <v>0</v>
      </c>
      <c r="H321">
        <f t="shared" si="57"/>
        <v>0</v>
      </c>
      <c r="I321" t="str">
        <f>IF($G321=0,"",IF(资金日记账!$B314=0,"",资金日记账!$B314))</f>
        <v/>
      </c>
      <c r="J321" t="str">
        <f>IF($G321=0,"",IF(资金日记账!$D314=0,"",资金日记账!$D314))</f>
        <v/>
      </c>
      <c r="K321" t="str">
        <f t="shared" si="65"/>
        <v/>
      </c>
      <c r="L321" t="str">
        <f t="shared" si="66"/>
        <v/>
      </c>
      <c r="M321" t="str">
        <f t="shared" si="58"/>
        <v/>
      </c>
      <c r="N321" t="str">
        <f>IF($G321=0,"",IF(IF(N(资金日记账!$I314)=0,"",-ROUND(N(资金日记账!$I314),2))=0,"",IF(N(资金日记账!$I314)=0,"",-ROUND(N(资金日记账!$I314),2))))</f>
        <v/>
      </c>
      <c r="O321" t="str">
        <f>IF($G321=0,"",IF(IF(N(资金日记账!$H314)=0,"",ROUND(N(资金日记账!$H314),2))=0,"",IF(N(资金日记账!$H314)=0,"",ROUND(N(资金日记账!$H314),2))))</f>
        <v/>
      </c>
      <c r="P321" t="str">
        <f>IF($G321=0,"",IF(资金日记账!$L314=0,"",资金日记账!$L314))</f>
        <v/>
      </c>
      <c r="T321" t="str">
        <f>IF(资金日记账!$G321="","",资金日记账!$G321)</f>
        <v/>
      </c>
      <c r="U321">
        <f t="shared" si="59"/>
        <v>0</v>
      </c>
      <c r="V321">
        <f t="shared" si="60"/>
        <v>0</v>
      </c>
      <c r="AF321" t="str">
        <f>IF(OR(资金日记账!$E321="",N(资金日记账!$H321)=0),"",资金日记账!$E321)</f>
        <v/>
      </c>
      <c r="AG321">
        <f t="shared" si="63"/>
        <v>0</v>
      </c>
      <c r="AH321">
        <f t="shared" si="64"/>
        <v>0</v>
      </c>
    </row>
    <row r="322" spans="1:34">
      <c r="A322" t="str">
        <f>IF(资金日记账!$F20="","",资金日记账!$F20)</f>
        <v/>
      </c>
      <c r="B322">
        <f t="shared" si="55"/>
        <v>0</v>
      </c>
      <c r="C322">
        <f t="shared" si="56"/>
        <v>0</v>
      </c>
      <c r="G322">
        <f>IF(OR($G$1="",资金日记账!$E315="",资金日记账!$E315&lt;&gt;$G$1),0,IF(NOT(OR(N(资金日记账!$H315)&lt;&gt;0,N(资金日记账!$I315)&lt;&gt;0)),0,IF(资金日记账!$B315="",1,IF(OR(N(资金日记账!$B315)&lt;$H$1,N(资金日记账!$B315)&gt;$I$1),0,1))))</f>
        <v>0</v>
      </c>
      <c r="H322">
        <f t="shared" si="57"/>
        <v>0</v>
      </c>
      <c r="I322" t="str">
        <f>IF($G322=0,"",IF(资金日记账!$B315=0,"",资金日记账!$B315))</f>
        <v/>
      </c>
      <c r="J322" t="str">
        <f>IF($G322=0,"",IF(资金日记账!$D315=0,"",资金日记账!$D315))</f>
        <v/>
      </c>
      <c r="K322" t="str">
        <f t="shared" si="65"/>
        <v/>
      </c>
      <c r="L322" t="str">
        <f t="shared" si="66"/>
        <v/>
      </c>
      <c r="M322" t="str">
        <f t="shared" si="58"/>
        <v/>
      </c>
      <c r="N322" t="str">
        <f>IF($G322=0,"",IF(IF(N(资金日记账!$I315)=0,"",-ROUND(N(资金日记账!$I315),2))=0,"",IF(N(资金日记账!$I315)=0,"",-ROUND(N(资金日记账!$I315),2))))</f>
        <v/>
      </c>
      <c r="O322" t="str">
        <f>IF($G322=0,"",IF(IF(N(资金日记账!$H315)=0,"",ROUND(N(资金日记账!$H315),2))=0,"",IF(N(资金日记账!$H315)=0,"",ROUND(N(资金日记账!$H315),2))))</f>
        <v/>
      </c>
      <c r="P322" t="str">
        <f>IF($G322=0,"",IF(资金日记账!$L315=0,"",资金日记账!$L315))</f>
        <v/>
      </c>
      <c r="T322" t="str">
        <f>IF(资金日记账!$G322="","",资金日记账!$G322)</f>
        <v/>
      </c>
      <c r="U322">
        <f t="shared" si="59"/>
        <v>0</v>
      </c>
      <c r="V322">
        <f t="shared" si="60"/>
        <v>0</v>
      </c>
      <c r="AF322" t="str">
        <f>IF(OR(资金日记账!$E322="",N(资金日记账!$H322)=0),"",资金日记账!$E322)</f>
        <v/>
      </c>
      <c r="AG322">
        <f t="shared" si="63"/>
        <v>0</v>
      </c>
      <c r="AH322">
        <f t="shared" si="64"/>
        <v>0</v>
      </c>
    </row>
    <row r="323" spans="1:34">
      <c r="A323" t="str">
        <f>IF(资金日记账!$F21="","",资金日记账!$F21)</f>
        <v/>
      </c>
      <c r="B323">
        <f t="shared" si="55"/>
        <v>0</v>
      </c>
      <c r="C323">
        <f t="shared" si="56"/>
        <v>0</v>
      </c>
      <c r="G323">
        <f>IF(OR($G$1="",资金日记账!$E316="",资金日记账!$E316&lt;&gt;$G$1),0,IF(NOT(OR(N(资金日记账!$H316)&lt;&gt;0,N(资金日记账!$I316)&lt;&gt;0)),0,IF(资金日记账!$B316="",1,IF(OR(N(资金日记账!$B316)&lt;$H$1,N(资金日记账!$B316)&gt;$I$1),0,1))))</f>
        <v>0</v>
      </c>
      <c r="H323">
        <f t="shared" si="57"/>
        <v>0</v>
      </c>
      <c r="I323" t="str">
        <f>IF($G323=0,"",IF(资金日记账!$B316=0,"",资金日记账!$B316))</f>
        <v/>
      </c>
      <c r="J323" t="str">
        <f>IF($G323=0,"",IF(资金日记账!$D316=0,"",资金日记账!$D316))</f>
        <v/>
      </c>
      <c r="K323" t="str">
        <f t="shared" si="65"/>
        <v/>
      </c>
      <c r="L323" t="str">
        <f t="shared" si="66"/>
        <v/>
      </c>
      <c r="M323" t="str">
        <f t="shared" si="58"/>
        <v/>
      </c>
      <c r="N323" t="str">
        <f>IF($G323=0,"",IF(IF(N(资金日记账!$I316)=0,"",-ROUND(N(资金日记账!$I316),2))=0,"",IF(N(资金日记账!$I316)=0,"",-ROUND(N(资金日记账!$I316),2))))</f>
        <v/>
      </c>
      <c r="O323" t="str">
        <f>IF($G323=0,"",IF(IF(N(资金日记账!$H316)=0,"",ROUND(N(资金日记账!$H316),2))=0,"",IF(N(资金日记账!$H316)=0,"",ROUND(N(资金日记账!$H316),2))))</f>
        <v/>
      </c>
      <c r="P323" t="str">
        <f>IF($G323=0,"",IF(资金日记账!$L316=0,"",资金日记账!$L316))</f>
        <v/>
      </c>
      <c r="T323" t="str">
        <f>IF(资金日记账!$G323="","",资金日记账!$G323)</f>
        <v/>
      </c>
      <c r="U323">
        <f t="shared" si="59"/>
        <v>0</v>
      </c>
      <c r="V323">
        <f t="shared" si="60"/>
        <v>0</v>
      </c>
      <c r="AF323" t="str">
        <f>IF(OR(资金日记账!$E323="",N(资金日记账!$H323)=0),"",资金日记账!$E323)</f>
        <v/>
      </c>
      <c r="AG323">
        <f t="shared" si="63"/>
        <v>0</v>
      </c>
      <c r="AH323">
        <f t="shared" si="64"/>
        <v>0</v>
      </c>
    </row>
    <row r="324" spans="1:34">
      <c r="A324" t="str">
        <f>IF(资金日记账!$F22="","",资金日记账!$F22)</f>
        <v/>
      </c>
      <c r="B324">
        <f t="shared" ref="B324:B387" si="67">IF(A324="",0,IF(MATCH(A324,$A$4:$A$1805,0)=ROW()-3,1,0))</f>
        <v>0</v>
      </c>
      <c r="C324">
        <f t="shared" ref="C324:C387" si="68">N(C323)+B324</f>
        <v>0</v>
      </c>
      <c r="G324">
        <f>IF(OR($G$1="",资金日记账!$E317="",资金日记账!$E317&lt;&gt;$G$1),0,IF(NOT(OR(N(资金日记账!$H317)&lt;&gt;0,N(资金日记账!$I317)&lt;&gt;0)),0,IF(资金日记账!$B317="",1,IF(OR(N(资金日记账!$B317)&lt;$H$1,N(资金日记账!$B317)&gt;$I$1),0,1))))</f>
        <v>0</v>
      </c>
      <c r="H324">
        <f t="shared" ref="H324:H387" si="69">N(H323)+$G324</f>
        <v>0</v>
      </c>
      <c r="I324" t="str">
        <f>IF($G324=0,"",IF(资金日记账!$B317=0,"",资金日记账!$B317))</f>
        <v/>
      </c>
      <c r="J324" t="str">
        <f>IF($G324=0,"",IF(资金日记账!$D317=0,"",资金日记账!$D317))</f>
        <v/>
      </c>
      <c r="K324" t="str">
        <f t="shared" si="65"/>
        <v/>
      </c>
      <c r="L324" t="str">
        <f t="shared" si="66"/>
        <v/>
      </c>
      <c r="M324" t="str">
        <f t="shared" ref="M324:M387" si="70">IF($G324=0,"",IF(""=0,"",""))</f>
        <v/>
      </c>
      <c r="N324" t="str">
        <f>IF($G324=0,"",IF(IF(N(资金日记账!$I317)=0,"",-ROUND(N(资金日记账!$I317),2))=0,"",IF(N(资金日记账!$I317)=0,"",-ROUND(N(资金日记账!$I317),2))))</f>
        <v/>
      </c>
      <c r="O324" t="str">
        <f>IF($G324=0,"",IF(IF(N(资金日记账!$H317)=0,"",ROUND(N(资金日记账!$H317),2))=0,"",IF(N(资金日记账!$H317)=0,"",ROUND(N(资金日记账!$H317),2))))</f>
        <v/>
      </c>
      <c r="P324" t="str">
        <f>IF($G324=0,"",IF(资金日记账!$L317=0,"",资金日记账!$L317))</f>
        <v/>
      </c>
      <c r="T324" t="str">
        <f>IF(资金日记账!$G324="","",资金日记账!$G324)</f>
        <v/>
      </c>
      <c r="U324">
        <f t="shared" ref="U324:U387" si="71">IF(T324="",0,IF(MATCH(T324,$T$4:$T$903,0)=ROW()-3,1,0))</f>
        <v>0</v>
      </c>
      <c r="V324">
        <f t="shared" ref="V324:V387" si="72">N(V323)+U324</f>
        <v>0</v>
      </c>
      <c r="AF324" t="str">
        <f>IF(OR(资金日记账!$E324="",N(资金日记账!$H324)=0),"",资金日记账!$E324)</f>
        <v/>
      </c>
      <c r="AG324">
        <f t="shared" ref="AG324:AG387" si="73">IF(AF324="",0,IF(MATCH(AF324,$AF$4:$AF$603,0)=ROW()-3,1,0))</f>
        <v>0</v>
      </c>
      <c r="AH324">
        <f t="shared" ref="AH324:AH387" si="74">N(AH323)+AG324</f>
        <v>0</v>
      </c>
    </row>
    <row r="325" spans="1:34">
      <c r="A325" t="str">
        <f>IF(资金日记账!$F23="","",资金日记账!$F23)</f>
        <v/>
      </c>
      <c r="B325">
        <f t="shared" si="67"/>
        <v>0</v>
      </c>
      <c r="C325">
        <f t="shared" si="68"/>
        <v>0</v>
      </c>
      <c r="G325">
        <f>IF(OR($G$1="",资金日记账!$E318="",资金日记账!$E318&lt;&gt;$G$1),0,IF(NOT(OR(N(资金日记账!$H318)&lt;&gt;0,N(资金日记账!$I318)&lt;&gt;0)),0,IF(资金日记账!$B318="",1,IF(OR(N(资金日记账!$B318)&lt;$H$1,N(资金日记账!$B318)&gt;$I$1),0,1))))</f>
        <v>0</v>
      </c>
      <c r="H325">
        <f t="shared" si="69"/>
        <v>0</v>
      </c>
      <c r="I325" t="str">
        <f>IF($G325=0,"",IF(资金日记账!$B318=0,"",资金日记账!$B318))</f>
        <v/>
      </c>
      <c r="J325" t="str">
        <f>IF($G325=0,"",IF(资金日记账!$D318=0,"",资金日记账!$D318))</f>
        <v/>
      </c>
      <c r="K325" t="str">
        <f t="shared" si="65"/>
        <v/>
      </c>
      <c r="L325" t="str">
        <f t="shared" si="66"/>
        <v/>
      </c>
      <c r="M325" t="str">
        <f t="shared" si="70"/>
        <v/>
      </c>
      <c r="N325" t="str">
        <f>IF($G325=0,"",IF(IF(N(资金日记账!$I318)=0,"",-ROUND(N(资金日记账!$I318),2))=0,"",IF(N(资金日记账!$I318)=0,"",-ROUND(N(资金日记账!$I318),2))))</f>
        <v/>
      </c>
      <c r="O325" t="str">
        <f>IF($G325=0,"",IF(IF(N(资金日记账!$H318)=0,"",ROUND(N(资金日记账!$H318),2))=0,"",IF(N(资金日记账!$H318)=0,"",ROUND(N(资金日记账!$H318),2))))</f>
        <v/>
      </c>
      <c r="P325" t="str">
        <f>IF($G325=0,"",IF(资金日记账!$L318=0,"",资金日记账!$L318))</f>
        <v/>
      </c>
      <c r="T325" t="str">
        <f>IF(资金日记账!$G325="","",资金日记账!$G325)</f>
        <v/>
      </c>
      <c r="U325">
        <f t="shared" si="71"/>
        <v>0</v>
      </c>
      <c r="V325">
        <f t="shared" si="72"/>
        <v>0</v>
      </c>
      <c r="AF325" t="str">
        <f>IF(OR(资金日记账!$E325="",N(资金日记账!$H325)=0),"",资金日记账!$E325)</f>
        <v/>
      </c>
      <c r="AG325">
        <f t="shared" si="73"/>
        <v>0</v>
      </c>
      <c r="AH325">
        <f t="shared" si="74"/>
        <v>0</v>
      </c>
    </row>
    <row r="326" spans="1:34">
      <c r="A326" t="str">
        <f>IF(资金日记账!$F24="","",资金日记账!$F24)</f>
        <v/>
      </c>
      <c r="B326">
        <f t="shared" si="67"/>
        <v>0</v>
      </c>
      <c r="C326">
        <f t="shared" si="68"/>
        <v>0</v>
      </c>
      <c r="G326">
        <f>IF(OR($G$1="",资金日记账!$E319="",资金日记账!$E319&lt;&gt;$G$1),0,IF(NOT(OR(N(资金日记账!$H319)&lt;&gt;0,N(资金日记账!$I319)&lt;&gt;0)),0,IF(资金日记账!$B319="",1,IF(OR(N(资金日记账!$B319)&lt;$H$1,N(资金日记账!$B319)&gt;$I$1),0,1))))</f>
        <v>0</v>
      </c>
      <c r="H326">
        <f t="shared" si="69"/>
        <v>0</v>
      </c>
      <c r="I326" t="str">
        <f>IF($G326=0,"",IF(资金日记账!$B319=0,"",资金日记账!$B319))</f>
        <v/>
      </c>
      <c r="J326" t="str">
        <f>IF($G326=0,"",IF(资金日记账!$D319=0,"",资金日记账!$D319))</f>
        <v/>
      </c>
      <c r="K326" t="str">
        <f t="shared" si="65"/>
        <v/>
      </c>
      <c r="L326" t="str">
        <f t="shared" si="66"/>
        <v/>
      </c>
      <c r="M326" t="str">
        <f t="shared" si="70"/>
        <v/>
      </c>
      <c r="N326" t="str">
        <f>IF($G326=0,"",IF(IF(N(资金日记账!$I319)=0,"",-ROUND(N(资金日记账!$I319),2))=0,"",IF(N(资金日记账!$I319)=0,"",-ROUND(N(资金日记账!$I319),2))))</f>
        <v/>
      </c>
      <c r="O326" t="str">
        <f>IF($G326=0,"",IF(IF(N(资金日记账!$H319)=0,"",ROUND(N(资金日记账!$H319),2))=0,"",IF(N(资金日记账!$H319)=0,"",ROUND(N(资金日记账!$H319),2))))</f>
        <v/>
      </c>
      <c r="P326" t="str">
        <f>IF($G326=0,"",IF(资金日记账!$L319=0,"",资金日记账!$L319))</f>
        <v/>
      </c>
      <c r="T326" t="str">
        <f>IF(资金日记账!$G326="","",资金日记账!$G326)</f>
        <v/>
      </c>
      <c r="U326">
        <f t="shared" si="71"/>
        <v>0</v>
      </c>
      <c r="V326">
        <f t="shared" si="72"/>
        <v>0</v>
      </c>
      <c r="AF326" t="str">
        <f>IF(OR(资金日记账!$E326="",N(资金日记账!$H326)=0),"",资金日记账!$E326)</f>
        <v/>
      </c>
      <c r="AG326">
        <f t="shared" si="73"/>
        <v>0</v>
      </c>
      <c r="AH326">
        <f t="shared" si="74"/>
        <v>0</v>
      </c>
    </row>
    <row r="327" spans="1:34">
      <c r="A327" t="str">
        <f>IF(资金日记账!$F25="","",资金日记账!$F25)</f>
        <v/>
      </c>
      <c r="B327">
        <f t="shared" si="67"/>
        <v>0</v>
      </c>
      <c r="C327">
        <f t="shared" si="68"/>
        <v>0</v>
      </c>
      <c r="G327">
        <f>IF(OR($G$1="",资金日记账!$E320="",资金日记账!$E320&lt;&gt;$G$1),0,IF(NOT(OR(N(资金日记账!$H320)&lt;&gt;0,N(资金日记账!$I320)&lt;&gt;0)),0,IF(资金日记账!$B320="",1,IF(OR(N(资金日记账!$B320)&lt;$H$1,N(资金日记账!$B320)&gt;$I$1),0,1))))</f>
        <v>0</v>
      </c>
      <c r="H327">
        <f t="shared" si="69"/>
        <v>0</v>
      </c>
      <c r="I327" t="str">
        <f>IF($G327=0,"",IF(资金日记账!$B320=0,"",资金日记账!$B320))</f>
        <v/>
      </c>
      <c r="J327" t="str">
        <f>IF($G327=0,"",IF(资金日记账!$D320=0,"",资金日记账!$D320))</f>
        <v/>
      </c>
      <c r="K327" t="str">
        <f t="shared" ref="K327:K390" si="75">IF($G327=0,"",IF(""=0,"",""))</f>
        <v/>
      </c>
      <c r="L327" t="str">
        <f t="shared" ref="L327:L390" si="76">IF($G327=0,"",IF(""=0,"",""))</f>
        <v/>
      </c>
      <c r="M327" t="str">
        <f t="shared" si="70"/>
        <v/>
      </c>
      <c r="N327" t="str">
        <f>IF($G327=0,"",IF(IF(N(资金日记账!$I320)=0,"",-ROUND(N(资金日记账!$I320),2))=0,"",IF(N(资金日记账!$I320)=0,"",-ROUND(N(资金日记账!$I320),2))))</f>
        <v/>
      </c>
      <c r="O327" t="str">
        <f>IF($G327=0,"",IF(IF(N(资金日记账!$H320)=0,"",ROUND(N(资金日记账!$H320),2))=0,"",IF(N(资金日记账!$H320)=0,"",ROUND(N(资金日记账!$H320),2))))</f>
        <v/>
      </c>
      <c r="P327" t="str">
        <f>IF($G327=0,"",IF(资金日记账!$L320=0,"",资金日记账!$L320))</f>
        <v/>
      </c>
      <c r="T327" t="str">
        <f>IF(资金日记账!$G327="","",资金日记账!$G327)</f>
        <v/>
      </c>
      <c r="U327">
        <f t="shared" si="71"/>
        <v>0</v>
      </c>
      <c r="V327">
        <f t="shared" si="72"/>
        <v>0</v>
      </c>
      <c r="AF327" t="str">
        <f>IF(OR(资金日记账!$E327="",N(资金日记账!$H327)=0),"",资金日记账!$E327)</f>
        <v/>
      </c>
      <c r="AG327">
        <f t="shared" si="73"/>
        <v>0</v>
      </c>
      <c r="AH327">
        <f t="shared" si="74"/>
        <v>0</v>
      </c>
    </row>
    <row r="328" spans="1:34">
      <c r="A328" t="str">
        <f>IF(资金日记账!$F26="","",资金日记账!$F26)</f>
        <v/>
      </c>
      <c r="B328">
        <f t="shared" si="67"/>
        <v>0</v>
      </c>
      <c r="C328">
        <f t="shared" si="68"/>
        <v>0</v>
      </c>
      <c r="G328">
        <f>IF(OR($G$1="",资金日记账!$E321="",资金日记账!$E321&lt;&gt;$G$1),0,IF(NOT(OR(N(资金日记账!$H321)&lt;&gt;0,N(资金日记账!$I321)&lt;&gt;0)),0,IF(资金日记账!$B321="",1,IF(OR(N(资金日记账!$B321)&lt;$H$1,N(资金日记账!$B321)&gt;$I$1),0,1))))</f>
        <v>0</v>
      </c>
      <c r="H328">
        <f t="shared" si="69"/>
        <v>0</v>
      </c>
      <c r="I328" t="str">
        <f>IF($G328=0,"",IF(资金日记账!$B321=0,"",资金日记账!$B321))</f>
        <v/>
      </c>
      <c r="J328" t="str">
        <f>IF($G328=0,"",IF(资金日记账!$D321=0,"",资金日记账!$D321))</f>
        <v/>
      </c>
      <c r="K328" t="str">
        <f t="shared" si="75"/>
        <v/>
      </c>
      <c r="L328" t="str">
        <f t="shared" si="76"/>
        <v/>
      </c>
      <c r="M328" t="str">
        <f t="shared" si="70"/>
        <v/>
      </c>
      <c r="N328" t="str">
        <f>IF($G328=0,"",IF(IF(N(资金日记账!$I321)=0,"",-ROUND(N(资金日记账!$I321),2))=0,"",IF(N(资金日记账!$I321)=0,"",-ROUND(N(资金日记账!$I321),2))))</f>
        <v/>
      </c>
      <c r="O328" t="str">
        <f>IF($G328=0,"",IF(IF(N(资金日记账!$H321)=0,"",ROUND(N(资金日记账!$H321),2))=0,"",IF(N(资金日记账!$H321)=0,"",ROUND(N(资金日记账!$H321),2))))</f>
        <v/>
      </c>
      <c r="P328" t="str">
        <f>IF($G328=0,"",IF(资金日记账!$L321=0,"",资金日记账!$L321))</f>
        <v/>
      </c>
      <c r="T328" t="str">
        <f>IF(资金日记账!$G328="","",资金日记账!$G328)</f>
        <v/>
      </c>
      <c r="U328">
        <f t="shared" si="71"/>
        <v>0</v>
      </c>
      <c r="V328">
        <f t="shared" si="72"/>
        <v>0</v>
      </c>
      <c r="AF328" t="str">
        <f>IF(OR(资金日记账!$E328="",N(资金日记账!$H328)=0),"",资金日记账!$E328)</f>
        <v/>
      </c>
      <c r="AG328">
        <f t="shared" si="73"/>
        <v>0</v>
      </c>
      <c r="AH328">
        <f t="shared" si="74"/>
        <v>0</v>
      </c>
    </row>
    <row r="329" spans="1:34">
      <c r="A329" t="str">
        <f>IF(资金日记账!$F27="","",资金日记账!$F27)</f>
        <v/>
      </c>
      <c r="B329">
        <f t="shared" si="67"/>
        <v>0</v>
      </c>
      <c r="C329">
        <f t="shared" si="68"/>
        <v>0</v>
      </c>
      <c r="G329">
        <f>IF(OR($G$1="",资金日记账!$E322="",资金日记账!$E322&lt;&gt;$G$1),0,IF(NOT(OR(N(资金日记账!$H322)&lt;&gt;0,N(资金日记账!$I322)&lt;&gt;0)),0,IF(资金日记账!$B322="",1,IF(OR(N(资金日记账!$B322)&lt;$H$1,N(资金日记账!$B322)&gt;$I$1),0,1))))</f>
        <v>0</v>
      </c>
      <c r="H329">
        <f t="shared" si="69"/>
        <v>0</v>
      </c>
      <c r="I329" t="str">
        <f>IF($G329=0,"",IF(资金日记账!$B322=0,"",资金日记账!$B322))</f>
        <v/>
      </c>
      <c r="J329" t="str">
        <f>IF($G329=0,"",IF(资金日记账!$D322=0,"",资金日记账!$D322))</f>
        <v/>
      </c>
      <c r="K329" t="str">
        <f t="shared" si="75"/>
        <v/>
      </c>
      <c r="L329" t="str">
        <f t="shared" si="76"/>
        <v/>
      </c>
      <c r="M329" t="str">
        <f t="shared" si="70"/>
        <v/>
      </c>
      <c r="N329" t="str">
        <f>IF($G329=0,"",IF(IF(N(资金日记账!$I322)=0,"",-ROUND(N(资金日记账!$I322),2))=0,"",IF(N(资金日记账!$I322)=0,"",-ROUND(N(资金日记账!$I322),2))))</f>
        <v/>
      </c>
      <c r="O329" t="str">
        <f>IF($G329=0,"",IF(IF(N(资金日记账!$H322)=0,"",ROUND(N(资金日记账!$H322),2))=0,"",IF(N(资金日记账!$H322)=0,"",ROUND(N(资金日记账!$H322),2))))</f>
        <v/>
      </c>
      <c r="P329" t="str">
        <f>IF($G329=0,"",IF(资金日记账!$L322=0,"",资金日记账!$L322))</f>
        <v/>
      </c>
      <c r="T329" t="str">
        <f>IF(资金日记账!$G329="","",资金日记账!$G329)</f>
        <v/>
      </c>
      <c r="U329">
        <f t="shared" si="71"/>
        <v>0</v>
      </c>
      <c r="V329">
        <f t="shared" si="72"/>
        <v>0</v>
      </c>
      <c r="AF329" t="str">
        <f>IF(OR(资金日记账!$E329="",N(资金日记账!$H329)=0),"",资金日记账!$E329)</f>
        <v/>
      </c>
      <c r="AG329">
        <f t="shared" si="73"/>
        <v>0</v>
      </c>
      <c r="AH329">
        <f t="shared" si="74"/>
        <v>0</v>
      </c>
    </row>
    <row r="330" spans="1:34">
      <c r="A330" t="str">
        <f>IF(资金日记账!$F28="","",资金日记账!$F28)</f>
        <v/>
      </c>
      <c r="B330">
        <f t="shared" si="67"/>
        <v>0</v>
      </c>
      <c r="C330">
        <f t="shared" si="68"/>
        <v>0</v>
      </c>
      <c r="G330">
        <f>IF(OR($G$1="",资金日记账!$E323="",资金日记账!$E323&lt;&gt;$G$1),0,IF(NOT(OR(N(资金日记账!$H323)&lt;&gt;0,N(资金日记账!$I323)&lt;&gt;0)),0,IF(资金日记账!$B323="",1,IF(OR(N(资金日记账!$B323)&lt;$H$1,N(资金日记账!$B323)&gt;$I$1),0,1))))</f>
        <v>0</v>
      </c>
      <c r="H330">
        <f t="shared" si="69"/>
        <v>0</v>
      </c>
      <c r="I330" t="str">
        <f>IF($G330=0,"",IF(资金日记账!$B323=0,"",资金日记账!$B323))</f>
        <v/>
      </c>
      <c r="J330" t="str">
        <f>IF($G330=0,"",IF(资金日记账!$D323=0,"",资金日记账!$D323))</f>
        <v/>
      </c>
      <c r="K330" t="str">
        <f t="shared" si="75"/>
        <v/>
      </c>
      <c r="L330" t="str">
        <f t="shared" si="76"/>
        <v/>
      </c>
      <c r="M330" t="str">
        <f t="shared" si="70"/>
        <v/>
      </c>
      <c r="N330" t="str">
        <f>IF($G330=0,"",IF(IF(N(资金日记账!$I323)=0,"",-ROUND(N(资金日记账!$I323),2))=0,"",IF(N(资金日记账!$I323)=0,"",-ROUND(N(资金日记账!$I323),2))))</f>
        <v/>
      </c>
      <c r="O330" t="str">
        <f>IF($G330=0,"",IF(IF(N(资金日记账!$H323)=0,"",ROUND(N(资金日记账!$H323),2))=0,"",IF(N(资金日记账!$H323)=0,"",ROUND(N(资金日记账!$H323),2))))</f>
        <v/>
      </c>
      <c r="P330" t="str">
        <f>IF($G330=0,"",IF(资金日记账!$L323=0,"",资金日记账!$L323))</f>
        <v/>
      </c>
      <c r="T330" t="str">
        <f>IF(资金日记账!$G330="","",资金日记账!$G330)</f>
        <v/>
      </c>
      <c r="U330">
        <f t="shared" si="71"/>
        <v>0</v>
      </c>
      <c r="V330">
        <f t="shared" si="72"/>
        <v>0</v>
      </c>
      <c r="AF330" t="str">
        <f>IF(OR(资金日记账!$E330="",N(资金日记账!$H330)=0),"",资金日记账!$E330)</f>
        <v/>
      </c>
      <c r="AG330">
        <f t="shared" si="73"/>
        <v>0</v>
      </c>
      <c r="AH330">
        <f t="shared" si="74"/>
        <v>0</v>
      </c>
    </row>
    <row r="331" spans="1:34">
      <c r="A331" t="str">
        <f>IF(资金日记账!$F29="","",资金日记账!$F29)</f>
        <v/>
      </c>
      <c r="B331">
        <f t="shared" si="67"/>
        <v>0</v>
      </c>
      <c r="C331">
        <f t="shared" si="68"/>
        <v>0</v>
      </c>
      <c r="G331">
        <f>IF(OR($G$1="",资金日记账!$E324="",资金日记账!$E324&lt;&gt;$G$1),0,IF(NOT(OR(N(资金日记账!$H324)&lt;&gt;0,N(资金日记账!$I324)&lt;&gt;0)),0,IF(资金日记账!$B324="",1,IF(OR(N(资金日记账!$B324)&lt;$H$1,N(资金日记账!$B324)&gt;$I$1),0,1))))</f>
        <v>0</v>
      </c>
      <c r="H331">
        <f t="shared" si="69"/>
        <v>0</v>
      </c>
      <c r="I331" t="str">
        <f>IF($G331=0,"",IF(资金日记账!$B324=0,"",资金日记账!$B324))</f>
        <v/>
      </c>
      <c r="J331" t="str">
        <f>IF($G331=0,"",IF(资金日记账!$D324=0,"",资金日记账!$D324))</f>
        <v/>
      </c>
      <c r="K331" t="str">
        <f t="shared" si="75"/>
        <v/>
      </c>
      <c r="L331" t="str">
        <f t="shared" si="76"/>
        <v/>
      </c>
      <c r="M331" t="str">
        <f t="shared" si="70"/>
        <v/>
      </c>
      <c r="N331" t="str">
        <f>IF($G331=0,"",IF(IF(N(资金日记账!$I324)=0,"",-ROUND(N(资金日记账!$I324),2))=0,"",IF(N(资金日记账!$I324)=0,"",-ROUND(N(资金日记账!$I324),2))))</f>
        <v/>
      </c>
      <c r="O331" t="str">
        <f>IF($G331=0,"",IF(IF(N(资金日记账!$H324)=0,"",ROUND(N(资金日记账!$H324),2))=0,"",IF(N(资金日记账!$H324)=0,"",ROUND(N(资金日记账!$H324),2))))</f>
        <v/>
      </c>
      <c r="P331" t="str">
        <f>IF($G331=0,"",IF(资金日记账!$L324=0,"",资金日记账!$L324))</f>
        <v/>
      </c>
      <c r="T331" t="str">
        <f>IF(资金日记账!$G331="","",资金日记账!$G331)</f>
        <v/>
      </c>
      <c r="U331">
        <f t="shared" si="71"/>
        <v>0</v>
      </c>
      <c r="V331">
        <f t="shared" si="72"/>
        <v>0</v>
      </c>
      <c r="AF331" t="str">
        <f>IF(OR(资金日记账!$E331="",N(资金日记账!$H331)=0),"",资金日记账!$E331)</f>
        <v/>
      </c>
      <c r="AG331">
        <f t="shared" si="73"/>
        <v>0</v>
      </c>
      <c r="AH331">
        <f t="shared" si="74"/>
        <v>0</v>
      </c>
    </row>
    <row r="332" spans="1:34">
      <c r="A332" t="str">
        <f>IF(资金日记账!$F30="","",资金日记账!$F30)</f>
        <v/>
      </c>
      <c r="B332">
        <f t="shared" si="67"/>
        <v>0</v>
      </c>
      <c r="C332">
        <f t="shared" si="68"/>
        <v>0</v>
      </c>
      <c r="G332">
        <f>IF(OR($G$1="",资金日记账!$E325="",资金日记账!$E325&lt;&gt;$G$1),0,IF(NOT(OR(N(资金日记账!$H325)&lt;&gt;0,N(资金日记账!$I325)&lt;&gt;0)),0,IF(资金日记账!$B325="",1,IF(OR(N(资金日记账!$B325)&lt;$H$1,N(资金日记账!$B325)&gt;$I$1),0,1))))</f>
        <v>0</v>
      </c>
      <c r="H332">
        <f t="shared" si="69"/>
        <v>0</v>
      </c>
      <c r="I332" t="str">
        <f>IF($G332=0,"",IF(资金日记账!$B325=0,"",资金日记账!$B325))</f>
        <v/>
      </c>
      <c r="J332" t="str">
        <f>IF($G332=0,"",IF(资金日记账!$D325=0,"",资金日记账!$D325))</f>
        <v/>
      </c>
      <c r="K332" t="str">
        <f t="shared" si="75"/>
        <v/>
      </c>
      <c r="L332" t="str">
        <f t="shared" si="76"/>
        <v/>
      </c>
      <c r="M332" t="str">
        <f t="shared" si="70"/>
        <v/>
      </c>
      <c r="N332" t="str">
        <f>IF($G332=0,"",IF(IF(N(资金日记账!$I325)=0,"",-ROUND(N(资金日记账!$I325),2))=0,"",IF(N(资金日记账!$I325)=0,"",-ROUND(N(资金日记账!$I325),2))))</f>
        <v/>
      </c>
      <c r="O332" t="str">
        <f>IF($G332=0,"",IF(IF(N(资金日记账!$H325)=0,"",ROUND(N(资金日记账!$H325),2))=0,"",IF(N(资金日记账!$H325)=0,"",ROUND(N(资金日记账!$H325),2))))</f>
        <v/>
      </c>
      <c r="P332" t="str">
        <f>IF($G332=0,"",IF(资金日记账!$L325=0,"",资金日记账!$L325))</f>
        <v/>
      </c>
      <c r="T332" t="str">
        <f>IF(资金日记账!$G332="","",资金日记账!$G332)</f>
        <v/>
      </c>
      <c r="U332">
        <f t="shared" si="71"/>
        <v>0</v>
      </c>
      <c r="V332">
        <f t="shared" si="72"/>
        <v>0</v>
      </c>
      <c r="AF332" t="str">
        <f>IF(OR(资金日记账!$E332="",N(资金日记账!$H332)=0),"",资金日记账!$E332)</f>
        <v/>
      </c>
      <c r="AG332">
        <f t="shared" si="73"/>
        <v>0</v>
      </c>
      <c r="AH332">
        <f t="shared" si="74"/>
        <v>0</v>
      </c>
    </row>
    <row r="333" spans="1:34">
      <c r="A333" t="str">
        <f>IF(资金日记账!$F31="","",资金日记账!$F31)</f>
        <v/>
      </c>
      <c r="B333">
        <f t="shared" si="67"/>
        <v>0</v>
      </c>
      <c r="C333">
        <f t="shared" si="68"/>
        <v>0</v>
      </c>
      <c r="G333">
        <f>IF(OR($G$1="",资金日记账!$E326="",资金日记账!$E326&lt;&gt;$G$1),0,IF(NOT(OR(N(资金日记账!$H326)&lt;&gt;0,N(资金日记账!$I326)&lt;&gt;0)),0,IF(资金日记账!$B326="",1,IF(OR(N(资金日记账!$B326)&lt;$H$1,N(资金日记账!$B326)&gt;$I$1),0,1))))</f>
        <v>0</v>
      </c>
      <c r="H333">
        <f t="shared" si="69"/>
        <v>0</v>
      </c>
      <c r="I333" t="str">
        <f>IF($G333=0,"",IF(资金日记账!$B326=0,"",资金日记账!$B326))</f>
        <v/>
      </c>
      <c r="J333" t="str">
        <f>IF($G333=0,"",IF(资金日记账!$D326=0,"",资金日记账!$D326))</f>
        <v/>
      </c>
      <c r="K333" t="str">
        <f t="shared" si="75"/>
        <v/>
      </c>
      <c r="L333" t="str">
        <f t="shared" si="76"/>
        <v/>
      </c>
      <c r="M333" t="str">
        <f t="shared" si="70"/>
        <v/>
      </c>
      <c r="N333" t="str">
        <f>IF($G333=0,"",IF(IF(N(资金日记账!$I326)=0,"",-ROUND(N(资金日记账!$I326),2))=0,"",IF(N(资金日记账!$I326)=0,"",-ROUND(N(资金日记账!$I326),2))))</f>
        <v/>
      </c>
      <c r="O333" t="str">
        <f>IF($G333=0,"",IF(IF(N(资金日记账!$H326)=0,"",ROUND(N(资金日记账!$H326),2))=0,"",IF(N(资金日记账!$H326)=0,"",ROUND(N(资金日记账!$H326),2))))</f>
        <v/>
      </c>
      <c r="P333" t="str">
        <f>IF($G333=0,"",IF(资金日记账!$L326=0,"",资金日记账!$L326))</f>
        <v/>
      </c>
      <c r="T333" t="str">
        <f>IF(资金日记账!$G333="","",资金日记账!$G333)</f>
        <v/>
      </c>
      <c r="U333">
        <f t="shared" si="71"/>
        <v>0</v>
      </c>
      <c r="V333">
        <f t="shared" si="72"/>
        <v>0</v>
      </c>
      <c r="AF333" t="str">
        <f>IF(OR(资金日记账!$E333="",N(资金日记账!$H333)=0),"",资金日记账!$E333)</f>
        <v/>
      </c>
      <c r="AG333">
        <f t="shared" si="73"/>
        <v>0</v>
      </c>
      <c r="AH333">
        <f t="shared" si="74"/>
        <v>0</v>
      </c>
    </row>
    <row r="334" spans="1:34">
      <c r="A334" t="str">
        <f>IF(资金日记账!$F32="","",资金日记账!$F32)</f>
        <v/>
      </c>
      <c r="B334">
        <f t="shared" si="67"/>
        <v>0</v>
      </c>
      <c r="C334">
        <f t="shared" si="68"/>
        <v>0</v>
      </c>
      <c r="G334">
        <f>IF(OR($G$1="",资金日记账!$E327="",资金日记账!$E327&lt;&gt;$G$1),0,IF(NOT(OR(N(资金日记账!$H327)&lt;&gt;0,N(资金日记账!$I327)&lt;&gt;0)),0,IF(资金日记账!$B327="",1,IF(OR(N(资金日记账!$B327)&lt;$H$1,N(资金日记账!$B327)&gt;$I$1),0,1))))</f>
        <v>0</v>
      </c>
      <c r="H334">
        <f t="shared" si="69"/>
        <v>0</v>
      </c>
      <c r="I334" t="str">
        <f>IF($G334=0,"",IF(资金日记账!$B327=0,"",资金日记账!$B327))</f>
        <v/>
      </c>
      <c r="J334" t="str">
        <f>IF($G334=0,"",IF(资金日记账!$D327=0,"",资金日记账!$D327))</f>
        <v/>
      </c>
      <c r="K334" t="str">
        <f t="shared" si="75"/>
        <v/>
      </c>
      <c r="L334" t="str">
        <f t="shared" si="76"/>
        <v/>
      </c>
      <c r="M334" t="str">
        <f t="shared" si="70"/>
        <v/>
      </c>
      <c r="N334" t="str">
        <f>IF($G334=0,"",IF(IF(N(资金日记账!$I327)=0,"",-ROUND(N(资金日记账!$I327),2))=0,"",IF(N(资金日记账!$I327)=0,"",-ROUND(N(资金日记账!$I327),2))))</f>
        <v/>
      </c>
      <c r="O334" t="str">
        <f>IF($G334=0,"",IF(IF(N(资金日记账!$H327)=0,"",ROUND(N(资金日记账!$H327),2))=0,"",IF(N(资金日记账!$H327)=0,"",ROUND(N(资金日记账!$H327),2))))</f>
        <v/>
      </c>
      <c r="P334" t="str">
        <f>IF($G334=0,"",IF(资金日记账!$L327=0,"",资金日记账!$L327))</f>
        <v/>
      </c>
      <c r="T334" t="str">
        <f>IF(资金日记账!$G334="","",资金日记账!$G334)</f>
        <v/>
      </c>
      <c r="U334">
        <f t="shared" si="71"/>
        <v>0</v>
      </c>
      <c r="V334">
        <f t="shared" si="72"/>
        <v>0</v>
      </c>
      <c r="AF334" t="str">
        <f>IF(OR(资金日记账!$E334="",N(资金日记账!$H334)=0),"",资金日记账!$E334)</f>
        <v/>
      </c>
      <c r="AG334">
        <f t="shared" si="73"/>
        <v>0</v>
      </c>
      <c r="AH334">
        <f t="shared" si="74"/>
        <v>0</v>
      </c>
    </row>
    <row r="335" spans="1:34">
      <c r="A335" t="str">
        <f>IF(资金日记账!$F33="","",资金日记账!$F33)</f>
        <v/>
      </c>
      <c r="B335">
        <f t="shared" si="67"/>
        <v>0</v>
      </c>
      <c r="C335">
        <f t="shared" si="68"/>
        <v>0</v>
      </c>
      <c r="G335">
        <f>IF(OR($G$1="",资金日记账!$E328="",资金日记账!$E328&lt;&gt;$G$1),0,IF(NOT(OR(N(资金日记账!$H328)&lt;&gt;0,N(资金日记账!$I328)&lt;&gt;0)),0,IF(资金日记账!$B328="",1,IF(OR(N(资金日记账!$B328)&lt;$H$1,N(资金日记账!$B328)&gt;$I$1),0,1))))</f>
        <v>0</v>
      </c>
      <c r="H335">
        <f t="shared" si="69"/>
        <v>0</v>
      </c>
      <c r="I335" t="str">
        <f>IF($G335=0,"",IF(资金日记账!$B328=0,"",资金日记账!$B328))</f>
        <v/>
      </c>
      <c r="J335" t="str">
        <f>IF($G335=0,"",IF(资金日记账!$D328=0,"",资金日记账!$D328))</f>
        <v/>
      </c>
      <c r="K335" t="str">
        <f t="shared" si="75"/>
        <v/>
      </c>
      <c r="L335" t="str">
        <f t="shared" si="76"/>
        <v/>
      </c>
      <c r="M335" t="str">
        <f t="shared" si="70"/>
        <v/>
      </c>
      <c r="N335" t="str">
        <f>IF($G335=0,"",IF(IF(N(资金日记账!$I328)=0,"",-ROUND(N(资金日记账!$I328),2))=0,"",IF(N(资金日记账!$I328)=0,"",-ROUND(N(资金日记账!$I328),2))))</f>
        <v/>
      </c>
      <c r="O335" t="str">
        <f>IF($G335=0,"",IF(IF(N(资金日记账!$H328)=0,"",ROUND(N(资金日记账!$H328),2))=0,"",IF(N(资金日记账!$H328)=0,"",ROUND(N(资金日记账!$H328),2))))</f>
        <v/>
      </c>
      <c r="P335" t="str">
        <f>IF($G335=0,"",IF(资金日记账!$L328=0,"",资金日记账!$L328))</f>
        <v/>
      </c>
      <c r="T335" t="str">
        <f>IF(资金日记账!$G335="","",资金日记账!$G335)</f>
        <v/>
      </c>
      <c r="U335">
        <f t="shared" si="71"/>
        <v>0</v>
      </c>
      <c r="V335">
        <f t="shared" si="72"/>
        <v>0</v>
      </c>
      <c r="AF335" t="str">
        <f>IF(OR(资金日记账!$E335="",N(资金日记账!$H335)=0),"",资金日记账!$E335)</f>
        <v/>
      </c>
      <c r="AG335">
        <f t="shared" si="73"/>
        <v>0</v>
      </c>
      <c r="AH335">
        <f t="shared" si="74"/>
        <v>0</v>
      </c>
    </row>
    <row r="336" spans="1:34">
      <c r="A336" t="str">
        <f>IF(资金日记账!$F34="","",资金日记账!$F34)</f>
        <v/>
      </c>
      <c r="B336">
        <f t="shared" si="67"/>
        <v>0</v>
      </c>
      <c r="C336">
        <f t="shared" si="68"/>
        <v>0</v>
      </c>
      <c r="G336">
        <f>IF(OR($G$1="",资金日记账!$E329="",资金日记账!$E329&lt;&gt;$G$1),0,IF(NOT(OR(N(资金日记账!$H329)&lt;&gt;0,N(资金日记账!$I329)&lt;&gt;0)),0,IF(资金日记账!$B329="",1,IF(OR(N(资金日记账!$B329)&lt;$H$1,N(资金日记账!$B329)&gt;$I$1),0,1))))</f>
        <v>0</v>
      </c>
      <c r="H336">
        <f t="shared" si="69"/>
        <v>0</v>
      </c>
      <c r="I336" t="str">
        <f>IF($G336=0,"",IF(资金日记账!$B329=0,"",资金日记账!$B329))</f>
        <v/>
      </c>
      <c r="J336" t="str">
        <f>IF($G336=0,"",IF(资金日记账!$D329=0,"",资金日记账!$D329))</f>
        <v/>
      </c>
      <c r="K336" t="str">
        <f t="shared" si="75"/>
        <v/>
      </c>
      <c r="L336" t="str">
        <f t="shared" si="76"/>
        <v/>
      </c>
      <c r="M336" t="str">
        <f t="shared" si="70"/>
        <v/>
      </c>
      <c r="N336" t="str">
        <f>IF($G336=0,"",IF(IF(N(资金日记账!$I329)=0,"",-ROUND(N(资金日记账!$I329),2))=0,"",IF(N(资金日记账!$I329)=0,"",-ROUND(N(资金日记账!$I329),2))))</f>
        <v/>
      </c>
      <c r="O336" t="str">
        <f>IF($G336=0,"",IF(IF(N(资金日记账!$H329)=0,"",ROUND(N(资金日记账!$H329),2))=0,"",IF(N(资金日记账!$H329)=0,"",ROUND(N(资金日记账!$H329),2))))</f>
        <v/>
      </c>
      <c r="P336" t="str">
        <f>IF($G336=0,"",IF(资金日记账!$L329=0,"",资金日记账!$L329))</f>
        <v/>
      </c>
      <c r="T336" t="str">
        <f>IF(资金日记账!$G336="","",资金日记账!$G336)</f>
        <v/>
      </c>
      <c r="U336">
        <f t="shared" si="71"/>
        <v>0</v>
      </c>
      <c r="V336">
        <f t="shared" si="72"/>
        <v>0</v>
      </c>
      <c r="AF336" t="str">
        <f>IF(OR(资金日记账!$E336="",N(资金日记账!$H336)=0),"",资金日记账!$E336)</f>
        <v/>
      </c>
      <c r="AG336">
        <f t="shared" si="73"/>
        <v>0</v>
      </c>
      <c r="AH336">
        <f t="shared" si="74"/>
        <v>0</v>
      </c>
    </row>
    <row r="337" spans="1:34">
      <c r="A337" t="str">
        <f>IF(资金日记账!$F35="","",资金日记账!$F35)</f>
        <v/>
      </c>
      <c r="B337">
        <f t="shared" si="67"/>
        <v>0</v>
      </c>
      <c r="C337">
        <f t="shared" si="68"/>
        <v>0</v>
      </c>
      <c r="G337">
        <f>IF(OR($G$1="",资金日记账!$E330="",资金日记账!$E330&lt;&gt;$G$1),0,IF(NOT(OR(N(资金日记账!$H330)&lt;&gt;0,N(资金日记账!$I330)&lt;&gt;0)),0,IF(资金日记账!$B330="",1,IF(OR(N(资金日记账!$B330)&lt;$H$1,N(资金日记账!$B330)&gt;$I$1),0,1))))</f>
        <v>0</v>
      </c>
      <c r="H337">
        <f t="shared" si="69"/>
        <v>0</v>
      </c>
      <c r="I337" t="str">
        <f>IF($G337=0,"",IF(资金日记账!$B330=0,"",资金日记账!$B330))</f>
        <v/>
      </c>
      <c r="J337" t="str">
        <f>IF($G337=0,"",IF(资金日记账!$D330=0,"",资金日记账!$D330))</f>
        <v/>
      </c>
      <c r="K337" t="str">
        <f t="shared" si="75"/>
        <v/>
      </c>
      <c r="L337" t="str">
        <f t="shared" si="76"/>
        <v/>
      </c>
      <c r="M337" t="str">
        <f t="shared" si="70"/>
        <v/>
      </c>
      <c r="N337" t="str">
        <f>IF($G337=0,"",IF(IF(N(资金日记账!$I330)=0,"",-ROUND(N(资金日记账!$I330),2))=0,"",IF(N(资金日记账!$I330)=0,"",-ROUND(N(资金日记账!$I330),2))))</f>
        <v/>
      </c>
      <c r="O337" t="str">
        <f>IF($G337=0,"",IF(IF(N(资金日记账!$H330)=0,"",ROUND(N(资金日记账!$H330),2))=0,"",IF(N(资金日记账!$H330)=0,"",ROUND(N(资金日记账!$H330),2))))</f>
        <v/>
      </c>
      <c r="P337" t="str">
        <f>IF($G337=0,"",IF(资金日记账!$L330=0,"",资金日记账!$L330))</f>
        <v/>
      </c>
      <c r="T337" t="str">
        <f>IF(资金日记账!$G337="","",资金日记账!$G337)</f>
        <v/>
      </c>
      <c r="U337">
        <f t="shared" si="71"/>
        <v>0</v>
      </c>
      <c r="V337">
        <f t="shared" si="72"/>
        <v>0</v>
      </c>
      <c r="AF337" t="str">
        <f>IF(OR(资金日记账!$E337="",N(资金日记账!$H337)=0),"",资金日记账!$E337)</f>
        <v/>
      </c>
      <c r="AG337">
        <f t="shared" si="73"/>
        <v>0</v>
      </c>
      <c r="AH337">
        <f t="shared" si="74"/>
        <v>0</v>
      </c>
    </row>
    <row r="338" spans="1:34">
      <c r="A338" t="str">
        <f>IF(资金日记账!$F36="","",资金日记账!$F36)</f>
        <v/>
      </c>
      <c r="B338">
        <f t="shared" si="67"/>
        <v>0</v>
      </c>
      <c r="C338">
        <f t="shared" si="68"/>
        <v>0</v>
      </c>
      <c r="G338">
        <f>IF(OR($G$1="",资金日记账!$E331="",资金日记账!$E331&lt;&gt;$G$1),0,IF(NOT(OR(N(资金日记账!$H331)&lt;&gt;0,N(资金日记账!$I331)&lt;&gt;0)),0,IF(资金日记账!$B331="",1,IF(OR(N(资金日记账!$B331)&lt;$H$1,N(资金日记账!$B331)&gt;$I$1),0,1))))</f>
        <v>0</v>
      </c>
      <c r="H338">
        <f t="shared" si="69"/>
        <v>0</v>
      </c>
      <c r="I338" t="str">
        <f>IF($G338=0,"",IF(资金日记账!$B331=0,"",资金日记账!$B331))</f>
        <v/>
      </c>
      <c r="J338" t="str">
        <f>IF($G338=0,"",IF(资金日记账!$D331=0,"",资金日记账!$D331))</f>
        <v/>
      </c>
      <c r="K338" t="str">
        <f t="shared" si="75"/>
        <v/>
      </c>
      <c r="L338" t="str">
        <f t="shared" si="76"/>
        <v/>
      </c>
      <c r="M338" t="str">
        <f t="shared" si="70"/>
        <v/>
      </c>
      <c r="N338" t="str">
        <f>IF($G338=0,"",IF(IF(N(资金日记账!$I331)=0,"",-ROUND(N(资金日记账!$I331),2))=0,"",IF(N(资金日记账!$I331)=0,"",-ROUND(N(资金日记账!$I331),2))))</f>
        <v/>
      </c>
      <c r="O338" t="str">
        <f>IF($G338=0,"",IF(IF(N(资金日记账!$H331)=0,"",ROUND(N(资金日记账!$H331),2))=0,"",IF(N(资金日记账!$H331)=0,"",ROUND(N(资金日记账!$H331),2))))</f>
        <v/>
      </c>
      <c r="P338" t="str">
        <f>IF($G338=0,"",IF(资金日记账!$L331=0,"",资金日记账!$L331))</f>
        <v/>
      </c>
      <c r="T338" t="str">
        <f>IF(资金日记账!$G338="","",资金日记账!$G338)</f>
        <v/>
      </c>
      <c r="U338">
        <f t="shared" si="71"/>
        <v>0</v>
      </c>
      <c r="V338">
        <f t="shared" si="72"/>
        <v>0</v>
      </c>
      <c r="AF338" t="str">
        <f>IF(OR(资金日记账!$E338="",N(资金日记账!$H338)=0),"",资金日记账!$E338)</f>
        <v/>
      </c>
      <c r="AG338">
        <f t="shared" si="73"/>
        <v>0</v>
      </c>
      <c r="AH338">
        <f t="shared" si="74"/>
        <v>0</v>
      </c>
    </row>
    <row r="339" spans="1:34">
      <c r="A339" t="str">
        <f>IF(资金日记账!$F37="","",资金日记账!$F37)</f>
        <v/>
      </c>
      <c r="B339">
        <f t="shared" si="67"/>
        <v>0</v>
      </c>
      <c r="C339">
        <f t="shared" si="68"/>
        <v>0</v>
      </c>
      <c r="G339">
        <f>IF(OR($G$1="",资金日记账!$E332="",资金日记账!$E332&lt;&gt;$G$1),0,IF(NOT(OR(N(资金日记账!$H332)&lt;&gt;0,N(资金日记账!$I332)&lt;&gt;0)),0,IF(资金日记账!$B332="",1,IF(OR(N(资金日记账!$B332)&lt;$H$1,N(资金日记账!$B332)&gt;$I$1),0,1))))</f>
        <v>0</v>
      </c>
      <c r="H339">
        <f t="shared" si="69"/>
        <v>0</v>
      </c>
      <c r="I339" t="str">
        <f>IF($G339=0,"",IF(资金日记账!$B332=0,"",资金日记账!$B332))</f>
        <v/>
      </c>
      <c r="J339" t="str">
        <f>IF($G339=0,"",IF(资金日记账!$D332=0,"",资金日记账!$D332))</f>
        <v/>
      </c>
      <c r="K339" t="str">
        <f t="shared" si="75"/>
        <v/>
      </c>
      <c r="L339" t="str">
        <f t="shared" si="76"/>
        <v/>
      </c>
      <c r="M339" t="str">
        <f t="shared" si="70"/>
        <v/>
      </c>
      <c r="N339" t="str">
        <f>IF($G339=0,"",IF(IF(N(资金日记账!$I332)=0,"",-ROUND(N(资金日记账!$I332),2))=0,"",IF(N(资金日记账!$I332)=0,"",-ROUND(N(资金日记账!$I332),2))))</f>
        <v/>
      </c>
      <c r="O339" t="str">
        <f>IF($G339=0,"",IF(IF(N(资金日记账!$H332)=0,"",ROUND(N(资金日记账!$H332),2))=0,"",IF(N(资金日记账!$H332)=0,"",ROUND(N(资金日记账!$H332),2))))</f>
        <v/>
      </c>
      <c r="P339" t="str">
        <f>IF($G339=0,"",IF(资金日记账!$L332=0,"",资金日记账!$L332))</f>
        <v/>
      </c>
      <c r="T339" t="str">
        <f>IF(资金日记账!$G339="","",资金日记账!$G339)</f>
        <v/>
      </c>
      <c r="U339">
        <f t="shared" si="71"/>
        <v>0</v>
      </c>
      <c r="V339">
        <f t="shared" si="72"/>
        <v>0</v>
      </c>
      <c r="AF339" t="str">
        <f>IF(OR(资金日记账!$E339="",N(资金日记账!$H339)=0),"",资金日记账!$E339)</f>
        <v/>
      </c>
      <c r="AG339">
        <f t="shared" si="73"/>
        <v>0</v>
      </c>
      <c r="AH339">
        <f t="shared" si="74"/>
        <v>0</v>
      </c>
    </row>
    <row r="340" spans="1:34">
      <c r="A340" t="str">
        <f>IF(资金日记账!$F38="","",资金日记账!$F38)</f>
        <v/>
      </c>
      <c r="B340">
        <f t="shared" si="67"/>
        <v>0</v>
      </c>
      <c r="C340">
        <f t="shared" si="68"/>
        <v>0</v>
      </c>
      <c r="G340">
        <f>IF(OR($G$1="",资金日记账!$E333="",资金日记账!$E333&lt;&gt;$G$1),0,IF(NOT(OR(N(资金日记账!$H333)&lt;&gt;0,N(资金日记账!$I333)&lt;&gt;0)),0,IF(资金日记账!$B333="",1,IF(OR(N(资金日记账!$B333)&lt;$H$1,N(资金日记账!$B333)&gt;$I$1),0,1))))</f>
        <v>0</v>
      </c>
      <c r="H340">
        <f t="shared" si="69"/>
        <v>0</v>
      </c>
      <c r="I340" t="str">
        <f>IF($G340=0,"",IF(资金日记账!$B333=0,"",资金日记账!$B333))</f>
        <v/>
      </c>
      <c r="J340" t="str">
        <f>IF($G340=0,"",IF(资金日记账!$D333=0,"",资金日记账!$D333))</f>
        <v/>
      </c>
      <c r="K340" t="str">
        <f t="shared" si="75"/>
        <v/>
      </c>
      <c r="L340" t="str">
        <f t="shared" si="76"/>
        <v/>
      </c>
      <c r="M340" t="str">
        <f t="shared" si="70"/>
        <v/>
      </c>
      <c r="N340" t="str">
        <f>IF($G340=0,"",IF(IF(N(资金日记账!$I333)=0,"",-ROUND(N(资金日记账!$I333),2))=0,"",IF(N(资金日记账!$I333)=0,"",-ROUND(N(资金日记账!$I333),2))))</f>
        <v/>
      </c>
      <c r="O340" t="str">
        <f>IF($G340=0,"",IF(IF(N(资金日记账!$H333)=0,"",ROUND(N(资金日记账!$H333),2))=0,"",IF(N(资金日记账!$H333)=0,"",ROUND(N(资金日记账!$H333),2))))</f>
        <v/>
      </c>
      <c r="P340" t="str">
        <f>IF($G340=0,"",IF(资金日记账!$L333=0,"",资金日记账!$L333))</f>
        <v/>
      </c>
      <c r="T340" t="str">
        <f>IF(资金日记账!$G340="","",资金日记账!$G340)</f>
        <v/>
      </c>
      <c r="U340">
        <f t="shared" si="71"/>
        <v>0</v>
      </c>
      <c r="V340">
        <f t="shared" si="72"/>
        <v>0</v>
      </c>
      <c r="AF340" t="str">
        <f>IF(OR(资金日记账!$E340="",N(资金日记账!$H340)=0),"",资金日记账!$E340)</f>
        <v/>
      </c>
      <c r="AG340">
        <f t="shared" si="73"/>
        <v>0</v>
      </c>
      <c r="AH340">
        <f t="shared" si="74"/>
        <v>0</v>
      </c>
    </row>
    <row r="341" spans="1:34">
      <c r="A341" t="str">
        <f>IF(资金日记账!$F39="","",资金日记账!$F39)</f>
        <v/>
      </c>
      <c r="B341">
        <f t="shared" si="67"/>
        <v>0</v>
      </c>
      <c r="C341">
        <f t="shared" si="68"/>
        <v>0</v>
      </c>
      <c r="G341">
        <f>IF(OR($G$1="",资金日记账!$E334="",资金日记账!$E334&lt;&gt;$G$1),0,IF(NOT(OR(N(资金日记账!$H334)&lt;&gt;0,N(资金日记账!$I334)&lt;&gt;0)),0,IF(资金日记账!$B334="",1,IF(OR(N(资金日记账!$B334)&lt;$H$1,N(资金日记账!$B334)&gt;$I$1),0,1))))</f>
        <v>0</v>
      </c>
      <c r="H341">
        <f t="shared" si="69"/>
        <v>0</v>
      </c>
      <c r="I341" t="str">
        <f>IF($G341=0,"",IF(资金日记账!$B334=0,"",资金日记账!$B334))</f>
        <v/>
      </c>
      <c r="J341" t="str">
        <f>IF($G341=0,"",IF(资金日记账!$D334=0,"",资金日记账!$D334))</f>
        <v/>
      </c>
      <c r="K341" t="str">
        <f t="shared" si="75"/>
        <v/>
      </c>
      <c r="L341" t="str">
        <f t="shared" si="76"/>
        <v/>
      </c>
      <c r="M341" t="str">
        <f t="shared" si="70"/>
        <v/>
      </c>
      <c r="N341" t="str">
        <f>IF($G341=0,"",IF(IF(N(资金日记账!$I334)=0,"",-ROUND(N(资金日记账!$I334),2))=0,"",IF(N(资金日记账!$I334)=0,"",-ROUND(N(资金日记账!$I334),2))))</f>
        <v/>
      </c>
      <c r="O341" t="str">
        <f>IF($G341=0,"",IF(IF(N(资金日记账!$H334)=0,"",ROUND(N(资金日记账!$H334),2))=0,"",IF(N(资金日记账!$H334)=0,"",ROUND(N(资金日记账!$H334),2))))</f>
        <v/>
      </c>
      <c r="P341" t="str">
        <f>IF($G341=0,"",IF(资金日记账!$L334=0,"",资金日记账!$L334))</f>
        <v/>
      </c>
      <c r="T341" t="str">
        <f>IF(资金日记账!$G341="","",资金日记账!$G341)</f>
        <v/>
      </c>
      <c r="U341">
        <f t="shared" si="71"/>
        <v>0</v>
      </c>
      <c r="V341">
        <f t="shared" si="72"/>
        <v>0</v>
      </c>
      <c r="AF341" t="str">
        <f>IF(OR(资金日记账!$E341="",N(资金日记账!$H341)=0),"",资金日记账!$E341)</f>
        <v/>
      </c>
      <c r="AG341">
        <f t="shared" si="73"/>
        <v>0</v>
      </c>
      <c r="AH341">
        <f t="shared" si="74"/>
        <v>0</v>
      </c>
    </row>
    <row r="342" spans="1:34">
      <c r="A342" t="str">
        <f>IF(资金日记账!$F40="","",资金日记账!$F40)</f>
        <v/>
      </c>
      <c r="B342">
        <f t="shared" si="67"/>
        <v>0</v>
      </c>
      <c r="C342">
        <f t="shared" si="68"/>
        <v>0</v>
      </c>
      <c r="G342">
        <f>IF(OR($G$1="",资金日记账!$E335="",资金日记账!$E335&lt;&gt;$G$1),0,IF(NOT(OR(N(资金日记账!$H335)&lt;&gt;0,N(资金日记账!$I335)&lt;&gt;0)),0,IF(资金日记账!$B335="",1,IF(OR(N(资金日记账!$B335)&lt;$H$1,N(资金日记账!$B335)&gt;$I$1),0,1))))</f>
        <v>0</v>
      </c>
      <c r="H342">
        <f t="shared" si="69"/>
        <v>0</v>
      </c>
      <c r="I342" t="str">
        <f>IF($G342=0,"",IF(资金日记账!$B335=0,"",资金日记账!$B335))</f>
        <v/>
      </c>
      <c r="J342" t="str">
        <f>IF($G342=0,"",IF(资金日记账!$D335=0,"",资金日记账!$D335))</f>
        <v/>
      </c>
      <c r="K342" t="str">
        <f t="shared" si="75"/>
        <v/>
      </c>
      <c r="L342" t="str">
        <f t="shared" si="76"/>
        <v/>
      </c>
      <c r="M342" t="str">
        <f t="shared" si="70"/>
        <v/>
      </c>
      <c r="N342" t="str">
        <f>IF($G342=0,"",IF(IF(N(资金日记账!$I335)=0,"",-ROUND(N(资金日记账!$I335),2))=0,"",IF(N(资金日记账!$I335)=0,"",-ROUND(N(资金日记账!$I335),2))))</f>
        <v/>
      </c>
      <c r="O342" t="str">
        <f>IF($G342=0,"",IF(IF(N(资金日记账!$H335)=0,"",ROUND(N(资金日记账!$H335),2))=0,"",IF(N(资金日记账!$H335)=0,"",ROUND(N(资金日记账!$H335),2))))</f>
        <v/>
      </c>
      <c r="P342" t="str">
        <f>IF($G342=0,"",IF(资金日记账!$L335=0,"",资金日记账!$L335))</f>
        <v/>
      </c>
      <c r="T342" t="str">
        <f>IF(资金日记账!$G342="","",资金日记账!$G342)</f>
        <v/>
      </c>
      <c r="U342">
        <f t="shared" si="71"/>
        <v>0</v>
      </c>
      <c r="V342">
        <f t="shared" si="72"/>
        <v>0</v>
      </c>
      <c r="AF342" t="str">
        <f>IF(OR(资金日记账!$E342="",N(资金日记账!$H342)=0),"",资金日记账!$E342)</f>
        <v/>
      </c>
      <c r="AG342">
        <f t="shared" si="73"/>
        <v>0</v>
      </c>
      <c r="AH342">
        <f t="shared" si="74"/>
        <v>0</v>
      </c>
    </row>
    <row r="343" spans="1:34">
      <c r="A343" t="str">
        <f>IF(资金日记账!$F41="","",资金日记账!$F41)</f>
        <v/>
      </c>
      <c r="B343">
        <f t="shared" si="67"/>
        <v>0</v>
      </c>
      <c r="C343">
        <f t="shared" si="68"/>
        <v>0</v>
      </c>
      <c r="G343">
        <f>IF(OR($G$1="",资金日记账!$E336="",资金日记账!$E336&lt;&gt;$G$1),0,IF(NOT(OR(N(资金日记账!$H336)&lt;&gt;0,N(资金日记账!$I336)&lt;&gt;0)),0,IF(资金日记账!$B336="",1,IF(OR(N(资金日记账!$B336)&lt;$H$1,N(资金日记账!$B336)&gt;$I$1),0,1))))</f>
        <v>0</v>
      </c>
      <c r="H343">
        <f t="shared" si="69"/>
        <v>0</v>
      </c>
      <c r="I343" t="str">
        <f>IF($G343=0,"",IF(资金日记账!$B336=0,"",资金日记账!$B336))</f>
        <v/>
      </c>
      <c r="J343" t="str">
        <f>IF($G343=0,"",IF(资金日记账!$D336=0,"",资金日记账!$D336))</f>
        <v/>
      </c>
      <c r="K343" t="str">
        <f t="shared" si="75"/>
        <v/>
      </c>
      <c r="L343" t="str">
        <f t="shared" si="76"/>
        <v/>
      </c>
      <c r="M343" t="str">
        <f t="shared" si="70"/>
        <v/>
      </c>
      <c r="N343" t="str">
        <f>IF($G343=0,"",IF(IF(N(资金日记账!$I336)=0,"",-ROUND(N(资金日记账!$I336),2))=0,"",IF(N(资金日记账!$I336)=0,"",-ROUND(N(资金日记账!$I336),2))))</f>
        <v/>
      </c>
      <c r="O343" t="str">
        <f>IF($G343=0,"",IF(IF(N(资金日记账!$H336)=0,"",ROUND(N(资金日记账!$H336),2))=0,"",IF(N(资金日记账!$H336)=0,"",ROUND(N(资金日记账!$H336),2))))</f>
        <v/>
      </c>
      <c r="P343" t="str">
        <f>IF($G343=0,"",IF(资金日记账!$L336=0,"",资金日记账!$L336))</f>
        <v/>
      </c>
      <c r="T343" t="str">
        <f>IF(资金日记账!$G343="","",资金日记账!$G343)</f>
        <v/>
      </c>
      <c r="U343">
        <f t="shared" si="71"/>
        <v>0</v>
      </c>
      <c r="V343">
        <f t="shared" si="72"/>
        <v>0</v>
      </c>
      <c r="AF343" t="str">
        <f>IF(OR(资金日记账!$E343="",N(资金日记账!$H343)=0),"",资金日记账!$E343)</f>
        <v/>
      </c>
      <c r="AG343">
        <f t="shared" si="73"/>
        <v>0</v>
      </c>
      <c r="AH343">
        <f t="shared" si="74"/>
        <v>0</v>
      </c>
    </row>
    <row r="344" spans="1:34">
      <c r="A344" t="str">
        <f>IF(资金日记账!$F42="","",资金日记账!$F42)</f>
        <v/>
      </c>
      <c r="B344">
        <f t="shared" si="67"/>
        <v>0</v>
      </c>
      <c r="C344">
        <f t="shared" si="68"/>
        <v>0</v>
      </c>
      <c r="G344">
        <f>IF(OR($G$1="",资金日记账!$E337="",资金日记账!$E337&lt;&gt;$G$1),0,IF(NOT(OR(N(资金日记账!$H337)&lt;&gt;0,N(资金日记账!$I337)&lt;&gt;0)),0,IF(资金日记账!$B337="",1,IF(OR(N(资金日记账!$B337)&lt;$H$1,N(资金日记账!$B337)&gt;$I$1),0,1))))</f>
        <v>0</v>
      </c>
      <c r="H344">
        <f t="shared" si="69"/>
        <v>0</v>
      </c>
      <c r="I344" t="str">
        <f>IF($G344=0,"",IF(资金日记账!$B337=0,"",资金日记账!$B337))</f>
        <v/>
      </c>
      <c r="J344" t="str">
        <f>IF($G344=0,"",IF(资金日记账!$D337=0,"",资金日记账!$D337))</f>
        <v/>
      </c>
      <c r="K344" t="str">
        <f t="shared" si="75"/>
        <v/>
      </c>
      <c r="L344" t="str">
        <f t="shared" si="76"/>
        <v/>
      </c>
      <c r="M344" t="str">
        <f t="shared" si="70"/>
        <v/>
      </c>
      <c r="N344" t="str">
        <f>IF($G344=0,"",IF(IF(N(资金日记账!$I337)=0,"",-ROUND(N(资金日记账!$I337),2))=0,"",IF(N(资金日记账!$I337)=0,"",-ROUND(N(资金日记账!$I337),2))))</f>
        <v/>
      </c>
      <c r="O344" t="str">
        <f>IF($G344=0,"",IF(IF(N(资金日记账!$H337)=0,"",ROUND(N(资金日记账!$H337),2))=0,"",IF(N(资金日记账!$H337)=0,"",ROUND(N(资金日记账!$H337),2))))</f>
        <v/>
      </c>
      <c r="P344" t="str">
        <f>IF($G344=0,"",IF(资金日记账!$L337=0,"",资金日记账!$L337))</f>
        <v/>
      </c>
      <c r="T344" t="str">
        <f>IF(资金日记账!$G344="","",资金日记账!$G344)</f>
        <v/>
      </c>
      <c r="U344">
        <f t="shared" si="71"/>
        <v>0</v>
      </c>
      <c r="V344">
        <f t="shared" si="72"/>
        <v>0</v>
      </c>
      <c r="AF344" t="str">
        <f>IF(OR(资金日记账!$E344="",N(资金日记账!$H344)=0),"",资金日记账!$E344)</f>
        <v/>
      </c>
      <c r="AG344">
        <f t="shared" si="73"/>
        <v>0</v>
      </c>
      <c r="AH344">
        <f t="shared" si="74"/>
        <v>0</v>
      </c>
    </row>
    <row r="345" spans="1:34">
      <c r="A345" t="str">
        <f>IF(资金日记账!$F43="","",资金日记账!$F43)</f>
        <v/>
      </c>
      <c r="B345">
        <f t="shared" si="67"/>
        <v>0</v>
      </c>
      <c r="C345">
        <f t="shared" si="68"/>
        <v>0</v>
      </c>
      <c r="G345">
        <f>IF(OR($G$1="",资金日记账!$E338="",资金日记账!$E338&lt;&gt;$G$1),0,IF(NOT(OR(N(资金日记账!$H338)&lt;&gt;0,N(资金日记账!$I338)&lt;&gt;0)),0,IF(资金日记账!$B338="",1,IF(OR(N(资金日记账!$B338)&lt;$H$1,N(资金日记账!$B338)&gt;$I$1),0,1))))</f>
        <v>0</v>
      </c>
      <c r="H345">
        <f t="shared" si="69"/>
        <v>0</v>
      </c>
      <c r="I345" t="str">
        <f>IF($G345=0,"",IF(资金日记账!$B338=0,"",资金日记账!$B338))</f>
        <v/>
      </c>
      <c r="J345" t="str">
        <f>IF($G345=0,"",IF(资金日记账!$D338=0,"",资金日记账!$D338))</f>
        <v/>
      </c>
      <c r="K345" t="str">
        <f t="shared" si="75"/>
        <v/>
      </c>
      <c r="L345" t="str">
        <f t="shared" si="76"/>
        <v/>
      </c>
      <c r="M345" t="str">
        <f t="shared" si="70"/>
        <v/>
      </c>
      <c r="N345" t="str">
        <f>IF($G345=0,"",IF(IF(N(资金日记账!$I338)=0,"",-ROUND(N(资金日记账!$I338),2))=0,"",IF(N(资金日记账!$I338)=0,"",-ROUND(N(资金日记账!$I338),2))))</f>
        <v/>
      </c>
      <c r="O345" t="str">
        <f>IF($G345=0,"",IF(IF(N(资金日记账!$H338)=0,"",ROUND(N(资金日记账!$H338),2))=0,"",IF(N(资金日记账!$H338)=0,"",ROUND(N(资金日记账!$H338),2))))</f>
        <v/>
      </c>
      <c r="P345" t="str">
        <f>IF($G345=0,"",IF(资金日记账!$L338=0,"",资金日记账!$L338))</f>
        <v/>
      </c>
      <c r="T345" t="str">
        <f>IF(资金日记账!$G345="","",资金日记账!$G345)</f>
        <v/>
      </c>
      <c r="U345">
        <f t="shared" si="71"/>
        <v>0</v>
      </c>
      <c r="V345">
        <f t="shared" si="72"/>
        <v>0</v>
      </c>
      <c r="AF345" t="str">
        <f>IF(OR(资金日记账!$E345="",N(资金日记账!$H345)=0),"",资金日记账!$E345)</f>
        <v/>
      </c>
      <c r="AG345">
        <f t="shared" si="73"/>
        <v>0</v>
      </c>
      <c r="AH345">
        <f t="shared" si="74"/>
        <v>0</v>
      </c>
    </row>
    <row r="346" spans="1:34">
      <c r="A346" t="str">
        <f>IF(资金日记账!$F44="","",资金日记账!$F44)</f>
        <v/>
      </c>
      <c r="B346">
        <f t="shared" si="67"/>
        <v>0</v>
      </c>
      <c r="C346">
        <f t="shared" si="68"/>
        <v>0</v>
      </c>
      <c r="G346">
        <f>IF(OR($G$1="",资金日记账!$E339="",资金日记账!$E339&lt;&gt;$G$1),0,IF(NOT(OR(N(资金日记账!$H339)&lt;&gt;0,N(资金日记账!$I339)&lt;&gt;0)),0,IF(资金日记账!$B339="",1,IF(OR(N(资金日记账!$B339)&lt;$H$1,N(资金日记账!$B339)&gt;$I$1),0,1))))</f>
        <v>0</v>
      </c>
      <c r="H346">
        <f t="shared" si="69"/>
        <v>0</v>
      </c>
      <c r="I346" t="str">
        <f>IF($G346=0,"",IF(资金日记账!$B339=0,"",资金日记账!$B339))</f>
        <v/>
      </c>
      <c r="J346" t="str">
        <f>IF($G346=0,"",IF(资金日记账!$D339=0,"",资金日记账!$D339))</f>
        <v/>
      </c>
      <c r="K346" t="str">
        <f t="shared" si="75"/>
        <v/>
      </c>
      <c r="L346" t="str">
        <f t="shared" si="76"/>
        <v/>
      </c>
      <c r="M346" t="str">
        <f t="shared" si="70"/>
        <v/>
      </c>
      <c r="N346" t="str">
        <f>IF($G346=0,"",IF(IF(N(资金日记账!$I339)=0,"",-ROUND(N(资金日记账!$I339),2))=0,"",IF(N(资金日记账!$I339)=0,"",-ROUND(N(资金日记账!$I339),2))))</f>
        <v/>
      </c>
      <c r="O346" t="str">
        <f>IF($G346=0,"",IF(IF(N(资金日记账!$H339)=0,"",ROUND(N(资金日记账!$H339),2))=0,"",IF(N(资金日记账!$H339)=0,"",ROUND(N(资金日记账!$H339),2))))</f>
        <v/>
      </c>
      <c r="P346" t="str">
        <f>IF($G346=0,"",IF(资金日记账!$L339=0,"",资金日记账!$L339))</f>
        <v/>
      </c>
      <c r="T346" t="str">
        <f>IF(资金日记账!$G346="","",资金日记账!$G346)</f>
        <v/>
      </c>
      <c r="U346">
        <f t="shared" si="71"/>
        <v>0</v>
      </c>
      <c r="V346">
        <f t="shared" si="72"/>
        <v>0</v>
      </c>
      <c r="AF346" t="str">
        <f>IF(OR(资金日记账!$E346="",N(资金日记账!$H346)=0),"",资金日记账!$E346)</f>
        <v/>
      </c>
      <c r="AG346">
        <f t="shared" si="73"/>
        <v>0</v>
      </c>
      <c r="AH346">
        <f t="shared" si="74"/>
        <v>0</v>
      </c>
    </row>
    <row r="347" spans="1:34">
      <c r="A347" t="str">
        <f>IF(资金日记账!$F45="","",资金日记账!$F45)</f>
        <v/>
      </c>
      <c r="B347">
        <f t="shared" si="67"/>
        <v>0</v>
      </c>
      <c r="C347">
        <f t="shared" si="68"/>
        <v>0</v>
      </c>
      <c r="G347">
        <f>IF(OR($G$1="",资金日记账!$E340="",资金日记账!$E340&lt;&gt;$G$1),0,IF(NOT(OR(N(资金日记账!$H340)&lt;&gt;0,N(资金日记账!$I340)&lt;&gt;0)),0,IF(资金日记账!$B340="",1,IF(OR(N(资金日记账!$B340)&lt;$H$1,N(资金日记账!$B340)&gt;$I$1),0,1))))</f>
        <v>0</v>
      </c>
      <c r="H347">
        <f t="shared" si="69"/>
        <v>0</v>
      </c>
      <c r="I347" t="str">
        <f>IF($G347=0,"",IF(资金日记账!$B340=0,"",资金日记账!$B340))</f>
        <v/>
      </c>
      <c r="J347" t="str">
        <f>IF($G347=0,"",IF(资金日记账!$D340=0,"",资金日记账!$D340))</f>
        <v/>
      </c>
      <c r="K347" t="str">
        <f t="shared" si="75"/>
        <v/>
      </c>
      <c r="L347" t="str">
        <f t="shared" si="76"/>
        <v/>
      </c>
      <c r="M347" t="str">
        <f t="shared" si="70"/>
        <v/>
      </c>
      <c r="N347" t="str">
        <f>IF($G347=0,"",IF(IF(N(资金日记账!$I340)=0,"",-ROUND(N(资金日记账!$I340),2))=0,"",IF(N(资金日记账!$I340)=0,"",-ROUND(N(资金日记账!$I340),2))))</f>
        <v/>
      </c>
      <c r="O347" t="str">
        <f>IF($G347=0,"",IF(IF(N(资金日记账!$H340)=0,"",ROUND(N(资金日记账!$H340),2))=0,"",IF(N(资金日记账!$H340)=0,"",ROUND(N(资金日记账!$H340),2))))</f>
        <v/>
      </c>
      <c r="P347" t="str">
        <f>IF($G347=0,"",IF(资金日记账!$L340=0,"",资金日记账!$L340))</f>
        <v/>
      </c>
      <c r="T347" t="str">
        <f>IF(资金日记账!$G347="","",资金日记账!$G347)</f>
        <v/>
      </c>
      <c r="U347">
        <f t="shared" si="71"/>
        <v>0</v>
      </c>
      <c r="V347">
        <f t="shared" si="72"/>
        <v>0</v>
      </c>
      <c r="AF347" t="str">
        <f>IF(OR(资金日记账!$E347="",N(资金日记账!$H347)=0),"",资金日记账!$E347)</f>
        <v/>
      </c>
      <c r="AG347">
        <f t="shared" si="73"/>
        <v>0</v>
      </c>
      <c r="AH347">
        <f t="shared" si="74"/>
        <v>0</v>
      </c>
    </row>
    <row r="348" spans="1:34">
      <c r="A348" t="str">
        <f>IF(资金日记账!$F46="","",资金日记账!$F46)</f>
        <v/>
      </c>
      <c r="B348">
        <f t="shared" si="67"/>
        <v>0</v>
      </c>
      <c r="C348">
        <f t="shared" si="68"/>
        <v>0</v>
      </c>
      <c r="G348">
        <f>IF(OR($G$1="",资金日记账!$E341="",资金日记账!$E341&lt;&gt;$G$1),0,IF(NOT(OR(N(资金日记账!$H341)&lt;&gt;0,N(资金日记账!$I341)&lt;&gt;0)),0,IF(资金日记账!$B341="",1,IF(OR(N(资金日记账!$B341)&lt;$H$1,N(资金日记账!$B341)&gt;$I$1),0,1))))</f>
        <v>0</v>
      </c>
      <c r="H348">
        <f t="shared" si="69"/>
        <v>0</v>
      </c>
      <c r="I348" t="str">
        <f>IF($G348=0,"",IF(资金日记账!$B341=0,"",资金日记账!$B341))</f>
        <v/>
      </c>
      <c r="J348" t="str">
        <f>IF($G348=0,"",IF(资金日记账!$D341=0,"",资金日记账!$D341))</f>
        <v/>
      </c>
      <c r="K348" t="str">
        <f t="shared" si="75"/>
        <v/>
      </c>
      <c r="L348" t="str">
        <f t="shared" si="76"/>
        <v/>
      </c>
      <c r="M348" t="str">
        <f t="shared" si="70"/>
        <v/>
      </c>
      <c r="N348" t="str">
        <f>IF($G348=0,"",IF(IF(N(资金日记账!$I341)=0,"",-ROUND(N(资金日记账!$I341),2))=0,"",IF(N(资金日记账!$I341)=0,"",-ROUND(N(资金日记账!$I341),2))))</f>
        <v/>
      </c>
      <c r="O348" t="str">
        <f>IF($G348=0,"",IF(IF(N(资金日记账!$H341)=0,"",ROUND(N(资金日记账!$H341),2))=0,"",IF(N(资金日记账!$H341)=0,"",ROUND(N(资金日记账!$H341),2))))</f>
        <v/>
      </c>
      <c r="P348" t="str">
        <f>IF($G348=0,"",IF(资金日记账!$L341=0,"",资金日记账!$L341))</f>
        <v/>
      </c>
      <c r="T348" t="str">
        <f>IF(资金日记账!$G348="","",资金日记账!$G348)</f>
        <v/>
      </c>
      <c r="U348">
        <f t="shared" si="71"/>
        <v>0</v>
      </c>
      <c r="V348">
        <f t="shared" si="72"/>
        <v>0</v>
      </c>
      <c r="AF348" t="str">
        <f>IF(OR(资金日记账!$E348="",N(资金日记账!$H348)=0),"",资金日记账!$E348)</f>
        <v/>
      </c>
      <c r="AG348">
        <f t="shared" si="73"/>
        <v>0</v>
      </c>
      <c r="AH348">
        <f t="shared" si="74"/>
        <v>0</v>
      </c>
    </row>
    <row r="349" spans="1:34">
      <c r="A349" t="str">
        <f>IF(资金日记账!$F47="","",资金日记账!$F47)</f>
        <v/>
      </c>
      <c r="B349">
        <f t="shared" si="67"/>
        <v>0</v>
      </c>
      <c r="C349">
        <f t="shared" si="68"/>
        <v>0</v>
      </c>
      <c r="G349">
        <f>IF(OR($G$1="",资金日记账!$E342="",资金日记账!$E342&lt;&gt;$G$1),0,IF(NOT(OR(N(资金日记账!$H342)&lt;&gt;0,N(资金日记账!$I342)&lt;&gt;0)),0,IF(资金日记账!$B342="",1,IF(OR(N(资金日记账!$B342)&lt;$H$1,N(资金日记账!$B342)&gt;$I$1),0,1))))</f>
        <v>0</v>
      </c>
      <c r="H349">
        <f t="shared" si="69"/>
        <v>0</v>
      </c>
      <c r="I349" t="str">
        <f>IF($G349=0,"",IF(资金日记账!$B342=0,"",资金日记账!$B342))</f>
        <v/>
      </c>
      <c r="J349" t="str">
        <f>IF($G349=0,"",IF(资金日记账!$D342=0,"",资金日记账!$D342))</f>
        <v/>
      </c>
      <c r="K349" t="str">
        <f t="shared" si="75"/>
        <v/>
      </c>
      <c r="L349" t="str">
        <f t="shared" si="76"/>
        <v/>
      </c>
      <c r="M349" t="str">
        <f t="shared" si="70"/>
        <v/>
      </c>
      <c r="N349" t="str">
        <f>IF($G349=0,"",IF(IF(N(资金日记账!$I342)=0,"",-ROUND(N(资金日记账!$I342),2))=0,"",IF(N(资金日记账!$I342)=0,"",-ROUND(N(资金日记账!$I342),2))))</f>
        <v/>
      </c>
      <c r="O349" t="str">
        <f>IF($G349=0,"",IF(IF(N(资金日记账!$H342)=0,"",ROUND(N(资金日记账!$H342),2))=0,"",IF(N(资金日记账!$H342)=0,"",ROUND(N(资金日记账!$H342),2))))</f>
        <v/>
      </c>
      <c r="P349" t="str">
        <f>IF($G349=0,"",IF(资金日记账!$L342=0,"",资金日记账!$L342))</f>
        <v/>
      </c>
      <c r="T349" t="str">
        <f>IF(资金日记账!$G349="","",资金日记账!$G349)</f>
        <v/>
      </c>
      <c r="U349">
        <f t="shared" si="71"/>
        <v>0</v>
      </c>
      <c r="V349">
        <f t="shared" si="72"/>
        <v>0</v>
      </c>
      <c r="AF349" t="str">
        <f>IF(OR(资金日记账!$E349="",N(资金日记账!$H349)=0),"",资金日记账!$E349)</f>
        <v/>
      </c>
      <c r="AG349">
        <f t="shared" si="73"/>
        <v>0</v>
      </c>
      <c r="AH349">
        <f t="shared" si="74"/>
        <v>0</v>
      </c>
    </row>
    <row r="350" spans="1:34">
      <c r="A350" t="str">
        <f>IF(资金日记账!$F48="","",资金日记账!$F48)</f>
        <v/>
      </c>
      <c r="B350">
        <f t="shared" si="67"/>
        <v>0</v>
      </c>
      <c r="C350">
        <f t="shared" si="68"/>
        <v>0</v>
      </c>
      <c r="G350">
        <f>IF(OR($G$1="",资金日记账!$E343="",资金日记账!$E343&lt;&gt;$G$1),0,IF(NOT(OR(N(资金日记账!$H343)&lt;&gt;0,N(资金日记账!$I343)&lt;&gt;0)),0,IF(资金日记账!$B343="",1,IF(OR(N(资金日记账!$B343)&lt;$H$1,N(资金日记账!$B343)&gt;$I$1),0,1))))</f>
        <v>0</v>
      </c>
      <c r="H350">
        <f t="shared" si="69"/>
        <v>0</v>
      </c>
      <c r="I350" t="str">
        <f>IF($G350=0,"",IF(资金日记账!$B343=0,"",资金日记账!$B343))</f>
        <v/>
      </c>
      <c r="J350" t="str">
        <f>IF($G350=0,"",IF(资金日记账!$D343=0,"",资金日记账!$D343))</f>
        <v/>
      </c>
      <c r="K350" t="str">
        <f t="shared" si="75"/>
        <v/>
      </c>
      <c r="L350" t="str">
        <f t="shared" si="76"/>
        <v/>
      </c>
      <c r="M350" t="str">
        <f t="shared" si="70"/>
        <v/>
      </c>
      <c r="N350" t="str">
        <f>IF($G350=0,"",IF(IF(N(资金日记账!$I343)=0,"",-ROUND(N(资金日记账!$I343),2))=0,"",IF(N(资金日记账!$I343)=0,"",-ROUND(N(资金日记账!$I343),2))))</f>
        <v/>
      </c>
      <c r="O350" t="str">
        <f>IF($G350=0,"",IF(IF(N(资金日记账!$H343)=0,"",ROUND(N(资金日记账!$H343),2))=0,"",IF(N(资金日记账!$H343)=0,"",ROUND(N(资金日记账!$H343),2))))</f>
        <v/>
      </c>
      <c r="P350" t="str">
        <f>IF($G350=0,"",IF(资金日记账!$L343=0,"",资金日记账!$L343))</f>
        <v/>
      </c>
      <c r="T350" t="str">
        <f>IF(资金日记账!$G350="","",资金日记账!$G350)</f>
        <v/>
      </c>
      <c r="U350">
        <f t="shared" si="71"/>
        <v>0</v>
      </c>
      <c r="V350">
        <f t="shared" si="72"/>
        <v>0</v>
      </c>
      <c r="AF350" t="str">
        <f>IF(OR(资金日记账!$E350="",N(资金日记账!$H350)=0),"",资金日记账!$E350)</f>
        <v/>
      </c>
      <c r="AG350">
        <f t="shared" si="73"/>
        <v>0</v>
      </c>
      <c r="AH350">
        <f t="shared" si="74"/>
        <v>0</v>
      </c>
    </row>
    <row r="351" spans="1:34">
      <c r="A351" t="str">
        <f>IF(资金日记账!$F49="","",资金日记账!$F49)</f>
        <v/>
      </c>
      <c r="B351">
        <f t="shared" si="67"/>
        <v>0</v>
      </c>
      <c r="C351">
        <f t="shared" si="68"/>
        <v>0</v>
      </c>
      <c r="G351">
        <f>IF(OR($G$1="",资金日记账!$E344="",资金日记账!$E344&lt;&gt;$G$1),0,IF(NOT(OR(N(资金日记账!$H344)&lt;&gt;0,N(资金日记账!$I344)&lt;&gt;0)),0,IF(资金日记账!$B344="",1,IF(OR(N(资金日记账!$B344)&lt;$H$1,N(资金日记账!$B344)&gt;$I$1),0,1))))</f>
        <v>0</v>
      </c>
      <c r="H351">
        <f t="shared" si="69"/>
        <v>0</v>
      </c>
      <c r="I351" t="str">
        <f>IF($G351=0,"",IF(资金日记账!$B344=0,"",资金日记账!$B344))</f>
        <v/>
      </c>
      <c r="J351" t="str">
        <f>IF($G351=0,"",IF(资金日记账!$D344=0,"",资金日记账!$D344))</f>
        <v/>
      </c>
      <c r="K351" t="str">
        <f t="shared" si="75"/>
        <v/>
      </c>
      <c r="L351" t="str">
        <f t="shared" si="76"/>
        <v/>
      </c>
      <c r="M351" t="str">
        <f t="shared" si="70"/>
        <v/>
      </c>
      <c r="N351" t="str">
        <f>IF($G351=0,"",IF(IF(N(资金日记账!$I344)=0,"",-ROUND(N(资金日记账!$I344),2))=0,"",IF(N(资金日记账!$I344)=0,"",-ROUND(N(资金日记账!$I344),2))))</f>
        <v/>
      </c>
      <c r="O351" t="str">
        <f>IF($G351=0,"",IF(IF(N(资金日记账!$H344)=0,"",ROUND(N(资金日记账!$H344),2))=0,"",IF(N(资金日记账!$H344)=0,"",ROUND(N(资金日记账!$H344),2))))</f>
        <v/>
      </c>
      <c r="P351" t="str">
        <f>IF($G351=0,"",IF(资金日记账!$L344=0,"",资金日记账!$L344))</f>
        <v/>
      </c>
      <c r="T351" t="str">
        <f>IF(资金日记账!$G351="","",资金日记账!$G351)</f>
        <v/>
      </c>
      <c r="U351">
        <f t="shared" si="71"/>
        <v>0</v>
      </c>
      <c r="V351">
        <f t="shared" si="72"/>
        <v>0</v>
      </c>
      <c r="AF351" t="str">
        <f>IF(OR(资金日记账!$E351="",N(资金日记账!$H351)=0),"",资金日记账!$E351)</f>
        <v/>
      </c>
      <c r="AG351">
        <f t="shared" si="73"/>
        <v>0</v>
      </c>
      <c r="AH351">
        <f t="shared" si="74"/>
        <v>0</v>
      </c>
    </row>
    <row r="352" spans="1:34">
      <c r="A352" t="str">
        <f>IF(资金日记账!$F50="","",资金日记账!$F50)</f>
        <v/>
      </c>
      <c r="B352">
        <f t="shared" si="67"/>
        <v>0</v>
      </c>
      <c r="C352">
        <f t="shared" si="68"/>
        <v>0</v>
      </c>
      <c r="G352">
        <f>IF(OR($G$1="",资金日记账!$E345="",资金日记账!$E345&lt;&gt;$G$1),0,IF(NOT(OR(N(资金日记账!$H345)&lt;&gt;0,N(资金日记账!$I345)&lt;&gt;0)),0,IF(资金日记账!$B345="",1,IF(OR(N(资金日记账!$B345)&lt;$H$1,N(资金日记账!$B345)&gt;$I$1),0,1))))</f>
        <v>0</v>
      </c>
      <c r="H352">
        <f t="shared" si="69"/>
        <v>0</v>
      </c>
      <c r="I352" t="str">
        <f>IF($G352=0,"",IF(资金日记账!$B345=0,"",资金日记账!$B345))</f>
        <v/>
      </c>
      <c r="J352" t="str">
        <f>IF($G352=0,"",IF(资金日记账!$D345=0,"",资金日记账!$D345))</f>
        <v/>
      </c>
      <c r="K352" t="str">
        <f t="shared" si="75"/>
        <v/>
      </c>
      <c r="L352" t="str">
        <f t="shared" si="76"/>
        <v/>
      </c>
      <c r="M352" t="str">
        <f t="shared" si="70"/>
        <v/>
      </c>
      <c r="N352" t="str">
        <f>IF($G352=0,"",IF(IF(N(资金日记账!$I345)=0,"",-ROUND(N(资金日记账!$I345),2))=0,"",IF(N(资金日记账!$I345)=0,"",-ROUND(N(资金日记账!$I345),2))))</f>
        <v/>
      </c>
      <c r="O352" t="str">
        <f>IF($G352=0,"",IF(IF(N(资金日记账!$H345)=0,"",ROUND(N(资金日记账!$H345),2))=0,"",IF(N(资金日记账!$H345)=0,"",ROUND(N(资金日记账!$H345),2))))</f>
        <v/>
      </c>
      <c r="P352" t="str">
        <f>IF($G352=0,"",IF(资金日记账!$L345=0,"",资金日记账!$L345))</f>
        <v/>
      </c>
      <c r="T352" t="str">
        <f>IF(资金日记账!$G352="","",资金日记账!$G352)</f>
        <v/>
      </c>
      <c r="U352">
        <f t="shared" si="71"/>
        <v>0</v>
      </c>
      <c r="V352">
        <f t="shared" si="72"/>
        <v>0</v>
      </c>
      <c r="AF352" t="str">
        <f>IF(OR(资金日记账!$E352="",N(资金日记账!$H352)=0),"",资金日记账!$E352)</f>
        <v/>
      </c>
      <c r="AG352">
        <f t="shared" si="73"/>
        <v>0</v>
      </c>
      <c r="AH352">
        <f t="shared" si="74"/>
        <v>0</v>
      </c>
    </row>
    <row r="353" spans="1:34">
      <c r="A353" t="str">
        <f>IF(资金日记账!$F51="","",资金日记账!$F51)</f>
        <v/>
      </c>
      <c r="B353">
        <f t="shared" si="67"/>
        <v>0</v>
      </c>
      <c r="C353">
        <f t="shared" si="68"/>
        <v>0</v>
      </c>
      <c r="G353">
        <f>IF(OR($G$1="",资金日记账!$E346="",资金日记账!$E346&lt;&gt;$G$1),0,IF(NOT(OR(N(资金日记账!$H346)&lt;&gt;0,N(资金日记账!$I346)&lt;&gt;0)),0,IF(资金日记账!$B346="",1,IF(OR(N(资金日记账!$B346)&lt;$H$1,N(资金日记账!$B346)&gt;$I$1),0,1))))</f>
        <v>0</v>
      </c>
      <c r="H353">
        <f t="shared" si="69"/>
        <v>0</v>
      </c>
      <c r="I353" t="str">
        <f>IF($G353=0,"",IF(资金日记账!$B346=0,"",资金日记账!$B346))</f>
        <v/>
      </c>
      <c r="J353" t="str">
        <f>IF($G353=0,"",IF(资金日记账!$D346=0,"",资金日记账!$D346))</f>
        <v/>
      </c>
      <c r="K353" t="str">
        <f t="shared" si="75"/>
        <v/>
      </c>
      <c r="L353" t="str">
        <f t="shared" si="76"/>
        <v/>
      </c>
      <c r="M353" t="str">
        <f t="shared" si="70"/>
        <v/>
      </c>
      <c r="N353" t="str">
        <f>IF($G353=0,"",IF(IF(N(资金日记账!$I346)=0,"",-ROUND(N(资金日记账!$I346),2))=0,"",IF(N(资金日记账!$I346)=0,"",-ROUND(N(资金日记账!$I346),2))))</f>
        <v/>
      </c>
      <c r="O353" t="str">
        <f>IF($G353=0,"",IF(IF(N(资金日记账!$H346)=0,"",ROUND(N(资金日记账!$H346),2))=0,"",IF(N(资金日记账!$H346)=0,"",ROUND(N(资金日记账!$H346),2))))</f>
        <v/>
      </c>
      <c r="P353" t="str">
        <f>IF($G353=0,"",IF(资金日记账!$L346=0,"",资金日记账!$L346))</f>
        <v/>
      </c>
      <c r="T353" t="str">
        <f>IF(资金日记账!$G353="","",资金日记账!$G353)</f>
        <v/>
      </c>
      <c r="U353">
        <f t="shared" si="71"/>
        <v>0</v>
      </c>
      <c r="V353">
        <f t="shared" si="72"/>
        <v>0</v>
      </c>
      <c r="AF353" t="str">
        <f>IF(OR(资金日记账!$E353="",N(资金日记账!$H353)=0),"",资金日记账!$E353)</f>
        <v/>
      </c>
      <c r="AG353">
        <f t="shared" si="73"/>
        <v>0</v>
      </c>
      <c r="AH353">
        <f t="shared" si="74"/>
        <v>0</v>
      </c>
    </row>
    <row r="354" spans="1:34">
      <c r="A354" t="str">
        <f>IF(资金日记账!$F52="","",资金日记账!$F52)</f>
        <v/>
      </c>
      <c r="B354">
        <f t="shared" si="67"/>
        <v>0</v>
      </c>
      <c r="C354">
        <f t="shared" si="68"/>
        <v>0</v>
      </c>
      <c r="G354">
        <f>IF(OR($G$1="",资金日记账!$E347="",资金日记账!$E347&lt;&gt;$G$1),0,IF(NOT(OR(N(资金日记账!$H347)&lt;&gt;0,N(资金日记账!$I347)&lt;&gt;0)),0,IF(资金日记账!$B347="",1,IF(OR(N(资金日记账!$B347)&lt;$H$1,N(资金日记账!$B347)&gt;$I$1),0,1))))</f>
        <v>0</v>
      </c>
      <c r="H354">
        <f t="shared" si="69"/>
        <v>0</v>
      </c>
      <c r="I354" t="str">
        <f>IF($G354=0,"",IF(资金日记账!$B347=0,"",资金日记账!$B347))</f>
        <v/>
      </c>
      <c r="J354" t="str">
        <f>IF($G354=0,"",IF(资金日记账!$D347=0,"",资金日记账!$D347))</f>
        <v/>
      </c>
      <c r="K354" t="str">
        <f t="shared" si="75"/>
        <v/>
      </c>
      <c r="L354" t="str">
        <f t="shared" si="76"/>
        <v/>
      </c>
      <c r="M354" t="str">
        <f t="shared" si="70"/>
        <v/>
      </c>
      <c r="N354" t="str">
        <f>IF($G354=0,"",IF(IF(N(资金日记账!$I347)=0,"",-ROUND(N(资金日记账!$I347),2))=0,"",IF(N(资金日记账!$I347)=0,"",-ROUND(N(资金日记账!$I347),2))))</f>
        <v/>
      </c>
      <c r="O354" t="str">
        <f>IF($G354=0,"",IF(IF(N(资金日记账!$H347)=0,"",ROUND(N(资金日记账!$H347),2))=0,"",IF(N(资金日记账!$H347)=0,"",ROUND(N(资金日记账!$H347),2))))</f>
        <v/>
      </c>
      <c r="P354" t="str">
        <f>IF($G354=0,"",IF(资金日记账!$L347=0,"",资金日记账!$L347))</f>
        <v/>
      </c>
      <c r="T354" t="str">
        <f>IF(资金日记账!$G354="","",资金日记账!$G354)</f>
        <v/>
      </c>
      <c r="U354">
        <f t="shared" si="71"/>
        <v>0</v>
      </c>
      <c r="V354">
        <f t="shared" si="72"/>
        <v>0</v>
      </c>
      <c r="AF354" t="str">
        <f>IF(OR(资金日记账!$E354="",N(资金日记账!$H354)=0),"",资金日记账!$E354)</f>
        <v/>
      </c>
      <c r="AG354">
        <f t="shared" si="73"/>
        <v>0</v>
      </c>
      <c r="AH354">
        <f t="shared" si="74"/>
        <v>0</v>
      </c>
    </row>
    <row r="355" spans="1:34">
      <c r="A355" t="str">
        <f>IF(资金日记账!$F53="","",资金日记账!$F53)</f>
        <v/>
      </c>
      <c r="B355">
        <f t="shared" si="67"/>
        <v>0</v>
      </c>
      <c r="C355">
        <f t="shared" si="68"/>
        <v>0</v>
      </c>
      <c r="G355">
        <f>IF(OR($G$1="",资金日记账!$E348="",资金日记账!$E348&lt;&gt;$G$1),0,IF(NOT(OR(N(资金日记账!$H348)&lt;&gt;0,N(资金日记账!$I348)&lt;&gt;0)),0,IF(资金日记账!$B348="",1,IF(OR(N(资金日记账!$B348)&lt;$H$1,N(资金日记账!$B348)&gt;$I$1),0,1))))</f>
        <v>0</v>
      </c>
      <c r="H355">
        <f t="shared" si="69"/>
        <v>0</v>
      </c>
      <c r="I355" t="str">
        <f>IF($G355=0,"",IF(资金日记账!$B348=0,"",资金日记账!$B348))</f>
        <v/>
      </c>
      <c r="J355" t="str">
        <f>IF($G355=0,"",IF(资金日记账!$D348=0,"",资金日记账!$D348))</f>
        <v/>
      </c>
      <c r="K355" t="str">
        <f t="shared" si="75"/>
        <v/>
      </c>
      <c r="L355" t="str">
        <f t="shared" si="76"/>
        <v/>
      </c>
      <c r="M355" t="str">
        <f t="shared" si="70"/>
        <v/>
      </c>
      <c r="N355" t="str">
        <f>IF($G355=0,"",IF(IF(N(资金日记账!$I348)=0,"",-ROUND(N(资金日记账!$I348),2))=0,"",IF(N(资金日记账!$I348)=0,"",-ROUND(N(资金日记账!$I348),2))))</f>
        <v/>
      </c>
      <c r="O355" t="str">
        <f>IF($G355=0,"",IF(IF(N(资金日记账!$H348)=0,"",ROUND(N(资金日记账!$H348),2))=0,"",IF(N(资金日记账!$H348)=0,"",ROUND(N(资金日记账!$H348),2))))</f>
        <v/>
      </c>
      <c r="P355" t="str">
        <f>IF($G355=0,"",IF(资金日记账!$L348=0,"",资金日记账!$L348))</f>
        <v/>
      </c>
      <c r="T355" t="str">
        <f>IF(资金日记账!$G355="","",资金日记账!$G355)</f>
        <v/>
      </c>
      <c r="U355">
        <f t="shared" si="71"/>
        <v>0</v>
      </c>
      <c r="V355">
        <f t="shared" si="72"/>
        <v>0</v>
      </c>
      <c r="AF355" t="str">
        <f>IF(OR(资金日记账!$E355="",N(资金日记账!$H355)=0),"",资金日记账!$E355)</f>
        <v/>
      </c>
      <c r="AG355">
        <f t="shared" si="73"/>
        <v>0</v>
      </c>
      <c r="AH355">
        <f t="shared" si="74"/>
        <v>0</v>
      </c>
    </row>
    <row r="356" spans="1:34">
      <c r="A356" t="str">
        <f>IF(资金日记账!$F54="","",资金日记账!$F54)</f>
        <v/>
      </c>
      <c r="B356">
        <f t="shared" si="67"/>
        <v>0</v>
      </c>
      <c r="C356">
        <f t="shared" si="68"/>
        <v>0</v>
      </c>
      <c r="G356">
        <f>IF(OR($G$1="",资金日记账!$E349="",资金日记账!$E349&lt;&gt;$G$1),0,IF(NOT(OR(N(资金日记账!$H349)&lt;&gt;0,N(资金日记账!$I349)&lt;&gt;0)),0,IF(资金日记账!$B349="",1,IF(OR(N(资金日记账!$B349)&lt;$H$1,N(资金日记账!$B349)&gt;$I$1),0,1))))</f>
        <v>0</v>
      </c>
      <c r="H356">
        <f t="shared" si="69"/>
        <v>0</v>
      </c>
      <c r="I356" t="str">
        <f>IF($G356=0,"",IF(资金日记账!$B349=0,"",资金日记账!$B349))</f>
        <v/>
      </c>
      <c r="J356" t="str">
        <f>IF($G356=0,"",IF(资金日记账!$D349=0,"",资金日记账!$D349))</f>
        <v/>
      </c>
      <c r="K356" t="str">
        <f t="shared" si="75"/>
        <v/>
      </c>
      <c r="L356" t="str">
        <f t="shared" si="76"/>
        <v/>
      </c>
      <c r="M356" t="str">
        <f t="shared" si="70"/>
        <v/>
      </c>
      <c r="N356" t="str">
        <f>IF($G356=0,"",IF(IF(N(资金日记账!$I349)=0,"",-ROUND(N(资金日记账!$I349),2))=0,"",IF(N(资金日记账!$I349)=0,"",-ROUND(N(资金日记账!$I349),2))))</f>
        <v/>
      </c>
      <c r="O356" t="str">
        <f>IF($G356=0,"",IF(IF(N(资金日记账!$H349)=0,"",ROUND(N(资金日记账!$H349),2))=0,"",IF(N(资金日记账!$H349)=0,"",ROUND(N(资金日记账!$H349),2))))</f>
        <v/>
      </c>
      <c r="P356" t="str">
        <f>IF($G356=0,"",IF(资金日记账!$L349=0,"",资金日记账!$L349))</f>
        <v/>
      </c>
      <c r="T356" t="str">
        <f>IF(资金日记账!$G356="","",资金日记账!$G356)</f>
        <v/>
      </c>
      <c r="U356">
        <f t="shared" si="71"/>
        <v>0</v>
      </c>
      <c r="V356">
        <f t="shared" si="72"/>
        <v>0</v>
      </c>
      <c r="AF356" t="str">
        <f>IF(OR(资金日记账!$E356="",N(资金日记账!$H356)=0),"",资金日记账!$E356)</f>
        <v/>
      </c>
      <c r="AG356">
        <f t="shared" si="73"/>
        <v>0</v>
      </c>
      <c r="AH356">
        <f t="shared" si="74"/>
        <v>0</v>
      </c>
    </row>
    <row r="357" spans="1:34">
      <c r="A357" t="str">
        <f>IF(资金日记账!$F55="","",资金日记账!$F55)</f>
        <v/>
      </c>
      <c r="B357">
        <f t="shared" si="67"/>
        <v>0</v>
      </c>
      <c r="C357">
        <f t="shared" si="68"/>
        <v>0</v>
      </c>
      <c r="G357">
        <f>IF(OR($G$1="",资金日记账!$E350="",资金日记账!$E350&lt;&gt;$G$1),0,IF(NOT(OR(N(资金日记账!$H350)&lt;&gt;0,N(资金日记账!$I350)&lt;&gt;0)),0,IF(资金日记账!$B350="",1,IF(OR(N(资金日记账!$B350)&lt;$H$1,N(资金日记账!$B350)&gt;$I$1),0,1))))</f>
        <v>0</v>
      </c>
      <c r="H357">
        <f t="shared" si="69"/>
        <v>0</v>
      </c>
      <c r="I357" t="str">
        <f>IF($G357=0,"",IF(资金日记账!$B350=0,"",资金日记账!$B350))</f>
        <v/>
      </c>
      <c r="J357" t="str">
        <f>IF($G357=0,"",IF(资金日记账!$D350=0,"",资金日记账!$D350))</f>
        <v/>
      </c>
      <c r="K357" t="str">
        <f t="shared" si="75"/>
        <v/>
      </c>
      <c r="L357" t="str">
        <f t="shared" si="76"/>
        <v/>
      </c>
      <c r="M357" t="str">
        <f t="shared" si="70"/>
        <v/>
      </c>
      <c r="N357" t="str">
        <f>IF($G357=0,"",IF(IF(N(资金日记账!$I350)=0,"",-ROUND(N(资金日记账!$I350),2))=0,"",IF(N(资金日记账!$I350)=0,"",-ROUND(N(资金日记账!$I350),2))))</f>
        <v/>
      </c>
      <c r="O357" t="str">
        <f>IF($G357=0,"",IF(IF(N(资金日记账!$H350)=0,"",ROUND(N(资金日记账!$H350),2))=0,"",IF(N(资金日记账!$H350)=0,"",ROUND(N(资金日记账!$H350),2))))</f>
        <v/>
      </c>
      <c r="P357" t="str">
        <f>IF($G357=0,"",IF(资金日记账!$L350=0,"",资金日记账!$L350))</f>
        <v/>
      </c>
      <c r="T357" t="str">
        <f>IF(资金日记账!$G357="","",资金日记账!$G357)</f>
        <v/>
      </c>
      <c r="U357">
        <f t="shared" si="71"/>
        <v>0</v>
      </c>
      <c r="V357">
        <f t="shared" si="72"/>
        <v>0</v>
      </c>
      <c r="AF357" t="str">
        <f>IF(OR(资金日记账!$E357="",N(资金日记账!$H357)=0),"",资金日记账!$E357)</f>
        <v/>
      </c>
      <c r="AG357">
        <f t="shared" si="73"/>
        <v>0</v>
      </c>
      <c r="AH357">
        <f t="shared" si="74"/>
        <v>0</v>
      </c>
    </row>
    <row r="358" spans="1:34">
      <c r="A358" t="str">
        <f>IF(资金日记账!$F56="","",资金日记账!$F56)</f>
        <v/>
      </c>
      <c r="B358">
        <f t="shared" si="67"/>
        <v>0</v>
      </c>
      <c r="C358">
        <f t="shared" si="68"/>
        <v>0</v>
      </c>
      <c r="G358">
        <f>IF(OR($G$1="",资金日记账!$E351="",资金日记账!$E351&lt;&gt;$G$1),0,IF(NOT(OR(N(资金日记账!$H351)&lt;&gt;0,N(资金日记账!$I351)&lt;&gt;0)),0,IF(资金日记账!$B351="",1,IF(OR(N(资金日记账!$B351)&lt;$H$1,N(资金日记账!$B351)&gt;$I$1),0,1))))</f>
        <v>0</v>
      </c>
      <c r="H358">
        <f t="shared" si="69"/>
        <v>0</v>
      </c>
      <c r="I358" t="str">
        <f>IF($G358=0,"",IF(资金日记账!$B351=0,"",资金日记账!$B351))</f>
        <v/>
      </c>
      <c r="J358" t="str">
        <f>IF($G358=0,"",IF(资金日记账!$D351=0,"",资金日记账!$D351))</f>
        <v/>
      </c>
      <c r="K358" t="str">
        <f t="shared" si="75"/>
        <v/>
      </c>
      <c r="L358" t="str">
        <f t="shared" si="76"/>
        <v/>
      </c>
      <c r="M358" t="str">
        <f t="shared" si="70"/>
        <v/>
      </c>
      <c r="N358" t="str">
        <f>IF($G358=0,"",IF(IF(N(资金日记账!$I351)=0,"",-ROUND(N(资金日记账!$I351),2))=0,"",IF(N(资金日记账!$I351)=0,"",-ROUND(N(资金日记账!$I351),2))))</f>
        <v/>
      </c>
      <c r="O358" t="str">
        <f>IF($G358=0,"",IF(IF(N(资金日记账!$H351)=0,"",ROUND(N(资金日记账!$H351),2))=0,"",IF(N(资金日记账!$H351)=0,"",ROUND(N(资金日记账!$H351),2))))</f>
        <v/>
      </c>
      <c r="P358" t="str">
        <f>IF($G358=0,"",IF(资金日记账!$L351=0,"",资金日记账!$L351))</f>
        <v/>
      </c>
      <c r="T358" t="str">
        <f>IF(资金日记账!$G358="","",资金日记账!$G358)</f>
        <v/>
      </c>
      <c r="U358">
        <f t="shared" si="71"/>
        <v>0</v>
      </c>
      <c r="V358">
        <f t="shared" si="72"/>
        <v>0</v>
      </c>
      <c r="AF358" t="str">
        <f>IF(OR(资金日记账!$E358="",N(资金日记账!$H358)=0),"",资金日记账!$E358)</f>
        <v/>
      </c>
      <c r="AG358">
        <f t="shared" si="73"/>
        <v>0</v>
      </c>
      <c r="AH358">
        <f t="shared" si="74"/>
        <v>0</v>
      </c>
    </row>
    <row r="359" spans="1:34">
      <c r="A359" t="str">
        <f>IF(资金日记账!$F57="","",资金日记账!$F57)</f>
        <v/>
      </c>
      <c r="B359">
        <f t="shared" si="67"/>
        <v>0</v>
      </c>
      <c r="C359">
        <f t="shared" si="68"/>
        <v>0</v>
      </c>
      <c r="G359">
        <f>IF(OR($G$1="",资金日记账!$E352="",资金日记账!$E352&lt;&gt;$G$1),0,IF(NOT(OR(N(资金日记账!$H352)&lt;&gt;0,N(资金日记账!$I352)&lt;&gt;0)),0,IF(资金日记账!$B352="",1,IF(OR(N(资金日记账!$B352)&lt;$H$1,N(资金日记账!$B352)&gt;$I$1),0,1))))</f>
        <v>0</v>
      </c>
      <c r="H359">
        <f t="shared" si="69"/>
        <v>0</v>
      </c>
      <c r="I359" t="str">
        <f>IF($G359=0,"",IF(资金日记账!$B352=0,"",资金日记账!$B352))</f>
        <v/>
      </c>
      <c r="J359" t="str">
        <f>IF($G359=0,"",IF(资金日记账!$D352=0,"",资金日记账!$D352))</f>
        <v/>
      </c>
      <c r="K359" t="str">
        <f t="shared" si="75"/>
        <v/>
      </c>
      <c r="L359" t="str">
        <f t="shared" si="76"/>
        <v/>
      </c>
      <c r="M359" t="str">
        <f t="shared" si="70"/>
        <v/>
      </c>
      <c r="N359" t="str">
        <f>IF($G359=0,"",IF(IF(N(资金日记账!$I352)=0,"",-ROUND(N(资金日记账!$I352),2))=0,"",IF(N(资金日记账!$I352)=0,"",-ROUND(N(资金日记账!$I352),2))))</f>
        <v/>
      </c>
      <c r="O359" t="str">
        <f>IF($G359=0,"",IF(IF(N(资金日记账!$H352)=0,"",ROUND(N(资金日记账!$H352),2))=0,"",IF(N(资金日记账!$H352)=0,"",ROUND(N(资金日记账!$H352),2))))</f>
        <v/>
      </c>
      <c r="P359" t="str">
        <f>IF($G359=0,"",IF(资金日记账!$L352=0,"",资金日记账!$L352))</f>
        <v/>
      </c>
      <c r="T359" t="str">
        <f>IF(资金日记账!$G359="","",资金日记账!$G359)</f>
        <v/>
      </c>
      <c r="U359">
        <f t="shared" si="71"/>
        <v>0</v>
      </c>
      <c r="V359">
        <f t="shared" si="72"/>
        <v>0</v>
      </c>
      <c r="AF359" t="str">
        <f>IF(OR(资金日记账!$E359="",N(资金日记账!$H359)=0),"",资金日记账!$E359)</f>
        <v/>
      </c>
      <c r="AG359">
        <f t="shared" si="73"/>
        <v>0</v>
      </c>
      <c r="AH359">
        <f t="shared" si="74"/>
        <v>0</v>
      </c>
    </row>
    <row r="360" spans="1:34">
      <c r="A360" t="str">
        <f>IF(资金日记账!$F58="","",资金日记账!$F58)</f>
        <v/>
      </c>
      <c r="B360">
        <f t="shared" si="67"/>
        <v>0</v>
      </c>
      <c r="C360">
        <f t="shared" si="68"/>
        <v>0</v>
      </c>
      <c r="G360">
        <f>IF(OR($G$1="",资金日记账!$E353="",资金日记账!$E353&lt;&gt;$G$1),0,IF(NOT(OR(N(资金日记账!$H353)&lt;&gt;0,N(资金日记账!$I353)&lt;&gt;0)),0,IF(资金日记账!$B353="",1,IF(OR(N(资金日记账!$B353)&lt;$H$1,N(资金日记账!$B353)&gt;$I$1),0,1))))</f>
        <v>0</v>
      </c>
      <c r="H360">
        <f t="shared" si="69"/>
        <v>0</v>
      </c>
      <c r="I360" t="str">
        <f>IF($G360=0,"",IF(资金日记账!$B353=0,"",资金日记账!$B353))</f>
        <v/>
      </c>
      <c r="J360" t="str">
        <f>IF($G360=0,"",IF(资金日记账!$D353=0,"",资金日记账!$D353))</f>
        <v/>
      </c>
      <c r="K360" t="str">
        <f t="shared" si="75"/>
        <v/>
      </c>
      <c r="L360" t="str">
        <f t="shared" si="76"/>
        <v/>
      </c>
      <c r="M360" t="str">
        <f t="shared" si="70"/>
        <v/>
      </c>
      <c r="N360" t="str">
        <f>IF($G360=0,"",IF(IF(N(资金日记账!$I353)=0,"",-ROUND(N(资金日记账!$I353),2))=0,"",IF(N(资金日记账!$I353)=0,"",-ROUND(N(资金日记账!$I353),2))))</f>
        <v/>
      </c>
      <c r="O360" t="str">
        <f>IF($G360=0,"",IF(IF(N(资金日记账!$H353)=0,"",ROUND(N(资金日记账!$H353),2))=0,"",IF(N(资金日记账!$H353)=0,"",ROUND(N(资金日记账!$H353),2))))</f>
        <v/>
      </c>
      <c r="P360" t="str">
        <f>IF($G360=0,"",IF(资金日记账!$L353=0,"",资金日记账!$L353))</f>
        <v/>
      </c>
      <c r="T360" t="str">
        <f>IF(资金日记账!$G360="","",资金日记账!$G360)</f>
        <v/>
      </c>
      <c r="U360">
        <f t="shared" si="71"/>
        <v>0</v>
      </c>
      <c r="V360">
        <f t="shared" si="72"/>
        <v>0</v>
      </c>
      <c r="AF360" t="str">
        <f>IF(OR(资金日记账!$E360="",N(资金日记账!$H360)=0),"",资金日记账!$E360)</f>
        <v/>
      </c>
      <c r="AG360">
        <f t="shared" si="73"/>
        <v>0</v>
      </c>
      <c r="AH360">
        <f t="shared" si="74"/>
        <v>0</v>
      </c>
    </row>
    <row r="361" spans="1:34">
      <c r="A361" t="str">
        <f>IF(资金日记账!$F59="","",资金日记账!$F59)</f>
        <v/>
      </c>
      <c r="B361">
        <f t="shared" si="67"/>
        <v>0</v>
      </c>
      <c r="C361">
        <f t="shared" si="68"/>
        <v>0</v>
      </c>
      <c r="G361">
        <f>IF(OR($G$1="",资金日记账!$E354="",资金日记账!$E354&lt;&gt;$G$1),0,IF(NOT(OR(N(资金日记账!$H354)&lt;&gt;0,N(资金日记账!$I354)&lt;&gt;0)),0,IF(资金日记账!$B354="",1,IF(OR(N(资金日记账!$B354)&lt;$H$1,N(资金日记账!$B354)&gt;$I$1),0,1))))</f>
        <v>0</v>
      </c>
      <c r="H361">
        <f t="shared" si="69"/>
        <v>0</v>
      </c>
      <c r="I361" t="str">
        <f>IF($G361=0,"",IF(资金日记账!$B354=0,"",资金日记账!$B354))</f>
        <v/>
      </c>
      <c r="J361" t="str">
        <f>IF($G361=0,"",IF(资金日记账!$D354=0,"",资金日记账!$D354))</f>
        <v/>
      </c>
      <c r="K361" t="str">
        <f t="shared" si="75"/>
        <v/>
      </c>
      <c r="L361" t="str">
        <f t="shared" si="76"/>
        <v/>
      </c>
      <c r="M361" t="str">
        <f t="shared" si="70"/>
        <v/>
      </c>
      <c r="N361" t="str">
        <f>IF($G361=0,"",IF(IF(N(资金日记账!$I354)=0,"",-ROUND(N(资金日记账!$I354),2))=0,"",IF(N(资金日记账!$I354)=0,"",-ROUND(N(资金日记账!$I354),2))))</f>
        <v/>
      </c>
      <c r="O361" t="str">
        <f>IF($G361=0,"",IF(IF(N(资金日记账!$H354)=0,"",ROUND(N(资金日记账!$H354),2))=0,"",IF(N(资金日记账!$H354)=0,"",ROUND(N(资金日记账!$H354),2))))</f>
        <v/>
      </c>
      <c r="P361" t="str">
        <f>IF($G361=0,"",IF(资金日记账!$L354=0,"",资金日记账!$L354))</f>
        <v/>
      </c>
      <c r="T361" t="str">
        <f>IF(资金日记账!$G361="","",资金日记账!$G361)</f>
        <v/>
      </c>
      <c r="U361">
        <f t="shared" si="71"/>
        <v>0</v>
      </c>
      <c r="V361">
        <f t="shared" si="72"/>
        <v>0</v>
      </c>
      <c r="AF361" t="str">
        <f>IF(OR(资金日记账!$E361="",N(资金日记账!$H361)=0),"",资金日记账!$E361)</f>
        <v/>
      </c>
      <c r="AG361">
        <f t="shared" si="73"/>
        <v>0</v>
      </c>
      <c r="AH361">
        <f t="shared" si="74"/>
        <v>0</v>
      </c>
    </row>
    <row r="362" spans="1:34">
      <c r="A362" t="str">
        <f>IF(资金日记账!$F60="","",资金日记账!$F60)</f>
        <v/>
      </c>
      <c r="B362">
        <f t="shared" si="67"/>
        <v>0</v>
      </c>
      <c r="C362">
        <f t="shared" si="68"/>
        <v>0</v>
      </c>
      <c r="G362">
        <f>IF(OR($G$1="",资金日记账!$E355="",资金日记账!$E355&lt;&gt;$G$1),0,IF(NOT(OR(N(资金日记账!$H355)&lt;&gt;0,N(资金日记账!$I355)&lt;&gt;0)),0,IF(资金日记账!$B355="",1,IF(OR(N(资金日记账!$B355)&lt;$H$1,N(资金日记账!$B355)&gt;$I$1),0,1))))</f>
        <v>0</v>
      </c>
      <c r="H362">
        <f t="shared" si="69"/>
        <v>0</v>
      </c>
      <c r="I362" t="str">
        <f>IF($G362=0,"",IF(资金日记账!$B355=0,"",资金日记账!$B355))</f>
        <v/>
      </c>
      <c r="J362" t="str">
        <f>IF($G362=0,"",IF(资金日记账!$D355=0,"",资金日记账!$D355))</f>
        <v/>
      </c>
      <c r="K362" t="str">
        <f t="shared" si="75"/>
        <v/>
      </c>
      <c r="L362" t="str">
        <f t="shared" si="76"/>
        <v/>
      </c>
      <c r="M362" t="str">
        <f t="shared" si="70"/>
        <v/>
      </c>
      <c r="N362" t="str">
        <f>IF($G362=0,"",IF(IF(N(资金日记账!$I355)=0,"",-ROUND(N(资金日记账!$I355),2))=0,"",IF(N(资金日记账!$I355)=0,"",-ROUND(N(资金日记账!$I355),2))))</f>
        <v/>
      </c>
      <c r="O362" t="str">
        <f>IF($G362=0,"",IF(IF(N(资金日记账!$H355)=0,"",ROUND(N(资金日记账!$H355),2))=0,"",IF(N(资金日记账!$H355)=0,"",ROUND(N(资金日记账!$H355),2))))</f>
        <v/>
      </c>
      <c r="P362" t="str">
        <f>IF($G362=0,"",IF(资金日记账!$L355=0,"",资金日记账!$L355))</f>
        <v/>
      </c>
      <c r="T362" t="str">
        <f>IF(资金日记账!$G362="","",资金日记账!$G362)</f>
        <v/>
      </c>
      <c r="U362">
        <f t="shared" si="71"/>
        <v>0</v>
      </c>
      <c r="V362">
        <f t="shared" si="72"/>
        <v>0</v>
      </c>
      <c r="AF362" t="str">
        <f>IF(OR(资金日记账!$E362="",N(资金日记账!$H362)=0),"",资金日记账!$E362)</f>
        <v/>
      </c>
      <c r="AG362">
        <f t="shared" si="73"/>
        <v>0</v>
      </c>
      <c r="AH362">
        <f t="shared" si="74"/>
        <v>0</v>
      </c>
    </row>
    <row r="363" spans="1:34">
      <c r="A363" t="str">
        <f>IF(资金日记账!$F61="","",资金日记账!$F61)</f>
        <v/>
      </c>
      <c r="B363">
        <f t="shared" si="67"/>
        <v>0</v>
      </c>
      <c r="C363">
        <f t="shared" si="68"/>
        <v>0</v>
      </c>
      <c r="G363">
        <f>IF(OR($G$1="",资金日记账!$E356="",资金日记账!$E356&lt;&gt;$G$1),0,IF(NOT(OR(N(资金日记账!$H356)&lt;&gt;0,N(资金日记账!$I356)&lt;&gt;0)),0,IF(资金日记账!$B356="",1,IF(OR(N(资金日记账!$B356)&lt;$H$1,N(资金日记账!$B356)&gt;$I$1),0,1))))</f>
        <v>0</v>
      </c>
      <c r="H363">
        <f t="shared" si="69"/>
        <v>0</v>
      </c>
      <c r="I363" t="str">
        <f>IF($G363=0,"",IF(资金日记账!$B356=0,"",资金日记账!$B356))</f>
        <v/>
      </c>
      <c r="J363" t="str">
        <f>IF($G363=0,"",IF(资金日记账!$D356=0,"",资金日记账!$D356))</f>
        <v/>
      </c>
      <c r="K363" t="str">
        <f t="shared" si="75"/>
        <v/>
      </c>
      <c r="L363" t="str">
        <f t="shared" si="76"/>
        <v/>
      </c>
      <c r="M363" t="str">
        <f t="shared" si="70"/>
        <v/>
      </c>
      <c r="N363" t="str">
        <f>IF($G363=0,"",IF(IF(N(资金日记账!$I356)=0,"",-ROUND(N(资金日记账!$I356),2))=0,"",IF(N(资金日记账!$I356)=0,"",-ROUND(N(资金日记账!$I356),2))))</f>
        <v/>
      </c>
      <c r="O363" t="str">
        <f>IF($G363=0,"",IF(IF(N(资金日记账!$H356)=0,"",ROUND(N(资金日记账!$H356),2))=0,"",IF(N(资金日记账!$H356)=0,"",ROUND(N(资金日记账!$H356),2))))</f>
        <v/>
      </c>
      <c r="P363" t="str">
        <f>IF($G363=0,"",IF(资金日记账!$L356=0,"",资金日记账!$L356))</f>
        <v/>
      </c>
      <c r="T363" t="str">
        <f>IF(资金日记账!$G363="","",资金日记账!$G363)</f>
        <v/>
      </c>
      <c r="U363">
        <f t="shared" si="71"/>
        <v>0</v>
      </c>
      <c r="V363">
        <f t="shared" si="72"/>
        <v>0</v>
      </c>
      <c r="AF363" t="str">
        <f>IF(OR(资金日记账!$E363="",N(资金日记账!$H363)=0),"",资金日记账!$E363)</f>
        <v/>
      </c>
      <c r="AG363">
        <f t="shared" si="73"/>
        <v>0</v>
      </c>
      <c r="AH363">
        <f t="shared" si="74"/>
        <v>0</v>
      </c>
    </row>
    <row r="364" spans="1:34">
      <c r="A364" t="str">
        <f>IF(资金日记账!$F62="","",资金日记账!$F62)</f>
        <v/>
      </c>
      <c r="B364">
        <f t="shared" si="67"/>
        <v>0</v>
      </c>
      <c r="C364">
        <f t="shared" si="68"/>
        <v>0</v>
      </c>
      <c r="G364">
        <f>IF(OR($G$1="",资金日记账!$E357="",资金日记账!$E357&lt;&gt;$G$1),0,IF(NOT(OR(N(资金日记账!$H357)&lt;&gt;0,N(资金日记账!$I357)&lt;&gt;0)),0,IF(资金日记账!$B357="",1,IF(OR(N(资金日记账!$B357)&lt;$H$1,N(资金日记账!$B357)&gt;$I$1),0,1))))</f>
        <v>0</v>
      </c>
      <c r="H364">
        <f t="shared" si="69"/>
        <v>0</v>
      </c>
      <c r="I364" t="str">
        <f>IF($G364=0,"",IF(资金日记账!$B357=0,"",资金日记账!$B357))</f>
        <v/>
      </c>
      <c r="J364" t="str">
        <f>IF($G364=0,"",IF(资金日记账!$D357=0,"",资金日记账!$D357))</f>
        <v/>
      </c>
      <c r="K364" t="str">
        <f t="shared" si="75"/>
        <v/>
      </c>
      <c r="L364" t="str">
        <f t="shared" si="76"/>
        <v/>
      </c>
      <c r="M364" t="str">
        <f t="shared" si="70"/>
        <v/>
      </c>
      <c r="N364" t="str">
        <f>IF($G364=0,"",IF(IF(N(资金日记账!$I357)=0,"",-ROUND(N(资金日记账!$I357),2))=0,"",IF(N(资金日记账!$I357)=0,"",-ROUND(N(资金日记账!$I357),2))))</f>
        <v/>
      </c>
      <c r="O364" t="str">
        <f>IF($G364=0,"",IF(IF(N(资金日记账!$H357)=0,"",ROUND(N(资金日记账!$H357),2))=0,"",IF(N(资金日记账!$H357)=0,"",ROUND(N(资金日记账!$H357),2))))</f>
        <v/>
      </c>
      <c r="P364" t="str">
        <f>IF($G364=0,"",IF(资金日记账!$L357=0,"",资金日记账!$L357))</f>
        <v/>
      </c>
      <c r="T364" t="str">
        <f>IF(资金日记账!$G364="","",资金日记账!$G364)</f>
        <v/>
      </c>
      <c r="U364">
        <f t="shared" si="71"/>
        <v>0</v>
      </c>
      <c r="V364">
        <f t="shared" si="72"/>
        <v>0</v>
      </c>
      <c r="AF364" t="str">
        <f>IF(OR(资金日记账!$E364="",N(资金日记账!$H364)=0),"",资金日记账!$E364)</f>
        <v/>
      </c>
      <c r="AG364">
        <f t="shared" si="73"/>
        <v>0</v>
      </c>
      <c r="AH364">
        <f t="shared" si="74"/>
        <v>0</v>
      </c>
    </row>
    <row r="365" spans="1:34">
      <c r="A365" t="str">
        <f>IF(资金日记账!$F63="","",资金日记账!$F63)</f>
        <v/>
      </c>
      <c r="B365">
        <f t="shared" si="67"/>
        <v>0</v>
      </c>
      <c r="C365">
        <f t="shared" si="68"/>
        <v>0</v>
      </c>
      <c r="G365">
        <f>IF(OR($G$1="",资金日记账!$E358="",资金日记账!$E358&lt;&gt;$G$1),0,IF(NOT(OR(N(资金日记账!$H358)&lt;&gt;0,N(资金日记账!$I358)&lt;&gt;0)),0,IF(资金日记账!$B358="",1,IF(OR(N(资金日记账!$B358)&lt;$H$1,N(资金日记账!$B358)&gt;$I$1),0,1))))</f>
        <v>0</v>
      </c>
      <c r="H365">
        <f t="shared" si="69"/>
        <v>0</v>
      </c>
      <c r="I365" t="str">
        <f>IF($G365=0,"",IF(资金日记账!$B358=0,"",资金日记账!$B358))</f>
        <v/>
      </c>
      <c r="J365" t="str">
        <f>IF($G365=0,"",IF(资金日记账!$D358=0,"",资金日记账!$D358))</f>
        <v/>
      </c>
      <c r="K365" t="str">
        <f t="shared" si="75"/>
        <v/>
      </c>
      <c r="L365" t="str">
        <f t="shared" si="76"/>
        <v/>
      </c>
      <c r="M365" t="str">
        <f t="shared" si="70"/>
        <v/>
      </c>
      <c r="N365" t="str">
        <f>IF($G365=0,"",IF(IF(N(资金日记账!$I358)=0,"",-ROUND(N(资金日记账!$I358),2))=0,"",IF(N(资金日记账!$I358)=0,"",-ROUND(N(资金日记账!$I358),2))))</f>
        <v/>
      </c>
      <c r="O365" t="str">
        <f>IF($G365=0,"",IF(IF(N(资金日记账!$H358)=0,"",ROUND(N(资金日记账!$H358),2))=0,"",IF(N(资金日记账!$H358)=0,"",ROUND(N(资金日记账!$H358),2))))</f>
        <v/>
      </c>
      <c r="P365" t="str">
        <f>IF($G365=0,"",IF(资金日记账!$L358=0,"",资金日记账!$L358))</f>
        <v/>
      </c>
      <c r="T365" t="str">
        <f>IF(资金日记账!$G365="","",资金日记账!$G365)</f>
        <v/>
      </c>
      <c r="U365">
        <f t="shared" si="71"/>
        <v>0</v>
      </c>
      <c r="V365">
        <f t="shared" si="72"/>
        <v>0</v>
      </c>
      <c r="AF365" t="str">
        <f>IF(OR(资金日记账!$E365="",N(资金日记账!$H365)=0),"",资金日记账!$E365)</f>
        <v/>
      </c>
      <c r="AG365">
        <f t="shared" si="73"/>
        <v>0</v>
      </c>
      <c r="AH365">
        <f t="shared" si="74"/>
        <v>0</v>
      </c>
    </row>
    <row r="366" spans="1:34">
      <c r="A366" t="str">
        <f>IF(资金日记账!$F64="","",资金日记账!$F64)</f>
        <v/>
      </c>
      <c r="B366">
        <f t="shared" si="67"/>
        <v>0</v>
      </c>
      <c r="C366">
        <f t="shared" si="68"/>
        <v>0</v>
      </c>
      <c r="G366">
        <f>IF(OR($G$1="",资金日记账!$E359="",资金日记账!$E359&lt;&gt;$G$1),0,IF(NOT(OR(N(资金日记账!$H359)&lt;&gt;0,N(资金日记账!$I359)&lt;&gt;0)),0,IF(资金日记账!$B359="",1,IF(OR(N(资金日记账!$B359)&lt;$H$1,N(资金日记账!$B359)&gt;$I$1),0,1))))</f>
        <v>0</v>
      </c>
      <c r="H366">
        <f t="shared" si="69"/>
        <v>0</v>
      </c>
      <c r="I366" t="str">
        <f>IF($G366=0,"",IF(资金日记账!$B359=0,"",资金日记账!$B359))</f>
        <v/>
      </c>
      <c r="J366" t="str">
        <f>IF($G366=0,"",IF(资金日记账!$D359=0,"",资金日记账!$D359))</f>
        <v/>
      </c>
      <c r="K366" t="str">
        <f t="shared" si="75"/>
        <v/>
      </c>
      <c r="L366" t="str">
        <f t="shared" si="76"/>
        <v/>
      </c>
      <c r="M366" t="str">
        <f t="shared" si="70"/>
        <v/>
      </c>
      <c r="N366" t="str">
        <f>IF($G366=0,"",IF(IF(N(资金日记账!$I359)=0,"",-ROUND(N(资金日记账!$I359),2))=0,"",IF(N(资金日记账!$I359)=0,"",-ROUND(N(资金日记账!$I359),2))))</f>
        <v/>
      </c>
      <c r="O366" t="str">
        <f>IF($G366=0,"",IF(IF(N(资金日记账!$H359)=0,"",ROUND(N(资金日记账!$H359),2))=0,"",IF(N(资金日记账!$H359)=0,"",ROUND(N(资金日记账!$H359),2))))</f>
        <v/>
      </c>
      <c r="P366" t="str">
        <f>IF($G366=0,"",IF(资金日记账!$L359=0,"",资金日记账!$L359))</f>
        <v/>
      </c>
      <c r="T366" t="str">
        <f>IF(资金日记账!$G366="","",资金日记账!$G366)</f>
        <v/>
      </c>
      <c r="U366">
        <f t="shared" si="71"/>
        <v>0</v>
      </c>
      <c r="V366">
        <f t="shared" si="72"/>
        <v>0</v>
      </c>
      <c r="AF366" t="str">
        <f>IF(OR(资金日记账!$E366="",N(资金日记账!$H366)=0),"",资金日记账!$E366)</f>
        <v/>
      </c>
      <c r="AG366">
        <f t="shared" si="73"/>
        <v>0</v>
      </c>
      <c r="AH366">
        <f t="shared" si="74"/>
        <v>0</v>
      </c>
    </row>
    <row r="367" spans="1:34">
      <c r="A367" t="str">
        <f>IF(资金日记账!$F65="","",资金日记账!$F65)</f>
        <v/>
      </c>
      <c r="B367">
        <f t="shared" si="67"/>
        <v>0</v>
      </c>
      <c r="C367">
        <f t="shared" si="68"/>
        <v>0</v>
      </c>
      <c r="G367">
        <f>IF(OR($G$1="",资金日记账!$E360="",资金日记账!$E360&lt;&gt;$G$1),0,IF(NOT(OR(N(资金日记账!$H360)&lt;&gt;0,N(资金日记账!$I360)&lt;&gt;0)),0,IF(资金日记账!$B360="",1,IF(OR(N(资金日记账!$B360)&lt;$H$1,N(资金日记账!$B360)&gt;$I$1),0,1))))</f>
        <v>0</v>
      </c>
      <c r="H367">
        <f t="shared" si="69"/>
        <v>0</v>
      </c>
      <c r="I367" t="str">
        <f>IF($G367=0,"",IF(资金日记账!$B360=0,"",资金日记账!$B360))</f>
        <v/>
      </c>
      <c r="J367" t="str">
        <f>IF($G367=0,"",IF(资金日记账!$D360=0,"",资金日记账!$D360))</f>
        <v/>
      </c>
      <c r="K367" t="str">
        <f t="shared" si="75"/>
        <v/>
      </c>
      <c r="L367" t="str">
        <f t="shared" si="76"/>
        <v/>
      </c>
      <c r="M367" t="str">
        <f t="shared" si="70"/>
        <v/>
      </c>
      <c r="N367" t="str">
        <f>IF($G367=0,"",IF(IF(N(资金日记账!$I360)=0,"",-ROUND(N(资金日记账!$I360),2))=0,"",IF(N(资金日记账!$I360)=0,"",-ROUND(N(资金日记账!$I360),2))))</f>
        <v/>
      </c>
      <c r="O367" t="str">
        <f>IF($G367=0,"",IF(IF(N(资金日记账!$H360)=0,"",ROUND(N(资金日记账!$H360),2))=0,"",IF(N(资金日记账!$H360)=0,"",ROUND(N(资金日记账!$H360),2))))</f>
        <v/>
      </c>
      <c r="P367" t="str">
        <f>IF($G367=0,"",IF(资金日记账!$L360=0,"",资金日记账!$L360))</f>
        <v/>
      </c>
      <c r="T367" t="str">
        <f>IF(资金日记账!$G367="","",资金日记账!$G367)</f>
        <v/>
      </c>
      <c r="U367">
        <f t="shared" si="71"/>
        <v>0</v>
      </c>
      <c r="V367">
        <f t="shared" si="72"/>
        <v>0</v>
      </c>
      <c r="AF367" t="str">
        <f>IF(OR(资金日记账!$E367="",N(资金日记账!$H367)=0),"",资金日记账!$E367)</f>
        <v/>
      </c>
      <c r="AG367">
        <f t="shared" si="73"/>
        <v>0</v>
      </c>
      <c r="AH367">
        <f t="shared" si="74"/>
        <v>0</v>
      </c>
    </row>
    <row r="368" spans="1:34">
      <c r="A368" t="str">
        <f>IF(资金日记账!$F66="","",资金日记账!$F66)</f>
        <v/>
      </c>
      <c r="B368">
        <f t="shared" si="67"/>
        <v>0</v>
      </c>
      <c r="C368">
        <f t="shared" si="68"/>
        <v>0</v>
      </c>
      <c r="G368">
        <f>IF(OR($G$1="",资金日记账!$E361="",资金日记账!$E361&lt;&gt;$G$1),0,IF(NOT(OR(N(资金日记账!$H361)&lt;&gt;0,N(资金日记账!$I361)&lt;&gt;0)),0,IF(资金日记账!$B361="",1,IF(OR(N(资金日记账!$B361)&lt;$H$1,N(资金日记账!$B361)&gt;$I$1),0,1))))</f>
        <v>0</v>
      </c>
      <c r="H368">
        <f t="shared" si="69"/>
        <v>0</v>
      </c>
      <c r="I368" t="str">
        <f>IF($G368=0,"",IF(资金日记账!$B361=0,"",资金日记账!$B361))</f>
        <v/>
      </c>
      <c r="J368" t="str">
        <f>IF($G368=0,"",IF(资金日记账!$D361=0,"",资金日记账!$D361))</f>
        <v/>
      </c>
      <c r="K368" t="str">
        <f t="shared" si="75"/>
        <v/>
      </c>
      <c r="L368" t="str">
        <f t="shared" si="76"/>
        <v/>
      </c>
      <c r="M368" t="str">
        <f t="shared" si="70"/>
        <v/>
      </c>
      <c r="N368" t="str">
        <f>IF($G368=0,"",IF(IF(N(资金日记账!$I361)=0,"",-ROUND(N(资金日记账!$I361),2))=0,"",IF(N(资金日记账!$I361)=0,"",-ROUND(N(资金日记账!$I361),2))))</f>
        <v/>
      </c>
      <c r="O368" t="str">
        <f>IF($G368=0,"",IF(IF(N(资金日记账!$H361)=0,"",ROUND(N(资金日记账!$H361),2))=0,"",IF(N(资金日记账!$H361)=0,"",ROUND(N(资金日记账!$H361),2))))</f>
        <v/>
      </c>
      <c r="P368" t="str">
        <f>IF($G368=0,"",IF(资金日记账!$L361=0,"",资金日记账!$L361))</f>
        <v/>
      </c>
      <c r="T368" t="str">
        <f>IF(资金日记账!$G368="","",资金日记账!$G368)</f>
        <v/>
      </c>
      <c r="U368">
        <f t="shared" si="71"/>
        <v>0</v>
      </c>
      <c r="V368">
        <f t="shared" si="72"/>
        <v>0</v>
      </c>
      <c r="AF368" t="str">
        <f>IF(OR(资金日记账!$E368="",N(资金日记账!$H368)=0),"",资金日记账!$E368)</f>
        <v/>
      </c>
      <c r="AG368">
        <f t="shared" si="73"/>
        <v>0</v>
      </c>
      <c r="AH368">
        <f t="shared" si="74"/>
        <v>0</v>
      </c>
    </row>
    <row r="369" spans="1:34">
      <c r="A369" t="str">
        <f>IF(资金日记账!$F67="","",资金日记账!$F67)</f>
        <v/>
      </c>
      <c r="B369">
        <f t="shared" si="67"/>
        <v>0</v>
      </c>
      <c r="C369">
        <f t="shared" si="68"/>
        <v>0</v>
      </c>
      <c r="G369">
        <f>IF(OR($G$1="",资金日记账!$E362="",资金日记账!$E362&lt;&gt;$G$1),0,IF(NOT(OR(N(资金日记账!$H362)&lt;&gt;0,N(资金日记账!$I362)&lt;&gt;0)),0,IF(资金日记账!$B362="",1,IF(OR(N(资金日记账!$B362)&lt;$H$1,N(资金日记账!$B362)&gt;$I$1),0,1))))</f>
        <v>0</v>
      </c>
      <c r="H369">
        <f t="shared" si="69"/>
        <v>0</v>
      </c>
      <c r="I369" t="str">
        <f>IF($G369=0,"",IF(资金日记账!$B362=0,"",资金日记账!$B362))</f>
        <v/>
      </c>
      <c r="J369" t="str">
        <f>IF($G369=0,"",IF(资金日记账!$D362=0,"",资金日记账!$D362))</f>
        <v/>
      </c>
      <c r="K369" t="str">
        <f t="shared" si="75"/>
        <v/>
      </c>
      <c r="L369" t="str">
        <f t="shared" si="76"/>
        <v/>
      </c>
      <c r="M369" t="str">
        <f t="shared" si="70"/>
        <v/>
      </c>
      <c r="N369" t="str">
        <f>IF($G369=0,"",IF(IF(N(资金日记账!$I362)=0,"",-ROUND(N(资金日记账!$I362),2))=0,"",IF(N(资金日记账!$I362)=0,"",-ROUND(N(资金日记账!$I362),2))))</f>
        <v/>
      </c>
      <c r="O369" t="str">
        <f>IF($G369=0,"",IF(IF(N(资金日记账!$H362)=0,"",ROUND(N(资金日记账!$H362),2))=0,"",IF(N(资金日记账!$H362)=0,"",ROUND(N(资金日记账!$H362),2))))</f>
        <v/>
      </c>
      <c r="P369" t="str">
        <f>IF($G369=0,"",IF(资金日记账!$L362=0,"",资金日记账!$L362))</f>
        <v/>
      </c>
      <c r="T369" t="str">
        <f>IF(资金日记账!$G369="","",资金日记账!$G369)</f>
        <v/>
      </c>
      <c r="U369">
        <f t="shared" si="71"/>
        <v>0</v>
      </c>
      <c r="V369">
        <f t="shared" si="72"/>
        <v>0</v>
      </c>
      <c r="AF369" t="str">
        <f>IF(OR(资金日记账!$E369="",N(资金日记账!$H369)=0),"",资金日记账!$E369)</f>
        <v/>
      </c>
      <c r="AG369">
        <f t="shared" si="73"/>
        <v>0</v>
      </c>
      <c r="AH369">
        <f t="shared" si="74"/>
        <v>0</v>
      </c>
    </row>
    <row r="370" spans="1:34">
      <c r="A370" t="str">
        <f>IF(资金日记账!$F68="","",资金日记账!$F68)</f>
        <v/>
      </c>
      <c r="B370">
        <f t="shared" si="67"/>
        <v>0</v>
      </c>
      <c r="C370">
        <f t="shared" si="68"/>
        <v>0</v>
      </c>
      <c r="G370">
        <f>IF(OR($G$1="",资金日记账!$E363="",资金日记账!$E363&lt;&gt;$G$1),0,IF(NOT(OR(N(资金日记账!$H363)&lt;&gt;0,N(资金日记账!$I363)&lt;&gt;0)),0,IF(资金日记账!$B363="",1,IF(OR(N(资金日记账!$B363)&lt;$H$1,N(资金日记账!$B363)&gt;$I$1),0,1))))</f>
        <v>0</v>
      </c>
      <c r="H370">
        <f t="shared" si="69"/>
        <v>0</v>
      </c>
      <c r="I370" t="str">
        <f>IF($G370=0,"",IF(资金日记账!$B363=0,"",资金日记账!$B363))</f>
        <v/>
      </c>
      <c r="J370" t="str">
        <f>IF($G370=0,"",IF(资金日记账!$D363=0,"",资金日记账!$D363))</f>
        <v/>
      </c>
      <c r="K370" t="str">
        <f t="shared" si="75"/>
        <v/>
      </c>
      <c r="L370" t="str">
        <f t="shared" si="76"/>
        <v/>
      </c>
      <c r="M370" t="str">
        <f t="shared" si="70"/>
        <v/>
      </c>
      <c r="N370" t="str">
        <f>IF($G370=0,"",IF(IF(N(资金日记账!$I363)=0,"",-ROUND(N(资金日记账!$I363),2))=0,"",IF(N(资金日记账!$I363)=0,"",-ROUND(N(资金日记账!$I363),2))))</f>
        <v/>
      </c>
      <c r="O370" t="str">
        <f>IF($G370=0,"",IF(IF(N(资金日记账!$H363)=0,"",ROUND(N(资金日记账!$H363),2))=0,"",IF(N(资金日记账!$H363)=0,"",ROUND(N(资金日记账!$H363),2))))</f>
        <v/>
      </c>
      <c r="P370" t="str">
        <f>IF($G370=0,"",IF(资金日记账!$L363=0,"",资金日记账!$L363))</f>
        <v/>
      </c>
      <c r="T370" t="str">
        <f>IF(资金日记账!$G370="","",资金日记账!$G370)</f>
        <v/>
      </c>
      <c r="U370">
        <f t="shared" si="71"/>
        <v>0</v>
      </c>
      <c r="V370">
        <f t="shared" si="72"/>
        <v>0</v>
      </c>
      <c r="AF370" t="str">
        <f>IF(OR(资金日记账!$E370="",N(资金日记账!$H370)=0),"",资金日记账!$E370)</f>
        <v/>
      </c>
      <c r="AG370">
        <f t="shared" si="73"/>
        <v>0</v>
      </c>
      <c r="AH370">
        <f t="shared" si="74"/>
        <v>0</v>
      </c>
    </row>
    <row r="371" spans="1:34">
      <c r="A371" t="str">
        <f>IF(资金日记账!$F69="","",资金日记账!$F69)</f>
        <v/>
      </c>
      <c r="B371">
        <f t="shared" si="67"/>
        <v>0</v>
      </c>
      <c r="C371">
        <f t="shared" si="68"/>
        <v>0</v>
      </c>
      <c r="G371">
        <f>IF(OR($G$1="",资金日记账!$E364="",资金日记账!$E364&lt;&gt;$G$1),0,IF(NOT(OR(N(资金日记账!$H364)&lt;&gt;0,N(资金日记账!$I364)&lt;&gt;0)),0,IF(资金日记账!$B364="",1,IF(OR(N(资金日记账!$B364)&lt;$H$1,N(资金日记账!$B364)&gt;$I$1),0,1))))</f>
        <v>0</v>
      </c>
      <c r="H371">
        <f t="shared" si="69"/>
        <v>0</v>
      </c>
      <c r="I371" t="str">
        <f>IF($G371=0,"",IF(资金日记账!$B364=0,"",资金日记账!$B364))</f>
        <v/>
      </c>
      <c r="J371" t="str">
        <f>IF($G371=0,"",IF(资金日记账!$D364=0,"",资金日记账!$D364))</f>
        <v/>
      </c>
      <c r="K371" t="str">
        <f t="shared" si="75"/>
        <v/>
      </c>
      <c r="L371" t="str">
        <f t="shared" si="76"/>
        <v/>
      </c>
      <c r="M371" t="str">
        <f t="shared" si="70"/>
        <v/>
      </c>
      <c r="N371" t="str">
        <f>IF($G371=0,"",IF(IF(N(资金日记账!$I364)=0,"",-ROUND(N(资金日记账!$I364),2))=0,"",IF(N(资金日记账!$I364)=0,"",-ROUND(N(资金日记账!$I364),2))))</f>
        <v/>
      </c>
      <c r="O371" t="str">
        <f>IF($G371=0,"",IF(IF(N(资金日记账!$H364)=0,"",ROUND(N(资金日记账!$H364),2))=0,"",IF(N(资金日记账!$H364)=0,"",ROUND(N(资金日记账!$H364),2))))</f>
        <v/>
      </c>
      <c r="P371" t="str">
        <f>IF($G371=0,"",IF(资金日记账!$L364=0,"",资金日记账!$L364))</f>
        <v/>
      </c>
      <c r="T371" t="str">
        <f>IF(资金日记账!$G371="","",资金日记账!$G371)</f>
        <v/>
      </c>
      <c r="U371">
        <f t="shared" si="71"/>
        <v>0</v>
      </c>
      <c r="V371">
        <f t="shared" si="72"/>
        <v>0</v>
      </c>
      <c r="AF371" t="str">
        <f>IF(OR(资金日记账!$E371="",N(资金日记账!$H371)=0),"",资金日记账!$E371)</f>
        <v/>
      </c>
      <c r="AG371">
        <f t="shared" si="73"/>
        <v>0</v>
      </c>
      <c r="AH371">
        <f t="shared" si="74"/>
        <v>0</v>
      </c>
    </row>
    <row r="372" spans="1:34">
      <c r="A372" t="str">
        <f>IF(资金日记账!$F70="","",资金日记账!$F70)</f>
        <v/>
      </c>
      <c r="B372">
        <f t="shared" si="67"/>
        <v>0</v>
      </c>
      <c r="C372">
        <f t="shared" si="68"/>
        <v>0</v>
      </c>
      <c r="G372">
        <f>IF(OR($G$1="",资金日记账!$E365="",资金日记账!$E365&lt;&gt;$G$1),0,IF(NOT(OR(N(资金日记账!$H365)&lt;&gt;0,N(资金日记账!$I365)&lt;&gt;0)),0,IF(资金日记账!$B365="",1,IF(OR(N(资金日记账!$B365)&lt;$H$1,N(资金日记账!$B365)&gt;$I$1),0,1))))</f>
        <v>0</v>
      </c>
      <c r="H372">
        <f t="shared" si="69"/>
        <v>0</v>
      </c>
      <c r="I372" t="str">
        <f>IF($G372=0,"",IF(资金日记账!$B365=0,"",资金日记账!$B365))</f>
        <v/>
      </c>
      <c r="J372" t="str">
        <f>IF($G372=0,"",IF(资金日记账!$D365=0,"",资金日记账!$D365))</f>
        <v/>
      </c>
      <c r="K372" t="str">
        <f t="shared" si="75"/>
        <v/>
      </c>
      <c r="L372" t="str">
        <f t="shared" si="76"/>
        <v/>
      </c>
      <c r="M372" t="str">
        <f t="shared" si="70"/>
        <v/>
      </c>
      <c r="N372" t="str">
        <f>IF($G372=0,"",IF(IF(N(资金日记账!$I365)=0,"",-ROUND(N(资金日记账!$I365),2))=0,"",IF(N(资金日记账!$I365)=0,"",-ROUND(N(资金日记账!$I365),2))))</f>
        <v/>
      </c>
      <c r="O372" t="str">
        <f>IF($G372=0,"",IF(IF(N(资金日记账!$H365)=0,"",ROUND(N(资金日记账!$H365),2))=0,"",IF(N(资金日记账!$H365)=0,"",ROUND(N(资金日记账!$H365),2))))</f>
        <v/>
      </c>
      <c r="P372" t="str">
        <f>IF($G372=0,"",IF(资金日记账!$L365=0,"",资金日记账!$L365))</f>
        <v/>
      </c>
      <c r="T372" t="str">
        <f>IF(资金日记账!$G372="","",资金日记账!$G372)</f>
        <v/>
      </c>
      <c r="U372">
        <f t="shared" si="71"/>
        <v>0</v>
      </c>
      <c r="V372">
        <f t="shared" si="72"/>
        <v>0</v>
      </c>
      <c r="AF372" t="str">
        <f>IF(OR(资金日记账!$E372="",N(资金日记账!$H372)=0),"",资金日记账!$E372)</f>
        <v/>
      </c>
      <c r="AG372">
        <f t="shared" si="73"/>
        <v>0</v>
      </c>
      <c r="AH372">
        <f t="shared" si="74"/>
        <v>0</v>
      </c>
    </row>
    <row r="373" spans="1:34">
      <c r="A373" t="str">
        <f>IF(资金日记账!$F71="","",资金日记账!$F71)</f>
        <v/>
      </c>
      <c r="B373">
        <f t="shared" si="67"/>
        <v>0</v>
      </c>
      <c r="C373">
        <f t="shared" si="68"/>
        <v>0</v>
      </c>
      <c r="G373">
        <f>IF(OR($G$1="",资金日记账!$E366="",资金日记账!$E366&lt;&gt;$G$1),0,IF(NOT(OR(N(资金日记账!$H366)&lt;&gt;0,N(资金日记账!$I366)&lt;&gt;0)),0,IF(资金日记账!$B366="",1,IF(OR(N(资金日记账!$B366)&lt;$H$1,N(资金日记账!$B366)&gt;$I$1),0,1))))</f>
        <v>0</v>
      </c>
      <c r="H373">
        <f t="shared" si="69"/>
        <v>0</v>
      </c>
      <c r="I373" t="str">
        <f>IF($G373=0,"",IF(资金日记账!$B366=0,"",资金日记账!$B366))</f>
        <v/>
      </c>
      <c r="J373" t="str">
        <f>IF($G373=0,"",IF(资金日记账!$D366=0,"",资金日记账!$D366))</f>
        <v/>
      </c>
      <c r="K373" t="str">
        <f t="shared" si="75"/>
        <v/>
      </c>
      <c r="L373" t="str">
        <f t="shared" si="76"/>
        <v/>
      </c>
      <c r="M373" t="str">
        <f t="shared" si="70"/>
        <v/>
      </c>
      <c r="N373" t="str">
        <f>IF($G373=0,"",IF(IF(N(资金日记账!$I366)=0,"",-ROUND(N(资金日记账!$I366),2))=0,"",IF(N(资金日记账!$I366)=0,"",-ROUND(N(资金日记账!$I366),2))))</f>
        <v/>
      </c>
      <c r="O373" t="str">
        <f>IF($G373=0,"",IF(IF(N(资金日记账!$H366)=0,"",ROUND(N(资金日记账!$H366),2))=0,"",IF(N(资金日记账!$H366)=0,"",ROUND(N(资金日记账!$H366),2))))</f>
        <v/>
      </c>
      <c r="P373" t="str">
        <f>IF($G373=0,"",IF(资金日记账!$L366=0,"",资金日记账!$L366))</f>
        <v/>
      </c>
      <c r="T373" t="str">
        <f>IF(资金日记账!$G373="","",资金日记账!$G373)</f>
        <v/>
      </c>
      <c r="U373">
        <f t="shared" si="71"/>
        <v>0</v>
      </c>
      <c r="V373">
        <f t="shared" si="72"/>
        <v>0</v>
      </c>
      <c r="AF373" t="str">
        <f>IF(OR(资金日记账!$E373="",N(资金日记账!$H373)=0),"",资金日记账!$E373)</f>
        <v/>
      </c>
      <c r="AG373">
        <f t="shared" si="73"/>
        <v>0</v>
      </c>
      <c r="AH373">
        <f t="shared" si="74"/>
        <v>0</v>
      </c>
    </row>
    <row r="374" spans="1:34">
      <c r="A374" t="str">
        <f>IF(资金日记账!$F72="","",资金日记账!$F72)</f>
        <v/>
      </c>
      <c r="B374">
        <f t="shared" si="67"/>
        <v>0</v>
      </c>
      <c r="C374">
        <f t="shared" si="68"/>
        <v>0</v>
      </c>
      <c r="G374">
        <f>IF(OR($G$1="",资金日记账!$E367="",资金日记账!$E367&lt;&gt;$G$1),0,IF(NOT(OR(N(资金日记账!$H367)&lt;&gt;0,N(资金日记账!$I367)&lt;&gt;0)),0,IF(资金日记账!$B367="",1,IF(OR(N(资金日记账!$B367)&lt;$H$1,N(资金日记账!$B367)&gt;$I$1),0,1))))</f>
        <v>0</v>
      </c>
      <c r="H374">
        <f t="shared" si="69"/>
        <v>0</v>
      </c>
      <c r="I374" t="str">
        <f>IF($G374=0,"",IF(资金日记账!$B367=0,"",资金日记账!$B367))</f>
        <v/>
      </c>
      <c r="J374" t="str">
        <f>IF($G374=0,"",IF(资金日记账!$D367=0,"",资金日记账!$D367))</f>
        <v/>
      </c>
      <c r="K374" t="str">
        <f t="shared" si="75"/>
        <v/>
      </c>
      <c r="L374" t="str">
        <f t="shared" si="76"/>
        <v/>
      </c>
      <c r="M374" t="str">
        <f t="shared" si="70"/>
        <v/>
      </c>
      <c r="N374" t="str">
        <f>IF($G374=0,"",IF(IF(N(资金日记账!$I367)=0,"",-ROUND(N(资金日记账!$I367),2))=0,"",IF(N(资金日记账!$I367)=0,"",-ROUND(N(资金日记账!$I367),2))))</f>
        <v/>
      </c>
      <c r="O374" t="str">
        <f>IF($G374=0,"",IF(IF(N(资金日记账!$H367)=0,"",ROUND(N(资金日记账!$H367),2))=0,"",IF(N(资金日记账!$H367)=0,"",ROUND(N(资金日记账!$H367),2))))</f>
        <v/>
      </c>
      <c r="P374" t="str">
        <f>IF($G374=0,"",IF(资金日记账!$L367=0,"",资金日记账!$L367))</f>
        <v/>
      </c>
      <c r="T374" t="str">
        <f>IF(资金日记账!$G374="","",资金日记账!$G374)</f>
        <v/>
      </c>
      <c r="U374">
        <f t="shared" si="71"/>
        <v>0</v>
      </c>
      <c r="V374">
        <f t="shared" si="72"/>
        <v>0</v>
      </c>
      <c r="AF374" t="str">
        <f>IF(OR(资金日记账!$E374="",N(资金日记账!$H374)=0),"",资金日记账!$E374)</f>
        <v/>
      </c>
      <c r="AG374">
        <f t="shared" si="73"/>
        <v>0</v>
      </c>
      <c r="AH374">
        <f t="shared" si="74"/>
        <v>0</v>
      </c>
    </row>
    <row r="375" spans="1:34">
      <c r="A375" t="str">
        <f>IF(资金日记账!$F73="","",资金日记账!$F73)</f>
        <v/>
      </c>
      <c r="B375">
        <f t="shared" si="67"/>
        <v>0</v>
      </c>
      <c r="C375">
        <f t="shared" si="68"/>
        <v>0</v>
      </c>
      <c r="G375">
        <f>IF(OR($G$1="",资金日记账!$E368="",资金日记账!$E368&lt;&gt;$G$1),0,IF(NOT(OR(N(资金日记账!$H368)&lt;&gt;0,N(资金日记账!$I368)&lt;&gt;0)),0,IF(资金日记账!$B368="",1,IF(OR(N(资金日记账!$B368)&lt;$H$1,N(资金日记账!$B368)&gt;$I$1),0,1))))</f>
        <v>0</v>
      </c>
      <c r="H375">
        <f t="shared" si="69"/>
        <v>0</v>
      </c>
      <c r="I375" t="str">
        <f>IF($G375=0,"",IF(资金日记账!$B368=0,"",资金日记账!$B368))</f>
        <v/>
      </c>
      <c r="J375" t="str">
        <f>IF($G375=0,"",IF(资金日记账!$D368=0,"",资金日记账!$D368))</f>
        <v/>
      </c>
      <c r="K375" t="str">
        <f t="shared" si="75"/>
        <v/>
      </c>
      <c r="L375" t="str">
        <f t="shared" si="76"/>
        <v/>
      </c>
      <c r="M375" t="str">
        <f t="shared" si="70"/>
        <v/>
      </c>
      <c r="N375" t="str">
        <f>IF($G375=0,"",IF(IF(N(资金日记账!$I368)=0,"",-ROUND(N(资金日记账!$I368),2))=0,"",IF(N(资金日记账!$I368)=0,"",-ROUND(N(资金日记账!$I368),2))))</f>
        <v/>
      </c>
      <c r="O375" t="str">
        <f>IF($G375=0,"",IF(IF(N(资金日记账!$H368)=0,"",ROUND(N(资金日记账!$H368),2))=0,"",IF(N(资金日记账!$H368)=0,"",ROUND(N(资金日记账!$H368),2))))</f>
        <v/>
      </c>
      <c r="P375" t="str">
        <f>IF($G375=0,"",IF(资金日记账!$L368=0,"",资金日记账!$L368))</f>
        <v/>
      </c>
      <c r="T375" t="str">
        <f>IF(资金日记账!$G375="","",资金日记账!$G375)</f>
        <v/>
      </c>
      <c r="U375">
        <f t="shared" si="71"/>
        <v>0</v>
      </c>
      <c r="V375">
        <f t="shared" si="72"/>
        <v>0</v>
      </c>
      <c r="AF375" t="str">
        <f>IF(OR(资金日记账!$E375="",N(资金日记账!$H375)=0),"",资金日记账!$E375)</f>
        <v/>
      </c>
      <c r="AG375">
        <f t="shared" si="73"/>
        <v>0</v>
      </c>
      <c r="AH375">
        <f t="shared" si="74"/>
        <v>0</v>
      </c>
    </row>
    <row r="376" spans="1:34">
      <c r="A376" t="str">
        <f>IF(资金日记账!$F74="","",资金日记账!$F74)</f>
        <v/>
      </c>
      <c r="B376">
        <f t="shared" si="67"/>
        <v>0</v>
      </c>
      <c r="C376">
        <f t="shared" si="68"/>
        <v>0</v>
      </c>
      <c r="G376">
        <f>IF(OR($G$1="",资金日记账!$E369="",资金日记账!$E369&lt;&gt;$G$1),0,IF(NOT(OR(N(资金日记账!$H369)&lt;&gt;0,N(资金日记账!$I369)&lt;&gt;0)),0,IF(资金日记账!$B369="",1,IF(OR(N(资金日记账!$B369)&lt;$H$1,N(资金日记账!$B369)&gt;$I$1),0,1))))</f>
        <v>0</v>
      </c>
      <c r="H376">
        <f t="shared" si="69"/>
        <v>0</v>
      </c>
      <c r="I376" t="str">
        <f>IF($G376=0,"",IF(资金日记账!$B369=0,"",资金日记账!$B369))</f>
        <v/>
      </c>
      <c r="J376" t="str">
        <f>IF($G376=0,"",IF(资金日记账!$D369=0,"",资金日记账!$D369))</f>
        <v/>
      </c>
      <c r="K376" t="str">
        <f t="shared" si="75"/>
        <v/>
      </c>
      <c r="L376" t="str">
        <f t="shared" si="76"/>
        <v/>
      </c>
      <c r="M376" t="str">
        <f t="shared" si="70"/>
        <v/>
      </c>
      <c r="N376" t="str">
        <f>IF($G376=0,"",IF(IF(N(资金日记账!$I369)=0,"",-ROUND(N(资金日记账!$I369),2))=0,"",IF(N(资金日记账!$I369)=0,"",-ROUND(N(资金日记账!$I369),2))))</f>
        <v/>
      </c>
      <c r="O376" t="str">
        <f>IF($G376=0,"",IF(IF(N(资金日记账!$H369)=0,"",ROUND(N(资金日记账!$H369),2))=0,"",IF(N(资金日记账!$H369)=0,"",ROUND(N(资金日记账!$H369),2))))</f>
        <v/>
      </c>
      <c r="P376" t="str">
        <f>IF($G376=0,"",IF(资金日记账!$L369=0,"",资金日记账!$L369))</f>
        <v/>
      </c>
      <c r="T376" t="str">
        <f>IF(资金日记账!$G376="","",资金日记账!$G376)</f>
        <v/>
      </c>
      <c r="U376">
        <f t="shared" si="71"/>
        <v>0</v>
      </c>
      <c r="V376">
        <f t="shared" si="72"/>
        <v>0</v>
      </c>
      <c r="AF376" t="str">
        <f>IF(OR(资金日记账!$E376="",N(资金日记账!$H376)=0),"",资金日记账!$E376)</f>
        <v/>
      </c>
      <c r="AG376">
        <f t="shared" si="73"/>
        <v>0</v>
      </c>
      <c r="AH376">
        <f t="shared" si="74"/>
        <v>0</v>
      </c>
    </row>
    <row r="377" spans="1:34">
      <c r="A377" t="str">
        <f>IF(资金日记账!$F75="","",资金日记账!$F75)</f>
        <v/>
      </c>
      <c r="B377">
        <f t="shared" si="67"/>
        <v>0</v>
      </c>
      <c r="C377">
        <f t="shared" si="68"/>
        <v>0</v>
      </c>
      <c r="G377">
        <f>IF(OR($G$1="",资金日记账!$E370="",资金日记账!$E370&lt;&gt;$G$1),0,IF(NOT(OR(N(资金日记账!$H370)&lt;&gt;0,N(资金日记账!$I370)&lt;&gt;0)),0,IF(资金日记账!$B370="",1,IF(OR(N(资金日记账!$B370)&lt;$H$1,N(资金日记账!$B370)&gt;$I$1),0,1))))</f>
        <v>0</v>
      </c>
      <c r="H377">
        <f t="shared" si="69"/>
        <v>0</v>
      </c>
      <c r="I377" t="str">
        <f>IF($G377=0,"",IF(资金日记账!$B370=0,"",资金日记账!$B370))</f>
        <v/>
      </c>
      <c r="J377" t="str">
        <f>IF($G377=0,"",IF(资金日记账!$D370=0,"",资金日记账!$D370))</f>
        <v/>
      </c>
      <c r="K377" t="str">
        <f t="shared" si="75"/>
        <v/>
      </c>
      <c r="L377" t="str">
        <f t="shared" si="76"/>
        <v/>
      </c>
      <c r="M377" t="str">
        <f t="shared" si="70"/>
        <v/>
      </c>
      <c r="N377" t="str">
        <f>IF($G377=0,"",IF(IF(N(资金日记账!$I370)=0,"",-ROUND(N(资金日记账!$I370),2))=0,"",IF(N(资金日记账!$I370)=0,"",-ROUND(N(资金日记账!$I370),2))))</f>
        <v/>
      </c>
      <c r="O377" t="str">
        <f>IF($G377=0,"",IF(IF(N(资金日记账!$H370)=0,"",ROUND(N(资金日记账!$H370),2))=0,"",IF(N(资金日记账!$H370)=0,"",ROUND(N(资金日记账!$H370),2))))</f>
        <v/>
      </c>
      <c r="P377" t="str">
        <f>IF($G377=0,"",IF(资金日记账!$L370=0,"",资金日记账!$L370))</f>
        <v/>
      </c>
      <c r="T377" t="str">
        <f>IF(资金日记账!$G377="","",资金日记账!$G377)</f>
        <v/>
      </c>
      <c r="U377">
        <f t="shared" si="71"/>
        <v>0</v>
      </c>
      <c r="V377">
        <f t="shared" si="72"/>
        <v>0</v>
      </c>
      <c r="AF377" t="str">
        <f>IF(OR(资金日记账!$E377="",N(资金日记账!$H377)=0),"",资金日记账!$E377)</f>
        <v/>
      </c>
      <c r="AG377">
        <f t="shared" si="73"/>
        <v>0</v>
      </c>
      <c r="AH377">
        <f t="shared" si="74"/>
        <v>0</v>
      </c>
    </row>
    <row r="378" spans="1:34">
      <c r="A378" t="str">
        <f>IF(资金日记账!$F76="","",资金日记账!$F76)</f>
        <v/>
      </c>
      <c r="B378">
        <f t="shared" si="67"/>
        <v>0</v>
      </c>
      <c r="C378">
        <f t="shared" si="68"/>
        <v>0</v>
      </c>
      <c r="G378">
        <f>IF(OR($G$1="",资金日记账!$E371="",资金日记账!$E371&lt;&gt;$G$1),0,IF(NOT(OR(N(资金日记账!$H371)&lt;&gt;0,N(资金日记账!$I371)&lt;&gt;0)),0,IF(资金日记账!$B371="",1,IF(OR(N(资金日记账!$B371)&lt;$H$1,N(资金日记账!$B371)&gt;$I$1),0,1))))</f>
        <v>0</v>
      </c>
      <c r="H378">
        <f t="shared" si="69"/>
        <v>0</v>
      </c>
      <c r="I378" t="str">
        <f>IF($G378=0,"",IF(资金日记账!$B371=0,"",资金日记账!$B371))</f>
        <v/>
      </c>
      <c r="J378" t="str">
        <f>IF($G378=0,"",IF(资金日记账!$D371=0,"",资金日记账!$D371))</f>
        <v/>
      </c>
      <c r="K378" t="str">
        <f t="shared" si="75"/>
        <v/>
      </c>
      <c r="L378" t="str">
        <f t="shared" si="76"/>
        <v/>
      </c>
      <c r="M378" t="str">
        <f t="shared" si="70"/>
        <v/>
      </c>
      <c r="N378" t="str">
        <f>IF($G378=0,"",IF(IF(N(资金日记账!$I371)=0,"",-ROUND(N(资金日记账!$I371),2))=0,"",IF(N(资金日记账!$I371)=0,"",-ROUND(N(资金日记账!$I371),2))))</f>
        <v/>
      </c>
      <c r="O378" t="str">
        <f>IF($G378=0,"",IF(IF(N(资金日记账!$H371)=0,"",ROUND(N(资金日记账!$H371),2))=0,"",IF(N(资金日记账!$H371)=0,"",ROUND(N(资金日记账!$H371),2))))</f>
        <v/>
      </c>
      <c r="P378" t="str">
        <f>IF($G378=0,"",IF(资金日记账!$L371=0,"",资金日记账!$L371))</f>
        <v/>
      </c>
      <c r="T378" t="str">
        <f>IF(资金日记账!$G378="","",资金日记账!$G378)</f>
        <v/>
      </c>
      <c r="U378">
        <f t="shared" si="71"/>
        <v>0</v>
      </c>
      <c r="V378">
        <f t="shared" si="72"/>
        <v>0</v>
      </c>
      <c r="AF378" t="str">
        <f>IF(OR(资金日记账!$E378="",N(资金日记账!$H378)=0),"",资金日记账!$E378)</f>
        <v/>
      </c>
      <c r="AG378">
        <f t="shared" si="73"/>
        <v>0</v>
      </c>
      <c r="AH378">
        <f t="shared" si="74"/>
        <v>0</v>
      </c>
    </row>
    <row r="379" spans="1:34">
      <c r="A379" t="str">
        <f>IF(资金日记账!$F77="","",资金日记账!$F77)</f>
        <v/>
      </c>
      <c r="B379">
        <f t="shared" si="67"/>
        <v>0</v>
      </c>
      <c r="C379">
        <f t="shared" si="68"/>
        <v>0</v>
      </c>
      <c r="G379">
        <f>IF(OR($G$1="",资金日记账!$E372="",资金日记账!$E372&lt;&gt;$G$1),0,IF(NOT(OR(N(资金日记账!$H372)&lt;&gt;0,N(资金日记账!$I372)&lt;&gt;0)),0,IF(资金日记账!$B372="",1,IF(OR(N(资金日记账!$B372)&lt;$H$1,N(资金日记账!$B372)&gt;$I$1),0,1))))</f>
        <v>0</v>
      </c>
      <c r="H379">
        <f t="shared" si="69"/>
        <v>0</v>
      </c>
      <c r="I379" t="str">
        <f>IF($G379=0,"",IF(资金日记账!$B372=0,"",资金日记账!$B372))</f>
        <v/>
      </c>
      <c r="J379" t="str">
        <f>IF($G379=0,"",IF(资金日记账!$D372=0,"",资金日记账!$D372))</f>
        <v/>
      </c>
      <c r="K379" t="str">
        <f t="shared" si="75"/>
        <v/>
      </c>
      <c r="L379" t="str">
        <f t="shared" si="76"/>
        <v/>
      </c>
      <c r="M379" t="str">
        <f t="shared" si="70"/>
        <v/>
      </c>
      <c r="N379" t="str">
        <f>IF($G379=0,"",IF(IF(N(资金日记账!$I372)=0,"",-ROUND(N(资金日记账!$I372),2))=0,"",IF(N(资金日记账!$I372)=0,"",-ROUND(N(资金日记账!$I372),2))))</f>
        <v/>
      </c>
      <c r="O379" t="str">
        <f>IF($G379=0,"",IF(IF(N(资金日记账!$H372)=0,"",ROUND(N(资金日记账!$H372),2))=0,"",IF(N(资金日记账!$H372)=0,"",ROUND(N(资金日记账!$H372),2))))</f>
        <v/>
      </c>
      <c r="P379" t="str">
        <f>IF($G379=0,"",IF(资金日记账!$L372=0,"",资金日记账!$L372))</f>
        <v/>
      </c>
      <c r="T379" t="str">
        <f>IF(资金日记账!$G379="","",资金日记账!$G379)</f>
        <v/>
      </c>
      <c r="U379">
        <f t="shared" si="71"/>
        <v>0</v>
      </c>
      <c r="V379">
        <f t="shared" si="72"/>
        <v>0</v>
      </c>
      <c r="AF379" t="str">
        <f>IF(OR(资金日记账!$E379="",N(资金日记账!$H379)=0),"",资金日记账!$E379)</f>
        <v/>
      </c>
      <c r="AG379">
        <f t="shared" si="73"/>
        <v>0</v>
      </c>
      <c r="AH379">
        <f t="shared" si="74"/>
        <v>0</v>
      </c>
    </row>
    <row r="380" spans="1:34">
      <c r="A380" t="str">
        <f>IF(资金日记账!$F78="","",资金日记账!$F78)</f>
        <v/>
      </c>
      <c r="B380">
        <f t="shared" si="67"/>
        <v>0</v>
      </c>
      <c r="C380">
        <f t="shared" si="68"/>
        <v>0</v>
      </c>
      <c r="G380">
        <f>IF(OR($G$1="",资金日记账!$E373="",资金日记账!$E373&lt;&gt;$G$1),0,IF(NOT(OR(N(资金日记账!$H373)&lt;&gt;0,N(资金日记账!$I373)&lt;&gt;0)),0,IF(资金日记账!$B373="",1,IF(OR(N(资金日记账!$B373)&lt;$H$1,N(资金日记账!$B373)&gt;$I$1),0,1))))</f>
        <v>0</v>
      </c>
      <c r="H380">
        <f t="shared" si="69"/>
        <v>0</v>
      </c>
      <c r="I380" t="str">
        <f>IF($G380=0,"",IF(资金日记账!$B373=0,"",资金日记账!$B373))</f>
        <v/>
      </c>
      <c r="J380" t="str">
        <f>IF($G380=0,"",IF(资金日记账!$D373=0,"",资金日记账!$D373))</f>
        <v/>
      </c>
      <c r="K380" t="str">
        <f t="shared" si="75"/>
        <v/>
      </c>
      <c r="L380" t="str">
        <f t="shared" si="76"/>
        <v/>
      </c>
      <c r="M380" t="str">
        <f t="shared" si="70"/>
        <v/>
      </c>
      <c r="N380" t="str">
        <f>IF($G380=0,"",IF(IF(N(资金日记账!$I373)=0,"",-ROUND(N(资金日记账!$I373),2))=0,"",IF(N(资金日记账!$I373)=0,"",-ROUND(N(资金日记账!$I373),2))))</f>
        <v/>
      </c>
      <c r="O380" t="str">
        <f>IF($G380=0,"",IF(IF(N(资金日记账!$H373)=0,"",ROUND(N(资金日记账!$H373),2))=0,"",IF(N(资金日记账!$H373)=0,"",ROUND(N(资金日记账!$H373),2))))</f>
        <v/>
      </c>
      <c r="P380" t="str">
        <f>IF($G380=0,"",IF(资金日记账!$L373=0,"",资金日记账!$L373))</f>
        <v/>
      </c>
      <c r="T380" t="str">
        <f>IF(资金日记账!$G380="","",资金日记账!$G380)</f>
        <v/>
      </c>
      <c r="U380">
        <f t="shared" si="71"/>
        <v>0</v>
      </c>
      <c r="V380">
        <f t="shared" si="72"/>
        <v>0</v>
      </c>
      <c r="AF380" t="str">
        <f>IF(OR(资金日记账!$E380="",N(资金日记账!$H380)=0),"",资金日记账!$E380)</f>
        <v/>
      </c>
      <c r="AG380">
        <f t="shared" si="73"/>
        <v>0</v>
      </c>
      <c r="AH380">
        <f t="shared" si="74"/>
        <v>0</v>
      </c>
    </row>
    <row r="381" spans="1:34">
      <c r="A381" t="str">
        <f>IF(资金日记账!$F79="","",资金日记账!$F79)</f>
        <v/>
      </c>
      <c r="B381">
        <f t="shared" si="67"/>
        <v>0</v>
      </c>
      <c r="C381">
        <f t="shared" si="68"/>
        <v>0</v>
      </c>
      <c r="G381">
        <f>IF(OR($G$1="",资金日记账!$E374="",资金日记账!$E374&lt;&gt;$G$1),0,IF(NOT(OR(N(资金日记账!$H374)&lt;&gt;0,N(资金日记账!$I374)&lt;&gt;0)),0,IF(资金日记账!$B374="",1,IF(OR(N(资金日记账!$B374)&lt;$H$1,N(资金日记账!$B374)&gt;$I$1),0,1))))</f>
        <v>0</v>
      </c>
      <c r="H381">
        <f t="shared" si="69"/>
        <v>0</v>
      </c>
      <c r="I381" t="str">
        <f>IF($G381=0,"",IF(资金日记账!$B374=0,"",资金日记账!$B374))</f>
        <v/>
      </c>
      <c r="J381" t="str">
        <f>IF($G381=0,"",IF(资金日记账!$D374=0,"",资金日记账!$D374))</f>
        <v/>
      </c>
      <c r="K381" t="str">
        <f t="shared" si="75"/>
        <v/>
      </c>
      <c r="L381" t="str">
        <f t="shared" si="76"/>
        <v/>
      </c>
      <c r="M381" t="str">
        <f t="shared" si="70"/>
        <v/>
      </c>
      <c r="N381" t="str">
        <f>IF($G381=0,"",IF(IF(N(资金日记账!$I374)=0,"",-ROUND(N(资金日记账!$I374),2))=0,"",IF(N(资金日记账!$I374)=0,"",-ROUND(N(资金日记账!$I374),2))))</f>
        <v/>
      </c>
      <c r="O381" t="str">
        <f>IF($G381=0,"",IF(IF(N(资金日记账!$H374)=0,"",ROUND(N(资金日记账!$H374),2))=0,"",IF(N(资金日记账!$H374)=0,"",ROUND(N(资金日记账!$H374),2))))</f>
        <v/>
      </c>
      <c r="P381" t="str">
        <f>IF($G381=0,"",IF(资金日记账!$L374=0,"",资金日记账!$L374))</f>
        <v/>
      </c>
      <c r="T381" t="str">
        <f>IF(资金日记账!$G381="","",资金日记账!$G381)</f>
        <v/>
      </c>
      <c r="U381">
        <f t="shared" si="71"/>
        <v>0</v>
      </c>
      <c r="V381">
        <f t="shared" si="72"/>
        <v>0</v>
      </c>
      <c r="AF381" t="str">
        <f>IF(OR(资金日记账!$E381="",N(资金日记账!$H381)=0),"",资金日记账!$E381)</f>
        <v/>
      </c>
      <c r="AG381">
        <f t="shared" si="73"/>
        <v>0</v>
      </c>
      <c r="AH381">
        <f t="shared" si="74"/>
        <v>0</v>
      </c>
    </row>
    <row r="382" spans="1:34">
      <c r="A382" t="str">
        <f>IF(资金日记账!$F80="","",资金日记账!$F80)</f>
        <v/>
      </c>
      <c r="B382">
        <f t="shared" si="67"/>
        <v>0</v>
      </c>
      <c r="C382">
        <f t="shared" si="68"/>
        <v>0</v>
      </c>
      <c r="G382">
        <f>IF(OR($G$1="",资金日记账!$E375="",资金日记账!$E375&lt;&gt;$G$1),0,IF(NOT(OR(N(资金日记账!$H375)&lt;&gt;0,N(资金日记账!$I375)&lt;&gt;0)),0,IF(资金日记账!$B375="",1,IF(OR(N(资金日记账!$B375)&lt;$H$1,N(资金日记账!$B375)&gt;$I$1),0,1))))</f>
        <v>0</v>
      </c>
      <c r="H382">
        <f t="shared" si="69"/>
        <v>0</v>
      </c>
      <c r="I382" t="str">
        <f>IF($G382=0,"",IF(资金日记账!$B375=0,"",资金日记账!$B375))</f>
        <v/>
      </c>
      <c r="J382" t="str">
        <f>IF($G382=0,"",IF(资金日记账!$D375=0,"",资金日记账!$D375))</f>
        <v/>
      </c>
      <c r="K382" t="str">
        <f t="shared" si="75"/>
        <v/>
      </c>
      <c r="L382" t="str">
        <f t="shared" si="76"/>
        <v/>
      </c>
      <c r="M382" t="str">
        <f t="shared" si="70"/>
        <v/>
      </c>
      <c r="N382" t="str">
        <f>IF($G382=0,"",IF(IF(N(资金日记账!$I375)=0,"",-ROUND(N(资金日记账!$I375),2))=0,"",IF(N(资金日记账!$I375)=0,"",-ROUND(N(资金日记账!$I375),2))))</f>
        <v/>
      </c>
      <c r="O382" t="str">
        <f>IF($G382=0,"",IF(IF(N(资金日记账!$H375)=0,"",ROUND(N(资金日记账!$H375),2))=0,"",IF(N(资金日记账!$H375)=0,"",ROUND(N(资金日记账!$H375),2))))</f>
        <v/>
      </c>
      <c r="P382" t="str">
        <f>IF($G382=0,"",IF(资金日记账!$L375=0,"",资金日记账!$L375))</f>
        <v/>
      </c>
      <c r="T382" t="str">
        <f>IF(资金日记账!$G382="","",资金日记账!$G382)</f>
        <v/>
      </c>
      <c r="U382">
        <f t="shared" si="71"/>
        <v>0</v>
      </c>
      <c r="V382">
        <f t="shared" si="72"/>
        <v>0</v>
      </c>
      <c r="AF382" t="str">
        <f>IF(OR(资金日记账!$E382="",N(资金日记账!$H382)=0),"",资金日记账!$E382)</f>
        <v/>
      </c>
      <c r="AG382">
        <f t="shared" si="73"/>
        <v>0</v>
      </c>
      <c r="AH382">
        <f t="shared" si="74"/>
        <v>0</v>
      </c>
    </row>
    <row r="383" spans="1:34">
      <c r="A383" t="str">
        <f>IF(资金日记账!$F81="","",资金日记账!$F81)</f>
        <v/>
      </c>
      <c r="B383">
        <f t="shared" si="67"/>
        <v>0</v>
      </c>
      <c r="C383">
        <f t="shared" si="68"/>
        <v>0</v>
      </c>
      <c r="G383">
        <f>IF(OR($G$1="",资金日记账!$E376="",资金日记账!$E376&lt;&gt;$G$1),0,IF(NOT(OR(N(资金日记账!$H376)&lt;&gt;0,N(资金日记账!$I376)&lt;&gt;0)),0,IF(资金日记账!$B376="",1,IF(OR(N(资金日记账!$B376)&lt;$H$1,N(资金日记账!$B376)&gt;$I$1),0,1))))</f>
        <v>0</v>
      </c>
      <c r="H383">
        <f t="shared" si="69"/>
        <v>0</v>
      </c>
      <c r="I383" t="str">
        <f>IF($G383=0,"",IF(资金日记账!$B376=0,"",资金日记账!$B376))</f>
        <v/>
      </c>
      <c r="J383" t="str">
        <f>IF($G383=0,"",IF(资金日记账!$D376=0,"",资金日记账!$D376))</f>
        <v/>
      </c>
      <c r="K383" t="str">
        <f t="shared" si="75"/>
        <v/>
      </c>
      <c r="L383" t="str">
        <f t="shared" si="76"/>
        <v/>
      </c>
      <c r="M383" t="str">
        <f t="shared" si="70"/>
        <v/>
      </c>
      <c r="N383" t="str">
        <f>IF($G383=0,"",IF(IF(N(资金日记账!$I376)=0,"",-ROUND(N(资金日记账!$I376),2))=0,"",IF(N(资金日记账!$I376)=0,"",-ROUND(N(资金日记账!$I376),2))))</f>
        <v/>
      </c>
      <c r="O383" t="str">
        <f>IF($G383=0,"",IF(IF(N(资金日记账!$H376)=0,"",ROUND(N(资金日记账!$H376),2))=0,"",IF(N(资金日记账!$H376)=0,"",ROUND(N(资金日记账!$H376),2))))</f>
        <v/>
      </c>
      <c r="P383" t="str">
        <f>IF($G383=0,"",IF(资金日记账!$L376=0,"",资金日记账!$L376))</f>
        <v/>
      </c>
      <c r="T383" t="str">
        <f>IF(资金日记账!$G383="","",资金日记账!$G383)</f>
        <v/>
      </c>
      <c r="U383">
        <f t="shared" si="71"/>
        <v>0</v>
      </c>
      <c r="V383">
        <f t="shared" si="72"/>
        <v>0</v>
      </c>
      <c r="AF383" t="str">
        <f>IF(OR(资金日记账!$E383="",N(资金日记账!$H383)=0),"",资金日记账!$E383)</f>
        <v/>
      </c>
      <c r="AG383">
        <f t="shared" si="73"/>
        <v>0</v>
      </c>
      <c r="AH383">
        <f t="shared" si="74"/>
        <v>0</v>
      </c>
    </row>
    <row r="384" spans="1:34">
      <c r="A384" t="str">
        <f>IF(资金日记账!$F82="","",资金日记账!$F82)</f>
        <v/>
      </c>
      <c r="B384">
        <f t="shared" si="67"/>
        <v>0</v>
      </c>
      <c r="C384">
        <f t="shared" si="68"/>
        <v>0</v>
      </c>
      <c r="G384">
        <f>IF(OR($G$1="",资金日记账!$E377="",资金日记账!$E377&lt;&gt;$G$1),0,IF(NOT(OR(N(资金日记账!$H377)&lt;&gt;0,N(资金日记账!$I377)&lt;&gt;0)),0,IF(资金日记账!$B377="",1,IF(OR(N(资金日记账!$B377)&lt;$H$1,N(资金日记账!$B377)&gt;$I$1),0,1))))</f>
        <v>0</v>
      </c>
      <c r="H384">
        <f t="shared" si="69"/>
        <v>0</v>
      </c>
      <c r="I384" t="str">
        <f>IF($G384=0,"",IF(资金日记账!$B377=0,"",资金日记账!$B377))</f>
        <v/>
      </c>
      <c r="J384" t="str">
        <f>IF($G384=0,"",IF(资金日记账!$D377=0,"",资金日记账!$D377))</f>
        <v/>
      </c>
      <c r="K384" t="str">
        <f t="shared" si="75"/>
        <v/>
      </c>
      <c r="L384" t="str">
        <f t="shared" si="76"/>
        <v/>
      </c>
      <c r="M384" t="str">
        <f t="shared" si="70"/>
        <v/>
      </c>
      <c r="N384" t="str">
        <f>IF($G384=0,"",IF(IF(N(资金日记账!$I377)=0,"",-ROUND(N(资金日记账!$I377),2))=0,"",IF(N(资金日记账!$I377)=0,"",-ROUND(N(资金日记账!$I377),2))))</f>
        <v/>
      </c>
      <c r="O384" t="str">
        <f>IF($G384=0,"",IF(IF(N(资金日记账!$H377)=0,"",ROUND(N(资金日记账!$H377),2))=0,"",IF(N(资金日记账!$H377)=0,"",ROUND(N(资金日记账!$H377),2))))</f>
        <v/>
      </c>
      <c r="P384" t="str">
        <f>IF($G384=0,"",IF(资金日记账!$L377=0,"",资金日记账!$L377))</f>
        <v/>
      </c>
      <c r="T384" t="str">
        <f>IF(资金日记账!$G384="","",资金日记账!$G384)</f>
        <v/>
      </c>
      <c r="U384">
        <f t="shared" si="71"/>
        <v>0</v>
      </c>
      <c r="V384">
        <f t="shared" si="72"/>
        <v>0</v>
      </c>
      <c r="AF384" t="str">
        <f>IF(OR(资金日记账!$E384="",N(资金日记账!$H384)=0),"",资金日记账!$E384)</f>
        <v/>
      </c>
      <c r="AG384">
        <f t="shared" si="73"/>
        <v>0</v>
      </c>
      <c r="AH384">
        <f t="shared" si="74"/>
        <v>0</v>
      </c>
    </row>
    <row r="385" spans="1:34">
      <c r="A385" t="str">
        <f>IF(资金日记账!$F83="","",资金日记账!$F83)</f>
        <v/>
      </c>
      <c r="B385">
        <f t="shared" si="67"/>
        <v>0</v>
      </c>
      <c r="C385">
        <f t="shared" si="68"/>
        <v>0</v>
      </c>
      <c r="G385">
        <f>IF(OR($G$1="",资金日记账!$E378="",资金日记账!$E378&lt;&gt;$G$1),0,IF(NOT(OR(N(资金日记账!$H378)&lt;&gt;0,N(资金日记账!$I378)&lt;&gt;0)),0,IF(资金日记账!$B378="",1,IF(OR(N(资金日记账!$B378)&lt;$H$1,N(资金日记账!$B378)&gt;$I$1),0,1))))</f>
        <v>0</v>
      </c>
      <c r="H385">
        <f t="shared" si="69"/>
        <v>0</v>
      </c>
      <c r="I385" t="str">
        <f>IF($G385=0,"",IF(资金日记账!$B378=0,"",资金日记账!$B378))</f>
        <v/>
      </c>
      <c r="J385" t="str">
        <f>IF($G385=0,"",IF(资金日记账!$D378=0,"",资金日记账!$D378))</f>
        <v/>
      </c>
      <c r="K385" t="str">
        <f t="shared" si="75"/>
        <v/>
      </c>
      <c r="L385" t="str">
        <f t="shared" si="76"/>
        <v/>
      </c>
      <c r="M385" t="str">
        <f t="shared" si="70"/>
        <v/>
      </c>
      <c r="N385" t="str">
        <f>IF($G385=0,"",IF(IF(N(资金日记账!$I378)=0,"",-ROUND(N(资金日记账!$I378),2))=0,"",IF(N(资金日记账!$I378)=0,"",-ROUND(N(资金日记账!$I378),2))))</f>
        <v/>
      </c>
      <c r="O385" t="str">
        <f>IF($G385=0,"",IF(IF(N(资金日记账!$H378)=0,"",ROUND(N(资金日记账!$H378),2))=0,"",IF(N(资金日记账!$H378)=0,"",ROUND(N(资金日记账!$H378),2))))</f>
        <v/>
      </c>
      <c r="P385" t="str">
        <f>IF($G385=0,"",IF(资金日记账!$L378=0,"",资金日记账!$L378))</f>
        <v/>
      </c>
      <c r="T385" t="str">
        <f>IF(资金日记账!$G385="","",资金日记账!$G385)</f>
        <v/>
      </c>
      <c r="U385">
        <f t="shared" si="71"/>
        <v>0</v>
      </c>
      <c r="V385">
        <f t="shared" si="72"/>
        <v>0</v>
      </c>
      <c r="AF385" t="str">
        <f>IF(OR(资金日记账!$E385="",N(资金日记账!$H385)=0),"",资金日记账!$E385)</f>
        <v/>
      </c>
      <c r="AG385">
        <f t="shared" si="73"/>
        <v>0</v>
      </c>
      <c r="AH385">
        <f t="shared" si="74"/>
        <v>0</v>
      </c>
    </row>
    <row r="386" spans="1:34">
      <c r="A386" t="str">
        <f>IF(资金日记账!$F84="","",资金日记账!$F84)</f>
        <v/>
      </c>
      <c r="B386">
        <f t="shared" si="67"/>
        <v>0</v>
      </c>
      <c r="C386">
        <f t="shared" si="68"/>
        <v>0</v>
      </c>
      <c r="G386">
        <f>IF(OR($G$1="",资金日记账!$E379="",资金日记账!$E379&lt;&gt;$G$1),0,IF(NOT(OR(N(资金日记账!$H379)&lt;&gt;0,N(资金日记账!$I379)&lt;&gt;0)),0,IF(资金日记账!$B379="",1,IF(OR(N(资金日记账!$B379)&lt;$H$1,N(资金日记账!$B379)&gt;$I$1),0,1))))</f>
        <v>0</v>
      </c>
      <c r="H386">
        <f t="shared" si="69"/>
        <v>0</v>
      </c>
      <c r="I386" t="str">
        <f>IF($G386=0,"",IF(资金日记账!$B379=0,"",资金日记账!$B379))</f>
        <v/>
      </c>
      <c r="J386" t="str">
        <f>IF($G386=0,"",IF(资金日记账!$D379=0,"",资金日记账!$D379))</f>
        <v/>
      </c>
      <c r="K386" t="str">
        <f t="shared" si="75"/>
        <v/>
      </c>
      <c r="L386" t="str">
        <f t="shared" si="76"/>
        <v/>
      </c>
      <c r="M386" t="str">
        <f t="shared" si="70"/>
        <v/>
      </c>
      <c r="N386" t="str">
        <f>IF($G386=0,"",IF(IF(N(资金日记账!$I379)=0,"",-ROUND(N(资金日记账!$I379),2))=0,"",IF(N(资金日记账!$I379)=0,"",-ROUND(N(资金日记账!$I379),2))))</f>
        <v/>
      </c>
      <c r="O386" t="str">
        <f>IF($G386=0,"",IF(IF(N(资金日记账!$H379)=0,"",ROUND(N(资金日记账!$H379),2))=0,"",IF(N(资金日记账!$H379)=0,"",ROUND(N(资金日记账!$H379),2))))</f>
        <v/>
      </c>
      <c r="P386" t="str">
        <f>IF($G386=0,"",IF(资金日记账!$L379=0,"",资金日记账!$L379))</f>
        <v/>
      </c>
      <c r="T386" t="str">
        <f>IF(资金日记账!$G386="","",资金日记账!$G386)</f>
        <v/>
      </c>
      <c r="U386">
        <f t="shared" si="71"/>
        <v>0</v>
      </c>
      <c r="V386">
        <f t="shared" si="72"/>
        <v>0</v>
      </c>
      <c r="AF386" t="str">
        <f>IF(OR(资金日记账!$E386="",N(资金日记账!$H386)=0),"",资金日记账!$E386)</f>
        <v/>
      </c>
      <c r="AG386">
        <f t="shared" si="73"/>
        <v>0</v>
      </c>
      <c r="AH386">
        <f t="shared" si="74"/>
        <v>0</v>
      </c>
    </row>
    <row r="387" spans="1:34">
      <c r="A387" t="str">
        <f>IF(资金日记账!$F85="","",资金日记账!$F85)</f>
        <v/>
      </c>
      <c r="B387">
        <f t="shared" si="67"/>
        <v>0</v>
      </c>
      <c r="C387">
        <f t="shared" si="68"/>
        <v>0</v>
      </c>
      <c r="G387">
        <f>IF(OR($G$1="",资金日记账!$E380="",资金日记账!$E380&lt;&gt;$G$1),0,IF(NOT(OR(N(资金日记账!$H380)&lt;&gt;0,N(资金日记账!$I380)&lt;&gt;0)),0,IF(资金日记账!$B380="",1,IF(OR(N(资金日记账!$B380)&lt;$H$1,N(资金日记账!$B380)&gt;$I$1),0,1))))</f>
        <v>0</v>
      </c>
      <c r="H387">
        <f t="shared" si="69"/>
        <v>0</v>
      </c>
      <c r="I387" t="str">
        <f>IF($G387=0,"",IF(资金日记账!$B380=0,"",资金日记账!$B380))</f>
        <v/>
      </c>
      <c r="J387" t="str">
        <f>IF($G387=0,"",IF(资金日记账!$D380=0,"",资金日记账!$D380))</f>
        <v/>
      </c>
      <c r="K387" t="str">
        <f t="shared" si="75"/>
        <v/>
      </c>
      <c r="L387" t="str">
        <f t="shared" si="76"/>
        <v/>
      </c>
      <c r="M387" t="str">
        <f t="shared" si="70"/>
        <v/>
      </c>
      <c r="N387" t="str">
        <f>IF($G387=0,"",IF(IF(N(资金日记账!$I380)=0,"",-ROUND(N(资金日记账!$I380),2))=0,"",IF(N(资金日记账!$I380)=0,"",-ROUND(N(资金日记账!$I380),2))))</f>
        <v/>
      </c>
      <c r="O387" t="str">
        <f>IF($G387=0,"",IF(IF(N(资金日记账!$H380)=0,"",ROUND(N(资金日记账!$H380),2))=0,"",IF(N(资金日记账!$H380)=0,"",ROUND(N(资金日记账!$H380),2))))</f>
        <v/>
      </c>
      <c r="P387" t="str">
        <f>IF($G387=0,"",IF(资金日记账!$L380=0,"",资金日记账!$L380))</f>
        <v/>
      </c>
      <c r="T387" t="str">
        <f>IF(资金日记账!$G387="","",资金日记账!$G387)</f>
        <v/>
      </c>
      <c r="U387">
        <f t="shared" si="71"/>
        <v>0</v>
      </c>
      <c r="V387">
        <f t="shared" si="72"/>
        <v>0</v>
      </c>
      <c r="AF387" t="str">
        <f>IF(OR(资金日记账!$E387="",N(资金日记账!$H387)=0),"",资金日记账!$E387)</f>
        <v/>
      </c>
      <c r="AG387">
        <f t="shared" si="73"/>
        <v>0</v>
      </c>
      <c r="AH387">
        <f t="shared" si="74"/>
        <v>0</v>
      </c>
    </row>
    <row r="388" spans="1:34">
      <c r="A388" t="str">
        <f>IF(资金日记账!$F86="","",资金日记账!$F86)</f>
        <v/>
      </c>
      <c r="B388">
        <f t="shared" ref="B388:B451" si="77">IF(A388="",0,IF(MATCH(A388,$A$4:$A$1805,0)=ROW()-3,1,0))</f>
        <v>0</v>
      </c>
      <c r="C388">
        <f t="shared" ref="C388:C451" si="78">N(C387)+B388</f>
        <v>0</v>
      </c>
      <c r="G388">
        <f>IF(OR($G$1="",资金日记账!$E381="",资金日记账!$E381&lt;&gt;$G$1),0,IF(NOT(OR(N(资金日记账!$H381)&lt;&gt;0,N(资金日记账!$I381)&lt;&gt;0)),0,IF(资金日记账!$B381="",1,IF(OR(N(资金日记账!$B381)&lt;$H$1,N(资金日记账!$B381)&gt;$I$1),0,1))))</f>
        <v>0</v>
      </c>
      <c r="H388">
        <f t="shared" ref="H388:H451" si="79">N(H387)+$G388</f>
        <v>0</v>
      </c>
      <c r="I388" t="str">
        <f>IF($G388=0,"",IF(资金日记账!$B381=0,"",资金日记账!$B381))</f>
        <v/>
      </c>
      <c r="J388" t="str">
        <f>IF($G388=0,"",IF(资金日记账!$D381=0,"",资金日记账!$D381))</f>
        <v/>
      </c>
      <c r="K388" t="str">
        <f t="shared" si="75"/>
        <v/>
      </c>
      <c r="L388" t="str">
        <f t="shared" si="76"/>
        <v/>
      </c>
      <c r="M388" t="str">
        <f t="shared" ref="M388:M451" si="80">IF($G388=0,"",IF(""=0,"",""))</f>
        <v/>
      </c>
      <c r="N388" t="str">
        <f>IF($G388=0,"",IF(IF(N(资金日记账!$I381)=0,"",-ROUND(N(资金日记账!$I381),2))=0,"",IF(N(资金日记账!$I381)=0,"",-ROUND(N(资金日记账!$I381),2))))</f>
        <v/>
      </c>
      <c r="O388" t="str">
        <f>IF($G388=0,"",IF(IF(N(资金日记账!$H381)=0,"",ROUND(N(资金日记账!$H381),2))=0,"",IF(N(资金日记账!$H381)=0,"",ROUND(N(资金日记账!$H381),2))))</f>
        <v/>
      </c>
      <c r="P388" t="str">
        <f>IF($G388=0,"",IF(资金日记账!$L381=0,"",资金日记账!$L381))</f>
        <v/>
      </c>
      <c r="T388" t="str">
        <f>IF(资金日记账!$G388="","",资金日记账!$G388)</f>
        <v/>
      </c>
      <c r="U388">
        <f t="shared" ref="U388:U451" si="81">IF(T388="",0,IF(MATCH(T388,$T$4:$T$903,0)=ROW()-3,1,0))</f>
        <v>0</v>
      </c>
      <c r="V388">
        <f t="shared" ref="V388:V451" si="82">N(V387)+U388</f>
        <v>0</v>
      </c>
      <c r="AF388" t="str">
        <f>IF(OR(资金日记账!$E388="",N(资金日记账!$H388)=0),"",资金日记账!$E388)</f>
        <v/>
      </c>
      <c r="AG388">
        <f t="shared" ref="AG388:AG451" si="83">IF(AF388="",0,IF(MATCH(AF388,$AF$4:$AF$603,0)=ROW()-3,1,0))</f>
        <v>0</v>
      </c>
      <c r="AH388">
        <f t="shared" ref="AH388:AH451" si="84">N(AH387)+AG388</f>
        <v>0</v>
      </c>
    </row>
    <row r="389" spans="1:34">
      <c r="A389" t="str">
        <f>IF(资金日记账!$F87="","",资金日记账!$F87)</f>
        <v/>
      </c>
      <c r="B389">
        <f t="shared" si="77"/>
        <v>0</v>
      </c>
      <c r="C389">
        <f t="shared" si="78"/>
        <v>0</v>
      </c>
      <c r="G389">
        <f>IF(OR($G$1="",资金日记账!$E382="",资金日记账!$E382&lt;&gt;$G$1),0,IF(NOT(OR(N(资金日记账!$H382)&lt;&gt;0,N(资金日记账!$I382)&lt;&gt;0)),0,IF(资金日记账!$B382="",1,IF(OR(N(资金日记账!$B382)&lt;$H$1,N(资金日记账!$B382)&gt;$I$1),0,1))))</f>
        <v>0</v>
      </c>
      <c r="H389">
        <f t="shared" si="79"/>
        <v>0</v>
      </c>
      <c r="I389" t="str">
        <f>IF($G389=0,"",IF(资金日记账!$B382=0,"",资金日记账!$B382))</f>
        <v/>
      </c>
      <c r="J389" t="str">
        <f>IF($G389=0,"",IF(资金日记账!$D382=0,"",资金日记账!$D382))</f>
        <v/>
      </c>
      <c r="K389" t="str">
        <f t="shared" si="75"/>
        <v/>
      </c>
      <c r="L389" t="str">
        <f t="shared" si="76"/>
        <v/>
      </c>
      <c r="M389" t="str">
        <f t="shared" si="80"/>
        <v/>
      </c>
      <c r="N389" t="str">
        <f>IF($G389=0,"",IF(IF(N(资金日记账!$I382)=0,"",-ROUND(N(资金日记账!$I382),2))=0,"",IF(N(资金日记账!$I382)=0,"",-ROUND(N(资金日记账!$I382),2))))</f>
        <v/>
      </c>
      <c r="O389" t="str">
        <f>IF($G389=0,"",IF(IF(N(资金日记账!$H382)=0,"",ROUND(N(资金日记账!$H382),2))=0,"",IF(N(资金日记账!$H382)=0,"",ROUND(N(资金日记账!$H382),2))))</f>
        <v/>
      </c>
      <c r="P389" t="str">
        <f>IF($G389=0,"",IF(资金日记账!$L382=0,"",资金日记账!$L382))</f>
        <v/>
      </c>
      <c r="T389" t="str">
        <f>IF(资金日记账!$G389="","",资金日记账!$G389)</f>
        <v/>
      </c>
      <c r="U389">
        <f t="shared" si="81"/>
        <v>0</v>
      </c>
      <c r="V389">
        <f t="shared" si="82"/>
        <v>0</v>
      </c>
      <c r="AF389" t="str">
        <f>IF(OR(资金日记账!$E389="",N(资金日记账!$H389)=0),"",资金日记账!$E389)</f>
        <v/>
      </c>
      <c r="AG389">
        <f t="shared" si="83"/>
        <v>0</v>
      </c>
      <c r="AH389">
        <f t="shared" si="84"/>
        <v>0</v>
      </c>
    </row>
    <row r="390" spans="1:34">
      <c r="A390" t="str">
        <f>IF(资金日记账!$F88="","",资金日记账!$F88)</f>
        <v/>
      </c>
      <c r="B390">
        <f t="shared" si="77"/>
        <v>0</v>
      </c>
      <c r="C390">
        <f t="shared" si="78"/>
        <v>0</v>
      </c>
      <c r="G390">
        <f>IF(OR($G$1="",资金日记账!$E383="",资金日记账!$E383&lt;&gt;$G$1),0,IF(NOT(OR(N(资金日记账!$H383)&lt;&gt;0,N(资金日记账!$I383)&lt;&gt;0)),0,IF(资金日记账!$B383="",1,IF(OR(N(资金日记账!$B383)&lt;$H$1,N(资金日记账!$B383)&gt;$I$1),0,1))))</f>
        <v>0</v>
      </c>
      <c r="H390">
        <f t="shared" si="79"/>
        <v>0</v>
      </c>
      <c r="I390" t="str">
        <f>IF($G390=0,"",IF(资金日记账!$B383=0,"",资金日记账!$B383))</f>
        <v/>
      </c>
      <c r="J390" t="str">
        <f>IF($G390=0,"",IF(资金日记账!$D383=0,"",资金日记账!$D383))</f>
        <v/>
      </c>
      <c r="K390" t="str">
        <f t="shared" si="75"/>
        <v/>
      </c>
      <c r="L390" t="str">
        <f t="shared" si="76"/>
        <v/>
      </c>
      <c r="M390" t="str">
        <f t="shared" si="80"/>
        <v/>
      </c>
      <c r="N390" t="str">
        <f>IF($G390=0,"",IF(IF(N(资金日记账!$I383)=0,"",-ROUND(N(资金日记账!$I383),2))=0,"",IF(N(资金日记账!$I383)=0,"",-ROUND(N(资金日记账!$I383),2))))</f>
        <v/>
      </c>
      <c r="O390" t="str">
        <f>IF($G390=0,"",IF(IF(N(资金日记账!$H383)=0,"",ROUND(N(资金日记账!$H383),2))=0,"",IF(N(资金日记账!$H383)=0,"",ROUND(N(资金日记账!$H383),2))))</f>
        <v/>
      </c>
      <c r="P390" t="str">
        <f>IF($G390=0,"",IF(资金日记账!$L383=0,"",资金日记账!$L383))</f>
        <v/>
      </c>
      <c r="T390" t="str">
        <f>IF(资金日记账!$G390="","",资金日记账!$G390)</f>
        <v/>
      </c>
      <c r="U390">
        <f t="shared" si="81"/>
        <v>0</v>
      </c>
      <c r="V390">
        <f t="shared" si="82"/>
        <v>0</v>
      </c>
      <c r="AF390" t="str">
        <f>IF(OR(资金日记账!$E390="",N(资金日记账!$H390)=0),"",资金日记账!$E390)</f>
        <v/>
      </c>
      <c r="AG390">
        <f t="shared" si="83"/>
        <v>0</v>
      </c>
      <c r="AH390">
        <f t="shared" si="84"/>
        <v>0</v>
      </c>
    </row>
    <row r="391" spans="1:34">
      <c r="A391" t="str">
        <f>IF(资金日记账!$F89="","",资金日记账!$F89)</f>
        <v/>
      </c>
      <c r="B391">
        <f t="shared" si="77"/>
        <v>0</v>
      </c>
      <c r="C391">
        <f t="shared" si="78"/>
        <v>0</v>
      </c>
      <c r="G391">
        <f>IF(OR($G$1="",资金日记账!$E384="",资金日记账!$E384&lt;&gt;$G$1),0,IF(NOT(OR(N(资金日记账!$H384)&lt;&gt;0,N(资金日记账!$I384)&lt;&gt;0)),0,IF(资金日记账!$B384="",1,IF(OR(N(资金日记账!$B384)&lt;$H$1,N(资金日记账!$B384)&gt;$I$1),0,1))))</f>
        <v>0</v>
      </c>
      <c r="H391">
        <f t="shared" si="79"/>
        <v>0</v>
      </c>
      <c r="I391" t="str">
        <f>IF($G391=0,"",IF(资金日记账!$B384=0,"",资金日记账!$B384))</f>
        <v/>
      </c>
      <c r="J391" t="str">
        <f>IF($G391=0,"",IF(资金日记账!$D384=0,"",资金日记账!$D384))</f>
        <v/>
      </c>
      <c r="K391" t="str">
        <f t="shared" ref="K391:K454" si="85">IF($G391=0,"",IF(""=0,"",""))</f>
        <v/>
      </c>
      <c r="L391" t="str">
        <f t="shared" ref="L391:L454" si="86">IF($G391=0,"",IF(""=0,"",""))</f>
        <v/>
      </c>
      <c r="M391" t="str">
        <f t="shared" si="80"/>
        <v/>
      </c>
      <c r="N391" t="str">
        <f>IF($G391=0,"",IF(IF(N(资金日记账!$I384)=0,"",-ROUND(N(资金日记账!$I384),2))=0,"",IF(N(资金日记账!$I384)=0,"",-ROUND(N(资金日记账!$I384),2))))</f>
        <v/>
      </c>
      <c r="O391" t="str">
        <f>IF($G391=0,"",IF(IF(N(资金日记账!$H384)=0,"",ROUND(N(资金日记账!$H384),2))=0,"",IF(N(资金日记账!$H384)=0,"",ROUND(N(资金日记账!$H384),2))))</f>
        <v/>
      </c>
      <c r="P391" t="str">
        <f>IF($G391=0,"",IF(资金日记账!$L384=0,"",资金日记账!$L384))</f>
        <v/>
      </c>
      <c r="T391" t="str">
        <f>IF(资金日记账!$G391="","",资金日记账!$G391)</f>
        <v/>
      </c>
      <c r="U391">
        <f t="shared" si="81"/>
        <v>0</v>
      </c>
      <c r="V391">
        <f t="shared" si="82"/>
        <v>0</v>
      </c>
      <c r="AF391" t="str">
        <f>IF(OR(资金日记账!$E391="",N(资金日记账!$H391)=0),"",资金日记账!$E391)</f>
        <v/>
      </c>
      <c r="AG391">
        <f t="shared" si="83"/>
        <v>0</v>
      </c>
      <c r="AH391">
        <f t="shared" si="84"/>
        <v>0</v>
      </c>
    </row>
    <row r="392" spans="1:34">
      <c r="A392" t="str">
        <f>IF(资金日记账!$F90="","",资金日记账!$F90)</f>
        <v/>
      </c>
      <c r="B392">
        <f t="shared" si="77"/>
        <v>0</v>
      </c>
      <c r="C392">
        <f t="shared" si="78"/>
        <v>0</v>
      </c>
      <c r="G392">
        <f>IF(OR($G$1="",资金日记账!$E385="",资金日记账!$E385&lt;&gt;$G$1),0,IF(NOT(OR(N(资金日记账!$H385)&lt;&gt;0,N(资金日记账!$I385)&lt;&gt;0)),0,IF(资金日记账!$B385="",1,IF(OR(N(资金日记账!$B385)&lt;$H$1,N(资金日记账!$B385)&gt;$I$1),0,1))))</f>
        <v>0</v>
      </c>
      <c r="H392">
        <f t="shared" si="79"/>
        <v>0</v>
      </c>
      <c r="I392" t="str">
        <f>IF($G392=0,"",IF(资金日记账!$B385=0,"",资金日记账!$B385))</f>
        <v/>
      </c>
      <c r="J392" t="str">
        <f>IF($G392=0,"",IF(资金日记账!$D385=0,"",资金日记账!$D385))</f>
        <v/>
      </c>
      <c r="K392" t="str">
        <f t="shared" si="85"/>
        <v/>
      </c>
      <c r="L392" t="str">
        <f t="shared" si="86"/>
        <v/>
      </c>
      <c r="M392" t="str">
        <f t="shared" si="80"/>
        <v/>
      </c>
      <c r="N392" t="str">
        <f>IF($G392=0,"",IF(IF(N(资金日记账!$I385)=0,"",-ROUND(N(资金日记账!$I385),2))=0,"",IF(N(资金日记账!$I385)=0,"",-ROUND(N(资金日记账!$I385),2))))</f>
        <v/>
      </c>
      <c r="O392" t="str">
        <f>IF($G392=0,"",IF(IF(N(资金日记账!$H385)=0,"",ROUND(N(资金日记账!$H385),2))=0,"",IF(N(资金日记账!$H385)=0,"",ROUND(N(资金日记账!$H385),2))))</f>
        <v/>
      </c>
      <c r="P392" t="str">
        <f>IF($G392=0,"",IF(资金日记账!$L385=0,"",资金日记账!$L385))</f>
        <v/>
      </c>
      <c r="T392" t="str">
        <f>IF(资金日记账!$G392="","",资金日记账!$G392)</f>
        <v/>
      </c>
      <c r="U392">
        <f t="shared" si="81"/>
        <v>0</v>
      </c>
      <c r="V392">
        <f t="shared" si="82"/>
        <v>0</v>
      </c>
      <c r="AF392" t="str">
        <f>IF(OR(资金日记账!$E392="",N(资金日记账!$H392)=0),"",资金日记账!$E392)</f>
        <v/>
      </c>
      <c r="AG392">
        <f t="shared" si="83"/>
        <v>0</v>
      </c>
      <c r="AH392">
        <f t="shared" si="84"/>
        <v>0</v>
      </c>
    </row>
    <row r="393" spans="1:34">
      <c r="A393" t="str">
        <f>IF(资金日记账!$F91="","",资金日记账!$F91)</f>
        <v/>
      </c>
      <c r="B393">
        <f t="shared" si="77"/>
        <v>0</v>
      </c>
      <c r="C393">
        <f t="shared" si="78"/>
        <v>0</v>
      </c>
      <c r="G393">
        <f>IF(OR($G$1="",资金日记账!$E386="",资金日记账!$E386&lt;&gt;$G$1),0,IF(NOT(OR(N(资金日记账!$H386)&lt;&gt;0,N(资金日记账!$I386)&lt;&gt;0)),0,IF(资金日记账!$B386="",1,IF(OR(N(资金日记账!$B386)&lt;$H$1,N(资金日记账!$B386)&gt;$I$1),0,1))))</f>
        <v>0</v>
      </c>
      <c r="H393">
        <f t="shared" si="79"/>
        <v>0</v>
      </c>
      <c r="I393" t="str">
        <f>IF($G393=0,"",IF(资金日记账!$B386=0,"",资金日记账!$B386))</f>
        <v/>
      </c>
      <c r="J393" t="str">
        <f>IF($G393=0,"",IF(资金日记账!$D386=0,"",资金日记账!$D386))</f>
        <v/>
      </c>
      <c r="K393" t="str">
        <f t="shared" si="85"/>
        <v/>
      </c>
      <c r="L393" t="str">
        <f t="shared" si="86"/>
        <v/>
      </c>
      <c r="M393" t="str">
        <f t="shared" si="80"/>
        <v/>
      </c>
      <c r="N393" t="str">
        <f>IF($G393=0,"",IF(IF(N(资金日记账!$I386)=0,"",-ROUND(N(资金日记账!$I386),2))=0,"",IF(N(资金日记账!$I386)=0,"",-ROUND(N(资金日记账!$I386),2))))</f>
        <v/>
      </c>
      <c r="O393" t="str">
        <f>IF($G393=0,"",IF(IF(N(资金日记账!$H386)=0,"",ROUND(N(资金日记账!$H386),2))=0,"",IF(N(资金日记账!$H386)=0,"",ROUND(N(资金日记账!$H386),2))))</f>
        <v/>
      </c>
      <c r="P393" t="str">
        <f>IF($G393=0,"",IF(资金日记账!$L386=0,"",资金日记账!$L386))</f>
        <v/>
      </c>
      <c r="T393" t="str">
        <f>IF(资金日记账!$G393="","",资金日记账!$G393)</f>
        <v/>
      </c>
      <c r="U393">
        <f t="shared" si="81"/>
        <v>0</v>
      </c>
      <c r="V393">
        <f t="shared" si="82"/>
        <v>0</v>
      </c>
      <c r="AF393" t="str">
        <f>IF(OR(资金日记账!$E393="",N(资金日记账!$H393)=0),"",资金日记账!$E393)</f>
        <v/>
      </c>
      <c r="AG393">
        <f t="shared" si="83"/>
        <v>0</v>
      </c>
      <c r="AH393">
        <f t="shared" si="84"/>
        <v>0</v>
      </c>
    </row>
    <row r="394" spans="1:34">
      <c r="A394" t="str">
        <f>IF(资金日记账!$F92="","",资金日记账!$F92)</f>
        <v/>
      </c>
      <c r="B394">
        <f t="shared" si="77"/>
        <v>0</v>
      </c>
      <c r="C394">
        <f t="shared" si="78"/>
        <v>0</v>
      </c>
      <c r="G394">
        <f>IF(OR($G$1="",资金日记账!$E387="",资金日记账!$E387&lt;&gt;$G$1),0,IF(NOT(OR(N(资金日记账!$H387)&lt;&gt;0,N(资金日记账!$I387)&lt;&gt;0)),0,IF(资金日记账!$B387="",1,IF(OR(N(资金日记账!$B387)&lt;$H$1,N(资金日记账!$B387)&gt;$I$1),0,1))))</f>
        <v>0</v>
      </c>
      <c r="H394">
        <f t="shared" si="79"/>
        <v>0</v>
      </c>
      <c r="I394" t="str">
        <f>IF($G394=0,"",IF(资金日记账!$B387=0,"",资金日记账!$B387))</f>
        <v/>
      </c>
      <c r="J394" t="str">
        <f>IF($G394=0,"",IF(资金日记账!$D387=0,"",资金日记账!$D387))</f>
        <v/>
      </c>
      <c r="K394" t="str">
        <f t="shared" si="85"/>
        <v/>
      </c>
      <c r="L394" t="str">
        <f t="shared" si="86"/>
        <v/>
      </c>
      <c r="M394" t="str">
        <f t="shared" si="80"/>
        <v/>
      </c>
      <c r="N394" t="str">
        <f>IF($G394=0,"",IF(IF(N(资金日记账!$I387)=0,"",-ROUND(N(资金日记账!$I387),2))=0,"",IF(N(资金日记账!$I387)=0,"",-ROUND(N(资金日记账!$I387),2))))</f>
        <v/>
      </c>
      <c r="O394" t="str">
        <f>IF($G394=0,"",IF(IF(N(资金日记账!$H387)=0,"",ROUND(N(资金日记账!$H387),2))=0,"",IF(N(资金日记账!$H387)=0,"",ROUND(N(资金日记账!$H387),2))))</f>
        <v/>
      </c>
      <c r="P394" t="str">
        <f>IF($G394=0,"",IF(资金日记账!$L387=0,"",资金日记账!$L387))</f>
        <v/>
      </c>
      <c r="T394" t="str">
        <f>IF(资金日记账!$G394="","",资金日记账!$G394)</f>
        <v/>
      </c>
      <c r="U394">
        <f t="shared" si="81"/>
        <v>0</v>
      </c>
      <c r="V394">
        <f t="shared" si="82"/>
        <v>0</v>
      </c>
      <c r="AF394" t="str">
        <f>IF(OR(资金日记账!$E394="",N(资金日记账!$H394)=0),"",资金日记账!$E394)</f>
        <v/>
      </c>
      <c r="AG394">
        <f t="shared" si="83"/>
        <v>0</v>
      </c>
      <c r="AH394">
        <f t="shared" si="84"/>
        <v>0</v>
      </c>
    </row>
    <row r="395" spans="1:34">
      <c r="A395" t="str">
        <f>IF(资金日记账!$F93="","",资金日记账!$F93)</f>
        <v/>
      </c>
      <c r="B395">
        <f t="shared" si="77"/>
        <v>0</v>
      </c>
      <c r="C395">
        <f t="shared" si="78"/>
        <v>0</v>
      </c>
      <c r="G395">
        <f>IF(OR($G$1="",资金日记账!$E388="",资金日记账!$E388&lt;&gt;$G$1),0,IF(NOT(OR(N(资金日记账!$H388)&lt;&gt;0,N(资金日记账!$I388)&lt;&gt;0)),0,IF(资金日记账!$B388="",1,IF(OR(N(资金日记账!$B388)&lt;$H$1,N(资金日记账!$B388)&gt;$I$1),0,1))))</f>
        <v>0</v>
      </c>
      <c r="H395">
        <f t="shared" si="79"/>
        <v>0</v>
      </c>
      <c r="I395" t="str">
        <f>IF($G395=0,"",IF(资金日记账!$B388=0,"",资金日记账!$B388))</f>
        <v/>
      </c>
      <c r="J395" t="str">
        <f>IF($G395=0,"",IF(资金日记账!$D388=0,"",资金日记账!$D388))</f>
        <v/>
      </c>
      <c r="K395" t="str">
        <f t="shared" si="85"/>
        <v/>
      </c>
      <c r="L395" t="str">
        <f t="shared" si="86"/>
        <v/>
      </c>
      <c r="M395" t="str">
        <f t="shared" si="80"/>
        <v/>
      </c>
      <c r="N395" t="str">
        <f>IF($G395=0,"",IF(IF(N(资金日记账!$I388)=0,"",-ROUND(N(资金日记账!$I388),2))=0,"",IF(N(资金日记账!$I388)=0,"",-ROUND(N(资金日记账!$I388),2))))</f>
        <v/>
      </c>
      <c r="O395" t="str">
        <f>IF($G395=0,"",IF(IF(N(资金日记账!$H388)=0,"",ROUND(N(资金日记账!$H388),2))=0,"",IF(N(资金日记账!$H388)=0,"",ROUND(N(资金日记账!$H388),2))))</f>
        <v/>
      </c>
      <c r="P395" t="str">
        <f>IF($G395=0,"",IF(资金日记账!$L388=0,"",资金日记账!$L388))</f>
        <v/>
      </c>
      <c r="T395" t="str">
        <f>IF(资金日记账!$G395="","",资金日记账!$G395)</f>
        <v/>
      </c>
      <c r="U395">
        <f t="shared" si="81"/>
        <v>0</v>
      </c>
      <c r="V395">
        <f t="shared" si="82"/>
        <v>0</v>
      </c>
      <c r="AF395" t="str">
        <f>IF(OR(资金日记账!$E395="",N(资金日记账!$H395)=0),"",资金日记账!$E395)</f>
        <v/>
      </c>
      <c r="AG395">
        <f t="shared" si="83"/>
        <v>0</v>
      </c>
      <c r="AH395">
        <f t="shared" si="84"/>
        <v>0</v>
      </c>
    </row>
    <row r="396" spans="1:34">
      <c r="A396" t="str">
        <f>IF(资金日记账!$F94="","",资金日记账!$F94)</f>
        <v/>
      </c>
      <c r="B396">
        <f t="shared" si="77"/>
        <v>0</v>
      </c>
      <c r="C396">
        <f t="shared" si="78"/>
        <v>0</v>
      </c>
      <c r="G396">
        <f>IF(OR($G$1="",资金日记账!$E389="",资金日记账!$E389&lt;&gt;$G$1),0,IF(NOT(OR(N(资金日记账!$H389)&lt;&gt;0,N(资金日记账!$I389)&lt;&gt;0)),0,IF(资金日记账!$B389="",1,IF(OR(N(资金日记账!$B389)&lt;$H$1,N(资金日记账!$B389)&gt;$I$1),0,1))))</f>
        <v>0</v>
      </c>
      <c r="H396">
        <f t="shared" si="79"/>
        <v>0</v>
      </c>
      <c r="I396" t="str">
        <f>IF($G396=0,"",IF(资金日记账!$B389=0,"",资金日记账!$B389))</f>
        <v/>
      </c>
      <c r="J396" t="str">
        <f>IF($G396=0,"",IF(资金日记账!$D389=0,"",资金日记账!$D389))</f>
        <v/>
      </c>
      <c r="K396" t="str">
        <f t="shared" si="85"/>
        <v/>
      </c>
      <c r="L396" t="str">
        <f t="shared" si="86"/>
        <v/>
      </c>
      <c r="M396" t="str">
        <f t="shared" si="80"/>
        <v/>
      </c>
      <c r="N396" t="str">
        <f>IF($G396=0,"",IF(IF(N(资金日记账!$I389)=0,"",-ROUND(N(资金日记账!$I389),2))=0,"",IF(N(资金日记账!$I389)=0,"",-ROUND(N(资金日记账!$I389),2))))</f>
        <v/>
      </c>
      <c r="O396" t="str">
        <f>IF($G396=0,"",IF(IF(N(资金日记账!$H389)=0,"",ROUND(N(资金日记账!$H389),2))=0,"",IF(N(资金日记账!$H389)=0,"",ROUND(N(资金日记账!$H389),2))))</f>
        <v/>
      </c>
      <c r="P396" t="str">
        <f>IF($G396=0,"",IF(资金日记账!$L389=0,"",资金日记账!$L389))</f>
        <v/>
      </c>
      <c r="T396" t="str">
        <f>IF(资金日记账!$G396="","",资金日记账!$G396)</f>
        <v/>
      </c>
      <c r="U396">
        <f t="shared" si="81"/>
        <v>0</v>
      </c>
      <c r="V396">
        <f t="shared" si="82"/>
        <v>0</v>
      </c>
      <c r="AF396" t="str">
        <f>IF(OR(资金日记账!$E396="",N(资金日记账!$H396)=0),"",资金日记账!$E396)</f>
        <v/>
      </c>
      <c r="AG396">
        <f t="shared" si="83"/>
        <v>0</v>
      </c>
      <c r="AH396">
        <f t="shared" si="84"/>
        <v>0</v>
      </c>
    </row>
    <row r="397" spans="1:34">
      <c r="A397" t="str">
        <f>IF(资金日记账!$F95="","",资金日记账!$F95)</f>
        <v/>
      </c>
      <c r="B397">
        <f t="shared" si="77"/>
        <v>0</v>
      </c>
      <c r="C397">
        <f t="shared" si="78"/>
        <v>0</v>
      </c>
      <c r="G397">
        <f>IF(OR($G$1="",资金日记账!$E390="",资金日记账!$E390&lt;&gt;$G$1),0,IF(NOT(OR(N(资金日记账!$H390)&lt;&gt;0,N(资金日记账!$I390)&lt;&gt;0)),0,IF(资金日记账!$B390="",1,IF(OR(N(资金日记账!$B390)&lt;$H$1,N(资金日记账!$B390)&gt;$I$1),0,1))))</f>
        <v>0</v>
      </c>
      <c r="H397">
        <f t="shared" si="79"/>
        <v>0</v>
      </c>
      <c r="I397" t="str">
        <f>IF($G397=0,"",IF(资金日记账!$B390=0,"",资金日记账!$B390))</f>
        <v/>
      </c>
      <c r="J397" t="str">
        <f>IF($G397=0,"",IF(资金日记账!$D390=0,"",资金日记账!$D390))</f>
        <v/>
      </c>
      <c r="K397" t="str">
        <f t="shared" si="85"/>
        <v/>
      </c>
      <c r="L397" t="str">
        <f t="shared" si="86"/>
        <v/>
      </c>
      <c r="M397" t="str">
        <f t="shared" si="80"/>
        <v/>
      </c>
      <c r="N397" t="str">
        <f>IF($G397=0,"",IF(IF(N(资金日记账!$I390)=0,"",-ROUND(N(资金日记账!$I390),2))=0,"",IF(N(资金日记账!$I390)=0,"",-ROUND(N(资金日记账!$I390),2))))</f>
        <v/>
      </c>
      <c r="O397" t="str">
        <f>IF($G397=0,"",IF(IF(N(资金日记账!$H390)=0,"",ROUND(N(资金日记账!$H390),2))=0,"",IF(N(资金日记账!$H390)=0,"",ROUND(N(资金日记账!$H390),2))))</f>
        <v/>
      </c>
      <c r="P397" t="str">
        <f>IF($G397=0,"",IF(资金日记账!$L390=0,"",资金日记账!$L390))</f>
        <v/>
      </c>
      <c r="T397" t="str">
        <f>IF(资金日记账!$G397="","",资金日记账!$G397)</f>
        <v/>
      </c>
      <c r="U397">
        <f t="shared" si="81"/>
        <v>0</v>
      </c>
      <c r="V397">
        <f t="shared" si="82"/>
        <v>0</v>
      </c>
      <c r="AF397" t="str">
        <f>IF(OR(资金日记账!$E397="",N(资金日记账!$H397)=0),"",资金日记账!$E397)</f>
        <v/>
      </c>
      <c r="AG397">
        <f t="shared" si="83"/>
        <v>0</v>
      </c>
      <c r="AH397">
        <f t="shared" si="84"/>
        <v>0</v>
      </c>
    </row>
    <row r="398" spans="1:34">
      <c r="A398" t="str">
        <f>IF(资金日记账!$F96="","",资金日记账!$F96)</f>
        <v/>
      </c>
      <c r="B398">
        <f t="shared" si="77"/>
        <v>0</v>
      </c>
      <c r="C398">
        <f t="shared" si="78"/>
        <v>0</v>
      </c>
      <c r="G398">
        <f>IF(OR($G$1="",资金日记账!$E391="",资金日记账!$E391&lt;&gt;$G$1),0,IF(NOT(OR(N(资金日记账!$H391)&lt;&gt;0,N(资金日记账!$I391)&lt;&gt;0)),0,IF(资金日记账!$B391="",1,IF(OR(N(资金日记账!$B391)&lt;$H$1,N(资金日记账!$B391)&gt;$I$1),0,1))))</f>
        <v>0</v>
      </c>
      <c r="H398">
        <f t="shared" si="79"/>
        <v>0</v>
      </c>
      <c r="I398" t="str">
        <f>IF($G398=0,"",IF(资金日记账!$B391=0,"",资金日记账!$B391))</f>
        <v/>
      </c>
      <c r="J398" t="str">
        <f>IF($G398=0,"",IF(资金日记账!$D391=0,"",资金日记账!$D391))</f>
        <v/>
      </c>
      <c r="K398" t="str">
        <f t="shared" si="85"/>
        <v/>
      </c>
      <c r="L398" t="str">
        <f t="shared" si="86"/>
        <v/>
      </c>
      <c r="M398" t="str">
        <f t="shared" si="80"/>
        <v/>
      </c>
      <c r="N398" t="str">
        <f>IF($G398=0,"",IF(IF(N(资金日记账!$I391)=0,"",-ROUND(N(资金日记账!$I391),2))=0,"",IF(N(资金日记账!$I391)=0,"",-ROUND(N(资金日记账!$I391),2))))</f>
        <v/>
      </c>
      <c r="O398" t="str">
        <f>IF($G398=0,"",IF(IF(N(资金日记账!$H391)=0,"",ROUND(N(资金日记账!$H391),2))=0,"",IF(N(资金日记账!$H391)=0,"",ROUND(N(资金日记账!$H391),2))))</f>
        <v/>
      </c>
      <c r="P398" t="str">
        <f>IF($G398=0,"",IF(资金日记账!$L391=0,"",资金日记账!$L391))</f>
        <v/>
      </c>
      <c r="T398" t="str">
        <f>IF(资金日记账!$G398="","",资金日记账!$G398)</f>
        <v/>
      </c>
      <c r="U398">
        <f t="shared" si="81"/>
        <v>0</v>
      </c>
      <c r="V398">
        <f t="shared" si="82"/>
        <v>0</v>
      </c>
      <c r="AF398" t="str">
        <f>IF(OR(资金日记账!$E398="",N(资金日记账!$H398)=0),"",资金日记账!$E398)</f>
        <v/>
      </c>
      <c r="AG398">
        <f t="shared" si="83"/>
        <v>0</v>
      </c>
      <c r="AH398">
        <f t="shared" si="84"/>
        <v>0</v>
      </c>
    </row>
    <row r="399" spans="1:34">
      <c r="A399" t="str">
        <f>IF(资金日记账!$F97="","",资金日记账!$F97)</f>
        <v/>
      </c>
      <c r="B399">
        <f t="shared" si="77"/>
        <v>0</v>
      </c>
      <c r="C399">
        <f t="shared" si="78"/>
        <v>0</v>
      </c>
      <c r="G399">
        <f>IF(OR($G$1="",资金日记账!$E392="",资金日记账!$E392&lt;&gt;$G$1),0,IF(NOT(OR(N(资金日记账!$H392)&lt;&gt;0,N(资金日记账!$I392)&lt;&gt;0)),0,IF(资金日记账!$B392="",1,IF(OR(N(资金日记账!$B392)&lt;$H$1,N(资金日记账!$B392)&gt;$I$1),0,1))))</f>
        <v>0</v>
      </c>
      <c r="H399">
        <f t="shared" si="79"/>
        <v>0</v>
      </c>
      <c r="I399" t="str">
        <f>IF($G399=0,"",IF(资金日记账!$B392=0,"",资金日记账!$B392))</f>
        <v/>
      </c>
      <c r="J399" t="str">
        <f>IF($G399=0,"",IF(资金日记账!$D392=0,"",资金日记账!$D392))</f>
        <v/>
      </c>
      <c r="K399" t="str">
        <f t="shared" si="85"/>
        <v/>
      </c>
      <c r="L399" t="str">
        <f t="shared" si="86"/>
        <v/>
      </c>
      <c r="M399" t="str">
        <f t="shared" si="80"/>
        <v/>
      </c>
      <c r="N399" t="str">
        <f>IF($G399=0,"",IF(IF(N(资金日记账!$I392)=0,"",-ROUND(N(资金日记账!$I392),2))=0,"",IF(N(资金日记账!$I392)=0,"",-ROUND(N(资金日记账!$I392),2))))</f>
        <v/>
      </c>
      <c r="O399" t="str">
        <f>IF($G399=0,"",IF(IF(N(资金日记账!$H392)=0,"",ROUND(N(资金日记账!$H392),2))=0,"",IF(N(资金日记账!$H392)=0,"",ROUND(N(资金日记账!$H392),2))))</f>
        <v/>
      </c>
      <c r="P399" t="str">
        <f>IF($G399=0,"",IF(资金日记账!$L392=0,"",资金日记账!$L392))</f>
        <v/>
      </c>
      <c r="T399" t="str">
        <f>IF(资金日记账!$G399="","",资金日记账!$G399)</f>
        <v/>
      </c>
      <c r="U399">
        <f t="shared" si="81"/>
        <v>0</v>
      </c>
      <c r="V399">
        <f t="shared" si="82"/>
        <v>0</v>
      </c>
      <c r="AF399" t="str">
        <f>IF(OR(资金日记账!$E399="",N(资金日记账!$H399)=0),"",资金日记账!$E399)</f>
        <v/>
      </c>
      <c r="AG399">
        <f t="shared" si="83"/>
        <v>0</v>
      </c>
      <c r="AH399">
        <f t="shared" si="84"/>
        <v>0</v>
      </c>
    </row>
    <row r="400" spans="1:34">
      <c r="A400" t="str">
        <f>IF(资金日记账!$F98="","",资金日记账!$F98)</f>
        <v/>
      </c>
      <c r="B400">
        <f t="shared" si="77"/>
        <v>0</v>
      </c>
      <c r="C400">
        <f t="shared" si="78"/>
        <v>0</v>
      </c>
      <c r="G400">
        <f>IF(OR($G$1="",资金日记账!$E393="",资金日记账!$E393&lt;&gt;$G$1),0,IF(NOT(OR(N(资金日记账!$H393)&lt;&gt;0,N(资金日记账!$I393)&lt;&gt;0)),0,IF(资金日记账!$B393="",1,IF(OR(N(资金日记账!$B393)&lt;$H$1,N(资金日记账!$B393)&gt;$I$1),0,1))))</f>
        <v>0</v>
      </c>
      <c r="H400">
        <f t="shared" si="79"/>
        <v>0</v>
      </c>
      <c r="I400" t="str">
        <f>IF($G400=0,"",IF(资金日记账!$B393=0,"",资金日记账!$B393))</f>
        <v/>
      </c>
      <c r="J400" t="str">
        <f>IF($G400=0,"",IF(资金日记账!$D393=0,"",资金日记账!$D393))</f>
        <v/>
      </c>
      <c r="K400" t="str">
        <f t="shared" si="85"/>
        <v/>
      </c>
      <c r="L400" t="str">
        <f t="shared" si="86"/>
        <v/>
      </c>
      <c r="M400" t="str">
        <f t="shared" si="80"/>
        <v/>
      </c>
      <c r="N400" t="str">
        <f>IF($G400=0,"",IF(IF(N(资金日记账!$I393)=0,"",-ROUND(N(资金日记账!$I393),2))=0,"",IF(N(资金日记账!$I393)=0,"",-ROUND(N(资金日记账!$I393),2))))</f>
        <v/>
      </c>
      <c r="O400" t="str">
        <f>IF($G400=0,"",IF(IF(N(资金日记账!$H393)=0,"",ROUND(N(资金日记账!$H393),2))=0,"",IF(N(资金日记账!$H393)=0,"",ROUND(N(资金日记账!$H393),2))))</f>
        <v/>
      </c>
      <c r="P400" t="str">
        <f>IF($G400=0,"",IF(资金日记账!$L393=0,"",资金日记账!$L393))</f>
        <v/>
      </c>
      <c r="T400" t="str">
        <f>IF(资金日记账!$G400="","",资金日记账!$G400)</f>
        <v/>
      </c>
      <c r="U400">
        <f t="shared" si="81"/>
        <v>0</v>
      </c>
      <c r="V400">
        <f t="shared" si="82"/>
        <v>0</v>
      </c>
      <c r="AF400" t="str">
        <f>IF(OR(资金日记账!$E400="",N(资金日记账!$H400)=0),"",资金日记账!$E400)</f>
        <v/>
      </c>
      <c r="AG400">
        <f t="shared" si="83"/>
        <v>0</v>
      </c>
      <c r="AH400">
        <f t="shared" si="84"/>
        <v>0</v>
      </c>
    </row>
    <row r="401" spans="1:34">
      <c r="A401" t="str">
        <f>IF(资金日记账!$F99="","",资金日记账!$F99)</f>
        <v/>
      </c>
      <c r="B401">
        <f t="shared" si="77"/>
        <v>0</v>
      </c>
      <c r="C401">
        <f t="shared" si="78"/>
        <v>0</v>
      </c>
      <c r="G401">
        <f>IF(OR($G$1="",资金日记账!$E394="",资金日记账!$E394&lt;&gt;$G$1),0,IF(NOT(OR(N(资金日记账!$H394)&lt;&gt;0,N(资金日记账!$I394)&lt;&gt;0)),0,IF(资金日记账!$B394="",1,IF(OR(N(资金日记账!$B394)&lt;$H$1,N(资金日记账!$B394)&gt;$I$1),0,1))))</f>
        <v>0</v>
      </c>
      <c r="H401">
        <f t="shared" si="79"/>
        <v>0</v>
      </c>
      <c r="I401" t="str">
        <f>IF($G401=0,"",IF(资金日记账!$B394=0,"",资金日记账!$B394))</f>
        <v/>
      </c>
      <c r="J401" t="str">
        <f>IF($G401=0,"",IF(资金日记账!$D394=0,"",资金日记账!$D394))</f>
        <v/>
      </c>
      <c r="K401" t="str">
        <f t="shared" si="85"/>
        <v/>
      </c>
      <c r="L401" t="str">
        <f t="shared" si="86"/>
        <v/>
      </c>
      <c r="M401" t="str">
        <f t="shared" si="80"/>
        <v/>
      </c>
      <c r="N401" t="str">
        <f>IF($G401=0,"",IF(IF(N(资金日记账!$I394)=0,"",-ROUND(N(资金日记账!$I394),2))=0,"",IF(N(资金日记账!$I394)=0,"",-ROUND(N(资金日记账!$I394),2))))</f>
        <v/>
      </c>
      <c r="O401" t="str">
        <f>IF($G401=0,"",IF(IF(N(资金日记账!$H394)=0,"",ROUND(N(资金日记账!$H394),2))=0,"",IF(N(资金日记账!$H394)=0,"",ROUND(N(资金日记账!$H394),2))))</f>
        <v/>
      </c>
      <c r="P401" t="str">
        <f>IF($G401=0,"",IF(资金日记账!$L394=0,"",资金日记账!$L394))</f>
        <v/>
      </c>
      <c r="T401" t="str">
        <f>IF(资金日记账!$G401="","",资金日记账!$G401)</f>
        <v/>
      </c>
      <c r="U401">
        <f t="shared" si="81"/>
        <v>0</v>
      </c>
      <c r="V401">
        <f t="shared" si="82"/>
        <v>0</v>
      </c>
      <c r="AF401" t="str">
        <f>IF(OR(资金日记账!$E401="",N(资金日记账!$H401)=0),"",资金日记账!$E401)</f>
        <v/>
      </c>
      <c r="AG401">
        <f t="shared" si="83"/>
        <v>0</v>
      </c>
      <c r="AH401">
        <f t="shared" si="84"/>
        <v>0</v>
      </c>
    </row>
    <row r="402" spans="1:34">
      <c r="A402" t="str">
        <f>IF(资金日记账!$F100="","",资金日记账!$F100)</f>
        <v/>
      </c>
      <c r="B402">
        <f t="shared" si="77"/>
        <v>0</v>
      </c>
      <c r="C402">
        <f t="shared" si="78"/>
        <v>0</v>
      </c>
      <c r="G402">
        <f>IF(OR($G$1="",资金日记账!$E395="",资金日记账!$E395&lt;&gt;$G$1),0,IF(NOT(OR(N(资金日记账!$H395)&lt;&gt;0,N(资金日记账!$I395)&lt;&gt;0)),0,IF(资金日记账!$B395="",1,IF(OR(N(资金日记账!$B395)&lt;$H$1,N(资金日记账!$B395)&gt;$I$1),0,1))))</f>
        <v>0</v>
      </c>
      <c r="H402">
        <f t="shared" si="79"/>
        <v>0</v>
      </c>
      <c r="I402" t="str">
        <f>IF($G402=0,"",IF(资金日记账!$B395=0,"",资金日记账!$B395))</f>
        <v/>
      </c>
      <c r="J402" t="str">
        <f>IF($G402=0,"",IF(资金日记账!$D395=0,"",资金日记账!$D395))</f>
        <v/>
      </c>
      <c r="K402" t="str">
        <f t="shared" si="85"/>
        <v/>
      </c>
      <c r="L402" t="str">
        <f t="shared" si="86"/>
        <v/>
      </c>
      <c r="M402" t="str">
        <f t="shared" si="80"/>
        <v/>
      </c>
      <c r="N402" t="str">
        <f>IF($G402=0,"",IF(IF(N(资金日记账!$I395)=0,"",-ROUND(N(资金日记账!$I395),2))=0,"",IF(N(资金日记账!$I395)=0,"",-ROUND(N(资金日记账!$I395),2))))</f>
        <v/>
      </c>
      <c r="O402" t="str">
        <f>IF($G402=0,"",IF(IF(N(资金日记账!$H395)=0,"",ROUND(N(资金日记账!$H395),2))=0,"",IF(N(资金日记账!$H395)=0,"",ROUND(N(资金日记账!$H395),2))))</f>
        <v/>
      </c>
      <c r="P402" t="str">
        <f>IF($G402=0,"",IF(资金日记账!$L395=0,"",资金日记账!$L395))</f>
        <v/>
      </c>
      <c r="T402" t="str">
        <f>IF(资金日记账!$G402="","",资金日记账!$G402)</f>
        <v/>
      </c>
      <c r="U402">
        <f t="shared" si="81"/>
        <v>0</v>
      </c>
      <c r="V402">
        <f t="shared" si="82"/>
        <v>0</v>
      </c>
      <c r="AF402" t="str">
        <f>IF(OR(资金日记账!$E402="",N(资金日记账!$H402)=0),"",资金日记账!$E402)</f>
        <v/>
      </c>
      <c r="AG402">
        <f t="shared" si="83"/>
        <v>0</v>
      </c>
      <c r="AH402">
        <f t="shared" si="84"/>
        <v>0</v>
      </c>
    </row>
    <row r="403" spans="1:34">
      <c r="A403" t="str">
        <f>IF(资金日记账!$F101="","",资金日记账!$F101)</f>
        <v/>
      </c>
      <c r="B403">
        <f t="shared" si="77"/>
        <v>0</v>
      </c>
      <c r="C403">
        <f t="shared" si="78"/>
        <v>0</v>
      </c>
      <c r="G403">
        <f>IF(OR($G$1="",资金日记账!$E396="",资金日记账!$E396&lt;&gt;$G$1),0,IF(NOT(OR(N(资金日记账!$H396)&lt;&gt;0,N(资金日记账!$I396)&lt;&gt;0)),0,IF(资金日记账!$B396="",1,IF(OR(N(资金日记账!$B396)&lt;$H$1,N(资金日记账!$B396)&gt;$I$1),0,1))))</f>
        <v>0</v>
      </c>
      <c r="H403">
        <f t="shared" si="79"/>
        <v>0</v>
      </c>
      <c r="I403" t="str">
        <f>IF($G403=0,"",IF(资金日记账!$B396=0,"",资金日记账!$B396))</f>
        <v/>
      </c>
      <c r="J403" t="str">
        <f>IF($G403=0,"",IF(资金日记账!$D396=0,"",资金日记账!$D396))</f>
        <v/>
      </c>
      <c r="K403" t="str">
        <f t="shared" si="85"/>
        <v/>
      </c>
      <c r="L403" t="str">
        <f t="shared" si="86"/>
        <v/>
      </c>
      <c r="M403" t="str">
        <f t="shared" si="80"/>
        <v/>
      </c>
      <c r="N403" t="str">
        <f>IF($G403=0,"",IF(IF(N(资金日记账!$I396)=0,"",-ROUND(N(资金日记账!$I396),2))=0,"",IF(N(资金日记账!$I396)=0,"",-ROUND(N(资金日记账!$I396),2))))</f>
        <v/>
      </c>
      <c r="O403" t="str">
        <f>IF($G403=0,"",IF(IF(N(资金日记账!$H396)=0,"",ROUND(N(资金日记账!$H396),2))=0,"",IF(N(资金日记账!$H396)=0,"",ROUND(N(资金日记账!$H396),2))))</f>
        <v/>
      </c>
      <c r="P403" t="str">
        <f>IF($G403=0,"",IF(资金日记账!$L396=0,"",资金日记账!$L396))</f>
        <v/>
      </c>
      <c r="T403" t="str">
        <f>IF(资金日记账!$G403="","",资金日记账!$G403)</f>
        <v/>
      </c>
      <c r="U403">
        <f t="shared" si="81"/>
        <v>0</v>
      </c>
      <c r="V403">
        <f t="shared" si="82"/>
        <v>0</v>
      </c>
      <c r="AF403" t="str">
        <f>IF(OR(资金日记账!$E403="",N(资金日记账!$H403)=0),"",资金日记账!$E403)</f>
        <v/>
      </c>
      <c r="AG403">
        <f t="shared" si="83"/>
        <v>0</v>
      </c>
      <c r="AH403">
        <f t="shared" si="84"/>
        <v>0</v>
      </c>
    </row>
    <row r="404" spans="1:34">
      <c r="A404" t="str">
        <f>IF(资金日记账!$F102="","",资金日记账!$F102)</f>
        <v/>
      </c>
      <c r="B404">
        <f t="shared" si="77"/>
        <v>0</v>
      </c>
      <c r="C404">
        <f t="shared" si="78"/>
        <v>0</v>
      </c>
      <c r="G404">
        <f>IF(OR($G$1="",资金日记账!$E397="",资金日记账!$E397&lt;&gt;$G$1),0,IF(NOT(OR(N(资金日记账!$H397)&lt;&gt;0,N(资金日记账!$I397)&lt;&gt;0)),0,IF(资金日记账!$B397="",1,IF(OR(N(资金日记账!$B397)&lt;$H$1,N(资金日记账!$B397)&gt;$I$1),0,1))))</f>
        <v>0</v>
      </c>
      <c r="H404">
        <f t="shared" si="79"/>
        <v>0</v>
      </c>
      <c r="I404" t="str">
        <f>IF($G404=0,"",IF(资金日记账!$B397=0,"",资金日记账!$B397))</f>
        <v/>
      </c>
      <c r="J404" t="str">
        <f>IF($G404=0,"",IF(资金日记账!$D397=0,"",资金日记账!$D397))</f>
        <v/>
      </c>
      <c r="K404" t="str">
        <f t="shared" si="85"/>
        <v/>
      </c>
      <c r="L404" t="str">
        <f t="shared" si="86"/>
        <v/>
      </c>
      <c r="M404" t="str">
        <f t="shared" si="80"/>
        <v/>
      </c>
      <c r="N404" t="str">
        <f>IF($G404=0,"",IF(IF(N(资金日记账!$I397)=0,"",-ROUND(N(资金日记账!$I397),2))=0,"",IF(N(资金日记账!$I397)=0,"",-ROUND(N(资金日记账!$I397),2))))</f>
        <v/>
      </c>
      <c r="O404" t="str">
        <f>IF($G404=0,"",IF(IF(N(资金日记账!$H397)=0,"",ROUND(N(资金日记账!$H397),2))=0,"",IF(N(资金日记账!$H397)=0,"",ROUND(N(资金日记账!$H397),2))))</f>
        <v/>
      </c>
      <c r="P404" t="str">
        <f>IF($G404=0,"",IF(资金日记账!$L397=0,"",资金日记账!$L397))</f>
        <v/>
      </c>
      <c r="T404" t="str">
        <f>IF(资金日记账!$G404="","",资金日记账!$G404)</f>
        <v/>
      </c>
      <c r="U404">
        <f t="shared" si="81"/>
        <v>0</v>
      </c>
      <c r="V404">
        <f t="shared" si="82"/>
        <v>0</v>
      </c>
      <c r="AF404" t="str">
        <f>IF(OR(资金日记账!$E404="",N(资金日记账!$H404)=0),"",资金日记账!$E404)</f>
        <v/>
      </c>
      <c r="AG404">
        <f t="shared" si="83"/>
        <v>0</v>
      </c>
      <c r="AH404">
        <f t="shared" si="84"/>
        <v>0</v>
      </c>
    </row>
    <row r="405" spans="1:34">
      <c r="A405" t="str">
        <f>IF(资金日记账!$F103="","",资金日记账!$F103)</f>
        <v/>
      </c>
      <c r="B405">
        <f t="shared" si="77"/>
        <v>0</v>
      </c>
      <c r="C405">
        <f t="shared" si="78"/>
        <v>0</v>
      </c>
      <c r="G405">
        <f>IF(OR($G$1="",资金日记账!$E398="",资金日记账!$E398&lt;&gt;$G$1),0,IF(NOT(OR(N(资金日记账!$H398)&lt;&gt;0,N(资金日记账!$I398)&lt;&gt;0)),0,IF(资金日记账!$B398="",1,IF(OR(N(资金日记账!$B398)&lt;$H$1,N(资金日记账!$B398)&gt;$I$1),0,1))))</f>
        <v>0</v>
      </c>
      <c r="H405">
        <f t="shared" si="79"/>
        <v>0</v>
      </c>
      <c r="I405" t="str">
        <f>IF($G405=0,"",IF(资金日记账!$B398=0,"",资金日记账!$B398))</f>
        <v/>
      </c>
      <c r="J405" t="str">
        <f>IF($G405=0,"",IF(资金日记账!$D398=0,"",资金日记账!$D398))</f>
        <v/>
      </c>
      <c r="K405" t="str">
        <f t="shared" si="85"/>
        <v/>
      </c>
      <c r="L405" t="str">
        <f t="shared" si="86"/>
        <v/>
      </c>
      <c r="M405" t="str">
        <f t="shared" si="80"/>
        <v/>
      </c>
      <c r="N405" t="str">
        <f>IF($G405=0,"",IF(IF(N(资金日记账!$I398)=0,"",-ROUND(N(资金日记账!$I398),2))=0,"",IF(N(资金日记账!$I398)=0,"",-ROUND(N(资金日记账!$I398),2))))</f>
        <v/>
      </c>
      <c r="O405" t="str">
        <f>IF($G405=0,"",IF(IF(N(资金日记账!$H398)=0,"",ROUND(N(资金日记账!$H398),2))=0,"",IF(N(资金日记账!$H398)=0,"",ROUND(N(资金日记账!$H398),2))))</f>
        <v/>
      </c>
      <c r="P405" t="str">
        <f>IF($G405=0,"",IF(资金日记账!$L398=0,"",资金日记账!$L398))</f>
        <v/>
      </c>
      <c r="T405" t="str">
        <f>IF(资金日记账!$G405="","",资金日记账!$G405)</f>
        <v/>
      </c>
      <c r="U405">
        <f t="shared" si="81"/>
        <v>0</v>
      </c>
      <c r="V405">
        <f t="shared" si="82"/>
        <v>0</v>
      </c>
      <c r="AF405" t="str">
        <f>IF(OR(资金日记账!$E405="",N(资金日记账!$H405)=0),"",资金日记账!$E405)</f>
        <v/>
      </c>
      <c r="AG405">
        <f t="shared" si="83"/>
        <v>0</v>
      </c>
      <c r="AH405">
        <f t="shared" si="84"/>
        <v>0</v>
      </c>
    </row>
    <row r="406" spans="1:34">
      <c r="A406" t="str">
        <f>IF(资金日记账!$F104="","",资金日记账!$F104)</f>
        <v/>
      </c>
      <c r="B406">
        <f t="shared" si="77"/>
        <v>0</v>
      </c>
      <c r="C406">
        <f t="shared" si="78"/>
        <v>0</v>
      </c>
      <c r="G406">
        <f>IF(OR($G$1="",资金日记账!$E399="",资金日记账!$E399&lt;&gt;$G$1),0,IF(NOT(OR(N(资金日记账!$H399)&lt;&gt;0,N(资金日记账!$I399)&lt;&gt;0)),0,IF(资金日记账!$B399="",1,IF(OR(N(资金日记账!$B399)&lt;$H$1,N(资金日记账!$B399)&gt;$I$1),0,1))))</f>
        <v>0</v>
      </c>
      <c r="H406">
        <f t="shared" si="79"/>
        <v>0</v>
      </c>
      <c r="I406" t="str">
        <f>IF($G406=0,"",IF(资金日记账!$B399=0,"",资金日记账!$B399))</f>
        <v/>
      </c>
      <c r="J406" t="str">
        <f>IF($G406=0,"",IF(资金日记账!$D399=0,"",资金日记账!$D399))</f>
        <v/>
      </c>
      <c r="K406" t="str">
        <f t="shared" si="85"/>
        <v/>
      </c>
      <c r="L406" t="str">
        <f t="shared" si="86"/>
        <v/>
      </c>
      <c r="M406" t="str">
        <f t="shared" si="80"/>
        <v/>
      </c>
      <c r="N406" t="str">
        <f>IF($G406=0,"",IF(IF(N(资金日记账!$I399)=0,"",-ROUND(N(资金日记账!$I399),2))=0,"",IF(N(资金日记账!$I399)=0,"",-ROUND(N(资金日记账!$I399),2))))</f>
        <v/>
      </c>
      <c r="O406" t="str">
        <f>IF($G406=0,"",IF(IF(N(资金日记账!$H399)=0,"",ROUND(N(资金日记账!$H399),2))=0,"",IF(N(资金日记账!$H399)=0,"",ROUND(N(资金日记账!$H399),2))))</f>
        <v/>
      </c>
      <c r="P406" t="str">
        <f>IF($G406=0,"",IF(资金日记账!$L399=0,"",资金日记账!$L399))</f>
        <v/>
      </c>
      <c r="T406" t="str">
        <f>IF(资金日记账!$G406="","",资金日记账!$G406)</f>
        <v/>
      </c>
      <c r="U406">
        <f t="shared" si="81"/>
        <v>0</v>
      </c>
      <c r="V406">
        <f t="shared" si="82"/>
        <v>0</v>
      </c>
      <c r="AF406" t="str">
        <f>IF(OR(资金日记账!$E406="",N(资金日记账!$H406)=0),"",资金日记账!$E406)</f>
        <v/>
      </c>
      <c r="AG406">
        <f t="shared" si="83"/>
        <v>0</v>
      </c>
      <c r="AH406">
        <f t="shared" si="84"/>
        <v>0</v>
      </c>
    </row>
    <row r="407" spans="1:34">
      <c r="A407" t="str">
        <f>IF(资金日记账!$F105="","",资金日记账!$F105)</f>
        <v/>
      </c>
      <c r="B407">
        <f t="shared" si="77"/>
        <v>0</v>
      </c>
      <c r="C407">
        <f t="shared" si="78"/>
        <v>0</v>
      </c>
      <c r="G407">
        <f>IF(OR($G$1="",资金日记账!$E400="",资金日记账!$E400&lt;&gt;$G$1),0,IF(NOT(OR(N(资金日记账!$H400)&lt;&gt;0,N(资金日记账!$I400)&lt;&gt;0)),0,IF(资金日记账!$B400="",1,IF(OR(N(资金日记账!$B400)&lt;$H$1,N(资金日记账!$B400)&gt;$I$1),0,1))))</f>
        <v>0</v>
      </c>
      <c r="H407">
        <f t="shared" si="79"/>
        <v>0</v>
      </c>
      <c r="I407" t="str">
        <f>IF($G407=0,"",IF(资金日记账!$B400=0,"",资金日记账!$B400))</f>
        <v/>
      </c>
      <c r="J407" t="str">
        <f>IF($G407=0,"",IF(资金日记账!$D400=0,"",资金日记账!$D400))</f>
        <v/>
      </c>
      <c r="K407" t="str">
        <f t="shared" si="85"/>
        <v/>
      </c>
      <c r="L407" t="str">
        <f t="shared" si="86"/>
        <v/>
      </c>
      <c r="M407" t="str">
        <f t="shared" si="80"/>
        <v/>
      </c>
      <c r="N407" t="str">
        <f>IF($G407=0,"",IF(IF(N(资金日记账!$I400)=0,"",-ROUND(N(资金日记账!$I400),2))=0,"",IF(N(资金日记账!$I400)=0,"",-ROUND(N(资金日记账!$I400),2))))</f>
        <v/>
      </c>
      <c r="O407" t="str">
        <f>IF($G407=0,"",IF(IF(N(资金日记账!$H400)=0,"",ROUND(N(资金日记账!$H400),2))=0,"",IF(N(资金日记账!$H400)=0,"",ROUND(N(资金日记账!$H400),2))))</f>
        <v/>
      </c>
      <c r="P407" t="str">
        <f>IF($G407=0,"",IF(资金日记账!$L400=0,"",资金日记账!$L400))</f>
        <v/>
      </c>
      <c r="T407" t="str">
        <f>IF(资金日记账!$G407="","",资金日记账!$G407)</f>
        <v/>
      </c>
      <c r="U407">
        <f t="shared" si="81"/>
        <v>0</v>
      </c>
      <c r="V407">
        <f t="shared" si="82"/>
        <v>0</v>
      </c>
      <c r="AF407" t="str">
        <f>IF(OR(资金日记账!$E407="",N(资金日记账!$H407)=0),"",资金日记账!$E407)</f>
        <v/>
      </c>
      <c r="AG407">
        <f t="shared" si="83"/>
        <v>0</v>
      </c>
      <c r="AH407">
        <f t="shared" si="84"/>
        <v>0</v>
      </c>
    </row>
    <row r="408" spans="1:34">
      <c r="A408" t="str">
        <f>IF(资金日记账!$F106="","",资金日记账!$F106)</f>
        <v/>
      </c>
      <c r="B408">
        <f t="shared" si="77"/>
        <v>0</v>
      </c>
      <c r="C408">
        <f t="shared" si="78"/>
        <v>0</v>
      </c>
      <c r="G408">
        <f>IF(OR($G$1="",资金日记账!$E401="",资金日记账!$E401&lt;&gt;$G$1),0,IF(NOT(OR(N(资金日记账!$H401)&lt;&gt;0,N(资金日记账!$I401)&lt;&gt;0)),0,IF(资金日记账!$B401="",1,IF(OR(N(资金日记账!$B401)&lt;$H$1,N(资金日记账!$B401)&gt;$I$1),0,1))))</f>
        <v>0</v>
      </c>
      <c r="H408">
        <f t="shared" si="79"/>
        <v>0</v>
      </c>
      <c r="I408" t="str">
        <f>IF($G408=0,"",IF(资金日记账!$B401=0,"",资金日记账!$B401))</f>
        <v/>
      </c>
      <c r="J408" t="str">
        <f>IF($G408=0,"",IF(资金日记账!$D401=0,"",资金日记账!$D401))</f>
        <v/>
      </c>
      <c r="K408" t="str">
        <f t="shared" si="85"/>
        <v/>
      </c>
      <c r="L408" t="str">
        <f t="shared" si="86"/>
        <v/>
      </c>
      <c r="M408" t="str">
        <f t="shared" si="80"/>
        <v/>
      </c>
      <c r="N408" t="str">
        <f>IF($G408=0,"",IF(IF(N(资金日记账!$I401)=0,"",-ROUND(N(资金日记账!$I401),2))=0,"",IF(N(资金日记账!$I401)=0,"",-ROUND(N(资金日记账!$I401),2))))</f>
        <v/>
      </c>
      <c r="O408" t="str">
        <f>IF($G408=0,"",IF(IF(N(资金日记账!$H401)=0,"",ROUND(N(资金日记账!$H401),2))=0,"",IF(N(资金日记账!$H401)=0,"",ROUND(N(资金日记账!$H401),2))))</f>
        <v/>
      </c>
      <c r="P408" t="str">
        <f>IF($G408=0,"",IF(资金日记账!$L401=0,"",资金日记账!$L401))</f>
        <v/>
      </c>
      <c r="T408" t="str">
        <f>IF(资金日记账!$G408="","",资金日记账!$G408)</f>
        <v/>
      </c>
      <c r="U408">
        <f t="shared" si="81"/>
        <v>0</v>
      </c>
      <c r="V408">
        <f t="shared" si="82"/>
        <v>0</v>
      </c>
      <c r="AF408" t="str">
        <f>IF(OR(资金日记账!$E408="",N(资金日记账!$H408)=0),"",资金日记账!$E408)</f>
        <v/>
      </c>
      <c r="AG408">
        <f t="shared" si="83"/>
        <v>0</v>
      </c>
      <c r="AH408">
        <f t="shared" si="84"/>
        <v>0</v>
      </c>
    </row>
    <row r="409" spans="1:34">
      <c r="A409" t="str">
        <f>IF(资金日记账!$F107="","",资金日记账!$F107)</f>
        <v/>
      </c>
      <c r="B409">
        <f t="shared" si="77"/>
        <v>0</v>
      </c>
      <c r="C409">
        <f t="shared" si="78"/>
        <v>0</v>
      </c>
      <c r="G409">
        <f>IF(OR($G$1="",资金日记账!$E402="",资金日记账!$E402&lt;&gt;$G$1),0,IF(NOT(OR(N(资金日记账!$H402)&lt;&gt;0,N(资金日记账!$I402)&lt;&gt;0)),0,IF(资金日记账!$B402="",1,IF(OR(N(资金日记账!$B402)&lt;$H$1,N(资金日记账!$B402)&gt;$I$1),0,1))))</f>
        <v>0</v>
      </c>
      <c r="H409">
        <f t="shared" si="79"/>
        <v>0</v>
      </c>
      <c r="I409" t="str">
        <f>IF($G409=0,"",IF(资金日记账!$B402=0,"",资金日记账!$B402))</f>
        <v/>
      </c>
      <c r="J409" t="str">
        <f>IF($G409=0,"",IF(资金日记账!$D402=0,"",资金日记账!$D402))</f>
        <v/>
      </c>
      <c r="K409" t="str">
        <f t="shared" si="85"/>
        <v/>
      </c>
      <c r="L409" t="str">
        <f t="shared" si="86"/>
        <v/>
      </c>
      <c r="M409" t="str">
        <f t="shared" si="80"/>
        <v/>
      </c>
      <c r="N409" t="str">
        <f>IF($G409=0,"",IF(IF(N(资金日记账!$I402)=0,"",-ROUND(N(资金日记账!$I402),2))=0,"",IF(N(资金日记账!$I402)=0,"",-ROUND(N(资金日记账!$I402),2))))</f>
        <v/>
      </c>
      <c r="O409" t="str">
        <f>IF($G409=0,"",IF(IF(N(资金日记账!$H402)=0,"",ROUND(N(资金日记账!$H402),2))=0,"",IF(N(资金日记账!$H402)=0,"",ROUND(N(资金日记账!$H402),2))))</f>
        <v/>
      </c>
      <c r="P409" t="str">
        <f>IF($G409=0,"",IF(资金日记账!$L402=0,"",资金日记账!$L402))</f>
        <v/>
      </c>
      <c r="T409" t="str">
        <f>IF(资金日记账!$G409="","",资金日记账!$G409)</f>
        <v/>
      </c>
      <c r="U409">
        <f t="shared" si="81"/>
        <v>0</v>
      </c>
      <c r="V409">
        <f t="shared" si="82"/>
        <v>0</v>
      </c>
      <c r="AF409" t="str">
        <f>IF(OR(资金日记账!$E409="",N(资金日记账!$H409)=0),"",资金日记账!$E409)</f>
        <v/>
      </c>
      <c r="AG409">
        <f t="shared" si="83"/>
        <v>0</v>
      </c>
      <c r="AH409">
        <f t="shared" si="84"/>
        <v>0</v>
      </c>
    </row>
    <row r="410" spans="1:34">
      <c r="A410" t="str">
        <f>IF(资金日记账!$F108="","",资金日记账!$F108)</f>
        <v/>
      </c>
      <c r="B410">
        <f t="shared" si="77"/>
        <v>0</v>
      </c>
      <c r="C410">
        <f t="shared" si="78"/>
        <v>0</v>
      </c>
      <c r="G410">
        <f>IF(OR($G$1="",资金日记账!$E403="",资金日记账!$E403&lt;&gt;$G$1),0,IF(NOT(OR(N(资金日记账!$H403)&lt;&gt;0,N(资金日记账!$I403)&lt;&gt;0)),0,IF(资金日记账!$B403="",1,IF(OR(N(资金日记账!$B403)&lt;$H$1,N(资金日记账!$B403)&gt;$I$1),0,1))))</f>
        <v>0</v>
      </c>
      <c r="H410">
        <f t="shared" si="79"/>
        <v>0</v>
      </c>
      <c r="I410" t="str">
        <f>IF($G410=0,"",IF(资金日记账!$B403=0,"",资金日记账!$B403))</f>
        <v/>
      </c>
      <c r="J410" t="str">
        <f>IF($G410=0,"",IF(资金日记账!$D403=0,"",资金日记账!$D403))</f>
        <v/>
      </c>
      <c r="K410" t="str">
        <f t="shared" si="85"/>
        <v/>
      </c>
      <c r="L410" t="str">
        <f t="shared" si="86"/>
        <v/>
      </c>
      <c r="M410" t="str">
        <f t="shared" si="80"/>
        <v/>
      </c>
      <c r="N410" t="str">
        <f>IF($G410=0,"",IF(IF(N(资金日记账!$I403)=0,"",-ROUND(N(资金日记账!$I403),2))=0,"",IF(N(资金日记账!$I403)=0,"",-ROUND(N(资金日记账!$I403),2))))</f>
        <v/>
      </c>
      <c r="O410" t="str">
        <f>IF($G410=0,"",IF(IF(N(资金日记账!$H403)=0,"",ROUND(N(资金日记账!$H403),2))=0,"",IF(N(资金日记账!$H403)=0,"",ROUND(N(资金日记账!$H403),2))))</f>
        <v/>
      </c>
      <c r="P410" t="str">
        <f>IF($G410=0,"",IF(资金日记账!$L403=0,"",资金日记账!$L403))</f>
        <v/>
      </c>
      <c r="T410" t="str">
        <f>IF(资金日记账!$G410="","",资金日记账!$G410)</f>
        <v/>
      </c>
      <c r="U410">
        <f t="shared" si="81"/>
        <v>0</v>
      </c>
      <c r="V410">
        <f t="shared" si="82"/>
        <v>0</v>
      </c>
      <c r="AF410" t="str">
        <f>IF(OR(资金日记账!$E410="",N(资金日记账!$H410)=0),"",资金日记账!$E410)</f>
        <v/>
      </c>
      <c r="AG410">
        <f t="shared" si="83"/>
        <v>0</v>
      </c>
      <c r="AH410">
        <f t="shared" si="84"/>
        <v>0</v>
      </c>
    </row>
    <row r="411" spans="1:34">
      <c r="A411" t="str">
        <f>IF(资金日记账!$F109="","",资金日记账!$F109)</f>
        <v/>
      </c>
      <c r="B411">
        <f t="shared" si="77"/>
        <v>0</v>
      </c>
      <c r="C411">
        <f t="shared" si="78"/>
        <v>0</v>
      </c>
      <c r="G411">
        <f>IF(OR($G$1="",资金日记账!$E404="",资金日记账!$E404&lt;&gt;$G$1),0,IF(NOT(OR(N(资金日记账!$H404)&lt;&gt;0,N(资金日记账!$I404)&lt;&gt;0)),0,IF(资金日记账!$B404="",1,IF(OR(N(资金日记账!$B404)&lt;$H$1,N(资金日记账!$B404)&gt;$I$1),0,1))))</f>
        <v>0</v>
      </c>
      <c r="H411">
        <f t="shared" si="79"/>
        <v>0</v>
      </c>
      <c r="I411" t="str">
        <f>IF($G411=0,"",IF(资金日记账!$B404=0,"",资金日记账!$B404))</f>
        <v/>
      </c>
      <c r="J411" t="str">
        <f>IF($G411=0,"",IF(资金日记账!$D404=0,"",资金日记账!$D404))</f>
        <v/>
      </c>
      <c r="K411" t="str">
        <f t="shared" si="85"/>
        <v/>
      </c>
      <c r="L411" t="str">
        <f t="shared" si="86"/>
        <v/>
      </c>
      <c r="M411" t="str">
        <f t="shared" si="80"/>
        <v/>
      </c>
      <c r="N411" t="str">
        <f>IF($G411=0,"",IF(IF(N(资金日记账!$I404)=0,"",-ROUND(N(资金日记账!$I404),2))=0,"",IF(N(资金日记账!$I404)=0,"",-ROUND(N(资金日记账!$I404),2))))</f>
        <v/>
      </c>
      <c r="O411" t="str">
        <f>IF($G411=0,"",IF(IF(N(资金日记账!$H404)=0,"",ROUND(N(资金日记账!$H404),2))=0,"",IF(N(资金日记账!$H404)=0,"",ROUND(N(资金日记账!$H404),2))))</f>
        <v/>
      </c>
      <c r="P411" t="str">
        <f>IF($G411=0,"",IF(资金日记账!$L404=0,"",资金日记账!$L404))</f>
        <v/>
      </c>
      <c r="T411" t="str">
        <f>IF(资金日记账!$G411="","",资金日记账!$G411)</f>
        <v/>
      </c>
      <c r="U411">
        <f t="shared" si="81"/>
        <v>0</v>
      </c>
      <c r="V411">
        <f t="shared" si="82"/>
        <v>0</v>
      </c>
      <c r="AF411" t="str">
        <f>IF(OR(资金日记账!$E411="",N(资金日记账!$H411)=0),"",资金日记账!$E411)</f>
        <v/>
      </c>
      <c r="AG411">
        <f t="shared" si="83"/>
        <v>0</v>
      </c>
      <c r="AH411">
        <f t="shared" si="84"/>
        <v>0</v>
      </c>
    </row>
    <row r="412" spans="1:34">
      <c r="A412" t="str">
        <f>IF(资金日记账!$F110="","",资金日记账!$F110)</f>
        <v/>
      </c>
      <c r="B412">
        <f t="shared" si="77"/>
        <v>0</v>
      </c>
      <c r="C412">
        <f t="shared" si="78"/>
        <v>0</v>
      </c>
      <c r="G412">
        <f>IF(OR($G$1="",资金日记账!$E405="",资金日记账!$E405&lt;&gt;$G$1),0,IF(NOT(OR(N(资金日记账!$H405)&lt;&gt;0,N(资金日记账!$I405)&lt;&gt;0)),0,IF(资金日记账!$B405="",1,IF(OR(N(资金日记账!$B405)&lt;$H$1,N(资金日记账!$B405)&gt;$I$1),0,1))))</f>
        <v>0</v>
      </c>
      <c r="H412">
        <f t="shared" si="79"/>
        <v>0</v>
      </c>
      <c r="I412" t="str">
        <f>IF($G412=0,"",IF(资金日记账!$B405=0,"",资金日记账!$B405))</f>
        <v/>
      </c>
      <c r="J412" t="str">
        <f>IF($G412=0,"",IF(资金日记账!$D405=0,"",资金日记账!$D405))</f>
        <v/>
      </c>
      <c r="K412" t="str">
        <f t="shared" si="85"/>
        <v/>
      </c>
      <c r="L412" t="str">
        <f t="shared" si="86"/>
        <v/>
      </c>
      <c r="M412" t="str">
        <f t="shared" si="80"/>
        <v/>
      </c>
      <c r="N412" t="str">
        <f>IF($G412=0,"",IF(IF(N(资金日记账!$I405)=0,"",-ROUND(N(资金日记账!$I405),2))=0,"",IF(N(资金日记账!$I405)=0,"",-ROUND(N(资金日记账!$I405),2))))</f>
        <v/>
      </c>
      <c r="O412" t="str">
        <f>IF($G412=0,"",IF(IF(N(资金日记账!$H405)=0,"",ROUND(N(资金日记账!$H405),2))=0,"",IF(N(资金日记账!$H405)=0,"",ROUND(N(资金日记账!$H405),2))))</f>
        <v/>
      </c>
      <c r="P412" t="str">
        <f>IF($G412=0,"",IF(资金日记账!$L405=0,"",资金日记账!$L405))</f>
        <v/>
      </c>
      <c r="T412" t="str">
        <f>IF(资金日记账!$G412="","",资金日记账!$G412)</f>
        <v/>
      </c>
      <c r="U412">
        <f t="shared" si="81"/>
        <v>0</v>
      </c>
      <c r="V412">
        <f t="shared" si="82"/>
        <v>0</v>
      </c>
      <c r="AF412" t="str">
        <f>IF(OR(资金日记账!$E412="",N(资金日记账!$H412)=0),"",资金日记账!$E412)</f>
        <v/>
      </c>
      <c r="AG412">
        <f t="shared" si="83"/>
        <v>0</v>
      </c>
      <c r="AH412">
        <f t="shared" si="84"/>
        <v>0</v>
      </c>
    </row>
    <row r="413" spans="1:34">
      <c r="A413" t="str">
        <f>IF(资金日记账!$F111="","",资金日记账!$F111)</f>
        <v/>
      </c>
      <c r="B413">
        <f t="shared" si="77"/>
        <v>0</v>
      </c>
      <c r="C413">
        <f t="shared" si="78"/>
        <v>0</v>
      </c>
      <c r="G413">
        <f>IF(OR($G$1="",资金日记账!$E406="",资金日记账!$E406&lt;&gt;$G$1),0,IF(NOT(OR(N(资金日记账!$H406)&lt;&gt;0,N(资金日记账!$I406)&lt;&gt;0)),0,IF(资金日记账!$B406="",1,IF(OR(N(资金日记账!$B406)&lt;$H$1,N(资金日记账!$B406)&gt;$I$1),0,1))))</f>
        <v>0</v>
      </c>
      <c r="H413">
        <f t="shared" si="79"/>
        <v>0</v>
      </c>
      <c r="I413" t="str">
        <f>IF($G413=0,"",IF(资金日记账!$B406=0,"",资金日记账!$B406))</f>
        <v/>
      </c>
      <c r="J413" t="str">
        <f>IF($G413=0,"",IF(资金日记账!$D406=0,"",资金日记账!$D406))</f>
        <v/>
      </c>
      <c r="K413" t="str">
        <f t="shared" si="85"/>
        <v/>
      </c>
      <c r="L413" t="str">
        <f t="shared" si="86"/>
        <v/>
      </c>
      <c r="M413" t="str">
        <f t="shared" si="80"/>
        <v/>
      </c>
      <c r="N413" t="str">
        <f>IF($G413=0,"",IF(IF(N(资金日记账!$I406)=0,"",-ROUND(N(资金日记账!$I406),2))=0,"",IF(N(资金日记账!$I406)=0,"",-ROUND(N(资金日记账!$I406),2))))</f>
        <v/>
      </c>
      <c r="O413" t="str">
        <f>IF($G413=0,"",IF(IF(N(资金日记账!$H406)=0,"",ROUND(N(资金日记账!$H406),2))=0,"",IF(N(资金日记账!$H406)=0,"",ROUND(N(资金日记账!$H406),2))))</f>
        <v/>
      </c>
      <c r="P413" t="str">
        <f>IF($G413=0,"",IF(资金日记账!$L406=0,"",资金日记账!$L406))</f>
        <v/>
      </c>
      <c r="T413" t="str">
        <f>IF(资金日记账!$G413="","",资金日记账!$G413)</f>
        <v/>
      </c>
      <c r="U413">
        <f t="shared" si="81"/>
        <v>0</v>
      </c>
      <c r="V413">
        <f t="shared" si="82"/>
        <v>0</v>
      </c>
      <c r="AF413" t="str">
        <f>IF(OR(资金日记账!$E413="",N(资金日记账!$H413)=0),"",资金日记账!$E413)</f>
        <v/>
      </c>
      <c r="AG413">
        <f t="shared" si="83"/>
        <v>0</v>
      </c>
      <c r="AH413">
        <f t="shared" si="84"/>
        <v>0</v>
      </c>
    </row>
    <row r="414" spans="1:34">
      <c r="A414" t="str">
        <f>IF(资金日记账!$F112="","",资金日记账!$F112)</f>
        <v/>
      </c>
      <c r="B414">
        <f t="shared" si="77"/>
        <v>0</v>
      </c>
      <c r="C414">
        <f t="shared" si="78"/>
        <v>0</v>
      </c>
      <c r="G414">
        <f>IF(OR($G$1="",资金日记账!$E407="",资金日记账!$E407&lt;&gt;$G$1),0,IF(NOT(OR(N(资金日记账!$H407)&lt;&gt;0,N(资金日记账!$I407)&lt;&gt;0)),0,IF(资金日记账!$B407="",1,IF(OR(N(资金日记账!$B407)&lt;$H$1,N(资金日记账!$B407)&gt;$I$1),0,1))))</f>
        <v>0</v>
      </c>
      <c r="H414">
        <f t="shared" si="79"/>
        <v>0</v>
      </c>
      <c r="I414" t="str">
        <f>IF($G414=0,"",IF(资金日记账!$B407=0,"",资金日记账!$B407))</f>
        <v/>
      </c>
      <c r="J414" t="str">
        <f>IF($G414=0,"",IF(资金日记账!$D407=0,"",资金日记账!$D407))</f>
        <v/>
      </c>
      <c r="K414" t="str">
        <f t="shared" si="85"/>
        <v/>
      </c>
      <c r="L414" t="str">
        <f t="shared" si="86"/>
        <v/>
      </c>
      <c r="M414" t="str">
        <f t="shared" si="80"/>
        <v/>
      </c>
      <c r="N414" t="str">
        <f>IF($G414=0,"",IF(IF(N(资金日记账!$I407)=0,"",-ROUND(N(资金日记账!$I407),2))=0,"",IF(N(资金日记账!$I407)=0,"",-ROUND(N(资金日记账!$I407),2))))</f>
        <v/>
      </c>
      <c r="O414" t="str">
        <f>IF($G414=0,"",IF(IF(N(资金日记账!$H407)=0,"",ROUND(N(资金日记账!$H407),2))=0,"",IF(N(资金日记账!$H407)=0,"",ROUND(N(资金日记账!$H407),2))))</f>
        <v/>
      </c>
      <c r="P414" t="str">
        <f>IF($G414=0,"",IF(资金日记账!$L407=0,"",资金日记账!$L407))</f>
        <v/>
      </c>
      <c r="T414" t="str">
        <f>IF(资金日记账!$G414="","",资金日记账!$G414)</f>
        <v/>
      </c>
      <c r="U414">
        <f t="shared" si="81"/>
        <v>0</v>
      </c>
      <c r="V414">
        <f t="shared" si="82"/>
        <v>0</v>
      </c>
      <c r="AF414" t="str">
        <f>IF(OR(资金日记账!$E414="",N(资金日记账!$H414)=0),"",资金日记账!$E414)</f>
        <v/>
      </c>
      <c r="AG414">
        <f t="shared" si="83"/>
        <v>0</v>
      </c>
      <c r="AH414">
        <f t="shared" si="84"/>
        <v>0</v>
      </c>
    </row>
    <row r="415" spans="1:34">
      <c r="A415" t="str">
        <f>IF(资金日记账!$F113="","",资金日记账!$F113)</f>
        <v/>
      </c>
      <c r="B415">
        <f t="shared" si="77"/>
        <v>0</v>
      </c>
      <c r="C415">
        <f t="shared" si="78"/>
        <v>0</v>
      </c>
      <c r="G415">
        <f>IF(OR($G$1="",资金日记账!$E408="",资金日记账!$E408&lt;&gt;$G$1),0,IF(NOT(OR(N(资金日记账!$H408)&lt;&gt;0,N(资金日记账!$I408)&lt;&gt;0)),0,IF(资金日记账!$B408="",1,IF(OR(N(资金日记账!$B408)&lt;$H$1,N(资金日记账!$B408)&gt;$I$1),0,1))))</f>
        <v>0</v>
      </c>
      <c r="H415">
        <f t="shared" si="79"/>
        <v>0</v>
      </c>
      <c r="I415" t="str">
        <f>IF($G415=0,"",IF(资金日记账!$B408=0,"",资金日记账!$B408))</f>
        <v/>
      </c>
      <c r="J415" t="str">
        <f>IF($G415=0,"",IF(资金日记账!$D408=0,"",资金日记账!$D408))</f>
        <v/>
      </c>
      <c r="K415" t="str">
        <f t="shared" si="85"/>
        <v/>
      </c>
      <c r="L415" t="str">
        <f t="shared" si="86"/>
        <v/>
      </c>
      <c r="M415" t="str">
        <f t="shared" si="80"/>
        <v/>
      </c>
      <c r="N415" t="str">
        <f>IF($G415=0,"",IF(IF(N(资金日记账!$I408)=0,"",-ROUND(N(资金日记账!$I408),2))=0,"",IF(N(资金日记账!$I408)=0,"",-ROUND(N(资金日记账!$I408),2))))</f>
        <v/>
      </c>
      <c r="O415" t="str">
        <f>IF($G415=0,"",IF(IF(N(资金日记账!$H408)=0,"",ROUND(N(资金日记账!$H408),2))=0,"",IF(N(资金日记账!$H408)=0,"",ROUND(N(资金日记账!$H408),2))))</f>
        <v/>
      </c>
      <c r="P415" t="str">
        <f>IF($G415=0,"",IF(资金日记账!$L408=0,"",资金日记账!$L408))</f>
        <v/>
      </c>
      <c r="T415" t="str">
        <f>IF(资金日记账!$G415="","",资金日记账!$G415)</f>
        <v/>
      </c>
      <c r="U415">
        <f t="shared" si="81"/>
        <v>0</v>
      </c>
      <c r="V415">
        <f t="shared" si="82"/>
        <v>0</v>
      </c>
      <c r="AF415" t="str">
        <f>IF(OR(资金日记账!$E415="",N(资金日记账!$H415)=0),"",资金日记账!$E415)</f>
        <v/>
      </c>
      <c r="AG415">
        <f t="shared" si="83"/>
        <v>0</v>
      </c>
      <c r="AH415">
        <f t="shared" si="84"/>
        <v>0</v>
      </c>
    </row>
    <row r="416" spans="1:34">
      <c r="A416" t="str">
        <f>IF(资金日记账!$F114="","",资金日记账!$F114)</f>
        <v/>
      </c>
      <c r="B416">
        <f t="shared" si="77"/>
        <v>0</v>
      </c>
      <c r="C416">
        <f t="shared" si="78"/>
        <v>0</v>
      </c>
      <c r="G416">
        <f>IF(OR($G$1="",资金日记账!$E409="",资金日记账!$E409&lt;&gt;$G$1),0,IF(NOT(OR(N(资金日记账!$H409)&lt;&gt;0,N(资金日记账!$I409)&lt;&gt;0)),0,IF(资金日记账!$B409="",1,IF(OR(N(资金日记账!$B409)&lt;$H$1,N(资金日记账!$B409)&gt;$I$1),0,1))))</f>
        <v>0</v>
      </c>
      <c r="H416">
        <f t="shared" si="79"/>
        <v>0</v>
      </c>
      <c r="I416" t="str">
        <f>IF($G416=0,"",IF(资金日记账!$B409=0,"",资金日记账!$B409))</f>
        <v/>
      </c>
      <c r="J416" t="str">
        <f>IF($G416=0,"",IF(资金日记账!$D409=0,"",资金日记账!$D409))</f>
        <v/>
      </c>
      <c r="K416" t="str">
        <f t="shared" si="85"/>
        <v/>
      </c>
      <c r="L416" t="str">
        <f t="shared" si="86"/>
        <v/>
      </c>
      <c r="M416" t="str">
        <f t="shared" si="80"/>
        <v/>
      </c>
      <c r="N416" t="str">
        <f>IF($G416=0,"",IF(IF(N(资金日记账!$I409)=0,"",-ROUND(N(资金日记账!$I409),2))=0,"",IF(N(资金日记账!$I409)=0,"",-ROUND(N(资金日记账!$I409),2))))</f>
        <v/>
      </c>
      <c r="O416" t="str">
        <f>IF($G416=0,"",IF(IF(N(资金日记账!$H409)=0,"",ROUND(N(资金日记账!$H409),2))=0,"",IF(N(资金日记账!$H409)=0,"",ROUND(N(资金日记账!$H409),2))))</f>
        <v/>
      </c>
      <c r="P416" t="str">
        <f>IF($G416=0,"",IF(资金日记账!$L409=0,"",资金日记账!$L409))</f>
        <v/>
      </c>
      <c r="T416" t="str">
        <f>IF(资金日记账!$G416="","",资金日记账!$G416)</f>
        <v/>
      </c>
      <c r="U416">
        <f t="shared" si="81"/>
        <v>0</v>
      </c>
      <c r="V416">
        <f t="shared" si="82"/>
        <v>0</v>
      </c>
      <c r="AF416" t="str">
        <f>IF(OR(资金日记账!$E416="",N(资金日记账!$H416)=0),"",资金日记账!$E416)</f>
        <v/>
      </c>
      <c r="AG416">
        <f t="shared" si="83"/>
        <v>0</v>
      </c>
      <c r="AH416">
        <f t="shared" si="84"/>
        <v>0</v>
      </c>
    </row>
    <row r="417" spans="1:34">
      <c r="A417" t="str">
        <f>IF(资金日记账!$F115="","",资金日记账!$F115)</f>
        <v/>
      </c>
      <c r="B417">
        <f t="shared" si="77"/>
        <v>0</v>
      </c>
      <c r="C417">
        <f t="shared" si="78"/>
        <v>0</v>
      </c>
      <c r="G417">
        <f>IF(OR($G$1="",资金日记账!$E410="",资金日记账!$E410&lt;&gt;$G$1),0,IF(NOT(OR(N(资金日记账!$H410)&lt;&gt;0,N(资金日记账!$I410)&lt;&gt;0)),0,IF(资金日记账!$B410="",1,IF(OR(N(资金日记账!$B410)&lt;$H$1,N(资金日记账!$B410)&gt;$I$1),0,1))))</f>
        <v>0</v>
      </c>
      <c r="H417">
        <f t="shared" si="79"/>
        <v>0</v>
      </c>
      <c r="I417" t="str">
        <f>IF($G417=0,"",IF(资金日记账!$B410=0,"",资金日记账!$B410))</f>
        <v/>
      </c>
      <c r="J417" t="str">
        <f>IF($G417=0,"",IF(资金日记账!$D410=0,"",资金日记账!$D410))</f>
        <v/>
      </c>
      <c r="K417" t="str">
        <f t="shared" si="85"/>
        <v/>
      </c>
      <c r="L417" t="str">
        <f t="shared" si="86"/>
        <v/>
      </c>
      <c r="M417" t="str">
        <f t="shared" si="80"/>
        <v/>
      </c>
      <c r="N417" t="str">
        <f>IF($G417=0,"",IF(IF(N(资金日记账!$I410)=0,"",-ROUND(N(资金日记账!$I410),2))=0,"",IF(N(资金日记账!$I410)=0,"",-ROUND(N(资金日记账!$I410),2))))</f>
        <v/>
      </c>
      <c r="O417" t="str">
        <f>IF($G417=0,"",IF(IF(N(资金日记账!$H410)=0,"",ROUND(N(资金日记账!$H410),2))=0,"",IF(N(资金日记账!$H410)=0,"",ROUND(N(资金日记账!$H410),2))))</f>
        <v/>
      </c>
      <c r="P417" t="str">
        <f>IF($G417=0,"",IF(资金日记账!$L410=0,"",资金日记账!$L410))</f>
        <v/>
      </c>
      <c r="T417" t="str">
        <f>IF(资金日记账!$G417="","",资金日记账!$G417)</f>
        <v/>
      </c>
      <c r="U417">
        <f t="shared" si="81"/>
        <v>0</v>
      </c>
      <c r="V417">
        <f t="shared" si="82"/>
        <v>0</v>
      </c>
      <c r="AF417" t="str">
        <f>IF(OR(资金日记账!$E417="",N(资金日记账!$H417)=0),"",资金日记账!$E417)</f>
        <v/>
      </c>
      <c r="AG417">
        <f t="shared" si="83"/>
        <v>0</v>
      </c>
      <c r="AH417">
        <f t="shared" si="84"/>
        <v>0</v>
      </c>
    </row>
    <row r="418" spans="1:34">
      <c r="A418" t="str">
        <f>IF(资金日记账!$F116="","",资金日记账!$F116)</f>
        <v/>
      </c>
      <c r="B418">
        <f t="shared" si="77"/>
        <v>0</v>
      </c>
      <c r="C418">
        <f t="shared" si="78"/>
        <v>0</v>
      </c>
      <c r="G418">
        <f>IF(OR($G$1="",资金日记账!$E411="",资金日记账!$E411&lt;&gt;$G$1),0,IF(NOT(OR(N(资金日记账!$H411)&lt;&gt;0,N(资金日记账!$I411)&lt;&gt;0)),0,IF(资金日记账!$B411="",1,IF(OR(N(资金日记账!$B411)&lt;$H$1,N(资金日记账!$B411)&gt;$I$1),0,1))))</f>
        <v>0</v>
      </c>
      <c r="H418">
        <f t="shared" si="79"/>
        <v>0</v>
      </c>
      <c r="I418" t="str">
        <f>IF($G418=0,"",IF(资金日记账!$B411=0,"",资金日记账!$B411))</f>
        <v/>
      </c>
      <c r="J418" t="str">
        <f>IF($G418=0,"",IF(资金日记账!$D411=0,"",资金日记账!$D411))</f>
        <v/>
      </c>
      <c r="K418" t="str">
        <f t="shared" si="85"/>
        <v/>
      </c>
      <c r="L418" t="str">
        <f t="shared" si="86"/>
        <v/>
      </c>
      <c r="M418" t="str">
        <f t="shared" si="80"/>
        <v/>
      </c>
      <c r="N418" t="str">
        <f>IF($G418=0,"",IF(IF(N(资金日记账!$I411)=0,"",-ROUND(N(资金日记账!$I411),2))=0,"",IF(N(资金日记账!$I411)=0,"",-ROUND(N(资金日记账!$I411),2))))</f>
        <v/>
      </c>
      <c r="O418" t="str">
        <f>IF($G418=0,"",IF(IF(N(资金日记账!$H411)=0,"",ROUND(N(资金日记账!$H411),2))=0,"",IF(N(资金日记账!$H411)=0,"",ROUND(N(资金日记账!$H411),2))))</f>
        <v/>
      </c>
      <c r="P418" t="str">
        <f>IF($G418=0,"",IF(资金日记账!$L411=0,"",资金日记账!$L411))</f>
        <v/>
      </c>
      <c r="T418" t="str">
        <f>IF(资金日记账!$G418="","",资金日记账!$G418)</f>
        <v/>
      </c>
      <c r="U418">
        <f t="shared" si="81"/>
        <v>0</v>
      </c>
      <c r="V418">
        <f t="shared" si="82"/>
        <v>0</v>
      </c>
      <c r="AF418" t="str">
        <f>IF(OR(资金日记账!$E418="",N(资金日记账!$H418)=0),"",资金日记账!$E418)</f>
        <v/>
      </c>
      <c r="AG418">
        <f t="shared" si="83"/>
        <v>0</v>
      </c>
      <c r="AH418">
        <f t="shared" si="84"/>
        <v>0</v>
      </c>
    </row>
    <row r="419" spans="1:34">
      <c r="A419" t="str">
        <f>IF(资金日记账!$F117="","",资金日记账!$F117)</f>
        <v/>
      </c>
      <c r="B419">
        <f t="shared" si="77"/>
        <v>0</v>
      </c>
      <c r="C419">
        <f t="shared" si="78"/>
        <v>0</v>
      </c>
      <c r="G419">
        <f>IF(OR($G$1="",资金日记账!$E412="",资金日记账!$E412&lt;&gt;$G$1),0,IF(NOT(OR(N(资金日记账!$H412)&lt;&gt;0,N(资金日记账!$I412)&lt;&gt;0)),0,IF(资金日记账!$B412="",1,IF(OR(N(资金日记账!$B412)&lt;$H$1,N(资金日记账!$B412)&gt;$I$1),0,1))))</f>
        <v>0</v>
      </c>
      <c r="H419">
        <f t="shared" si="79"/>
        <v>0</v>
      </c>
      <c r="I419" t="str">
        <f>IF($G419=0,"",IF(资金日记账!$B412=0,"",资金日记账!$B412))</f>
        <v/>
      </c>
      <c r="J419" t="str">
        <f>IF($G419=0,"",IF(资金日记账!$D412=0,"",资金日记账!$D412))</f>
        <v/>
      </c>
      <c r="K419" t="str">
        <f t="shared" si="85"/>
        <v/>
      </c>
      <c r="L419" t="str">
        <f t="shared" si="86"/>
        <v/>
      </c>
      <c r="M419" t="str">
        <f t="shared" si="80"/>
        <v/>
      </c>
      <c r="N419" t="str">
        <f>IF($G419=0,"",IF(IF(N(资金日记账!$I412)=0,"",-ROUND(N(资金日记账!$I412),2))=0,"",IF(N(资金日记账!$I412)=0,"",-ROUND(N(资金日记账!$I412),2))))</f>
        <v/>
      </c>
      <c r="O419" t="str">
        <f>IF($G419=0,"",IF(IF(N(资金日记账!$H412)=0,"",ROUND(N(资金日记账!$H412),2))=0,"",IF(N(资金日记账!$H412)=0,"",ROUND(N(资金日记账!$H412),2))))</f>
        <v/>
      </c>
      <c r="P419" t="str">
        <f>IF($G419=0,"",IF(资金日记账!$L412=0,"",资金日记账!$L412))</f>
        <v/>
      </c>
      <c r="T419" t="str">
        <f>IF(资金日记账!$G419="","",资金日记账!$G419)</f>
        <v/>
      </c>
      <c r="U419">
        <f t="shared" si="81"/>
        <v>0</v>
      </c>
      <c r="V419">
        <f t="shared" si="82"/>
        <v>0</v>
      </c>
      <c r="AF419" t="str">
        <f>IF(OR(资金日记账!$E419="",N(资金日记账!$H419)=0),"",资金日记账!$E419)</f>
        <v/>
      </c>
      <c r="AG419">
        <f t="shared" si="83"/>
        <v>0</v>
      </c>
      <c r="AH419">
        <f t="shared" si="84"/>
        <v>0</v>
      </c>
    </row>
    <row r="420" spans="1:34">
      <c r="A420" t="str">
        <f>IF(资金日记账!$F118="","",资金日记账!$F118)</f>
        <v/>
      </c>
      <c r="B420">
        <f t="shared" si="77"/>
        <v>0</v>
      </c>
      <c r="C420">
        <f t="shared" si="78"/>
        <v>0</v>
      </c>
      <c r="G420">
        <f>IF(OR($G$1="",资金日记账!$E413="",资金日记账!$E413&lt;&gt;$G$1),0,IF(NOT(OR(N(资金日记账!$H413)&lt;&gt;0,N(资金日记账!$I413)&lt;&gt;0)),0,IF(资金日记账!$B413="",1,IF(OR(N(资金日记账!$B413)&lt;$H$1,N(资金日记账!$B413)&gt;$I$1),0,1))))</f>
        <v>0</v>
      </c>
      <c r="H420">
        <f t="shared" si="79"/>
        <v>0</v>
      </c>
      <c r="I420" t="str">
        <f>IF($G420=0,"",IF(资金日记账!$B413=0,"",资金日记账!$B413))</f>
        <v/>
      </c>
      <c r="J420" t="str">
        <f>IF($G420=0,"",IF(资金日记账!$D413=0,"",资金日记账!$D413))</f>
        <v/>
      </c>
      <c r="K420" t="str">
        <f t="shared" si="85"/>
        <v/>
      </c>
      <c r="L420" t="str">
        <f t="shared" si="86"/>
        <v/>
      </c>
      <c r="M420" t="str">
        <f t="shared" si="80"/>
        <v/>
      </c>
      <c r="N420" t="str">
        <f>IF($G420=0,"",IF(IF(N(资金日记账!$I413)=0,"",-ROUND(N(资金日记账!$I413),2))=0,"",IF(N(资金日记账!$I413)=0,"",-ROUND(N(资金日记账!$I413),2))))</f>
        <v/>
      </c>
      <c r="O420" t="str">
        <f>IF($G420=0,"",IF(IF(N(资金日记账!$H413)=0,"",ROUND(N(资金日记账!$H413),2))=0,"",IF(N(资金日记账!$H413)=0,"",ROUND(N(资金日记账!$H413),2))))</f>
        <v/>
      </c>
      <c r="P420" t="str">
        <f>IF($G420=0,"",IF(资金日记账!$L413=0,"",资金日记账!$L413))</f>
        <v/>
      </c>
      <c r="T420" t="str">
        <f>IF(资金日记账!$G420="","",资金日记账!$G420)</f>
        <v/>
      </c>
      <c r="U420">
        <f t="shared" si="81"/>
        <v>0</v>
      </c>
      <c r="V420">
        <f t="shared" si="82"/>
        <v>0</v>
      </c>
      <c r="AF420" t="str">
        <f>IF(OR(资金日记账!$E420="",N(资金日记账!$H420)=0),"",资金日记账!$E420)</f>
        <v/>
      </c>
      <c r="AG420">
        <f t="shared" si="83"/>
        <v>0</v>
      </c>
      <c r="AH420">
        <f t="shared" si="84"/>
        <v>0</v>
      </c>
    </row>
    <row r="421" spans="1:34">
      <c r="A421" t="str">
        <f>IF(资金日记账!$F119="","",资金日记账!$F119)</f>
        <v/>
      </c>
      <c r="B421">
        <f t="shared" si="77"/>
        <v>0</v>
      </c>
      <c r="C421">
        <f t="shared" si="78"/>
        <v>0</v>
      </c>
      <c r="G421">
        <f>IF(OR($G$1="",资金日记账!$E414="",资金日记账!$E414&lt;&gt;$G$1),0,IF(NOT(OR(N(资金日记账!$H414)&lt;&gt;0,N(资金日记账!$I414)&lt;&gt;0)),0,IF(资金日记账!$B414="",1,IF(OR(N(资金日记账!$B414)&lt;$H$1,N(资金日记账!$B414)&gt;$I$1),0,1))))</f>
        <v>0</v>
      </c>
      <c r="H421">
        <f t="shared" si="79"/>
        <v>0</v>
      </c>
      <c r="I421" t="str">
        <f>IF($G421=0,"",IF(资金日记账!$B414=0,"",资金日记账!$B414))</f>
        <v/>
      </c>
      <c r="J421" t="str">
        <f>IF($G421=0,"",IF(资金日记账!$D414=0,"",资金日记账!$D414))</f>
        <v/>
      </c>
      <c r="K421" t="str">
        <f t="shared" si="85"/>
        <v/>
      </c>
      <c r="L421" t="str">
        <f t="shared" si="86"/>
        <v/>
      </c>
      <c r="M421" t="str">
        <f t="shared" si="80"/>
        <v/>
      </c>
      <c r="N421" t="str">
        <f>IF($G421=0,"",IF(IF(N(资金日记账!$I414)=0,"",-ROUND(N(资金日记账!$I414),2))=0,"",IF(N(资金日记账!$I414)=0,"",-ROUND(N(资金日记账!$I414),2))))</f>
        <v/>
      </c>
      <c r="O421" t="str">
        <f>IF($G421=0,"",IF(IF(N(资金日记账!$H414)=0,"",ROUND(N(资金日记账!$H414),2))=0,"",IF(N(资金日记账!$H414)=0,"",ROUND(N(资金日记账!$H414),2))))</f>
        <v/>
      </c>
      <c r="P421" t="str">
        <f>IF($G421=0,"",IF(资金日记账!$L414=0,"",资金日记账!$L414))</f>
        <v/>
      </c>
      <c r="T421" t="str">
        <f>IF(资金日记账!$G421="","",资金日记账!$G421)</f>
        <v/>
      </c>
      <c r="U421">
        <f t="shared" si="81"/>
        <v>0</v>
      </c>
      <c r="V421">
        <f t="shared" si="82"/>
        <v>0</v>
      </c>
      <c r="AF421" t="str">
        <f>IF(OR(资金日记账!$E421="",N(资金日记账!$H421)=0),"",资金日记账!$E421)</f>
        <v/>
      </c>
      <c r="AG421">
        <f t="shared" si="83"/>
        <v>0</v>
      </c>
      <c r="AH421">
        <f t="shared" si="84"/>
        <v>0</v>
      </c>
    </row>
    <row r="422" spans="1:34">
      <c r="A422" t="str">
        <f>IF(资金日记账!$F120="","",资金日记账!$F120)</f>
        <v/>
      </c>
      <c r="B422">
        <f t="shared" si="77"/>
        <v>0</v>
      </c>
      <c r="C422">
        <f t="shared" si="78"/>
        <v>0</v>
      </c>
      <c r="G422">
        <f>IF(OR($G$1="",资金日记账!$E415="",资金日记账!$E415&lt;&gt;$G$1),0,IF(NOT(OR(N(资金日记账!$H415)&lt;&gt;0,N(资金日记账!$I415)&lt;&gt;0)),0,IF(资金日记账!$B415="",1,IF(OR(N(资金日记账!$B415)&lt;$H$1,N(资金日记账!$B415)&gt;$I$1),0,1))))</f>
        <v>0</v>
      </c>
      <c r="H422">
        <f t="shared" si="79"/>
        <v>0</v>
      </c>
      <c r="I422" t="str">
        <f>IF($G422=0,"",IF(资金日记账!$B415=0,"",资金日记账!$B415))</f>
        <v/>
      </c>
      <c r="J422" t="str">
        <f>IF($G422=0,"",IF(资金日记账!$D415=0,"",资金日记账!$D415))</f>
        <v/>
      </c>
      <c r="K422" t="str">
        <f t="shared" si="85"/>
        <v/>
      </c>
      <c r="L422" t="str">
        <f t="shared" si="86"/>
        <v/>
      </c>
      <c r="M422" t="str">
        <f t="shared" si="80"/>
        <v/>
      </c>
      <c r="N422" t="str">
        <f>IF($G422=0,"",IF(IF(N(资金日记账!$I415)=0,"",-ROUND(N(资金日记账!$I415),2))=0,"",IF(N(资金日记账!$I415)=0,"",-ROUND(N(资金日记账!$I415),2))))</f>
        <v/>
      </c>
      <c r="O422" t="str">
        <f>IF($G422=0,"",IF(IF(N(资金日记账!$H415)=0,"",ROUND(N(资金日记账!$H415),2))=0,"",IF(N(资金日记账!$H415)=0,"",ROUND(N(资金日记账!$H415),2))))</f>
        <v/>
      </c>
      <c r="P422" t="str">
        <f>IF($G422=0,"",IF(资金日记账!$L415=0,"",资金日记账!$L415))</f>
        <v/>
      </c>
      <c r="T422" t="str">
        <f>IF(资金日记账!$G422="","",资金日记账!$G422)</f>
        <v/>
      </c>
      <c r="U422">
        <f t="shared" si="81"/>
        <v>0</v>
      </c>
      <c r="V422">
        <f t="shared" si="82"/>
        <v>0</v>
      </c>
      <c r="AF422" t="str">
        <f>IF(OR(资金日记账!$E422="",N(资金日记账!$H422)=0),"",资金日记账!$E422)</f>
        <v/>
      </c>
      <c r="AG422">
        <f t="shared" si="83"/>
        <v>0</v>
      </c>
      <c r="AH422">
        <f t="shared" si="84"/>
        <v>0</v>
      </c>
    </row>
    <row r="423" spans="1:34">
      <c r="A423" t="str">
        <f>IF(资金日记账!$F121="","",资金日记账!$F121)</f>
        <v/>
      </c>
      <c r="B423">
        <f t="shared" si="77"/>
        <v>0</v>
      </c>
      <c r="C423">
        <f t="shared" si="78"/>
        <v>0</v>
      </c>
      <c r="G423">
        <f>IF(OR($G$1="",资金日记账!$E416="",资金日记账!$E416&lt;&gt;$G$1),0,IF(NOT(OR(N(资金日记账!$H416)&lt;&gt;0,N(资金日记账!$I416)&lt;&gt;0)),0,IF(资金日记账!$B416="",1,IF(OR(N(资金日记账!$B416)&lt;$H$1,N(资金日记账!$B416)&gt;$I$1),0,1))))</f>
        <v>0</v>
      </c>
      <c r="H423">
        <f t="shared" si="79"/>
        <v>0</v>
      </c>
      <c r="I423" t="str">
        <f>IF($G423=0,"",IF(资金日记账!$B416=0,"",资金日记账!$B416))</f>
        <v/>
      </c>
      <c r="J423" t="str">
        <f>IF($G423=0,"",IF(资金日记账!$D416=0,"",资金日记账!$D416))</f>
        <v/>
      </c>
      <c r="K423" t="str">
        <f t="shared" si="85"/>
        <v/>
      </c>
      <c r="L423" t="str">
        <f t="shared" si="86"/>
        <v/>
      </c>
      <c r="M423" t="str">
        <f t="shared" si="80"/>
        <v/>
      </c>
      <c r="N423" t="str">
        <f>IF($G423=0,"",IF(IF(N(资金日记账!$I416)=0,"",-ROUND(N(资金日记账!$I416),2))=0,"",IF(N(资金日记账!$I416)=0,"",-ROUND(N(资金日记账!$I416),2))))</f>
        <v/>
      </c>
      <c r="O423" t="str">
        <f>IF($G423=0,"",IF(IF(N(资金日记账!$H416)=0,"",ROUND(N(资金日记账!$H416),2))=0,"",IF(N(资金日记账!$H416)=0,"",ROUND(N(资金日记账!$H416),2))))</f>
        <v/>
      </c>
      <c r="P423" t="str">
        <f>IF($G423=0,"",IF(资金日记账!$L416=0,"",资金日记账!$L416))</f>
        <v/>
      </c>
      <c r="T423" t="str">
        <f>IF(资金日记账!$G423="","",资金日记账!$G423)</f>
        <v/>
      </c>
      <c r="U423">
        <f t="shared" si="81"/>
        <v>0</v>
      </c>
      <c r="V423">
        <f t="shared" si="82"/>
        <v>0</v>
      </c>
      <c r="AF423" t="str">
        <f>IF(OR(资金日记账!$E423="",N(资金日记账!$H423)=0),"",资金日记账!$E423)</f>
        <v/>
      </c>
      <c r="AG423">
        <f t="shared" si="83"/>
        <v>0</v>
      </c>
      <c r="AH423">
        <f t="shared" si="84"/>
        <v>0</v>
      </c>
    </row>
    <row r="424" spans="1:34">
      <c r="A424" t="str">
        <f>IF(资金日记账!$F122="","",资金日记账!$F122)</f>
        <v/>
      </c>
      <c r="B424">
        <f t="shared" si="77"/>
        <v>0</v>
      </c>
      <c r="C424">
        <f t="shared" si="78"/>
        <v>0</v>
      </c>
      <c r="G424">
        <f>IF(OR($G$1="",资金日记账!$E417="",资金日记账!$E417&lt;&gt;$G$1),0,IF(NOT(OR(N(资金日记账!$H417)&lt;&gt;0,N(资金日记账!$I417)&lt;&gt;0)),0,IF(资金日记账!$B417="",1,IF(OR(N(资金日记账!$B417)&lt;$H$1,N(资金日记账!$B417)&gt;$I$1),0,1))))</f>
        <v>0</v>
      </c>
      <c r="H424">
        <f t="shared" si="79"/>
        <v>0</v>
      </c>
      <c r="I424" t="str">
        <f>IF($G424=0,"",IF(资金日记账!$B417=0,"",资金日记账!$B417))</f>
        <v/>
      </c>
      <c r="J424" t="str">
        <f>IF($G424=0,"",IF(资金日记账!$D417=0,"",资金日记账!$D417))</f>
        <v/>
      </c>
      <c r="K424" t="str">
        <f t="shared" si="85"/>
        <v/>
      </c>
      <c r="L424" t="str">
        <f t="shared" si="86"/>
        <v/>
      </c>
      <c r="M424" t="str">
        <f t="shared" si="80"/>
        <v/>
      </c>
      <c r="N424" t="str">
        <f>IF($G424=0,"",IF(IF(N(资金日记账!$I417)=0,"",-ROUND(N(资金日记账!$I417),2))=0,"",IF(N(资金日记账!$I417)=0,"",-ROUND(N(资金日记账!$I417),2))))</f>
        <v/>
      </c>
      <c r="O424" t="str">
        <f>IF($G424=0,"",IF(IF(N(资金日记账!$H417)=0,"",ROUND(N(资金日记账!$H417),2))=0,"",IF(N(资金日记账!$H417)=0,"",ROUND(N(资金日记账!$H417),2))))</f>
        <v/>
      </c>
      <c r="P424" t="str">
        <f>IF($G424=0,"",IF(资金日记账!$L417=0,"",资金日记账!$L417))</f>
        <v/>
      </c>
      <c r="T424" t="str">
        <f>IF(资金日记账!$G424="","",资金日记账!$G424)</f>
        <v/>
      </c>
      <c r="U424">
        <f t="shared" si="81"/>
        <v>0</v>
      </c>
      <c r="V424">
        <f t="shared" si="82"/>
        <v>0</v>
      </c>
      <c r="AF424" t="str">
        <f>IF(OR(资金日记账!$E424="",N(资金日记账!$H424)=0),"",资金日记账!$E424)</f>
        <v/>
      </c>
      <c r="AG424">
        <f t="shared" si="83"/>
        <v>0</v>
      </c>
      <c r="AH424">
        <f t="shared" si="84"/>
        <v>0</v>
      </c>
    </row>
    <row r="425" spans="1:34">
      <c r="A425" t="str">
        <f>IF(资金日记账!$F123="","",资金日记账!$F123)</f>
        <v/>
      </c>
      <c r="B425">
        <f t="shared" si="77"/>
        <v>0</v>
      </c>
      <c r="C425">
        <f t="shared" si="78"/>
        <v>0</v>
      </c>
      <c r="G425">
        <f>IF(OR($G$1="",资金日记账!$E418="",资金日记账!$E418&lt;&gt;$G$1),0,IF(NOT(OR(N(资金日记账!$H418)&lt;&gt;0,N(资金日记账!$I418)&lt;&gt;0)),0,IF(资金日记账!$B418="",1,IF(OR(N(资金日记账!$B418)&lt;$H$1,N(资金日记账!$B418)&gt;$I$1),0,1))))</f>
        <v>0</v>
      </c>
      <c r="H425">
        <f t="shared" si="79"/>
        <v>0</v>
      </c>
      <c r="I425" t="str">
        <f>IF($G425=0,"",IF(资金日记账!$B418=0,"",资金日记账!$B418))</f>
        <v/>
      </c>
      <c r="J425" t="str">
        <f>IF($G425=0,"",IF(资金日记账!$D418=0,"",资金日记账!$D418))</f>
        <v/>
      </c>
      <c r="K425" t="str">
        <f t="shared" si="85"/>
        <v/>
      </c>
      <c r="L425" t="str">
        <f t="shared" si="86"/>
        <v/>
      </c>
      <c r="M425" t="str">
        <f t="shared" si="80"/>
        <v/>
      </c>
      <c r="N425" t="str">
        <f>IF($G425=0,"",IF(IF(N(资金日记账!$I418)=0,"",-ROUND(N(资金日记账!$I418),2))=0,"",IF(N(资金日记账!$I418)=0,"",-ROUND(N(资金日记账!$I418),2))))</f>
        <v/>
      </c>
      <c r="O425" t="str">
        <f>IF($G425=0,"",IF(IF(N(资金日记账!$H418)=0,"",ROUND(N(资金日记账!$H418),2))=0,"",IF(N(资金日记账!$H418)=0,"",ROUND(N(资金日记账!$H418),2))))</f>
        <v/>
      </c>
      <c r="P425" t="str">
        <f>IF($G425=0,"",IF(资金日记账!$L418=0,"",资金日记账!$L418))</f>
        <v/>
      </c>
      <c r="T425" t="str">
        <f>IF(资金日记账!$G425="","",资金日记账!$G425)</f>
        <v/>
      </c>
      <c r="U425">
        <f t="shared" si="81"/>
        <v>0</v>
      </c>
      <c r="V425">
        <f t="shared" si="82"/>
        <v>0</v>
      </c>
      <c r="AF425" t="str">
        <f>IF(OR(资金日记账!$E425="",N(资金日记账!$H425)=0),"",资金日记账!$E425)</f>
        <v/>
      </c>
      <c r="AG425">
        <f t="shared" si="83"/>
        <v>0</v>
      </c>
      <c r="AH425">
        <f t="shared" si="84"/>
        <v>0</v>
      </c>
    </row>
    <row r="426" spans="1:34">
      <c r="A426" t="str">
        <f>IF(资金日记账!$F124="","",资金日记账!$F124)</f>
        <v/>
      </c>
      <c r="B426">
        <f t="shared" si="77"/>
        <v>0</v>
      </c>
      <c r="C426">
        <f t="shared" si="78"/>
        <v>0</v>
      </c>
      <c r="G426">
        <f>IF(OR($G$1="",资金日记账!$E419="",资金日记账!$E419&lt;&gt;$G$1),0,IF(NOT(OR(N(资金日记账!$H419)&lt;&gt;0,N(资金日记账!$I419)&lt;&gt;0)),0,IF(资金日记账!$B419="",1,IF(OR(N(资金日记账!$B419)&lt;$H$1,N(资金日记账!$B419)&gt;$I$1),0,1))))</f>
        <v>0</v>
      </c>
      <c r="H426">
        <f t="shared" si="79"/>
        <v>0</v>
      </c>
      <c r="I426" t="str">
        <f>IF($G426=0,"",IF(资金日记账!$B419=0,"",资金日记账!$B419))</f>
        <v/>
      </c>
      <c r="J426" t="str">
        <f>IF($G426=0,"",IF(资金日记账!$D419=0,"",资金日记账!$D419))</f>
        <v/>
      </c>
      <c r="K426" t="str">
        <f t="shared" si="85"/>
        <v/>
      </c>
      <c r="L426" t="str">
        <f t="shared" si="86"/>
        <v/>
      </c>
      <c r="M426" t="str">
        <f t="shared" si="80"/>
        <v/>
      </c>
      <c r="N426" t="str">
        <f>IF($G426=0,"",IF(IF(N(资金日记账!$I419)=0,"",-ROUND(N(资金日记账!$I419),2))=0,"",IF(N(资金日记账!$I419)=0,"",-ROUND(N(资金日记账!$I419),2))))</f>
        <v/>
      </c>
      <c r="O426" t="str">
        <f>IF($G426=0,"",IF(IF(N(资金日记账!$H419)=0,"",ROUND(N(资金日记账!$H419),2))=0,"",IF(N(资金日记账!$H419)=0,"",ROUND(N(资金日记账!$H419),2))))</f>
        <v/>
      </c>
      <c r="P426" t="str">
        <f>IF($G426=0,"",IF(资金日记账!$L419=0,"",资金日记账!$L419))</f>
        <v/>
      </c>
      <c r="T426" t="str">
        <f>IF(资金日记账!$G426="","",资金日记账!$G426)</f>
        <v/>
      </c>
      <c r="U426">
        <f t="shared" si="81"/>
        <v>0</v>
      </c>
      <c r="V426">
        <f t="shared" si="82"/>
        <v>0</v>
      </c>
      <c r="AF426" t="str">
        <f>IF(OR(资金日记账!$E426="",N(资金日记账!$H426)=0),"",资金日记账!$E426)</f>
        <v/>
      </c>
      <c r="AG426">
        <f t="shared" si="83"/>
        <v>0</v>
      </c>
      <c r="AH426">
        <f t="shared" si="84"/>
        <v>0</v>
      </c>
    </row>
    <row r="427" spans="1:34">
      <c r="A427" t="str">
        <f>IF(资金日记账!$F125="","",资金日记账!$F125)</f>
        <v/>
      </c>
      <c r="B427">
        <f t="shared" si="77"/>
        <v>0</v>
      </c>
      <c r="C427">
        <f t="shared" si="78"/>
        <v>0</v>
      </c>
      <c r="G427">
        <f>IF(OR($G$1="",资金日记账!$E420="",资金日记账!$E420&lt;&gt;$G$1),0,IF(NOT(OR(N(资金日记账!$H420)&lt;&gt;0,N(资金日记账!$I420)&lt;&gt;0)),0,IF(资金日记账!$B420="",1,IF(OR(N(资金日记账!$B420)&lt;$H$1,N(资金日记账!$B420)&gt;$I$1),0,1))))</f>
        <v>0</v>
      </c>
      <c r="H427">
        <f t="shared" si="79"/>
        <v>0</v>
      </c>
      <c r="I427" t="str">
        <f>IF($G427=0,"",IF(资金日记账!$B420=0,"",资金日记账!$B420))</f>
        <v/>
      </c>
      <c r="J427" t="str">
        <f>IF($G427=0,"",IF(资金日记账!$D420=0,"",资金日记账!$D420))</f>
        <v/>
      </c>
      <c r="K427" t="str">
        <f t="shared" si="85"/>
        <v/>
      </c>
      <c r="L427" t="str">
        <f t="shared" si="86"/>
        <v/>
      </c>
      <c r="M427" t="str">
        <f t="shared" si="80"/>
        <v/>
      </c>
      <c r="N427" t="str">
        <f>IF($G427=0,"",IF(IF(N(资金日记账!$I420)=0,"",-ROUND(N(资金日记账!$I420),2))=0,"",IF(N(资金日记账!$I420)=0,"",-ROUND(N(资金日记账!$I420),2))))</f>
        <v/>
      </c>
      <c r="O427" t="str">
        <f>IF($G427=0,"",IF(IF(N(资金日记账!$H420)=0,"",ROUND(N(资金日记账!$H420),2))=0,"",IF(N(资金日记账!$H420)=0,"",ROUND(N(资金日记账!$H420),2))))</f>
        <v/>
      </c>
      <c r="P427" t="str">
        <f>IF($G427=0,"",IF(资金日记账!$L420=0,"",资金日记账!$L420))</f>
        <v/>
      </c>
      <c r="T427" t="str">
        <f>IF(资金日记账!$G427="","",资金日记账!$G427)</f>
        <v/>
      </c>
      <c r="U427">
        <f t="shared" si="81"/>
        <v>0</v>
      </c>
      <c r="V427">
        <f t="shared" si="82"/>
        <v>0</v>
      </c>
      <c r="AF427" t="str">
        <f>IF(OR(资金日记账!$E427="",N(资金日记账!$H427)=0),"",资金日记账!$E427)</f>
        <v/>
      </c>
      <c r="AG427">
        <f t="shared" si="83"/>
        <v>0</v>
      </c>
      <c r="AH427">
        <f t="shared" si="84"/>
        <v>0</v>
      </c>
    </row>
    <row r="428" spans="1:34">
      <c r="A428" t="str">
        <f>IF(资金日记账!$F126="","",资金日记账!$F126)</f>
        <v/>
      </c>
      <c r="B428">
        <f t="shared" si="77"/>
        <v>0</v>
      </c>
      <c r="C428">
        <f t="shared" si="78"/>
        <v>0</v>
      </c>
      <c r="G428">
        <f>IF(OR($G$1="",资金日记账!$E421="",资金日记账!$E421&lt;&gt;$G$1),0,IF(NOT(OR(N(资金日记账!$H421)&lt;&gt;0,N(资金日记账!$I421)&lt;&gt;0)),0,IF(资金日记账!$B421="",1,IF(OR(N(资金日记账!$B421)&lt;$H$1,N(资金日记账!$B421)&gt;$I$1),0,1))))</f>
        <v>0</v>
      </c>
      <c r="H428">
        <f t="shared" si="79"/>
        <v>0</v>
      </c>
      <c r="I428" t="str">
        <f>IF($G428=0,"",IF(资金日记账!$B421=0,"",资金日记账!$B421))</f>
        <v/>
      </c>
      <c r="J428" t="str">
        <f>IF($G428=0,"",IF(资金日记账!$D421=0,"",资金日记账!$D421))</f>
        <v/>
      </c>
      <c r="K428" t="str">
        <f t="shared" si="85"/>
        <v/>
      </c>
      <c r="L428" t="str">
        <f t="shared" si="86"/>
        <v/>
      </c>
      <c r="M428" t="str">
        <f t="shared" si="80"/>
        <v/>
      </c>
      <c r="N428" t="str">
        <f>IF($G428=0,"",IF(IF(N(资金日记账!$I421)=0,"",-ROUND(N(资金日记账!$I421),2))=0,"",IF(N(资金日记账!$I421)=0,"",-ROUND(N(资金日记账!$I421),2))))</f>
        <v/>
      </c>
      <c r="O428" t="str">
        <f>IF($G428=0,"",IF(IF(N(资金日记账!$H421)=0,"",ROUND(N(资金日记账!$H421),2))=0,"",IF(N(资金日记账!$H421)=0,"",ROUND(N(资金日记账!$H421),2))))</f>
        <v/>
      </c>
      <c r="P428" t="str">
        <f>IF($G428=0,"",IF(资金日记账!$L421=0,"",资金日记账!$L421))</f>
        <v/>
      </c>
      <c r="T428" t="str">
        <f>IF(资金日记账!$G428="","",资金日记账!$G428)</f>
        <v/>
      </c>
      <c r="U428">
        <f t="shared" si="81"/>
        <v>0</v>
      </c>
      <c r="V428">
        <f t="shared" si="82"/>
        <v>0</v>
      </c>
      <c r="AF428" t="str">
        <f>IF(OR(资金日记账!$E428="",N(资金日记账!$H428)=0),"",资金日记账!$E428)</f>
        <v/>
      </c>
      <c r="AG428">
        <f t="shared" si="83"/>
        <v>0</v>
      </c>
      <c r="AH428">
        <f t="shared" si="84"/>
        <v>0</v>
      </c>
    </row>
    <row r="429" spans="1:34">
      <c r="A429" t="str">
        <f>IF(资金日记账!$F127="","",资金日记账!$F127)</f>
        <v/>
      </c>
      <c r="B429">
        <f t="shared" si="77"/>
        <v>0</v>
      </c>
      <c r="C429">
        <f t="shared" si="78"/>
        <v>0</v>
      </c>
      <c r="G429">
        <f>IF(OR($G$1="",资金日记账!$E422="",资金日记账!$E422&lt;&gt;$G$1),0,IF(NOT(OR(N(资金日记账!$H422)&lt;&gt;0,N(资金日记账!$I422)&lt;&gt;0)),0,IF(资金日记账!$B422="",1,IF(OR(N(资金日记账!$B422)&lt;$H$1,N(资金日记账!$B422)&gt;$I$1),0,1))))</f>
        <v>0</v>
      </c>
      <c r="H429">
        <f t="shared" si="79"/>
        <v>0</v>
      </c>
      <c r="I429" t="str">
        <f>IF($G429=0,"",IF(资金日记账!$B422=0,"",资金日记账!$B422))</f>
        <v/>
      </c>
      <c r="J429" t="str">
        <f>IF($G429=0,"",IF(资金日记账!$D422=0,"",资金日记账!$D422))</f>
        <v/>
      </c>
      <c r="K429" t="str">
        <f t="shared" si="85"/>
        <v/>
      </c>
      <c r="L429" t="str">
        <f t="shared" si="86"/>
        <v/>
      </c>
      <c r="M429" t="str">
        <f t="shared" si="80"/>
        <v/>
      </c>
      <c r="N429" t="str">
        <f>IF($G429=0,"",IF(IF(N(资金日记账!$I422)=0,"",-ROUND(N(资金日记账!$I422),2))=0,"",IF(N(资金日记账!$I422)=0,"",-ROUND(N(资金日记账!$I422),2))))</f>
        <v/>
      </c>
      <c r="O429" t="str">
        <f>IF($G429=0,"",IF(IF(N(资金日记账!$H422)=0,"",ROUND(N(资金日记账!$H422),2))=0,"",IF(N(资金日记账!$H422)=0,"",ROUND(N(资金日记账!$H422),2))))</f>
        <v/>
      </c>
      <c r="P429" t="str">
        <f>IF($G429=0,"",IF(资金日记账!$L422=0,"",资金日记账!$L422))</f>
        <v/>
      </c>
      <c r="T429" t="str">
        <f>IF(资金日记账!$G429="","",资金日记账!$G429)</f>
        <v/>
      </c>
      <c r="U429">
        <f t="shared" si="81"/>
        <v>0</v>
      </c>
      <c r="V429">
        <f t="shared" si="82"/>
        <v>0</v>
      </c>
      <c r="AF429" t="str">
        <f>IF(OR(资金日记账!$E429="",N(资金日记账!$H429)=0),"",资金日记账!$E429)</f>
        <v/>
      </c>
      <c r="AG429">
        <f t="shared" si="83"/>
        <v>0</v>
      </c>
      <c r="AH429">
        <f t="shared" si="84"/>
        <v>0</v>
      </c>
    </row>
    <row r="430" spans="1:34">
      <c r="A430" t="str">
        <f>IF(资金日记账!$F128="","",资金日记账!$F128)</f>
        <v/>
      </c>
      <c r="B430">
        <f t="shared" si="77"/>
        <v>0</v>
      </c>
      <c r="C430">
        <f t="shared" si="78"/>
        <v>0</v>
      </c>
      <c r="G430">
        <f>IF(OR($G$1="",资金日记账!$E423="",资金日记账!$E423&lt;&gt;$G$1),0,IF(NOT(OR(N(资金日记账!$H423)&lt;&gt;0,N(资金日记账!$I423)&lt;&gt;0)),0,IF(资金日记账!$B423="",1,IF(OR(N(资金日记账!$B423)&lt;$H$1,N(资金日记账!$B423)&gt;$I$1),0,1))))</f>
        <v>0</v>
      </c>
      <c r="H430">
        <f t="shared" si="79"/>
        <v>0</v>
      </c>
      <c r="I430" t="str">
        <f>IF($G430=0,"",IF(资金日记账!$B423=0,"",资金日记账!$B423))</f>
        <v/>
      </c>
      <c r="J430" t="str">
        <f>IF($G430=0,"",IF(资金日记账!$D423=0,"",资金日记账!$D423))</f>
        <v/>
      </c>
      <c r="K430" t="str">
        <f t="shared" si="85"/>
        <v/>
      </c>
      <c r="L430" t="str">
        <f t="shared" si="86"/>
        <v/>
      </c>
      <c r="M430" t="str">
        <f t="shared" si="80"/>
        <v/>
      </c>
      <c r="N430" t="str">
        <f>IF($G430=0,"",IF(IF(N(资金日记账!$I423)=0,"",-ROUND(N(资金日记账!$I423),2))=0,"",IF(N(资金日记账!$I423)=0,"",-ROUND(N(资金日记账!$I423),2))))</f>
        <v/>
      </c>
      <c r="O430" t="str">
        <f>IF($G430=0,"",IF(IF(N(资金日记账!$H423)=0,"",ROUND(N(资金日记账!$H423),2))=0,"",IF(N(资金日记账!$H423)=0,"",ROUND(N(资金日记账!$H423),2))))</f>
        <v/>
      </c>
      <c r="P430" t="str">
        <f>IF($G430=0,"",IF(资金日记账!$L423=0,"",资金日记账!$L423))</f>
        <v/>
      </c>
      <c r="T430" t="str">
        <f>IF(资金日记账!$G430="","",资金日记账!$G430)</f>
        <v/>
      </c>
      <c r="U430">
        <f t="shared" si="81"/>
        <v>0</v>
      </c>
      <c r="V430">
        <f t="shared" si="82"/>
        <v>0</v>
      </c>
      <c r="AF430" t="str">
        <f>IF(OR(资金日记账!$E430="",N(资金日记账!$H430)=0),"",资金日记账!$E430)</f>
        <v/>
      </c>
      <c r="AG430">
        <f t="shared" si="83"/>
        <v>0</v>
      </c>
      <c r="AH430">
        <f t="shared" si="84"/>
        <v>0</v>
      </c>
    </row>
    <row r="431" spans="1:34">
      <c r="A431" t="str">
        <f>IF(资金日记账!$F129="","",资金日记账!$F129)</f>
        <v/>
      </c>
      <c r="B431">
        <f t="shared" si="77"/>
        <v>0</v>
      </c>
      <c r="C431">
        <f t="shared" si="78"/>
        <v>0</v>
      </c>
      <c r="G431">
        <f>IF(OR($G$1="",资金日记账!$E424="",资金日记账!$E424&lt;&gt;$G$1),0,IF(NOT(OR(N(资金日记账!$H424)&lt;&gt;0,N(资金日记账!$I424)&lt;&gt;0)),0,IF(资金日记账!$B424="",1,IF(OR(N(资金日记账!$B424)&lt;$H$1,N(资金日记账!$B424)&gt;$I$1),0,1))))</f>
        <v>0</v>
      </c>
      <c r="H431">
        <f t="shared" si="79"/>
        <v>0</v>
      </c>
      <c r="I431" t="str">
        <f>IF($G431=0,"",IF(资金日记账!$B424=0,"",资金日记账!$B424))</f>
        <v/>
      </c>
      <c r="J431" t="str">
        <f>IF($G431=0,"",IF(资金日记账!$D424=0,"",资金日记账!$D424))</f>
        <v/>
      </c>
      <c r="K431" t="str">
        <f t="shared" si="85"/>
        <v/>
      </c>
      <c r="L431" t="str">
        <f t="shared" si="86"/>
        <v/>
      </c>
      <c r="M431" t="str">
        <f t="shared" si="80"/>
        <v/>
      </c>
      <c r="N431" t="str">
        <f>IF($G431=0,"",IF(IF(N(资金日记账!$I424)=0,"",-ROUND(N(资金日记账!$I424),2))=0,"",IF(N(资金日记账!$I424)=0,"",-ROUND(N(资金日记账!$I424),2))))</f>
        <v/>
      </c>
      <c r="O431" t="str">
        <f>IF($G431=0,"",IF(IF(N(资金日记账!$H424)=0,"",ROUND(N(资金日记账!$H424),2))=0,"",IF(N(资金日记账!$H424)=0,"",ROUND(N(资金日记账!$H424),2))))</f>
        <v/>
      </c>
      <c r="P431" t="str">
        <f>IF($G431=0,"",IF(资金日记账!$L424=0,"",资金日记账!$L424))</f>
        <v/>
      </c>
      <c r="T431" t="str">
        <f>IF(资金日记账!$G431="","",资金日记账!$G431)</f>
        <v/>
      </c>
      <c r="U431">
        <f t="shared" si="81"/>
        <v>0</v>
      </c>
      <c r="V431">
        <f t="shared" si="82"/>
        <v>0</v>
      </c>
      <c r="AF431" t="str">
        <f>IF(OR(资金日记账!$E431="",N(资金日记账!$H431)=0),"",资金日记账!$E431)</f>
        <v/>
      </c>
      <c r="AG431">
        <f t="shared" si="83"/>
        <v>0</v>
      </c>
      <c r="AH431">
        <f t="shared" si="84"/>
        <v>0</v>
      </c>
    </row>
    <row r="432" spans="1:34">
      <c r="A432" t="str">
        <f>IF(资金日记账!$F130="","",资金日记账!$F130)</f>
        <v/>
      </c>
      <c r="B432">
        <f t="shared" si="77"/>
        <v>0</v>
      </c>
      <c r="C432">
        <f t="shared" si="78"/>
        <v>0</v>
      </c>
      <c r="G432">
        <f>IF(OR($G$1="",资金日记账!$E425="",资金日记账!$E425&lt;&gt;$G$1),0,IF(NOT(OR(N(资金日记账!$H425)&lt;&gt;0,N(资金日记账!$I425)&lt;&gt;0)),0,IF(资金日记账!$B425="",1,IF(OR(N(资金日记账!$B425)&lt;$H$1,N(资金日记账!$B425)&gt;$I$1),0,1))))</f>
        <v>0</v>
      </c>
      <c r="H432">
        <f t="shared" si="79"/>
        <v>0</v>
      </c>
      <c r="I432" t="str">
        <f>IF($G432=0,"",IF(资金日记账!$B425=0,"",资金日记账!$B425))</f>
        <v/>
      </c>
      <c r="J432" t="str">
        <f>IF($G432=0,"",IF(资金日记账!$D425=0,"",资金日记账!$D425))</f>
        <v/>
      </c>
      <c r="K432" t="str">
        <f t="shared" si="85"/>
        <v/>
      </c>
      <c r="L432" t="str">
        <f t="shared" si="86"/>
        <v/>
      </c>
      <c r="M432" t="str">
        <f t="shared" si="80"/>
        <v/>
      </c>
      <c r="N432" t="str">
        <f>IF($G432=0,"",IF(IF(N(资金日记账!$I425)=0,"",-ROUND(N(资金日记账!$I425),2))=0,"",IF(N(资金日记账!$I425)=0,"",-ROUND(N(资金日记账!$I425),2))))</f>
        <v/>
      </c>
      <c r="O432" t="str">
        <f>IF($G432=0,"",IF(IF(N(资金日记账!$H425)=0,"",ROUND(N(资金日记账!$H425),2))=0,"",IF(N(资金日记账!$H425)=0,"",ROUND(N(资金日记账!$H425),2))))</f>
        <v/>
      </c>
      <c r="P432" t="str">
        <f>IF($G432=0,"",IF(资金日记账!$L425=0,"",资金日记账!$L425))</f>
        <v/>
      </c>
      <c r="T432" t="str">
        <f>IF(资金日记账!$G432="","",资金日记账!$G432)</f>
        <v/>
      </c>
      <c r="U432">
        <f t="shared" si="81"/>
        <v>0</v>
      </c>
      <c r="V432">
        <f t="shared" si="82"/>
        <v>0</v>
      </c>
      <c r="AF432" t="str">
        <f>IF(OR(资金日记账!$E432="",N(资金日记账!$H432)=0),"",资金日记账!$E432)</f>
        <v/>
      </c>
      <c r="AG432">
        <f t="shared" si="83"/>
        <v>0</v>
      </c>
      <c r="AH432">
        <f t="shared" si="84"/>
        <v>0</v>
      </c>
    </row>
    <row r="433" spans="1:34">
      <c r="A433" t="str">
        <f>IF(资金日记账!$F131="","",资金日记账!$F131)</f>
        <v/>
      </c>
      <c r="B433">
        <f t="shared" si="77"/>
        <v>0</v>
      </c>
      <c r="C433">
        <f t="shared" si="78"/>
        <v>0</v>
      </c>
      <c r="G433">
        <f>IF(OR($G$1="",资金日记账!$E426="",资金日记账!$E426&lt;&gt;$G$1),0,IF(NOT(OR(N(资金日记账!$H426)&lt;&gt;0,N(资金日记账!$I426)&lt;&gt;0)),0,IF(资金日记账!$B426="",1,IF(OR(N(资金日记账!$B426)&lt;$H$1,N(资金日记账!$B426)&gt;$I$1),0,1))))</f>
        <v>0</v>
      </c>
      <c r="H433">
        <f t="shared" si="79"/>
        <v>0</v>
      </c>
      <c r="I433" t="str">
        <f>IF($G433=0,"",IF(资金日记账!$B426=0,"",资金日记账!$B426))</f>
        <v/>
      </c>
      <c r="J433" t="str">
        <f>IF($G433=0,"",IF(资金日记账!$D426=0,"",资金日记账!$D426))</f>
        <v/>
      </c>
      <c r="K433" t="str">
        <f t="shared" si="85"/>
        <v/>
      </c>
      <c r="L433" t="str">
        <f t="shared" si="86"/>
        <v/>
      </c>
      <c r="M433" t="str">
        <f t="shared" si="80"/>
        <v/>
      </c>
      <c r="N433" t="str">
        <f>IF($G433=0,"",IF(IF(N(资金日记账!$I426)=0,"",-ROUND(N(资金日记账!$I426),2))=0,"",IF(N(资金日记账!$I426)=0,"",-ROUND(N(资金日记账!$I426),2))))</f>
        <v/>
      </c>
      <c r="O433" t="str">
        <f>IF($G433=0,"",IF(IF(N(资金日记账!$H426)=0,"",ROUND(N(资金日记账!$H426),2))=0,"",IF(N(资金日记账!$H426)=0,"",ROUND(N(资金日记账!$H426),2))))</f>
        <v/>
      </c>
      <c r="P433" t="str">
        <f>IF($G433=0,"",IF(资金日记账!$L426=0,"",资金日记账!$L426))</f>
        <v/>
      </c>
      <c r="T433" t="str">
        <f>IF(资金日记账!$G433="","",资金日记账!$G433)</f>
        <v/>
      </c>
      <c r="U433">
        <f t="shared" si="81"/>
        <v>0</v>
      </c>
      <c r="V433">
        <f t="shared" si="82"/>
        <v>0</v>
      </c>
      <c r="AF433" t="str">
        <f>IF(OR(资金日记账!$E433="",N(资金日记账!$H433)=0),"",资金日记账!$E433)</f>
        <v/>
      </c>
      <c r="AG433">
        <f t="shared" si="83"/>
        <v>0</v>
      </c>
      <c r="AH433">
        <f t="shared" si="84"/>
        <v>0</v>
      </c>
    </row>
    <row r="434" spans="1:34">
      <c r="A434" t="str">
        <f>IF(资金日记账!$F132="","",资金日记账!$F132)</f>
        <v/>
      </c>
      <c r="B434">
        <f t="shared" si="77"/>
        <v>0</v>
      </c>
      <c r="C434">
        <f t="shared" si="78"/>
        <v>0</v>
      </c>
      <c r="G434">
        <f>IF(OR($G$1="",资金日记账!$E427="",资金日记账!$E427&lt;&gt;$G$1),0,IF(NOT(OR(N(资金日记账!$H427)&lt;&gt;0,N(资金日记账!$I427)&lt;&gt;0)),0,IF(资金日记账!$B427="",1,IF(OR(N(资金日记账!$B427)&lt;$H$1,N(资金日记账!$B427)&gt;$I$1),0,1))))</f>
        <v>0</v>
      </c>
      <c r="H434">
        <f t="shared" si="79"/>
        <v>0</v>
      </c>
      <c r="I434" t="str">
        <f>IF($G434=0,"",IF(资金日记账!$B427=0,"",资金日记账!$B427))</f>
        <v/>
      </c>
      <c r="J434" t="str">
        <f>IF($G434=0,"",IF(资金日记账!$D427=0,"",资金日记账!$D427))</f>
        <v/>
      </c>
      <c r="K434" t="str">
        <f t="shared" si="85"/>
        <v/>
      </c>
      <c r="L434" t="str">
        <f t="shared" si="86"/>
        <v/>
      </c>
      <c r="M434" t="str">
        <f t="shared" si="80"/>
        <v/>
      </c>
      <c r="N434" t="str">
        <f>IF($G434=0,"",IF(IF(N(资金日记账!$I427)=0,"",-ROUND(N(资金日记账!$I427),2))=0,"",IF(N(资金日记账!$I427)=0,"",-ROUND(N(资金日记账!$I427),2))))</f>
        <v/>
      </c>
      <c r="O434" t="str">
        <f>IF($G434=0,"",IF(IF(N(资金日记账!$H427)=0,"",ROUND(N(资金日记账!$H427),2))=0,"",IF(N(资金日记账!$H427)=0,"",ROUND(N(资金日记账!$H427),2))))</f>
        <v/>
      </c>
      <c r="P434" t="str">
        <f>IF($G434=0,"",IF(资金日记账!$L427=0,"",资金日记账!$L427))</f>
        <v/>
      </c>
      <c r="T434" t="str">
        <f>IF(资金日记账!$G434="","",资金日记账!$G434)</f>
        <v/>
      </c>
      <c r="U434">
        <f t="shared" si="81"/>
        <v>0</v>
      </c>
      <c r="V434">
        <f t="shared" si="82"/>
        <v>0</v>
      </c>
      <c r="AF434" t="str">
        <f>IF(OR(资金日记账!$E434="",N(资金日记账!$H434)=0),"",资金日记账!$E434)</f>
        <v/>
      </c>
      <c r="AG434">
        <f t="shared" si="83"/>
        <v>0</v>
      </c>
      <c r="AH434">
        <f t="shared" si="84"/>
        <v>0</v>
      </c>
    </row>
    <row r="435" spans="1:34">
      <c r="A435" t="str">
        <f>IF(资金日记账!$F133="","",资金日记账!$F133)</f>
        <v/>
      </c>
      <c r="B435">
        <f t="shared" si="77"/>
        <v>0</v>
      </c>
      <c r="C435">
        <f t="shared" si="78"/>
        <v>0</v>
      </c>
      <c r="G435">
        <f>IF(OR($G$1="",资金日记账!$E428="",资金日记账!$E428&lt;&gt;$G$1),0,IF(NOT(OR(N(资金日记账!$H428)&lt;&gt;0,N(资金日记账!$I428)&lt;&gt;0)),0,IF(资金日记账!$B428="",1,IF(OR(N(资金日记账!$B428)&lt;$H$1,N(资金日记账!$B428)&gt;$I$1),0,1))))</f>
        <v>0</v>
      </c>
      <c r="H435">
        <f t="shared" si="79"/>
        <v>0</v>
      </c>
      <c r="I435" t="str">
        <f>IF($G435=0,"",IF(资金日记账!$B428=0,"",资金日记账!$B428))</f>
        <v/>
      </c>
      <c r="J435" t="str">
        <f>IF($G435=0,"",IF(资金日记账!$D428=0,"",资金日记账!$D428))</f>
        <v/>
      </c>
      <c r="K435" t="str">
        <f t="shared" si="85"/>
        <v/>
      </c>
      <c r="L435" t="str">
        <f t="shared" si="86"/>
        <v/>
      </c>
      <c r="M435" t="str">
        <f t="shared" si="80"/>
        <v/>
      </c>
      <c r="N435" t="str">
        <f>IF($G435=0,"",IF(IF(N(资金日记账!$I428)=0,"",-ROUND(N(资金日记账!$I428),2))=0,"",IF(N(资金日记账!$I428)=0,"",-ROUND(N(资金日记账!$I428),2))))</f>
        <v/>
      </c>
      <c r="O435" t="str">
        <f>IF($G435=0,"",IF(IF(N(资金日记账!$H428)=0,"",ROUND(N(资金日记账!$H428),2))=0,"",IF(N(资金日记账!$H428)=0,"",ROUND(N(资金日记账!$H428),2))))</f>
        <v/>
      </c>
      <c r="P435" t="str">
        <f>IF($G435=0,"",IF(资金日记账!$L428=0,"",资金日记账!$L428))</f>
        <v/>
      </c>
      <c r="T435" t="str">
        <f>IF(资金日记账!$G435="","",资金日记账!$G435)</f>
        <v/>
      </c>
      <c r="U435">
        <f t="shared" si="81"/>
        <v>0</v>
      </c>
      <c r="V435">
        <f t="shared" si="82"/>
        <v>0</v>
      </c>
      <c r="AF435" t="str">
        <f>IF(OR(资金日记账!$E435="",N(资金日记账!$H435)=0),"",资金日记账!$E435)</f>
        <v/>
      </c>
      <c r="AG435">
        <f t="shared" si="83"/>
        <v>0</v>
      </c>
      <c r="AH435">
        <f t="shared" si="84"/>
        <v>0</v>
      </c>
    </row>
    <row r="436" spans="1:34">
      <c r="A436" t="str">
        <f>IF(资金日记账!$F134="","",资金日记账!$F134)</f>
        <v/>
      </c>
      <c r="B436">
        <f t="shared" si="77"/>
        <v>0</v>
      </c>
      <c r="C436">
        <f t="shared" si="78"/>
        <v>0</v>
      </c>
      <c r="G436">
        <f>IF(OR($G$1="",资金日记账!$E429="",资金日记账!$E429&lt;&gt;$G$1),0,IF(NOT(OR(N(资金日记账!$H429)&lt;&gt;0,N(资金日记账!$I429)&lt;&gt;0)),0,IF(资金日记账!$B429="",1,IF(OR(N(资金日记账!$B429)&lt;$H$1,N(资金日记账!$B429)&gt;$I$1),0,1))))</f>
        <v>0</v>
      </c>
      <c r="H436">
        <f t="shared" si="79"/>
        <v>0</v>
      </c>
      <c r="I436" t="str">
        <f>IF($G436=0,"",IF(资金日记账!$B429=0,"",资金日记账!$B429))</f>
        <v/>
      </c>
      <c r="J436" t="str">
        <f>IF($G436=0,"",IF(资金日记账!$D429=0,"",资金日记账!$D429))</f>
        <v/>
      </c>
      <c r="K436" t="str">
        <f t="shared" si="85"/>
        <v/>
      </c>
      <c r="L436" t="str">
        <f t="shared" si="86"/>
        <v/>
      </c>
      <c r="M436" t="str">
        <f t="shared" si="80"/>
        <v/>
      </c>
      <c r="N436" t="str">
        <f>IF($G436=0,"",IF(IF(N(资金日记账!$I429)=0,"",-ROUND(N(资金日记账!$I429),2))=0,"",IF(N(资金日记账!$I429)=0,"",-ROUND(N(资金日记账!$I429),2))))</f>
        <v/>
      </c>
      <c r="O436" t="str">
        <f>IF($G436=0,"",IF(IF(N(资金日记账!$H429)=0,"",ROUND(N(资金日记账!$H429),2))=0,"",IF(N(资金日记账!$H429)=0,"",ROUND(N(资金日记账!$H429),2))))</f>
        <v/>
      </c>
      <c r="P436" t="str">
        <f>IF($G436=0,"",IF(资金日记账!$L429=0,"",资金日记账!$L429))</f>
        <v/>
      </c>
      <c r="T436" t="str">
        <f>IF(资金日记账!$G436="","",资金日记账!$G436)</f>
        <v/>
      </c>
      <c r="U436">
        <f t="shared" si="81"/>
        <v>0</v>
      </c>
      <c r="V436">
        <f t="shared" si="82"/>
        <v>0</v>
      </c>
      <c r="AF436" t="str">
        <f>IF(OR(资金日记账!$E436="",N(资金日记账!$H436)=0),"",资金日记账!$E436)</f>
        <v/>
      </c>
      <c r="AG436">
        <f t="shared" si="83"/>
        <v>0</v>
      </c>
      <c r="AH436">
        <f t="shared" si="84"/>
        <v>0</v>
      </c>
    </row>
    <row r="437" spans="1:34">
      <c r="A437" t="str">
        <f>IF(资金日记账!$F135="","",资金日记账!$F135)</f>
        <v/>
      </c>
      <c r="B437">
        <f t="shared" si="77"/>
        <v>0</v>
      </c>
      <c r="C437">
        <f t="shared" si="78"/>
        <v>0</v>
      </c>
      <c r="G437">
        <f>IF(OR($G$1="",资金日记账!$E430="",资金日记账!$E430&lt;&gt;$G$1),0,IF(NOT(OR(N(资金日记账!$H430)&lt;&gt;0,N(资金日记账!$I430)&lt;&gt;0)),0,IF(资金日记账!$B430="",1,IF(OR(N(资金日记账!$B430)&lt;$H$1,N(资金日记账!$B430)&gt;$I$1),0,1))))</f>
        <v>0</v>
      </c>
      <c r="H437">
        <f t="shared" si="79"/>
        <v>0</v>
      </c>
      <c r="I437" t="str">
        <f>IF($G437=0,"",IF(资金日记账!$B430=0,"",资金日记账!$B430))</f>
        <v/>
      </c>
      <c r="J437" t="str">
        <f>IF($G437=0,"",IF(资金日记账!$D430=0,"",资金日记账!$D430))</f>
        <v/>
      </c>
      <c r="K437" t="str">
        <f t="shared" si="85"/>
        <v/>
      </c>
      <c r="L437" t="str">
        <f t="shared" si="86"/>
        <v/>
      </c>
      <c r="M437" t="str">
        <f t="shared" si="80"/>
        <v/>
      </c>
      <c r="N437" t="str">
        <f>IF($G437=0,"",IF(IF(N(资金日记账!$I430)=0,"",-ROUND(N(资金日记账!$I430),2))=0,"",IF(N(资金日记账!$I430)=0,"",-ROUND(N(资金日记账!$I430),2))))</f>
        <v/>
      </c>
      <c r="O437" t="str">
        <f>IF($G437=0,"",IF(IF(N(资金日记账!$H430)=0,"",ROUND(N(资金日记账!$H430),2))=0,"",IF(N(资金日记账!$H430)=0,"",ROUND(N(资金日记账!$H430),2))))</f>
        <v/>
      </c>
      <c r="P437" t="str">
        <f>IF($G437=0,"",IF(资金日记账!$L430=0,"",资金日记账!$L430))</f>
        <v/>
      </c>
      <c r="T437" t="str">
        <f>IF(资金日记账!$G437="","",资金日记账!$G437)</f>
        <v/>
      </c>
      <c r="U437">
        <f t="shared" si="81"/>
        <v>0</v>
      </c>
      <c r="V437">
        <f t="shared" si="82"/>
        <v>0</v>
      </c>
      <c r="AF437" t="str">
        <f>IF(OR(资金日记账!$E437="",N(资金日记账!$H437)=0),"",资金日记账!$E437)</f>
        <v/>
      </c>
      <c r="AG437">
        <f t="shared" si="83"/>
        <v>0</v>
      </c>
      <c r="AH437">
        <f t="shared" si="84"/>
        <v>0</v>
      </c>
    </row>
    <row r="438" spans="1:34">
      <c r="A438" t="str">
        <f>IF(资金日记账!$F136="","",资金日记账!$F136)</f>
        <v/>
      </c>
      <c r="B438">
        <f t="shared" si="77"/>
        <v>0</v>
      </c>
      <c r="C438">
        <f t="shared" si="78"/>
        <v>0</v>
      </c>
      <c r="G438">
        <f>IF(OR($G$1="",资金日记账!$E431="",资金日记账!$E431&lt;&gt;$G$1),0,IF(NOT(OR(N(资金日记账!$H431)&lt;&gt;0,N(资金日记账!$I431)&lt;&gt;0)),0,IF(资金日记账!$B431="",1,IF(OR(N(资金日记账!$B431)&lt;$H$1,N(资金日记账!$B431)&gt;$I$1),0,1))))</f>
        <v>0</v>
      </c>
      <c r="H438">
        <f t="shared" si="79"/>
        <v>0</v>
      </c>
      <c r="I438" t="str">
        <f>IF($G438=0,"",IF(资金日记账!$B431=0,"",资金日记账!$B431))</f>
        <v/>
      </c>
      <c r="J438" t="str">
        <f>IF($G438=0,"",IF(资金日记账!$D431=0,"",资金日记账!$D431))</f>
        <v/>
      </c>
      <c r="K438" t="str">
        <f t="shared" si="85"/>
        <v/>
      </c>
      <c r="L438" t="str">
        <f t="shared" si="86"/>
        <v/>
      </c>
      <c r="M438" t="str">
        <f t="shared" si="80"/>
        <v/>
      </c>
      <c r="N438" t="str">
        <f>IF($G438=0,"",IF(IF(N(资金日记账!$I431)=0,"",-ROUND(N(资金日记账!$I431),2))=0,"",IF(N(资金日记账!$I431)=0,"",-ROUND(N(资金日记账!$I431),2))))</f>
        <v/>
      </c>
      <c r="O438" t="str">
        <f>IF($G438=0,"",IF(IF(N(资金日记账!$H431)=0,"",ROUND(N(资金日记账!$H431),2))=0,"",IF(N(资金日记账!$H431)=0,"",ROUND(N(资金日记账!$H431),2))))</f>
        <v/>
      </c>
      <c r="P438" t="str">
        <f>IF($G438=0,"",IF(资金日记账!$L431=0,"",资金日记账!$L431))</f>
        <v/>
      </c>
      <c r="T438" t="str">
        <f>IF(资金日记账!$G438="","",资金日记账!$G438)</f>
        <v/>
      </c>
      <c r="U438">
        <f t="shared" si="81"/>
        <v>0</v>
      </c>
      <c r="V438">
        <f t="shared" si="82"/>
        <v>0</v>
      </c>
      <c r="AF438" t="str">
        <f>IF(OR(资金日记账!$E438="",N(资金日记账!$H438)=0),"",资金日记账!$E438)</f>
        <v/>
      </c>
      <c r="AG438">
        <f t="shared" si="83"/>
        <v>0</v>
      </c>
      <c r="AH438">
        <f t="shared" si="84"/>
        <v>0</v>
      </c>
    </row>
    <row r="439" spans="1:34">
      <c r="A439" t="str">
        <f>IF(资金日记账!$F137="","",资金日记账!$F137)</f>
        <v/>
      </c>
      <c r="B439">
        <f t="shared" si="77"/>
        <v>0</v>
      </c>
      <c r="C439">
        <f t="shared" si="78"/>
        <v>0</v>
      </c>
      <c r="G439">
        <f>IF(OR($G$1="",资金日记账!$E432="",资金日记账!$E432&lt;&gt;$G$1),0,IF(NOT(OR(N(资金日记账!$H432)&lt;&gt;0,N(资金日记账!$I432)&lt;&gt;0)),0,IF(资金日记账!$B432="",1,IF(OR(N(资金日记账!$B432)&lt;$H$1,N(资金日记账!$B432)&gt;$I$1),0,1))))</f>
        <v>0</v>
      </c>
      <c r="H439">
        <f t="shared" si="79"/>
        <v>0</v>
      </c>
      <c r="I439" t="str">
        <f>IF($G439=0,"",IF(资金日记账!$B432=0,"",资金日记账!$B432))</f>
        <v/>
      </c>
      <c r="J439" t="str">
        <f>IF($G439=0,"",IF(资金日记账!$D432=0,"",资金日记账!$D432))</f>
        <v/>
      </c>
      <c r="K439" t="str">
        <f t="shared" si="85"/>
        <v/>
      </c>
      <c r="L439" t="str">
        <f t="shared" si="86"/>
        <v/>
      </c>
      <c r="M439" t="str">
        <f t="shared" si="80"/>
        <v/>
      </c>
      <c r="N439" t="str">
        <f>IF($G439=0,"",IF(IF(N(资金日记账!$I432)=0,"",-ROUND(N(资金日记账!$I432),2))=0,"",IF(N(资金日记账!$I432)=0,"",-ROUND(N(资金日记账!$I432),2))))</f>
        <v/>
      </c>
      <c r="O439" t="str">
        <f>IF($G439=0,"",IF(IF(N(资金日记账!$H432)=0,"",ROUND(N(资金日记账!$H432),2))=0,"",IF(N(资金日记账!$H432)=0,"",ROUND(N(资金日记账!$H432),2))))</f>
        <v/>
      </c>
      <c r="P439" t="str">
        <f>IF($G439=0,"",IF(资金日记账!$L432=0,"",资金日记账!$L432))</f>
        <v/>
      </c>
      <c r="T439" t="str">
        <f>IF(资金日记账!$G439="","",资金日记账!$G439)</f>
        <v/>
      </c>
      <c r="U439">
        <f t="shared" si="81"/>
        <v>0</v>
      </c>
      <c r="V439">
        <f t="shared" si="82"/>
        <v>0</v>
      </c>
      <c r="AF439" t="str">
        <f>IF(OR(资金日记账!$E439="",N(资金日记账!$H439)=0),"",资金日记账!$E439)</f>
        <v/>
      </c>
      <c r="AG439">
        <f t="shared" si="83"/>
        <v>0</v>
      </c>
      <c r="AH439">
        <f t="shared" si="84"/>
        <v>0</v>
      </c>
    </row>
    <row r="440" spans="1:34">
      <c r="A440" t="str">
        <f>IF(资金日记账!$F138="","",资金日记账!$F138)</f>
        <v/>
      </c>
      <c r="B440">
        <f t="shared" si="77"/>
        <v>0</v>
      </c>
      <c r="C440">
        <f t="shared" si="78"/>
        <v>0</v>
      </c>
      <c r="G440">
        <f>IF(OR($G$1="",资金日记账!$E433="",资金日记账!$E433&lt;&gt;$G$1),0,IF(NOT(OR(N(资金日记账!$H433)&lt;&gt;0,N(资金日记账!$I433)&lt;&gt;0)),0,IF(资金日记账!$B433="",1,IF(OR(N(资金日记账!$B433)&lt;$H$1,N(资金日记账!$B433)&gt;$I$1),0,1))))</f>
        <v>0</v>
      </c>
      <c r="H440">
        <f t="shared" si="79"/>
        <v>0</v>
      </c>
      <c r="I440" t="str">
        <f>IF($G440=0,"",IF(资金日记账!$B433=0,"",资金日记账!$B433))</f>
        <v/>
      </c>
      <c r="J440" t="str">
        <f>IF($G440=0,"",IF(资金日记账!$D433=0,"",资金日记账!$D433))</f>
        <v/>
      </c>
      <c r="K440" t="str">
        <f t="shared" si="85"/>
        <v/>
      </c>
      <c r="L440" t="str">
        <f t="shared" si="86"/>
        <v/>
      </c>
      <c r="M440" t="str">
        <f t="shared" si="80"/>
        <v/>
      </c>
      <c r="N440" t="str">
        <f>IF($G440=0,"",IF(IF(N(资金日记账!$I433)=0,"",-ROUND(N(资金日记账!$I433),2))=0,"",IF(N(资金日记账!$I433)=0,"",-ROUND(N(资金日记账!$I433),2))))</f>
        <v/>
      </c>
      <c r="O440" t="str">
        <f>IF($G440=0,"",IF(IF(N(资金日记账!$H433)=0,"",ROUND(N(资金日记账!$H433),2))=0,"",IF(N(资金日记账!$H433)=0,"",ROUND(N(资金日记账!$H433),2))))</f>
        <v/>
      </c>
      <c r="P440" t="str">
        <f>IF($G440=0,"",IF(资金日记账!$L433=0,"",资金日记账!$L433))</f>
        <v/>
      </c>
      <c r="T440" t="str">
        <f>IF(资金日记账!$G440="","",资金日记账!$G440)</f>
        <v/>
      </c>
      <c r="U440">
        <f t="shared" si="81"/>
        <v>0</v>
      </c>
      <c r="V440">
        <f t="shared" si="82"/>
        <v>0</v>
      </c>
      <c r="AF440" t="str">
        <f>IF(OR(资金日记账!$E440="",N(资金日记账!$H440)=0),"",资金日记账!$E440)</f>
        <v/>
      </c>
      <c r="AG440">
        <f t="shared" si="83"/>
        <v>0</v>
      </c>
      <c r="AH440">
        <f t="shared" si="84"/>
        <v>0</v>
      </c>
    </row>
    <row r="441" spans="1:34">
      <c r="A441" t="str">
        <f>IF(资金日记账!$F139="","",资金日记账!$F139)</f>
        <v/>
      </c>
      <c r="B441">
        <f t="shared" si="77"/>
        <v>0</v>
      </c>
      <c r="C441">
        <f t="shared" si="78"/>
        <v>0</v>
      </c>
      <c r="G441">
        <f>IF(OR($G$1="",资金日记账!$E434="",资金日记账!$E434&lt;&gt;$G$1),0,IF(NOT(OR(N(资金日记账!$H434)&lt;&gt;0,N(资金日记账!$I434)&lt;&gt;0)),0,IF(资金日记账!$B434="",1,IF(OR(N(资金日记账!$B434)&lt;$H$1,N(资金日记账!$B434)&gt;$I$1),0,1))))</f>
        <v>0</v>
      </c>
      <c r="H441">
        <f t="shared" si="79"/>
        <v>0</v>
      </c>
      <c r="I441" t="str">
        <f>IF($G441=0,"",IF(资金日记账!$B434=0,"",资金日记账!$B434))</f>
        <v/>
      </c>
      <c r="J441" t="str">
        <f>IF($G441=0,"",IF(资金日记账!$D434=0,"",资金日记账!$D434))</f>
        <v/>
      </c>
      <c r="K441" t="str">
        <f t="shared" si="85"/>
        <v/>
      </c>
      <c r="L441" t="str">
        <f t="shared" si="86"/>
        <v/>
      </c>
      <c r="M441" t="str">
        <f t="shared" si="80"/>
        <v/>
      </c>
      <c r="N441" t="str">
        <f>IF($G441=0,"",IF(IF(N(资金日记账!$I434)=0,"",-ROUND(N(资金日记账!$I434),2))=0,"",IF(N(资金日记账!$I434)=0,"",-ROUND(N(资金日记账!$I434),2))))</f>
        <v/>
      </c>
      <c r="O441" t="str">
        <f>IF($G441=0,"",IF(IF(N(资金日记账!$H434)=0,"",ROUND(N(资金日记账!$H434),2))=0,"",IF(N(资金日记账!$H434)=0,"",ROUND(N(资金日记账!$H434),2))))</f>
        <v/>
      </c>
      <c r="P441" t="str">
        <f>IF($G441=0,"",IF(资金日记账!$L434=0,"",资金日记账!$L434))</f>
        <v/>
      </c>
      <c r="T441" t="str">
        <f>IF(资金日记账!$G441="","",资金日记账!$G441)</f>
        <v/>
      </c>
      <c r="U441">
        <f t="shared" si="81"/>
        <v>0</v>
      </c>
      <c r="V441">
        <f t="shared" si="82"/>
        <v>0</v>
      </c>
      <c r="AF441" t="str">
        <f>IF(OR(资金日记账!$E441="",N(资金日记账!$H441)=0),"",资金日记账!$E441)</f>
        <v/>
      </c>
      <c r="AG441">
        <f t="shared" si="83"/>
        <v>0</v>
      </c>
      <c r="AH441">
        <f t="shared" si="84"/>
        <v>0</v>
      </c>
    </row>
    <row r="442" spans="1:34">
      <c r="A442" t="str">
        <f>IF(资金日记账!$F140="","",资金日记账!$F140)</f>
        <v/>
      </c>
      <c r="B442">
        <f t="shared" si="77"/>
        <v>0</v>
      </c>
      <c r="C442">
        <f t="shared" si="78"/>
        <v>0</v>
      </c>
      <c r="G442">
        <f>IF(OR($G$1="",资金日记账!$E435="",资金日记账!$E435&lt;&gt;$G$1),0,IF(NOT(OR(N(资金日记账!$H435)&lt;&gt;0,N(资金日记账!$I435)&lt;&gt;0)),0,IF(资金日记账!$B435="",1,IF(OR(N(资金日记账!$B435)&lt;$H$1,N(资金日记账!$B435)&gt;$I$1),0,1))))</f>
        <v>0</v>
      </c>
      <c r="H442">
        <f t="shared" si="79"/>
        <v>0</v>
      </c>
      <c r="I442" t="str">
        <f>IF($G442=0,"",IF(资金日记账!$B435=0,"",资金日记账!$B435))</f>
        <v/>
      </c>
      <c r="J442" t="str">
        <f>IF($G442=0,"",IF(资金日记账!$D435=0,"",资金日记账!$D435))</f>
        <v/>
      </c>
      <c r="K442" t="str">
        <f t="shared" si="85"/>
        <v/>
      </c>
      <c r="L442" t="str">
        <f t="shared" si="86"/>
        <v/>
      </c>
      <c r="M442" t="str">
        <f t="shared" si="80"/>
        <v/>
      </c>
      <c r="N442" t="str">
        <f>IF($G442=0,"",IF(IF(N(资金日记账!$I435)=0,"",-ROUND(N(资金日记账!$I435),2))=0,"",IF(N(资金日记账!$I435)=0,"",-ROUND(N(资金日记账!$I435),2))))</f>
        <v/>
      </c>
      <c r="O442" t="str">
        <f>IF($G442=0,"",IF(IF(N(资金日记账!$H435)=0,"",ROUND(N(资金日记账!$H435),2))=0,"",IF(N(资金日记账!$H435)=0,"",ROUND(N(资金日记账!$H435),2))))</f>
        <v/>
      </c>
      <c r="P442" t="str">
        <f>IF($G442=0,"",IF(资金日记账!$L435=0,"",资金日记账!$L435))</f>
        <v/>
      </c>
      <c r="T442" t="str">
        <f>IF(资金日记账!$G442="","",资金日记账!$G442)</f>
        <v/>
      </c>
      <c r="U442">
        <f t="shared" si="81"/>
        <v>0</v>
      </c>
      <c r="V442">
        <f t="shared" si="82"/>
        <v>0</v>
      </c>
      <c r="AF442" t="str">
        <f>IF(OR(资金日记账!$E442="",N(资金日记账!$H442)=0),"",资金日记账!$E442)</f>
        <v/>
      </c>
      <c r="AG442">
        <f t="shared" si="83"/>
        <v>0</v>
      </c>
      <c r="AH442">
        <f t="shared" si="84"/>
        <v>0</v>
      </c>
    </row>
    <row r="443" spans="1:34">
      <c r="A443" t="str">
        <f>IF(资金日记账!$F141="","",资金日记账!$F141)</f>
        <v/>
      </c>
      <c r="B443">
        <f t="shared" si="77"/>
        <v>0</v>
      </c>
      <c r="C443">
        <f t="shared" si="78"/>
        <v>0</v>
      </c>
      <c r="G443">
        <f>IF(OR($G$1="",资金日记账!$E436="",资金日记账!$E436&lt;&gt;$G$1),0,IF(NOT(OR(N(资金日记账!$H436)&lt;&gt;0,N(资金日记账!$I436)&lt;&gt;0)),0,IF(资金日记账!$B436="",1,IF(OR(N(资金日记账!$B436)&lt;$H$1,N(资金日记账!$B436)&gt;$I$1),0,1))))</f>
        <v>0</v>
      </c>
      <c r="H443">
        <f t="shared" si="79"/>
        <v>0</v>
      </c>
      <c r="I443" t="str">
        <f>IF($G443=0,"",IF(资金日记账!$B436=0,"",资金日记账!$B436))</f>
        <v/>
      </c>
      <c r="J443" t="str">
        <f>IF($G443=0,"",IF(资金日记账!$D436=0,"",资金日记账!$D436))</f>
        <v/>
      </c>
      <c r="K443" t="str">
        <f t="shared" si="85"/>
        <v/>
      </c>
      <c r="L443" t="str">
        <f t="shared" si="86"/>
        <v/>
      </c>
      <c r="M443" t="str">
        <f t="shared" si="80"/>
        <v/>
      </c>
      <c r="N443" t="str">
        <f>IF($G443=0,"",IF(IF(N(资金日记账!$I436)=0,"",-ROUND(N(资金日记账!$I436),2))=0,"",IF(N(资金日记账!$I436)=0,"",-ROUND(N(资金日记账!$I436),2))))</f>
        <v/>
      </c>
      <c r="O443" t="str">
        <f>IF($G443=0,"",IF(IF(N(资金日记账!$H436)=0,"",ROUND(N(资金日记账!$H436),2))=0,"",IF(N(资金日记账!$H436)=0,"",ROUND(N(资金日记账!$H436),2))))</f>
        <v/>
      </c>
      <c r="P443" t="str">
        <f>IF($G443=0,"",IF(资金日记账!$L436=0,"",资金日记账!$L436))</f>
        <v/>
      </c>
      <c r="T443" t="str">
        <f>IF(资金日记账!$G443="","",资金日记账!$G443)</f>
        <v/>
      </c>
      <c r="U443">
        <f t="shared" si="81"/>
        <v>0</v>
      </c>
      <c r="V443">
        <f t="shared" si="82"/>
        <v>0</v>
      </c>
      <c r="AF443" t="str">
        <f>IF(OR(资金日记账!$E443="",N(资金日记账!$H443)=0),"",资金日记账!$E443)</f>
        <v/>
      </c>
      <c r="AG443">
        <f t="shared" si="83"/>
        <v>0</v>
      </c>
      <c r="AH443">
        <f t="shared" si="84"/>
        <v>0</v>
      </c>
    </row>
    <row r="444" spans="1:34">
      <c r="A444" t="str">
        <f>IF(资金日记账!$F142="","",资金日记账!$F142)</f>
        <v/>
      </c>
      <c r="B444">
        <f t="shared" si="77"/>
        <v>0</v>
      </c>
      <c r="C444">
        <f t="shared" si="78"/>
        <v>0</v>
      </c>
      <c r="G444">
        <f>IF(OR($G$1="",资金日记账!$E437="",资金日记账!$E437&lt;&gt;$G$1),0,IF(NOT(OR(N(资金日记账!$H437)&lt;&gt;0,N(资金日记账!$I437)&lt;&gt;0)),0,IF(资金日记账!$B437="",1,IF(OR(N(资金日记账!$B437)&lt;$H$1,N(资金日记账!$B437)&gt;$I$1),0,1))))</f>
        <v>0</v>
      </c>
      <c r="H444">
        <f t="shared" si="79"/>
        <v>0</v>
      </c>
      <c r="I444" t="str">
        <f>IF($G444=0,"",IF(资金日记账!$B437=0,"",资金日记账!$B437))</f>
        <v/>
      </c>
      <c r="J444" t="str">
        <f>IF($G444=0,"",IF(资金日记账!$D437=0,"",资金日记账!$D437))</f>
        <v/>
      </c>
      <c r="K444" t="str">
        <f t="shared" si="85"/>
        <v/>
      </c>
      <c r="L444" t="str">
        <f t="shared" si="86"/>
        <v/>
      </c>
      <c r="M444" t="str">
        <f t="shared" si="80"/>
        <v/>
      </c>
      <c r="N444" t="str">
        <f>IF($G444=0,"",IF(IF(N(资金日记账!$I437)=0,"",-ROUND(N(资金日记账!$I437),2))=0,"",IF(N(资金日记账!$I437)=0,"",-ROUND(N(资金日记账!$I437),2))))</f>
        <v/>
      </c>
      <c r="O444" t="str">
        <f>IF($G444=0,"",IF(IF(N(资金日记账!$H437)=0,"",ROUND(N(资金日记账!$H437),2))=0,"",IF(N(资金日记账!$H437)=0,"",ROUND(N(资金日记账!$H437),2))))</f>
        <v/>
      </c>
      <c r="P444" t="str">
        <f>IF($G444=0,"",IF(资金日记账!$L437=0,"",资金日记账!$L437))</f>
        <v/>
      </c>
      <c r="T444" t="str">
        <f>IF(资金日记账!$G444="","",资金日记账!$G444)</f>
        <v/>
      </c>
      <c r="U444">
        <f t="shared" si="81"/>
        <v>0</v>
      </c>
      <c r="V444">
        <f t="shared" si="82"/>
        <v>0</v>
      </c>
      <c r="AF444" t="str">
        <f>IF(OR(资金日记账!$E444="",N(资金日记账!$H444)=0),"",资金日记账!$E444)</f>
        <v/>
      </c>
      <c r="AG444">
        <f t="shared" si="83"/>
        <v>0</v>
      </c>
      <c r="AH444">
        <f t="shared" si="84"/>
        <v>0</v>
      </c>
    </row>
    <row r="445" spans="1:34">
      <c r="A445" t="str">
        <f>IF(资金日记账!$F143="","",资金日记账!$F143)</f>
        <v/>
      </c>
      <c r="B445">
        <f t="shared" si="77"/>
        <v>0</v>
      </c>
      <c r="C445">
        <f t="shared" si="78"/>
        <v>0</v>
      </c>
      <c r="G445">
        <f>IF(OR($G$1="",资金日记账!$E438="",资金日记账!$E438&lt;&gt;$G$1),0,IF(NOT(OR(N(资金日记账!$H438)&lt;&gt;0,N(资金日记账!$I438)&lt;&gt;0)),0,IF(资金日记账!$B438="",1,IF(OR(N(资金日记账!$B438)&lt;$H$1,N(资金日记账!$B438)&gt;$I$1),0,1))))</f>
        <v>0</v>
      </c>
      <c r="H445">
        <f t="shared" si="79"/>
        <v>0</v>
      </c>
      <c r="I445" t="str">
        <f>IF($G445=0,"",IF(资金日记账!$B438=0,"",资金日记账!$B438))</f>
        <v/>
      </c>
      <c r="J445" t="str">
        <f>IF($G445=0,"",IF(资金日记账!$D438=0,"",资金日记账!$D438))</f>
        <v/>
      </c>
      <c r="K445" t="str">
        <f t="shared" si="85"/>
        <v/>
      </c>
      <c r="L445" t="str">
        <f t="shared" si="86"/>
        <v/>
      </c>
      <c r="M445" t="str">
        <f t="shared" si="80"/>
        <v/>
      </c>
      <c r="N445" t="str">
        <f>IF($G445=0,"",IF(IF(N(资金日记账!$I438)=0,"",-ROUND(N(资金日记账!$I438),2))=0,"",IF(N(资金日记账!$I438)=0,"",-ROUND(N(资金日记账!$I438),2))))</f>
        <v/>
      </c>
      <c r="O445" t="str">
        <f>IF($G445=0,"",IF(IF(N(资金日记账!$H438)=0,"",ROUND(N(资金日记账!$H438),2))=0,"",IF(N(资金日记账!$H438)=0,"",ROUND(N(资金日记账!$H438),2))))</f>
        <v/>
      </c>
      <c r="P445" t="str">
        <f>IF($G445=0,"",IF(资金日记账!$L438=0,"",资金日记账!$L438))</f>
        <v/>
      </c>
      <c r="T445" t="str">
        <f>IF(资金日记账!$G445="","",资金日记账!$G445)</f>
        <v/>
      </c>
      <c r="U445">
        <f t="shared" si="81"/>
        <v>0</v>
      </c>
      <c r="V445">
        <f t="shared" si="82"/>
        <v>0</v>
      </c>
      <c r="AF445" t="str">
        <f>IF(OR(资金日记账!$E445="",N(资金日记账!$H445)=0),"",资金日记账!$E445)</f>
        <v/>
      </c>
      <c r="AG445">
        <f t="shared" si="83"/>
        <v>0</v>
      </c>
      <c r="AH445">
        <f t="shared" si="84"/>
        <v>0</v>
      </c>
    </row>
    <row r="446" spans="1:34">
      <c r="A446" t="str">
        <f>IF(资金日记账!$F144="","",资金日记账!$F144)</f>
        <v/>
      </c>
      <c r="B446">
        <f t="shared" si="77"/>
        <v>0</v>
      </c>
      <c r="C446">
        <f t="shared" si="78"/>
        <v>0</v>
      </c>
      <c r="G446">
        <f>IF(OR($G$1="",资金日记账!$E439="",资金日记账!$E439&lt;&gt;$G$1),0,IF(NOT(OR(N(资金日记账!$H439)&lt;&gt;0,N(资金日记账!$I439)&lt;&gt;0)),0,IF(资金日记账!$B439="",1,IF(OR(N(资金日记账!$B439)&lt;$H$1,N(资金日记账!$B439)&gt;$I$1),0,1))))</f>
        <v>0</v>
      </c>
      <c r="H446">
        <f t="shared" si="79"/>
        <v>0</v>
      </c>
      <c r="I446" t="str">
        <f>IF($G446=0,"",IF(资金日记账!$B439=0,"",资金日记账!$B439))</f>
        <v/>
      </c>
      <c r="J446" t="str">
        <f>IF($G446=0,"",IF(资金日记账!$D439=0,"",资金日记账!$D439))</f>
        <v/>
      </c>
      <c r="K446" t="str">
        <f t="shared" si="85"/>
        <v/>
      </c>
      <c r="L446" t="str">
        <f t="shared" si="86"/>
        <v/>
      </c>
      <c r="M446" t="str">
        <f t="shared" si="80"/>
        <v/>
      </c>
      <c r="N446" t="str">
        <f>IF($G446=0,"",IF(IF(N(资金日记账!$I439)=0,"",-ROUND(N(资金日记账!$I439),2))=0,"",IF(N(资金日记账!$I439)=0,"",-ROUND(N(资金日记账!$I439),2))))</f>
        <v/>
      </c>
      <c r="O446" t="str">
        <f>IF($G446=0,"",IF(IF(N(资金日记账!$H439)=0,"",ROUND(N(资金日记账!$H439),2))=0,"",IF(N(资金日记账!$H439)=0,"",ROUND(N(资金日记账!$H439),2))))</f>
        <v/>
      </c>
      <c r="P446" t="str">
        <f>IF($G446=0,"",IF(资金日记账!$L439=0,"",资金日记账!$L439))</f>
        <v/>
      </c>
      <c r="T446" t="str">
        <f>IF(资金日记账!$G446="","",资金日记账!$G446)</f>
        <v/>
      </c>
      <c r="U446">
        <f t="shared" si="81"/>
        <v>0</v>
      </c>
      <c r="V446">
        <f t="shared" si="82"/>
        <v>0</v>
      </c>
      <c r="AF446" t="str">
        <f>IF(OR(资金日记账!$E446="",N(资金日记账!$H446)=0),"",资金日记账!$E446)</f>
        <v/>
      </c>
      <c r="AG446">
        <f t="shared" si="83"/>
        <v>0</v>
      </c>
      <c r="AH446">
        <f t="shared" si="84"/>
        <v>0</v>
      </c>
    </row>
    <row r="447" spans="1:34">
      <c r="A447" t="str">
        <f>IF(资金日记账!$F145="","",资金日记账!$F145)</f>
        <v/>
      </c>
      <c r="B447">
        <f t="shared" si="77"/>
        <v>0</v>
      </c>
      <c r="C447">
        <f t="shared" si="78"/>
        <v>0</v>
      </c>
      <c r="G447">
        <f>IF(OR($G$1="",资金日记账!$E440="",资金日记账!$E440&lt;&gt;$G$1),0,IF(NOT(OR(N(资金日记账!$H440)&lt;&gt;0,N(资金日记账!$I440)&lt;&gt;0)),0,IF(资金日记账!$B440="",1,IF(OR(N(资金日记账!$B440)&lt;$H$1,N(资金日记账!$B440)&gt;$I$1),0,1))))</f>
        <v>0</v>
      </c>
      <c r="H447">
        <f t="shared" si="79"/>
        <v>0</v>
      </c>
      <c r="I447" t="str">
        <f>IF($G447=0,"",IF(资金日记账!$B440=0,"",资金日记账!$B440))</f>
        <v/>
      </c>
      <c r="J447" t="str">
        <f>IF($G447=0,"",IF(资金日记账!$D440=0,"",资金日记账!$D440))</f>
        <v/>
      </c>
      <c r="K447" t="str">
        <f t="shared" si="85"/>
        <v/>
      </c>
      <c r="L447" t="str">
        <f t="shared" si="86"/>
        <v/>
      </c>
      <c r="M447" t="str">
        <f t="shared" si="80"/>
        <v/>
      </c>
      <c r="N447" t="str">
        <f>IF($G447=0,"",IF(IF(N(资金日记账!$I440)=0,"",-ROUND(N(资金日记账!$I440),2))=0,"",IF(N(资金日记账!$I440)=0,"",-ROUND(N(资金日记账!$I440),2))))</f>
        <v/>
      </c>
      <c r="O447" t="str">
        <f>IF($G447=0,"",IF(IF(N(资金日记账!$H440)=0,"",ROUND(N(资金日记账!$H440),2))=0,"",IF(N(资金日记账!$H440)=0,"",ROUND(N(资金日记账!$H440),2))))</f>
        <v/>
      </c>
      <c r="P447" t="str">
        <f>IF($G447=0,"",IF(资金日记账!$L440=0,"",资金日记账!$L440))</f>
        <v/>
      </c>
      <c r="T447" t="str">
        <f>IF(资金日记账!$G447="","",资金日记账!$G447)</f>
        <v/>
      </c>
      <c r="U447">
        <f t="shared" si="81"/>
        <v>0</v>
      </c>
      <c r="V447">
        <f t="shared" si="82"/>
        <v>0</v>
      </c>
      <c r="AF447" t="str">
        <f>IF(OR(资金日记账!$E447="",N(资金日记账!$H447)=0),"",资金日记账!$E447)</f>
        <v/>
      </c>
      <c r="AG447">
        <f t="shared" si="83"/>
        <v>0</v>
      </c>
      <c r="AH447">
        <f t="shared" si="84"/>
        <v>0</v>
      </c>
    </row>
    <row r="448" spans="1:34">
      <c r="A448" t="str">
        <f>IF(资金日记账!$F146="","",资金日记账!$F146)</f>
        <v/>
      </c>
      <c r="B448">
        <f t="shared" si="77"/>
        <v>0</v>
      </c>
      <c r="C448">
        <f t="shared" si="78"/>
        <v>0</v>
      </c>
      <c r="G448">
        <f>IF(OR($G$1="",资金日记账!$E441="",资金日记账!$E441&lt;&gt;$G$1),0,IF(NOT(OR(N(资金日记账!$H441)&lt;&gt;0,N(资金日记账!$I441)&lt;&gt;0)),0,IF(资金日记账!$B441="",1,IF(OR(N(资金日记账!$B441)&lt;$H$1,N(资金日记账!$B441)&gt;$I$1),0,1))))</f>
        <v>0</v>
      </c>
      <c r="H448">
        <f t="shared" si="79"/>
        <v>0</v>
      </c>
      <c r="I448" t="str">
        <f>IF($G448=0,"",IF(资金日记账!$B441=0,"",资金日记账!$B441))</f>
        <v/>
      </c>
      <c r="J448" t="str">
        <f>IF($G448=0,"",IF(资金日记账!$D441=0,"",资金日记账!$D441))</f>
        <v/>
      </c>
      <c r="K448" t="str">
        <f t="shared" si="85"/>
        <v/>
      </c>
      <c r="L448" t="str">
        <f t="shared" si="86"/>
        <v/>
      </c>
      <c r="M448" t="str">
        <f t="shared" si="80"/>
        <v/>
      </c>
      <c r="N448" t="str">
        <f>IF($G448=0,"",IF(IF(N(资金日记账!$I441)=0,"",-ROUND(N(资金日记账!$I441),2))=0,"",IF(N(资金日记账!$I441)=0,"",-ROUND(N(资金日记账!$I441),2))))</f>
        <v/>
      </c>
      <c r="O448" t="str">
        <f>IF($G448=0,"",IF(IF(N(资金日记账!$H441)=0,"",ROUND(N(资金日记账!$H441),2))=0,"",IF(N(资金日记账!$H441)=0,"",ROUND(N(资金日记账!$H441),2))))</f>
        <v/>
      </c>
      <c r="P448" t="str">
        <f>IF($G448=0,"",IF(资金日记账!$L441=0,"",资金日记账!$L441))</f>
        <v/>
      </c>
      <c r="T448" t="str">
        <f>IF(资金日记账!$G448="","",资金日记账!$G448)</f>
        <v/>
      </c>
      <c r="U448">
        <f t="shared" si="81"/>
        <v>0</v>
      </c>
      <c r="V448">
        <f t="shared" si="82"/>
        <v>0</v>
      </c>
      <c r="AF448" t="str">
        <f>IF(OR(资金日记账!$E448="",N(资金日记账!$H448)=0),"",资金日记账!$E448)</f>
        <v/>
      </c>
      <c r="AG448">
        <f t="shared" si="83"/>
        <v>0</v>
      </c>
      <c r="AH448">
        <f t="shared" si="84"/>
        <v>0</v>
      </c>
    </row>
    <row r="449" spans="1:34">
      <c r="A449" t="str">
        <f>IF(资金日记账!$F147="","",资金日记账!$F147)</f>
        <v/>
      </c>
      <c r="B449">
        <f t="shared" si="77"/>
        <v>0</v>
      </c>
      <c r="C449">
        <f t="shared" si="78"/>
        <v>0</v>
      </c>
      <c r="G449">
        <f>IF(OR($G$1="",资金日记账!$E442="",资金日记账!$E442&lt;&gt;$G$1),0,IF(NOT(OR(N(资金日记账!$H442)&lt;&gt;0,N(资金日记账!$I442)&lt;&gt;0)),0,IF(资金日记账!$B442="",1,IF(OR(N(资金日记账!$B442)&lt;$H$1,N(资金日记账!$B442)&gt;$I$1),0,1))))</f>
        <v>0</v>
      </c>
      <c r="H449">
        <f t="shared" si="79"/>
        <v>0</v>
      </c>
      <c r="I449" t="str">
        <f>IF($G449=0,"",IF(资金日记账!$B442=0,"",资金日记账!$B442))</f>
        <v/>
      </c>
      <c r="J449" t="str">
        <f>IF($G449=0,"",IF(资金日记账!$D442=0,"",资金日记账!$D442))</f>
        <v/>
      </c>
      <c r="K449" t="str">
        <f t="shared" si="85"/>
        <v/>
      </c>
      <c r="L449" t="str">
        <f t="shared" si="86"/>
        <v/>
      </c>
      <c r="M449" t="str">
        <f t="shared" si="80"/>
        <v/>
      </c>
      <c r="N449" t="str">
        <f>IF($G449=0,"",IF(IF(N(资金日记账!$I442)=0,"",-ROUND(N(资金日记账!$I442),2))=0,"",IF(N(资金日记账!$I442)=0,"",-ROUND(N(资金日记账!$I442),2))))</f>
        <v/>
      </c>
      <c r="O449" t="str">
        <f>IF($G449=0,"",IF(IF(N(资金日记账!$H442)=0,"",ROUND(N(资金日记账!$H442),2))=0,"",IF(N(资金日记账!$H442)=0,"",ROUND(N(资金日记账!$H442),2))))</f>
        <v/>
      </c>
      <c r="P449" t="str">
        <f>IF($G449=0,"",IF(资金日记账!$L442=0,"",资金日记账!$L442))</f>
        <v/>
      </c>
      <c r="T449" t="str">
        <f>IF(资金日记账!$G449="","",资金日记账!$G449)</f>
        <v/>
      </c>
      <c r="U449">
        <f t="shared" si="81"/>
        <v>0</v>
      </c>
      <c r="V449">
        <f t="shared" si="82"/>
        <v>0</v>
      </c>
      <c r="AF449" t="str">
        <f>IF(OR(资金日记账!$E449="",N(资金日记账!$H449)=0),"",资金日记账!$E449)</f>
        <v/>
      </c>
      <c r="AG449">
        <f t="shared" si="83"/>
        <v>0</v>
      </c>
      <c r="AH449">
        <f t="shared" si="84"/>
        <v>0</v>
      </c>
    </row>
    <row r="450" spans="1:34">
      <c r="A450" t="str">
        <f>IF(资金日记账!$F148="","",资金日记账!$F148)</f>
        <v/>
      </c>
      <c r="B450">
        <f t="shared" si="77"/>
        <v>0</v>
      </c>
      <c r="C450">
        <f t="shared" si="78"/>
        <v>0</v>
      </c>
      <c r="G450">
        <f>IF(OR($G$1="",资金日记账!$E443="",资金日记账!$E443&lt;&gt;$G$1),0,IF(NOT(OR(N(资金日记账!$H443)&lt;&gt;0,N(资金日记账!$I443)&lt;&gt;0)),0,IF(资金日记账!$B443="",1,IF(OR(N(资金日记账!$B443)&lt;$H$1,N(资金日记账!$B443)&gt;$I$1),0,1))))</f>
        <v>0</v>
      </c>
      <c r="H450">
        <f t="shared" si="79"/>
        <v>0</v>
      </c>
      <c r="I450" t="str">
        <f>IF($G450=0,"",IF(资金日记账!$B443=0,"",资金日记账!$B443))</f>
        <v/>
      </c>
      <c r="J450" t="str">
        <f>IF($G450=0,"",IF(资金日记账!$D443=0,"",资金日记账!$D443))</f>
        <v/>
      </c>
      <c r="K450" t="str">
        <f t="shared" si="85"/>
        <v/>
      </c>
      <c r="L450" t="str">
        <f t="shared" si="86"/>
        <v/>
      </c>
      <c r="M450" t="str">
        <f t="shared" si="80"/>
        <v/>
      </c>
      <c r="N450" t="str">
        <f>IF($G450=0,"",IF(IF(N(资金日记账!$I443)=0,"",-ROUND(N(资金日记账!$I443),2))=0,"",IF(N(资金日记账!$I443)=0,"",-ROUND(N(资金日记账!$I443),2))))</f>
        <v/>
      </c>
      <c r="O450" t="str">
        <f>IF($G450=0,"",IF(IF(N(资金日记账!$H443)=0,"",ROUND(N(资金日记账!$H443),2))=0,"",IF(N(资金日记账!$H443)=0,"",ROUND(N(资金日记账!$H443),2))))</f>
        <v/>
      </c>
      <c r="P450" t="str">
        <f>IF($G450=0,"",IF(资金日记账!$L443=0,"",资金日记账!$L443))</f>
        <v/>
      </c>
      <c r="T450" t="str">
        <f>IF(资金日记账!$G450="","",资金日记账!$G450)</f>
        <v/>
      </c>
      <c r="U450">
        <f t="shared" si="81"/>
        <v>0</v>
      </c>
      <c r="V450">
        <f t="shared" si="82"/>
        <v>0</v>
      </c>
      <c r="AF450" t="str">
        <f>IF(OR(资金日记账!$E450="",N(资金日记账!$H450)=0),"",资金日记账!$E450)</f>
        <v/>
      </c>
      <c r="AG450">
        <f t="shared" si="83"/>
        <v>0</v>
      </c>
      <c r="AH450">
        <f t="shared" si="84"/>
        <v>0</v>
      </c>
    </row>
    <row r="451" spans="1:34">
      <c r="A451" t="str">
        <f>IF(资金日记账!$F149="","",资金日记账!$F149)</f>
        <v/>
      </c>
      <c r="B451">
        <f t="shared" si="77"/>
        <v>0</v>
      </c>
      <c r="C451">
        <f t="shared" si="78"/>
        <v>0</v>
      </c>
      <c r="G451">
        <f>IF(OR($G$1="",资金日记账!$E444="",资金日记账!$E444&lt;&gt;$G$1),0,IF(NOT(OR(N(资金日记账!$H444)&lt;&gt;0,N(资金日记账!$I444)&lt;&gt;0)),0,IF(资金日记账!$B444="",1,IF(OR(N(资金日记账!$B444)&lt;$H$1,N(资金日记账!$B444)&gt;$I$1),0,1))))</f>
        <v>0</v>
      </c>
      <c r="H451">
        <f t="shared" si="79"/>
        <v>0</v>
      </c>
      <c r="I451" t="str">
        <f>IF($G451=0,"",IF(资金日记账!$B444=0,"",资金日记账!$B444))</f>
        <v/>
      </c>
      <c r="J451" t="str">
        <f>IF($G451=0,"",IF(资金日记账!$D444=0,"",资金日记账!$D444))</f>
        <v/>
      </c>
      <c r="K451" t="str">
        <f t="shared" si="85"/>
        <v/>
      </c>
      <c r="L451" t="str">
        <f t="shared" si="86"/>
        <v/>
      </c>
      <c r="M451" t="str">
        <f t="shared" si="80"/>
        <v/>
      </c>
      <c r="N451" t="str">
        <f>IF($G451=0,"",IF(IF(N(资金日记账!$I444)=0,"",-ROUND(N(资金日记账!$I444),2))=0,"",IF(N(资金日记账!$I444)=0,"",-ROUND(N(资金日记账!$I444),2))))</f>
        <v/>
      </c>
      <c r="O451" t="str">
        <f>IF($G451=0,"",IF(IF(N(资金日记账!$H444)=0,"",ROUND(N(资金日记账!$H444),2))=0,"",IF(N(资金日记账!$H444)=0,"",ROUND(N(资金日记账!$H444),2))))</f>
        <v/>
      </c>
      <c r="P451" t="str">
        <f>IF($G451=0,"",IF(资金日记账!$L444=0,"",资金日记账!$L444))</f>
        <v/>
      </c>
      <c r="T451" t="str">
        <f>IF(资金日记账!$G451="","",资金日记账!$G451)</f>
        <v/>
      </c>
      <c r="U451">
        <f t="shared" si="81"/>
        <v>0</v>
      </c>
      <c r="V451">
        <f t="shared" si="82"/>
        <v>0</v>
      </c>
      <c r="AF451" t="str">
        <f>IF(OR(资金日记账!$E451="",N(资金日记账!$H451)=0),"",资金日记账!$E451)</f>
        <v/>
      </c>
      <c r="AG451">
        <f t="shared" si="83"/>
        <v>0</v>
      </c>
      <c r="AH451">
        <f t="shared" si="84"/>
        <v>0</v>
      </c>
    </row>
    <row r="452" spans="1:34">
      <c r="A452" t="str">
        <f>IF(资金日记账!$F150="","",资金日记账!$F150)</f>
        <v/>
      </c>
      <c r="B452">
        <f t="shared" ref="B452:B515" si="87">IF(A452="",0,IF(MATCH(A452,$A$4:$A$1805,0)=ROW()-3,1,0))</f>
        <v>0</v>
      </c>
      <c r="C452">
        <f t="shared" ref="C452:C515" si="88">N(C451)+B452</f>
        <v>0</v>
      </c>
      <c r="G452">
        <f>IF(OR($G$1="",资金日记账!$E445="",资金日记账!$E445&lt;&gt;$G$1),0,IF(NOT(OR(N(资金日记账!$H445)&lt;&gt;0,N(资金日记账!$I445)&lt;&gt;0)),0,IF(资金日记账!$B445="",1,IF(OR(N(资金日记账!$B445)&lt;$H$1,N(资金日记账!$B445)&gt;$I$1),0,1))))</f>
        <v>0</v>
      </c>
      <c r="H452">
        <f t="shared" ref="H452:H515" si="89">N(H451)+$G452</f>
        <v>0</v>
      </c>
      <c r="I452" t="str">
        <f>IF($G452=0,"",IF(资金日记账!$B445=0,"",资金日记账!$B445))</f>
        <v/>
      </c>
      <c r="J452" t="str">
        <f>IF($G452=0,"",IF(资金日记账!$D445=0,"",资金日记账!$D445))</f>
        <v/>
      </c>
      <c r="K452" t="str">
        <f t="shared" si="85"/>
        <v/>
      </c>
      <c r="L452" t="str">
        <f t="shared" si="86"/>
        <v/>
      </c>
      <c r="M452" t="str">
        <f t="shared" ref="M452:M515" si="90">IF($G452=0,"",IF(""=0,"",""))</f>
        <v/>
      </c>
      <c r="N452" t="str">
        <f>IF($G452=0,"",IF(IF(N(资金日记账!$I445)=0,"",-ROUND(N(资金日记账!$I445),2))=0,"",IF(N(资金日记账!$I445)=0,"",-ROUND(N(资金日记账!$I445),2))))</f>
        <v/>
      </c>
      <c r="O452" t="str">
        <f>IF($G452=0,"",IF(IF(N(资金日记账!$H445)=0,"",ROUND(N(资金日记账!$H445),2))=0,"",IF(N(资金日记账!$H445)=0,"",ROUND(N(资金日记账!$H445),2))))</f>
        <v/>
      </c>
      <c r="P452" t="str">
        <f>IF($G452=0,"",IF(资金日记账!$L445=0,"",资金日记账!$L445))</f>
        <v/>
      </c>
      <c r="T452" t="str">
        <f>IF(资金日记账!$G452="","",资金日记账!$G452)</f>
        <v/>
      </c>
      <c r="U452">
        <f t="shared" ref="U452:U515" si="91">IF(T452="",0,IF(MATCH(T452,$T$4:$T$903,0)=ROW()-3,1,0))</f>
        <v>0</v>
      </c>
      <c r="V452">
        <f t="shared" ref="V452:V515" si="92">N(V451)+U452</f>
        <v>0</v>
      </c>
      <c r="AF452" t="str">
        <f>IF(OR(资金日记账!$E452="",N(资金日记账!$H452)=0),"",资金日记账!$E452)</f>
        <v/>
      </c>
      <c r="AG452">
        <f t="shared" ref="AG452:AG515" si="93">IF(AF452="",0,IF(MATCH(AF452,$AF$4:$AF$603,0)=ROW()-3,1,0))</f>
        <v>0</v>
      </c>
      <c r="AH452">
        <f t="shared" ref="AH452:AH515" si="94">N(AH451)+AG452</f>
        <v>0</v>
      </c>
    </row>
    <row r="453" spans="1:34">
      <c r="A453" t="str">
        <f>IF(资金日记账!$F151="","",资金日记账!$F151)</f>
        <v/>
      </c>
      <c r="B453">
        <f t="shared" si="87"/>
        <v>0</v>
      </c>
      <c r="C453">
        <f t="shared" si="88"/>
        <v>0</v>
      </c>
      <c r="G453">
        <f>IF(OR($G$1="",资金日记账!$E446="",资金日记账!$E446&lt;&gt;$G$1),0,IF(NOT(OR(N(资金日记账!$H446)&lt;&gt;0,N(资金日记账!$I446)&lt;&gt;0)),0,IF(资金日记账!$B446="",1,IF(OR(N(资金日记账!$B446)&lt;$H$1,N(资金日记账!$B446)&gt;$I$1),0,1))))</f>
        <v>0</v>
      </c>
      <c r="H453">
        <f t="shared" si="89"/>
        <v>0</v>
      </c>
      <c r="I453" t="str">
        <f>IF($G453=0,"",IF(资金日记账!$B446=0,"",资金日记账!$B446))</f>
        <v/>
      </c>
      <c r="J453" t="str">
        <f>IF($G453=0,"",IF(资金日记账!$D446=0,"",资金日记账!$D446))</f>
        <v/>
      </c>
      <c r="K453" t="str">
        <f t="shared" si="85"/>
        <v/>
      </c>
      <c r="L453" t="str">
        <f t="shared" si="86"/>
        <v/>
      </c>
      <c r="M453" t="str">
        <f t="shared" si="90"/>
        <v/>
      </c>
      <c r="N453" t="str">
        <f>IF($G453=0,"",IF(IF(N(资金日记账!$I446)=0,"",-ROUND(N(资金日记账!$I446),2))=0,"",IF(N(资金日记账!$I446)=0,"",-ROUND(N(资金日记账!$I446),2))))</f>
        <v/>
      </c>
      <c r="O453" t="str">
        <f>IF($G453=0,"",IF(IF(N(资金日记账!$H446)=0,"",ROUND(N(资金日记账!$H446),2))=0,"",IF(N(资金日记账!$H446)=0,"",ROUND(N(资金日记账!$H446),2))))</f>
        <v/>
      </c>
      <c r="P453" t="str">
        <f>IF($G453=0,"",IF(资金日记账!$L446=0,"",资金日记账!$L446))</f>
        <v/>
      </c>
      <c r="T453" t="str">
        <f>IF(资金日记账!$G453="","",资金日记账!$G453)</f>
        <v/>
      </c>
      <c r="U453">
        <f t="shared" si="91"/>
        <v>0</v>
      </c>
      <c r="V453">
        <f t="shared" si="92"/>
        <v>0</v>
      </c>
      <c r="AF453" t="str">
        <f>IF(OR(资金日记账!$E453="",N(资金日记账!$H453)=0),"",资金日记账!$E453)</f>
        <v/>
      </c>
      <c r="AG453">
        <f t="shared" si="93"/>
        <v>0</v>
      </c>
      <c r="AH453">
        <f t="shared" si="94"/>
        <v>0</v>
      </c>
    </row>
    <row r="454" spans="1:34">
      <c r="A454" t="str">
        <f>IF(资金日记账!$F152="","",资金日记账!$F152)</f>
        <v/>
      </c>
      <c r="B454">
        <f t="shared" si="87"/>
        <v>0</v>
      </c>
      <c r="C454">
        <f t="shared" si="88"/>
        <v>0</v>
      </c>
      <c r="G454">
        <f>IF(OR($G$1="",资金日记账!$E447="",资金日记账!$E447&lt;&gt;$G$1),0,IF(NOT(OR(N(资金日记账!$H447)&lt;&gt;0,N(资金日记账!$I447)&lt;&gt;0)),0,IF(资金日记账!$B447="",1,IF(OR(N(资金日记账!$B447)&lt;$H$1,N(资金日记账!$B447)&gt;$I$1),0,1))))</f>
        <v>0</v>
      </c>
      <c r="H454">
        <f t="shared" si="89"/>
        <v>0</v>
      </c>
      <c r="I454" t="str">
        <f>IF($G454=0,"",IF(资金日记账!$B447=0,"",资金日记账!$B447))</f>
        <v/>
      </c>
      <c r="J454" t="str">
        <f>IF($G454=0,"",IF(资金日记账!$D447=0,"",资金日记账!$D447))</f>
        <v/>
      </c>
      <c r="K454" t="str">
        <f t="shared" si="85"/>
        <v/>
      </c>
      <c r="L454" t="str">
        <f t="shared" si="86"/>
        <v/>
      </c>
      <c r="M454" t="str">
        <f t="shared" si="90"/>
        <v/>
      </c>
      <c r="N454" t="str">
        <f>IF($G454=0,"",IF(IF(N(资金日记账!$I447)=0,"",-ROUND(N(资金日记账!$I447),2))=0,"",IF(N(资金日记账!$I447)=0,"",-ROUND(N(资金日记账!$I447),2))))</f>
        <v/>
      </c>
      <c r="O454" t="str">
        <f>IF($G454=0,"",IF(IF(N(资金日记账!$H447)=0,"",ROUND(N(资金日记账!$H447),2))=0,"",IF(N(资金日记账!$H447)=0,"",ROUND(N(资金日记账!$H447),2))))</f>
        <v/>
      </c>
      <c r="P454" t="str">
        <f>IF($G454=0,"",IF(资金日记账!$L447=0,"",资金日记账!$L447))</f>
        <v/>
      </c>
      <c r="T454" t="str">
        <f>IF(资金日记账!$G454="","",资金日记账!$G454)</f>
        <v/>
      </c>
      <c r="U454">
        <f t="shared" si="91"/>
        <v>0</v>
      </c>
      <c r="V454">
        <f t="shared" si="92"/>
        <v>0</v>
      </c>
      <c r="AF454" t="str">
        <f>IF(OR(资金日记账!$E454="",N(资金日记账!$H454)=0),"",资金日记账!$E454)</f>
        <v/>
      </c>
      <c r="AG454">
        <f t="shared" si="93"/>
        <v>0</v>
      </c>
      <c r="AH454">
        <f t="shared" si="94"/>
        <v>0</v>
      </c>
    </row>
    <row r="455" spans="1:34">
      <c r="A455" t="str">
        <f>IF(资金日记账!$F153="","",资金日记账!$F153)</f>
        <v/>
      </c>
      <c r="B455">
        <f t="shared" si="87"/>
        <v>0</v>
      </c>
      <c r="C455">
        <f t="shared" si="88"/>
        <v>0</v>
      </c>
      <c r="G455">
        <f>IF(OR($G$1="",资金日记账!$E448="",资金日记账!$E448&lt;&gt;$G$1),0,IF(NOT(OR(N(资金日记账!$H448)&lt;&gt;0,N(资金日记账!$I448)&lt;&gt;0)),0,IF(资金日记账!$B448="",1,IF(OR(N(资金日记账!$B448)&lt;$H$1,N(资金日记账!$B448)&gt;$I$1),0,1))))</f>
        <v>0</v>
      </c>
      <c r="H455">
        <f t="shared" si="89"/>
        <v>0</v>
      </c>
      <c r="I455" t="str">
        <f>IF($G455=0,"",IF(资金日记账!$B448=0,"",资金日记账!$B448))</f>
        <v/>
      </c>
      <c r="J455" t="str">
        <f>IF($G455=0,"",IF(资金日记账!$D448=0,"",资金日记账!$D448))</f>
        <v/>
      </c>
      <c r="K455" t="str">
        <f t="shared" ref="K455:K518" si="95">IF($G455=0,"",IF(""=0,"",""))</f>
        <v/>
      </c>
      <c r="L455" t="str">
        <f t="shared" ref="L455:L518" si="96">IF($G455=0,"",IF(""=0,"",""))</f>
        <v/>
      </c>
      <c r="M455" t="str">
        <f t="shared" si="90"/>
        <v/>
      </c>
      <c r="N455" t="str">
        <f>IF($G455=0,"",IF(IF(N(资金日记账!$I448)=0,"",-ROUND(N(资金日记账!$I448),2))=0,"",IF(N(资金日记账!$I448)=0,"",-ROUND(N(资金日记账!$I448),2))))</f>
        <v/>
      </c>
      <c r="O455" t="str">
        <f>IF($G455=0,"",IF(IF(N(资金日记账!$H448)=0,"",ROUND(N(资金日记账!$H448),2))=0,"",IF(N(资金日记账!$H448)=0,"",ROUND(N(资金日记账!$H448),2))))</f>
        <v/>
      </c>
      <c r="P455" t="str">
        <f>IF($G455=0,"",IF(资金日记账!$L448=0,"",资金日记账!$L448))</f>
        <v/>
      </c>
      <c r="T455" t="str">
        <f>IF(资金日记账!$G455="","",资金日记账!$G455)</f>
        <v/>
      </c>
      <c r="U455">
        <f t="shared" si="91"/>
        <v>0</v>
      </c>
      <c r="V455">
        <f t="shared" si="92"/>
        <v>0</v>
      </c>
      <c r="AF455" t="str">
        <f>IF(OR(资金日记账!$E455="",N(资金日记账!$H455)=0),"",资金日记账!$E455)</f>
        <v/>
      </c>
      <c r="AG455">
        <f t="shared" si="93"/>
        <v>0</v>
      </c>
      <c r="AH455">
        <f t="shared" si="94"/>
        <v>0</v>
      </c>
    </row>
    <row r="456" spans="1:34">
      <c r="A456" t="str">
        <f>IF(资金日记账!$F154="","",资金日记账!$F154)</f>
        <v/>
      </c>
      <c r="B456">
        <f t="shared" si="87"/>
        <v>0</v>
      </c>
      <c r="C456">
        <f t="shared" si="88"/>
        <v>0</v>
      </c>
      <c r="G456">
        <f>IF(OR($G$1="",资金日记账!$E449="",资金日记账!$E449&lt;&gt;$G$1),0,IF(NOT(OR(N(资金日记账!$H449)&lt;&gt;0,N(资金日记账!$I449)&lt;&gt;0)),0,IF(资金日记账!$B449="",1,IF(OR(N(资金日记账!$B449)&lt;$H$1,N(资金日记账!$B449)&gt;$I$1),0,1))))</f>
        <v>0</v>
      </c>
      <c r="H456">
        <f t="shared" si="89"/>
        <v>0</v>
      </c>
      <c r="I456" t="str">
        <f>IF($G456=0,"",IF(资金日记账!$B449=0,"",资金日记账!$B449))</f>
        <v/>
      </c>
      <c r="J456" t="str">
        <f>IF($G456=0,"",IF(资金日记账!$D449=0,"",资金日记账!$D449))</f>
        <v/>
      </c>
      <c r="K456" t="str">
        <f t="shared" si="95"/>
        <v/>
      </c>
      <c r="L456" t="str">
        <f t="shared" si="96"/>
        <v/>
      </c>
      <c r="M456" t="str">
        <f t="shared" si="90"/>
        <v/>
      </c>
      <c r="N456" t="str">
        <f>IF($G456=0,"",IF(IF(N(资金日记账!$I449)=0,"",-ROUND(N(资金日记账!$I449),2))=0,"",IF(N(资金日记账!$I449)=0,"",-ROUND(N(资金日记账!$I449),2))))</f>
        <v/>
      </c>
      <c r="O456" t="str">
        <f>IF($G456=0,"",IF(IF(N(资金日记账!$H449)=0,"",ROUND(N(资金日记账!$H449),2))=0,"",IF(N(资金日记账!$H449)=0,"",ROUND(N(资金日记账!$H449),2))))</f>
        <v/>
      </c>
      <c r="P456" t="str">
        <f>IF($G456=0,"",IF(资金日记账!$L449=0,"",资金日记账!$L449))</f>
        <v/>
      </c>
      <c r="T456" t="str">
        <f>IF(资金日记账!$G456="","",资金日记账!$G456)</f>
        <v/>
      </c>
      <c r="U456">
        <f t="shared" si="91"/>
        <v>0</v>
      </c>
      <c r="V456">
        <f t="shared" si="92"/>
        <v>0</v>
      </c>
      <c r="AF456" t="str">
        <f>IF(OR(资金日记账!$E456="",N(资金日记账!$H456)=0),"",资金日记账!$E456)</f>
        <v/>
      </c>
      <c r="AG456">
        <f t="shared" si="93"/>
        <v>0</v>
      </c>
      <c r="AH456">
        <f t="shared" si="94"/>
        <v>0</v>
      </c>
    </row>
    <row r="457" spans="1:34">
      <c r="A457" t="str">
        <f>IF(资金日记账!$F155="","",资金日记账!$F155)</f>
        <v/>
      </c>
      <c r="B457">
        <f t="shared" si="87"/>
        <v>0</v>
      </c>
      <c r="C457">
        <f t="shared" si="88"/>
        <v>0</v>
      </c>
      <c r="G457">
        <f>IF(OR($G$1="",资金日记账!$E450="",资金日记账!$E450&lt;&gt;$G$1),0,IF(NOT(OR(N(资金日记账!$H450)&lt;&gt;0,N(资金日记账!$I450)&lt;&gt;0)),0,IF(资金日记账!$B450="",1,IF(OR(N(资金日记账!$B450)&lt;$H$1,N(资金日记账!$B450)&gt;$I$1),0,1))))</f>
        <v>0</v>
      </c>
      <c r="H457">
        <f t="shared" si="89"/>
        <v>0</v>
      </c>
      <c r="I457" t="str">
        <f>IF($G457=0,"",IF(资金日记账!$B450=0,"",资金日记账!$B450))</f>
        <v/>
      </c>
      <c r="J457" t="str">
        <f>IF($G457=0,"",IF(资金日记账!$D450=0,"",资金日记账!$D450))</f>
        <v/>
      </c>
      <c r="K457" t="str">
        <f t="shared" si="95"/>
        <v/>
      </c>
      <c r="L457" t="str">
        <f t="shared" si="96"/>
        <v/>
      </c>
      <c r="M457" t="str">
        <f t="shared" si="90"/>
        <v/>
      </c>
      <c r="N457" t="str">
        <f>IF($G457=0,"",IF(IF(N(资金日记账!$I450)=0,"",-ROUND(N(资金日记账!$I450),2))=0,"",IF(N(资金日记账!$I450)=0,"",-ROUND(N(资金日记账!$I450),2))))</f>
        <v/>
      </c>
      <c r="O457" t="str">
        <f>IF($G457=0,"",IF(IF(N(资金日记账!$H450)=0,"",ROUND(N(资金日记账!$H450),2))=0,"",IF(N(资金日记账!$H450)=0,"",ROUND(N(资金日记账!$H450),2))))</f>
        <v/>
      </c>
      <c r="P457" t="str">
        <f>IF($G457=0,"",IF(资金日记账!$L450=0,"",资金日记账!$L450))</f>
        <v/>
      </c>
      <c r="T457" t="str">
        <f>IF(资金日记账!$G457="","",资金日记账!$G457)</f>
        <v/>
      </c>
      <c r="U457">
        <f t="shared" si="91"/>
        <v>0</v>
      </c>
      <c r="V457">
        <f t="shared" si="92"/>
        <v>0</v>
      </c>
      <c r="AF457" t="str">
        <f>IF(OR(资金日记账!$E457="",N(资金日记账!$H457)=0),"",资金日记账!$E457)</f>
        <v/>
      </c>
      <c r="AG457">
        <f t="shared" si="93"/>
        <v>0</v>
      </c>
      <c r="AH457">
        <f t="shared" si="94"/>
        <v>0</v>
      </c>
    </row>
    <row r="458" spans="1:34">
      <c r="A458" t="str">
        <f>IF(资金日记账!$F156="","",资金日记账!$F156)</f>
        <v/>
      </c>
      <c r="B458">
        <f t="shared" si="87"/>
        <v>0</v>
      </c>
      <c r="C458">
        <f t="shared" si="88"/>
        <v>0</v>
      </c>
      <c r="G458">
        <f>IF(OR($G$1="",资金日记账!$E451="",资金日记账!$E451&lt;&gt;$G$1),0,IF(NOT(OR(N(资金日记账!$H451)&lt;&gt;0,N(资金日记账!$I451)&lt;&gt;0)),0,IF(资金日记账!$B451="",1,IF(OR(N(资金日记账!$B451)&lt;$H$1,N(资金日记账!$B451)&gt;$I$1),0,1))))</f>
        <v>0</v>
      </c>
      <c r="H458">
        <f t="shared" si="89"/>
        <v>0</v>
      </c>
      <c r="I458" t="str">
        <f>IF($G458=0,"",IF(资金日记账!$B451=0,"",资金日记账!$B451))</f>
        <v/>
      </c>
      <c r="J458" t="str">
        <f>IF($G458=0,"",IF(资金日记账!$D451=0,"",资金日记账!$D451))</f>
        <v/>
      </c>
      <c r="K458" t="str">
        <f t="shared" si="95"/>
        <v/>
      </c>
      <c r="L458" t="str">
        <f t="shared" si="96"/>
        <v/>
      </c>
      <c r="M458" t="str">
        <f t="shared" si="90"/>
        <v/>
      </c>
      <c r="N458" t="str">
        <f>IF($G458=0,"",IF(IF(N(资金日记账!$I451)=0,"",-ROUND(N(资金日记账!$I451),2))=0,"",IF(N(资金日记账!$I451)=0,"",-ROUND(N(资金日记账!$I451),2))))</f>
        <v/>
      </c>
      <c r="O458" t="str">
        <f>IF($G458=0,"",IF(IF(N(资金日记账!$H451)=0,"",ROUND(N(资金日记账!$H451),2))=0,"",IF(N(资金日记账!$H451)=0,"",ROUND(N(资金日记账!$H451),2))))</f>
        <v/>
      </c>
      <c r="P458" t="str">
        <f>IF($G458=0,"",IF(资金日记账!$L451=0,"",资金日记账!$L451))</f>
        <v/>
      </c>
      <c r="T458" t="str">
        <f>IF(资金日记账!$G458="","",资金日记账!$G458)</f>
        <v/>
      </c>
      <c r="U458">
        <f t="shared" si="91"/>
        <v>0</v>
      </c>
      <c r="V458">
        <f t="shared" si="92"/>
        <v>0</v>
      </c>
      <c r="AF458" t="str">
        <f>IF(OR(资金日记账!$E458="",N(资金日记账!$H458)=0),"",资金日记账!$E458)</f>
        <v/>
      </c>
      <c r="AG458">
        <f t="shared" si="93"/>
        <v>0</v>
      </c>
      <c r="AH458">
        <f t="shared" si="94"/>
        <v>0</v>
      </c>
    </row>
    <row r="459" spans="1:34">
      <c r="A459" t="str">
        <f>IF(资金日记账!$F157="","",资金日记账!$F157)</f>
        <v/>
      </c>
      <c r="B459">
        <f t="shared" si="87"/>
        <v>0</v>
      </c>
      <c r="C459">
        <f t="shared" si="88"/>
        <v>0</v>
      </c>
      <c r="G459">
        <f>IF(OR($G$1="",资金日记账!$E452="",资金日记账!$E452&lt;&gt;$G$1),0,IF(NOT(OR(N(资金日记账!$H452)&lt;&gt;0,N(资金日记账!$I452)&lt;&gt;0)),0,IF(资金日记账!$B452="",1,IF(OR(N(资金日记账!$B452)&lt;$H$1,N(资金日记账!$B452)&gt;$I$1),0,1))))</f>
        <v>0</v>
      </c>
      <c r="H459">
        <f t="shared" si="89"/>
        <v>0</v>
      </c>
      <c r="I459" t="str">
        <f>IF($G459=0,"",IF(资金日记账!$B452=0,"",资金日记账!$B452))</f>
        <v/>
      </c>
      <c r="J459" t="str">
        <f>IF($G459=0,"",IF(资金日记账!$D452=0,"",资金日记账!$D452))</f>
        <v/>
      </c>
      <c r="K459" t="str">
        <f t="shared" si="95"/>
        <v/>
      </c>
      <c r="L459" t="str">
        <f t="shared" si="96"/>
        <v/>
      </c>
      <c r="M459" t="str">
        <f t="shared" si="90"/>
        <v/>
      </c>
      <c r="N459" t="str">
        <f>IF($G459=0,"",IF(IF(N(资金日记账!$I452)=0,"",-ROUND(N(资金日记账!$I452),2))=0,"",IF(N(资金日记账!$I452)=0,"",-ROUND(N(资金日记账!$I452),2))))</f>
        <v/>
      </c>
      <c r="O459" t="str">
        <f>IF($G459=0,"",IF(IF(N(资金日记账!$H452)=0,"",ROUND(N(资金日记账!$H452),2))=0,"",IF(N(资金日记账!$H452)=0,"",ROUND(N(资金日记账!$H452),2))))</f>
        <v/>
      </c>
      <c r="P459" t="str">
        <f>IF($G459=0,"",IF(资金日记账!$L452=0,"",资金日记账!$L452))</f>
        <v/>
      </c>
      <c r="T459" t="str">
        <f>IF(资金日记账!$G459="","",资金日记账!$G459)</f>
        <v/>
      </c>
      <c r="U459">
        <f t="shared" si="91"/>
        <v>0</v>
      </c>
      <c r="V459">
        <f t="shared" si="92"/>
        <v>0</v>
      </c>
      <c r="AF459" t="str">
        <f>IF(OR(资金日记账!$E459="",N(资金日记账!$H459)=0),"",资金日记账!$E459)</f>
        <v/>
      </c>
      <c r="AG459">
        <f t="shared" si="93"/>
        <v>0</v>
      </c>
      <c r="AH459">
        <f t="shared" si="94"/>
        <v>0</v>
      </c>
    </row>
    <row r="460" spans="1:34">
      <c r="A460" t="str">
        <f>IF(资金日记账!$F158="","",资金日记账!$F158)</f>
        <v/>
      </c>
      <c r="B460">
        <f t="shared" si="87"/>
        <v>0</v>
      </c>
      <c r="C460">
        <f t="shared" si="88"/>
        <v>0</v>
      </c>
      <c r="G460">
        <f>IF(OR($G$1="",资金日记账!$E453="",资金日记账!$E453&lt;&gt;$G$1),0,IF(NOT(OR(N(资金日记账!$H453)&lt;&gt;0,N(资金日记账!$I453)&lt;&gt;0)),0,IF(资金日记账!$B453="",1,IF(OR(N(资金日记账!$B453)&lt;$H$1,N(资金日记账!$B453)&gt;$I$1),0,1))))</f>
        <v>0</v>
      </c>
      <c r="H460">
        <f t="shared" si="89"/>
        <v>0</v>
      </c>
      <c r="I460" t="str">
        <f>IF($G460=0,"",IF(资金日记账!$B453=0,"",资金日记账!$B453))</f>
        <v/>
      </c>
      <c r="J460" t="str">
        <f>IF($G460=0,"",IF(资金日记账!$D453=0,"",资金日记账!$D453))</f>
        <v/>
      </c>
      <c r="K460" t="str">
        <f t="shared" si="95"/>
        <v/>
      </c>
      <c r="L460" t="str">
        <f t="shared" si="96"/>
        <v/>
      </c>
      <c r="M460" t="str">
        <f t="shared" si="90"/>
        <v/>
      </c>
      <c r="N460" t="str">
        <f>IF($G460=0,"",IF(IF(N(资金日记账!$I453)=0,"",-ROUND(N(资金日记账!$I453),2))=0,"",IF(N(资金日记账!$I453)=0,"",-ROUND(N(资金日记账!$I453),2))))</f>
        <v/>
      </c>
      <c r="O460" t="str">
        <f>IF($G460=0,"",IF(IF(N(资金日记账!$H453)=0,"",ROUND(N(资金日记账!$H453),2))=0,"",IF(N(资金日记账!$H453)=0,"",ROUND(N(资金日记账!$H453),2))))</f>
        <v/>
      </c>
      <c r="P460" t="str">
        <f>IF($G460=0,"",IF(资金日记账!$L453=0,"",资金日记账!$L453))</f>
        <v/>
      </c>
      <c r="T460" t="str">
        <f>IF(资金日记账!$G460="","",资金日记账!$G460)</f>
        <v/>
      </c>
      <c r="U460">
        <f t="shared" si="91"/>
        <v>0</v>
      </c>
      <c r="V460">
        <f t="shared" si="92"/>
        <v>0</v>
      </c>
      <c r="AF460" t="str">
        <f>IF(OR(资金日记账!$E460="",N(资金日记账!$H460)=0),"",资金日记账!$E460)</f>
        <v/>
      </c>
      <c r="AG460">
        <f t="shared" si="93"/>
        <v>0</v>
      </c>
      <c r="AH460">
        <f t="shared" si="94"/>
        <v>0</v>
      </c>
    </row>
    <row r="461" spans="1:34">
      <c r="A461" t="str">
        <f>IF(资金日记账!$F159="","",资金日记账!$F159)</f>
        <v/>
      </c>
      <c r="B461">
        <f t="shared" si="87"/>
        <v>0</v>
      </c>
      <c r="C461">
        <f t="shared" si="88"/>
        <v>0</v>
      </c>
      <c r="G461">
        <f>IF(OR($G$1="",资金日记账!$E454="",资金日记账!$E454&lt;&gt;$G$1),0,IF(NOT(OR(N(资金日记账!$H454)&lt;&gt;0,N(资金日记账!$I454)&lt;&gt;0)),0,IF(资金日记账!$B454="",1,IF(OR(N(资金日记账!$B454)&lt;$H$1,N(资金日记账!$B454)&gt;$I$1),0,1))))</f>
        <v>0</v>
      </c>
      <c r="H461">
        <f t="shared" si="89"/>
        <v>0</v>
      </c>
      <c r="I461" t="str">
        <f>IF($G461=0,"",IF(资金日记账!$B454=0,"",资金日记账!$B454))</f>
        <v/>
      </c>
      <c r="J461" t="str">
        <f>IF($G461=0,"",IF(资金日记账!$D454=0,"",资金日记账!$D454))</f>
        <v/>
      </c>
      <c r="K461" t="str">
        <f t="shared" si="95"/>
        <v/>
      </c>
      <c r="L461" t="str">
        <f t="shared" si="96"/>
        <v/>
      </c>
      <c r="M461" t="str">
        <f t="shared" si="90"/>
        <v/>
      </c>
      <c r="N461" t="str">
        <f>IF($G461=0,"",IF(IF(N(资金日记账!$I454)=0,"",-ROUND(N(资金日记账!$I454),2))=0,"",IF(N(资金日记账!$I454)=0,"",-ROUND(N(资金日记账!$I454),2))))</f>
        <v/>
      </c>
      <c r="O461" t="str">
        <f>IF($G461=0,"",IF(IF(N(资金日记账!$H454)=0,"",ROUND(N(资金日记账!$H454),2))=0,"",IF(N(资金日记账!$H454)=0,"",ROUND(N(资金日记账!$H454),2))))</f>
        <v/>
      </c>
      <c r="P461" t="str">
        <f>IF($G461=0,"",IF(资金日记账!$L454=0,"",资金日记账!$L454))</f>
        <v/>
      </c>
      <c r="T461" t="str">
        <f>IF(资金日记账!$G461="","",资金日记账!$G461)</f>
        <v/>
      </c>
      <c r="U461">
        <f t="shared" si="91"/>
        <v>0</v>
      </c>
      <c r="V461">
        <f t="shared" si="92"/>
        <v>0</v>
      </c>
      <c r="AF461" t="str">
        <f>IF(OR(资金日记账!$E461="",N(资金日记账!$H461)=0),"",资金日记账!$E461)</f>
        <v/>
      </c>
      <c r="AG461">
        <f t="shared" si="93"/>
        <v>0</v>
      </c>
      <c r="AH461">
        <f t="shared" si="94"/>
        <v>0</v>
      </c>
    </row>
    <row r="462" spans="1:34">
      <c r="A462" t="str">
        <f>IF(资金日记账!$F160="","",资金日记账!$F160)</f>
        <v/>
      </c>
      <c r="B462">
        <f t="shared" si="87"/>
        <v>0</v>
      </c>
      <c r="C462">
        <f t="shared" si="88"/>
        <v>0</v>
      </c>
      <c r="G462">
        <f>IF(OR($G$1="",资金日记账!$E455="",资金日记账!$E455&lt;&gt;$G$1),0,IF(NOT(OR(N(资金日记账!$H455)&lt;&gt;0,N(资金日记账!$I455)&lt;&gt;0)),0,IF(资金日记账!$B455="",1,IF(OR(N(资金日记账!$B455)&lt;$H$1,N(资金日记账!$B455)&gt;$I$1),0,1))))</f>
        <v>0</v>
      </c>
      <c r="H462">
        <f t="shared" si="89"/>
        <v>0</v>
      </c>
      <c r="I462" t="str">
        <f>IF($G462=0,"",IF(资金日记账!$B455=0,"",资金日记账!$B455))</f>
        <v/>
      </c>
      <c r="J462" t="str">
        <f>IF($G462=0,"",IF(资金日记账!$D455=0,"",资金日记账!$D455))</f>
        <v/>
      </c>
      <c r="K462" t="str">
        <f t="shared" si="95"/>
        <v/>
      </c>
      <c r="L462" t="str">
        <f t="shared" si="96"/>
        <v/>
      </c>
      <c r="M462" t="str">
        <f t="shared" si="90"/>
        <v/>
      </c>
      <c r="N462" t="str">
        <f>IF($G462=0,"",IF(IF(N(资金日记账!$I455)=0,"",-ROUND(N(资金日记账!$I455),2))=0,"",IF(N(资金日记账!$I455)=0,"",-ROUND(N(资金日记账!$I455),2))))</f>
        <v/>
      </c>
      <c r="O462" t="str">
        <f>IF($G462=0,"",IF(IF(N(资金日记账!$H455)=0,"",ROUND(N(资金日记账!$H455),2))=0,"",IF(N(资金日记账!$H455)=0,"",ROUND(N(资金日记账!$H455),2))))</f>
        <v/>
      </c>
      <c r="P462" t="str">
        <f>IF($G462=0,"",IF(资金日记账!$L455=0,"",资金日记账!$L455))</f>
        <v/>
      </c>
      <c r="T462" t="str">
        <f>IF(资金日记账!$G462="","",资金日记账!$G462)</f>
        <v/>
      </c>
      <c r="U462">
        <f t="shared" si="91"/>
        <v>0</v>
      </c>
      <c r="V462">
        <f t="shared" si="92"/>
        <v>0</v>
      </c>
      <c r="AF462" t="str">
        <f>IF(OR(资金日记账!$E462="",N(资金日记账!$H462)=0),"",资金日记账!$E462)</f>
        <v/>
      </c>
      <c r="AG462">
        <f t="shared" si="93"/>
        <v>0</v>
      </c>
      <c r="AH462">
        <f t="shared" si="94"/>
        <v>0</v>
      </c>
    </row>
    <row r="463" spans="1:34">
      <c r="A463" t="str">
        <f>IF(资金日记账!$F161="","",资金日记账!$F161)</f>
        <v/>
      </c>
      <c r="B463">
        <f t="shared" si="87"/>
        <v>0</v>
      </c>
      <c r="C463">
        <f t="shared" si="88"/>
        <v>0</v>
      </c>
      <c r="G463">
        <f>IF(OR($G$1="",资金日记账!$E456="",资金日记账!$E456&lt;&gt;$G$1),0,IF(NOT(OR(N(资金日记账!$H456)&lt;&gt;0,N(资金日记账!$I456)&lt;&gt;0)),0,IF(资金日记账!$B456="",1,IF(OR(N(资金日记账!$B456)&lt;$H$1,N(资金日记账!$B456)&gt;$I$1),0,1))))</f>
        <v>0</v>
      </c>
      <c r="H463">
        <f t="shared" si="89"/>
        <v>0</v>
      </c>
      <c r="I463" t="str">
        <f>IF($G463=0,"",IF(资金日记账!$B456=0,"",资金日记账!$B456))</f>
        <v/>
      </c>
      <c r="J463" t="str">
        <f>IF($G463=0,"",IF(资金日记账!$D456=0,"",资金日记账!$D456))</f>
        <v/>
      </c>
      <c r="K463" t="str">
        <f t="shared" si="95"/>
        <v/>
      </c>
      <c r="L463" t="str">
        <f t="shared" si="96"/>
        <v/>
      </c>
      <c r="M463" t="str">
        <f t="shared" si="90"/>
        <v/>
      </c>
      <c r="N463" t="str">
        <f>IF($G463=0,"",IF(IF(N(资金日记账!$I456)=0,"",-ROUND(N(资金日记账!$I456),2))=0,"",IF(N(资金日记账!$I456)=0,"",-ROUND(N(资金日记账!$I456),2))))</f>
        <v/>
      </c>
      <c r="O463" t="str">
        <f>IF($G463=0,"",IF(IF(N(资金日记账!$H456)=0,"",ROUND(N(资金日记账!$H456),2))=0,"",IF(N(资金日记账!$H456)=0,"",ROUND(N(资金日记账!$H456),2))))</f>
        <v/>
      </c>
      <c r="P463" t="str">
        <f>IF($G463=0,"",IF(资金日记账!$L456=0,"",资金日记账!$L456))</f>
        <v/>
      </c>
      <c r="T463" t="str">
        <f>IF(资金日记账!$G463="","",资金日记账!$G463)</f>
        <v/>
      </c>
      <c r="U463">
        <f t="shared" si="91"/>
        <v>0</v>
      </c>
      <c r="V463">
        <f t="shared" si="92"/>
        <v>0</v>
      </c>
      <c r="AF463" t="str">
        <f>IF(OR(资金日记账!$E463="",N(资金日记账!$H463)=0),"",资金日记账!$E463)</f>
        <v/>
      </c>
      <c r="AG463">
        <f t="shared" si="93"/>
        <v>0</v>
      </c>
      <c r="AH463">
        <f t="shared" si="94"/>
        <v>0</v>
      </c>
    </row>
    <row r="464" spans="1:34">
      <c r="A464" t="str">
        <f>IF(资金日记账!$F162="","",资金日记账!$F162)</f>
        <v/>
      </c>
      <c r="B464">
        <f t="shared" si="87"/>
        <v>0</v>
      </c>
      <c r="C464">
        <f t="shared" si="88"/>
        <v>0</v>
      </c>
      <c r="G464">
        <f>IF(OR($G$1="",资金日记账!$E457="",资金日记账!$E457&lt;&gt;$G$1),0,IF(NOT(OR(N(资金日记账!$H457)&lt;&gt;0,N(资金日记账!$I457)&lt;&gt;0)),0,IF(资金日记账!$B457="",1,IF(OR(N(资金日记账!$B457)&lt;$H$1,N(资金日记账!$B457)&gt;$I$1),0,1))))</f>
        <v>0</v>
      </c>
      <c r="H464">
        <f t="shared" si="89"/>
        <v>0</v>
      </c>
      <c r="I464" t="str">
        <f>IF($G464=0,"",IF(资金日记账!$B457=0,"",资金日记账!$B457))</f>
        <v/>
      </c>
      <c r="J464" t="str">
        <f>IF($G464=0,"",IF(资金日记账!$D457=0,"",资金日记账!$D457))</f>
        <v/>
      </c>
      <c r="K464" t="str">
        <f t="shared" si="95"/>
        <v/>
      </c>
      <c r="L464" t="str">
        <f t="shared" si="96"/>
        <v/>
      </c>
      <c r="M464" t="str">
        <f t="shared" si="90"/>
        <v/>
      </c>
      <c r="N464" t="str">
        <f>IF($G464=0,"",IF(IF(N(资金日记账!$I457)=0,"",-ROUND(N(资金日记账!$I457),2))=0,"",IF(N(资金日记账!$I457)=0,"",-ROUND(N(资金日记账!$I457),2))))</f>
        <v/>
      </c>
      <c r="O464" t="str">
        <f>IF($G464=0,"",IF(IF(N(资金日记账!$H457)=0,"",ROUND(N(资金日记账!$H457),2))=0,"",IF(N(资金日记账!$H457)=0,"",ROUND(N(资金日记账!$H457),2))))</f>
        <v/>
      </c>
      <c r="P464" t="str">
        <f>IF($G464=0,"",IF(资金日记账!$L457=0,"",资金日记账!$L457))</f>
        <v/>
      </c>
      <c r="T464" t="str">
        <f>IF(资金日记账!$G464="","",资金日记账!$G464)</f>
        <v/>
      </c>
      <c r="U464">
        <f t="shared" si="91"/>
        <v>0</v>
      </c>
      <c r="V464">
        <f t="shared" si="92"/>
        <v>0</v>
      </c>
      <c r="AF464" t="str">
        <f>IF(OR(资金日记账!$E464="",N(资金日记账!$H464)=0),"",资金日记账!$E464)</f>
        <v/>
      </c>
      <c r="AG464">
        <f t="shared" si="93"/>
        <v>0</v>
      </c>
      <c r="AH464">
        <f t="shared" si="94"/>
        <v>0</v>
      </c>
    </row>
    <row r="465" spans="1:34">
      <c r="A465" t="str">
        <f>IF(资金日记账!$F163="","",资金日记账!$F163)</f>
        <v/>
      </c>
      <c r="B465">
        <f t="shared" si="87"/>
        <v>0</v>
      </c>
      <c r="C465">
        <f t="shared" si="88"/>
        <v>0</v>
      </c>
      <c r="G465">
        <f>IF(OR($G$1="",资金日记账!$E458="",资金日记账!$E458&lt;&gt;$G$1),0,IF(NOT(OR(N(资金日记账!$H458)&lt;&gt;0,N(资金日记账!$I458)&lt;&gt;0)),0,IF(资金日记账!$B458="",1,IF(OR(N(资金日记账!$B458)&lt;$H$1,N(资金日记账!$B458)&gt;$I$1),0,1))))</f>
        <v>0</v>
      </c>
      <c r="H465">
        <f t="shared" si="89"/>
        <v>0</v>
      </c>
      <c r="I465" t="str">
        <f>IF($G465=0,"",IF(资金日记账!$B458=0,"",资金日记账!$B458))</f>
        <v/>
      </c>
      <c r="J465" t="str">
        <f>IF($G465=0,"",IF(资金日记账!$D458=0,"",资金日记账!$D458))</f>
        <v/>
      </c>
      <c r="K465" t="str">
        <f t="shared" si="95"/>
        <v/>
      </c>
      <c r="L465" t="str">
        <f t="shared" si="96"/>
        <v/>
      </c>
      <c r="M465" t="str">
        <f t="shared" si="90"/>
        <v/>
      </c>
      <c r="N465" t="str">
        <f>IF($G465=0,"",IF(IF(N(资金日记账!$I458)=0,"",-ROUND(N(资金日记账!$I458),2))=0,"",IF(N(资金日记账!$I458)=0,"",-ROUND(N(资金日记账!$I458),2))))</f>
        <v/>
      </c>
      <c r="O465" t="str">
        <f>IF($G465=0,"",IF(IF(N(资金日记账!$H458)=0,"",ROUND(N(资金日记账!$H458),2))=0,"",IF(N(资金日记账!$H458)=0,"",ROUND(N(资金日记账!$H458),2))))</f>
        <v/>
      </c>
      <c r="P465" t="str">
        <f>IF($G465=0,"",IF(资金日记账!$L458=0,"",资金日记账!$L458))</f>
        <v/>
      </c>
      <c r="T465" t="str">
        <f>IF(资金日记账!$G465="","",资金日记账!$G465)</f>
        <v/>
      </c>
      <c r="U465">
        <f t="shared" si="91"/>
        <v>0</v>
      </c>
      <c r="V465">
        <f t="shared" si="92"/>
        <v>0</v>
      </c>
      <c r="AF465" t="str">
        <f>IF(OR(资金日记账!$E465="",N(资金日记账!$H465)=0),"",资金日记账!$E465)</f>
        <v/>
      </c>
      <c r="AG465">
        <f t="shared" si="93"/>
        <v>0</v>
      </c>
      <c r="AH465">
        <f t="shared" si="94"/>
        <v>0</v>
      </c>
    </row>
    <row r="466" spans="1:34">
      <c r="A466" t="str">
        <f>IF(资金日记账!$F164="","",资金日记账!$F164)</f>
        <v/>
      </c>
      <c r="B466">
        <f t="shared" si="87"/>
        <v>0</v>
      </c>
      <c r="C466">
        <f t="shared" si="88"/>
        <v>0</v>
      </c>
      <c r="G466">
        <f>IF(OR($G$1="",资金日记账!$E459="",资金日记账!$E459&lt;&gt;$G$1),0,IF(NOT(OR(N(资金日记账!$H459)&lt;&gt;0,N(资金日记账!$I459)&lt;&gt;0)),0,IF(资金日记账!$B459="",1,IF(OR(N(资金日记账!$B459)&lt;$H$1,N(资金日记账!$B459)&gt;$I$1),0,1))))</f>
        <v>0</v>
      </c>
      <c r="H466">
        <f t="shared" si="89"/>
        <v>0</v>
      </c>
      <c r="I466" t="str">
        <f>IF($G466=0,"",IF(资金日记账!$B459=0,"",资金日记账!$B459))</f>
        <v/>
      </c>
      <c r="J466" t="str">
        <f>IF($G466=0,"",IF(资金日记账!$D459=0,"",资金日记账!$D459))</f>
        <v/>
      </c>
      <c r="K466" t="str">
        <f t="shared" si="95"/>
        <v/>
      </c>
      <c r="L466" t="str">
        <f t="shared" si="96"/>
        <v/>
      </c>
      <c r="M466" t="str">
        <f t="shared" si="90"/>
        <v/>
      </c>
      <c r="N466" t="str">
        <f>IF($G466=0,"",IF(IF(N(资金日记账!$I459)=0,"",-ROUND(N(资金日记账!$I459),2))=0,"",IF(N(资金日记账!$I459)=0,"",-ROUND(N(资金日记账!$I459),2))))</f>
        <v/>
      </c>
      <c r="O466" t="str">
        <f>IF($G466=0,"",IF(IF(N(资金日记账!$H459)=0,"",ROUND(N(资金日记账!$H459),2))=0,"",IF(N(资金日记账!$H459)=0,"",ROUND(N(资金日记账!$H459),2))))</f>
        <v/>
      </c>
      <c r="P466" t="str">
        <f>IF($G466=0,"",IF(资金日记账!$L459=0,"",资金日记账!$L459))</f>
        <v/>
      </c>
      <c r="T466" t="str">
        <f>IF(资金日记账!$G466="","",资金日记账!$G466)</f>
        <v/>
      </c>
      <c r="U466">
        <f t="shared" si="91"/>
        <v>0</v>
      </c>
      <c r="V466">
        <f t="shared" si="92"/>
        <v>0</v>
      </c>
      <c r="AF466" t="str">
        <f>IF(OR(资金日记账!$E466="",N(资金日记账!$H466)=0),"",资金日记账!$E466)</f>
        <v/>
      </c>
      <c r="AG466">
        <f t="shared" si="93"/>
        <v>0</v>
      </c>
      <c r="AH466">
        <f t="shared" si="94"/>
        <v>0</v>
      </c>
    </row>
    <row r="467" spans="1:34">
      <c r="A467" t="str">
        <f>IF(资金日记账!$F165="","",资金日记账!$F165)</f>
        <v/>
      </c>
      <c r="B467">
        <f t="shared" si="87"/>
        <v>0</v>
      </c>
      <c r="C467">
        <f t="shared" si="88"/>
        <v>0</v>
      </c>
      <c r="G467">
        <f>IF(OR($G$1="",资金日记账!$E460="",资金日记账!$E460&lt;&gt;$G$1),0,IF(NOT(OR(N(资金日记账!$H460)&lt;&gt;0,N(资金日记账!$I460)&lt;&gt;0)),0,IF(资金日记账!$B460="",1,IF(OR(N(资金日记账!$B460)&lt;$H$1,N(资金日记账!$B460)&gt;$I$1),0,1))))</f>
        <v>0</v>
      </c>
      <c r="H467">
        <f t="shared" si="89"/>
        <v>0</v>
      </c>
      <c r="I467" t="str">
        <f>IF($G467=0,"",IF(资金日记账!$B460=0,"",资金日记账!$B460))</f>
        <v/>
      </c>
      <c r="J467" t="str">
        <f>IF($G467=0,"",IF(资金日记账!$D460=0,"",资金日记账!$D460))</f>
        <v/>
      </c>
      <c r="K467" t="str">
        <f t="shared" si="95"/>
        <v/>
      </c>
      <c r="L467" t="str">
        <f t="shared" si="96"/>
        <v/>
      </c>
      <c r="M467" t="str">
        <f t="shared" si="90"/>
        <v/>
      </c>
      <c r="N467" t="str">
        <f>IF($G467=0,"",IF(IF(N(资金日记账!$I460)=0,"",-ROUND(N(资金日记账!$I460),2))=0,"",IF(N(资金日记账!$I460)=0,"",-ROUND(N(资金日记账!$I460),2))))</f>
        <v/>
      </c>
      <c r="O467" t="str">
        <f>IF($G467=0,"",IF(IF(N(资金日记账!$H460)=0,"",ROUND(N(资金日记账!$H460),2))=0,"",IF(N(资金日记账!$H460)=0,"",ROUND(N(资金日记账!$H460),2))))</f>
        <v/>
      </c>
      <c r="P467" t="str">
        <f>IF($G467=0,"",IF(资金日记账!$L460=0,"",资金日记账!$L460))</f>
        <v/>
      </c>
      <c r="T467" t="str">
        <f>IF(资金日记账!$G467="","",资金日记账!$G467)</f>
        <v/>
      </c>
      <c r="U467">
        <f t="shared" si="91"/>
        <v>0</v>
      </c>
      <c r="V467">
        <f t="shared" si="92"/>
        <v>0</v>
      </c>
      <c r="AF467" t="str">
        <f>IF(OR(资金日记账!$E467="",N(资金日记账!$H467)=0),"",资金日记账!$E467)</f>
        <v/>
      </c>
      <c r="AG467">
        <f t="shared" si="93"/>
        <v>0</v>
      </c>
      <c r="AH467">
        <f t="shared" si="94"/>
        <v>0</v>
      </c>
    </row>
    <row r="468" spans="1:34">
      <c r="A468" t="str">
        <f>IF(资金日记账!$F166="","",资金日记账!$F166)</f>
        <v/>
      </c>
      <c r="B468">
        <f t="shared" si="87"/>
        <v>0</v>
      </c>
      <c r="C468">
        <f t="shared" si="88"/>
        <v>0</v>
      </c>
      <c r="G468">
        <f>IF(OR($G$1="",资金日记账!$E461="",资金日记账!$E461&lt;&gt;$G$1),0,IF(NOT(OR(N(资金日记账!$H461)&lt;&gt;0,N(资金日记账!$I461)&lt;&gt;0)),0,IF(资金日记账!$B461="",1,IF(OR(N(资金日记账!$B461)&lt;$H$1,N(资金日记账!$B461)&gt;$I$1),0,1))))</f>
        <v>0</v>
      </c>
      <c r="H468">
        <f t="shared" si="89"/>
        <v>0</v>
      </c>
      <c r="I468" t="str">
        <f>IF($G468=0,"",IF(资金日记账!$B461=0,"",资金日记账!$B461))</f>
        <v/>
      </c>
      <c r="J468" t="str">
        <f>IF($G468=0,"",IF(资金日记账!$D461=0,"",资金日记账!$D461))</f>
        <v/>
      </c>
      <c r="K468" t="str">
        <f t="shared" si="95"/>
        <v/>
      </c>
      <c r="L468" t="str">
        <f t="shared" si="96"/>
        <v/>
      </c>
      <c r="M468" t="str">
        <f t="shared" si="90"/>
        <v/>
      </c>
      <c r="N468" t="str">
        <f>IF($G468=0,"",IF(IF(N(资金日记账!$I461)=0,"",-ROUND(N(资金日记账!$I461),2))=0,"",IF(N(资金日记账!$I461)=0,"",-ROUND(N(资金日记账!$I461),2))))</f>
        <v/>
      </c>
      <c r="O468" t="str">
        <f>IF($G468=0,"",IF(IF(N(资金日记账!$H461)=0,"",ROUND(N(资金日记账!$H461),2))=0,"",IF(N(资金日记账!$H461)=0,"",ROUND(N(资金日记账!$H461),2))))</f>
        <v/>
      </c>
      <c r="P468" t="str">
        <f>IF($G468=0,"",IF(资金日记账!$L461=0,"",资金日记账!$L461))</f>
        <v/>
      </c>
      <c r="T468" t="str">
        <f>IF(资金日记账!$G468="","",资金日记账!$G468)</f>
        <v/>
      </c>
      <c r="U468">
        <f t="shared" si="91"/>
        <v>0</v>
      </c>
      <c r="V468">
        <f t="shared" si="92"/>
        <v>0</v>
      </c>
      <c r="AF468" t="str">
        <f>IF(OR(资金日记账!$E468="",N(资金日记账!$H468)=0),"",资金日记账!$E468)</f>
        <v/>
      </c>
      <c r="AG468">
        <f t="shared" si="93"/>
        <v>0</v>
      </c>
      <c r="AH468">
        <f t="shared" si="94"/>
        <v>0</v>
      </c>
    </row>
    <row r="469" spans="1:34">
      <c r="A469" t="str">
        <f>IF(资金日记账!$F167="","",资金日记账!$F167)</f>
        <v/>
      </c>
      <c r="B469">
        <f t="shared" si="87"/>
        <v>0</v>
      </c>
      <c r="C469">
        <f t="shared" si="88"/>
        <v>0</v>
      </c>
      <c r="G469">
        <f>IF(OR($G$1="",资金日记账!$E462="",资金日记账!$E462&lt;&gt;$G$1),0,IF(NOT(OR(N(资金日记账!$H462)&lt;&gt;0,N(资金日记账!$I462)&lt;&gt;0)),0,IF(资金日记账!$B462="",1,IF(OR(N(资金日记账!$B462)&lt;$H$1,N(资金日记账!$B462)&gt;$I$1),0,1))))</f>
        <v>0</v>
      </c>
      <c r="H469">
        <f t="shared" si="89"/>
        <v>0</v>
      </c>
      <c r="I469" t="str">
        <f>IF($G469=0,"",IF(资金日记账!$B462=0,"",资金日记账!$B462))</f>
        <v/>
      </c>
      <c r="J469" t="str">
        <f>IF($G469=0,"",IF(资金日记账!$D462=0,"",资金日记账!$D462))</f>
        <v/>
      </c>
      <c r="K469" t="str">
        <f t="shared" si="95"/>
        <v/>
      </c>
      <c r="L469" t="str">
        <f t="shared" si="96"/>
        <v/>
      </c>
      <c r="M469" t="str">
        <f t="shared" si="90"/>
        <v/>
      </c>
      <c r="N469" t="str">
        <f>IF($G469=0,"",IF(IF(N(资金日记账!$I462)=0,"",-ROUND(N(资金日记账!$I462),2))=0,"",IF(N(资金日记账!$I462)=0,"",-ROUND(N(资金日记账!$I462),2))))</f>
        <v/>
      </c>
      <c r="O469" t="str">
        <f>IF($G469=0,"",IF(IF(N(资金日记账!$H462)=0,"",ROUND(N(资金日记账!$H462),2))=0,"",IF(N(资金日记账!$H462)=0,"",ROUND(N(资金日记账!$H462),2))))</f>
        <v/>
      </c>
      <c r="P469" t="str">
        <f>IF($G469=0,"",IF(资金日记账!$L462=0,"",资金日记账!$L462))</f>
        <v/>
      </c>
      <c r="T469" t="str">
        <f>IF(资金日记账!$G469="","",资金日记账!$G469)</f>
        <v/>
      </c>
      <c r="U469">
        <f t="shared" si="91"/>
        <v>0</v>
      </c>
      <c r="V469">
        <f t="shared" si="92"/>
        <v>0</v>
      </c>
      <c r="AF469" t="str">
        <f>IF(OR(资金日记账!$E469="",N(资金日记账!$H469)=0),"",资金日记账!$E469)</f>
        <v/>
      </c>
      <c r="AG469">
        <f t="shared" si="93"/>
        <v>0</v>
      </c>
      <c r="AH469">
        <f t="shared" si="94"/>
        <v>0</v>
      </c>
    </row>
    <row r="470" spans="1:34">
      <c r="A470" t="str">
        <f>IF(资金日记账!$F168="","",资金日记账!$F168)</f>
        <v/>
      </c>
      <c r="B470">
        <f t="shared" si="87"/>
        <v>0</v>
      </c>
      <c r="C470">
        <f t="shared" si="88"/>
        <v>0</v>
      </c>
      <c r="G470">
        <f>IF(OR($G$1="",资金日记账!$E463="",资金日记账!$E463&lt;&gt;$G$1),0,IF(NOT(OR(N(资金日记账!$H463)&lt;&gt;0,N(资金日记账!$I463)&lt;&gt;0)),0,IF(资金日记账!$B463="",1,IF(OR(N(资金日记账!$B463)&lt;$H$1,N(资金日记账!$B463)&gt;$I$1),0,1))))</f>
        <v>0</v>
      </c>
      <c r="H470">
        <f t="shared" si="89"/>
        <v>0</v>
      </c>
      <c r="I470" t="str">
        <f>IF($G470=0,"",IF(资金日记账!$B463=0,"",资金日记账!$B463))</f>
        <v/>
      </c>
      <c r="J470" t="str">
        <f>IF($G470=0,"",IF(资金日记账!$D463=0,"",资金日记账!$D463))</f>
        <v/>
      </c>
      <c r="K470" t="str">
        <f t="shared" si="95"/>
        <v/>
      </c>
      <c r="L470" t="str">
        <f t="shared" si="96"/>
        <v/>
      </c>
      <c r="M470" t="str">
        <f t="shared" si="90"/>
        <v/>
      </c>
      <c r="N470" t="str">
        <f>IF($G470=0,"",IF(IF(N(资金日记账!$I463)=0,"",-ROUND(N(资金日记账!$I463),2))=0,"",IF(N(资金日记账!$I463)=0,"",-ROUND(N(资金日记账!$I463),2))))</f>
        <v/>
      </c>
      <c r="O470" t="str">
        <f>IF($G470=0,"",IF(IF(N(资金日记账!$H463)=0,"",ROUND(N(资金日记账!$H463),2))=0,"",IF(N(资金日记账!$H463)=0,"",ROUND(N(资金日记账!$H463),2))))</f>
        <v/>
      </c>
      <c r="P470" t="str">
        <f>IF($G470=0,"",IF(资金日记账!$L463=0,"",资金日记账!$L463))</f>
        <v/>
      </c>
      <c r="T470" t="str">
        <f>IF(资金日记账!$G470="","",资金日记账!$G470)</f>
        <v/>
      </c>
      <c r="U470">
        <f t="shared" si="91"/>
        <v>0</v>
      </c>
      <c r="V470">
        <f t="shared" si="92"/>
        <v>0</v>
      </c>
      <c r="AF470" t="str">
        <f>IF(OR(资金日记账!$E470="",N(资金日记账!$H470)=0),"",资金日记账!$E470)</f>
        <v/>
      </c>
      <c r="AG470">
        <f t="shared" si="93"/>
        <v>0</v>
      </c>
      <c r="AH470">
        <f t="shared" si="94"/>
        <v>0</v>
      </c>
    </row>
    <row r="471" spans="1:34">
      <c r="A471" t="str">
        <f>IF(资金日记账!$F169="","",资金日记账!$F169)</f>
        <v/>
      </c>
      <c r="B471">
        <f t="shared" si="87"/>
        <v>0</v>
      </c>
      <c r="C471">
        <f t="shared" si="88"/>
        <v>0</v>
      </c>
      <c r="G471">
        <f>IF(OR($G$1="",资金日记账!$E464="",资金日记账!$E464&lt;&gt;$G$1),0,IF(NOT(OR(N(资金日记账!$H464)&lt;&gt;0,N(资金日记账!$I464)&lt;&gt;0)),0,IF(资金日记账!$B464="",1,IF(OR(N(资金日记账!$B464)&lt;$H$1,N(资金日记账!$B464)&gt;$I$1),0,1))))</f>
        <v>0</v>
      </c>
      <c r="H471">
        <f t="shared" si="89"/>
        <v>0</v>
      </c>
      <c r="I471" t="str">
        <f>IF($G471=0,"",IF(资金日记账!$B464=0,"",资金日记账!$B464))</f>
        <v/>
      </c>
      <c r="J471" t="str">
        <f>IF($G471=0,"",IF(资金日记账!$D464=0,"",资金日记账!$D464))</f>
        <v/>
      </c>
      <c r="K471" t="str">
        <f t="shared" si="95"/>
        <v/>
      </c>
      <c r="L471" t="str">
        <f t="shared" si="96"/>
        <v/>
      </c>
      <c r="M471" t="str">
        <f t="shared" si="90"/>
        <v/>
      </c>
      <c r="N471" t="str">
        <f>IF($G471=0,"",IF(IF(N(资金日记账!$I464)=0,"",-ROUND(N(资金日记账!$I464),2))=0,"",IF(N(资金日记账!$I464)=0,"",-ROUND(N(资金日记账!$I464),2))))</f>
        <v/>
      </c>
      <c r="O471" t="str">
        <f>IF($G471=0,"",IF(IF(N(资金日记账!$H464)=0,"",ROUND(N(资金日记账!$H464),2))=0,"",IF(N(资金日记账!$H464)=0,"",ROUND(N(资金日记账!$H464),2))))</f>
        <v/>
      </c>
      <c r="P471" t="str">
        <f>IF($G471=0,"",IF(资金日记账!$L464=0,"",资金日记账!$L464))</f>
        <v/>
      </c>
      <c r="T471" t="str">
        <f>IF(资金日记账!$G471="","",资金日记账!$G471)</f>
        <v/>
      </c>
      <c r="U471">
        <f t="shared" si="91"/>
        <v>0</v>
      </c>
      <c r="V471">
        <f t="shared" si="92"/>
        <v>0</v>
      </c>
      <c r="AF471" t="str">
        <f>IF(OR(资金日记账!$E471="",N(资金日记账!$H471)=0),"",资金日记账!$E471)</f>
        <v/>
      </c>
      <c r="AG471">
        <f t="shared" si="93"/>
        <v>0</v>
      </c>
      <c r="AH471">
        <f t="shared" si="94"/>
        <v>0</v>
      </c>
    </row>
    <row r="472" spans="1:34">
      <c r="A472" t="str">
        <f>IF(资金日记账!$F170="","",资金日记账!$F170)</f>
        <v/>
      </c>
      <c r="B472">
        <f t="shared" si="87"/>
        <v>0</v>
      </c>
      <c r="C472">
        <f t="shared" si="88"/>
        <v>0</v>
      </c>
      <c r="G472">
        <f>IF(OR($G$1="",资金日记账!$E465="",资金日记账!$E465&lt;&gt;$G$1),0,IF(NOT(OR(N(资金日记账!$H465)&lt;&gt;0,N(资金日记账!$I465)&lt;&gt;0)),0,IF(资金日记账!$B465="",1,IF(OR(N(资金日记账!$B465)&lt;$H$1,N(资金日记账!$B465)&gt;$I$1),0,1))))</f>
        <v>0</v>
      </c>
      <c r="H472">
        <f t="shared" si="89"/>
        <v>0</v>
      </c>
      <c r="I472" t="str">
        <f>IF($G472=0,"",IF(资金日记账!$B465=0,"",资金日记账!$B465))</f>
        <v/>
      </c>
      <c r="J472" t="str">
        <f>IF($G472=0,"",IF(资金日记账!$D465=0,"",资金日记账!$D465))</f>
        <v/>
      </c>
      <c r="K472" t="str">
        <f t="shared" si="95"/>
        <v/>
      </c>
      <c r="L472" t="str">
        <f t="shared" si="96"/>
        <v/>
      </c>
      <c r="M472" t="str">
        <f t="shared" si="90"/>
        <v/>
      </c>
      <c r="N472" t="str">
        <f>IF($G472=0,"",IF(IF(N(资金日记账!$I465)=0,"",-ROUND(N(资金日记账!$I465),2))=0,"",IF(N(资金日记账!$I465)=0,"",-ROUND(N(资金日记账!$I465),2))))</f>
        <v/>
      </c>
      <c r="O472" t="str">
        <f>IF($G472=0,"",IF(IF(N(资金日记账!$H465)=0,"",ROUND(N(资金日记账!$H465),2))=0,"",IF(N(资金日记账!$H465)=0,"",ROUND(N(资金日记账!$H465),2))))</f>
        <v/>
      </c>
      <c r="P472" t="str">
        <f>IF($G472=0,"",IF(资金日记账!$L465=0,"",资金日记账!$L465))</f>
        <v/>
      </c>
      <c r="T472" t="str">
        <f>IF(资金日记账!$G472="","",资金日记账!$G472)</f>
        <v/>
      </c>
      <c r="U472">
        <f t="shared" si="91"/>
        <v>0</v>
      </c>
      <c r="V472">
        <f t="shared" si="92"/>
        <v>0</v>
      </c>
      <c r="AF472" t="str">
        <f>IF(OR(资金日记账!$E472="",N(资金日记账!$H472)=0),"",资金日记账!$E472)</f>
        <v/>
      </c>
      <c r="AG472">
        <f t="shared" si="93"/>
        <v>0</v>
      </c>
      <c r="AH472">
        <f t="shared" si="94"/>
        <v>0</v>
      </c>
    </row>
    <row r="473" spans="1:34">
      <c r="A473" t="str">
        <f>IF(资金日记账!$F171="","",资金日记账!$F171)</f>
        <v/>
      </c>
      <c r="B473">
        <f t="shared" si="87"/>
        <v>0</v>
      </c>
      <c r="C473">
        <f t="shared" si="88"/>
        <v>0</v>
      </c>
      <c r="G473">
        <f>IF(OR($G$1="",资金日记账!$E466="",资金日记账!$E466&lt;&gt;$G$1),0,IF(NOT(OR(N(资金日记账!$H466)&lt;&gt;0,N(资金日记账!$I466)&lt;&gt;0)),0,IF(资金日记账!$B466="",1,IF(OR(N(资金日记账!$B466)&lt;$H$1,N(资金日记账!$B466)&gt;$I$1),0,1))))</f>
        <v>0</v>
      </c>
      <c r="H473">
        <f t="shared" si="89"/>
        <v>0</v>
      </c>
      <c r="I473" t="str">
        <f>IF($G473=0,"",IF(资金日记账!$B466=0,"",资金日记账!$B466))</f>
        <v/>
      </c>
      <c r="J473" t="str">
        <f>IF($G473=0,"",IF(资金日记账!$D466=0,"",资金日记账!$D466))</f>
        <v/>
      </c>
      <c r="K473" t="str">
        <f t="shared" si="95"/>
        <v/>
      </c>
      <c r="L473" t="str">
        <f t="shared" si="96"/>
        <v/>
      </c>
      <c r="M473" t="str">
        <f t="shared" si="90"/>
        <v/>
      </c>
      <c r="N473" t="str">
        <f>IF($G473=0,"",IF(IF(N(资金日记账!$I466)=0,"",-ROUND(N(资金日记账!$I466),2))=0,"",IF(N(资金日记账!$I466)=0,"",-ROUND(N(资金日记账!$I466),2))))</f>
        <v/>
      </c>
      <c r="O473" t="str">
        <f>IF($G473=0,"",IF(IF(N(资金日记账!$H466)=0,"",ROUND(N(资金日记账!$H466),2))=0,"",IF(N(资金日记账!$H466)=0,"",ROUND(N(资金日记账!$H466),2))))</f>
        <v/>
      </c>
      <c r="P473" t="str">
        <f>IF($G473=0,"",IF(资金日记账!$L466=0,"",资金日记账!$L466))</f>
        <v/>
      </c>
      <c r="T473" t="str">
        <f>IF(资金日记账!$G473="","",资金日记账!$G473)</f>
        <v/>
      </c>
      <c r="U473">
        <f t="shared" si="91"/>
        <v>0</v>
      </c>
      <c r="V473">
        <f t="shared" si="92"/>
        <v>0</v>
      </c>
      <c r="AF473" t="str">
        <f>IF(OR(资金日记账!$E473="",N(资金日记账!$H473)=0),"",资金日记账!$E473)</f>
        <v/>
      </c>
      <c r="AG473">
        <f t="shared" si="93"/>
        <v>0</v>
      </c>
      <c r="AH473">
        <f t="shared" si="94"/>
        <v>0</v>
      </c>
    </row>
    <row r="474" spans="1:34">
      <c r="A474" t="str">
        <f>IF(资金日记账!$F172="","",资金日记账!$F172)</f>
        <v/>
      </c>
      <c r="B474">
        <f t="shared" si="87"/>
        <v>0</v>
      </c>
      <c r="C474">
        <f t="shared" si="88"/>
        <v>0</v>
      </c>
      <c r="G474">
        <f>IF(OR($G$1="",资金日记账!$E467="",资金日记账!$E467&lt;&gt;$G$1),0,IF(NOT(OR(N(资金日记账!$H467)&lt;&gt;0,N(资金日记账!$I467)&lt;&gt;0)),0,IF(资金日记账!$B467="",1,IF(OR(N(资金日记账!$B467)&lt;$H$1,N(资金日记账!$B467)&gt;$I$1),0,1))))</f>
        <v>0</v>
      </c>
      <c r="H474">
        <f t="shared" si="89"/>
        <v>0</v>
      </c>
      <c r="I474" t="str">
        <f>IF($G474=0,"",IF(资金日记账!$B467=0,"",资金日记账!$B467))</f>
        <v/>
      </c>
      <c r="J474" t="str">
        <f>IF($G474=0,"",IF(资金日记账!$D467=0,"",资金日记账!$D467))</f>
        <v/>
      </c>
      <c r="K474" t="str">
        <f t="shared" si="95"/>
        <v/>
      </c>
      <c r="L474" t="str">
        <f t="shared" si="96"/>
        <v/>
      </c>
      <c r="M474" t="str">
        <f t="shared" si="90"/>
        <v/>
      </c>
      <c r="N474" t="str">
        <f>IF($G474=0,"",IF(IF(N(资金日记账!$I467)=0,"",-ROUND(N(资金日记账!$I467),2))=0,"",IF(N(资金日记账!$I467)=0,"",-ROUND(N(资金日记账!$I467),2))))</f>
        <v/>
      </c>
      <c r="O474" t="str">
        <f>IF($G474=0,"",IF(IF(N(资金日记账!$H467)=0,"",ROUND(N(资金日记账!$H467),2))=0,"",IF(N(资金日记账!$H467)=0,"",ROUND(N(资金日记账!$H467),2))))</f>
        <v/>
      </c>
      <c r="P474" t="str">
        <f>IF($G474=0,"",IF(资金日记账!$L467=0,"",资金日记账!$L467))</f>
        <v/>
      </c>
      <c r="T474" t="str">
        <f>IF(资金日记账!$G474="","",资金日记账!$G474)</f>
        <v/>
      </c>
      <c r="U474">
        <f t="shared" si="91"/>
        <v>0</v>
      </c>
      <c r="V474">
        <f t="shared" si="92"/>
        <v>0</v>
      </c>
      <c r="AF474" t="str">
        <f>IF(OR(资金日记账!$E474="",N(资金日记账!$H474)=0),"",资金日记账!$E474)</f>
        <v/>
      </c>
      <c r="AG474">
        <f t="shared" si="93"/>
        <v>0</v>
      </c>
      <c r="AH474">
        <f t="shared" si="94"/>
        <v>0</v>
      </c>
    </row>
    <row r="475" spans="1:34">
      <c r="A475" t="str">
        <f>IF(资金日记账!$F173="","",资金日记账!$F173)</f>
        <v/>
      </c>
      <c r="B475">
        <f t="shared" si="87"/>
        <v>0</v>
      </c>
      <c r="C475">
        <f t="shared" si="88"/>
        <v>0</v>
      </c>
      <c r="G475">
        <f>IF(OR($G$1="",资金日记账!$E468="",资金日记账!$E468&lt;&gt;$G$1),0,IF(NOT(OR(N(资金日记账!$H468)&lt;&gt;0,N(资金日记账!$I468)&lt;&gt;0)),0,IF(资金日记账!$B468="",1,IF(OR(N(资金日记账!$B468)&lt;$H$1,N(资金日记账!$B468)&gt;$I$1),0,1))))</f>
        <v>0</v>
      </c>
      <c r="H475">
        <f t="shared" si="89"/>
        <v>0</v>
      </c>
      <c r="I475" t="str">
        <f>IF($G475=0,"",IF(资金日记账!$B468=0,"",资金日记账!$B468))</f>
        <v/>
      </c>
      <c r="J475" t="str">
        <f>IF($G475=0,"",IF(资金日记账!$D468=0,"",资金日记账!$D468))</f>
        <v/>
      </c>
      <c r="K475" t="str">
        <f t="shared" si="95"/>
        <v/>
      </c>
      <c r="L475" t="str">
        <f t="shared" si="96"/>
        <v/>
      </c>
      <c r="M475" t="str">
        <f t="shared" si="90"/>
        <v/>
      </c>
      <c r="N475" t="str">
        <f>IF($G475=0,"",IF(IF(N(资金日记账!$I468)=0,"",-ROUND(N(资金日记账!$I468),2))=0,"",IF(N(资金日记账!$I468)=0,"",-ROUND(N(资金日记账!$I468),2))))</f>
        <v/>
      </c>
      <c r="O475" t="str">
        <f>IF($G475=0,"",IF(IF(N(资金日记账!$H468)=0,"",ROUND(N(资金日记账!$H468),2))=0,"",IF(N(资金日记账!$H468)=0,"",ROUND(N(资金日记账!$H468),2))))</f>
        <v/>
      </c>
      <c r="P475" t="str">
        <f>IF($G475=0,"",IF(资金日记账!$L468=0,"",资金日记账!$L468))</f>
        <v/>
      </c>
      <c r="T475" t="str">
        <f>IF(资金日记账!$G475="","",资金日记账!$G475)</f>
        <v/>
      </c>
      <c r="U475">
        <f t="shared" si="91"/>
        <v>0</v>
      </c>
      <c r="V475">
        <f t="shared" si="92"/>
        <v>0</v>
      </c>
      <c r="AF475" t="str">
        <f>IF(OR(资金日记账!$E475="",N(资金日记账!$H475)=0),"",资金日记账!$E475)</f>
        <v/>
      </c>
      <c r="AG475">
        <f t="shared" si="93"/>
        <v>0</v>
      </c>
      <c r="AH475">
        <f t="shared" si="94"/>
        <v>0</v>
      </c>
    </row>
    <row r="476" spans="1:34">
      <c r="A476" t="str">
        <f>IF(资金日记账!$F174="","",资金日记账!$F174)</f>
        <v/>
      </c>
      <c r="B476">
        <f t="shared" si="87"/>
        <v>0</v>
      </c>
      <c r="C476">
        <f t="shared" si="88"/>
        <v>0</v>
      </c>
      <c r="G476">
        <f>IF(OR($G$1="",资金日记账!$E469="",资金日记账!$E469&lt;&gt;$G$1),0,IF(NOT(OR(N(资金日记账!$H469)&lt;&gt;0,N(资金日记账!$I469)&lt;&gt;0)),0,IF(资金日记账!$B469="",1,IF(OR(N(资金日记账!$B469)&lt;$H$1,N(资金日记账!$B469)&gt;$I$1),0,1))))</f>
        <v>0</v>
      </c>
      <c r="H476">
        <f t="shared" si="89"/>
        <v>0</v>
      </c>
      <c r="I476" t="str">
        <f>IF($G476=0,"",IF(资金日记账!$B469=0,"",资金日记账!$B469))</f>
        <v/>
      </c>
      <c r="J476" t="str">
        <f>IF($G476=0,"",IF(资金日记账!$D469=0,"",资金日记账!$D469))</f>
        <v/>
      </c>
      <c r="K476" t="str">
        <f t="shared" si="95"/>
        <v/>
      </c>
      <c r="L476" t="str">
        <f t="shared" si="96"/>
        <v/>
      </c>
      <c r="M476" t="str">
        <f t="shared" si="90"/>
        <v/>
      </c>
      <c r="N476" t="str">
        <f>IF($G476=0,"",IF(IF(N(资金日记账!$I469)=0,"",-ROUND(N(资金日记账!$I469),2))=0,"",IF(N(资金日记账!$I469)=0,"",-ROUND(N(资金日记账!$I469),2))))</f>
        <v/>
      </c>
      <c r="O476" t="str">
        <f>IF($G476=0,"",IF(IF(N(资金日记账!$H469)=0,"",ROUND(N(资金日记账!$H469),2))=0,"",IF(N(资金日记账!$H469)=0,"",ROUND(N(资金日记账!$H469),2))))</f>
        <v/>
      </c>
      <c r="P476" t="str">
        <f>IF($G476=0,"",IF(资金日记账!$L469=0,"",资金日记账!$L469))</f>
        <v/>
      </c>
      <c r="T476" t="str">
        <f>IF(资金日记账!$G476="","",资金日记账!$G476)</f>
        <v/>
      </c>
      <c r="U476">
        <f t="shared" si="91"/>
        <v>0</v>
      </c>
      <c r="V476">
        <f t="shared" si="92"/>
        <v>0</v>
      </c>
      <c r="AF476" t="str">
        <f>IF(OR(资金日记账!$E476="",N(资金日记账!$H476)=0),"",资金日记账!$E476)</f>
        <v/>
      </c>
      <c r="AG476">
        <f t="shared" si="93"/>
        <v>0</v>
      </c>
      <c r="AH476">
        <f t="shared" si="94"/>
        <v>0</v>
      </c>
    </row>
    <row r="477" spans="1:34">
      <c r="A477" t="str">
        <f>IF(资金日记账!$F175="","",资金日记账!$F175)</f>
        <v/>
      </c>
      <c r="B477">
        <f t="shared" si="87"/>
        <v>0</v>
      </c>
      <c r="C477">
        <f t="shared" si="88"/>
        <v>0</v>
      </c>
      <c r="G477">
        <f>IF(OR($G$1="",资金日记账!$E470="",资金日记账!$E470&lt;&gt;$G$1),0,IF(NOT(OR(N(资金日记账!$H470)&lt;&gt;0,N(资金日记账!$I470)&lt;&gt;0)),0,IF(资金日记账!$B470="",1,IF(OR(N(资金日记账!$B470)&lt;$H$1,N(资金日记账!$B470)&gt;$I$1),0,1))))</f>
        <v>0</v>
      </c>
      <c r="H477">
        <f t="shared" si="89"/>
        <v>0</v>
      </c>
      <c r="I477" t="str">
        <f>IF($G477=0,"",IF(资金日记账!$B470=0,"",资金日记账!$B470))</f>
        <v/>
      </c>
      <c r="J477" t="str">
        <f>IF($G477=0,"",IF(资金日记账!$D470=0,"",资金日记账!$D470))</f>
        <v/>
      </c>
      <c r="K477" t="str">
        <f t="shared" si="95"/>
        <v/>
      </c>
      <c r="L477" t="str">
        <f t="shared" si="96"/>
        <v/>
      </c>
      <c r="M477" t="str">
        <f t="shared" si="90"/>
        <v/>
      </c>
      <c r="N477" t="str">
        <f>IF($G477=0,"",IF(IF(N(资金日记账!$I470)=0,"",-ROUND(N(资金日记账!$I470),2))=0,"",IF(N(资金日记账!$I470)=0,"",-ROUND(N(资金日记账!$I470),2))))</f>
        <v/>
      </c>
      <c r="O477" t="str">
        <f>IF($G477=0,"",IF(IF(N(资金日记账!$H470)=0,"",ROUND(N(资金日记账!$H470),2))=0,"",IF(N(资金日记账!$H470)=0,"",ROUND(N(资金日记账!$H470),2))))</f>
        <v/>
      </c>
      <c r="P477" t="str">
        <f>IF($G477=0,"",IF(资金日记账!$L470=0,"",资金日记账!$L470))</f>
        <v/>
      </c>
      <c r="T477" t="str">
        <f>IF(资金日记账!$G477="","",资金日记账!$G477)</f>
        <v/>
      </c>
      <c r="U477">
        <f t="shared" si="91"/>
        <v>0</v>
      </c>
      <c r="V477">
        <f t="shared" si="92"/>
        <v>0</v>
      </c>
      <c r="AF477" t="str">
        <f>IF(OR(资金日记账!$E477="",N(资金日记账!$H477)=0),"",资金日记账!$E477)</f>
        <v/>
      </c>
      <c r="AG477">
        <f t="shared" si="93"/>
        <v>0</v>
      </c>
      <c r="AH477">
        <f t="shared" si="94"/>
        <v>0</v>
      </c>
    </row>
    <row r="478" spans="1:34">
      <c r="A478" t="str">
        <f>IF(资金日记账!$F176="","",资金日记账!$F176)</f>
        <v/>
      </c>
      <c r="B478">
        <f t="shared" si="87"/>
        <v>0</v>
      </c>
      <c r="C478">
        <f t="shared" si="88"/>
        <v>0</v>
      </c>
      <c r="G478">
        <f>IF(OR($G$1="",资金日记账!$E471="",资金日记账!$E471&lt;&gt;$G$1),0,IF(NOT(OR(N(资金日记账!$H471)&lt;&gt;0,N(资金日记账!$I471)&lt;&gt;0)),0,IF(资金日记账!$B471="",1,IF(OR(N(资金日记账!$B471)&lt;$H$1,N(资金日记账!$B471)&gt;$I$1),0,1))))</f>
        <v>0</v>
      </c>
      <c r="H478">
        <f t="shared" si="89"/>
        <v>0</v>
      </c>
      <c r="I478" t="str">
        <f>IF($G478=0,"",IF(资金日记账!$B471=0,"",资金日记账!$B471))</f>
        <v/>
      </c>
      <c r="J478" t="str">
        <f>IF($G478=0,"",IF(资金日记账!$D471=0,"",资金日记账!$D471))</f>
        <v/>
      </c>
      <c r="K478" t="str">
        <f t="shared" si="95"/>
        <v/>
      </c>
      <c r="L478" t="str">
        <f t="shared" si="96"/>
        <v/>
      </c>
      <c r="M478" t="str">
        <f t="shared" si="90"/>
        <v/>
      </c>
      <c r="N478" t="str">
        <f>IF($G478=0,"",IF(IF(N(资金日记账!$I471)=0,"",-ROUND(N(资金日记账!$I471),2))=0,"",IF(N(资金日记账!$I471)=0,"",-ROUND(N(资金日记账!$I471),2))))</f>
        <v/>
      </c>
      <c r="O478" t="str">
        <f>IF($G478=0,"",IF(IF(N(资金日记账!$H471)=0,"",ROUND(N(资金日记账!$H471),2))=0,"",IF(N(资金日记账!$H471)=0,"",ROUND(N(资金日记账!$H471),2))))</f>
        <v/>
      </c>
      <c r="P478" t="str">
        <f>IF($G478=0,"",IF(资金日记账!$L471=0,"",资金日记账!$L471))</f>
        <v/>
      </c>
      <c r="T478" t="str">
        <f>IF(资金日记账!$G478="","",资金日记账!$G478)</f>
        <v/>
      </c>
      <c r="U478">
        <f t="shared" si="91"/>
        <v>0</v>
      </c>
      <c r="V478">
        <f t="shared" si="92"/>
        <v>0</v>
      </c>
      <c r="AF478" t="str">
        <f>IF(OR(资金日记账!$E478="",N(资金日记账!$H478)=0),"",资金日记账!$E478)</f>
        <v/>
      </c>
      <c r="AG478">
        <f t="shared" si="93"/>
        <v>0</v>
      </c>
      <c r="AH478">
        <f t="shared" si="94"/>
        <v>0</v>
      </c>
    </row>
    <row r="479" spans="1:34">
      <c r="A479" t="str">
        <f>IF(资金日记账!$F177="","",资金日记账!$F177)</f>
        <v/>
      </c>
      <c r="B479">
        <f t="shared" si="87"/>
        <v>0</v>
      </c>
      <c r="C479">
        <f t="shared" si="88"/>
        <v>0</v>
      </c>
      <c r="G479">
        <f>IF(OR($G$1="",资金日记账!$E472="",资金日记账!$E472&lt;&gt;$G$1),0,IF(NOT(OR(N(资金日记账!$H472)&lt;&gt;0,N(资金日记账!$I472)&lt;&gt;0)),0,IF(资金日记账!$B472="",1,IF(OR(N(资金日记账!$B472)&lt;$H$1,N(资金日记账!$B472)&gt;$I$1),0,1))))</f>
        <v>0</v>
      </c>
      <c r="H479">
        <f t="shared" si="89"/>
        <v>0</v>
      </c>
      <c r="I479" t="str">
        <f>IF($G479=0,"",IF(资金日记账!$B472=0,"",资金日记账!$B472))</f>
        <v/>
      </c>
      <c r="J479" t="str">
        <f>IF($G479=0,"",IF(资金日记账!$D472=0,"",资金日记账!$D472))</f>
        <v/>
      </c>
      <c r="K479" t="str">
        <f t="shared" si="95"/>
        <v/>
      </c>
      <c r="L479" t="str">
        <f t="shared" si="96"/>
        <v/>
      </c>
      <c r="M479" t="str">
        <f t="shared" si="90"/>
        <v/>
      </c>
      <c r="N479" t="str">
        <f>IF($G479=0,"",IF(IF(N(资金日记账!$I472)=0,"",-ROUND(N(资金日记账!$I472),2))=0,"",IF(N(资金日记账!$I472)=0,"",-ROUND(N(资金日记账!$I472),2))))</f>
        <v/>
      </c>
      <c r="O479" t="str">
        <f>IF($G479=0,"",IF(IF(N(资金日记账!$H472)=0,"",ROUND(N(资金日记账!$H472),2))=0,"",IF(N(资金日记账!$H472)=0,"",ROUND(N(资金日记账!$H472),2))))</f>
        <v/>
      </c>
      <c r="P479" t="str">
        <f>IF($G479=0,"",IF(资金日记账!$L472=0,"",资金日记账!$L472))</f>
        <v/>
      </c>
      <c r="T479" t="str">
        <f>IF(资金日记账!$G479="","",资金日记账!$G479)</f>
        <v/>
      </c>
      <c r="U479">
        <f t="shared" si="91"/>
        <v>0</v>
      </c>
      <c r="V479">
        <f t="shared" si="92"/>
        <v>0</v>
      </c>
      <c r="AF479" t="str">
        <f>IF(OR(资金日记账!$E479="",N(资金日记账!$H479)=0),"",资金日记账!$E479)</f>
        <v/>
      </c>
      <c r="AG479">
        <f t="shared" si="93"/>
        <v>0</v>
      </c>
      <c r="AH479">
        <f t="shared" si="94"/>
        <v>0</v>
      </c>
    </row>
    <row r="480" spans="1:34">
      <c r="A480" t="str">
        <f>IF(资金日记账!$F178="","",资金日记账!$F178)</f>
        <v/>
      </c>
      <c r="B480">
        <f t="shared" si="87"/>
        <v>0</v>
      </c>
      <c r="C480">
        <f t="shared" si="88"/>
        <v>0</v>
      </c>
      <c r="G480">
        <f>IF(OR($G$1="",资金日记账!$E473="",资金日记账!$E473&lt;&gt;$G$1),0,IF(NOT(OR(N(资金日记账!$H473)&lt;&gt;0,N(资金日记账!$I473)&lt;&gt;0)),0,IF(资金日记账!$B473="",1,IF(OR(N(资金日记账!$B473)&lt;$H$1,N(资金日记账!$B473)&gt;$I$1),0,1))))</f>
        <v>0</v>
      </c>
      <c r="H480">
        <f t="shared" si="89"/>
        <v>0</v>
      </c>
      <c r="I480" t="str">
        <f>IF($G480=0,"",IF(资金日记账!$B473=0,"",资金日记账!$B473))</f>
        <v/>
      </c>
      <c r="J480" t="str">
        <f>IF($G480=0,"",IF(资金日记账!$D473=0,"",资金日记账!$D473))</f>
        <v/>
      </c>
      <c r="K480" t="str">
        <f t="shared" si="95"/>
        <v/>
      </c>
      <c r="L480" t="str">
        <f t="shared" si="96"/>
        <v/>
      </c>
      <c r="M480" t="str">
        <f t="shared" si="90"/>
        <v/>
      </c>
      <c r="N480" t="str">
        <f>IF($G480=0,"",IF(IF(N(资金日记账!$I473)=0,"",-ROUND(N(资金日记账!$I473),2))=0,"",IF(N(资金日记账!$I473)=0,"",-ROUND(N(资金日记账!$I473),2))))</f>
        <v/>
      </c>
      <c r="O480" t="str">
        <f>IF($G480=0,"",IF(IF(N(资金日记账!$H473)=0,"",ROUND(N(资金日记账!$H473),2))=0,"",IF(N(资金日记账!$H473)=0,"",ROUND(N(资金日记账!$H473),2))))</f>
        <v/>
      </c>
      <c r="P480" t="str">
        <f>IF($G480=0,"",IF(资金日记账!$L473=0,"",资金日记账!$L473))</f>
        <v/>
      </c>
      <c r="T480" t="str">
        <f>IF(资金日记账!$G480="","",资金日记账!$G480)</f>
        <v/>
      </c>
      <c r="U480">
        <f t="shared" si="91"/>
        <v>0</v>
      </c>
      <c r="V480">
        <f t="shared" si="92"/>
        <v>0</v>
      </c>
      <c r="AF480" t="str">
        <f>IF(OR(资金日记账!$E480="",N(资金日记账!$H480)=0),"",资金日记账!$E480)</f>
        <v/>
      </c>
      <c r="AG480">
        <f t="shared" si="93"/>
        <v>0</v>
      </c>
      <c r="AH480">
        <f t="shared" si="94"/>
        <v>0</v>
      </c>
    </row>
    <row r="481" spans="1:34">
      <c r="A481" t="str">
        <f>IF(资金日记账!$F179="","",资金日记账!$F179)</f>
        <v/>
      </c>
      <c r="B481">
        <f t="shared" si="87"/>
        <v>0</v>
      </c>
      <c r="C481">
        <f t="shared" si="88"/>
        <v>0</v>
      </c>
      <c r="G481">
        <f>IF(OR($G$1="",资金日记账!$E474="",资金日记账!$E474&lt;&gt;$G$1),0,IF(NOT(OR(N(资金日记账!$H474)&lt;&gt;0,N(资金日记账!$I474)&lt;&gt;0)),0,IF(资金日记账!$B474="",1,IF(OR(N(资金日记账!$B474)&lt;$H$1,N(资金日记账!$B474)&gt;$I$1),0,1))))</f>
        <v>0</v>
      </c>
      <c r="H481">
        <f t="shared" si="89"/>
        <v>0</v>
      </c>
      <c r="I481" t="str">
        <f>IF($G481=0,"",IF(资金日记账!$B474=0,"",资金日记账!$B474))</f>
        <v/>
      </c>
      <c r="J481" t="str">
        <f>IF($G481=0,"",IF(资金日记账!$D474=0,"",资金日记账!$D474))</f>
        <v/>
      </c>
      <c r="K481" t="str">
        <f t="shared" si="95"/>
        <v/>
      </c>
      <c r="L481" t="str">
        <f t="shared" si="96"/>
        <v/>
      </c>
      <c r="M481" t="str">
        <f t="shared" si="90"/>
        <v/>
      </c>
      <c r="N481" t="str">
        <f>IF($G481=0,"",IF(IF(N(资金日记账!$I474)=0,"",-ROUND(N(资金日记账!$I474),2))=0,"",IF(N(资金日记账!$I474)=0,"",-ROUND(N(资金日记账!$I474),2))))</f>
        <v/>
      </c>
      <c r="O481" t="str">
        <f>IF($G481=0,"",IF(IF(N(资金日记账!$H474)=0,"",ROUND(N(资金日记账!$H474),2))=0,"",IF(N(资金日记账!$H474)=0,"",ROUND(N(资金日记账!$H474),2))))</f>
        <v/>
      </c>
      <c r="P481" t="str">
        <f>IF($G481=0,"",IF(资金日记账!$L474=0,"",资金日记账!$L474))</f>
        <v/>
      </c>
      <c r="T481" t="str">
        <f>IF(资金日记账!$G481="","",资金日记账!$G481)</f>
        <v/>
      </c>
      <c r="U481">
        <f t="shared" si="91"/>
        <v>0</v>
      </c>
      <c r="V481">
        <f t="shared" si="92"/>
        <v>0</v>
      </c>
      <c r="AF481" t="str">
        <f>IF(OR(资金日记账!$E481="",N(资金日记账!$H481)=0),"",资金日记账!$E481)</f>
        <v/>
      </c>
      <c r="AG481">
        <f t="shared" si="93"/>
        <v>0</v>
      </c>
      <c r="AH481">
        <f t="shared" si="94"/>
        <v>0</v>
      </c>
    </row>
    <row r="482" spans="1:34">
      <c r="A482" t="str">
        <f>IF(资金日记账!$F180="","",资金日记账!$F180)</f>
        <v/>
      </c>
      <c r="B482">
        <f t="shared" si="87"/>
        <v>0</v>
      </c>
      <c r="C482">
        <f t="shared" si="88"/>
        <v>0</v>
      </c>
      <c r="G482">
        <f>IF(OR($G$1="",资金日记账!$E475="",资金日记账!$E475&lt;&gt;$G$1),0,IF(NOT(OR(N(资金日记账!$H475)&lt;&gt;0,N(资金日记账!$I475)&lt;&gt;0)),0,IF(资金日记账!$B475="",1,IF(OR(N(资金日记账!$B475)&lt;$H$1,N(资金日记账!$B475)&gt;$I$1),0,1))))</f>
        <v>0</v>
      </c>
      <c r="H482">
        <f t="shared" si="89"/>
        <v>0</v>
      </c>
      <c r="I482" t="str">
        <f>IF($G482=0,"",IF(资金日记账!$B475=0,"",资金日记账!$B475))</f>
        <v/>
      </c>
      <c r="J482" t="str">
        <f>IF($G482=0,"",IF(资金日记账!$D475=0,"",资金日记账!$D475))</f>
        <v/>
      </c>
      <c r="K482" t="str">
        <f t="shared" si="95"/>
        <v/>
      </c>
      <c r="L482" t="str">
        <f t="shared" si="96"/>
        <v/>
      </c>
      <c r="M482" t="str">
        <f t="shared" si="90"/>
        <v/>
      </c>
      <c r="N482" t="str">
        <f>IF($G482=0,"",IF(IF(N(资金日记账!$I475)=0,"",-ROUND(N(资金日记账!$I475),2))=0,"",IF(N(资金日记账!$I475)=0,"",-ROUND(N(资金日记账!$I475),2))))</f>
        <v/>
      </c>
      <c r="O482" t="str">
        <f>IF($G482=0,"",IF(IF(N(资金日记账!$H475)=0,"",ROUND(N(资金日记账!$H475),2))=0,"",IF(N(资金日记账!$H475)=0,"",ROUND(N(资金日记账!$H475),2))))</f>
        <v/>
      </c>
      <c r="P482" t="str">
        <f>IF($G482=0,"",IF(资金日记账!$L475=0,"",资金日记账!$L475))</f>
        <v/>
      </c>
      <c r="T482" t="str">
        <f>IF(资金日记账!$G482="","",资金日记账!$G482)</f>
        <v/>
      </c>
      <c r="U482">
        <f t="shared" si="91"/>
        <v>0</v>
      </c>
      <c r="V482">
        <f t="shared" si="92"/>
        <v>0</v>
      </c>
      <c r="AF482" t="str">
        <f>IF(OR(资金日记账!$E482="",N(资金日记账!$H482)=0),"",资金日记账!$E482)</f>
        <v/>
      </c>
      <c r="AG482">
        <f t="shared" si="93"/>
        <v>0</v>
      </c>
      <c r="AH482">
        <f t="shared" si="94"/>
        <v>0</v>
      </c>
    </row>
    <row r="483" spans="1:34">
      <c r="A483" t="str">
        <f>IF(资金日记账!$F181="","",资金日记账!$F181)</f>
        <v/>
      </c>
      <c r="B483">
        <f t="shared" si="87"/>
        <v>0</v>
      </c>
      <c r="C483">
        <f t="shared" si="88"/>
        <v>0</v>
      </c>
      <c r="G483">
        <f>IF(OR($G$1="",资金日记账!$E476="",资金日记账!$E476&lt;&gt;$G$1),0,IF(NOT(OR(N(资金日记账!$H476)&lt;&gt;0,N(资金日记账!$I476)&lt;&gt;0)),0,IF(资金日记账!$B476="",1,IF(OR(N(资金日记账!$B476)&lt;$H$1,N(资金日记账!$B476)&gt;$I$1),0,1))))</f>
        <v>0</v>
      </c>
      <c r="H483">
        <f t="shared" si="89"/>
        <v>0</v>
      </c>
      <c r="I483" t="str">
        <f>IF($G483=0,"",IF(资金日记账!$B476=0,"",资金日记账!$B476))</f>
        <v/>
      </c>
      <c r="J483" t="str">
        <f>IF($G483=0,"",IF(资金日记账!$D476=0,"",资金日记账!$D476))</f>
        <v/>
      </c>
      <c r="K483" t="str">
        <f t="shared" si="95"/>
        <v/>
      </c>
      <c r="L483" t="str">
        <f t="shared" si="96"/>
        <v/>
      </c>
      <c r="M483" t="str">
        <f t="shared" si="90"/>
        <v/>
      </c>
      <c r="N483" t="str">
        <f>IF($G483=0,"",IF(IF(N(资金日记账!$I476)=0,"",-ROUND(N(资金日记账!$I476),2))=0,"",IF(N(资金日记账!$I476)=0,"",-ROUND(N(资金日记账!$I476),2))))</f>
        <v/>
      </c>
      <c r="O483" t="str">
        <f>IF($G483=0,"",IF(IF(N(资金日记账!$H476)=0,"",ROUND(N(资金日记账!$H476),2))=0,"",IF(N(资金日记账!$H476)=0,"",ROUND(N(资金日记账!$H476),2))))</f>
        <v/>
      </c>
      <c r="P483" t="str">
        <f>IF($G483=0,"",IF(资金日记账!$L476=0,"",资金日记账!$L476))</f>
        <v/>
      </c>
      <c r="T483" t="str">
        <f>IF(资金日记账!$G483="","",资金日记账!$G483)</f>
        <v/>
      </c>
      <c r="U483">
        <f t="shared" si="91"/>
        <v>0</v>
      </c>
      <c r="V483">
        <f t="shared" si="92"/>
        <v>0</v>
      </c>
      <c r="AF483" t="str">
        <f>IF(OR(资金日记账!$E483="",N(资金日记账!$H483)=0),"",资金日记账!$E483)</f>
        <v/>
      </c>
      <c r="AG483">
        <f t="shared" si="93"/>
        <v>0</v>
      </c>
      <c r="AH483">
        <f t="shared" si="94"/>
        <v>0</v>
      </c>
    </row>
    <row r="484" spans="1:34">
      <c r="A484" t="str">
        <f>IF(资金日记账!$F182="","",资金日记账!$F182)</f>
        <v/>
      </c>
      <c r="B484">
        <f t="shared" si="87"/>
        <v>0</v>
      </c>
      <c r="C484">
        <f t="shared" si="88"/>
        <v>0</v>
      </c>
      <c r="G484">
        <f>IF(OR($G$1="",资金日记账!$E477="",资金日记账!$E477&lt;&gt;$G$1),0,IF(NOT(OR(N(资金日记账!$H477)&lt;&gt;0,N(资金日记账!$I477)&lt;&gt;0)),0,IF(资金日记账!$B477="",1,IF(OR(N(资金日记账!$B477)&lt;$H$1,N(资金日记账!$B477)&gt;$I$1),0,1))))</f>
        <v>0</v>
      </c>
      <c r="H484">
        <f t="shared" si="89"/>
        <v>0</v>
      </c>
      <c r="I484" t="str">
        <f>IF($G484=0,"",IF(资金日记账!$B477=0,"",资金日记账!$B477))</f>
        <v/>
      </c>
      <c r="J484" t="str">
        <f>IF($G484=0,"",IF(资金日记账!$D477=0,"",资金日记账!$D477))</f>
        <v/>
      </c>
      <c r="K484" t="str">
        <f t="shared" si="95"/>
        <v/>
      </c>
      <c r="L484" t="str">
        <f t="shared" si="96"/>
        <v/>
      </c>
      <c r="M484" t="str">
        <f t="shared" si="90"/>
        <v/>
      </c>
      <c r="N484" t="str">
        <f>IF($G484=0,"",IF(IF(N(资金日记账!$I477)=0,"",-ROUND(N(资金日记账!$I477),2))=0,"",IF(N(资金日记账!$I477)=0,"",-ROUND(N(资金日记账!$I477),2))))</f>
        <v/>
      </c>
      <c r="O484" t="str">
        <f>IF($G484=0,"",IF(IF(N(资金日记账!$H477)=0,"",ROUND(N(资金日记账!$H477),2))=0,"",IF(N(资金日记账!$H477)=0,"",ROUND(N(资金日记账!$H477),2))))</f>
        <v/>
      </c>
      <c r="P484" t="str">
        <f>IF($G484=0,"",IF(资金日记账!$L477=0,"",资金日记账!$L477))</f>
        <v/>
      </c>
      <c r="T484" t="str">
        <f>IF(资金日记账!$G484="","",资金日记账!$G484)</f>
        <v/>
      </c>
      <c r="U484">
        <f t="shared" si="91"/>
        <v>0</v>
      </c>
      <c r="V484">
        <f t="shared" si="92"/>
        <v>0</v>
      </c>
      <c r="AF484" t="str">
        <f>IF(OR(资金日记账!$E484="",N(资金日记账!$H484)=0),"",资金日记账!$E484)</f>
        <v/>
      </c>
      <c r="AG484">
        <f t="shared" si="93"/>
        <v>0</v>
      </c>
      <c r="AH484">
        <f t="shared" si="94"/>
        <v>0</v>
      </c>
    </row>
    <row r="485" spans="1:34">
      <c r="A485" t="str">
        <f>IF(资金日记账!$F183="","",资金日记账!$F183)</f>
        <v/>
      </c>
      <c r="B485">
        <f t="shared" si="87"/>
        <v>0</v>
      </c>
      <c r="C485">
        <f t="shared" si="88"/>
        <v>0</v>
      </c>
      <c r="G485">
        <f>IF(OR($G$1="",资金日记账!$E478="",资金日记账!$E478&lt;&gt;$G$1),0,IF(NOT(OR(N(资金日记账!$H478)&lt;&gt;0,N(资金日记账!$I478)&lt;&gt;0)),0,IF(资金日记账!$B478="",1,IF(OR(N(资金日记账!$B478)&lt;$H$1,N(资金日记账!$B478)&gt;$I$1),0,1))))</f>
        <v>0</v>
      </c>
      <c r="H485">
        <f t="shared" si="89"/>
        <v>0</v>
      </c>
      <c r="I485" t="str">
        <f>IF($G485=0,"",IF(资金日记账!$B478=0,"",资金日记账!$B478))</f>
        <v/>
      </c>
      <c r="J485" t="str">
        <f>IF($G485=0,"",IF(资金日记账!$D478=0,"",资金日记账!$D478))</f>
        <v/>
      </c>
      <c r="K485" t="str">
        <f t="shared" si="95"/>
        <v/>
      </c>
      <c r="L485" t="str">
        <f t="shared" si="96"/>
        <v/>
      </c>
      <c r="M485" t="str">
        <f t="shared" si="90"/>
        <v/>
      </c>
      <c r="N485" t="str">
        <f>IF($G485=0,"",IF(IF(N(资金日记账!$I478)=0,"",-ROUND(N(资金日记账!$I478),2))=0,"",IF(N(资金日记账!$I478)=0,"",-ROUND(N(资金日记账!$I478),2))))</f>
        <v/>
      </c>
      <c r="O485" t="str">
        <f>IF($G485=0,"",IF(IF(N(资金日记账!$H478)=0,"",ROUND(N(资金日记账!$H478),2))=0,"",IF(N(资金日记账!$H478)=0,"",ROUND(N(资金日记账!$H478),2))))</f>
        <v/>
      </c>
      <c r="P485" t="str">
        <f>IF($G485=0,"",IF(资金日记账!$L478=0,"",资金日记账!$L478))</f>
        <v/>
      </c>
      <c r="T485" t="str">
        <f>IF(资金日记账!$G485="","",资金日记账!$G485)</f>
        <v/>
      </c>
      <c r="U485">
        <f t="shared" si="91"/>
        <v>0</v>
      </c>
      <c r="V485">
        <f t="shared" si="92"/>
        <v>0</v>
      </c>
      <c r="AF485" t="str">
        <f>IF(OR(资金日记账!$E485="",N(资金日记账!$H485)=0),"",资金日记账!$E485)</f>
        <v/>
      </c>
      <c r="AG485">
        <f t="shared" si="93"/>
        <v>0</v>
      </c>
      <c r="AH485">
        <f t="shared" si="94"/>
        <v>0</v>
      </c>
    </row>
    <row r="486" spans="1:34">
      <c r="A486" t="str">
        <f>IF(资金日记账!$F184="","",资金日记账!$F184)</f>
        <v/>
      </c>
      <c r="B486">
        <f t="shared" si="87"/>
        <v>0</v>
      </c>
      <c r="C486">
        <f t="shared" si="88"/>
        <v>0</v>
      </c>
      <c r="G486">
        <f>IF(OR($G$1="",资金日记账!$E479="",资金日记账!$E479&lt;&gt;$G$1),0,IF(NOT(OR(N(资金日记账!$H479)&lt;&gt;0,N(资金日记账!$I479)&lt;&gt;0)),0,IF(资金日记账!$B479="",1,IF(OR(N(资金日记账!$B479)&lt;$H$1,N(资金日记账!$B479)&gt;$I$1),0,1))))</f>
        <v>0</v>
      </c>
      <c r="H486">
        <f t="shared" si="89"/>
        <v>0</v>
      </c>
      <c r="I486" t="str">
        <f>IF($G486=0,"",IF(资金日记账!$B479=0,"",资金日记账!$B479))</f>
        <v/>
      </c>
      <c r="J486" t="str">
        <f>IF($G486=0,"",IF(资金日记账!$D479=0,"",资金日记账!$D479))</f>
        <v/>
      </c>
      <c r="K486" t="str">
        <f t="shared" si="95"/>
        <v/>
      </c>
      <c r="L486" t="str">
        <f t="shared" si="96"/>
        <v/>
      </c>
      <c r="M486" t="str">
        <f t="shared" si="90"/>
        <v/>
      </c>
      <c r="N486" t="str">
        <f>IF($G486=0,"",IF(IF(N(资金日记账!$I479)=0,"",-ROUND(N(资金日记账!$I479),2))=0,"",IF(N(资金日记账!$I479)=0,"",-ROUND(N(资金日记账!$I479),2))))</f>
        <v/>
      </c>
      <c r="O486" t="str">
        <f>IF($G486=0,"",IF(IF(N(资金日记账!$H479)=0,"",ROUND(N(资金日记账!$H479),2))=0,"",IF(N(资金日记账!$H479)=0,"",ROUND(N(资金日记账!$H479),2))))</f>
        <v/>
      </c>
      <c r="P486" t="str">
        <f>IF($G486=0,"",IF(资金日记账!$L479=0,"",资金日记账!$L479))</f>
        <v/>
      </c>
      <c r="T486" t="str">
        <f>IF(资金日记账!$G486="","",资金日记账!$G486)</f>
        <v/>
      </c>
      <c r="U486">
        <f t="shared" si="91"/>
        <v>0</v>
      </c>
      <c r="V486">
        <f t="shared" si="92"/>
        <v>0</v>
      </c>
      <c r="AF486" t="str">
        <f>IF(OR(资金日记账!$E486="",N(资金日记账!$H486)=0),"",资金日记账!$E486)</f>
        <v/>
      </c>
      <c r="AG486">
        <f t="shared" si="93"/>
        <v>0</v>
      </c>
      <c r="AH486">
        <f t="shared" si="94"/>
        <v>0</v>
      </c>
    </row>
    <row r="487" spans="1:34">
      <c r="A487" t="str">
        <f>IF(资金日记账!$F185="","",资金日记账!$F185)</f>
        <v/>
      </c>
      <c r="B487">
        <f t="shared" si="87"/>
        <v>0</v>
      </c>
      <c r="C487">
        <f t="shared" si="88"/>
        <v>0</v>
      </c>
      <c r="G487">
        <f>IF(OR($G$1="",资金日记账!$E480="",资金日记账!$E480&lt;&gt;$G$1),0,IF(NOT(OR(N(资金日记账!$H480)&lt;&gt;0,N(资金日记账!$I480)&lt;&gt;0)),0,IF(资金日记账!$B480="",1,IF(OR(N(资金日记账!$B480)&lt;$H$1,N(资金日记账!$B480)&gt;$I$1),0,1))))</f>
        <v>0</v>
      </c>
      <c r="H487">
        <f t="shared" si="89"/>
        <v>0</v>
      </c>
      <c r="I487" t="str">
        <f>IF($G487=0,"",IF(资金日记账!$B480=0,"",资金日记账!$B480))</f>
        <v/>
      </c>
      <c r="J487" t="str">
        <f>IF($G487=0,"",IF(资金日记账!$D480=0,"",资金日记账!$D480))</f>
        <v/>
      </c>
      <c r="K487" t="str">
        <f t="shared" si="95"/>
        <v/>
      </c>
      <c r="L487" t="str">
        <f t="shared" si="96"/>
        <v/>
      </c>
      <c r="M487" t="str">
        <f t="shared" si="90"/>
        <v/>
      </c>
      <c r="N487" t="str">
        <f>IF($G487=0,"",IF(IF(N(资金日记账!$I480)=0,"",-ROUND(N(资金日记账!$I480),2))=0,"",IF(N(资金日记账!$I480)=0,"",-ROUND(N(资金日记账!$I480),2))))</f>
        <v/>
      </c>
      <c r="O487" t="str">
        <f>IF($G487=0,"",IF(IF(N(资金日记账!$H480)=0,"",ROUND(N(资金日记账!$H480),2))=0,"",IF(N(资金日记账!$H480)=0,"",ROUND(N(资金日记账!$H480),2))))</f>
        <v/>
      </c>
      <c r="P487" t="str">
        <f>IF($G487=0,"",IF(资金日记账!$L480=0,"",资金日记账!$L480))</f>
        <v/>
      </c>
      <c r="T487" t="str">
        <f>IF(资金日记账!$G487="","",资金日记账!$G487)</f>
        <v/>
      </c>
      <c r="U487">
        <f t="shared" si="91"/>
        <v>0</v>
      </c>
      <c r="V487">
        <f t="shared" si="92"/>
        <v>0</v>
      </c>
      <c r="AF487" t="str">
        <f>IF(OR(资金日记账!$E487="",N(资金日记账!$H487)=0),"",资金日记账!$E487)</f>
        <v/>
      </c>
      <c r="AG487">
        <f t="shared" si="93"/>
        <v>0</v>
      </c>
      <c r="AH487">
        <f t="shared" si="94"/>
        <v>0</v>
      </c>
    </row>
    <row r="488" spans="1:34">
      <c r="A488" t="str">
        <f>IF(资金日记账!$F186="","",资金日记账!$F186)</f>
        <v/>
      </c>
      <c r="B488">
        <f t="shared" si="87"/>
        <v>0</v>
      </c>
      <c r="C488">
        <f t="shared" si="88"/>
        <v>0</v>
      </c>
      <c r="G488">
        <f>IF(OR($G$1="",资金日记账!$E481="",资金日记账!$E481&lt;&gt;$G$1),0,IF(NOT(OR(N(资金日记账!$H481)&lt;&gt;0,N(资金日记账!$I481)&lt;&gt;0)),0,IF(资金日记账!$B481="",1,IF(OR(N(资金日记账!$B481)&lt;$H$1,N(资金日记账!$B481)&gt;$I$1),0,1))))</f>
        <v>0</v>
      </c>
      <c r="H488">
        <f t="shared" si="89"/>
        <v>0</v>
      </c>
      <c r="I488" t="str">
        <f>IF($G488=0,"",IF(资金日记账!$B481=0,"",资金日记账!$B481))</f>
        <v/>
      </c>
      <c r="J488" t="str">
        <f>IF($G488=0,"",IF(资金日记账!$D481=0,"",资金日记账!$D481))</f>
        <v/>
      </c>
      <c r="K488" t="str">
        <f t="shared" si="95"/>
        <v/>
      </c>
      <c r="L488" t="str">
        <f t="shared" si="96"/>
        <v/>
      </c>
      <c r="M488" t="str">
        <f t="shared" si="90"/>
        <v/>
      </c>
      <c r="N488" t="str">
        <f>IF($G488=0,"",IF(IF(N(资金日记账!$I481)=0,"",-ROUND(N(资金日记账!$I481),2))=0,"",IF(N(资金日记账!$I481)=0,"",-ROUND(N(资金日记账!$I481),2))))</f>
        <v/>
      </c>
      <c r="O488" t="str">
        <f>IF($G488=0,"",IF(IF(N(资金日记账!$H481)=0,"",ROUND(N(资金日记账!$H481),2))=0,"",IF(N(资金日记账!$H481)=0,"",ROUND(N(资金日记账!$H481),2))))</f>
        <v/>
      </c>
      <c r="P488" t="str">
        <f>IF($G488=0,"",IF(资金日记账!$L481=0,"",资金日记账!$L481))</f>
        <v/>
      </c>
      <c r="T488" t="str">
        <f>IF(资金日记账!$G488="","",资金日记账!$G488)</f>
        <v/>
      </c>
      <c r="U488">
        <f t="shared" si="91"/>
        <v>0</v>
      </c>
      <c r="V488">
        <f t="shared" si="92"/>
        <v>0</v>
      </c>
      <c r="AF488" t="str">
        <f>IF(OR(资金日记账!$E488="",N(资金日记账!$H488)=0),"",资金日记账!$E488)</f>
        <v/>
      </c>
      <c r="AG488">
        <f t="shared" si="93"/>
        <v>0</v>
      </c>
      <c r="AH488">
        <f t="shared" si="94"/>
        <v>0</v>
      </c>
    </row>
    <row r="489" spans="1:34">
      <c r="A489" t="str">
        <f>IF(资金日记账!$F187="","",资金日记账!$F187)</f>
        <v/>
      </c>
      <c r="B489">
        <f t="shared" si="87"/>
        <v>0</v>
      </c>
      <c r="C489">
        <f t="shared" si="88"/>
        <v>0</v>
      </c>
      <c r="G489">
        <f>IF(OR($G$1="",资金日记账!$E482="",资金日记账!$E482&lt;&gt;$G$1),0,IF(NOT(OR(N(资金日记账!$H482)&lt;&gt;0,N(资金日记账!$I482)&lt;&gt;0)),0,IF(资金日记账!$B482="",1,IF(OR(N(资金日记账!$B482)&lt;$H$1,N(资金日记账!$B482)&gt;$I$1),0,1))))</f>
        <v>0</v>
      </c>
      <c r="H489">
        <f t="shared" si="89"/>
        <v>0</v>
      </c>
      <c r="I489" t="str">
        <f>IF($G489=0,"",IF(资金日记账!$B482=0,"",资金日记账!$B482))</f>
        <v/>
      </c>
      <c r="J489" t="str">
        <f>IF($G489=0,"",IF(资金日记账!$D482=0,"",资金日记账!$D482))</f>
        <v/>
      </c>
      <c r="K489" t="str">
        <f t="shared" si="95"/>
        <v/>
      </c>
      <c r="L489" t="str">
        <f t="shared" si="96"/>
        <v/>
      </c>
      <c r="M489" t="str">
        <f t="shared" si="90"/>
        <v/>
      </c>
      <c r="N489" t="str">
        <f>IF($G489=0,"",IF(IF(N(资金日记账!$I482)=0,"",-ROUND(N(资金日记账!$I482),2))=0,"",IF(N(资金日记账!$I482)=0,"",-ROUND(N(资金日记账!$I482),2))))</f>
        <v/>
      </c>
      <c r="O489" t="str">
        <f>IF($G489=0,"",IF(IF(N(资金日记账!$H482)=0,"",ROUND(N(资金日记账!$H482),2))=0,"",IF(N(资金日记账!$H482)=0,"",ROUND(N(资金日记账!$H482),2))))</f>
        <v/>
      </c>
      <c r="P489" t="str">
        <f>IF($G489=0,"",IF(资金日记账!$L482=0,"",资金日记账!$L482))</f>
        <v/>
      </c>
      <c r="T489" t="str">
        <f>IF(资金日记账!$G489="","",资金日记账!$G489)</f>
        <v/>
      </c>
      <c r="U489">
        <f t="shared" si="91"/>
        <v>0</v>
      </c>
      <c r="V489">
        <f t="shared" si="92"/>
        <v>0</v>
      </c>
      <c r="AF489" t="str">
        <f>IF(OR(资金日记账!$E489="",N(资金日记账!$H489)=0),"",资金日记账!$E489)</f>
        <v/>
      </c>
      <c r="AG489">
        <f t="shared" si="93"/>
        <v>0</v>
      </c>
      <c r="AH489">
        <f t="shared" si="94"/>
        <v>0</v>
      </c>
    </row>
    <row r="490" spans="1:34">
      <c r="A490" t="str">
        <f>IF(资金日记账!$F188="","",资金日记账!$F188)</f>
        <v/>
      </c>
      <c r="B490">
        <f t="shared" si="87"/>
        <v>0</v>
      </c>
      <c r="C490">
        <f t="shared" si="88"/>
        <v>0</v>
      </c>
      <c r="G490">
        <f>IF(OR($G$1="",资金日记账!$E483="",资金日记账!$E483&lt;&gt;$G$1),0,IF(NOT(OR(N(资金日记账!$H483)&lt;&gt;0,N(资金日记账!$I483)&lt;&gt;0)),0,IF(资金日记账!$B483="",1,IF(OR(N(资金日记账!$B483)&lt;$H$1,N(资金日记账!$B483)&gt;$I$1),0,1))))</f>
        <v>0</v>
      </c>
      <c r="H490">
        <f t="shared" si="89"/>
        <v>0</v>
      </c>
      <c r="I490" t="str">
        <f>IF($G490=0,"",IF(资金日记账!$B483=0,"",资金日记账!$B483))</f>
        <v/>
      </c>
      <c r="J490" t="str">
        <f>IF($G490=0,"",IF(资金日记账!$D483=0,"",资金日记账!$D483))</f>
        <v/>
      </c>
      <c r="K490" t="str">
        <f t="shared" si="95"/>
        <v/>
      </c>
      <c r="L490" t="str">
        <f t="shared" si="96"/>
        <v/>
      </c>
      <c r="M490" t="str">
        <f t="shared" si="90"/>
        <v/>
      </c>
      <c r="N490" t="str">
        <f>IF($G490=0,"",IF(IF(N(资金日记账!$I483)=0,"",-ROUND(N(资金日记账!$I483),2))=0,"",IF(N(资金日记账!$I483)=0,"",-ROUND(N(资金日记账!$I483),2))))</f>
        <v/>
      </c>
      <c r="O490" t="str">
        <f>IF($G490=0,"",IF(IF(N(资金日记账!$H483)=0,"",ROUND(N(资金日记账!$H483),2))=0,"",IF(N(资金日记账!$H483)=0,"",ROUND(N(资金日记账!$H483),2))))</f>
        <v/>
      </c>
      <c r="P490" t="str">
        <f>IF($G490=0,"",IF(资金日记账!$L483=0,"",资金日记账!$L483))</f>
        <v/>
      </c>
      <c r="T490" t="str">
        <f>IF(资金日记账!$G490="","",资金日记账!$G490)</f>
        <v/>
      </c>
      <c r="U490">
        <f t="shared" si="91"/>
        <v>0</v>
      </c>
      <c r="V490">
        <f t="shared" si="92"/>
        <v>0</v>
      </c>
      <c r="AF490" t="str">
        <f>IF(OR(资金日记账!$E490="",N(资金日记账!$H490)=0),"",资金日记账!$E490)</f>
        <v/>
      </c>
      <c r="AG490">
        <f t="shared" si="93"/>
        <v>0</v>
      </c>
      <c r="AH490">
        <f t="shared" si="94"/>
        <v>0</v>
      </c>
    </row>
    <row r="491" spans="1:34">
      <c r="A491" t="str">
        <f>IF(资金日记账!$F189="","",资金日记账!$F189)</f>
        <v/>
      </c>
      <c r="B491">
        <f t="shared" si="87"/>
        <v>0</v>
      </c>
      <c r="C491">
        <f t="shared" si="88"/>
        <v>0</v>
      </c>
      <c r="G491">
        <f>IF(OR($G$1="",资金日记账!$E484="",资金日记账!$E484&lt;&gt;$G$1),0,IF(NOT(OR(N(资金日记账!$H484)&lt;&gt;0,N(资金日记账!$I484)&lt;&gt;0)),0,IF(资金日记账!$B484="",1,IF(OR(N(资金日记账!$B484)&lt;$H$1,N(资金日记账!$B484)&gt;$I$1),0,1))))</f>
        <v>0</v>
      </c>
      <c r="H491">
        <f t="shared" si="89"/>
        <v>0</v>
      </c>
      <c r="I491" t="str">
        <f>IF($G491=0,"",IF(资金日记账!$B484=0,"",资金日记账!$B484))</f>
        <v/>
      </c>
      <c r="J491" t="str">
        <f>IF($G491=0,"",IF(资金日记账!$D484=0,"",资金日记账!$D484))</f>
        <v/>
      </c>
      <c r="K491" t="str">
        <f t="shared" si="95"/>
        <v/>
      </c>
      <c r="L491" t="str">
        <f t="shared" si="96"/>
        <v/>
      </c>
      <c r="M491" t="str">
        <f t="shared" si="90"/>
        <v/>
      </c>
      <c r="N491" t="str">
        <f>IF($G491=0,"",IF(IF(N(资金日记账!$I484)=0,"",-ROUND(N(资金日记账!$I484),2))=0,"",IF(N(资金日记账!$I484)=0,"",-ROUND(N(资金日记账!$I484),2))))</f>
        <v/>
      </c>
      <c r="O491" t="str">
        <f>IF($G491=0,"",IF(IF(N(资金日记账!$H484)=0,"",ROUND(N(资金日记账!$H484),2))=0,"",IF(N(资金日记账!$H484)=0,"",ROUND(N(资金日记账!$H484),2))))</f>
        <v/>
      </c>
      <c r="P491" t="str">
        <f>IF($G491=0,"",IF(资金日记账!$L484=0,"",资金日记账!$L484))</f>
        <v/>
      </c>
      <c r="T491" t="str">
        <f>IF(资金日记账!$G491="","",资金日记账!$G491)</f>
        <v/>
      </c>
      <c r="U491">
        <f t="shared" si="91"/>
        <v>0</v>
      </c>
      <c r="V491">
        <f t="shared" si="92"/>
        <v>0</v>
      </c>
      <c r="AF491" t="str">
        <f>IF(OR(资金日记账!$E491="",N(资金日记账!$H491)=0),"",资金日记账!$E491)</f>
        <v/>
      </c>
      <c r="AG491">
        <f t="shared" si="93"/>
        <v>0</v>
      </c>
      <c r="AH491">
        <f t="shared" si="94"/>
        <v>0</v>
      </c>
    </row>
    <row r="492" spans="1:34">
      <c r="A492" t="str">
        <f>IF(资金日记账!$F190="","",资金日记账!$F190)</f>
        <v/>
      </c>
      <c r="B492">
        <f t="shared" si="87"/>
        <v>0</v>
      </c>
      <c r="C492">
        <f t="shared" si="88"/>
        <v>0</v>
      </c>
      <c r="G492">
        <f>IF(OR($G$1="",资金日记账!$E485="",资金日记账!$E485&lt;&gt;$G$1),0,IF(NOT(OR(N(资金日记账!$H485)&lt;&gt;0,N(资金日记账!$I485)&lt;&gt;0)),0,IF(资金日记账!$B485="",1,IF(OR(N(资金日记账!$B485)&lt;$H$1,N(资金日记账!$B485)&gt;$I$1),0,1))))</f>
        <v>0</v>
      </c>
      <c r="H492">
        <f t="shared" si="89"/>
        <v>0</v>
      </c>
      <c r="I492" t="str">
        <f>IF($G492=0,"",IF(资金日记账!$B485=0,"",资金日记账!$B485))</f>
        <v/>
      </c>
      <c r="J492" t="str">
        <f>IF($G492=0,"",IF(资金日记账!$D485=0,"",资金日记账!$D485))</f>
        <v/>
      </c>
      <c r="K492" t="str">
        <f t="shared" si="95"/>
        <v/>
      </c>
      <c r="L492" t="str">
        <f t="shared" si="96"/>
        <v/>
      </c>
      <c r="M492" t="str">
        <f t="shared" si="90"/>
        <v/>
      </c>
      <c r="N492" t="str">
        <f>IF($G492=0,"",IF(IF(N(资金日记账!$I485)=0,"",-ROUND(N(资金日记账!$I485),2))=0,"",IF(N(资金日记账!$I485)=0,"",-ROUND(N(资金日记账!$I485),2))))</f>
        <v/>
      </c>
      <c r="O492" t="str">
        <f>IF($G492=0,"",IF(IF(N(资金日记账!$H485)=0,"",ROUND(N(资金日记账!$H485),2))=0,"",IF(N(资金日记账!$H485)=0,"",ROUND(N(资金日记账!$H485),2))))</f>
        <v/>
      </c>
      <c r="P492" t="str">
        <f>IF($G492=0,"",IF(资金日记账!$L485=0,"",资金日记账!$L485))</f>
        <v/>
      </c>
      <c r="T492" t="str">
        <f>IF(资金日记账!$G492="","",资金日记账!$G492)</f>
        <v/>
      </c>
      <c r="U492">
        <f t="shared" si="91"/>
        <v>0</v>
      </c>
      <c r="V492">
        <f t="shared" si="92"/>
        <v>0</v>
      </c>
      <c r="AF492" t="str">
        <f>IF(OR(资金日记账!$E492="",N(资金日记账!$H492)=0),"",资金日记账!$E492)</f>
        <v/>
      </c>
      <c r="AG492">
        <f t="shared" si="93"/>
        <v>0</v>
      </c>
      <c r="AH492">
        <f t="shared" si="94"/>
        <v>0</v>
      </c>
    </row>
    <row r="493" spans="1:34">
      <c r="A493" t="str">
        <f>IF(资金日记账!$F191="","",资金日记账!$F191)</f>
        <v/>
      </c>
      <c r="B493">
        <f t="shared" si="87"/>
        <v>0</v>
      </c>
      <c r="C493">
        <f t="shared" si="88"/>
        <v>0</v>
      </c>
      <c r="G493">
        <f>IF(OR($G$1="",资金日记账!$E486="",资金日记账!$E486&lt;&gt;$G$1),0,IF(NOT(OR(N(资金日记账!$H486)&lt;&gt;0,N(资金日记账!$I486)&lt;&gt;0)),0,IF(资金日记账!$B486="",1,IF(OR(N(资金日记账!$B486)&lt;$H$1,N(资金日记账!$B486)&gt;$I$1),0,1))))</f>
        <v>0</v>
      </c>
      <c r="H493">
        <f t="shared" si="89"/>
        <v>0</v>
      </c>
      <c r="I493" t="str">
        <f>IF($G493=0,"",IF(资金日记账!$B486=0,"",资金日记账!$B486))</f>
        <v/>
      </c>
      <c r="J493" t="str">
        <f>IF($G493=0,"",IF(资金日记账!$D486=0,"",资金日记账!$D486))</f>
        <v/>
      </c>
      <c r="K493" t="str">
        <f t="shared" si="95"/>
        <v/>
      </c>
      <c r="L493" t="str">
        <f t="shared" si="96"/>
        <v/>
      </c>
      <c r="M493" t="str">
        <f t="shared" si="90"/>
        <v/>
      </c>
      <c r="N493" t="str">
        <f>IF($G493=0,"",IF(IF(N(资金日记账!$I486)=0,"",-ROUND(N(资金日记账!$I486),2))=0,"",IF(N(资金日记账!$I486)=0,"",-ROUND(N(资金日记账!$I486),2))))</f>
        <v/>
      </c>
      <c r="O493" t="str">
        <f>IF($G493=0,"",IF(IF(N(资金日记账!$H486)=0,"",ROUND(N(资金日记账!$H486),2))=0,"",IF(N(资金日记账!$H486)=0,"",ROUND(N(资金日记账!$H486),2))))</f>
        <v/>
      </c>
      <c r="P493" t="str">
        <f>IF($G493=0,"",IF(资金日记账!$L486=0,"",资金日记账!$L486))</f>
        <v/>
      </c>
      <c r="T493" t="str">
        <f>IF(资金日记账!$G493="","",资金日记账!$G493)</f>
        <v/>
      </c>
      <c r="U493">
        <f t="shared" si="91"/>
        <v>0</v>
      </c>
      <c r="V493">
        <f t="shared" si="92"/>
        <v>0</v>
      </c>
      <c r="AF493" t="str">
        <f>IF(OR(资金日记账!$E493="",N(资金日记账!$H493)=0),"",资金日记账!$E493)</f>
        <v/>
      </c>
      <c r="AG493">
        <f t="shared" si="93"/>
        <v>0</v>
      </c>
      <c r="AH493">
        <f t="shared" si="94"/>
        <v>0</v>
      </c>
    </row>
    <row r="494" spans="1:34">
      <c r="A494" t="str">
        <f>IF(资金日记账!$F192="","",资金日记账!$F192)</f>
        <v/>
      </c>
      <c r="B494">
        <f t="shared" si="87"/>
        <v>0</v>
      </c>
      <c r="C494">
        <f t="shared" si="88"/>
        <v>0</v>
      </c>
      <c r="G494">
        <f>IF(OR($G$1="",资金日记账!$E487="",资金日记账!$E487&lt;&gt;$G$1),0,IF(NOT(OR(N(资金日记账!$H487)&lt;&gt;0,N(资金日记账!$I487)&lt;&gt;0)),0,IF(资金日记账!$B487="",1,IF(OR(N(资金日记账!$B487)&lt;$H$1,N(资金日记账!$B487)&gt;$I$1),0,1))))</f>
        <v>0</v>
      </c>
      <c r="H494">
        <f t="shared" si="89"/>
        <v>0</v>
      </c>
      <c r="I494" t="str">
        <f>IF($G494=0,"",IF(资金日记账!$B487=0,"",资金日记账!$B487))</f>
        <v/>
      </c>
      <c r="J494" t="str">
        <f>IF($G494=0,"",IF(资金日记账!$D487=0,"",资金日记账!$D487))</f>
        <v/>
      </c>
      <c r="K494" t="str">
        <f t="shared" si="95"/>
        <v/>
      </c>
      <c r="L494" t="str">
        <f t="shared" si="96"/>
        <v/>
      </c>
      <c r="M494" t="str">
        <f t="shared" si="90"/>
        <v/>
      </c>
      <c r="N494" t="str">
        <f>IF($G494=0,"",IF(IF(N(资金日记账!$I487)=0,"",-ROUND(N(资金日记账!$I487),2))=0,"",IF(N(资金日记账!$I487)=0,"",-ROUND(N(资金日记账!$I487),2))))</f>
        <v/>
      </c>
      <c r="O494" t="str">
        <f>IF($G494=0,"",IF(IF(N(资金日记账!$H487)=0,"",ROUND(N(资金日记账!$H487),2))=0,"",IF(N(资金日记账!$H487)=0,"",ROUND(N(资金日记账!$H487),2))))</f>
        <v/>
      </c>
      <c r="P494" t="str">
        <f>IF($G494=0,"",IF(资金日记账!$L487=0,"",资金日记账!$L487))</f>
        <v/>
      </c>
      <c r="T494" t="str">
        <f>IF(资金日记账!$G494="","",资金日记账!$G494)</f>
        <v/>
      </c>
      <c r="U494">
        <f t="shared" si="91"/>
        <v>0</v>
      </c>
      <c r="V494">
        <f t="shared" si="92"/>
        <v>0</v>
      </c>
      <c r="AF494" t="str">
        <f>IF(OR(资金日记账!$E494="",N(资金日记账!$H494)=0),"",资金日记账!$E494)</f>
        <v/>
      </c>
      <c r="AG494">
        <f t="shared" si="93"/>
        <v>0</v>
      </c>
      <c r="AH494">
        <f t="shared" si="94"/>
        <v>0</v>
      </c>
    </row>
    <row r="495" spans="1:34">
      <c r="A495" t="str">
        <f>IF(资金日记账!$F193="","",资金日记账!$F193)</f>
        <v/>
      </c>
      <c r="B495">
        <f t="shared" si="87"/>
        <v>0</v>
      </c>
      <c r="C495">
        <f t="shared" si="88"/>
        <v>0</v>
      </c>
      <c r="G495">
        <f>IF(OR($G$1="",资金日记账!$E488="",资金日记账!$E488&lt;&gt;$G$1),0,IF(NOT(OR(N(资金日记账!$H488)&lt;&gt;0,N(资金日记账!$I488)&lt;&gt;0)),0,IF(资金日记账!$B488="",1,IF(OR(N(资金日记账!$B488)&lt;$H$1,N(资金日记账!$B488)&gt;$I$1),0,1))))</f>
        <v>0</v>
      </c>
      <c r="H495">
        <f t="shared" si="89"/>
        <v>0</v>
      </c>
      <c r="I495" t="str">
        <f>IF($G495=0,"",IF(资金日记账!$B488=0,"",资金日记账!$B488))</f>
        <v/>
      </c>
      <c r="J495" t="str">
        <f>IF($G495=0,"",IF(资金日记账!$D488=0,"",资金日记账!$D488))</f>
        <v/>
      </c>
      <c r="K495" t="str">
        <f t="shared" si="95"/>
        <v/>
      </c>
      <c r="L495" t="str">
        <f t="shared" si="96"/>
        <v/>
      </c>
      <c r="M495" t="str">
        <f t="shared" si="90"/>
        <v/>
      </c>
      <c r="N495" t="str">
        <f>IF($G495=0,"",IF(IF(N(资金日记账!$I488)=0,"",-ROUND(N(资金日记账!$I488),2))=0,"",IF(N(资金日记账!$I488)=0,"",-ROUND(N(资金日记账!$I488),2))))</f>
        <v/>
      </c>
      <c r="O495" t="str">
        <f>IF($G495=0,"",IF(IF(N(资金日记账!$H488)=0,"",ROUND(N(资金日记账!$H488),2))=0,"",IF(N(资金日记账!$H488)=0,"",ROUND(N(资金日记账!$H488),2))))</f>
        <v/>
      </c>
      <c r="P495" t="str">
        <f>IF($G495=0,"",IF(资金日记账!$L488=0,"",资金日记账!$L488))</f>
        <v/>
      </c>
      <c r="T495" t="str">
        <f>IF(资金日记账!$G495="","",资金日记账!$G495)</f>
        <v/>
      </c>
      <c r="U495">
        <f t="shared" si="91"/>
        <v>0</v>
      </c>
      <c r="V495">
        <f t="shared" si="92"/>
        <v>0</v>
      </c>
      <c r="AF495" t="str">
        <f>IF(OR(资金日记账!$E495="",N(资金日记账!$H495)=0),"",资金日记账!$E495)</f>
        <v/>
      </c>
      <c r="AG495">
        <f t="shared" si="93"/>
        <v>0</v>
      </c>
      <c r="AH495">
        <f t="shared" si="94"/>
        <v>0</v>
      </c>
    </row>
    <row r="496" spans="1:34">
      <c r="A496" t="str">
        <f>IF(资金日记账!$F194="","",资金日记账!$F194)</f>
        <v/>
      </c>
      <c r="B496">
        <f t="shared" si="87"/>
        <v>0</v>
      </c>
      <c r="C496">
        <f t="shared" si="88"/>
        <v>0</v>
      </c>
      <c r="G496">
        <f>IF(OR($G$1="",资金日记账!$E489="",资金日记账!$E489&lt;&gt;$G$1),0,IF(NOT(OR(N(资金日记账!$H489)&lt;&gt;0,N(资金日记账!$I489)&lt;&gt;0)),0,IF(资金日记账!$B489="",1,IF(OR(N(资金日记账!$B489)&lt;$H$1,N(资金日记账!$B489)&gt;$I$1),0,1))))</f>
        <v>0</v>
      </c>
      <c r="H496">
        <f t="shared" si="89"/>
        <v>0</v>
      </c>
      <c r="I496" t="str">
        <f>IF($G496=0,"",IF(资金日记账!$B489=0,"",资金日记账!$B489))</f>
        <v/>
      </c>
      <c r="J496" t="str">
        <f>IF($G496=0,"",IF(资金日记账!$D489=0,"",资金日记账!$D489))</f>
        <v/>
      </c>
      <c r="K496" t="str">
        <f t="shared" si="95"/>
        <v/>
      </c>
      <c r="L496" t="str">
        <f t="shared" si="96"/>
        <v/>
      </c>
      <c r="M496" t="str">
        <f t="shared" si="90"/>
        <v/>
      </c>
      <c r="N496" t="str">
        <f>IF($G496=0,"",IF(IF(N(资金日记账!$I489)=0,"",-ROUND(N(资金日记账!$I489),2))=0,"",IF(N(资金日记账!$I489)=0,"",-ROUND(N(资金日记账!$I489),2))))</f>
        <v/>
      </c>
      <c r="O496" t="str">
        <f>IF($G496=0,"",IF(IF(N(资金日记账!$H489)=0,"",ROUND(N(资金日记账!$H489),2))=0,"",IF(N(资金日记账!$H489)=0,"",ROUND(N(资金日记账!$H489),2))))</f>
        <v/>
      </c>
      <c r="P496" t="str">
        <f>IF($G496=0,"",IF(资金日记账!$L489=0,"",资金日记账!$L489))</f>
        <v/>
      </c>
      <c r="T496" t="str">
        <f>IF(资金日记账!$G496="","",资金日记账!$G496)</f>
        <v/>
      </c>
      <c r="U496">
        <f t="shared" si="91"/>
        <v>0</v>
      </c>
      <c r="V496">
        <f t="shared" si="92"/>
        <v>0</v>
      </c>
      <c r="AF496" t="str">
        <f>IF(OR(资金日记账!$E496="",N(资金日记账!$H496)=0),"",资金日记账!$E496)</f>
        <v/>
      </c>
      <c r="AG496">
        <f t="shared" si="93"/>
        <v>0</v>
      </c>
      <c r="AH496">
        <f t="shared" si="94"/>
        <v>0</v>
      </c>
    </row>
    <row r="497" spans="1:34">
      <c r="A497" t="str">
        <f>IF(资金日记账!$F195="","",资金日记账!$F195)</f>
        <v/>
      </c>
      <c r="B497">
        <f t="shared" si="87"/>
        <v>0</v>
      </c>
      <c r="C497">
        <f t="shared" si="88"/>
        <v>0</v>
      </c>
      <c r="G497">
        <f>IF(OR($G$1="",资金日记账!$E490="",资金日记账!$E490&lt;&gt;$G$1),0,IF(NOT(OR(N(资金日记账!$H490)&lt;&gt;0,N(资金日记账!$I490)&lt;&gt;0)),0,IF(资金日记账!$B490="",1,IF(OR(N(资金日记账!$B490)&lt;$H$1,N(资金日记账!$B490)&gt;$I$1),0,1))))</f>
        <v>0</v>
      </c>
      <c r="H497">
        <f t="shared" si="89"/>
        <v>0</v>
      </c>
      <c r="I497" t="str">
        <f>IF($G497=0,"",IF(资金日记账!$B490=0,"",资金日记账!$B490))</f>
        <v/>
      </c>
      <c r="J497" t="str">
        <f>IF($G497=0,"",IF(资金日记账!$D490=0,"",资金日记账!$D490))</f>
        <v/>
      </c>
      <c r="K497" t="str">
        <f t="shared" si="95"/>
        <v/>
      </c>
      <c r="L497" t="str">
        <f t="shared" si="96"/>
        <v/>
      </c>
      <c r="M497" t="str">
        <f t="shared" si="90"/>
        <v/>
      </c>
      <c r="N497" t="str">
        <f>IF($G497=0,"",IF(IF(N(资金日记账!$I490)=0,"",-ROUND(N(资金日记账!$I490),2))=0,"",IF(N(资金日记账!$I490)=0,"",-ROUND(N(资金日记账!$I490),2))))</f>
        <v/>
      </c>
      <c r="O497" t="str">
        <f>IF($G497=0,"",IF(IF(N(资金日记账!$H490)=0,"",ROUND(N(资金日记账!$H490),2))=0,"",IF(N(资金日记账!$H490)=0,"",ROUND(N(资金日记账!$H490),2))))</f>
        <v/>
      </c>
      <c r="P497" t="str">
        <f>IF($G497=0,"",IF(资金日记账!$L490=0,"",资金日记账!$L490))</f>
        <v/>
      </c>
      <c r="T497" t="str">
        <f>IF(资金日记账!$G497="","",资金日记账!$G497)</f>
        <v/>
      </c>
      <c r="U497">
        <f t="shared" si="91"/>
        <v>0</v>
      </c>
      <c r="V497">
        <f t="shared" si="92"/>
        <v>0</v>
      </c>
      <c r="AF497" t="str">
        <f>IF(OR(资金日记账!$E497="",N(资金日记账!$H497)=0),"",资金日记账!$E497)</f>
        <v/>
      </c>
      <c r="AG497">
        <f t="shared" si="93"/>
        <v>0</v>
      </c>
      <c r="AH497">
        <f t="shared" si="94"/>
        <v>0</v>
      </c>
    </row>
    <row r="498" spans="1:34">
      <c r="A498" t="str">
        <f>IF(资金日记账!$F196="","",资金日记账!$F196)</f>
        <v/>
      </c>
      <c r="B498">
        <f t="shared" si="87"/>
        <v>0</v>
      </c>
      <c r="C498">
        <f t="shared" si="88"/>
        <v>0</v>
      </c>
      <c r="G498">
        <f>IF(OR($G$1="",资金日记账!$E491="",资金日记账!$E491&lt;&gt;$G$1),0,IF(NOT(OR(N(资金日记账!$H491)&lt;&gt;0,N(资金日记账!$I491)&lt;&gt;0)),0,IF(资金日记账!$B491="",1,IF(OR(N(资金日记账!$B491)&lt;$H$1,N(资金日记账!$B491)&gt;$I$1),0,1))))</f>
        <v>0</v>
      </c>
      <c r="H498">
        <f t="shared" si="89"/>
        <v>0</v>
      </c>
      <c r="I498" t="str">
        <f>IF($G498=0,"",IF(资金日记账!$B491=0,"",资金日记账!$B491))</f>
        <v/>
      </c>
      <c r="J498" t="str">
        <f>IF($G498=0,"",IF(资金日记账!$D491=0,"",资金日记账!$D491))</f>
        <v/>
      </c>
      <c r="K498" t="str">
        <f t="shared" si="95"/>
        <v/>
      </c>
      <c r="L498" t="str">
        <f t="shared" si="96"/>
        <v/>
      </c>
      <c r="M498" t="str">
        <f t="shared" si="90"/>
        <v/>
      </c>
      <c r="N498" t="str">
        <f>IF($G498=0,"",IF(IF(N(资金日记账!$I491)=0,"",-ROUND(N(资金日记账!$I491),2))=0,"",IF(N(资金日记账!$I491)=0,"",-ROUND(N(资金日记账!$I491),2))))</f>
        <v/>
      </c>
      <c r="O498" t="str">
        <f>IF($G498=0,"",IF(IF(N(资金日记账!$H491)=0,"",ROUND(N(资金日记账!$H491),2))=0,"",IF(N(资金日记账!$H491)=0,"",ROUND(N(资金日记账!$H491),2))))</f>
        <v/>
      </c>
      <c r="P498" t="str">
        <f>IF($G498=0,"",IF(资金日记账!$L491=0,"",资金日记账!$L491))</f>
        <v/>
      </c>
      <c r="T498" t="str">
        <f>IF(资金日记账!$G498="","",资金日记账!$G498)</f>
        <v/>
      </c>
      <c r="U498">
        <f t="shared" si="91"/>
        <v>0</v>
      </c>
      <c r="V498">
        <f t="shared" si="92"/>
        <v>0</v>
      </c>
      <c r="AF498" t="str">
        <f>IF(OR(资金日记账!$E498="",N(资金日记账!$H498)=0),"",资金日记账!$E498)</f>
        <v/>
      </c>
      <c r="AG498">
        <f t="shared" si="93"/>
        <v>0</v>
      </c>
      <c r="AH498">
        <f t="shared" si="94"/>
        <v>0</v>
      </c>
    </row>
    <row r="499" spans="1:34">
      <c r="A499" t="str">
        <f>IF(资金日记账!$F197="","",资金日记账!$F197)</f>
        <v/>
      </c>
      <c r="B499">
        <f t="shared" si="87"/>
        <v>0</v>
      </c>
      <c r="C499">
        <f t="shared" si="88"/>
        <v>0</v>
      </c>
      <c r="G499">
        <f>IF(OR($G$1="",资金日记账!$E492="",资金日记账!$E492&lt;&gt;$G$1),0,IF(NOT(OR(N(资金日记账!$H492)&lt;&gt;0,N(资金日记账!$I492)&lt;&gt;0)),0,IF(资金日记账!$B492="",1,IF(OR(N(资金日记账!$B492)&lt;$H$1,N(资金日记账!$B492)&gt;$I$1),0,1))))</f>
        <v>0</v>
      </c>
      <c r="H499">
        <f t="shared" si="89"/>
        <v>0</v>
      </c>
      <c r="I499" t="str">
        <f>IF($G499=0,"",IF(资金日记账!$B492=0,"",资金日记账!$B492))</f>
        <v/>
      </c>
      <c r="J499" t="str">
        <f>IF($G499=0,"",IF(资金日记账!$D492=0,"",资金日记账!$D492))</f>
        <v/>
      </c>
      <c r="K499" t="str">
        <f t="shared" si="95"/>
        <v/>
      </c>
      <c r="L499" t="str">
        <f t="shared" si="96"/>
        <v/>
      </c>
      <c r="M499" t="str">
        <f t="shared" si="90"/>
        <v/>
      </c>
      <c r="N499" t="str">
        <f>IF($G499=0,"",IF(IF(N(资金日记账!$I492)=0,"",-ROUND(N(资金日记账!$I492),2))=0,"",IF(N(资金日记账!$I492)=0,"",-ROUND(N(资金日记账!$I492),2))))</f>
        <v/>
      </c>
      <c r="O499" t="str">
        <f>IF($G499=0,"",IF(IF(N(资金日记账!$H492)=0,"",ROUND(N(资金日记账!$H492),2))=0,"",IF(N(资金日记账!$H492)=0,"",ROUND(N(资金日记账!$H492),2))))</f>
        <v/>
      </c>
      <c r="P499" t="str">
        <f>IF($G499=0,"",IF(资金日记账!$L492=0,"",资金日记账!$L492))</f>
        <v/>
      </c>
      <c r="T499" t="str">
        <f>IF(资金日记账!$G499="","",资金日记账!$G499)</f>
        <v/>
      </c>
      <c r="U499">
        <f t="shared" si="91"/>
        <v>0</v>
      </c>
      <c r="V499">
        <f t="shared" si="92"/>
        <v>0</v>
      </c>
      <c r="AF499" t="str">
        <f>IF(OR(资金日记账!$E499="",N(资金日记账!$H499)=0),"",资金日记账!$E499)</f>
        <v/>
      </c>
      <c r="AG499">
        <f t="shared" si="93"/>
        <v>0</v>
      </c>
      <c r="AH499">
        <f t="shared" si="94"/>
        <v>0</v>
      </c>
    </row>
    <row r="500" spans="1:34">
      <c r="A500" t="str">
        <f>IF(资金日记账!$F198="","",资金日记账!$F198)</f>
        <v/>
      </c>
      <c r="B500">
        <f t="shared" si="87"/>
        <v>0</v>
      </c>
      <c r="C500">
        <f t="shared" si="88"/>
        <v>0</v>
      </c>
      <c r="G500">
        <f>IF(OR($G$1="",资金日记账!$E493="",资金日记账!$E493&lt;&gt;$G$1),0,IF(NOT(OR(N(资金日记账!$H493)&lt;&gt;0,N(资金日记账!$I493)&lt;&gt;0)),0,IF(资金日记账!$B493="",1,IF(OR(N(资金日记账!$B493)&lt;$H$1,N(资金日记账!$B493)&gt;$I$1),0,1))))</f>
        <v>0</v>
      </c>
      <c r="H500">
        <f t="shared" si="89"/>
        <v>0</v>
      </c>
      <c r="I500" t="str">
        <f>IF($G500=0,"",IF(资金日记账!$B493=0,"",资金日记账!$B493))</f>
        <v/>
      </c>
      <c r="J500" t="str">
        <f>IF($G500=0,"",IF(资金日记账!$D493=0,"",资金日记账!$D493))</f>
        <v/>
      </c>
      <c r="K500" t="str">
        <f t="shared" si="95"/>
        <v/>
      </c>
      <c r="L500" t="str">
        <f t="shared" si="96"/>
        <v/>
      </c>
      <c r="M500" t="str">
        <f t="shared" si="90"/>
        <v/>
      </c>
      <c r="N500" t="str">
        <f>IF($G500=0,"",IF(IF(N(资金日记账!$I493)=0,"",-ROUND(N(资金日记账!$I493),2))=0,"",IF(N(资金日记账!$I493)=0,"",-ROUND(N(资金日记账!$I493),2))))</f>
        <v/>
      </c>
      <c r="O500" t="str">
        <f>IF($G500=0,"",IF(IF(N(资金日记账!$H493)=0,"",ROUND(N(资金日记账!$H493),2))=0,"",IF(N(资金日记账!$H493)=0,"",ROUND(N(资金日记账!$H493),2))))</f>
        <v/>
      </c>
      <c r="P500" t="str">
        <f>IF($G500=0,"",IF(资金日记账!$L493=0,"",资金日记账!$L493))</f>
        <v/>
      </c>
      <c r="T500" t="str">
        <f>IF(资金日记账!$G500="","",资金日记账!$G500)</f>
        <v/>
      </c>
      <c r="U500">
        <f t="shared" si="91"/>
        <v>0</v>
      </c>
      <c r="V500">
        <f t="shared" si="92"/>
        <v>0</v>
      </c>
      <c r="AF500" t="str">
        <f>IF(OR(资金日记账!$E500="",N(资金日记账!$H500)=0),"",资金日记账!$E500)</f>
        <v/>
      </c>
      <c r="AG500">
        <f t="shared" si="93"/>
        <v>0</v>
      </c>
      <c r="AH500">
        <f t="shared" si="94"/>
        <v>0</v>
      </c>
    </row>
    <row r="501" spans="1:34">
      <c r="A501" t="str">
        <f>IF(资金日记账!$F199="","",资金日记账!$F199)</f>
        <v/>
      </c>
      <c r="B501">
        <f t="shared" si="87"/>
        <v>0</v>
      </c>
      <c r="C501">
        <f t="shared" si="88"/>
        <v>0</v>
      </c>
      <c r="G501">
        <f>IF(OR($G$1="",资金日记账!$E494="",资金日记账!$E494&lt;&gt;$G$1),0,IF(NOT(OR(N(资金日记账!$H494)&lt;&gt;0,N(资金日记账!$I494)&lt;&gt;0)),0,IF(资金日记账!$B494="",1,IF(OR(N(资金日记账!$B494)&lt;$H$1,N(资金日记账!$B494)&gt;$I$1),0,1))))</f>
        <v>0</v>
      </c>
      <c r="H501">
        <f t="shared" si="89"/>
        <v>0</v>
      </c>
      <c r="I501" t="str">
        <f>IF($G501=0,"",IF(资金日记账!$B494=0,"",资金日记账!$B494))</f>
        <v/>
      </c>
      <c r="J501" t="str">
        <f>IF($G501=0,"",IF(资金日记账!$D494=0,"",资金日记账!$D494))</f>
        <v/>
      </c>
      <c r="K501" t="str">
        <f t="shared" si="95"/>
        <v/>
      </c>
      <c r="L501" t="str">
        <f t="shared" si="96"/>
        <v/>
      </c>
      <c r="M501" t="str">
        <f t="shared" si="90"/>
        <v/>
      </c>
      <c r="N501" t="str">
        <f>IF($G501=0,"",IF(IF(N(资金日记账!$I494)=0,"",-ROUND(N(资金日记账!$I494),2))=0,"",IF(N(资金日记账!$I494)=0,"",-ROUND(N(资金日记账!$I494),2))))</f>
        <v/>
      </c>
      <c r="O501" t="str">
        <f>IF($G501=0,"",IF(IF(N(资金日记账!$H494)=0,"",ROUND(N(资金日记账!$H494),2))=0,"",IF(N(资金日记账!$H494)=0,"",ROUND(N(资金日记账!$H494),2))))</f>
        <v/>
      </c>
      <c r="P501" t="str">
        <f>IF($G501=0,"",IF(资金日记账!$L494=0,"",资金日记账!$L494))</f>
        <v/>
      </c>
      <c r="T501" t="str">
        <f>IF(资金日记账!$G501="","",资金日记账!$G501)</f>
        <v/>
      </c>
      <c r="U501">
        <f t="shared" si="91"/>
        <v>0</v>
      </c>
      <c r="V501">
        <f t="shared" si="92"/>
        <v>0</v>
      </c>
      <c r="AF501" t="str">
        <f>IF(OR(资金日记账!$E501="",N(资金日记账!$H501)=0),"",资金日记账!$E501)</f>
        <v/>
      </c>
      <c r="AG501">
        <f t="shared" si="93"/>
        <v>0</v>
      </c>
      <c r="AH501">
        <f t="shared" si="94"/>
        <v>0</v>
      </c>
    </row>
    <row r="502" spans="1:34">
      <c r="A502" t="str">
        <f>IF(资金日记账!$F200="","",资金日记账!$F200)</f>
        <v/>
      </c>
      <c r="B502">
        <f t="shared" si="87"/>
        <v>0</v>
      </c>
      <c r="C502">
        <f t="shared" si="88"/>
        <v>0</v>
      </c>
      <c r="G502">
        <f>IF(OR($G$1="",资金日记账!$E495="",资金日记账!$E495&lt;&gt;$G$1),0,IF(NOT(OR(N(资金日记账!$H495)&lt;&gt;0,N(资金日记账!$I495)&lt;&gt;0)),0,IF(资金日记账!$B495="",1,IF(OR(N(资金日记账!$B495)&lt;$H$1,N(资金日记账!$B495)&gt;$I$1),0,1))))</f>
        <v>0</v>
      </c>
      <c r="H502">
        <f t="shared" si="89"/>
        <v>0</v>
      </c>
      <c r="I502" t="str">
        <f>IF($G502=0,"",IF(资金日记账!$B495=0,"",资金日记账!$B495))</f>
        <v/>
      </c>
      <c r="J502" t="str">
        <f>IF($G502=0,"",IF(资金日记账!$D495=0,"",资金日记账!$D495))</f>
        <v/>
      </c>
      <c r="K502" t="str">
        <f t="shared" si="95"/>
        <v/>
      </c>
      <c r="L502" t="str">
        <f t="shared" si="96"/>
        <v/>
      </c>
      <c r="M502" t="str">
        <f t="shared" si="90"/>
        <v/>
      </c>
      <c r="N502" t="str">
        <f>IF($G502=0,"",IF(IF(N(资金日记账!$I495)=0,"",-ROUND(N(资金日记账!$I495),2))=0,"",IF(N(资金日记账!$I495)=0,"",-ROUND(N(资金日记账!$I495),2))))</f>
        <v/>
      </c>
      <c r="O502" t="str">
        <f>IF($G502=0,"",IF(IF(N(资金日记账!$H495)=0,"",ROUND(N(资金日记账!$H495),2))=0,"",IF(N(资金日记账!$H495)=0,"",ROUND(N(资金日记账!$H495),2))))</f>
        <v/>
      </c>
      <c r="P502" t="str">
        <f>IF($G502=0,"",IF(资金日记账!$L495=0,"",资金日记账!$L495))</f>
        <v/>
      </c>
      <c r="T502" t="str">
        <f>IF(资金日记账!$G502="","",资金日记账!$G502)</f>
        <v/>
      </c>
      <c r="U502">
        <f t="shared" si="91"/>
        <v>0</v>
      </c>
      <c r="V502">
        <f t="shared" si="92"/>
        <v>0</v>
      </c>
      <c r="AF502" t="str">
        <f>IF(OR(资金日记账!$E502="",N(资金日记账!$H502)=0),"",资金日记账!$E502)</f>
        <v/>
      </c>
      <c r="AG502">
        <f t="shared" si="93"/>
        <v>0</v>
      </c>
      <c r="AH502">
        <f t="shared" si="94"/>
        <v>0</v>
      </c>
    </row>
    <row r="503" spans="1:34">
      <c r="A503" t="str">
        <f>IF(资金日记账!$F201="","",资金日记账!$F201)</f>
        <v/>
      </c>
      <c r="B503">
        <f t="shared" si="87"/>
        <v>0</v>
      </c>
      <c r="C503">
        <f t="shared" si="88"/>
        <v>0</v>
      </c>
      <c r="G503">
        <f>IF(OR($G$1="",资金日记账!$E496="",资金日记账!$E496&lt;&gt;$G$1),0,IF(NOT(OR(N(资金日记账!$H496)&lt;&gt;0,N(资金日记账!$I496)&lt;&gt;0)),0,IF(资金日记账!$B496="",1,IF(OR(N(资金日记账!$B496)&lt;$H$1,N(资金日记账!$B496)&gt;$I$1),0,1))))</f>
        <v>0</v>
      </c>
      <c r="H503">
        <f t="shared" si="89"/>
        <v>0</v>
      </c>
      <c r="I503" t="str">
        <f>IF($G503=0,"",IF(资金日记账!$B496=0,"",资金日记账!$B496))</f>
        <v/>
      </c>
      <c r="J503" t="str">
        <f>IF($G503=0,"",IF(资金日记账!$D496=0,"",资金日记账!$D496))</f>
        <v/>
      </c>
      <c r="K503" t="str">
        <f t="shared" si="95"/>
        <v/>
      </c>
      <c r="L503" t="str">
        <f t="shared" si="96"/>
        <v/>
      </c>
      <c r="M503" t="str">
        <f t="shared" si="90"/>
        <v/>
      </c>
      <c r="N503" t="str">
        <f>IF($G503=0,"",IF(IF(N(资金日记账!$I496)=0,"",-ROUND(N(资金日记账!$I496),2))=0,"",IF(N(资金日记账!$I496)=0,"",-ROUND(N(资金日记账!$I496),2))))</f>
        <v/>
      </c>
      <c r="O503" t="str">
        <f>IF($G503=0,"",IF(IF(N(资金日记账!$H496)=0,"",ROUND(N(资金日记账!$H496),2))=0,"",IF(N(资金日记账!$H496)=0,"",ROUND(N(资金日记账!$H496),2))))</f>
        <v/>
      </c>
      <c r="P503" t="str">
        <f>IF($G503=0,"",IF(资金日记账!$L496=0,"",资金日记账!$L496))</f>
        <v/>
      </c>
      <c r="T503" t="str">
        <f>IF(资金日记账!$G503="","",资金日记账!$G503)</f>
        <v/>
      </c>
      <c r="U503">
        <f t="shared" si="91"/>
        <v>0</v>
      </c>
      <c r="V503">
        <f t="shared" si="92"/>
        <v>0</v>
      </c>
      <c r="AF503" t="str">
        <f>IF(OR(资金日记账!$E503="",N(资金日记账!$H503)=0),"",资金日记账!$E503)</f>
        <v/>
      </c>
      <c r="AG503">
        <f t="shared" si="93"/>
        <v>0</v>
      </c>
      <c r="AH503">
        <f t="shared" si="94"/>
        <v>0</v>
      </c>
    </row>
    <row r="504" spans="1:34">
      <c r="A504" t="str">
        <f>IF(资金日记账!$F202="","",资金日记账!$F202)</f>
        <v/>
      </c>
      <c r="B504">
        <f t="shared" si="87"/>
        <v>0</v>
      </c>
      <c r="C504">
        <f t="shared" si="88"/>
        <v>0</v>
      </c>
      <c r="G504">
        <f>IF(OR($G$1="",资金日记账!$E497="",资金日记账!$E497&lt;&gt;$G$1),0,IF(NOT(OR(N(资金日记账!$H497)&lt;&gt;0,N(资金日记账!$I497)&lt;&gt;0)),0,IF(资金日记账!$B497="",1,IF(OR(N(资金日记账!$B497)&lt;$H$1,N(资金日记账!$B497)&gt;$I$1),0,1))))</f>
        <v>0</v>
      </c>
      <c r="H504">
        <f t="shared" si="89"/>
        <v>0</v>
      </c>
      <c r="I504" t="str">
        <f>IF($G504=0,"",IF(资金日记账!$B497=0,"",资金日记账!$B497))</f>
        <v/>
      </c>
      <c r="J504" t="str">
        <f>IF($G504=0,"",IF(资金日记账!$D497=0,"",资金日记账!$D497))</f>
        <v/>
      </c>
      <c r="K504" t="str">
        <f t="shared" si="95"/>
        <v/>
      </c>
      <c r="L504" t="str">
        <f t="shared" si="96"/>
        <v/>
      </c>
      <c r="M504" t="str">
        <f t="shared" si="90"/>
        <v/>
      </c>
      <c r="N504" t="str">
        <f>IF($G504=0,"",IF(IF(N(资金日记账!$I497)=0,"",-ROUND(N(资金日记账!$I497),2))=0,"",IF(N(资金日记账!$I497)=0,"",-ROUND(N(资金日记账!$I497),2))))</f>
        <v/>
      </c>
      <c r="O504" t="str">
        <f>IF($G504=0,"",IF(IF(N(资金日记账!$H497)=0,"",ROUND(N(资金日记账!$H497),2))=0,"",IF(N(资金日记账!$H497)=0,"",ROUND(N(资金日记账!$H497),2))))</f>
        <v/>
      </c>
      <c r="P504" t="str">
        <f>IF($G504=0,"",IF(资金日记账!$L497=0,"",资金日记账!$L497))</f>
        <v/>
      </c>
      <c r="T504" t="str">
        <f>IF(资金日记账!$G504="","",资金日记账!$G504)</f>
        <v/>
      </c>
      <c r="U504">
        <f t="shared" si="91"/>
        <v>0</v>
      </c>
      <c r="V504">
        <f t="shared" si="92"/>
        <v>0</v>
      </c>
      <c r="AF504" t="str">
        <f>IF(OR(资金日记账!$E504="",N(资金日记账!$H504)=0),"",资金日记账!$E504)</f>
        <v/>
      </c>
      <c r="AG504">
        <f t="shared" si="93"/>
        <v>0</v>
      </c>
      <c r="AH504">
        <f t="shared" si="94"/>
        <v>0</v>
      </c>
    </row>
    <row r="505" spans="1:34">
      <c r="A505" t="str">
        <f>IF(资金日记账!$F203="","",资金日记账!$F203)</f>
        <v/>
      </c>
      <c r="B505">
        <f t="shared" si="87"/>
        <v>0</v>
      </c>
      <c r="C505">
        <f t="shared" si="88"/>
        <v>0</v>
      </c>
      <c r="G505">
        <f>IF(OR($G$1="",资金日记账!$E498="",资金日记账!$E498&lt;&gt;$G$1),0,IF(NOT(OR(N(资金日记账!$H498)&lt;&gt;0,N(资金日记账!$I498)&lt;&gt;0)),0,IF(资金日记账!$B498="",1,IF(OR(N(资金日记账!$B498)&lt;$H$1,N(资金日记账!$B498)&gt;$I$1),0,1))))</f>
        <v>0</v>
      </c>
      <c r="H505">
        <f t="shared" si="89"/>
        <v>0</v>
      </c>
      <c r="I505" t="str">
        <f>IF($G505=0,"",IF(资金日记账!$B498=0,"",资金日记账!$B498))</f>
        <v/>
      </c>
      <c r="J505" t="str">
        <f>IF($G505=0,"",IF(资金日记账!$D498=0,"",资金日记账!$D498))</f>
        <v/>
      </c>
      <c r="K505" t="str">
        <f t="shared" si="95"/>
        <v/>
      </c>
      <c r="L505" t="str">
        <f t="shared" si="96"/>
        <v/>
      </c>
      <c r="M505" t="str">
        <f t="shared" si="90"/>
        <v/>
      </c>
      <c r="N505" t="str">
        <f>IF($G505=0,"",IF(IF(N(资金日记账!$I498)=0,"",-ROUND(N(资金日记账!$I498),2))=0,"",IF(N(资金日记账!$I498)=0,"",-ROUND(N(资金日记账!$I498),2))))</f>
        <v/>
      </c>
      <c r="O505" t="str">
        <f>IF($G505=0,"",IF(IF(N(资金日记账!$H498)=0,"",ROUND(N(资金日记账!$H498),2))=0,"",IF(N(资金日记账!$H498)=0,"",ROUND(N(资金日记账!$H498),2))))</f>
        <v/>
      </c>
      <c r="P505" t="str">
        <f>IF($G505=0,"",IF(资金日记账!$L498=0,"",资金日记账!$L498))</f>
        <v/>
      </c>
      <c r="T505" t="str">
        <f>IF(资金日记账!$G505="","",资金日记账!$G505)</f>
        <v/>
      </c>
      <c r="U505">
        <f t="shared" si="91"/>
        <v>0</v>
      </c>
      <c r="V505">
        <f t="shared" si="92"/>
        <v>0</v>
      </c>
      <c r="AF505" t="str">
        <f>IF(OR(资金日记账!$E505="",N(资金日记账!$H505)=0),"",资金日记账!$E505)</f>
        <v/>
      </c>
      <c r="AG505">
        <f t="shared" si="93"/>
        <v>0</v>
      </c>
      <c r="AH505">
        <f t="shared" si="94"/>
        <v>0</v>
      </c>
    </row>
    <row r="506" spans="1:34">
      <c r="A506" t="str">
        <f>IF(资金日记账!$F204="","",资金日记账!$F204)</f>
        <v/>
      </c>
      <c r="B506">
        <f t="shared" si="87"/>
        <v>0</v>
      </c>
      <c r="C506">
        <f t="shared" si="88"/>
        <v>0</v>
      </c>
      <c r="G506">
        <f>IF(OR($G$1="",资金日记账!$E499="",资金日记账!$E499&lt;&gt;$G$1),0,IF(NOT(OR(N(资金日记账!$H499)&lt;&gt;0,N(资金日记账!$I499)&lt;&gt;0)),0,IF(资金日记账!$B499="",1,IF(OR(N(资金日记账!$B499)&lt;$H$1,N(资金日记账!$B499)&gt;$I$1),0,1))))</f>
        <v>0</v>
      </c>
      <c r="H506">
        <f t="shared" si="89"/>
        <v>0</v>
      </c>
      <c r="I506" t="str">
        <f>IF($G506=0,"",IF(资金日记账!$B499=0,"",资金日记账!$B499))</f>
        <v/>
      </c>
      <c r="J506" t="str">
        <f>IF($G506=0,"",IF(资金日记账!$D499=0,"",资金日记账!$D499))</f>
        <v/>
      </c>
      <c r="K506" t="str">
        <f t="shared" si="95"/>
        <v/>
      </c>
      <c r="L506" t="str">
        <f t="shared" si="96"/>
        <v/>
      </c>
      <c r="M506" t="str">
        <f t="shared" si="90"/>
        <v/>
      </c>
      <c r="N506" t="str">
        <f>IF($G506=0,"",IF(IF(N(资金日记账!$I499)=0,"",-ROUND(N(资金日记账!$I499),2))=0,"",IF(N(资金日记账!$I499)=0,"",-ROUND(N(资金日记账!$I499),2))))</f>
        <v/>
      </c>
      <c r="O506" t="str">
        <f>IF($G506=0,"",IF(IF(N(资金日记账!$H499)=0,"",ROUND(N(资金日记账!$H499),2))=0,"",IF(N(资金日记账!$H499)=0,"",ROUND(N(资金日记账!$H499),2))))</f>
        <v/>
      </c>
      <c r="P506" t="str">
        <f>IF($G506=0,"",IF(资金日记账!$L499=0,"",资金日记账!$L499))</f>
        <v/>
      </c>
      <c r="T506" t="str">
        <f>IF(资金日记账!$G506="","",资金日记账!$G506)</f>
        <v/>
      </c>
      <c r="U506">
        <f t="shared" si="91"/>
        <v>0</v>
      </c>
      <c r="V506">
        <f t="shared" si="92"/>
        <v>0</v>
      </c>
      <c r="AF506" t="str">
        <f>IF(OR(资金日记账!$E506="",N(资金日记账!$H506)=0),"",资金日记账!$E506)</f>
        <v/>
      </c>
      <c r="AG506">
        <f t="shared" si="93"/>
        <v>0</v>
      </c>
      <c r="AH506">
        <f t="shared" si="94"/>
        <v>0</v>
      </c>
    </row>
    <row r="507" spans="1:34">
      <c r="A507" t="str">
        <f>IF(资金日记账!$F205="","",资金日记账!$F205)</f>
        <v/>
      </c>
      <c r="B507">
        <f t="shared" si="87"/>
        <v>0</v>
      </c>
      <c r="C507">
        <f t="shared" si="88"/>
        <v>0</v>
      </c>
      <c r="G507">
        <f>IF(OR($G$1="",资金日记账!$E500="",资金日记账!$E500&lt;&gt;$G$1),0,IF(NOT(OR(N(资金日记账!$H500)&lt;&gt;0,N(资金日记账!$I500)&lt;&gt;0)),0,IF(资金日记账!$B500="",1,IF(OR(N(资金日记账!$B500)&lt;$H$1,N(资金日记账!$B500)&gt;$I$1),0,1))))</f>
        <v>0</v>
      </c>
      <c r="H507">
        <f t="shared" si="89"/>
        <v>0</v>
      </c>
      <c r="I507" t="str">
        <f>IF($G507=0,"",IF(资金日记账!$B500=0,"",资金日记账!$B500))</f>
        <v/>
      </c>
      <c r="J507" t="str">
        <f>IF($G507=0,"",IF(资金日记账!$D500=0,"",资金日记账!$D500))</f>
        <v/>
      </c>
      <c r="K507" t="str">
        <f t="shared" si="95"/>
        <v/>
      </c>
      <c r="L507" t="str">
        <f t="shared" si="96"/>
        <v/>
      </c>
      <c r="M507" t="str">
        <f t="shared" si="90"/>
        <v/>
      </c>
      <c r="N507" t="str">
        <f>IF($G507=0,"",IF(IF(N(资金日记账!$I500)=0,"",-ROUND(N(资金日记账!$I500),2))=0,"",IF(N(资金日记账!$I500)=0,"",-ROUND(N(资金日记账!$I500),2))))</f>
        <v/>
      </c>
      <c r="O507" t="str">
        <f>IF($G507=0,"",IF(IF(N(资金日记账!$H500)=0,"",ROUND(N(资金日记账!$H500),2))=0,"",IF(N(资金日记账!$H500)=0,"",ROUND(N(资金日记账!$H500),2))))</f>
        <v/>
      </c>
      <c r="P507" t="str">
        <f>IF($G507=0,"",IF(资金日记账!$L500=0,"",资金日记账!$L500))</f>
        <v/>
      </c>
      <c r="T507" t="str">
        <f>IF(资金日记账!$G507="","",资金日记账!$G507)</f>
        <v/>
      </c>
      <c r="U507">
        <f t="shared" si="91"/>
        <v>0</v>
      </c>
      <c r="V507">
        <f t="shared" si="92"/>
        <v>0</v>
      </c>
      <c r="AF507" t="str">
        <f>IF(OR(资金日记账!$E507="",N(资金日记账!$H507)=0),"",资金日记账!$E507)</f>
        <v/>
      </c>
      <c r="AG507">
        <f t="shared" si="93"/>
        <v>0</v>
      </c>
      <c r="AH507">
        <f t="shared" si="94"/>
        <v>0</v>
      </c>
    </row>
    <row r="508" spans="1:34">
      <c r="A508" t="str">
        <f>IF(资金日记账!$F206="","",资金日记账!$F206)</f>
        <v/>
      </c>
      <c r="B508">
        <f t="shared" si="87"/>
        <v>0</v>
      </c>
      <c r="C508">
        <f t="shared" si="88"/>
        <v>0</v>
      </c>
      <c r="G508">
        <f>IF(OR($G$1="",资金日记账!$E501="",资金日记账!$E501&lt;&gt;$G$1),0,IF(NOT(OR(N(资金日记账!$H501)&lt;&gt;0,N(资金日记账!$I501)&lt;&gt;0)),0,IF(资金日记账!$B501="",1,IF(OR(N(资金日记账!$B501)&lt;$H$1,N(资金日记账!$B501)&gt;$I$1),0,1))))</f>
        <v>0</v>
      </c>
      <c r="H508">
        <f t="shared" si="89"/>
        <v>0</v>
      </c>
      <c r="I508" t="str">
        <f>IF($G508=0,"",IF(资金日记账!$B501=0,"",资金日记账!$B501))</f>
        <v/>
      </c>
      <c r="J508" t="str">
        <f>IF($G508=0,"",IF(资金日记账!$D501=0,"",资金日记账!$D501))</f>
        <v/>
      </c>
      <c r="K508" t="str">
        <f t="shared" si="95"/>
        <v/>
      </c>
      <c r="L508" t="str">
        <f t="shared" si="96"/>
        <v/>
      </c>
      <c r="M508" t="str">
        <f t="shared" si="90"/>
        <v/>
      </c>
      <c r="N508" t="str">
        <f>IF($G508=0,"",IF(IF(N(资金日记账!$I501)=0,"",-ROUND(N(资金日记账!$I501),2))=0,"",IF(N(资金日记账!$I501)=0,"",-ROUND(N(资金日记账!$I501),2))))</f>
        <v/>
      </c>
      <c r="O508" t="str">
        <f>IF($G508=0,"",IF(IF(N(资金日记账!$H501)=0,"",ROUND(N(资金日记账!$H501),2))=0,"",IF(N(资金日记账!$H501)=0,"",ROUND(N(资金日记账!$H501),2))))</f>
        <v/>
      </c>
      <c r="P508" t="str">
        <f>IF($G508=0,"",IF(资金日记账!$L501=0,"",资金日记账!$L501))</f>
        <v/>
      </c>
      <c r="T508" t="str">
        <f>IF(资金日记账!$G508="","",资金日记账!$G508)</f>
        <v/>
      </c>
      <c r="U508">
        <f t="shared" si="91"/>
        <v>0</v>
      </c>
      <c r="V508">
        <f t="shared" si="92"/>
        <v>0</v>
      </c>
      <c r="AF508" t="str">
        <f>IF(OR(资金日记账!$E508="",N(资金日记账!$H508)=0),"",资金日记账!$E508)</f>
        <v/>
      </c>
      <c r="AG508">
        <f t="shared" si="93"/>
        <v>0</v>
      </c>
      <c r="AH508">
        <f t="shared" si="94"/>
        <v>0</v>
      </c>
    </row>
    <row r="509" spans="1:34">
      <c r="A509" t="str">
        <f>IF(资金日记账!$F207="","",资金日记账!$F207)</f>
        <v/>
      </c>
      <c r="B509">
        <f t="shared" si="87"/>
        <v>0</v>
      </c>
      <c r="C509">
        <f t="shared" si="88"/>
        <v>0</v>
      </c>
      <c r="G509">
        <f>IF(OR($G$1="",资金日记账!$E502="",资金日记账!$E502&lt;&gt;$G$1),0,IF(NOT(OR(N(资金日记账!$H502)&lt;&gt;0,N(资金日记账!$I502)&lt;&gt;0)),0,IF(资金日记账!$B502="",1,IF(OR(N(资金日记账!$B502)&lt;$H$1,N(资金日记账!$B502)&gt;$I$1),0,1))))</f>
        <v>0</v>
      </c>
      <c r="H509">
        <f t="shared" si="89"/>
        <v>0</v>
      </c>
      <c r="I509" t="str">
        <f>IF($G509=0,"",IF(资金日记账!$B502=0,"",资金日记账!$B502))</f>
        <v/>
      </c>
      <c r="J509" t="str">
        <f>IF($G509=0,"",IF(资金日记账!$D502=0,"",资金日记账!$D502))</f>
        <v/>
      </c>
      <c r="K509" t="str">
        <f t="shared" si="95"/>
        <v/>
      </c>
      <c r="L509" t="str">
        <f t="shared" si="96"/>
        <v/>
      </c>
      <c r="M509" t="str">
        <f t="shared" si="90"/>
        <v/>
      </c>
      <c r="N509" t="str">
        <f>IF($G509=0,"",IF(IF(N(资金日记账!$I502)=0,"",-ROUND(N(资金日记账!$I502),2))=0,"",IF(N(资金日记账!$I502)=0,"",-ROUND(N(资金日记账!$I502),2))))</f>
        <v/>
      </c>
      <c r="O509" t="str">
        <f>IF($G509=0,"",IF(IF(N(资金日记账!$H502)=0,"",ROUND(N(资金日记账!$H502),2))=0,"",IF(N(资金日记账!$H502)=0,"",ROUND(N(资金日记账!$H502),2))))</f>
        <v/>
      </c>
      <c r="P509" t="str">
        <f>IF($G509=0,"",IF(资金日记账!$L502=0,"",资金日记账!$L502))</f>
        <v/>
      </c>
      <c r="T509" t="str">
        <f>IF(资金日记账!$G509="","",资金日记账!$G509)</f>
        <v/>
      </c>
      <c r="U509">
        <f t="shared" si="91"/>
        <v>0</v>
      </c>
      <c r="V509">
        <f t="shared" si="92"/>
        <v>0</v>
      </c>
      <c r="AF509" t="str">
        <f>IF(OR(资金日记账!$E509="",N(资金日记账!$H509)=0),"",资金日记账!$E509)</f>
        <v/>
      </c>
      <c r="AG509">
        <f t="shared" si="93"/>
        <v>0</v>
      </c>
      <c r="AH509">
        <f t="shared" si="94"/>
        <v>0</v>
      </c>
    </row>
    <row r="510" spans="1:34">
      <c r="A510" t="str">
        <f>IF(资金日记账!$F208="","",资金日记账!$F208)</f>
        <v/>
      </c>
      <c r="B510">
        <f t="shared" si="87"/>
        <v>0</v>
      </c>
      <c r="C510">
        <f t="shared" si="88"/>
        <v>0</v>
      </c>
      <c r="G510">
        <f>IF(OR($G$1="",资金日记账!$E503="",资金日记账!$E503&lt;&gt;$G$1),0,IF(NOT(OR(N(资金日记账!$H503)&lt;&gt;0,N(资金日记账!$I503)&lt;&gt;0)),0,IF(资金日记账!$B503="",1,IF(OR(N(资金日记账!$B503)&lt;$H$1,N(资金日记账!$B503)&gt;$I$1),0,1))))</f>
        <v>0</v>
      </c>
      <c r="H510">
        <f t="shared" si="89"/>
        <v>0</v>
      </c>
      <c r="I510" t="str">
        <f>IF($G510=0,"",IF(资金日记账!$B503=0,"",资金日记账!$B503))</f>
        <v/>
      </c>
      <c r="J510" t="str">
        <f>IF($G510=0,"",IF(资金日记账!$D503=0,"",资金日记账!$D503))</f>
        <v/>
      </c>
      <c r="K510" t="str">
        <f t="shared" si="95"/>
        <v/>
      </c>
      <c r="L510" t="str">
        <f t="shared" si="96"/>
        <v/>
      </c>
      <c r="M510" t="str">
        <f t="shared" si="90"/>
        <v/>
      </c>
      <c r="N510" t="str">
        <f>IF($G510=0,"",IF(IF(N(资金日记账!$I503)=0,"",-ROUND(N(资金日记账!$I503),2))=0,"",IF(N(资金日记账!$I503)=0,"",-ROUND(N(资金日记账!$I503),2))))</f>
        <v/>
      </c>
      <c r="O510" t="str">
        <f>IF($G510=0,"",IF(IF(N(资金日记账!$H503)=0,"",ROUND(N(资金日记账!$H503),2))=0,"",IF(N(资金日记账!$H503)=0,"",ROUND(N(资金日记账!$H503),2))))</f>
        <v/>
      </c>
      <c r="P510" t="str">
        <f>IF($G510=0,"",IF(资金日记账!$L503=0,"",资金日记账!$L503))</f>
        <v/>
      </c>
      <c r="T510" t="str">
        <f>IF(资金日记账!$G510="","",资金日记账!$G510)</f>
        <v/>
      </c>
      <c r="U510">
        <f t="shared" si="91"/>
        <v>0</v>
      </c>
      <c r="V510">
        <f t="shared" si="92"/>
        <v>0</v>
      </c>
      <c r="AF510" t="str">
        <f>IF(OR(资金日记账!$E510="",N(资金日记账!$H510)=0),"",资金日记账!$E510)</f>
        <v/>
      </c>
      <c r="AG510">
        <f t="shared" si="93"/>
        <v>0</v>
      </c>
      <c r="AH510">
        <f t="shared" si="94"/>
        <v>0</v>
      </c>
    </row>
    <row r="511" spans="1:34">
      <c r="A511" t="str">
        <f>IF(资金日记账!$F209="","",资金日记账!$F209)</f>
        <v/>
      </c>
      <c r="B511">
        <f t="shared" si="87"/>
        <v>0</v>
      </c>
      <c r="C511">
        <f t="shared" si="88"/>
        <v>0</v>
      </c>
      <c r="G511">
        <f>IF(OR($G$1="",资金日记账!$E504="",资金日记账!$E504&lt;&gt;$G$1),0,IF(NOT(OR(N(资金日记账!$H504)&lt;&gt;0,N(资金日记账!$I504)&lt;&gt;0)),0,IF(资金日记账!$B504="",1,IF(OR(N(资金日记账!$B504)&lt;$H$1,N(资金日记账!$B504)&gt;$I$1),0,1))))</f>
        <v>0</v>
      </c>
      <c r="H511">
        <f t="shared" si="89"/>
        <v>0</v>
      </c>
      <c r="I511" t="str">
        <f>IF($G511=0,"",IF(资金日记账!$B504=0,"",资金日记账!$B504))</f>
        <v/>
      </c>
      <c r="J511" t="str">
        <f>IF($G511=0,"",IF(资金日记账!$D504=0,"",资金日记账!$D504))</f>
        <v/>
      </c>
      <c r="K511" t="str">
        <f t="shared" si="95"/>
        <v/>
      </c>
      <c r="L511" t="str">
        <f t="shared" si="96"/>
        <v/>
      </c>
      <c r="M511" t="str">
        <f t="shared" si="90"/>
        <v/>
      </c>
      <c r="N511" t="str">
        <f>IF($G511=0,"",IF(IF(N(资金日记账!$I504)=0,"",-ROUND(N(资金日记账!$I504),2))=0,"",IF(N(资金日记账!$I504)=0,"",-ROUND(N(资金日记账!$I504),2))))</f>
        <v/>
      </c>
      <c r="O511" t="str">
        <f>IF($G511=0,"",IF(IF(N(资金日记账!$H504)=0,"",ROUND(N(资金日记账!$H504),2))=0,"",IF(N(资金日记账!$H504)=0,"",ROUND(N(资金日记账!$H504),2))))</f>
        <v/>
      </c>
      <c r="P511" t="str">
        <f>IF($G511=0,"",IF(资金日记账!$L504=0,"",资金日记账!$L504))</f>
        <v/>
      </c>
      <c r="T511" t="str">
        <f>IF(资金日记账!$G511="","",资金日记账!$G511)</f>
        <v/>
      </c>
      <c r="U511">
        <f t="shared" si="91"/>
        <v>0</v>
      </c>
      <c r="V511">
        <f t="shared" si="92"/>
        <v>0</v>
      </c>
      <c r="AF511" t="str">
        <f>IF(OR(资金日记账!$E511="",N(资金日记账!$H511)=0),"",资金日记账!$E511)</f>
        <v/>
      </c>
      <c r="AG511">
        <f t="shared" si="93"/>
        <v>0</v>
      </c>
      <c r="AH511">
        <f t="shared" si="94"/>
        <v>0</v>
      </c>
    </row>
    <row r="512" spans="1:34">
      <c r="A512" t="str">
        <f>IF(资金日记账!$F210="","",资金日记账!$F210)</f>
        <v/>
      </c>
      <c r="B512">
        <f t="shared" si="87"/>
        <v>0</v>
      </c>
      <c r="C512">
        <f t="shared" si="88"/>
        <v>0</v>
      </c>
      <c r="G512">
        <f>IF(OR($G$1="",资金日记账!$E505="",资金日记账!$E505&lt;&gt;$G$1),0,IF(NOT(OR(N(资金日记账!$H505)&lt;&gt;0,N(资金日记账!$I505)&lt;&gt;0)),0,IF(资金日记账!$B505="",1,IF(OR(N(资金日记账!$B505)&lt;$H$1,N(资金日记账!$B505)&gt;$I$1),0,1))))</f>
        <v>0</v>
      </c>
      <c r="H512">
        <f t="shared" si="89"/>
        <v>0</v>
      </c>
      <c r="I512" t="str">
        <f>IF($G512=0,"",IF(资金日记账!$B505=0,"",资金日记账!$B505))</f>
        <v/>
      </c>
      <c r="J512" t="str">
        <f>IF($G512=0,"",IF(资金日记账!$D505=0,"",资金日记账!$D505))</f>
        <v/>
      </c>
      <c r="K512" t="str">
        <f t="shared" si="95"/>
        <v/>
      </c>
      <c r="L512" t="str">
        <f t="shared" si="96"/>
        <v/>
      </c>
      <c r="M512" t="str">
        <f t="shared" si="90"/>
        <v/>
      </c>
      <c r="N512" t="str">
        <f>IF($G512=0,"",IF(IF(N(资金日记账!$I505)=0,"",-ROUND(N(资金日记账!$I505),2))=0,"",IF(N(资金日记账!$I505)=0,"",-ROUND(N(资金日记账!$I505),2))))</f>
        <v/>
      </c>
      <c r="O512" t="str">
        <f>IF($G512=0,"",IF(IF(N(资金日记账!$H505)=0,"",ROUND(N(资金日记账!$H505),2))=0,"",IF(N(资金日记账!$H505)=0,"",ROUND(N(资金日记账!$H505),2))))</f>
        <v/>
      </c>
      <c r="P512" t="str">
        <f>IF($G512=0,"",IF(资金日记账!$L505=0,"",资金日记账!$L505))</f>
        <v/>
      </c>
      <c r="T512" t="str">
        <f>IF(资金日记账!$G512="","",资金日记账!$G512)</f>
        <v/>
      </c>
      <c r="U512">
        <f t="shared" si="91"/>
        <v>0</v>
      </c>
      <c r="V512">
        <f t="shared" si="92"/>
        <v>0</v>
      </c>
      <c r="AF512" t="str">
        <f>IF(OR(资金日记账!$E512="",N(资金日记账!$H512)=0),"",资金日记账!$E512)</f>
        <v/>
      </c>
      <c r="AG512">
        <f t="shared" si="93"/>
        <v>0</v>
      </c>
      <c r="AH512">
        <f t="shared" si="94"/>
        <v>0</v>
      </c>
    </row>
    <row r="513" spans="1:34">
      <c r="A513" t="str">
        <f>IF(资金日记账!$F211="","",资金日记账!$F211)</f>
        <v/>
      </c>
      <c r="B513">
        <f t="shared" si="87"/>
        <v>0</v>
      </c>
      <c r="C513">
        <f t="shared" si="88"/>
        <v>0</v>
      </c>
      <c r="G513">
        <f>IF(OR($G$1="",资金日记账!$E506="",资金日记账!$E506&lt;&gt;$G$1),0,IF(NOT(OR(N(资金日记账!$H506)&lt;&gt;0,N(资金日记账!$I506)&lt;&gt;0)),0,IF(资金日记账!$B506="",1,IF(OR(N(资金日记账!$B506)&lt;$H$1,N(资金日记账!$B506)&gt;$I$1),0,1))))</f>
        <v>0</v>
      </c>
      <c r="H513">
        <f t="shared" si="89"/>
        <v>0</v>
      </c>
      <c r="I513" t="str">
        <f>IF($G513=0,"",IF(资金日记账!$B506=0,"",资金日记账!$B506))</f>
        <v/>
      </c>
      <c r="J513" t="str">
        <f>IF($G513=0,"",IF(资金日记账!$D506=0,"",资金日记账!$D506))</f>
        <v/>
      </c>
      <c r="K513" t="str">
        <f t="shared" si="95"/>
        <v/>
      </c>
      <c r="L513" t="str">
        <f t="shared" si="96"/>
        <v/>
      </c>
      <c r="M513" t="str">
        <f t="shared" si="90"/>
        <v/>
      </c>
      <c r="N513" t="str">
        <f>IF($G513=0,"",IF(IF(N(资金日记账!$I506)=0,"",-ROUND(N(资金日记账!$I506),2))=0,"",IF(N(资金日记账!$I506)=0,"",-ROUND(N(资金日记账!$I506),2))))</f>
        <v/>
      </c>
      <c r="O513" t="str">
        <f>IF($G513=0,"",IF(IF(N(资金日记账!$H506)=0,"",ROUND(N(资金日记账!$H506),2))=0,"",IF(N(资金日记账!$H506)=0,"",ROUND(N(资金日记账!$H506),2))))</f>
        <v/>
      </c>
      <c r="P513" t="str">
        <f>IF($G513=0,"",IF(资金日记账!$L506=0,"",资金日记账!$L506))</f>
        <v/>
      </c>
      <c r="T513" t="str">
        <f>IF(资金日记账!$G513="","",资金日记账!$G513)</f>
        <v/>
      </c>
      <c r="U513">
        <f t="shared" si="91"/>
        <v>0</v>
      </c>
      <c r="V513">
        <f t="shared" si="92"/>
        <v>0</v>
      </c>
      <c r="AF513" t="str">
        <f>IF(OR(资金日记账!$E513="",N(资金日记账!$H513)=0),"",资金日记账!$E513)</f>
        <v/>
      </c>
      <c r="AG513">
        <f t="shared" si="93"/>
        <v>0</v>
      </c>
      <c r="AH513">
        <f t="shared" si="94"/>
        <v>0</v>
      </c>
    </row>
    <row r="514" spans="1:34">
      <c r="A514" t="str">
        <f>IF(资金日记账!$F212="","",资金日记账!$F212)</f>
        <v/>
      </c>
      <c r="B514">
        <f t="shared" si="87"/>
        <v>0</v>
      </c>
      <c r="C514">
        <f t="shared" si="88"/>
        <v>0</v>
      </c>
      <c r="G514">
        <f>IF(OR($G$1="",资金日记账!$E507="",资金日记账!$E507&lt;&gt;$G$1),0,IF(NOT(OR(N(资金日记账!$H507)&lt;&gt;0,N(资金日记账!$I507)&lt;&gt;0)),0,IF(资金日记账!$B507="",1,IF(OR(N(资金日记账!$B507)&lt;$H$1,N(资金日记账!$B507)&gt;$I$1),0,1))))</f>
        <v>0</v>
      </c>
      <c r="H514">
        <f t="shared" si="89"/>
        <v>0</v>
      </c>
      <c r="I514" t="str">
        <f>IF($G514=0,"",IF(资金日记账!$B507=0,"",资金日记账!$B507))</f>
        <v/>
      </c>
      <c r="J514" t="str">
        <f>IF($G514=0,"",IF(资金日记账!$D507=0,"",资金日记账!$D507))</f>
        <v/>
      </c>
      <c r="K514" t="str">
        <f t="shared" si="95"/>
        <v/>
      </c>
      <c r="L514" t="str">
        <f t="shared" si="96"/>
        <v/>
      </c>
      <c r="M514" t="str">
        <f t="shared" si="90"/>
        <v/>
      </c>
      <c r="N514" t="str">
        <f>IF($G514=0,"",IF(IF(N(资金日记账!$I507)=0,"",-ROUND(N(资金日记账!$I507),2))=0,"",IF(N(资金日记账!$I507)=0,"",-ROUND(N(资金日记账!$I507),2))))</f>
        <v/>
      </c>
      <c r="O514" t="str">
        <f>IF($G514=0,"",IF(IF(N(资金日记账!$H507)=0,"",ROUND(N(资金日记账!$H507),2))=0,"",IF(N(资金日记账!$H507)=0,"",ROUND(N(资金日记账!$H507),2))))</f>
        <v/>
      </c>
      <c r="P514" t="str">
        <f>IF($G514=0,"",IF(资金日记账!$L507=0,"",资金日记账!$L507))</f>
        <v/>
      </c>
      <c r="T514" t="str">
        <f>IF(资金日记账!$G514="","",资金日记账!$G514)</f>
        <v/>
      </c>
      <c r="U514">
        <f t="shared" si="91"/>
        <v>0</v>
      </c>
      <c r="V514">
        <f t="shared" si="92"/>
        <v>0</v>
      </c>
      <c r="AF514" t="str">
        <f>IF(OR(资金日记账!$E514="",N(资金日记账!$H514)=0),"",资金日记账!$E514)</f>
        <v/>
      </c>
      <c r="AG514">
        <f t="shared" si="93"/>
        <v>0</v>
      </c>
      <c r="AH514">
        <f t="shared" si="94"/>
        <v>0</v>
      </c>
    </row>
    <row r="515" spans="1:34">
      <c r="A515" t="str">
        <f>IF(资金日记账!$F213="","",资金日记账!$F213)</f>
        <v/>
      </c>
      <c r="B515">
        <f t="shared" si="87"/>
        <v>0</v>
      </c>
      <c r="C515">
        <f t="shared" si="88"/>
        <v>0</v>
      </c>
      <c r="G515">
        <f>IF(OR($G$1="",资金日记账!$E508="",资金日记账!$E508&lt;&gt;$G$1),0,IF(NOT(OR(N(资金日记账!$H508)&lt;&gt;0,N(资金日记账!$I508)&lt;&gt;0)),0,IF(资金日记账!$B508="",1,IF(OR(N(资金日记账!$B508)&lt;$H$1,N(资金日记账!$B508)&gt;$I$1),0,1))))</f>
        <v>0</v>
      </c>
      <c r="H515">
        <f t="shared" si="89"/>
        <v>0</v>
      </c>
      <c r="I515" t="str">
        <f>IF($G515=0,"",IF(资金日记账!$B508=0,"",资金日记账!$B508))</f>
        <v/>
      </c>
      <c r="J515" t="str">
        <f>IF($G515=0,"",IF(资金日记账!$D508=0,"",资金日记账!$D508))</f>
        <v/>
      </c>
      <c r="K515" t="str">
        <f t="shared" si="95"/>
        <v/>
      </c>
      <c r="L515" t="str">
        <f t="shared" si="96"/>
        <v/>
      </c>
      <c r="M515" t="str">
        <f t="shared" si="90"/>
        <v/>
      </c>
      <c r="N515" t="str">
        <f>IF($G515=0,"",IF(IF(N(资金日记账!$I508)=0,"",-ROUND(N(资金日记账!$I508),2))=0,"",IF(N(资金日记账!$I508)=0,"",-ROUND(N(资金日记账!$I508),2))))</f>
        <v/>
      </c>
      <c r="O515" t="str">
        <f>IF($G515=0,"",IF(IF(N(资金日记账!$H508)=0,"",ROUND(N(资金日记账!$H508),2))=0,"",IF(N(资金日记账!$H508)=0,"",ROUND(N(资金日记账!$H508),2))))</f>
        <v/>
      </c>
      <c r="P515" t="str">
        <f>IF($G515=0,"",IF(资金日记账!$L508=0,"",资金日记账!$L508))</f>
        <v/>
      </c>
      <c r="T515" t="str">
        <f>IF(资金日记账!$G515="","",资金日记账!$G515)</f>
        <v/>
      </c>
      <c r="U515">
        <f t="shared" si="91"/>
        <v>0</v>
      </c>
      <c r="V515">
        <f t="shared" si="92"/>
        <v>0</v>
      </c>
      <c r="AF515" t="str">
        <f>IF(OR(资金日记账!$E515="",N(资金日记账!$H515)=0),"",资金日记账!$E515)</f>
        <v/>
      </c>
      <c r="AG515">
        <f t="shared" si="93"/>
        <v>0</v>
      </c>
      <c r="AH515">
        <f t="shared" si="94"/>
        <v>0</v>
      </c>
    </row>
    <row r="516" spans="1:34">
      <c r="A516" t="str">
        <f>IF(资金日记账!$F214="","",资金日记账!$F214)</f>
        <v/>
      </c>
      <c r="B516">
        <f t="shared" ref="B516:B579" si="97">IF(A516="",0,IF(MATCH(A516,$A$4:$A$1805,0)=ROW()-3,1,0))</f>
        <v>0</v>
      </c>
      <c r="C516">
        <f t="shared" ref="C516:C579" si="98">N(C515)+B516</f>
        <v>0</v>
      </c>
      <c r="G516">
        <f>IF(OR($G$1="",资金日记账!$E509="",资金日记账!$E509&lt;&gt;$G$1),0,IF(NOT(OR(N(资金日记账!$H509)&lt;&gt;0,N(资金日记账!$I509)&lt;&gt;0)),0,IF(资金日记账!$B509="",1,IF(OR(N(资金日记账!$B509)&lt;$H$1,N(资金日记账!$B509)&gt;$I$1),0,1))))</f>
        <v>0</v>
      </c>
      <c r="H516">
        <f t="shared" ref="H516:H579" si="99">N(H515)+$G516</f>
        <v>0</v>
      </c>
      <c r="I516" t="str">
        <f>IF($G516=0,"",IF(资金日记账!$B509=0,"",资金日记账!$B509))</f>
        <v/>
      </c>
      <c r="J516" t="str">
        <f>IF($G516=0,"",IF(资金日记账!$D509=0,"",资金日记账!$D509))</f>
        <v/>
      </c>
      <c r="K516" t="str">
        <f t="shared" si="95"/>
        <v/>
      </c>
      <c r="L516" t="str">
        <f t="shared" si="96"/>
        <v/>
      </c>
      <c r="M516" t="str">
        <f t="shared" ref="M516:M579" si="100">IF($G516=0,"",IF(""=0,"",""))</f>
        <v/>
      </c>
      <c r="N516" t="str">
        <f>IF($G516=0,"",IF(IF(N(资金日记账!$I509)=0,"",-ROUND(N(资金日记账!$I509),2))=0,"",IF(N(资金日记账!$I509)=0,"",-ROUND(N(资金日记账!$I509),2))))</f>
        <v/>
      </c>
      <c r="O516" t="str">
        <f>IF($G516=0,"",IF(IF(N(资金日记账!$H509)=0,"",ROUND(N(资金日记账!$H509),2))=0,"",IF(N(资金日记账!$H509)=0,"",ROUND(N(资金日记账!$H509),2))))</f>
        <v/>
      </c>
      <c r="P516" t="str">
        <f>IF($G516=0,"",IF(资金日记账!$L509=0,"",资金日记账!$L509))</f>
        <v/>
      </c>
      <c r="T516" t="str">
        <f>IF(资金日记账!$G516="","",资金日记账!$G516)</f>
        <v/>
      </c>
      <c r="U516">
        <f t="shared" ref="U516:U579" si="101">IF(T516="",0,IF(MATCH(T516,$T$4:$T$903,0)=ROW()-3,1,0))</f>
        <v>0</v>
      </c>
      <c r="V516">
        <f t="shared" ref="V516:V579" si="102">N(V515)+U516</f>
        <v>0</v>
      </c>
      <c r="AF516" t="str">
        <f>IF(OR(资金日记账!$E516="",N(资金日记账!$H516)=0),"",资金日记账!$E516)</f>
        <v/>
      </c>
      <c r="AG516">
        <f t="shared" ref="AG516:AG579" si="103">IF(AF516="",0,IF(MATCH(AF516,$AF$4:$AF$603,0)=ROW()-3,1,0))</f>
        <v>0</v>
      </c>
      <c r="AH516">
        <f t="shared" ref="AH516:AH579" si="104">N(AH515)+AG516</f>
        <v>0</v>
      </c>
    </row>
    <row r="517" spans="1:34">
      <c r="A517" t="str">
        <f>IF(资金日记账!$F215="","",资金日记账!$F215)</f>
        <v/>
      </c>
      <c r="B517">
        <f t="shared" si="97"/>
        <v>0</v>
      </c>
      <c r="C517">
        <f t="shared" si="98"/>
        <v>0</v>
      </c>
      <c r="G517">
        <f>IF(OR($G$1="",资金日记账!$E510="",资金日记账!$E510&lt;&gt;$G$1),0,IF(NOT(OR(N(资金日记账!$H510)&lt;&gt;0,N(资金日记账!$I510)&lt;&gt;0)),0,IF(资金日记账!$B510="",1,IF(OR(N(资金日记账!$B510)&lt;$H$1,N(资金日记账!$B510)&gt;$I$1),0,1))))</f>
        <v>0</v>
      </c>
      <c r="H517">
        <f t="shared" si="99"/>
        <v>0</v>
      </c>
      <c r="I517" t="str">
        <f>IF($G517=0,"",IF(资金日记账!$B510=0,"",资金日记账!$B510))</f>
        <v/>
      </c>
      <c r="J517" t="str">
        <f>IF($G517=0,"",IF(资金日记账!$D510=0,"",资金日记账!$D510))</f>
        <v/>
      </c>
      <c r="K517" t="str">
        <f t="shared" si="95"/>
        <v/>
      </c>
      <c r="L517" t="str">
        <f t="shared" si="96"/>
        <v/>
      </c>
      <c r="M517" t="str">
        <f t="shared" si="100"/>
        <v/>
      </c>
      <c r="N517" t="str">
        <f>IF($G517=0,"",IF(IF(N(资金日记账!$I510)=0,"",-ROUND(N(资金日记账!$I510),2))=0,"",IF(N(资金日记账!$I510)=0,"",-ROUND(N(资金日记账!$I510),2))))</f>
        <v/>
      </c>
      <c r="O517" t="str">
        <f>IF($G517=0,"",IF(IF(N(资金日记账!$H510)=0,"",ROUND(N(资金日记账!$H510),2))=0,"",IF(N(资金日记账!$H510)=0,"",ROUND(N(资金日记账!$H510),2))))</f>
        <v/>
      </c>
      <c r="P517" t="str">
        <f>IF($G517=0,"",IF(资金日记账!$L510=0,"",资金日记账!$L510))</f>
        <v/>
      </c>
      <c r="T517" t="str">
        <f>IF(资金日记账!$G517="","",资金日记账!$G517)</f>
        <v/>
      </c>
      <c r="U517">
        <f t="shared" si="101"/>
        <v>0</v>
      </c>
      <c r="V517">
        <f t="shared" si="102"/>
        <v>0</v>
      </c>
      <c r="AF517" t="str">
        <f>IF(OR(资金日记账!$E517="",N(资金日记账!$H517)=0),"",资金日记账!$E517)</f>
        <v/>
      </c>
      <c r="AG517">
        <f t="shared" si="103"/>
        <v>0</v>
      </c>
      <c r="AH517">
        <f t="shared" si="104"/>
        <v>0</v>
      </c>
    </row>
    <row r="518" spans="1:34">
      <c r="A518" t="str">
        <f>IF(资金日记账!$F216="","",资金日记账!$F216)</f>
        <v/>
      </c>
      <c r="B518">
        <f t="shared" si="97"/>
        <v>0</v>
      </c>
      <c r="C518">
        <f t="shared" si="98"/>
        <v>0</v>
      </c>
      <c r="G518">
        <f>IF(OR($G$1="",资金日记账!$E511="",资金日记账!$E511&lt;&gt;$G$1),0,IF(NOT(OR(N(资金日记账!$H511)&lt;&gt;0,N(资金日记账!$I511)&lt;&gt;0)),0,IF(资金日记账!$B511="",1,IF(OR(N(资金日记账!$B511)&lt;$H$1,N(资金日记账!$B511)&gt;$I$1),0,1))))</f>
        <v>0</v>
      </c>
      <c r="H518">
        <f t="shared" si="99"/>
        <v>0</v>
      </c>
      <c r="I518" t="str">
        <f>IF($G518=0,"",IF(资金日记账!$B511=0,"",资金日记账!$B511))</f>
        <v/>
      </c>
      <c r="J518" t="str">
        <f>IF($G518=0,"",IF(资金日记账!$D511=0,"",资金日记账!$D511))</f>
        <v/>
      </c>
      <c r="K518" t="str">
        <f t="shared" si="95"/>
        <v/>
      </c>
      <c r="L518" t="str">
        <f t="shared" si="96"/>
        <v/>
      </c>
      <c r="M518" t="str">
        <f t="shared" si="100"/>
        <v/>
      </c>
      <c r="N518" t="str">
        <f>IF($G518=0,"",IF(IF(N(资金日记账!$I511)=0,"",-ROUND(N(资金日记账!$I511),2))=0,"",IF(N(资金日记账!$I511)=0,"",-ROUND(N(资金日记账!$I511),2))))</f>
        <v/>
      </c>
      <c r="O518" t="str">
        <f>IF($G518=0,"",IF(IF(N(资金日记账!$H511)=0,"",ROUND(N(资金日记账!$H511),2))=0,"",IF(N(资金日记账!$H511)=0,"",ROUND(N(资金日记账!$H511),2))))</f>
        <v/>
      </c>
      <c r="P518" t="str">
        <f>IF($G518=0,"",IF(资金日记账!$L511=0,"",资金日记账!$L511))</f>
        <v/>
      </c>
      <c r="T518" t="str">
        <f>IF(资金日记账!$G518="","",资金日记账!$G518)</f>
        <v/>
      </c>
      <c r="U518">
        <f t="shared" si="101"/>
        <v>0</v>
      </c>
      <c r="V518">
        <f t="shared" si="102"/>
        <v>0</v>
      </c>
      <c r="AF518" t="str">
        <f>IF(OR(资金日记账!$E518="",N(资金日记账!$H518)=0),"",资金日记账!$E518)</f>
        <v/>
      </c>
      <c r="AG518">
        <f t="shared" si="103"/>
        <v>0</v>
      </c>
      <c r="AH518">
        <f t="shared" si="104"/>
        <v>0</v>
      </c>
    </row>
    <row r="519" spans="1:34">
      <c r="A519" t="str">
        <f>IF(资金日记账!$F217="","",资金日记账!$F217)</f>
        <v/>
      </c>
      <c r="B519">
        <f t="shared" si="97"/>
        <v>0</v>
      </c>
      <c r="C519">
        <f t="shared" si="98"/>
        <v>0</v>
      </c>
      <c r="G519">
        <f>IF(OR($G$1="",资金日记账!$E512="",资金日记账!$E512&lt;&gt;$G$1),0,IF(NOT(OR(N(资金日记账!$H512)&lt;&gt;0,N(资金日记账!$I512)&lt;&gt;0)),0,IF(资金日记账!$B512="",1,IF(OR(N(资金日记账!$B512)&lt;$H$1,N(资金日记账!$B512)&gt;$I$1),0,1))))</f>
        <v>0</v>
      </c>
      <c r="H519">
        <f t="shared" si="99"/>
        <v>0</v>
      </c>
      <c r="I519" t="str">
        <f>IF($G519=0,"",IF(资金日记账!$B512=0,"",资金日记账!$B512))</f>
        <v/>
      </c>
      <c r="J519" t="str">
        <f>IF($G519=0,"",IF(资金日记账!$D512=0,"",资金日记账!$D512))</f>
        <v/>
      </c>
      <c r="K519" t="str">
        <f t="shared" ref="K519:K582" si="105">IF($G519=0,"",IF(""=0,"",""))</f>
        <v/>
      </c>
      <c r="L519" t="str">
        <f t="shared" ref="L519:L582" si="106">IF($G519=0,"",IF(""=0,"",""))</f>
        <v/>
      </c>
      <c r="M519" t="str">
        <f t="shared" si="100"/>
        <v/>
      </c>
      <c r="N519" t="str">
        <f>IF($G519=0,"",IF(IF(N(资金日记账!$I512)=0,"",-ROUND(N(资金日记账!$I512),2))=0,"",IF(N(资金日记账!$I512)=0,"",-ROUND(N(资金日记账!$I512),2))))</f>
        <v/>
      </c>
      <c r="O519" t="str">
        <f>IF($G519=0,"",IF(IF(N(资金日记账!$H512)=0,"",ROUND(N(资金日记账!$H512),2))=0,"",IF(N(资金日记账!$H512)=0,"",ROUND(N(资金日记账!$H512),2))))</f>
        <v/>
      </c>
      <c r="P519" t="str">
        <f>IF($G519=0,"",IF(资金日记账!$L512=0,"",资金日记账!$L512))</f>
        <v/>
      </c>
      <c r="T519" t="str">
        <f>IF(资金日记账!$G519="","",资金日记账!$G519)</f>
        <v/>
      </c>
      <c r="U519">
        <f t="shared" si="101"/>
        <v>0</v>
      </c>
      <c r="V519">
        <f t="shared" si="102"/>
        <v>0</v>
      </c>
      <c r="AF519" t="str">
        <f>IF(OR(资金日记账!$E519="",N(资金日记账!$H519)=0),"",资金日记账!$E519)</f>
        <v/>
      </c>
      <c r="AG519">
        <f t="shared" si="103"/>
        <v>0</v>
      </c>
      <c r="AH519">
        <f t="shared" si="104"/>
        <v>0</v>
      </c>
    </row>
    <row r="520" spans="1:34">
      <c r="A520" t="str">
        <f>IF(资金日记账!$F218="","",资金日记账!$F218)</f>
        <v/>
      </c>
      <c r="B520">
        <f t="shared" si="97"/>
        <v>0</v>
      </c>
      <c r="C520">
        <f t="shared" si="98"/>
        <v>0</v>
      </c>
      <c r="G520">
        <f>IF(OR($G$1="",资金日记账!$E513="",资金日记账!$E513&lt;&gt;$G$1),0,IF(NOT(OR(N(资金日记账!$H513)&lt;&gt;0,N(资金日记账!$I513)&lt;&gt;0)),0,IF(资金日记账!$B513="",1,IF(OR(N(资金日记账!$B513)&lt;$H$1,N(资金日记账!$B513)&gt;$I$1),0,1))))</f>
        <v>0</v>
      </c>
      <c r="H520">
        <f t="shared" si="99"/>
        <v>0</v>
      </c>
      <c r="I520" t="str">
        <f>IF($G520=0,"",IF(资金日记账!$B513=0,"",资金日记账!$B513))</f>
        <v/>
      </c>
      <c r="J520" t="str">
        <f>IF($G520=0,"",IF(资金日记账!$D513=0,"",资金日记账!$D513))</f>
        <v/>
      </c>
      <c r="K520" t="str">
        <f t="shared" si="105"/>
        <v/>
      </c>
      <c r="L520" t="str">
        <f t="shared" si="106"/>
        <v/>
      </c>
      <c r="M520" t="str">
        <f t="shared" si="100"/>
        <v/>
      </c>
      <c r="N520" t="str">
        <f>IF($G520=0,"",IF(IF(N(资金日记账!$I513)=0,"",-ROUND(N(资金日记账!$I513),2))=0,"",IF(N(资金日记账!$I513)=0,"",-ROUND(N(资金日记账!$I513),2))))</f>
        <v/>
      </c>
      <c r="O520" t="str">
        <f>IF($G520=0,"",IF(IF(N(资金日记账!$H513)=0,"",ROUND(N(资金日记账!$H513),2))=0,"",IF(N(资金日记账!$H513)=0,"",ROUND(N(资金日记账!$H513),2))))</f>
        <v/>
      </c>
      <c r="P520" t="str">
        <f>IF($G520=0,"",IF(资金日记账!$L513=0,"",资金日记账!$L513))</f>
        <v/>
      </c>
      <c r="T520" t="str">
        <f>IF(资金日记账!$G520="","",资金日记账!$G520)</f>
        <v/>
      </c>
      <c r="U520">
        <f t="shared" si="101"/>
        <v>0</v>
      </c>
      <c r="V520">
        <f t="shared" si="102"/>
        <v>0</v>
      </c>
      <c r="AF520" t="str">
        <f>IF(OR(资金日记账!$E520="",N(资金日记账!$H520)=0),"",资金日记账!$E520)</f>
        <v/>
      </c>
      <c r="AG520">
        <f t="shared" si="103"/>
        <v>0</v>
      </c>
      <c r="AH520">
        <f t="shared" si="104"/>
        <v>0</v>
      </c>
    </row>
    <row r="521" spans="1:34">
      <c r="A521" t="str">
        <f>IF(资金日记账!$F219="","",资金日记账!$F219)</f>
        <v/>
      </c>
      <c r="B521">
        <f t="shared" si="97"/>
        <v>0</v>
      </c>
      <c r="C521">
        <f t="shared" si="98"/>
        <v>0</v>
      </c>
      <c r="G521">
        <f>IF(OR($G$1="",资金日记账!$E514="",资金日记账!$E514&lt;&gt;$G$1),0,IF(NOT(OR(N(资金日记账!$H514)&lt;&gt;0,N(资金日记账!$I514)&lt;&gt;0)),0,IF(资金日记账!$B514="",1,IF(OR(N(资金日记账!$B514)&lt;$H$1,N(资金日记账!$B514)&gt;$I$1),0,1))))</f>
        <v>0</v>
      </c>
      <c r="H521">
        <f t="shared" si="99"/>
        <v>0</v>
      </c>
      <c r="I521" t="str">
        <f>IF($G521=0,"",IF(资金日记账!$B514=0,"",资金日记账!$B514))</f>
        <v/>
      </c>
      <c r="J521" t="str">
        <f>IF($G521=0,"",IF(资金日记账!$D514=0,"",资金日记账!$D514))</f>
        <v/>
      </c>
      <c r="K521" t="str">
        <f t="shared" si="105"/>
        <v/>
      </c>
      <c r="L521" t="str">
        <f t="shared" si="106"/>
        <v/>
      </c>
      <c r="M521" t="str">
        <f t="shared" si="100"/>
        <v/>
      </c>
      <c r="N521" t="str">
        <f>IF($G521=0,"",IF(IF(N(资金日记账!$I514)=0,"",-ROUND(N(资金日记账!$I514),2))=0,"",IF(N(资金日记账!$I514)=0,"",-ROUND(N(资金日记账!$I514),2))))</f>
        <v/>
      </c>
      <c r="O521" t="str">
        <f>IF($G521=0,"",IF(IF(N(资金日记账!$H514)=0,"",ROUND(N(资金日记账!$H514),2))=0,"",IF(N(资金日记账!$H514)=0,"",ROUND(N(资金日记账!$H514),2))))</f>
        <v/>
      </c>
      <c r="P521" t="str">
        <f>IF($G521=0,"",IF(资金日记账!$L514=0,"",资金日记账!$L514))</f>
        <v/>
      </c>
      <c r="T521" t="str">
        <f>IF(资金日记账!$G521="","",资金日记账!$G521)</f>
        <v/>
      </c>
      <c r="U521">
        <f t="shared" si="101"/>
        <v>0</v>
      </c>
      <c r="V521">
        <f t="shared" si="102"/>
        <v>0</v>
      </c>
      <c r="AF521" t="str">
        <f>IF(OR(资金日记账!$E521="",N(资金日记账!$H521)=0),"",资金日记账!$E521)</f>
        <v/>
      </c>
      <c r="AG521">
        <f t="shared" si="103"/>
        <v>0</v>
      </c>
      <c r="AH521">
        <f t="shared" si="104"/>
        <v>0</v>
      </c>
    </row>
    <row r="522" spans="1:34">
      <c r="A522" t="str">
        <f>IF(资金日记账!$F220="","",资金日记账!$F220)</f>
        <v/>
      </c>
      <c r="B522">
        <f t="shared" si="97"/>
        <v>0</v>
      </c>
      <c r="C522">
        <f t="shared" si="98"/>
        <v>0</v>
      </c>
      <c r="G522">
        <f>IF(OR($G$1="",资金日记账!$E515="",资金日记账!$E515&lt;&gt;$G$1),0,IF(NOT(OR(N(资金日记账!$H515)&lt;&gt;0,N(资金日记账!$I515)&lt;&gt;0)),0,IF(资金日记账!$B515="",1,IF(OR(N(资金日记账!$B515)&lt;$H$1,N(资金日记账!$B515)&gt;$I$1),0,1))))</f>
        <v>0</v>
      </c>
      <c r="H522">
        <f t="shared" si="99"/>
        <v>0</v>
      </c>
      <c r="I522" t="str">
        <f>IF($G522=0,"",IF(资金日记账!$B515=0,"",资金日记账!$B515))</f>
        <v/>
      </c>
      <c r="J522" t="str">
        <f>IF($G522=0,"",IF(资金日记账!$D515=0,"",资金日记账!$D515))</f>
        <v/>
      </c>
      <c r="K522" t="str">
        <f t="shared" si="105"/>
        <v/>
      </c>
      <c r="L522" t="str">
        <f t="shared" si="106"/>
        <v/>
      </c>
      <c r="M522" t="str">
        <f t="shared" si="100"/>
        <v/>
      </c>
      <c r="N522" t="str">
        <f>IF($G522=0,"",IF(IF(N(资金日记账!$I515)=0,"",-ROUND(N(资金日记账!$I515),2))=0,"",IF(N(资金日记账!$I515)=0,"",-ROUND(N(资金日记账!$I515),2))))</f>
        <v/>
      </c>
      <c r="O522" t="str">
        <f>IF($G522=0,"",IF(IF(N(资金日记账!$H515)=0,"",ROUND(N(资金日记账!$H515),2))=0,"",IF(N(资金日记账!$H515)=0,"",ROUND(N(资金日记账!$H515),2))))</f>
        <v/>
      </c>
      <c r="P522" t="str">
        <f>IF($G522=0,"",IF(资金日记账!$L515=0,"",资金日记账!$L515))</f>
        <v/>
      </c>
      <c r="T522" t="str">
        <f>IF(资金日记账!$G522="","",资金日记账!$G522)</f>
        <v/>
      </c>
      <c r="U522">
        <f t="shared" si="101"/>
        <v>0</v>
      </c>
      <c r="V522">
        <f t="shared" si="102"/>
        <v>0</v>
      </c>
      <c r="AF522" t="str">
        <f>IF(OR(资金日记账!$E522="",N(资金日记账!$H522)=0),"",资金日记账!$E522)</f>
        <v/>
      </c>
      <c r="AG522">
        <f t="shared" si="103"/>
        <v>0</v>
      </c>
      <c r="AH522">
        <f t="shared" si="104"/>
        <v>0</v>
      </c>
    </row>
    <row r="523" spans="1:34">
      <c r="A523" t="str">
        <f>IF(资金日记账!$F221="","",资金日记账!$F221)</f>
        <v/>
      </c>
      <c r="B523">
        <f t="shared" si="97"/>
        <v>0</v>
      </c>
      <c r="C523">
        <f t="shared" si="98"/>
        <v>0</v>
      </c>
      <c r="G523">
        <f>IF(OR($G$1="",资金日记账!$E516="",资金日记账!$E516&lt;&gt;$G$1),0,IF(NOT(OR(N(资金日记账!$H516)&lt;&gt;0,N(资金日记账!$I516)&lt;&gt;0)),0,IF(资金日记账!$B516="",1,IF(OR(N(资金日记账!$B516)&lt;$H$1,N(资金日记账!$B516)&gt;$I$1),0,1))))</f>
        <v>0</v>
      </c>
      <c r="H523">
        <f t="shared" si="99"/>
        <v>0</v>
      </c>
      <c r="I523" t="str">
        <f>IF($G523=0,"",IF(资金日记账!$B516=0,"",资金日记账!$B516))</f>
        <v/>
      </c>
      <c r="J523" t="str">
        <f>IF($G523=0,"",IF(资金日记账!$D516=0,"",资金日记账!$D516))</f>
        <v/>
      </c>
      <c r="K523" t="str">
        <f t="shared" si="105"/>
        <v/>
      </c>
      <c r="L523" t="str">
        <f t="shared" si="106"/>
        <v/>
      </c>
      <c r="M523" t="str">
        <f t="shared" si="100"/>
        <v/>
      </c>
      <c r="N523" t="str">
        <f>IF($G523=0,"",IF(IF(N(资金日记账!$I516)=0,"",-ROUND(N(资金日记账!$I516),2))=0,"",IF(N(资金日记账!$I516)=0,"",-ROUND(N(资金日记账!$I516),2))))</f>
        <v/>
      </c>
      <c r="O523" t="str">
        <f>IF($G523=0,"",IF(IF(N(资金日记账!$H516)=0,"",ROUND(N(资金日记账!$H516),2))=0,"",IF(N(资金日记账!$H516)=0,"",ROUND(N(资金日记账!$H516),2))))</f>
        <v/>
      </c>
      <c r="P523" t="str">
        <f>IF($G523=0,"",IF(资金日记账!$L516=0,"",资金日记账!$L516))</f>
        <v/>
      </c>
      <c r="T523" t="str">
        <f>IF(资金日记账!$G523="","",资金日记账!$G523)</f>
        <v/>
      </c>
      <c r="U523">
        <f t="shared" si="101"/>
        <v>0</v>
      </c>
      <c r="V523">
        <f t="shared" si="102"/>
        <v>0</v>
      </c>
      <c r="AF523" t="str">
        <f>IF(OR(资金日记账!$E523="",N(资金日记账!$H523)=0),"",资金日记账!$E523)</f>
        <v/>
      </c>
      <c r="AG523">
        <f t="shared" si="103"/>
        <v>0</v>
      </c>
      <c r="AH523">
        <f t="shared" si="104"/>
        <v>0</v>
      </c>
    </row>
    <row r="524" spans="1:34">
      <c r="A524" t="str">
        <f>IF(资金日记账!$F222="","",资金日记账!$F222)</f>
        <v/>
      </c>
      <c r="B524">
        <f t="shared" si="97"/>
        <v>0</v>
      </c>
      <c r="C524">
        <f t="shared" si="98"/>
        <v>0</v>
      </c>
      <c r="G524">
        <f>IF(OR($G$1="",资金日记账!$E517="",资金日记账!$E517&lt;&gt;$G$1),0,IF(NOT(OR(N(资金日记账!$H517)&lt;&gt;0,N(资金日记账!$I517)&lt;&gt;0)),0,IF(资金日记账!$B517="",1,IF(OR(N(资金日记账!$B517)&lt;$H$1,N(资金日记账!$B517)&gt;$I$1),0,1))))</f>
        <v>0</v>
      </c>
      <c r="H524">
        <f t="shared" si="99"/>
        <v>0</v>
      </c>
      <c r="I524" t="str">
        <f>IF($G524=0,"",IF(资金日记账!$B517=0,"",资金日记账!$B517))</f>
        <v/>
      </c>
      <c r="J524" t="str">
        <f>IF($G524=0,"",IF(资金日记账!$D517=0,"",资金日记账!$D517))</f>
        <v/>
      </c>
      <c r="K524" t="str">
        <f t="shared" si="105"/>
        <v/>
      </c>
      <c r="L524" t="str">
        <f t="shared" si="106"/>
        <v/>
      </c>
      <c r="M524" t="str">
        <f t="shared" si="100"/>
        <v/>
      </c>
      <c r="N524" t="str">
        <f>IF($G524=0,"",IF(IF(N(资金日记账!$I517)=0,"",-ROUND(N(资金日记账!$I517),2))=0,"",IF(N(资金日记账!$I517)=0,"",-ROUND(N(资金日记账!$I517),2))))</f>
        <v/>
      </c>
      <c r="O524" t="str">
        <f>IF($G524=0,"",IF(IF(N(资金日记账!$H517)=0,"",ROUND(N(资金日记账!$H517),2))=0,"",IF(N(资金日记账!$H517)=0,"",ROUND(N(资金日记账!$H517),2))))</f>
        <v/>
      </c>
      <c r="P524" t="str">
        <f>IF($G524=0,"",IF(资金日记账!$L517=0,"",资金日记账!$L517))</f>
        <v/>
      </c>
      <c r="T524" t="str">
        <f>IF(资金日记账!$G524="","",资金日记账!$G524)</f>
        <v/>
      </c>
      <c r="U524">
        <f t="shared" si="101"/>
        <v>0</v>
      </c>
      <c r="V524">
        <f t="shared" si="102"/>
        <v>0</v>
      </c>
      <c r="AF524" t="str">
        <f>IF(OR(资金日记账!$E524="",N(资金日记账!$H524)=0),"",资金日记账!$E524)</f>
        <v/>
      </c>
      <c r="AG524">
        <f t="shared" si="103"/>
        <v>0</v>
      </c>
      <c r="AH524">
        <f t="shared" si="104"/>
        <v>0</v>
      </c>
    </row>
    <row r="525" spans="1:34">
      <c r="A525" t="str">
        <f>IF(资金日记账!$F223="","",资金日记账!$F223)</f>
        <v/>
      </c>
      <c r="B525">
        <f t="shared" si="97"/>
        <v>0</v>
      </c>
      <c r="C525">
        <f t="shared" si="98"/>
        <v>0</v>
      </c>
      <c r="G525">
        <f>IF(OR($G$1="",资金日记账!$E518="",资金日记账!$E518&lt;&gt;$G$1),0,IF(NOT(OR(N(资金日记账!$H518)&lt;&gt;0,N(资金日记账!$I518)&lt;&gt;0)),0,IF(资金日记账!$B518="",1,IF(OR(N(资金日记账!$B518)&lt;$H$1,N(资金日记账!$B518)&gt;$I$1),0,1))))</f>
        <v>0</v>
      </c>
      <c r="H525">
        <f t="shared" si="99"/>
        <v>0</v>
      </c>
      <c r="I525" t="str">
        <f>IF($G525=0,"",IF(资金日记账!$B518=0,"",资金日记账!$B518))</f>
        <v/>
      </c>
      <c r="J525" t="str">
        <f>IF($G525=0,"",IF(资金日记账!$D518=0,"",资金日记账!$D518))</f>
        <v/>
      </c>
      <c r="K525" t="str">
        <f t="shared" si="105"/>
        <v/>
      </c>
      <c r="L525" t="str">
        <f t="shared" si="106"/>
        <v/>
      </c>
      <c r="M525" t="str">
        <f t="shared" si="100"/>
        <v/>
      </c>
      <c r="N525" t="str">
        <f>IF($G525=0,"",IF(IF(N(资金日记账!$I518)=0,"",-ROUND(N(资金日记账!$I518),2))=0,"",IF(N(资金日记账!$I518)=0,"",-ROUND(N(资金日记账!$I518),2))))</f>
        <v/>
      </c>
      <c r="O525" t="str">
        <f>IF($G525=0,"",IF(IF(N(资金日记账!$H518)=0,"",ROUND(N(资金日记账!$H518),2))=0,"",IF(N(资金日记账!$H518)=0,"",ROUND(N(资金日记账!$H518),2))))</f>
        <v/>
      </c>
      <c r="P525" t="str">
        <f>IF($G525=0,"",IF(资金日记账!$L518=0,"",资金日记账!$L518))</f>
        <v/>
      </c>
      <c r="T525" t="str">
        <f>IF(资金日记账!$G525="","",资金日记账!$G525)</f>
        <v/>
      </c>
      <c r="U525">
        <f t="shared" si="101"/>
        <v>0</v>
      </c>
      <c r="V525">
        <f t="shared" si="102"/>
        <v>0</v>
      </c>
      <c r="AF525" t="str">
        <f>IF(OR(资金日记账!$E525="",N(资金日记账!$H525)=0),"",资金日记账!$E525)</f>
        <v/>
      </c>
      <c r="AG525">
        <f t="shared" si="103"/>
        <v>0</v>
      </c>
      <c r="AH525">
        <f t="shared" si="104"/>
        <v>0</v>
      </c>
    </row>
    <row r="526" spans="1:34">
      <c r="A526" t="str">
        <f>IF(资金日记账!$F224="","",资金日记账!$F224)</f>
        <v/>
      </c>
      <c r="B526">
        <f t="shared" si="97"/>
        <v>0</v>
      </c>
      <c r="C526">
        <f t="shared" si="98"/>
        <v>0</v>
      </c>
      <c r="G526">
        <f>IF(OR($G$1="",资金日记账!$E519="",资金日记账!$E519&lt;&gt;$G$1),0,IF(NOT(OR(N(资金日记账!$H519)&lt;&gt;0,N(资金日记账!$I519)&lt;&gt;0)),0,IF(资金日记账!$B519="",1,IF(OR(N(资金日记账!$B519)&lt;$H$1,N(资金日记账!$B519)&gt;$I$1),0,1))))</f>
        <v>0</v>
      </c>
      <c r="H526">
        <f t="shared" si="99"/>
        <v>0</v>
      </c>
      <c r="I526" t="str">
        <f>IF($G526=0,"",IF(资金日记账!$B519=0,"",资金日记账!$B519))</f>
        <v/>
      </c>
      <c r="J526" t="str">
        <f>IF($G526=0,"",IF(资金日记账!$D519=0,"",资金日记账!$D519))</f>
        <v/>
      </c>
      <c r="K526" t="str">
        <f t="shared" si="105"/>
        <v/>
      </c>
      <c r="L526" t="str">
        <f t="shared" si="106"/>
        <v/>
      </c>
      <c r="M526" t="str">
        <f t="shared" si="100"/>
        <v/>
      </c>
      <c r="N526" t="str">
        <f>IF($G526=0,"",IF(IF(N(资金日记账!$I519)=0,"",-ROUND(N(资金日记账!$I519),2))=0,"",IF(N(资金日记账!$I519)=0,"",-ROUND(N(资金日记账!$I519),2))))</f>
        <v/>
      </c>
      <c r="O526" t="str">
        <f>IF($G526=0,"",IF(IF(N(资金日记账!$H519)=0,"",ROUND(N(资金日记账!$H519),2))=0,"",IF(N(资金日记账!$H519)=0,"",ROUND(N(资金日记账!$H519),2))))</f>
        <v/>
      </c>
      <c r="P526" t="str">
        <f>IF($G526=0,"",IF(资金日记账!$L519=0,"",资金日记账!$L519))</f>
        <v/>
      </c>
      <c r="T526" t="str">
        <f>IF(资金日记账!$G526="","",资金日记账!$G526)</f>
        <v/>
      </c>
      <c r="U526">
        <f t="shared" si="101"/>
        <v>0</v>
      </c>
      <c r="V526">
        <f t="shared" si="102"/>
        <v>0</v>
      </c>
      <c r="AF526" t="str">
        <f>IF(OR(资金日记账!$E526="",N(资金日记账!$H526)=0),"",资金日记账!$E526)</f>
        <v/>
      </c>
      <c r="AG526">
        <f t="shared" si="103"/>
        <v>0</v>
      </c>
      <c r="AH526">
        <f t="shared" si="104"/>
        <v>0</v>
      </c>
    </row>
    <row r="527" spans="1:34">
      <c r="A527" t="str">
        <f>IF(资金日记账!$F225="","",资金日记账!$F225)</f>
        <v/>
      </c>
      <c r="B527">
        <f t="shared" si="97"/>
        <v>0</v>
      </c>
      <c r="C527">
        <f t="shared" si="98"/>
        <v>0</v>
      </c>
      <c r="G527">
        <f>IF(OR($G$1="",资金日记账!$E520="",资金日记账!$E520&lt;&gt;$G$1),0,IF(NOT(OR(N(资金日记账!$H520)&lt;&gt;0,N(资金日记账!$I520)&lt;&gt;0)),0,IF(资金日记账!$B520="",1,IF(OR(N(资金日记账!$B520)&lt;$H$1,N(资金日记账!$B520)&gt;$I$1),0,1))))</f>
        <v>0</v>
      </c>
      <c r="H527">
        <f t="shared" si="99"/>
        <v>0</v>
      </c>
      <c r="I527" t="str">
        <f>IF($G527=0,"",IF(资金日记账!$B520=0,"",资金日记账!$B520))</f>
        <v/>
      </c>
      <c r="J527" t="str">
        <f>IF($G527=0,"",IF(资金日记账!$D520=0,"",资金日记账!$D520))</f>
        <v/>
      </c>
      <c r="K527" t="str">
        <f t="shared" si="105"/>
        <v/>
      </c>
      <c r="L527" t="str">
        <f t="shared" si="106"/>
        <v/>
      </c>
      <c r="M527" t="str">
        <f t="shared" si="100"/>
        <v/>
      </c>
      <c r="N527" t="str">
        <f>IF($G527=0,"",IF(IF(N(资金日记账!$I520)=0,"",-ROUND(N(资金日记账!$I520),2))=0,"",IF(N(资金日记账!$I520)=0,"",-ROUND(N(资金日记账!$I520),2))))</f>
        <v/>
      </c>
      <c r="O527" t="str">
        <f>IF($G527=0,"",IF(IF(N(资金日记账!$H520)=0,"",ROUND(N(资金日记账!$H520),2))=0,"",IF(N(资金日记账!$H520)=0,"",ROUND(N(资金日记账!$H520),2))))</f>
        <v/>
      </c>
      <c r="P527" t="str">
        <f>IF($G527=0,"",IF(资金日记账!$L520=0,"",资金日记账!$L520))</f>
        <v/>
      </c>
      <c r="T527" t="str">
        <f>IF(资金日记账!$G527="","",资金日记账!$G527)</f>
        <v/>
      </c>
      <c r="U527">
        <f t="shared" si="101"/>
        <v>0</v>
      </c>
      <c r="V527">
        <f t="shared" si="102"/>
        <v>0</v>
      </c>
      <c r="AF527" t="str">
        <f>IF(OR(资金日记账!$E527="",N(资金日记账!$H527)=0),"",资金日记账!$E527)</f>
        <v/>
      </c>
      <c r="AG527">
        <f t="shared" si="103"/>
        <v>0</v>
      </c>
      <c r="AH527">
        <f t="shared" si="104"/>
        <v>0</v>
      </c>
    </row>
    <row r="528" spans="1:34">
      <c r="A528" t="str">
        <f>IF(资金日记账!$F226="","",资金日记账!$F226)</f>
        <v/>
      </c>
      <c r="B528">
        <f t="shared" si="97"/>
        <v>0</v>
      </c>
      <c r="C528">
        <f t="shared" si="98"/>
        <v>0</v>
      </c>
      <c r="G528">
        <f>IF(OR($G$1="",资金日记账!$E521="",资金日记账!$E521&lt;&gt;$G$1),0,IF(NOT(OR(N(资金日记账!$H521)&lt;&gt;0,N(资金日记账!$I521)&lt;&gt;0)),0,IF(资金日记账!$B521="",1,IF(OR(N(资金日记账!$B521)&lt;$H$1,N(资金日记账!$B521)&gt;$I$1),0,1))))</f>
        <v>0</v>
      </c>
      <c r="H528">
        <f t="shared" si="99"/>
        <v>0</v>
      </c>
      <c r="I528" t="str">
        <f>IF($G528=0,"",IF(资金日记账!$B521=0,"",资金日记账!$B521))</f>
        <v/>
      </c>
      <c r="J528" t="str">
        <f>IF($G528=0,"",IF(资金日记账!$D521=0,"",资金日记账!$D521))</f>
        <v/>
      </c>
      <c r="K528" t="str">
        <f t="shared" si="105"/>
        <v/>
      </c>
      <c r="L528" t="str">
        <f t="shared" si="106"/>
        <v/>
      </c>
      <c r="M528" t="str">
        <f t="shared" si="100"/>
        <v/>
      </c>
      <c r="N528" t="str">
        <f>IF($G528=0,"",IF(IF(N(资金日记账!$I521)=0,"",-ROUND(N(资金日记账!$I521),2))=0,"",IF(N(资金日记账!$I521)=0,"",-ROUND(N(资金日记账!$I521),2))))</f>
        <v/>
      </c>
      <c r="O528" t="str">
        <f>IF($G528=0,"",IF(IF(N(资金日记账!$H521)=0,"",ROUND(N(资金日记账!$H521),2))=0,"",IF(N(资金日记账!$H521)=0,"",ROUND(N(资金日记账!$H521),2))))</f>
        <v/>
      </c>
      <c r="P528" t="str">
        <f>IF($G528=0,"",IF(资金日记账!$L521=0,"",资金日记账!$L521))</f>
        <v/>
      </c>
      <c r="T528" t="str">
        <f>IF(资金日记账!$G528="","",资金日记账!$G528)</f>
        <v/>
      </c>
      <c r="U528">
        <f t="shared" si="101"/>
        <v>0</v>
      </c>
      <c r="V528">
        <f t="shared" si="102"/>
        <v>0</v>
      </c>
      <c r="AF528" t="str">
        <f>IF(OR(资金日记账!$E528="",N(资金日记账!$H528)=0),"",资金日记账!$E528)</f>
        <v/>
      </c>
      <c r="AG528">
        <f t="shared" si="103"/>
        <v>0</v>
      </c>
      <c r="AH528">
        <f t="shared" si="104"/>
        <v>0</v>
      </c>
    </row>
    <row r="529" spans="1:34">
      <c r="A529" t="str">
        <f>IF(资金日记账!$F227="","",资金日记账!$F227)</f>
        <v/>
      </c>
      <c r="B529">
        <f t="shared" si="97"/>
        <v>0</v>
      </c>
      <c r="C529">
        <f t="shared" si="98"/>
        <v>0</v>
      </c>
      <c r="G529">
        <f>IF(OR($G$1="",资金日记账!$E522="",资金日记账!$E522&lt;&gt;$G$1),0,IF(NOT(OR(N(资金日记账!$H522)&lt;&gt;0,N(资金日记账!$I522)&lt;&gt;0)),0,IF(资金日记账!$B522="",1,IF(OR(N(资金日记账!$B522)&lt;$H$1,N(资金日记账!$B522)&gt;$I$1),0,1))))</f>
        <v>0</v>
      </c>
      <c r="H529">
        <f t="shared" si="99"/>
        <v>0</v>
      </c>
      <c r="I529" t="str">
        <f>IF($G529=0,"",IF(资金日记账!$B522=0,"",资金日记账!$B522))</f>
        <v/>
      </c>
      <c r="J529" t="str">
        <f>IF($G529=0,"",IF(资金日记账!$D522=0,"",资金日记账!$D522))</f>
        <v/>
      </c>
      <c r="K529" t="str">
        <f t="shared" si="105"/>
        <v/>
      </c>
      <c r="L529" t="str">
        <f t="shared" si="106"/>
        <v/>
      </c>
      <c r="M529" t="str">
        <f t="shared" si="100"/>
        <v/>
      </c>
      <c r="N529" t="str">
        <f>IF($G529=0,"",IF(IF(N(资金日记账!$I522)=0,"",-ROUND(N(资金日记账!$I522),2))=0,"",IF(N(资金日记账!$I522)=0,"",-ROUND(N(资金日记账!$I522),2))))</f>
        <v/>
      </c>
      <c r="O529" t="str">
        <f>IF($G529=0,"",IF(IF(N(资金日记账!$H522)=0,"",ROUND(N(资金日记账!$H522),2))=0,"",IF(N(资金日记账!$H522)=0,"",ROUND(N(资金日记账!$H522),2))))</f>
        <v/>
      </c>
      <c r="P529" t="str">
        <f>IF($G529=0,"",IF(资金日记账!$L522=0,"",资金日记账!$L522))</f>
        <v/>
      </c>
      <c r="T529" t="str">
        <f>IF(资金日记账!$G529="","",资金日记账!$G529)</f>
        <v/>
      </c>
      <c r="U529">
        <f t="shared" si="101"/>
        <v>0</v>
      </c>
      <c r="V529">
        <f t="shared" si="102"/>
        <v>0</v>
      </c>
      <c r="AF529" t="str">
        <f>IF(OR(资金日记账!$E529="",N(资金日记账!$H529)=0),"",资金日记账!$E529)</f>
        <v/>
      </c>
      <c r="AG529">
        <f t="shared" si="103"/>
        <v>0</v>
      </c>
      <c r="AH529">
        <f t="shared" si="104"/>
        <v>0</v>
      </c>
    </row>
    <row r="530" spans="1:34">
      <c r="A530" t="str">
        <f>IF(资金日记账!$F228="","",资金日记账!$F228)</f>
        <v/>
      </c>
      <c r="B530">
        <f t="shared" si="97"/>
        <v>0</v>
      </c>
      <c r="C530">
        <f t="shared" si="98"/>
        <v>0</v>
      </c>
      <c r="G530">
        <f>IF(OR($G$1="",资金日记账!$E523="",资金日记账!$E523&lt;&gt;$G$1),0,IF(NOT(OR(N(资金日记账!$H523)&lt;&gt;0,N(资金日记账!$I523)&lt;&gt;0)),0,IF(资金日记账!$B523="",1,IF(OR(N(资金日记账!$B523)&lt;$H$1,N(资金日记账!$B523)&gt;$I$1),0,1))))</f>
        <v>0</v>
      </c>
      <c r="H530">
        <f t="shared" si="99"/>
        <v>0</v>
      </c>
      <c r="I530" t="str">
        <f>IF($G530=0,"",IF(资金日记账!$B523=0,"",资金日记账!$B523))</f>
        <v/>
      </c>
      <c r="J530" t="str">
        <f>IF($G530=0,"",IF(资金日记账!$D523=0,"",资金日记账!$D523))</f>
        <v/>
      </c>
      <c r="K530" t="str">
        <f t="shared" si="105"/>
        <v/>
      </c>
      <c r="L530" t="str">
        <f t="shared" si="106"/>
        <v/>
      </c>
      <c r="M530" t="str">
        <f t="shared" si="100"/>
        <v/>
      </c>
      <c r="N530" t="str">
        <f>IF($G530=0,"",IF(IF(N(资金日记账!$I523)=0,"",-ROUND(N(资金日记账!$I523),2))=0,"",IF(N(资金日记账!$I523)=0,"",-ROUND(N(资金日记账!$I523),2))))</f>
        <v/>
      </c>
      <c r="O530" t="str">
        <f>IF($G530=0,"",IF(IF(N(资金日记账!$H523)=0,"",ROUND(N(资金日记账!$H523),2))=0,"",IF(N(资金日记账!$H523)=0,"",ROUND(N(资金日记账!$H523),2))))</f>
        <v/>
      </c>
      <c r="P530" t="str">
        <f>IF($G530=0,"",IF(资金日记账!$L523=0,"",资金日记账!$L523))</f>
        <v/>
      </c>
      <c r="T530" t="str">
        <f>IF(资金日记账!$G530="","",资金日记账!$G530)</f>
        <v/>
      </c>
      <c r="U530">
        <f t="shared" si="101"/>
        <v>0</v>
      </c>
      <c r="V530">
        <f t="shared" si="102"/>
        <v>0</v>
      </c>
      <c r="AF530" t="str">
        <f>IF(OR(资金日记账!$E530="",N(资金日记账!$H530)=0),"",资金日记账!$E530)</f>
        <v/>
      </c>
      <c r="AG530">
        <f t="shared" si="103"/>
        <v>0</v>
      </c>
      <c r="AH530">
        <f t="shared" si="104"/>
        <v>0</v>
      </c>
    </row>
    <row r="531" spans="1:34">
      <c r="A531" t="str">
        <f>IF(资金日记账!$F229="","",资金日记账!$F229)</f>
        <v/>
      </c>
      <c r="B531">
        <f t="shared" si="97"/>
        <v>0</v>
      </c>
      <c r="C531">
        <f t="shared" si="98"/>
        <v>0</v>
      </c>
      <c r="G531">
        <f>IF(OR($G$1="",资金日记账!$E524="",资金日记账!$E524&lt;&gt;$G$1),0,IF(NOT(OR(N(资金日记账!$H524)&lt;&gt;0,N(资金日记账!$I524)&lt;&gt;0)),0,IF(资金日记账!$B524="",1,IF(OR(N(资金日记账!$B524)&lt;$H$1,N(资金日记账!$B524)&gt;$I$1),0,1))))</f>
        <v>0</v>
      </c>
      <c r="H531">
        <f t="shared" si="99"/>
        <v>0</v>
      </c>
      <c r="I531" t="str">
        <f>IF($G531=0,"",IF(资金日记账!$B524=0,"",资金日记账!$B524))</f>
        <v/>
      </c>
      <c r="J531" t="str">
        <f>IF($G531=0,"",IF(资金日记账!$D524=0,"",资金日记账!$D524))</f>
        <v/>
      </c>
      <c r="K531" t="str">
        <f t="shared" si="105"/>
        <v/>
      </c>
      <c r="L531" t="str">
        <f t="shared" si="106"/>
        <v/>
      </c>
      <c r="M531" t="str">
        <f t="shared" si="100"/>
        <v/>
      </c>
      <c r="N531" t="str">
        <f>IF($G531=0,"",IF(IF(N(资金日记账!$I524)=0,"",-ROUND(N(资金日记账!$I524),2))=0,"",IF(N(资金日记账!$I524)=0,"",-ROUND(N(资金日记账!$I524),2))))</f>
        <v/>
      </c>
      <c r="O531" t="str">
        <f>IF($G531=0,"",IF(IF(N(资金日记账!$H524)=0,"",ROUND(N(资金日记账!$H524),2))=0,"",IF(N(资金日记账!$H524)=0,"",ROUND(N(资金日记账!$H524),2))))</f>
        <v/>
      </c>
      <c r="P531" t="str">
        <f>IF($G531=0,"",IF(资金日记账!$L524=0,"",资金日记账!$L524))</f>
        <v/>
      </c>
      <c r="T531" t="str">
        <f>IF(资金日记账!$G531="","",资金日记账!$G531)</f>
        <v/>
      </c>
      <c r="U531">
        <f t="shared" si="101"/>
        <v>0</v>
      </c>
      <c r="V531">
        <f t="shared" si="102"/>
        <v>0</v>
      </c>
      <c r="AF531" t="str">
        <f>IF(OR(资金日记账!$E531="",N(资金日记账!$H531)=0),"",资金日记账!$E531)</f>
        <v/>
      </c>
      <c r="AG531">
        <f t="shared" si="103"/>
        <v>0</v>
      </c>
      <c r="AH531">
        <f t="shared" si="104"/>
        <v>0</v>
      </c>
    </row>
    <row r="532" spans="1:34">
      <c r="A532" t="str">
        <f>IF(资金日记账!$F230="","",资金日记账!$F230)</f>
        <v/>
      </c>
      <c r="B532">
        <f t="shared" si="97"/>
        <v>0</v>
      </c>
      <c r="C532">
        <f t="shared" si="98"/>
        <v>0</v>
      </c>
      <c r="G532">
        <f>IF(OR($G$1="",资金日记账!$E525="",资金日记账!$E525&lt;&gt;$G$1),0,IF(NOT(OR(N(资金日记账!$H525)&lt;&gt;0,N(资金日记账!$I525)&lt;&gt;0)),0,IF(资金日记账!$B525="",1,IF(OR(N(资金日记账!$B525)&lt;$H$1,N(资金日记账!$B525)&gt;$I$1),0,1))))</f>
        <v>0</v>
      </c>
      <c r="H532">
        <f t="shared" si="99"/>
        <v>0</v>
      </c>
      <c r="I532" t="str">
        <f>IF($G532=0,"",IF(资金日记账!$B525=0,"",资金日记账!$B525))</f>
        <v/>
      </c>
      <c r="J532" t="str">
        <f>IF($G532=0,"",IF(资金日记账!$D525=0,"",资金日记账!$D525))</f>
        <v/>
      </c>
      <c r="K532" t="str">
        <f t="shared" si="105"/>
        <v/>
      </c>
      <c r="L532" t="str">
        <f t="shared" si="106"/>
        <v/>
      </c>
      <c r="M532" t="str">
        <f t="shared" si="100"/>
        <v/>
      </c>
      <c r="N532" t="str">
        <f>IF($G532=0,"",IF(IF(N(资金日记账!$I525)=0,"",-ROUND(N(资金日记账!$I525),2))=0,"",IF(N(资金日记账!$I525)=0,"",-ROUND(N(资金日记账!$I525),2))))</f>
        <v/>
      </c>
      <c r="O532" t="str">
        <f>IF($G532=0,"",IF(IF(N(资金日记账!$H525)=0,"",ROUND(N(资金日记账!$H525),2))=0,"",IF(N(资金日记账!$H525)=0,"",ROUND(N(资金日记账!$H525),2))))</f>
        <v/>
      </c>
      <c r="P532" t="str">
        <f>IF($G532=0,"",IF(资金日记账!$L525=0,"",资金日记账!$L525))</f>
        <v/>
      </c>
      <c r="T532" t="str">
        <f>IF(资金日记账!$G532="","",资金日记账!$G532)</f>
        <v/>
      </c>
      <c r="U532">
        <f t="shared" si="101"/>
        <v>0</v>
      </c>
      <c r="V532">
        <f t="shared" si="102"/>
        <v>0</v>
      </c>
      <c r="AF532" t="str">
        <f>IF(OR(资金日记账!$E532="",N(资金日记账!$H532)=0),"",资金日记账!$E532)</f>
        <v/>
      </c>
      <c r="AG532">
        <f t="shared" si="103"/>
        <v>0</v>
      </c>
      <c r="AH532">
        <f t="shared" si="104"/>
        <v>0</v>
      </c>
    </row>
    <row r="533" spans="1:34">
      <c r="A533" t="str">
        <f>IF(资金日记账!$F231="","",资金日记账!$F231)</f>
        <v/>
      </c>
      <c r="B533">
        <f t="shared" si="97"/>
        <v>0</v>
      </c>
      <c r="C533">
        <f t="shared" si="98"/>
        <v>0</v>
      </c>
      <c r="G533">
        <f>IF(OR($G$1="",资金日记账!$E526="",资金日记账!$E526&lt;&gt;$G$1),0,IF(NOT(OR(N(资金日记账!$H526)&lt;&gt;0,N(资金日记账!$I526)&lt;&gt;0)),0,IF(资金日记账!$B526="",1,IF(OR(N(资金日记账!$B526)&lt;$H$1,N(资金日记账!$B526)&gt;$I$1),0,1))))</f>
        <v>0</v>
      </c>
      <c r="H533">
        <f t="shared" si="99"/>
        <v>0</v>
      </c>
      <c r="I533" t="str">
        <f>IF($G533=0,"",IF(资金日记账!$B526=0,"",资金日记账!$B526))</f>
        <v/>
      </c>
      <c r="J533" t="str">
        <f>IF($G533=0,"",IF(资金日记账!$D526=0,"",资金日记账!$D526))</f>
        <v/>
      </c>
      <c r="K533" t="str">
        <f t="shared" si="105"/>
        <v/>
      </c>
      <c r="L533" t="str">
        <f t="shared" si="106"/>
        <v/>
      </c>
      <c r="M533" t="str">
        <f t="shared" si="100"/>
        <v/>
      </c>
      <c r="N533" t="str">
        <f>IF($G533=0,"",IF(IF(N(资金日记账!$I526)=0,"",-ROUND(N(资金日记账!$I526),2))=0,"",IF(N(资金日记账!$I526)=0,"",-ROUND(N(资金日记账!$I526),2))))</f>
        <v/>
      </c>
      <c r="O533" t="str">
        <f>IF($G533=0,"",IF(IF(N(资金日记账!$H526)=0,"",ROUND(N(资金日记账!$H526),2))=0,"",IF(N(资金日记账!$H526)=0,"",ROUND(N(资金日记账!$H526),2))))</f>
        <v/>
      </c>
      <c r="P533" t="str">
        <f>IF($G533=0,"",IF(资金日记账!$L526=0,"",资金日记账!$L526))</f>
        <v/>
      </c>
      <c r="T533" t="str">
        <f>IF(资金日记账!$G533="","",资金日记账!$G533)</f>
        <v/>
      </c>
      <c r="U533">
        <f t="shared" si="101"/>
        <v>0</v>
      </c>
      <c r="V533">
        <f t="shared" si="102"/>
        <v>0</v>
      </c>
      <c r="AF533" t="str">
        <f>IF(OR(资金日记账!$E533="",N(资金日记账!$H533)=0),"",资金日记账!$E533)</f>
        <v/>
      </c>
      <c r="AG533">
        <f t="shared" si="103"/>
        <v>0</v>
      </c>
      <c r="AH533">
        <f t="shared" si="104"/>
        <v>0</v>
      </c>
    </row>
    <row r="534" spans="1:34">
      <c r="A534" t="str">
        <f>IF(资金日记账!$F232="","",资金日记账!$F232)</f>
        <v/>
      </c>
      <c r="B534">
        <f t="shared" si="97"/>
        <v>0</v>
      </c>
      <c r="C534">
        <f t="shared" si="98"/>
        <v>0</v>
      </c>
      <c r="G534">
        <f>IF(OR($G$1="",资金日记账!$E527="",资金日记账!$E527&lt;&gt;$G$1),0,IF(NOT(OR(N(资金日记账!$H527)&lt;&gt;0,N(资金日记账!$I527)&lt;&gt;0)),0,IF(资金日记账!$B527="",1,IF(OR(N(资金日记账!$B527)&lt;$H$1,N(资金日记账!$B527)&gt;$I$1),0,1))))</f>
        <v>0</v>
      </c>
      <c r="H534">
        <f t="shared" si="99"/>
        <v>0</v>
      </c>
      <c r="I534" t="str">
        <f>IF($G534=0,"",IF(资金日记账!$B527=0,"",资金日记账!$B527))</f>
        <v/>
      </c>
      <c r="J534" t="str">
        <f>IF($G534=0,"",IF(资金日记账!$D527=0,"",资金日记账!$D527))</f>
        <v/>
      </c>
      <c r="K534" t="str">
        <f t="shared" si="105"/>
        <v/>
      </c>
      <c r="L534" t="str">
        <f t="shared" si="106"/>
        <v/>
      </c>
      <c r="M534" t="str">
        <f t="shared" si="100"/>
        <v/>
      </c>
      <c r="N534" t="str">
        <f>IF($G534=0,"",IF(IF(N(资金日记账!$I527)=0,"",-ROUND(N(资金日记账!$I527),2))=0,"",IF(N(资金日记账!$I527)=0,"",-ROUND(N(资金日记账!$I527),2))))</f>
        <v/>
      </c>
      <c r="O534" t="str">
        <f>IF($G534=0,"",IF(IF(N(资金日记账!$H527)=0,"",ROUND(N(资金日记账!$H527),2))=0,"",IF(N(资金日记账!$H527)=0,"",ROUND(N(资金日记账!$H527),2))))</f>
        <v/>
      </c>
      <c r="P534" t="str">
        <f>IF($G534=0,"",IF(资金日记账!$L527=0,"",资金日记账!$L527))</f>
        <v/>
      </c>
      <c r="T534" t="str">
        <f>IF(资金日记账!$G534="","",资金日记账!$G534)</f>
        <v/>
      </c>
      <c r="U534">
        <f t="shared" si="101"/>
        <v>0</v>
      </c>
      <c r="V534">
        <f t="shared" si="102"/>
        <v>0</v>
      </c>
      <c r="AF534" t="str">
        <f>IF(OR(资金日记账!$E534="",N(资金日记账!$H534)=0),"",资金日记账!$E534)</f>
        <v/>
      </c>
      <c r="AG534">
        <f t="shared" si="103"/>
        <v>0</v>
      </c>
      <c r="AH534">
        <f t="shared" si="104"/>
        <v>0</v>
      </c>
    </row>
    <row r="535" spans="1:34">
      <c r="A535" t="str">
        <f>IF(资金日记账!$F233="","",资金日记账!$F233)</f>
        <v/>
      </c>
      <c r="B535">
        <f t="shared" si="97"/>
        <v>0</v>
      </c>
      <c r="C535">
        <f t="shared" si="98"/>
        <v>0</v>
      </c>
      <c r="G535">
        <f>IF(OR($G$1="",资金日记账!$E528="",资金日记账!$E528&lt;&gt;$G$1),0,IF(NOT(OR(N(资金日记账!$H528)&lt;&gt;0,N(资金日记账!$I528)&lt;&gt;0)),0,IF(资金日记账!$B528="",1,IF(OR(N(资金日记账!$B528)&lt;$H$1,N(资金日记账!$B528)&gt;$I$1),0,1))))</f>
        <v>0</v>
      </c>
      <c r="H535">
        <f t="shared" si="99"/>
        <v>0</v>
      </c>
      <c r="I535" t="str">
        <f>IF($G535=0,"",IF(资金日记账!$B528=0,"",资金日记账!$B528))</f>
        <v/>
      </c>
      <c r="J535" t="str">
        <f>IF($G535=0,"",IF(资金日记账!$D528=0,"",资金日记账!$D528))</f>
        <v/>
      </c>
      <c r="K535" t="str">
        <f t="shared" si="105"/>
        <v/>
      </c>
      <c r="L535" t="str">
        <f t="shared" si="106"/>
        <v/>
      </c>
      <c r="M535" t="str">
        <f t="shared" si="100"/>
        <v/>
      </c>
      <c r="N535" t="str">
        <f>IF($G535=0,"",IF(IF(N(资金日记账!$I528)=0,"",-ROUND(N(资金日记账!$I528),2))=0,"",IF(N(资金日记账!$I528)=0,"",-ROUND(N(资金日记账!$I528),2))))</f>
        <v/>
      </c>
      <c r="O535" t="str">
        <f>IF($G535=0,"",IF(IF(N(资金日记账!$H528)=0,"",ROUND(N(资金日记账!$H528),2))=0,"",IF(N(资金日记账!$H528)=0,"",ROUND(N(资金日记账!$H528),2))))</f>
        <v/>
      </c>
      <c r="P535" t="str">
        <f>IF($G535=0,"",IF(资金日记账!$L528=0,"",资金日记账!$L528))</f>
        <v/>
      </c>
      <c r="T535" t="str">
        <f>IF(资金日记账!$G535="","",资金日记账!$G535)</f>
        <v/>
      </c>
      <c r="U535">
        <f t="shared" si="101"/>
        <v>0</v>
      </c>
      <c r="V535">
        <f t="shared" si="102"/>
        <v>0</v>
      </c>
      <c r="AF535" t="str">
        <f>IF(OR(资金日记账!$E535="",N(资金日记账!$H535)=0),"",资金日记账!$E535)</f>
        <v/>
      </c>
      <c r="AG535">
        <f t="shared" si="103"/>
        <v>0</v>
      </c>
      <c r="AH535">
        <f t="shared" si="104"/>
        <v>0</v>
      </c>
    </row>
    <row r="536" spans="1:34">
      <c r="A536" t="str">
        <f>IF(资金日记账!$F234="","",资金日记账!$F234)</f>
        <v/>
      </c>
      <c r="B536">
        <f t="shared" si="97"/>
        <v>0</v>
      </c>
      <c r="C536">
        <f t="shared" si="98"/>
        <v>0</v>
      </c>
      <c r="G536">
        <f>IF(OR($G$1="",资金日记账!$E529="",资金日记账!$E529&lt;&gt;$G$1),0,IF(NOT(OR(N(资金日记账!$H529)&lt;&gt;0,N(资金日记账!$I529)&lt;&gt;0)),0,IF(资金日记账!$B529="",1,IF(OR(N(资金日记账!$B529)&lt;$H$1,N(资金日记账!$B529)&gt;$I$1),0,1))))</f>
        <v>0</v>
      </c>
      <c r="H536">
        <f t="shared" si="99"/>
        <v>0</v>
      </c>
      <c r="I536" t="str">
        <f>IF($G536=0,"",IF(资金日记账!$B529=0,"",资金日记账!$B529))</f>
        <v/>
      </c>
      <c r="J536" t="str">
        <f>IF($G536=0,"",IF(资金日记账!$D529=0,"",资金日记账!$D529))</f>
        <v/>
      </c>
      <c r="K536" t="str">
        <f t="shared" si="105"/>
        <v/>
      </c>
      <c r="L536" t="str">
        <f t="shared" si="106"/>
        <v/>
      </c>
      <c r="M536" t="str">
        <f t="shared" si="100"/>
        <v/>
      </c>
      <c r="N536" t="str">
        <f>IF($G536=0,"",IF(IF(N(资金日记账!$I529)=0,"",-ROUND(N(资金日记账!$I529),2))=0,"",IF(N(资金日记账!$I529)=0,"",-ROUND(N(资金日记账!$I529),2))))</f>
        <v/>
      </c>
      <c r="O536" t="str">
        <f>IF($G536=0,"",IF(IF(N(资金日记账!$H529)=0,"",ROUND(N(资金日记账!$H529),2))=0,"",IF(N(资金日记账!$H529)=0,"",ROUND(N(资金日记账!$H529),2))))</f>
        <v/>
      </c>
      <c r="P536" t="str">
        <f>IF($G536=0,"",IF(资金日记账!$L529=0,"",资金日记账!$L529))</f>
        <v/>
      </c>
      <c r="T536" t="str">
        <f>IF(资金日记账!$G536="","",资金日记账!$G536)</f>
        <v/>
      </c>
      <c r="U536">
        <f t="shared" si="101"/>
        <v>0</v>
      </c>
      <c r="V536">
        <f t="shared" si="102"/>
        <v>0</v>
      </c>
      <c r="AF536" t="str">
        <f>IF(OR(资金日记账!$E536="",N(资金日记账!$H536)=0),"",资金日记账!$E536)</f>
        <v/>
      </c>
      <c r="AG536">
        <f t="shared" si="103"/>
        <v>0</v>
      </c>
      <c r="AH536">
        <f t="shared" si="104"/>
        <v>0</v>
      </c>
    </row>
    <row r="537" spans="1:34">
      <c r="A537" t="str">
        <f>IF(资金日记账!$F235="","",资金日记账!$F235)</f>
        <v/>
      </c>
      <c r="B537">
        <f t="shared" si="97"/>
        <v>0</v>
      </c>
      <c r="C537">
        <f t="shared" si="98"/>
        <v>0</v>
      </c>
      <c r="G537">
        <f>IF(OR($G$1="",资金日记账!$E530="",资金日记账!$E530&lt;&gt;$G$1),0,IF(NOT(OR(N(资金日记账!$H530)&lt;&gt;0,N(资金日记账!$I530)&lt;&gt;0)),0,IF(资金日记账!$B530="",1,IF(OR(N(资金日记账!$B530)&lt;$H$1,N(资金日记账!$B530)&gt;$I$1),0,1))))</f>
        <v>0</v>
      </c>
      <c r="H537">
        <f t="shared" si="99"/>
        <v>0</v>
      </c>
      <c r="I537" t="str">
        <f>IF($G537=0,"",IF(资金日记账!$B530=0,"",资金日记账!$B530))</f>
        <v/>
      </c>
      <c r="J537" t="str">
        <f>IF($G537=0,"",IF(资金日记账!$D530=0,"",资金日记账!$D530))</f>
        <v/>
      </c>
      <c r="K537" t="str">
        <f t="shared" si="105"/>
        <v/>
      </c>
      <c r="L537" t="str">
        <f t="shared" si="106"/>
        <v/>
      </c>
      <c r="M537" t="str">
        <f t="shared" si="100"/>
        <v/>
      </c>
      <c r="N537" t="str">
        <f>IF($G537=0,"",IF(IF(N(资金日记账!$I530)=0,"",-ROUND(N(资金日记账!$I530),2))=0,"",IF(N(资金日记账!$I530)=0,"",-ROUND(N(资金日记账!$I530),2))))</f>
        <v/>
      </c>
      <c r="O537" t="str">
        <f>IF($G537=0,"",IF(IF(N(资金日记账!$H530)=0,"",ROUND(N(资金日记账!$H530),2))=0,"",IF(N(资金日记账!$H530)=0,"",ROUND(N(资金日记账!$H530),2))))</f>
        <v/>
      </c>
      <c r="P537" t="str">
        <f>IF($G537=0,"",IF(资金日记账!$L530=0,"",资金日记账!$L530))</f>
        <v/>
      </c>
      <c r="T537" t="str">
        <f>IF(资金日记账!$G537="","",资金日记账!$G537)</f>
        <v/>
      </c>
      <c r="U537">
        <f t="shared" si="101"/>
        <v>0</v>
      </c>
      <c r="V537">
        <f t="shared" si="102"/>
        <v>0</v>
      </c>
      <c r="AF537" t="str">
        <f>IF(OR(资金日记账!$E537="",N(资金日记账!$H537)=0),"",资金日记账!$E537)</f>
        <v/>
      </c>
      <c r="AG537">
        <f t="shared" si="103"/>
        <v>0</v>
      </c>
      <c r="AH537">
        <f t="shared" si="104"/>
        <v>0</v>
      </c>
    </row>
    <row r="538" spans="1:34">
      <c r="A538" t="str">
        <f>IF(资金日记账!$F236="","",资金日记账!$F236)</f>
        <v/>
      </c>
      <c r="B538">
        <f t="shared" si="97"/>
        <v>0</v>
      </c>
      <c r="C538">
        <f t="shared" si="98"/>
        <v>0</v>
      </c>
      <c r="G538">
        <f>IF(OR($G$1="",资金日记账!$E531="",资金日记账!$E531&lt;&gt;$G$1),0,IF(NOT(OR(N(资金日记账!$H531)&lt;&gt;0,N(资金日记账!$I531)&lt;&gt;0)),0,IF(资金日记账!$B531="",1,IF(OR(N(资金日记账!$B531)&lt;$H$1,N(资金日记账!$B531)&gt;$I$1),0,1))))</f>
        <v>0</v>
      </c>
      <c r="H538">
        <f t="shared" si="99"/>
        <v>0</v>
      </c>
      <c r="I538" t="str">
        <f>IF($G538=0,"",IF(资金日记账!$B531=0,"",资金日记账!$B531))</f>
        <v/>
      </c>
      <c r="J538" t="str">
        <f>IF($G538=0,"",IF(资金日记账!$D531=0,"",资金日记账!$D531))</f>
        <v/>
      </c>
      <c r="K538" t="str">
        <f t="shared" si="105"/>
        <v/>
      </c>
      <c r="L538" t="str">
        <f t="shared" si="106"/>
        <v/>
      </c>
      <c r="M538" t="str">
        <f t="shared" si="100"/>
        <v/>
      </c>
      <c r="N538" t="str">
        <f>IF($G538=0,"",IF(IF(N(资金日记账!$I531)=0,"",-ROUND(N(资金日记账!$I531),2))=0,"",IF(N(资金日记账!$I531)=0,"",-ROUND(N(资金日记账!$I531),2))))</f>
        <v/>
      </c>
      <c r="O538" t="str">
        <f>IF($G538=0,"",IF(IF(N(资金日记账!$H531)=0,"",ROUND(N(资金日记账!$H531),2))=0,"",IF(N(资金日记账!$H531)=0,"",ROUND(N(资金日记账!$H531),2))))</f>
        <v/>
      </c>
      <c r="P538" t="str">
        <f>IF($G538=0,"",IF(资金日记账!$L531=0,"",资金日记账!$L531))</f>
        <v/>
      </c>
      <c r="T538" t="str">
        <f>IF(资金日记账!$G538="","",资金日记账!$G538)</f>
        <v/>
      </c>
      <c r="U538">
        <f t="shared" si="101"/>
        <v>0</v>
      </c>
      <c r="V538">
        <f t="shared" si="102"/>
        <v>0</v>
      </c>
      <c r="AF538" t="str">
        <f>IF(OR(资金日记账!$E538="",N(资金日记账!$H538)=0),"",资金日记账!$E538)</f>
        <v/>
      </c>
      <c r="AG538">
        <f t="shared" si="103"/>
        <v>0</v>
      </c>
      <c r="AH538">
        <f t="shared" si="104"/>
        <v>0</v>
      </c>
    </row>
    <row r="539" spans="1:34">
      <c r="A539" t="str">
        <f>IF(资金日记账!$F237="","",资金日记账!$F237)</f>
        <v/>
      </c>
      <c r="B539">
        <f t="shared" si="97"/>
        <v>0</v>
      </c>
      <c r="C539">
        <f t="shared" si="98"/>
        <v>0</v>
      </c>
      <c r="G539">
        <f>IF(OR($G$1="",资金日记账!$E532="",资金日记账!$E532&lt;&gt;$G$1),0,IF(NOT(OR(N(资金日记账!$H532)&lt;&gt;0,N(资金日记账!$I532)&lt;&gt;0)),0,IF(资金日记账!$B532="",1,IF(OR(N(资金日记账!$B532)&lt;$H$1,N(资金日记账!$B532)&gt;$I$1),0,1))))</f>
        <v>0</v>
      </c>
      <c r="H539">
        <f t="shared" si="99"/>
        <v>0</v>
      </c>
      <c r="I539" t="str">
        <f>IF($G539=0,"",IF(资金日记账!$B532=0,"",资金日记账!$B532))</f>
        <v/>
      </c>
      <c r="J539" t="str">
        <f>IF($G539=0,"",IF(资金日记账!$D532=0,"",资金日记账!$D532))</f>
        <v/>
      </c>
      <c r="K539" t="str">
        <f t="shared" si="105"/>
        <v/>
      </c>
      <c r="L539" t="str">
        <f t="shared" si="106"/>
        <v/>
      </c>
      <c r="M539" t="str">
        <f t="shared" si="100"/>
        <v/>
      </c>
      <c r="N539" t="str">
        <f>IF($G539=0,"",IF(IF(N(资金日记账!$I532)=0,"",-ROUND(N(资金日记账!$I532),2))=0,"",IF(N(资金日记账!$I532)=0,"",-ROUND(N(资金日记账!$I532),2))))</f>
        <v/>
      </c>
      <c r="O539" t="str">
        <f>IF($G539=0,"",IF(IF(N(资金日记账!$H532)=0,"",ROUND(N(资金日记账!$H532),2))=0,"",IF(N(资金日记账!$H532)=0,"",ROUND(N(资金日记账!$H532),2))))</f>
        <v/>
      </c>
      <c r="P539" t="str">
        <f>IF($G539=0,"",IF(资金日记账!$L532=0,"",资金日记账!$L532))</f>
        <v/>
      </c>
      <c r="T539" t="str">
        <f>IF(资金日记账!$G539="","",资金日记账!$G539)</f>
        <v/>
      </c>
      <c r="U539">
        <f t="shared" si="101"/>
        <v>0</v>
      </c>
      <c r="V539">
        <f t="shared" si="102"/>
        <v>0</v>
      </c>
      <c r="AF539" t="str">
        <f>IF(OR(资金日记账!$E539="",N(资金日记账!$H539)=0),"",资金日记账!$E539)</f>
        <v/>
      </c>
      <c r="AG539">
        <f t="shared" si="103"/>
        <v>0</v>
      </c>
      <c r="AH539">
        <f t="shared" si="104"/>
        <v>0</v>
      </c>
    </row>
    <row r="540" spans="1:34">
      <c r="A540" t="str">
        <f>IF(资金日记账!$F238="","",资金日记账!$F238)</f>
        <v/>
      </c>
      <c r="B540">
        <f t="shared" si="97"/>
        <v>0</v>
      </c>
      <c r="C540">
        <f t="shared" si="98"/>
        <v>0</v>
      </c>
      <c r="G540">
        <f>IF(OR($G$1="",资金日记账!$E533="",资金日记账!$E533&lt;&gt;$G$1),0,IF(NOT(OR(N(资金日记账!$H533)&lt;&gt;0,N(资金日记账!$I533)&lt;&gt;0)),0,IF(资金日记账!$B533="",1,IF(OR(N(资金日记账!$B533)&lt;$H$1,N(资金日记账!$B533)&gt;$I$1),0,1))))</f>
        <v>0</v>
      </c>
      <c r="H540">
        <f t="shared" si="99"/>
        <v>0</v>
      </c>
      <c r="I540" t="str">
        <f>IF($G540=0,"",IF(资金日记账!$B533=0,"",资金日记账!$B533))</f>
        <v/>
      </c>
      <c r="J540" t="str">
        <f>IF($G540=0,"",IF(资金日记账!$D533=0,"",资金日记账!$D533))</f>
        <v/>
      </c>
      <c r="K540" t="str">
        <f t="shared" si="105"/>
        <v/>
      </c>
      <c r="L540" t="str">
        <f t="shared" si="106"/>
        <v/>
      </c>
      <c r="M540" t="str">
        <f t="shared" si="100"/>
        <v/>
      </c>
      <c r="N540" t="str">
        <f>IF($G540=0,"",IF(IF(N(资金日记账!$I533)=0,"",-ROUND(N(资金日记账!$I533),2))=0,"",IF(N(资金日记账!$I533)=0,"",-ROUND(N(资金日记账!$I533),2))))</f>
        <v/>
      </c>
      <c r="O540" t="str">
        <f>IF($G540=0,"",IF(IF(N(资金日记账!$H533)=0,"",ROUND(N(资金日记账!$H533),2))=0,"",IF(N(资金日记账!$H533)=0,"",ROUND(N(资金日记账!$H533),2))))</f>
        <v/>
      </c>
      <c r="P540" t="str">
        <f>IF($G540=0,"",IF(资金日记账!$L533=0,"",资金日记账!$L533))</f>
        <v/>
      </c>
      <c r="T540" t="str">
        <f>IF(资金日记账!$G540="","",资金日记账!$G540)</f>
        <v/>
      </c>
      <c r="U540">
        <f t="shared" si="101"/>
        <v>0</v>
      </c>
      <c r="V540">
        <f t="shared" si="102"/>
        <v>0</v>
      </c>
      <c r="AF540" t="str">
        <f>IF(OR(资金日记账!$E540="",N(资金日记账!$H540)=0),"",资金日记账!$E540)</f>
        <v/>
      </c>
      <c r="AG540">
        <f t="shared" si="103"/>
        <v>0</v>
      </c>
      <c r="AH540">
        <f t="shared" si="104"/>
        <v>0</v>
      </c>
    </row>
    <row r="541" spans="1:34">
      <c r="A541" t="str">
        <f>IF(资金日记账!$F239="","",资金日记账!$F239)</f>
        <v/>
      </c>
      <c r="B541">
        <f t="shared" si="97"/>
        <v>0</v>
      </c>
      <c r="C541">
        <f t="shared" si="98"/>
        <v>0</v>
      </c>
      <c r="G541">
        <f>IF(OR($G$1="",资金日记账!$E534="",资金日记账!$E534&lt;&gt;$G$1),0,IF(NOT(OR(N(资金日记账!$H534)&lt;&gt;0,N(资金日记账!$I534)&lt;&gt;0)),0,IF(资金日记账!$B534="",1,IF(OR(N(资金日记账!$B534)&lt;$H$1,N(资金日记账!$B534)&gt;$I$1),0,1))))</f>
        <v>0</v>
      </c>
      <c r="H541">
        <f t="shared" si="99"/>
        <v>0</v>
      </c>
      <c r="I541" t="str">
        <f>IF($G541=0,"",IF(资金日记账!$B534=0,"",资金日记账!$B534))</f>
        <v/>
      </c>
      <c r="J541" t="str">
        <f>IF($G541=0,"",IF(资金日记账!$D534=0,"",资金日记账!$D534))</f>
        <v/>
      </c>
      <c r="K541" t="str">
        <f t="shared" si="105"/>
        <v/>
      </c>
      <c r="L541" t="str">
        <f t="shared" si="106"/>
        <v/>
      </c>
      <c r="M541" t="str">
        <f t="shared" si="100"/>
        <v/>
      </c>
      <c r="N541" t="str">
        <f>IF($G541=0,"",IF(IF(N(资金日记账!$I534)=0,"",-ROUND(N(资金日记账!$I534),2))=0,"",IF(N(资金日记账!$I534)=0,"",-ROUND(N(资金日记账!$I534),2))))</f>
        <v/>
      </c>
      <c r="O541" t="str">
        <f>IF($G541=0,"",IF(IF(N(资金日记账!$H534)=0,"",ROUND(N(资金日记账!$H534),2))=0,"",IF(N(资金日记账!$H534)=0,"",ROUND(N(资金日记账!$H534),2))))</f>
        <v/>
      </c>
      <c r="P541" t="str">
        <f>IF($G541=0,"",IF(资金日记账!$L534=0,"",资金日记账!$L534))</f>
        <v/>
      </c>
      <c r="T541" t="str">
        <f>IF(资金日记账!$G541="","",资金日记账!$G541)</f>
        <v/>
      </c>
      <c r="U541">
        <f t="shared" si="101"/>
        <v>0</v>
      </c>
      <c r="V541">
        <f t="shared" si="102"/>
        <v>0</v>
      </c>
      <c r="AF541" t="str">
        <f>IF(OR(资金日记账!$E541="",N(资金日记账!$H541)=0),"",资金日记账!$E541)</f>
        <v/>
      </c>
      <c r="AG541">
        <f t="shared" si="103"/>
        <v>0</v>
      </c>
      <c r="AH541">
        <f t="shared" si="104"/>
        <v>0</v>
      </c>
    </row>
    <row r="542" spans="1:34">
      <c r="A542" t="str">
        <f>IF(资金日记账!$F240="","",资金日记账!$F240)</f>
        <v/>
      </c>
      <c r="B542">
        <f t="shared" si="97"/>
        <v>0</v>
      </c>
      <c r="C542">
        <f t="shared" si="98"/>
        <v>0</v>
      </c>
      <c r="G542">
        <f>IF(OR($G$1="",资金日记账!$E535="",资金日记账!$E535&lt;&gt;$G$1),0,IF(NOT(OR(N(资金日记账!$H535)&lt;&gt;0,N(资金日记账!$I535)&lt;&gt;0)),0,IF(资金日记账!$B535="",1,IF(OR(N(资金日记账!$B535)&lt;$H$1,N(资金日记账!$B535)&gt;$I$1),0,1))))</f>
        <v>0</v>
      </c>
      <c r="H542">
        <f t="shared" si="99"/>
        <v>0</v>
      </c>
      <c r="I542" t="str">
        <f>IF($G542=0,"",IF(资金日记账!$B535=0,"",资金日记账!$B535))</f>
        <v/>
      </c>
      <c r="J542" t="str">
        <f>IF($G542=0,"",IF(资金日记账!$D535=0,"",资金日记账!$D535))</f>
        <v/>
      </c>
      <c r="K542" t="str">
        <f t="shared" si="105"/>
        <v/>
      </c>
      <c r="L542" t="str">
        <f t="shared" si="106"/>
        <v/>
      </c>
      <c r="M542" t="str">
        <f t="shared" si="100"/>
        <v/>
      </c>
      <c r="N542" t="str">
        <f>IF($G542=0,"",IF(IF(N(资金日记账!$I535)=0,"",-ROUND(N(资金日记账!$I535),2))=0,"",IF(N(资金日记账!$I535)=0,"",-ROUND(N(资金日记账!$I535),2))))</f>
        <v/>
      </c>
      <c r="O542" t="str">
        <f>IF($G542=0,"",IF(IF(N(资金日记账!$H535)=0,"",ROUND(N(资金日记账!$H535),2))=0,"",IF(N(资金日记账!$H535)=0,"",ROUND(N(资金日记账!$H535),2))))</f>
        <v/>
      </c>
      <c r="P542" t="str">
        <f>IF($G542=0,"",IF(资金日记账!$L535=0,"",资金日记账!$L535))</f>
        <v/>
      </c>
      <c r="T542" t="str">
        <f>IF(资金日记账!$G542="","",资金日记账!$G542)</f>
        <v/>
      </c>
      <c r="U542">
        <f t="shared" si="101"/>
        <v>0</v>
      </c>
      <c r="V542">
        <f t="shared" si="102"/>
        <v>0</v>
      </c>
      <c r="AF542" t="str">
        <f>IF(OR(资金日记账!$E542="",N(资金日记账!$H542)=0),"",资金日记账!$E542)</f>
        <v/>
      </c>
      <c r="AG542">
        <f t="shared" si="103"/>
        <v>0</v>
      </c>
      <c r="AH542">
        <f t="shared" si="104"/>
        <v>0</v>
      </c>
    </row>
    <row r="543" spans="1:34">
      <c r="A543" t="str">
        <f>IF(资金日记账!$F241="","",资金日记账!$F241)</f>
        <v/>
      </c>
      <c r="B543">
        <f t="shared" si="97"/>
        <v>0</v>
      </c>
      <c r="C543">
        <f t="shared" si="98"/>
        <v>0</v>
      </c>
      <c r="G543">
        <f>IF(OR($G$1="",资金日记账!$E536="",资金日记账!$E536&lt;&gt;$G$1),0,IF(NOT(OR(N(资金日记账!$H536)&lt;&gt;0,N(资金日记账!$I536)&lt;&gt;0)),0,IF(资金日记账!$B536="",1,IF(OR(N(资金日记账!$B536)&lt;$H$1,N(资金日记账!$B536)&gt;$I$1),0,1))))</f>
        <v>0</v>
      </c>
      <c r="H543">
        <f t="shared" si="99"/>
        <v>0</v>
      </c>
      <c r="I543" t="str">
        <f>IF($G543=0,"",IF(资金日记账!$B536=0,"",资金日记账!$B536))</f>
        <v/>
      </c>
      <c r="J543" t="str">
        <f>IF($G543=0,"",IF(资金日记账!$D536=0,"",资金日记账!$D536))</f>
        <v/>
      </c>
      <c r="K543" t="str">
        <f t="shared" si="105"/>
        <v/>
      </c>
      <c r="L543" t="str">
        <f t="shared" si="106"/>
        <v/>
      </c>
      <c r="M543" t="str">
        <f t="shared" si="100"/>
        <v/>
      </c>
      <c r="N543" t="str">
        <f>IF($G543=0,"",IF(IF(N(资金日记账!$I536)=0,"",-ROUND(N(资金日记账!$I536),2))=0,"",IF(N(资金日记账!$I536)=0,"",-ROUND(N(资金日记账!$I536),2))))</f>
        <v/>
      </c>
      <c r="O543" t="str">
        <f>IF($G543=0,"",IF(IF(N(资金日记账!$H536)=0,"",ROUND(N(资金日记账!$H536),2))=0,"",IF(N(资金日记账!$H536)=0,"",ROUND(N(资金日记账!$H536),2))))</f>
        <v/>
      </c>
      <c r="P543" t="str">
        <f>IF($G543=0,"",IF(资金日记账!$L536=0,"",资金日记账!$L536))</f>
        <v/>
      </c>
      <c r="T543" t="str">
        <f>IF(资金日记账!$G543="","",资金日记账!$G543)</f>
        <v/>
      </c>
      <c r="U543">
        <f t="shared" si="101"/>
        <v>0</v>
      </c>
      <c r="V543">
        <f t="shared" si="102"/>
        <v>0</v>
      </c>
      <c r="AF543" t="str">
        <f>IF(OR(资金日记账!$E543="",N(资金日记账!$H543)=0),"",资金日记账!$E543)</f>
        <v/>
      </c>
      <c r="AG543">
        <f t="shared" si="103"/>
        <v>0</v>
      </c>
      <c r="AH543">
        <f t="shared" si="104"/>
        <v>0</v>
      </c>
    </row>
    <row r="544" spans="1:34">
      <c r="A544" t="str">
        <f>IF(资金日记账!$F242="","",资金日记账!$F242)</f>
        <v/>
      </c>
      <c r="B544">
        <f t="shared" si="97"/>
        <v>0</v>
      </c>
      <c r="C544">
        <f t="shared" si="98"/>
        <v>0</v>
      </c>
      <c r="G544">
        <f>IF(OR($G$1="",资金日记账!$E537="",资金日记账!$E537&lt;&gt;$G$1),0,IF(NOT(OR(N(资金日记账!$H537)&lt;&gt;0,N(资金日记账!$I537)&lt;&gt;0)),0,IF(资金日记账!$B537="",1,IF(OR(N(资金日记账!$B537)&lt;$H$1,N(资金日记账!$B537)&gt;$I$1),0,1))))</f>
        <v>0</v>
      </c>
      <c r="H544">
        <f t="shared" si="99"/>
        <v>0</v>
      </c>
      <c r="I544" t="str">
        <f>IF($G544=0,"",IF(资金日记账!$B537=0,"",资金日记账!$B537))</f>
        <v/>
      </c>
      <c r="J544" t="str">
        <f>IF($G544=0,"",IF(资金日记账!$D537=0,"",资金日记账!$D537))</f>
        <v/>
      </c>
      <c r="K544" t="str">
        <f t="shared" si="105"/>
        <v/>
      </c>
      <c r="L544" t="str">
        <f t="shared" si="106"/>
        <v/>
      </c>
      <c r="M544" t="str">
        <f t="shared" si="100"/>
        <v/>
      </c>
      <c r="N544" t="str">
        <f>IF($G544=0,"",IF(IF(N(资金日记账!$I537)=0,"",-ROUND(N(资金日记账!$I537),2))=0,"",IF(N(资金日记账!$I537)=0,"",-ROUND(N(资金日记账!$I537),2))))</f>
        <v/>
      </c>
      <c r="O544" t="str">
        <f>IF($G544=0,"",IF(IF(N(资金日记账!$H537)=0,"",ROUND(N(资金日记账!$H537),2))=0,"",IF(N(资金日记账!$H537)=0,"",ROUND(N(资金日记账!$H537),2))))</f>
        <v/>
      </c>
      <c r="P544" t="str">
        <f>IF($G544=0,"",IF(资金日记账!$L537=0,"",资金日记账!$L537))</f>
        <v/>
      </c>
      <c r="T544" t="str">
        <f>IF(资金日记账!$G544="","",资金日记账!$G544)</f>
        <v/>
      </c>
      <c r="U544">
        <f t="shared" si="101"/>
        <v>0</v>
      </c>
      <c r="V544">
        <f t="shared" si="102"/>
        <v>0</v>
      </c>
      <c r="AF544" t="str">
        <f>IF(OR(资金日记账!$E544="",N(资金日记账!$H544)=0),"",资金日记账!$E544)</f>
        <v/>
      </c>
      <c r="AG544">
        <f t="shared" si="103"/>
        <v>0</v>
      </c>
      <c r="AH544">
        <f t="shared" si="104"/>
        <v>0</v>
      </c>
    </row>
    <row r="545" spans="1:34">
      <c r="A545" t="str">
        <f>IF(资金日记账!$F243="","",资金日记账!$F243)</f>
        <v/>
      </c>
      <c r="B545">
        <f t="shared" si="97"/>
        <v>0</v>
      </c>
      <c r="C545">
        <f t="shared" si="98"/>
        <v>0</v>
      </c>
      <c r="G545">
        <f>IF(OR($G$1="",资金日记账!$E538="",资金日记账!$E538&lt;&gt;$G$1),0,IF(NOT(OR(N(资金日记账!$H538)&lt;&gt;0,N(资金日记账!$I538)&lt;&gt;0)),0,IF(资金日记账!$B538="",1,IF(OR(N(资金日记账!$B538)&lt;$H$1,N(资金日记账!$B538)&gt;$I$1),0,1))))</f>
        <v>0</v>
      </c>
      <c r="H545">
        <f t="shared" si="99"/>
        <v>0</v>
      </c>
      <c r="I545" t="str">
        <f>IF($G545=0,"",IF(资金日记账!$B538=0,"",资金日记账!$B538))</f>
        <v/>
      </c>
      <c r="J545" t="str">
        <f>IF($G545=0,"",IF(资金日记账!$D538=0,"",资金日记账!$D538))</f>
        <v/>
      </c>
      <c r="K545" t="str">
        <f t="shared" si="105"/>
        <v/>
      </c>
      <c r="L545" t="str">
        <f t="shared" si="106"/>
        <v/>
      </c>
      <c r="M545" t="str">
        <f t="shared" si="100"/>
        <v/>
      </c>
      <c r="N545" t="str">
        <f>IF($G545=0,"",IF(IF(N(资金日记账!$I538)=0,"",-ROUND(N(资金日记账!$I538),2))=0,"",IF(N(资金日记账!$I538)=0,"",-ROUND(N(资金日记账!$I538),2))))</f>
        <v/>
      </c>
      <c r="O545" t="str">
        <f>IF($G545=0,"",IF(IF(N(资金日记账!$H538)=0,"",ROUND(N(资金日记账!$H538),2))=0,"",IF(N(资金日记账!$H538)=0,"",ROUND(N(资金日记账!$H538),2))))</f>
        <v/>
      </c>
      <c r="P545" t="str">
        <f>IF($G545=0,"",IF(资金日记账!$L538=0,"",资金日记账!$L538))</f>
        <v/>
      </c>
      <c r="T545" t="str">
        <f>IF(资金日记账!$G545="","",资金日记账!$G545)</f>
        <v/>
      </c>
      <c r="U545">
        <f t="shared" si="101"/>
        <v>0</v>
      </c>
      <c r="V545">
        <f t="shared" si="102"/>
        <v>0</v>
      </c>
      <c r="AF545" t="str">
        <f>IF(OR(资金日记账!$E545="",N(资金日记账!$H545)=0),"",资金日记账!$E545)</f>
        <v/>
      </c>
      <c r="AG545">
        <f t="shared" si="103"/>
        <v>0</v>
      </c>
      <c r="AH545">
        <f t="shared" si="104"/>
        <v>0</v>
      </c>
    </row>
    <row r="546" spans="1:34">
      <c r="A546" t="str">
        <f>IF(资金日记账!$F244="","",资金日记账!$F244)</f>
        <v/>
      </c>
      <c r="B546">
        <f t="shared" si="97"/>
        <v>0</v>
      </c>
      <c r="C546">
        <f t="shared" si="98"/>
        <v>0</v>
      </c>
      <c r="G546">
        <f>IF(OR($G$1="",资金日记账!$E539="",资金日记账!$E539&lt;&gt;$G$1),0,IF(NOT(OR(N(资金日记账!$H539)&lt;&gt;0,N(资金日记账!$I539)&lt;&gt;0)),0,IF(资金日记账!$B539="",1,IF(OR(N(资金日记账!$B539)&lt;$H$1,N(资金日记账!$B539)&gt;$I$1),0,1))))</f>
        <v>0</v>
      </c>
      <c r="H546">
        <f t="shared" si="99"/>
        <v>0</v>
      </c>
      <c r="I546" t="str">
        <f>IF($G546=0,"",IF(资金日记账!$B539=0,"",资金日记账!$B539))</f>
        <v/>
      </c>
      <c r="J546" t="str">
        <f>IF($G546=0,"",IF(资金日记账!$D539=0,"",资金日记账!$D539))</f>
        <v/>
      </c>
      <c r="K546" t="str">
        <f t="shared" si="105"/>
        <v/>
      </c>
      <c r="L546" t="str">
        <f t="shared" si="106"/>
        <v/>
      </c>
      <c r="M546" t="str">
        <f t="shared" si="100"/>
        <v/>
      </c>
      <c r="N546" t="str">
        <f>IF($G546=0,"",IF(IF(N(资金日记账!$I539)=0,"",-ROUND(N(资金日记账!$I539),2))=0,"",IF(N(资金日记账!$I539)=0,"",-ROUND(N(资金日记账!$I539),2))))</f>
        <v/>
      </c>
      <c r="O546" t="str">
        <f>IF($G546=0,"",IF(IF(N(资金日记账!$H539)=0,"",ROUND(N(资金日记账!$H539),2))=0,"",IF(N(资金日记账!$H539)=0,"",ROUND(N(资金日记账!$H539),2))))</f>
        <v/>
      </c>
      <c r="P546" t="str">
        <f>IF($G546=0,"",IF(资金日记账!$L539=0,"",资金日记账!$L539))</f>
        <v/>
      </c>
      <c r="T546" t="str">
        <f>IF(资金日记账!$G546="","",资金日记账!$G546)</f>
        <v/>
      </c>
      <c r="U546">
        <f t="shared" si="101"/>
        <v>0</v>
      </c>
      <c r="V546">
        <f t="shared" si="102"/>
        <v>0</v>
      </c>
      <c r="AF546" t="str">
        <f>IF(OR(资金日记账!$E546="",N(资金日记账!$H546)=0),"",资金日记账!$E546)</f>
        <v/>
      </c>
      <c r="AG546">
        <f t="shared" si="103"/>
        <v>0</v>
      </c>
      <c r="AH546">
        <f t="shared" si="104"/>
        <v>0</v>
      </c>
    </row>
    <row r="547" spans="1:34">
      <c r="A547" t="str">
        <f>IF(资金日记账!$F245="","",资金日记账!$F245)</f>
        <v/>
      </c>
      <c r="B547">
        <f t="shared" si="97"/>
        <v>0</v>
      </c>
      <c r="C547">
        <f t="shared" si="98"/>
        <v>0</v>
      </c>
      <c r="G547">
        <f>IF(OR($G$1="",资金日记账!$E540="",资金日记账!$E540&lt;&gt;$G$1),0,IF(NOT(OR(N(资金日记账!$H540)&lt;&gt;0,N(资金日记账!$I540)&lt;&gt;0)),0,IF(资金日记账!$B540="",1,IF(OR(N(资金日记账!$B540)&lt;$H$1,N(资金日记账!$B540)&gt;$I$1),0,1))))</f>
        <v>0</v>
      </c>
      <c r="H547">
        <f t="shared" si="99"/>
        <v>0</v>
      </c>
      <c r="I547" t="str">
        <f>IF($G547=0,"",IF(资金日记账!$B540=0,"",资金日记账!$B540))</f>
        <v/>
      </c>
      <c r="J547" t="str">
        <f>IF($G547=0,"",IF(资金日记账!$D540=0,"",资金日记账!$D540))</f>
        <v/>
      </c>
      <c r="K547" t="str">
        <f t="shared" si="105"/>
        <v/>
      </c>
      <c r="L547" t="str">
        <f t="shared" si="106"/>
        <v/>
      </c>
      <c r="M547" t="str">
        <f t="shared" si="100"/>
        <v/>
      </c>
      <c r="N547" t="str">
        <f>IF($G547=0,"",IF(IF(N(资金日记账!$I540)=0,"",-ROUND(N(资金日记账!$I540),2))=0,"",IF(N(资金日记账!$I540)=0,"",-ROUND(N(资金日记账!$I540),2))))</f>
        <v/>
      </c>
      <c r="O547" t="str">
        <f>IF($G547=0,"",IF(IF(N(资金日记账!$H540)=0,"",ROUND(N(资金日记账!$H540),2))=0,"",IF(N(资金日记账!$H540)=0,"",ROUND(N(资金日记账!$H540),2))))</f>
        <v/>
      </c>
      <c r="P547" t="str">
        <f>IF($G547=0,"",IF(资金日记账!$L540=0,"",资金日记账!$L540))</f>
        <v/>
      </c>
      <c r="T547" t="str">
        <f>IF(资金日记账!$G547="","",资金日记账!$G547)</f>
        <v/>
      </c>
      <c r="U547">
        <f t="shared" si="101"/>
        <v>0</v>
      </c>
      <c r="V547">
        <f t="shared" si="102"/>
        <v>0</v>
      </c>
      <c r="AF547" t="str">
        <f>IF(OR(资金日记账!$E547="",N(资金日记账!$H547)=0),"",资金日记账!$E547)</f>
        <v/>
      </c>
      <c r="AG547">
        <f t="shared" si="103"/>
        <v>0</v>
      </c>
      <c r="AH547">
        <f t="shared" si="104"/>
        <v>0</v>
      </c>
    </row>
    <row r="548" spans="1:34">
      <c r="A548" t="str">
        <f>IF(资金日记账!$F246="","",资金日记账!$F246)</f>
        <v/>
      </c>
      <c r="B548">
        <f t="shared" si="97"/>
        <v>0</v>
      </c>
      <c r="C548">
        <f t="shared" si="98"/>
        <v>0</v>
      </c>
      <c r="G548">
        <f>IF(OR($G$1="",资金日记账!$E541="",资金日记账!$E541&lt;&gt;$G$1),0,IF(NOT(OR(N(资金日记账!$H541)&lt;&gt;0,N(资金日记账!$I541)&lt;&gt;0)),0,IF(资金日记账!$B541="",1,IF(OR(N(资金日记账!$B541)&lt;$H$1,N(资金日记账!$B541)&gt;$I$1),0,1))))</f>
        <v>0</v>
      </c>
      <c r="H548">
        <f t="shared" si="99"/>
        <v>0</v>
      </c>
      <c r="I548" t="str">
        <f>IF($G548=0,"",IF(资金日记账!$B541=0,"",资金日记账!$B541))</f>
        <v/>
      </c>
      <c r="J548" t="str">
        <f>IF($G548=0,"",IF(资金日记账!$D541=0,"",资金日记账!$D541))</f>
        <v/>
      </c>
      <c r="K548" t="str">
        <f t="shared" si="105"/>
        <v/>
      </c>
      <c r="L548" t="str">
        <f t="shared" si="106"/>
        <v/>
      </c>
      <c r="M548" t="str">
        <f t="shared" si="100"/>
        <v/>
      </c>
      <c r="N548" t="str">
        <f>IF($G548=0,"",IF(IF(N(资金日记账!$I541)=0,"",-ROUND(N(资金日记账!$I541),2))=0,"",IF(N(资金日记账!$I541)=0,"",-ROUND(N(资金日记账!$I541),2))))</f>
        <v/>
      </c>
      <c r="O548" t="str">
        <f>IF($G548=0,"",IF(IF(N(资金日记账!$H541)=0,"",ROUND(N(资金日记账!$H541),2))=0,"",IF(N(资金日记账!$H541)=0,"",ROUND(N(资金日记账!$H541),2))))</f>
        <v/>
      </c>
      <c r="P548" t="str">
        <f>IF($G548=0,"",IF(资金日记账!$L541=0,"",资金日记账!$L541))</f>
        <v/>
      </c>
      <c r="T548" t="str">
        <f>IF(资金日记账!$G548="","",资金日记账!$G548)</f>
        <v/>
      </c>
      <c r="U548">
        <f t="shared" si="101"/>
        <v>0</v>
      </c>
      <c r="V548">
        <f t="shared" si="102"/>
        <v>0</v>
      </c>
      <c r="AF548" t="str">
        <f>IF(OR(资金日记账!$E548="",N(资金日记账!$H548)=0),"",资金日记账!$E548)</f>
        <v/>
      </c>
      <c r="AG548">
        <f t="shared" si="103"/>
        <v>0</v>
      </c>
      <c r="AH548">
        <f t="shared" si="104"/>
        <v>0</v>
      </c>
    </row>
    <row r="549" spans="1:34">
      <c r="A549" t="str">
        <f>IF(资金日记账!$F247="","",资金日记账!$F247)</f>
        <v/>
      </c>
      <c r="B549">
        <f t="shared" si="97"/>
        <v>0</v>
      </c>
      <c r="C549">
        <f t="shared" si="98"/>
        <v>0</v>
      </c>
      <c r="G549">
        <f>IF(OR($G$1="",资金日记账!$E542="",资金日记账!$E542&lt;&gt;$G$1),0,IF(NOT(OR(N(资金日记账!$H542)&lt;&gt;0,N(资金日记账!$I542)&lt;&gt;0)),0,IF(资金日记账!$B542="",1,IF(OR(N(资金日记账!$B542)&lt;$H$1,N(资金日记账!$B542)&gt;$I$1),0,1))))</f>
        <v>0</v>
      </c>
      <c r="H549">
        <f t="shared" si="99"/>
        <v>0</v>
      </c>
      <c r="I549" t="str">
        <f>IF($G549=0,"",IF(资金日记账!$B542=0,"",资金日记账!$B542))</f>
        <v/>
      </c>
      <c r="J549" t="str">
        <f>IF($G549=0,"",IF(资金日记账!$D542=0,"",资金日记账!$D542))</f>
        <v/>
      </c>
      <c r="K549" t="str">
        <f t="shared" si="105"/>
        <v/>
      </c>
      <c r="L549" t="str">
        <f t="shared" si="106"/>
        <v/>
      </c>
      <c r="M549" t="str">
        <f t="shared" si="100"/>
        <v/>
      </c>
      <c r="N549" t="str">
        <f>IF($G549=0,"",IF(IF(N(资金日记账!$I542)=0,"",-ROUND(N(资金日记账!$I542),2))=0,"",IF(N(资金日记账!$I542)=0,"",-ROUND(N(资金日记账!$I542),2))))</f>
        <v/>
      </c>
      <c r="O549" t="str">
        <f>IF($G549=0,"",IF(IF(N(资金日记账!$H542)=0,"",ROUND(N(资金日记账!$H542),2))=0,"",IF(N(资金日记账!$H542)=0,"",ROUND(N(资金日记账!$H542),2))))</f>
        <v/>
      </c>
      <c r="P549" t="str">
        <f>IF($G549=0,"",IF(资金日记账!$L542=0,"",资金日记账!$L542))</f>
        <v/>
      </c>
      <c r="T549" t="str">
        <f>IF(资金日记账!$G549="","",资金日记账!$G549)</f>
        <v/>
      </c>
      <c r="U549">
        <f t="shared" si="101"/>
        <v>0</v>
      </c>
      <c r="V549">
        <f t="shared" si="102"/>
        <v>0</v>
      </c>
      <c r="AF549" t="str">
        <f>IF(OR(资金日记账!$E549="",N(资金日记账!$H549)=0),"",资金日记账!$E549)</f>
        <v/>
      </c>
      <c r="AG549">
        <f t="shared" si="103"/>
        <v>0</v>
      </c>
      <c r="AH549">
        <f t="shared" si="104"/>
        <v>0</v>
      </c>
    </row>
    <row r="550" spans="1:34">
      <c r="A550" t="str">
        <f>IF(资金日记账!$F248="","",资金日记账!$F248)</f>
        <v/>
      </c>
      <c r="B550">
        <f t="shared" si="97"/>
        <v>0</v>
      </c>
      <c r="C550">
        <f t="shared" si="98"/>
        <v>0</v>
      </c>
      <c r="G550">
        <f>IF(OR($G$1="",资金日记账!$E543="",资金日记账!$E543&lt;&gt;$G$1),0,IF(NOT(OR(N(资金日记账!$H543)&lt;&gt;0,N(资金日记账!$I543)&lt;&gt;0)),0,IF(资金日记账!$B543="",1,IF(OR(N(资金日记账!$B543)&lt;$H$1,N(资金日记账!$B543)&gt;$I$1),0,1))))</f>
        <v>0</v>
      </c>
      <c r="H550">
        <f t="shared" si="99"/>
        <v>0</v>
      </c>
      <c r="I550" t="str">
        <f>IF($G550=0,"",IF(资金日记账!$B543=0,"",资金日记账!$B543))</f>
        <v/>
      </c>
      <c r="J550" t="str">
        <f>IF($G550=0,"",IF(资金日记账!$D543=0,"",资金日记账!$D543))</f>
        <v/>
      </c>
      <c r="K550" t="str">
        <f t="shared" si="105"/>
        <v/>
      </c>
      <c r="L550" t="str">
        <f t="shared" si="106"/>
        <v/>
      </c>
      <c r="M550" t="str">
        <f t="shared" si="100"/>
        <v/>
      </c>
      <c r="N550" t="str">
        <f>IF($G550=0,"",IF(IF(N(资金日记账!$I543)=0,"",-ROUND(N(资金日记账!$I543),2))=0,"",IF(N(资金日记账!$I543)=0,"",-ROUND(N(资金日记账!$I543),2))))</f>
        <v/>
      </c>
      <c r="O550" t="str">
        <f>IF($G550=0,"",IF(IF(N(资金日记账!$H543)=0,"",ROUND(N(资金日记账!$H543),2))=0,"",IF(N(资金日记账!$H543)=0,"",ROUND(N(资金日记账!$H543),2))))</f>
        <v/>
      </c>
      <c r="P550" t="str">
        <f>IF($G550=0,"",IF(资金日记账!$L543=0,"",资金日记账!$L543))</f>
        <v/>
      </c>
      <c r="T550" t="str">
        <f>IF(资金日记账!$G550="","",资金日记账!$G550)</f>
        <v/>
      </c>
      <c r="U550">
        <f t="shared" si="101"/>
        <v>0</v>
      </c>
      <c r="V550">
        <f t="shared" si="102"/>
        <v>0</v>
      </c>
      <c r="AF550" t="str">
        <f>IF(OR(资金日记账!$E550="",N(资金日记账!$H550)=0),"",资金日记账!$E550)</f>
        <v/>
      </c>
      <c r="AG550">
        <f t="shared" si="103"/>
        <v>0</v>
      </c>
      <c r="AH550">
        <f t="shared" si="104"/>
        <v>0</v>
      </c>
    </row>
    <row r="551" spans="1:34">
      <c r="A551" t="str">
        <f>IF(资金日记账!$F249="","",资金日记账!$F249)</f>
        <v/>
      </c>
      <c r="B551">
        <f t="shared" si="97"/>
        <v>0</v>
      </c>
      <c r="C551">
        <f t="shared" si="98"/>
        <v>0</v>
      </c>
      <c r="G551">
        <f>IF(OR($G$1="",资金日记账!$E544="",资金日记账!$E544&lt;&gt;$G$1),0,IF(NOT(OR(N(资金日记账!$H544)&lt;&gt;0,N(资金日记账!$I544)&lt;&gt;0)),0,IF(资金日记账!$B544="",1,IF(OR(N(资金日记账!$B544)&lt;$H$1,N(资金日记账!$B544)&gt;$I$1),0,1))))</f>
        <v>0</v>
      </c>
      <c r="H551">
        <f t="shared" si="99"/>
        <v>0</v>
      </c>
      <c r="I551" t="str">
        <f>IF($G551=0,"",IF(资金日记账!$B544=0,"",资金日记账!$B544))</f>
        <v/>
      </c>
      <c r="J551" t="str">
        <f>IF($G551=0,"",IF(资金日记账!$D544=0,"",资金日记账!$D544))</f>
        <v/>
      </c>
      <c r="K551" t="str">
        <f t="shared" si="105"/>
        <v/>
      </c>
      <c r="L551" t="str">
        <f t="shared" si="106"/>
        <v/>
      </c>
      <c r="M551" t="str">
        <f t="shared" si="100"/>
        <v/>
      </c>
      <c r="N551" t="str">
        <f>IF($G551=0,"",IF(IF(N(资金日记账!$I544)=0,"",-ROUND(N(资金日记账!$I544),2))=0,"",IF(N(资金日记账!$I544)=0,"",-ROUND(N(资金日记账!$I544),2))))</f>
        <v/>
      </c>
      <c r="O551" t="str">
        <f>IF($G551=0,"",IF(IF(N(资金日记账!$H544)=0,"",ROUND(N(资金日记账!$H544),2))=0,"",IF(N(资金日记账!$H544)=0,"",ROUND(N(资金日记账!$H544),2))))</f>
        <v/>
      </c>
      <c r="P551" t="str">
        <f>IF($G551=0,"",IF(资金日记账!$L544=0,"",资金日记账!$L544))</f>
        <v/>
      </c>
      <c r="T551" t="str">
        <f>IF(资金日记账!$G551="","",资金日记账!$G551)</f>
        <v/>
      </c>
      <c r="U551">
        <f t="shared" si="101"/>
        <v>0</v>
      </c>
      <c r="V551">
        <f t="shared" si="102"/>
        <v>0</v>
      </c>
      <c r="AF551" t="str">
        <f>IF(OR(资金日记账!$E551="",N(资金日记账!$H551)=0),"",资金日记账!$E551)</f>
        <v/>
      </c>
      <c r="AG551">
        <f t="shared" si="103"/>
        <v>0</v>
      </c>
      <c r="AH551">
        <f t="shared" si="104"/>
        <v>0</v>
      </c>
    </row>
    <row r="552" spans="1:34">
      <c r="A552" t="str">
        <f>IF(资金日记账!$F250="","",资金日记账!$F250)</f>
        <v/>
      </c>
      <c r="B552">
        <f t="shared" si="97"/>
        <v>0</v>
      </c>
      <c r="C552">
        <f t="shared" si="98"/>
        <v>0</v>
      </c>
      <c r="G552">
        <f>IF(OR($G$1="",资金日记账!$E545="",资金日记账!$E545&lt;&gt;$G$1),0,IF(NOT(OR(N(资金日记账!$H545)&lt;&gt;0,N(资金日记账!$I545)&lt;&gt;0)),0,IF(资金日记账!$B545="",1,IF(OR(N(资金日记账!$B545)&lt;$H$1,N(资金日记账!$B545)&gt;$I$1),0,1))))</f>
        <v>0</v>
      </c>
      <c r="H552">
        <f t="shared" si="99"/>
        <v>0</v>
      </c>
      <c r="I552" t="str">
        <f>IF($G552=0,"",IF(资金日记账!$B545=0,"",资金日记账!$B545))</f>
        <v/>
      </c>
      <c r="J552" t="str">
        <f>IF($G552=0,"",IF(资金日记账!$D545=0,"",资金日记账!$D545))</f>
        <v/>
      </c>
      <c r="K552" t="str">
        <f t="shared" si="105"/>
        <v/>
      </c>
      <c r="L552" t="str">
        <f t="shared" si="106"/>
        <v/>
      </c>
      <c r="M552" t="str">
        <f t="shared" si="100"/>
        <v/>
      </c>
      <c r="N552" t="str">
        <f>IF($G552=0,"",IF(IF(N(资金日记账!$I545)=0,"",-ROUND(N(资金日记账!$I545),2))=0,"",IF(N(资金日记账!$I545)=0,"",-ROUND(N(资金日记账!$I545),2))))</f>
        <v/>
      </c>
      <c r="O552" t="str">
        <f>IF($G552=0,"",IF(IF(N(资金日记账!$H545)=0,"",ROUND(N(资金日记账!$H545),2))=0,"",IF(N(资金日记账!$H545)=0,"",ROUND(N(资金日记账!$H545),2))))</f>
        <v/>
      </c>
      <c r="P552" t="str">
        <f>IF($G552=0,"",IF(资金日记账!$L545=0,"",资金日记账!$L545))</f>
        <v/>
      </c>
      <c r="T552" t="str">
        <f>IF(资金日记账!$G552="","",资金日记账!$G552)</f>
        <v/>
      </c>
      <c r="U552">
        <f t="shared" si="101"/>
        <v>0</v>
      </c>
      <c r="V552">
        <f t="shared" si="102"/>
        <v>0</v>
      </c>
      <c r="AF552" t="str">
        <f>IF(OR(资金日记账!$E552="",N(资金日记账!$H552)=0),"",资金日记账!$E552)</f>
        <v/>
      </c>
      <c r="AG552">
        <f t="shared" si="103"/>
        <v>0</v>
      </c>
      <c r="AH552">
        <f t="shared" si="104"/>
        <v>0</v>
      </c>
    </row>
    <row r="553" spans="1:34">
      <c r="A553" t="str">
        <f>IF(资金日记账!$F251="","",资金日记账!$F251)</f>
        <v/>
      </c>
      <c r="B553">
        <f t="shared" si="97"/>
        <v>0</v>
      </c>
      <c r="C553">
        <f t="shared" si="98"/>
        <v>0</v>
      </c>
      <c r="G553">
        <f>IF(OR($G$1="",资金日记账!$E546="",资金日记账!$E546&lt;&gt;$G$1),0,IF(NOT(OR(N(资金日记账!$H546)&lt;&gt;0,N(资金日记账!$I546)&lt;&gt;0)),0,IF(资金日记账!$B546="",1,IF(OR(N(资金日记账!$B546)&lt;$H$1,N(资金日记账!$B546)&gt;$I$1),0,1))))</f>
        <v>0</v>
      </c>
      <c r="H553">
        <f t="shared" si="99"/>
        <v>0</v>
      </c>
      <c r="I553" t="str">
        <f>IF($G553=0,"",IF(资金日记账!$B546=0,"",资金日记账!$B546))</f>
        <v/>
      </c>
      <c r="J553" t="str">
        <f>IF($G553=0,"",IF(资金日记账!$D546=0,"",资金日记账!$D546))</f>
        <v/>
      </c>
      <c r="K553" t="str">
        <f t="shared" si="105"/>
        <v/>
      </c>
      <c r="L553" t="str">
        <f t="shared" si="106"/>
        <v/>
      </c>
      <c r="M553" t="str">
        <f t="shared" si="100"/>
        <v/>
      </c>
      <c r="N553" t="str">
        <f>IF($G553=0,"",IF(IF(N(资金日记账!$I546)=0,"",-ROUND(N(资金日记账!$I546),2))=0,"",IF(N(资金日记账!$I546)=0,"",-ROUND(N(资金日记账!$I546),2))))</f>
        <v/>
      </c>
      <c r="O553" t="str">
        <f>IF($G553=0,"",IF(IF(N(资金日记账!$H546)=0,"",ROUND(N(资金日记账!$H546),2))=0,"",IF(N(资金日记账!$H546)=0,"",ROUND(N(资金日记账!$H546),2))))</f>
        <v/>
      </c>
      <c r="P553" t="str">
        <f>IF($G553=0,"",IF(资金日记账!$L546=0,"",资金日记账!$L546))</f>
        <v/>
      </c>
      <c r="T553" t="str">
        <f>IF(资金日记账!$G553="","",资金日记账!$G553)</f>
        <v/>
      </c>
      <c r="U553">
        <f t="shared" si="101"/>
        <v>0</v>
      </c>
      <c r="V553">
        <f t="shared" si="102"/>
        <v>0</v>
      </c>
      <c r="AF553" t="str">
        <f>IF(OR(资金日记账!$E553="",N(资金日记账!$H553)=0),"",资金日记账!$E553)</f>
        <v/>
      </c>
      <c r="AG553">
        <f t="shared" si="103"/>
        <v>0</v>
      </c>
      <c r="AH553">
        <f t="shared" si="104"/>
        <v>0</v>
      </c>
    </row>
    <row r="554" spans="1:34">
      <c r="A554" t="str">
        <f>IF(资金日记账!$F252="","",资金日记账!$F252)</f>
        <v/>
      </c>
      <c r="B554">
        <f t="shared" si="97"/>
        <v>0</v>
      </c>
      <c r="C554">
        <f t="shared" si="98"/>
        <v>0</v>
      </c>
      <c r="G554">
        <f>IF(OR($G$1="",资金日记账!$E547="",资金日记账!$E547&lt;&gt;$G$1),0,IF(NOT(OR(N(资金日记账!$H547)&lt;&gt;0,N(资金日记账!$I547)&lt;&gt;0)),0,IF(资金日记账!$B547="",1,IF(OR(N(资金日记账!$B547)&lt;$H$1,N(资金日记账!$B547)&gt;$I$1),0,1))))</f>
        <v>0</v>
      </c>
      <c r="H554">
        <f t="shared" si="99"/>
        <v>0</v>
      </c>
      <c r="I554" t="str">
        <f>IF($G554=0,"",IF(资金日记账!$B547=0,"",资金日记账!$B547))</f>
        <v/>
      </c>
      <c r="J554" t="str">
        <f>IF($G554=0,"",IF(资金日记账!$D547=0,"",资金日记账!$D547))</f>
        <v/>
      </c>
      <c r="K554" t="str">
        <f t="shared" si="105"/>
        <v/>
      </c>
      <c r="L554" t="str">
        <f t="shared" si="106"/>
        <v/>
      </c>
      <c r="M554" t="str">
        <f t="shared" si="100"/>
        <v/>
      </c>
      <c r="N554" t="str">
        <f>IF($G554=0,"",IF(IF(N(资金日记账!$I547)=0,"",-ROUND(N(资金日记账!$I547),2))=0,"",IF(N(资金日记账!$I547)=0,"",-ROUND(N(资金日记账!$I547),2))))</f>
        <v/>
      </c>
      <c r="O554" t="str">
        <f>IF($G554=0,"",IF(IF(N(资金日记账!$H547)=0,"",ROUND(N(资金日记账!$H547),2))=0,"",IF(N(资金日记账!$H547)=0,"",ROUND(N(资金日记账!$H547),2))))</f>
        <v/>
      </c>
      <c r="P554" t="str">
        <f>IF($G554=0,"",IF(资金日记账!$L547=0,"",资金日记账!$L547))</f>
        <v/>
      </c>
      <c r="T554" t="str">
        <f>IF(资金日记账!$G554="","",资金日记账!$G554)</f>
        <v/>
      </c>
      <c r="U554">
        <f t="shared" si="101"/>
        <v>0</v>
      </c>
      <c r="V554">
        <f t="shared" si="102"/>
        <v>0</v>
      </c>
      <c r="AF554" t="str">
        <f>IF(OR(资金日记账!$E554="",N(资金日记账!$H554)=0),"",资金日记账!$E554)</f>
        <v/>
      </c>
      <c r="AG554">
        <f t="shared" si="103"/>
        <v>0</v>
      </c>
      <c r="AH554">
        <f t="shared" si="104"/>
        <v>0</v>
      </c>
    </row>
    <row r="555" spans="1:34">
      <c r="A555" t="str">
        <f>IF(资金日记账!$F253="","",资金日记账!$F253)</f>
        <v/>
      </c>
      <c r="B555">
        <f t="shared" si="97"/>
        <v>0</v>
      </c>
      <c r="C555">
        <f t="shared" si="98"/>
        <v>0</v>
      </c>
      <c r="G555">
        <f>IF(OR($G$1="",资金日记账!$E548="",资金日记账!$E548&lt;&gt;$G$1),0,IF(NOT(OR(N(资金日记账!$H548)&lt;&gt;0,N(资金日记账!$I548)&lt;&gt;0)),0,IF(资金日记账!$B548="",1,IF(OR(N(资金日记账!$B548)&lt;$H$1,N(资金日记账!$B548)&gt;$I$1),0,1))))</f>
        <v>0</v>
      </c>
      <c r="H555">
        <f t="shared" si="99"/>
        <v>0</v>
      </c>
      <c r="I555" t="str">
        <f>IF($G555=0,"",IF(资金日记账!$B548=0,"",资金日记账!$B548))</f>
        <v/>
      </c>
      <c r="J555" t="str">
        <f>IF($G555=0,"",IF(资金日记账!$D548=0,"",资金日记账!$D548))</f>
        <v/>
      </c>
      <c r="K555" t="str">
        <f t="shared" si="105"/>
        <v/>
      </c>
      <c r="L555" t="str">
        <f t="shared" si="106"/>
        <v/>
      </c>
      <c r="M555" t="str">
        <f t="shared" si="100"/>
        <v/>
      </c>
      <c r="N555" t="str">
        <f>IF($G555=0,"",IF(IF(N(资金日记账!$I548)=0,"",-ROUND(N(资金日记账!$I548),2))=0,"",IF(N(资金日记账!$I548)=0,"",-ROUND(N(资金日记账!$I548),2))))</f>
        <v/>
      </c>
      <c r="O555" t="str">
        <f>IF($G555=0,"",IF(IF(N(资金日记账!$H548)=0,"",ROUND(N(资金日记账!$H548),2))=0,"",IF(N(资金日记账!$H548)=0,"",ROUND(N(资金日记账!$H548),2))))</f>
        <v/>
      </c>
      <c r="P555" t="str">
        <f>IF($G555=0,"",IF(资金日记账!$L548=0,"",资金日记账!$L548))</f>
        <v/>
      </c>
      <c r="T555" t="str">
        <f>IF(资金日记账!$G555="","",资金日记账!$G555)</f>
        <v/>
      </c>
      <c r="U555">
        <f t="shared" si="101"/>
        <v>0</v>
      </c>
      <c r="V555">
        <f t="shared" si="102"/>
        <v>0</v>
      </c>
      <c r="AF555" t="str">
        <f>IF(OR(资金日记账!$E555="",N(资金日记账!$H555)=0),"",资金日记账!$E555)</f>
        <v/>
      </c>
      <c r="AG555">
        <f t="shared" si="103"/>
        <v>0</v>
      </c>
      <c r="AH555">
        <f t="shared" si="104"/>
        <v>0</v>
      </c>
    </row>
    <row r="556" spans="1:34">
      <c r="A556" t="str">
        <f>IF(资金日记账!$F254="","",资金日记账!$F254)</f>
        <v/>
      </c>
      <c r="B556">
        <f t="shared" si="97"/>
        <v>0</v>
      </c>
      <c r="C556">
        <f t="shared" si="98"/>
        <v>0</v>
      </c>
      <c r="G556">
        <f>IF(OR($G$1="",资金日记账!$E549="",资金日记账!$E549&lt;&gt;$G$1),0,IF(NOT(OR(N(资金日记账!$H549)&lt;&gt;0,N(资金日记账!$I549)&lt;&gt;0)),0,IF(资金日记账!$B549="",1,IF(OR(N(资金日记账!$B549)&lt;$H$1,N(资金日记账!$B549)&gt;$I$1),0,1))))</f>
        <v>0</v>
      </c>
      <c r="H556">
        <f t="shared" si="99"/>
        <v>0</v>
      </c>
      <c r="I556" t="str">
        <f>IF($G556=0,"",IF(资金日记账!$B549=0,"",资金日记账!$B549))</f>
        <v/>
      </c>
      <c r="J556" t="str">
        <f>IF($G556=0,"",IF(资金日记账!$D549=0,"",资金日记账!$D549))</f>
        <v/>
      </c>
      <c r="K556" t="str">
        <f t="shared" si="105"/>
        <v/>
      </c>
      <c r="L556" t="str">
        <f t="shared" si="106"/>
        <v/>
      </c>
      <c r="M556" t="str">
        <f t="shared" si="100"/>
        <v/>
      </c>
      <c r="N556" t="str">
        <f>IF($G556=0,"",IF(IF(N(资金日记账!$I549)=0,"",-ROUND(N(资金日记账!$I549),2))=0,"",IF(N(资金日记账!$I549)=0,"",-ROUND(N(资金日记账!$I549),2))))</f>
        <v/>
      </c>
      <c r="O556" t="str">
        <f>IF($G556=0,"",IF(IF(N(资金日记账!$H549)=0,"",ROUND(N(资金日记账!$H549),2))=0,"",IF(N(资金日记账!$H549)=0,"",ROUND(N(资金日记账!$H549),2))))</f>
        <v/>
      </c>
      <c r="P556" t="str">
        <f>IF($G556=0,"",IF(资金日记账!$L549=0,"",资金日记账!$L549))</f>
        <v/>
      </c>
      <c r="T556" t="str">
        <f>IF(资金日记账!$G556="","",资金日记账!$G556)</f>
        <v/>
      </c>
      <c r="U556">
        <f t="shared" si="101"/>
        <v>0</v>
      </c>
      <c r="V556">
        <f t="shared" si="102"/>
        <v>0</v>
      </c>
      <c r="AF556" t="str">
        <f>IF(OR(资金日记账!$E556="",N(资金日记账!$H556)=0),"",资金日记账!$E556)</f>
        <v/>
      </c>
      <c r="AG556">
        <f t="shared" si="103"/>
        <v>0</v>
      </c>
      <c r="AH556">
        <f t="shared" si="104"/>
        <v>0</v>
      </c>
    </row>
    <row r="557" spans="1:34">
      <c r="A557" t="str">
        <f>IF(资金日记账!$F255="","",资金日记账!$F255)</f>
        <v/>
      </c>
      <c r="B557">
        <f t="shared" si="97"/>
        <v>0</v>
      </c>
      <c r="C557">
        <f t="shared" si="98"/>
        <v>0</v>
      </c>
      <c r="G557">
        <f>IF(OR($G$1="",资金日记账!$E550="",资金日记账!$E550&lt;&gt;$G$1),0,IF(NOT(OR(N(资金日记账!$H550)&lt;&gt;0,N(资金日记账!$I550)&lt;&gt;0)),0,IF(资金日记账!$B550="",1,IF(OR(N(资金日记账!$B550)&lt;$H$1,N(资金日记账!$B550)&gt;$I$1),0,1))))</f>
        <v>0</v>
      </c>
      <c r="H557">
        <f t="shared" si="99"/>
        <v>0</v>
      </c>
      <c r="I557" t="str">
        <f>IF($G557=0,"",IF(资金日记账!$B550=0,"",资金日记账!$B550))</f>
        <v/>
      </c>
      <c r="J557" t="str">
        <f>IF($G557=0,"",IF(资金日记账!$D550=0,"",资金日记账!$D550))</f>
        <v/>
      </c>
      <c r="K557" t="str">
        <f t="shared" si="105"/>
        <v/>
      </c>
      <c r="L557" t="str">
        <f t="shared" si="106"/>
        <v/>
      </c>
      <c r="M557" t="str">
        <f t="shared" si="100"/>
        <v/>
      </c>
      <c r="N557" t="str">
        <f>IF($G557=0,"",IF(IF(N(资金日记账!$I550)=0,"",-ROUND(N(资金日记账!$I550),2))=0,"",IF(N(资金日记账!$I550)=0,"",-ROUND(N(资金日记账!$I550),2))))</f>
        <v/>
      </c>
      <c r="O557" t="str">
        <f>IF($G557=0,"",IF(IF(N(资金日记账!$H550)=0,"",ROUND(N(资金日记账!$H550),2))=0,"",IF(N(资金日记账!$H550)=0,"",ROUND(N(资金日记账!$H550),2))))</f>
        <v/>
      </c>
      <c r="P557" t="str">
        <f>IF($G557=0,"",IF(资金日记账!$L550=0,"",资金日记账!$L550))</f>
        <v/>
      </c>
      <c r="T557" t="str">
        <f>IF(资金日记账!$G557="","",资金日记账!$G557)</f>
        <v/>
      </c>
      <c r="U557">
        <f t="shared" si="101"/>
        <v>0</v>
      </c>
      <c r="V557">
        <f t="shared" si="102"/>
        <v>0</v>
      </c>
      <c r="AF557" t="str">
        <f>IF(OR(资金日记账!$E557="",N(资金日记账!$H557)=0),"",资金日记账!$E557)</f>
        <v/>
      </c>
      <c r="AG557">
        <f t="shared" si="103"/>
        <v>0</v>
      </c>
      <c r="AH557">
        <f t="shared" si="104"/>
        <v>0</v>
      </c>
    </row>
    <row r="558" spans="1:34">
      <c r="A558" t="str">
        <f>IF(资金日记账!$F256="","",资金日记账!$F256)</f>
        <v/>
      </c>
      <c r="B558">
        <f t="shared" si="97"/>
        <v>0</v>
      </c>
      <c r="C558">
        <f t="shared" si="98"/>
        <v>0</v>
      </c>
      <c r="G558">
        <f>IF(OR($G$1="",资金日记账!$E551="",资金日记账!$E551&lt;&gt;$G$1),0,IF(NOT(OR(N(资金日记账!$H551)&lt;&gt;0,N(资金日记账!$I551)&lt;&gt;0)),0,IF(资金日记账!$B551="",1,IF(OR(N(资金日记账!$B551)&lt;$H$1,N(资金日记账!$B551)&gt;$I$1),0,1))))</f>
        <v>0</v>
      </c>
      <c r="H558">
        <f t="shared" si="99"/>
        <v>0</v>
      </c>
      <c r="I558" t="str">
        <f>IF($G558=0,"",IF(资金日记账!$B551=0,"",资金日记账!$B551))</f>
        <v/>
      </c>
      <c r="J558" t="str">
        <f>IF($G558=0,"",IF(资金日记账!$D551=0,"",资金日记账!$D551))</f>
        <v/>
      </c>
      <c r="K558" t="str">
        <f t="shared" si="105"/>
        <v/>
      </c>
      <c r="L558" t="str">
        <f t="shared" si="106"/>
        <v/>
      </c>
      <c r="M558" t="str">
        <f t="shared" si="100"/>
        <v/>
      </c>
      <c r="N558" t="str">
        <f>IF($G558=0,"",IF(IF(N(资金日记账!$I551)=0,"",-ROUND(N(资金日记账!$I551),2))=0,"",IF(N(资金日记账!$I551)=0,"",-ROUND(N(资金日记账!$I551),2))))</f>
        <v/>
      </c>
      <c r="O558" t="str">
        <f>IF($G558=0,"",IF(IF(N(资金日记账!$H551)=0,"",ROUND(N(资金日记账!$H551),2))=0,"",IF(N(资金日记账!$H551)=0,"",ROUND(N(资金日记账!$H551),2))))</f>
        <v/>
      </c>
      <c r="P558" t="str">
        <f>IF($G558=0,"",IF(资金日记账!$L551=0,"",资金日记账!$L551))</f>
        <v/>
      </c>
      <c r="T558" t="str">
        <f>IF(资金日记账!$G558="","",资金日记账!$G558)</f>
        <v/>
      </c>
      <c r="U558">
        <f t="shared" si="101"/>
        <v>0</v>
      </c>
      <c r="V558">
        <f t="shared" si="102"/>
        <v>0</v>
      </c>
      <c r="AF558" t="str">
        <f>IF(OR(资金日记账!$E558="",N(资金日记账!$H558)=0),"",资金日记账!$E558)</f>
        <v/>
      </c>
      <c r="AG558">
        <f t="shared" si="103"/>
        <v>0</v>
      </c>
      <c r="AH558">
        <f t="shared" si="104"/>
        <v>0</v>
      </c>
    </row>
    <row r="559" spans="1:34">
      <c r="A559" t="str">
        <f>IF(资金日记账!$F257="","",资金日记账!$F257)</f>
        <v/>
      </c>
      <c r="B559">
        <f t="shared" si="97"/>
        <v>0</v>
      </c>
      <c r="C559">
        <f t="shared" si="98"/>
        <v>0</v>
      </c>
      <c r="G559">
        <f>IF(OR($G$1="",资金日记账!$E552="",资金日记账!$E552&lt;&gt;$G$1),0,IF(NOT(OR(N(资金日记账!$H552)&lt;&gt;0,N(资金日记账!$I552)&lt;&gt;0)),0,IF(资金日记账!$B552="",1,IF(OR(N(资金日记账!$B552)&lt;$H$1,N(资金日记账!$B552)&gt;$I$1),0,1))))</f>
        <v>0</v>
      </c>
      <c r="H559">
        <f t="shared" si="99"/>
        <v>0</v>
      </c>
      <c r="I559" t="str">
        <f>IF($G559=0,"",IF(资金日记账!$B552=0,"",资金日记账!$B552))</f>
        <v/>
      </c>
      <c r="J559" t="str">
        <f>IF($G559=0,"",IF(资金日记账!$D552=0,"",资金日记账!$D552))</f>
        <v/>
      </c>
      <c r="K559" t="str">
        <f t="shared" si="105"/>
        <v/>
      </c>
      <c r="L559" t="str">
        <f t="shared" si="106"/>
        <v/>
      </c>
      <c r="M559" t="str">
        <f t="shared" si="100"/>
        <v/>
      </c>
      <c r="N559" t="str">
        <f>IF($G559=0,"",IF(IF(N(资金日记账!$I552)=0,"",-ROUND(N(资金日记账!$I552),2))=0,"",IF(N(资金日记账!$I552)=0,"",-ROUND(N(资金日记账!$I552),2))))</f>
        <v/>
      </c>
      <c r="O559" t="str">
        <f>IF($G559=0,"",IF(IF(N(资金日记账!$H552)=0,"",ROUND(N(资金日记账!$H552),2))=0,"",IF(N(资金日记账!$H552)=0,"",ROUND(N(资金日记账!$H552),2))))</f>
        <v/>
      </c>
      <c r="P559" t="str">
        <f>IF($G559=0,"",IF(资金日记账!$L552=0,"",资金日记账!$L552))</f>
        <v/>
      </c>
      <c r="T559" t="str">
        <f>IF(资金日记账!$G559="","",资金日记账!$G559)</f>
        <v/>
      </c>
      <c r="U559">
        <f t="shared" si="101"/>
        <v>0</v>
      </c>
      <c r="V559">
        <f t="shared" si="102"/>
        <v>0</v>
      </c>
      <c r="AF559" t="str">
        <f>IF(OR(资金日记账!$E559="",N(资金日记账!$H559)=0),"",资金日记账!$E559)</f>
        <v/>
      </c>
      <c r="AG559">
        <f t="shared" si="103"/>
        <v>0</v>
      </c>
      <c r="AH559">
        <f t="shared" si="104"/>
        <v>0</v>
      </c>
    </row>
    <row r="560" spans="1:34">
      <c r="A560" t="str">
        <f>IF(资金日记账!$F258="","",资金日记账!$F258)</f>
        <v/>
      </c>
      <c r="B560">
        <f t="shared" si="97"/>
        <v>0</v>
      </c>
      <c r="C560">
        <f t="shared" si="98"/>
        <v>0</v>
      </c>
      <c r="G560">
        <f>IF(OR($G$1="",资金日记账!$E553="",资金日记账!$E553&lt;&gt;$G$1),0,IF(NOT(OR(N(资金日记账!$H553)&lt;&gt;0,N(资金日记账!$I553)&lt;&gt;0)),0,IF(资金日记账!$B553="",1,IF(OR(N(资金日记账!$B553)&lt;$H$1,N(资金日记账!$B553)&gt;$I$1),0,1))))</f>
        <v>0</v>
      </c>
      <c r="H560">
        <f t="shared" si="99"/>
        <v>0</v>
      </c>
      <c r="I560" t="str">
        <f>IF($G560=0,"",IF(资金日记账!$B553=0,"",资金日记账!$B553))</f>
        <v/>
      </c>
      <c r="J560" t="str">
        <f>IF($G560=0,"",IF(资金日记账!$D553=0,"",资金日记账!$D553))</f>
        <v/>
      </c>
      <c r="K560" t="str">
        <f t="shared" si="105"/>
        <v/>
      </c>
      <c r="L560" t="str">
        <f t="shared" si="106"/>
        <v/>
      </c>
      <c r="M560" t="str">
        <f t="shared" si="100"/>
        <v/>
      </c>
      <c r="N560" t="str">
        <f>IF($G560=0,"",IF(IF(N(资金日记账!$I553)=0,"",-ROUND(N(资金日记账!$I553),2))=0,"",IF(N(资金日记账!$I553)=0,"",-ROUND(N(资金日记账!$I553),2))))</f>
        <v/>
      </c>
      <c r="O560" t="str">
        <f>IF($G560=0,"",IF(IF(N(资金日记账!$H553)=0,"",ROUND(N(资金日记账!$H553),2))=0,"",IF(N(资金日记账!$H553)=0,"",ROUND(N(资金日记账!$H553),2))))</f>
        <v/>
      </c>
      <c r="P560" t="str">
        <f>IF($G560=0,"",IF(资金日记账!$L553=0,"",资金日记账!$L553))</f>
        <v/>
      </c>
      <c r="T560" t="str">
        <f>IF(资金日记账!$G560="","",资金日记账!$G560)</f>
        <v/>
      </c>
      <c r="U560">
        <f t="shared" si="101"/>
        <v>0</v>
      </c>
      <c r="V560">
        <f t="shared" si="102"/>
        <v>0</v>
      </c>
      <c r="AF560" t="str">
        <f>IF(OR(资金日记账!$E560="",N(资金日记账!$H560)=0),"",资金日记账!$E560)</f>
        <v/>
      </c>
      <c r="AG560">
        <f t="shared" si="103"/>
        <v>0</v>
      </c>
      <c r="AH560">
        <f t="shared" si="104"/>
        <v>0</v>
      </c>
    </row>
    <row r="561" spans="1:34">
      <c r="A561" t="str">
        <f>IF(资金日记账!$F259="","",资金日记账!$F259)</f>
        <v/>
      </c>
      <c r="B561">
        <f t="shared" si="97"/>
        <v>0</v>
      </c>
      <c r="C561">
        <f t="shared" si="98"/>
        <v>0</v>
      </c>
      <c r="G561">
        <f>IF(OR($G$1="",资金日记账!$E554="",资金日记账!$E554&lt;&gt;$G$1),0,IF(NOT(OR(N(资金日记账!$H554)&lt;&gt;0,N(资金日记账!$I554)&lt;&gt;0)),0,IF(资金日记账!$B554="",1,IF(OR(N(资金日记账!$B554)&lt;$H$1,N(资金日记账!$B554)&gt;$I$1),0,1))))</f>
        <v>0</v>
      </c>
      <c r="H561">
        <f t="shared" si="99"/>
        <v>0</v>
      </c>
      <c r="I561" t="str">
        <f>IF($G561=0,"",IF(资金日记账!$B554=0,"",资金日记账!$B554))</f>
        <v/>
      </c>
      <c r="J561" t="str">
        <f>IF($G561=0,"",IF(资金日记账!$D554=0,"",资金日记账!$D554))</f>
        <v/>
      </c>
      <c r="K561" t="str">
        <f t="shared" si="105"/>
        <v/>
      </c>
      <c r="L561" t="str">
        <f t="shared" si="106"/>
        <v/>
      </c>
      <c r="M561" t="str">
        <f t="shared" si="100"/>
        <v/>
      </c>
      <c r="N561" t="str">
        <f>IF($G561=0,"",IF(IF(N(资金日记账!$I554)=0,"",-ROUND(N(资金日记账!$I554),2))=0,"",IF(N(资金日记账!$I554)=0,"",-ROUND(N(资金日记账!$I554),2))))</f>
        <v/>
      </c>
      <c r="O561" t="str">
        <f>IF($G561=0,"",IF(IF(N(资金日记账!$H554)=0,"",ROUND(N(资金日记账!$H554),2))=0,"",IF(N(资金日记账!$H554)=0,"",ROUND(N(资金日记账!$H554),2))))</f>
        <v/>
      </c>
      <c r="P561" t="str">
        <f>IF($G561=0,"",IF(资金日记账!$L554=0,"",资金日记账!$L554))</f>
        <v/>
      </c>
      <c r="T561" t="str">
        <f>IF(资金日记账!$G561="","",资金日记账!$G561)</f>
        <v/>
      </c>
      <c r="U561">
        <f t="shared" si="101"/>
        <v>0</v>
      </c>
      <c r="V561">
        <f t="shared" si="102"/>
        <v>0</v>
      </c>
      <c r="AF561" t="str">
        <f>IF(OR(资金日记账!$E561="",N(资金日记账!$H561)=0),"",资金日记账!$E561)</f>
        <v/>
      </c>
      <c r="AG561">
        <f t="shared" si="103"/>
        <v>0</v>
      </c>
      <c r="AH561">
        <f t="shared" si="104"/>
        <v>0</v>
      </c>
    </row>
    <row r="562" spans="1:34">
      <c r="A562" t="str">
        <f>IF(资金日记账!$F260="","",资金日记账!$F260)</f>
        <v/>
      </c>
      <c r="B562">
        <f t="shared" si="97"/>
        <v>0</v>
      </c>
      <c r="C562">
        <f t="shared" si="98"/>
        <v>0</v>
      </c>
      <c r="G562">
        <f>IF(OR($G$1="",资金日记账!$E555="",资金日记账!$E555&lt;&gt;$G$1),0,IF(NOT(OR(N(资金日记账!$H555)&lt;&gt;0,N(资金日记账!$I555)&lt;&gt;0)),0,IF(资金日记账!$B555="",1,IF(OR(N(资金日记账!$B555)&lt;$H$1,N(资金日记账!$B555)&gt;$I$1),0,1))))</f>
        <v>0</v>
      </c>
      <c r="H562">
        <f t="shared" si="99"/>
        <v>0</v>
      </c>
      <c r="I562" t="str">
        <f>IF($G562=0,"",IF(资金日记账!$B555=0,"",资金日记账!$B555))</f>
        <v/>
      </c>
      <c r="J562" t="str">
        <f>IF($G562=0,"",IF(资金日记账!$D555=0,"",资金日记账!$D555))</f>
        <v/>
      </c>
      <c r="K562" t="str">
        <f t="shared" si="105"/>
        <v/>
      </c>
      <c r="L562" t="str">
        <f t="shared" si="106"/>
        <v/>
      </c>
      <c r="M562" t="str">
        <f t="shared" si="100"/>
        <v/>
      </c>
      <c r="N562" t="str">
        <f>IF($G562=0,"",IF(IF(N(资金日记账!$I555)=0,"",-ROUND(N(资金日记账!$I555),2))=0,"",IF(N(资金日记账!$I555)=0,"",-ROUND(N(资金日记账!$I555),2))))</f>
        <v/>
      </c>
      <c r="O562" t="str">
        <f>IF($G562=0,"",IF(IF(N(资金日记账!$H555)=0,"",ROUND(N(资金日记账!$H555),2))=0,"",IF(N(资金日记账!$H555)=0,"",ROUND(N(资金日记账!$H555),2))))</f>
        <v/>
      </c>
      <c r="P562" t="str">
        <f>IF($G562=0,"",IF(资金日记账!$L555=0,"",资金日记账!$L555))</f>
        <v/>
      </c>
      <c r="T562" t="str">
        <f>IF(资金日记账!$G562="","",资金日记账!$G562)</f>
        <v/>
      </c>
      <c r="U562">
        <f t="shared" si="101"/>
        <v>0</v>
      </c>
      <c r="V562">
        <f t="shared" si="102"/>
        <v>0</v>
      </c>
      <c r="AF562" t="str">
        <f>IF(OR(资金日记账!$E562="",N(资金日记账!$H562)=0),"",资金日记账!$E562)</f>
        <v/>
      </c>
      <c r="AG562">
        <f t="shared" si="103"/>
        <v>0</v>
      </c>
      <c r="AH562">
        <f t="shared" si="104"/>
        <v>0</v>
      </c>
    </row>
    <row r="563" spans="1:34">
      <c r="A563" t="str">
        <f>IF(资金日记账!$F261="","",资金日记账!$F261)</f>
        <v/>
      </c>
      <c r="B563">
        <f t="shared" si="97"/>
        <v>0</v>
      </c>
      <c r="C563">
        <f t="shared" si="98"/>
        <v>0</v>
      </c>
      <c r="G563">
        <f>IF(OR($G$1="",资金日记账!$E556="",资金日记账!$E556&lt;&gt;$G$1),0,IF(NOT(OR(N(资金日记账!$H556)&lt;&gt;0,N(资金日记账!$I556)&lt;&gt;0)),0,IF(资金日记账!$B556="",1,IF(OR(N(资金日记账!$B556)&lt;$H$1,N(资金日记账!$B556)&gt;$I$1),0,1))))</f>
        <v>0</v>
      </c>
      <c r="H563">
        <f t="shared" si="99"/>
        <v>0</v>
      </c>
      <c r="I563" t="str">
        <f>IF($G563=0,"",IF(资金日记账!$B556=0,"",资金日记账!$B556))</f>
        <v/>
      </c>
      <c r="J563" t="str">
        <f>IF($G563=0,"",IF(资金日记账!$D556=0,"",资金日记账!$D556))</f>
        <v/>
      </c>
      <c r="K563" t="str">
        <f t="shared" si="105"/>
        <v/>
      </c>
      <c r="L563" t="str">
        <f t="shared" si="106"/>
        <v/>
      </c>
      <c r="M563" t="str">
        <f t="shared" si="100"/>
        <v/>
      </c>
      <c r="N563" t="str">
        <f>IF($G563=0,"",IF(IF(N(资金日记账!$I556)=0,"",-ROUND(N(资金日记账!$I556),2))=0,"",IF(N(资金日记账!$I556)=0,"",-ROUND(N(资金日记账!$I556),2))))</f>
        <v/>
      </c>
      <c r="O563" t="str">
        <f>IF($G563=0,"",IF(IF(N(资金日记账!$H556)=0,"",ROUND(N(资金日记账!$H556),2))=0,"",IF(N(资金日记账!$H556)=0,"",ROUND(N(资金日记账!$H556),2))))</f>
        <v/>
      </c>
      <c r="P563" t="str">
        <f>IF($G563=0,"",IF(资金日记账!$L556=0,"",资金日记账!$L556))</f>
        <v/>
      </c>
      <c r="T563" t="str">
        <f>IF(资金日记账!$G563="","",资金日记账!$G563)</f>
        <v/>
      </c>
      <c r="U563">
        <f t="shared" si="101"/>
        <v>0</v>
      </c>
      <c r="V563">
        <f t="shared" si="102"/>
        <v>0</v>
      </c>
      <c r="AF563" t="str">
        <f>IF(OR(资金日记账!$E563="",N(资金日记账!$H563)=0),"",资金日记账!$E563)</f>
        <v/>
      </c>
      <c r="AG563">
        <f t="shared" si="103"/>
        <v>0</v>
      </c>
      <c r="AH563">
        <f t="shared" si="104"/>
        <v>0</v>
      </c>
    </row>
    <row r="564" spans="1:34">
      <c r="A564" t="str">
        <f>IF(资金日记账!$F262="","",资金日记账!$F262)</f>
        <v/>
      </c>
      <c r="B564">
        <f t="shared" si="97"/>
        <v>0</v>
      </c>
      <c r="C564">
        <f t="shared" si="98"/>
        <v>0</v>
      </c>
      <c r="G564">
        <f>IF(OR($G$1="",资金日记账!$E557="",资金日记账!$E557&lt;&gt;$G$1),0,IF(NOT(OR(N(资金日记账!$H557)&lt;&gt;0,N(资金日记账!$I557)&lt;&gt;0)),0,IF(资金日记账!$B557="",1,IF(OR(N(资金日记账!$B557)&lt;$H$1,N(资金日记账!$B557)&gt;$I$1),0,1))))</f>
        <v>0</v>
      </c>
      <c r="H564">
        <f t="shared" si="99"/>
        <v>0</v>
      </c>
      <c r="I564" t="str">
        <f>IF($G564=0,"",IF(资金日记账!$B557=0,"",资金日记账!$B557))</f>
        <v/>
      </c>
      <c r="J564" t="str">
        <f>IF($G564=0,"",IF(资金日记账!$D557=0,"",资金日记账!$D557))</f>
        <v/>
      </c>
      <c r="K564" t="str">
        <f t="shared" si="105"/>
        <v/>
      </c>
      <c r="L564" t="str">
        <f t="shared" si="106"/>
        <v/>
      </c>
      <c r="M564" t="str">
        <f t="shared" si="100"/>
        <v/>
      </c>
      <c r="N564" t="str">
        <f>IF($G564=0,"",IF(IF(N(资金日记账!$I557)=0,"",-ROUND(N(资金日记账!$I557),2))=0,"",IF(N(资金日记账!$I557)=0,"",-ROUND(N(资金日记账!$I557),2))))</f>
        <v/>
      </c>
      <c r="O564" t="str">
        <f>IF($G564=0,"",IF(IF(N(资金日记账!$H557)=0,"",ROUND(N(资金日记账!$H557),2))=0,"",IF(N(资金日记账!$H557)=0,"",ROUND(N(资金日记账!$H557),2))))</f>
        <v/>
      </c>
      <c r="P564" t="str">
        <f>IF($G564=0,"",IF(资金日记账!$L557=0,"",资金日记账!$L557))</f>
        <v/>
      </c>
      <c r="T564" t="str">
        <f>IF(资金日记账!$G564="","",资金日记账!$G564)</f>
        <v/>
      </c>
      <c r="U564">
        <f t="shared" si="101"/>
        <v>0</v>
      </c>
      <c r="V564">
        <f t="shared" si="102"/>
        <v>0</v>
      </c>
      <c r="AF564" t="str">
        <f>IF(OR(资金日记账!$E564="",N(资金日记账!$H564)=0),"",资金日记账!$E564)</f>
        <v/>
      </c>
      <c r="AG564">
        <f t="shared" si="103"/>
        <v>0</v>
      </c>
      <c r="AH564">
        <f t="shared" si="104"/>
        <v>0</v>
      </c>
    </row>
    <row r="565" spans="1:34">
      <c r="A565" t="str">
        <f>IF(资金日记账!$F263="","",资金日记账!$F263)</f>
        <v/>
      </c>
      <c r="B565">
        <f t="shared" si="97"/>
        <v>0</v>
      </c>
      <c r="C565">
        <f t="shared" si="98"/>
        <v>0</v>
      </c>
      <c r="G565">
        <f>IF(OR($G$1="",资金日记账!$E558="",资金日记账!$E558&lt;&gt;$G$1),0,IF(NOT(OR(N(资金日记账!$H558)&lt;&gt;0,N(资金日记账!$I558)&lt;&gt;0)),0,IF(资金日记账!$B558="",1,IF(OR(N(资金日记账!$B558)&lt;$H$1,N(资金日记账!$B558)&gt;$I$1),0,1))))</f>
        <v>0</v>
      </c>
      <c r="H565">
        <f t="shared" si="99"/>
        <v>0</v>
      </c>
      <c r="I565" t="str">
        <f>IF($G565=0,"",IF(资金日记账!$B558=0,"",资金日记账!$B558))</f>
        <v/>
      </c>
      <c r="J565" t="str">
        <f>IF($G565=0,"",IF(资金日记账!$D558=0,"",资金日记账!$D558))</f>
        <v/>
      </c>
      <c r="K565" t="str">
        <f t="shared" si="105"/>
        <v/>
      </c>
      <c r="L565" t="str">
        <f t="shared" si="106"/>
        <v/>
      </c>
      <c r="M565" t="str">
        <f t="shared" si="100"/>
        <v/>
      </c>
      <c r="N565" t="str">
        <f>IF($G565=0,"",IF(IF(N(资金日记账!$I558)=0,"",-ROUND(N(资金日记账!$I558),2))=0,"",IF(N(资金日记账!$I558)=0,"",-ROUND(N(资金日记账!$I558),2))))</f>
        <v/>
      </c>
      <c r="O565" t="str">
        <f>IF($G565=0,"",IF(IF(N(资金日记账!$H558)=0,"",ROUND(N(资金日记账!$H558),2))=0,"",IF(N(资金日记账!$H558)=0,"",ROUND(N(资金日记账!$H558),2))))</f>
        <v/>
      </c>
      <c r="P565" t="str">
        <f>IF($G565=0,"",IF(资金日记账!$L558=0,"",资金日记账!$L558))</f>
        <v/>
      </c>
      <c r="T565" t="str">
        <f>IF(资金日记账!$G565="","",资金日记账!$G565)</f>
        <v/>
      </c>
      <c r="U565">
        <f t="shared" si="101"/>
        <v>0</v>
      </c>
      <c r="V565">
        <f t="shared" si="102"/>
        <v>0</v>
      </c>
      <c r="AF565" t="str">
        <f>IF(OR(资金日记账!$E565="",N(资金日记账!$H565)=0),"",资金日记账!$E565)</f>
        <v/>
      </c>
      <c r="AG565">
        <f t="shared" si="103"/>
        <v>0</v>
      </c>
      <c r="AH565">
        <f t="shared" si="104"/>
        <v>0</v>
      </c>
    </row>
    <row r="566" spans="1:34">
      <c r="A566" t="str">
        <f>IF(资金日记账!$F264="","",资金日记账!$F264)</f>
        <v/>
      </c>
      <c r="B566">
        <f t="shared" si="97"/>
        <v>0</v>
      </c>
      <c r="C566">
        <f t="shared" si="98"/>
        <v>0</v>
      </c>
      <c r="G566">
        <f>IF(OR($G$1="",资金日记账!$E559="",资金日记账!$E559&lt;&gt;$G$1),0,IF(NOT(OR(N(资金日记账!$H559)&lt;&gt;0,N(资金日记账!$I559)&lt;&gt;0)),0,IF(资金日记账!$B559="",1,IF(OR(N(资金日记账!$B559)&lt;$H$1,N(资金日记账!$B559)&gt;$I$1),0,1))))</f>
        <v>0</v>
      </c>
      <c r="H566">
        <f t="shared" si="99"/>
        <v>0</v>
      </c>
      <c r="I566" t="str">
        <f>IF($G566=0,"",IF(资金日记账!$B559=0,"",资金日记账!$B559))</f>
        <v/>
      </c>
      <c r="J566" t="str">
        <f>IF($G566=0,"",IF(资金日记账!$D559=0,"",资金日记账!$D559))</f>
        <v/>
      </c>
      <c r="K566" t="str">
        <f t="shared" si="105"/>
        <v/>
      </c>
      <c r="L566" t="str">
        <f t="shared" si="106"/>
        <v/>
      </c>
      <c r="M566" t="str">
        <f t="shared" si="100"/>
        <v/>
      </c>
      <c r="N566" t="str">
        <f>IF($G566=0,"",IF(IF(N(资金日记账!$I559)=0,"",-ROUND(N(资金日记账!$I559),2))=0,"",IF(N(资金日记账!$I559)=0,"",-ROUND(N(资金日记账!$I559),2))))</f>
        <v/>
      </c>
      <c r="O566" t="str">
        <f>IF($G566=0,"",IF(IF(N(资金日记账!$H559)=0,"",ROUND(N(资金日记账!$H559),2))=0,"",IF(N(资金日记账!$H559)=0,"",ROUND(N(资金日记账!$H559),2))))</f>
        <v/>
      </c>
      <c r="P566" t="str">
        <f>IF($G566=0,"",IF(资金日记账!$L559=0,"",资金日记账!$L559))</f>
        <v/>
      </c>
      <c r="T566" t="str">
        <f>IF(资金日记账!$G566="","",资金日记账!$G566)</f>
        <v/>
      </c>
      <c r="U566">
        <f t="shared" si="101"/>
        <v>0</v>
      </c>
      <c r="V566">
        <f t="shared" si="102"/>
        <v>0</v>
      </c>
      <c r="AF566" t="str">
        <f>IF(OR(资金日记账!$E566="",N(资金日记账!$H566)=0),"",资金日记账!$E566)</f>
        <v/>
      </c>
      <c r="AG566">
        <f t="shared" si="103"/>
        <v>0</v>
      </c>
      <c r="AH566">
        <f t="shared" si="104"/>
        <v>0</v>
      </c>
    </row>
    <row r="567" spans="1:34">
      <c r="A567" t="str">
        <f>IF(资金日记账!$F265="","",资金日记账!$F265)</f>
        <v/>
      </c>
      <c r="B567">
        <f t="shared" si="97"/>
        <v>0</v>
      </c>
      <c r="C567">
        <f t="shared" si="98"/>
        <v>0</v>
      </c>
      <c r="G567">
        <f>IF(OR($G$1="",资金日记账!$E560="",资金日记账!$E560&lt;&gt;$G$1),0,IF(NOT(OR(N(资金日记账!$H560)&lt;&gt;0,N(资金日记账!$I560)&lt;&gt;0)),0,IF(资金日记账!$B560="",1,IF(OR(N(资金日记账!$B560)&lt;$H$1,N(资金日记账!$B560)&gt;$I$1),0,1))))</f>
        <v>0</v>
      </c>
      <c r="H567">
        <f t="shared" si="99"/>
        <v>0</v>
      </c>
      <c r="I567" t="str">
        <f>IF($G567=0,"",IF(资金日记账!$B560=0,"",资金日记账!$B560))</f>
        <v/>
      </c>
      <c r="J567" t="str">
        <f>IF($G567=0,"",IF(资金日记账!$D560=0,"",资金日记账!$D560))</f>
        <v/>
      </c>
      <c r="K567" t="str">
        <f t="shared" si="105"/>
        <v/>
      </c>
      <c r="L567" t="str">
        <f t="shared" si="106"/>
        <v/>
      </c>
      <c r="M567" t="str">
        <f t="shared" si="100"/>
        <v/>
      </c>
      <c r="N567" t="str">
        <f>IF($G567=0,"",IF(IF(N(资金日记账!$I560)=0,"",-ROUND(N(资金日记账!$I560),2))=0,"",IF(N(资金日记账!$I560)=0,"",-ROUND(N(资金日记账!$I560),2))))</f>
        <v/>
      </c>
      <c r="O567" t="str">
        <f>IF($G567=0,"",IF(IF(N(资金日记账!$H560)=0,"",ROUND(N(资金日记账!$H560),2))=0,"",IF(N(资金日记账!$H560)=0,"",ROUND(N(资金日记账!$H560),2))))</f>
        <v/>
      </c>
      <c r="P567" t="str">
        <f>IF($G567=0,"",IF(资金日记账!$L560=0,"",资金日记账!$L560))</f>
        <v/>
      </c>
      <c r="T567" t="str">
        <f>IF(资金日记账!$G567="","",资金日记账!$G567)</f>
        <v/>
      </c>
      <c r="U567">
        <f t="shared" si="101"/>
        <v>0</v>
      </c>
      <c r="V567">
        <f t="shared" si="102"/>
        <v>0</v>
      </c>
      <c r="AF567" t="str">
        <f>IF(OR(资金日记账!$E567="",N(资金日记账!$H567)=0),"",资金日记账!$E567)</f>
        <v/>
      </c>
      <c r="AG567">
        <f t="shared" si="103"/>
        <v>0</v>
      </c>
      <c r="AH567">
        <f t="shared" si="104"/>
        <v>0</v>
      </c>
    </row>
    <row r="568" spans="1:34">
      <c r="A568" t="str">
        <f>IF(资金日记账!$F266="","",资金日记账!$F266)</f>
        <v/>
      </c>
      <c r="B568">
        <f t="shared" si="97"/>
        <v>0</v>
      </c>
      <c r="C568">
        <f t="shared" si="98"/>
        <v>0</v>
      </c>
      <c r="G568">
        <f>IF(OR($G$1="",资金日记账!$E561="",资金日记账!$E561&lt;&gt;$G$1),0,IF(NOT(OR(N(资金日记账!$H561)&lt;&gt;0,N(资金日记账!$I561)&lt;&gt;0)),0,IF(资金日记账!$B561="",1,IF(OR(N(资金日记账!$B561)&lt;$H$1,N(资金日记账!$B561)&gt;$I$1),0,1))))</f>
        <v>0</v>
      </c>
      <c r="H568">
        <f t="shared" si="99"/>
        <v>0</v>
      </c>
      <c r="I568" t="str">
        <f>IF($G568=0,"",IF(资金日记账!$B561=0,"",资金日记账!$B561))</f>
        <v/>
      </c>
      <c r="J568" t="str">
        <f>IF($G568=0,"",IF(资金日记账!$D561=0,"",资金日记账!$D561))</f>
        <v/>
      </c>
      <c r="K568" t="str">
        <f t="shared" si="105"/>
        <v/>
      </c>
      <c r="L568" t="str">
        <f t="shared" si="106"/>
        <v/>
      </c>
      <c r="M568" t="str">
        <f t="shared" si="100"/>
        <v/>
      </c>
      <c r="N568" t="str">
        <f>IF($G568=0,"",IF(IF(N(资金日记账!$I561)=0,"",-ROUND(N(资金日记账!$I561),2))=0,"",IF(N(资金日记账!$I561)=0,"",-ROUND(N(资金日记账!$I561),2))))</f>
        <v/>
      </c>
      <c r="O568" t="str">
        <f>IF($G568=0,"",IF(IF(N(资金日记账!$H561)=0,"",ROUND(N(资金日记账!$H561),2))=0,"",IF(N(资金日记账!$H561)=0,"",ROUND(N(资金日记账!$H561),2))))</f>
        <v/>
      </c>
      <c r="P568" t="str">
        <f>IF($G568=0,"",IF(资金日记账!$L561=0,"",资金日记账!$L561))</f>
        <v/>
      </c>
      <c r="T568" t="str">
        <f>IF(资金日记账!$G568="","",资金日记账!$G568)</f>
        <v/>
      </c>
      <c r="U568">
        <f t="shared" si="101"/>
        <v>0</v>
      </c>
      <c r="V568">
        <f t="shared" si="102"/>
        <v>0</v>
      </c>
      <c r="AF568" t="str">
        <f>IF(OR(资金日记账!$E568="",N(资金日记账!$H568)=0),"",资金日记账!$E568)</f>
        <v/>
      </c>
      <c r="AG568">
        <f t="shared" si="103"/>
        <v>0</v>
      </c>
      <c r="AH568">
        <f t="shared" si="104"/>
        <v>0</v>
      </c>
    </row>
    <row r="569" spans="1:34">
      <c r="A569" t="str">
        <f>IF(资金日记账!$F267="","",资金日记账!$F267)</f>
        <v/>
      </c>
      <c r="B569">
        <f t="shared" si="97"/>
        <v>0</v>
      </c>
      <c r="C569">
        <f t="shared" si="98"/>
        <v>0</v>
      </c>
      <c r="G569">
        <f>IF(OR($G$1="",资金日记账!$E562="",资金日记账!$E562&lt;&gt;$G$1),0,IF(NOT(OR(N(资金日记账!$H562)&lt;&gt;0,N(资金日记账!$I562)&lt;&gt;0)),0,IF(资金日记账!$B562="",1,IF(OR(N(资金日记账!$B562)&lt;$H$1,N(资金日记账!$B562)&gt;$I$1),0,1))))</f>
        <v>0</v>
      </c>
      <c r="H569">
        <f t="shared" si="99"/>
        <v>0</v>
      </c>
      <c r="I569" t="str">
        <f>IF($G569=0,"",IF(资金日记账!$B562=0,"",资金日记账!$B562))</f>
        <v/>
      </c>
      <c r="J569" t="str">
        <f>IF($G569=0,"",IF(资金日记账!$D562=0,"",资金日记账!$D562))</f>
        <v/>
      </c>
      <c r="K569" t="str">
        <f t="shared" si="105"/>
        <v/>
      </c>
      <c r="L569" t="str">
        <f t="shared" si="106"/>
        <v/>
      </c>
      <c r="M569" t="str">
        <f t="shared" si="100"/>
        <v/>
      </c>
      <c r="N569" t="str">
        <f>IF($G569=0,"",IF(IF(N(资金日记账!$I562)=0,"",-ROUND(N(资金日记账!$I562),2))=0,"",IF(N(资金日记账!$I562)=0,"",-ROUND(N(资金日记账!$I562),2))))</f>
        <v/>
      </c>
      <c r="O569" t="str">
        <f>IF($G569=0,"",IF(IF(N(资金日记账!$H562)=0,"",ROUND(N(资金日记账!$H562),2))=0,"",IF(N(资金日记账!$H562)=0,"",ROUND(N(资金日记账!$H562),2))))</f>
        <v/>
      </c>
      <c r="P569" t="str">
        <f>IF($G569=0,"",IF(资金日记账!$L562=0,"",资金日记账!$L562))</f>
        <v/>
      </c>
      <c r="T569" t="str">
        <f>IF(资金日记账!$G569="","",资金日记账!$G569)</f>
        <v/>
      </c>
      <c r="U569">
        <f t="shared" si="101"/>
        <v>0</v>
      </c>
      <c r="V569">
        <f t="shared" si="102"/>
        <v>0</v>
      </c>
      <c r="AF569" t="str">
        <f>IF(OR(资金日记账!$E569="",N(资金日记账!$H569)=0),"",资金日记账!$E569)</f>
        <v/>
      </c>
      <c r="AG569">
        <f t="shared" si="103"/>
        <v>0</v>
      </c>
      <c r="AH569">
        <f t="shared" si="104"/>
        <v>0</v>
      </c>
    </row>
    <row r="570" spans="1:34">
      <c r="A570" t="str">
        <f>IF(资金日记账!$F268="","",资金日记账!$F268)</f>
        <v/>
      </c>
      <c r="B570">
        <f t="shared" si="97"/>
        <v>0</v>
      </c>
      <c r="C570">
        <f t="shared" si="98"/>
        <v>0</v>
      </c>
      <c r="G570">
        <f>IF(OR($G$1="",资金日记账!$E563="",资金日记账!$E563&lt;&gt;$G$1),0,IF(NOT(OR(N(资金日记账!$H563)&lt;&gt;0,N(资金日记账!$I563)&lt;&gt;0)),0,IF(资金日记账!$B563="",1,IF(OR(N(资金日记账!$B563)&lt;$H$1,N(资金日记账!$B563)&gt;$I$1),0,1))))</f>
        <v>0</v>
      </c>
      <c r="H570">
        <f t="shared" si="99"/>
        <v>0</v>
      </c>
      <c r="I570" t="str">
        <f>IF($G570=0,"",IF(资金日记账!$B563=0,"",资金日记账!$B563))</f>
        <v/>
      </c>
      <c r="J570" t="str">
        <f>IF($G570=0,"",IF(资金日记账!$D563=0,"",资金日记账!$D563))</f>
        <v/>
      </c>
      <c r="K570" t="str">
        <f t="shared" si="105"/>
        <v/>
      </c>
      <c r="L570" t="str">
        <f t="shared" si="106"/>
        <v/>
      </c>
      <c r="M570" t="str">
        <f t="shared" si="100"/>
        <v/>
      </c>
      <c r="N570" t="str">
        <f>IF($G570=0,"",IF(IF(N(资金日记账!$I563)=0,"",-ROUND(N(资金日记账!$I563),2))=0,"",IF(N(资金日记账!$I563)=0,"",-ROUND(N(资金日记账!$I563),2))))</f>
        <v/>
      </c>
      <c r="O570" t="str">
        <f>IF($G570=0,"",IF(IF(N(资金日记账!$H563)=0,"",ROUND(N(资金日记账!$H563),2))=0,"",IF(N(资金日记账!$H563)=0,"",ROUND(N(资金日记账!$H563),2))))</f>
        <v/>
      </c>
      <c r="P570" t="str">
        <f>IF($G570=0,"",IF(资金日记账!$L563=0,"",资金日记账!$L563))</f>
        <v/>
      </c>
      <c r="T570" t="str">
        <f>IF(资金日记账!$G570="","",资金日记账!$G570)</f>
        <v/>
      </c>
      <c r="U570">
        <f t="shared" si="101"/>
        <v>0</v>
      </c>
      <c r="V570">
        <f t="shared" si="102"/>
        <v>0</v>
      </c>
      <c r="AF570" t="str">
        <f>IF(OR(资金日记账!$E570="",N(资金日记账!$H570)=0),"",资金日记账!$E570)</f>
        <v/>
      </c>
      <c r="AG570">
        <f t="shared" si="103"/>
        <v>0</v>
      </c>
      <c r="AH570">
        <f t="shared" si="104"/>
        <v>0</v>
      </c>
    </row>
    <row r="571" spans="1:34">
      <c r="A571" t="str">
        <f>IF(资金日记账!$F269="","",资金日记账!$F269)</f>
        <v/>
      </c>
      <c r="B571">
        <f t="shared" si="97"/>
        <v>0</v>
      </c>
      <c r="C571">
        <f t="shared" si="98"/>
        <v>0</v>
      </c>
      <c r="G571">
        <f>IF(OR($G$1="",资金日记账!$E564="",资金日记账!$E564&lt;&gt;$G$1),0,IF(NOT(OR(N(资金日记账!$H564)&lt;&gt;0,N(资金日记账!$I564)&lt;&gt;0)),0,IF(资金日记账!$B564="",1,IF(OR(N(资金日记账!$B564)&lt;$H$1,N(资金日记账!$B564)&gt;$I$1),0,1))))</f>
        <v>0</v>
      </c>
      <c r="H571">
        <f t="shared" si="99"/>
        <v>0</v>
      </c>
      <c r="I571" t="str">
        <f>IF($G571=0,"",IF(资金日记账!$B564=0,"",资金日记账!$B564))</f>
        <v/>
      </c>
      <c r="J571" t="str">
        <f>IF($G571=0,"",IF(资金日记账!$D564=0,"",资金日记账!$D564))</f>
        <v/>
      </c>
      <c r="K571" t="str">
        <f t="shared" si="105"/>
        <v/>
      </c>
      <c r="L571" t="str">
        <f t="shared" si="106"/>
        <v/>
      </c>
      <c r="M571" t="str">
        <f t="shared" si="100"/>
        <v/>
      </c>
      <c r="N571" t="str">
        <f>IF($G571=0,"",IF(IF(N(资金日记账!$I564)=0,"",-ROUND(N(资金日记账!$I564),2))=0,"",IF(N(资金日记账!$I564)=0,"",-ROUND(N(资金日记账!$I564),2))))</f>
        <v/>
      </c>
      <c r="O571" t="str">
        <f>IF($G571=0,"",IF(IF(N(资金日记账!$H564)=0,"",ROUND(N(资金日记账!$H564),2))=0,"",IF(N(资金日记账!$H564)=0,"",ROUND(N(资金日记账!$H564),2))))</f>
        <v/>
      </c>
      <c r="P571" t="str">
        <f>IF($G571=0,"",IF(资金日记账!$L564=0,"",资金日记账!$L564))</f>
        <v/>
      </c>
      <c r="T571" t="str">
        <f>IF(资金日记账!$G571="","",资金日记账!$G571)</f>
        <v/>
      </c>
      <c r="U571">
        <f t="shared" si="101"/>
        <v>0</v>
      </c>
      <c r="V571">
        <f t="shared" si="102"/>
        <v>0</v>
      </c>
      <c r="AF571" t="str">
        <f>IF(OR(资金日记账!$E571="",N(资金日记账!$H571)=0),"",资金日记账!$E571)</f>
        <v/>
      </c>
      <c r="AG571">
        <f t="shared" si="103"/>
        <v>0</v>
      </c>
      <c r="AH571">
        <f t="shared" si="104"/>
        <v>0</v>
      </c>
    </row>
    <row r="572" spans="1:34">
      <c r="A572" t="str">
        <f>IF(资金日记账!$F270="","",资金日记账!$F270)</f>
        <v/>
      </c>
      <c r="B572">
        <f t="shared" si="97"/>
        <v>0</v>
      </c>
      <c r="C572">
        <f t="shared" si="98"/>
        <v>0</v>
      </c>
      <c r="G572">
        <f>IF(OR($G$1="",资金日记账!$E565="",资金日记账!$E565&lt;&gt;$G$1),0,IF(NOT(OR(N(资金日记账!$H565)&lt;&gt;0,N(资金日记账!$I565)&lt;&gt;0)),0,IF(资金日记账!$B565="",1,IF(OR(N(资金日记账!$B565)&lt;$H$1,N(资金日记账!$B565)&gt;$I$1),0,1))))</f>
        <v>0</v>
      </c>
      <c r="H572">
        <f t="shared" si="99"/>
        <v>0</v>
      </c>
      <c r="I572" t="str">
        <f>IF($G572=0,"",IF(资金日记账!$B565=0,"",资金日记账!$B565))</f>
        <v/>
      </c>
      <c r="J572" t="str">
        <f>IF($G572=0,"",IF(资金日记账!$D565=0,"",资金日记账!$D565))</f>
        <v/>
      </c>
      <c r="K572" t="str">
        <f t="shared" si="105"/>
        <v/>
      </c>
      <c r="L572" t="str">
        <f t="shared" si="106"/>
        <v/>
      </c>
      <c r="M572" t="str">
        <f t="shared" si="100"/>
        <v/>
      </c>
      <c r="N572" t="str">
        <f>IF($G572=0,"",IF(IF(N(资金日记账!$I565)=0,"",-ROUND(N(资金日记账!$I565),2))=0,"",IF(N(资金日记账!$I565)=0,"",-ROUND(N(资金日记账!$I565),2))))</f>
        <v/>
      </c>
      <c r="O572" t="str">
        <f>IF($G572=0,"",IF(IF(N(资金日记账!$H565)=0,"",ROUND(N(资金日记账!$H565),2))=0,"",IF(N(资金日记账!$H565)=0,"",ROUND(N(资金日记账!$H565),2))))</f>
        <v/>
      </c>
      <c r="P572" t="str">
        <f>IF($G572=0,"",IF(资金日记账!$L565=0,"",资金日记账!$L565))</f>
        <v/>
      </c>
      <c r="T572" t="str">
        <f>IF(资金日记账!$G572="","",资金日记账!$G572)</f>
        <v/>
      </c>
      <c r="U572">
        <f t="shared" si="101"/>
        <v>0</v>
      </c>
      <c r="V572">
        <f t="shared" si="102"/>
        <v>0</v>
      </c>
      <c r="AF572" t="str">
        <f>IF(OR(资金日记账!$E572="",N(资金日记账!$H572)=0),"",资金日记账!$E572)</f>
        <v/>
      </c>
      <c r="AG572">
        <f t="shared" si="103"/>
        <v>0</v>
      </c>
      <c r="AH572">
        <f t="shared" si="104"/>
        <v>0</v>
      </c>
    </row>
    <row r="573" spans="1:34">
      <c r="A573" t="str">
        <f>IF(资金日记账!$F271="","",资金日记账!$F271)</f>
        <v/>
      </c>
      <c r="B573">
        <f t="shared" si="97"/>
        <v>0</v>
      </c>
      <c r="C573">
        <f t="shared" si="98"/>
        <v>0</v>
      </c>
      <c r="G573">
        <f>IF(OR($G$1="",资金日记账!$E566="",资金日记账!$E566&lt;&gt;$G$1),0,IF(NOT(OR(N(资金日记账!$H566)&lt;&gt;0,N(资金日记账!$I566)&lt;&gt;0)),0,IF(资金日记账!$B566="",1,IF(OR(N(资金日记账!$B566)&lt;$H$1,N(资金日记账!$B566)&gt;$I$1),0,1))))</f>
        <v>0</v>
      </c>
      <c r="H573">
        <f t="shared" si="99"/>
        <v>0</v>
      </c>
      <c r="I573" t="str">
        <f>IF($G573=0,"",IF(资金日记账!$B566=0,"",资金日记账!$B566))</f>
        <v/>
      </c>
      <c r="J573" t="str">
        <f>IF($G573=0,"",IF(资金日记账!$D566=0,"",资金日记账!$D566))</f>
        <v/>
      </c>
      <c r="K573" t="str">
        <f t="shared" si="105"/>
        <v/>
      </c>
      <c r="L573" t="str">
        <f t="shared" si="106"/>
        <v/>
      </c>
      <c r="M573" t="str">
        <f t="shared" si="100"/>
        <v/>
      </c>
      <c r="N573" t="str">
        <f>IF($G573=0,"",IF(IF(N(资金日记账!$I566)=0,"",-ROUND(N(资金日记账!$I566),2))=0,"",IF(N(资金日记账!$I566)=0,"",-ROUND(N(资金日记账!$I566),2))))</f>
        <v/>
      </c>
      <c r="O573" t="str">
        <f>IF($G573=0,"",IF(IF(N(资金日记账!$H566)=0,"",ROUND(N(资金日记账!$H566),2))=0,"",IF(N(资金日记账!$H566)=0,"",ROUND(N(资金日记账!$H566),2))))</f>
        <v/>
      </c>
      <c r="P573" t="str">
        <f>IF($G573=0,"",IF(资金日记账!$L566=0,"",资金日记账!$L566))</f>
        <v/>
      </c>
      <c r="T573" t="str">
        <f>IF(资金日记账!$G573="","",资金日记账!$G573)</f>
        <v/>
      </c>
      <c r="U573">
        <f t="shared" si="101"/>
        <v>0</v>
      </c>
      <c r="V573">
        <f t="shared" si="102"/>
        <v>0</v>
      </c>
      <c r="AF573" t="str">
        <f>IF(OR(资金日记账!$E573="",N(资金日记账!$H573)=0),"",资金日记账!$E573)</f>
        <v/>
      </c>
      <c r="AG573">
        <f t="shared" si="103"/>
        <v>0</v>
      </c>
      <c r="AH573">
        <f t="shared" si="104"/>
        <v>0</v>
      </c>
    </row>
    <row r="574" spans="1:34">
      <c r="A574" t="str">
        <f>IF(资金日记账!$F272="","",资金日记账!$F272)</f>
        <v/>
      </c>
      <c r="B574">
        <f t="shared" si="97"/>
        <v>0</v>
      </c>
      <c r="C574">
        <f t="shared" si="98"/>
        <v>0</v>
      </c>
      <c r="G574">
        <f>IF(OR($G$1="",资金日记账!$E567="",资金日记账!$E567&lt;&gt;$G$1),0,IF(NOT(OR(N(资金日记账!$H567)&lt;&gt;0,N(资金日记账!$I567)&lt;&gt;0)),0,IF(资金日记账!$B567="",1,IF(OR(N(资金日记账!$B567)&lt;$H$1,N(资金日记账!$B567)&gt;$I$1),0,1))))</f>
        <v>0</v>
      </c>
      <c r="H574">
        <f t="shared" si="99"/>
        <v>0</v>
      </c>
      <c r="I574" t="str">
        <f>IF($G574=0,"",IF(资金日记账!$B567=0,"",资金日记账!$B567))</f>
        <v/>
      </c>
      <c r="J574" t="str">
        <f>IF($G574=0,"",IF(资金日记账!$D567=0,"",资金日记账!$D567))</f>
        <v/>
      </c>
      <c r="K574" t="str">
        <f t="shared" si="105"/>
        <v/>
      </c>
      <c r="L574" t="str">
        <f t="shared" si="106"/>
        <v/>
      </c>
      <c r="M574" t="str">
        <f t="shared" si="100"/>
        <v/>
      </c>
      <c r="N574" t="str">
        <f>IF($G574=0,"",IF(IF(N(资金日记账!$I567)=0,"",-ROUND(N(资金日记账!$I567),2))=0,"",IF(N(资金日记账!$I567)=0,"",-ROUND(N(资金日记账!$I567),2))))</f>
        <v/>
      </c>
      <c r="O574" t="str">
        <f>IF($G574=0,"",IF(IF(N(资金日记账!$H567)=0,"",ROUND(N(资金日记账!$H567),2))=0,"",IF(N(资金日记账!$H567)=0,"",ROUND(N(资金日记账!$H567),2))))</f>
        <v/>
      </c>
      <c r="P574" t="str">
        <f>IF($G574=0,"",IF(资金日记账!$L567=0,"",资金日记账!$L567))</f>
        <v/>
      </c>
      <c r="T574" t="str">
        <f>IF(资金日记账!$G574="","",资金日记账!$G574)</f>
        <v/>
      </c>
      <c r="U574">
        <f t="shared" si="101"/>
        <v>0</v>
      </c>
      <c r="V574">
        <f t="shared" si="102"/>
        <v>0</v>
      </c>
      <c r="AF574" t="str">
        <f>IF(OR(资金日记账!$E574="",N(资金日记账!$H574)=0),"",资金日记账!$E574)</f>
        <v/>
      </c>
      <c r="AG574">
        <f t="shared" si="103"/>
        <v>0</v>
      </c>
      <c r="AH574">
        <f t="shared" si="104"/>
        <v>0</v>
      </c>
    </row>
    <row r="575" spans="1:34">
      <c r="A575" t="str">
        <f>IF(资金日记账!$F273="","",资金日记账!$F273)</f>
        <v/>
      </c>
      <c r="B575">
        <f t="shared" si="97"/>
        <v>0</v>
      </c>
      <c r="C575">
        <f t="shared" si="98"/>
        <v>0</v>
      </c>
      <c r="G575">
        <f>IF(OR($G$1="",资金日记账!$E568="",资金日记账!$E568&lt;&gt;$G$1),0,IF(NOT(OR(N(资金日记账!$H568)&lt;&gt;0,N(资金日记账!$I568)&lt;&gt;0)),0,IF(资金日记账!$B568="",1,IF(OR(N(资金日记账!$B568)&lt;$H$1,N(资金日记账!$B568)&gt;$I$1),0,1))))</f>
        <v>0</v>
      </c>
      <c r="H575">
        <f t="shared" si="99"/>
        <v>0</v>
      </c>
      <c r="I575" t="str">
        <f>IF($G575=0,"",IF(资金日记账!$B568=0,"",资金日记账!$B568))</f>
        <v/>
      </c>
      <c r="J575" t="str">
        <f>IF($G575=0,"",IF(资金日记账!$D568=0,"",资金日记账!$D568))</f>
        <v/>
      </c>
      <c r="K575" t="str">
        <f t="shared" si="105"/>
        <v/>
      </c>
      <c r="L575" t="str">
        <f t="shared" si="106"/>
        <v/>
      </c>
      <c r="M575" t="str">
        <f t="shared" si="100"/>
        <v/>
      </c>
      <c r="N575" t="str">
        <f>IF($G575=0,"",IF(IF(N(资金日记账!$I568)=0,"",-ROUND(N(资金日记账!$I568),2))=0,"",IF(N(资金日记账!$I568)=0,"",-ROUND(N(资金日记账!$I568),2))))</f>
        <v/>
      </c>
      <c r="O575" t="str">
        <f>IF($G575=0,"",IF(IF(N(资金日记账!$H568)=0,"",ROUND(N(资金日记账!$H568),2))=0,"",IF(N(资金日记账!$H568)=0,"",ROUND(N(资金日记账!$H568),2))))</f>
        <v/>
      </c>
      <c r="P575" t="str">
        <f>IF($G575=0,"",IF(资金日记账!$L568=0,"",资金日记账!$L568))</f>
        <v/>
      </c>
      <c r="T575" t="str">
        <f>IF(资金日记账!$G575="","",资金日记账!$G575)</f>
        <v/>
      </c>
      <c r="U575">
        <f t="shared" si="101"/>
        <v>0</v>
      </c>
      <c r="V575">
        <f t="shared" si="102"/>
        <v>0</v>
      </c>
      <c r="AF575" t="str">
        <f>IF(OR(资金日记账!$E575="",N(资金日记账!$H575)=0),"",资金日记账!$E575)</f>
        <v/>
      </c>
      <c r="AG575">
        <f t="shared" si="103"/>
        <v>0</v>
      </c>
      <c r="AH575">
        <f t="shared" si="104"/>
        <v>0</v>
      </c>
    </row>
    <row r="576" spans="1:34">
      <c r="A576" t="str">
        <f>IF(资金日记账!$F274="","",资金日记账!$F274)</f>
        <v/>
      </c>
      <c r="B576">
        <f t="shared" si="97"/>
        <v>0</v>
      </c>
      <c r="C576">
        <f t="shared" si="98"/>
        <v>0</v>
      </c>
      <c r="G576">
        <f>IF(OR($G$1="",资金日记账!$E569="",资金日记账!$E569&lt;&gt;$G$1),0,IF(NOT(OR(N(资金日记账!$H569)&lt;&gt;0,N(资金日记账!$I569)&lt;&gt;0)),0,IF(资金日记账!$B569="",1,IF(OR(N(资金日记账!$B569)&lt;$H$1,N(资金日记账!$B569)&gt;$I$1),0,1))))</f>
        <v>0</v>
      </c>
      <c r="H576">
        <f t="shared" si="99"/>
        <v>0</v>
      </c>
      <c r="I576" t="str">
        <f>IF($G576=0,"",IF(资金日记账!$B569=0,"",资金日记账!$B569))</f>
        <v/>
      </c>
      <c r="J576" t="str">
        <f>IF($G576=0,"",IF(资金日记账!$D569=0,"",资金日记账!$D569))</f>
        <v/>
      </c>
      <c r="K576" t="str">
        <f t="shared" si="105"/>
        <v/>
      </c>
      <c r="L576" t="str">
        <f t="shared" si="106"/>
        <v/>
      </c>
      <c r="M576" t="str">
        <f t="shared" si="100"/>
        <v/>
      </c>
      <c r="N576" t="str">
        <f>IF($G576=0,"",IF(IF(N(资金日记账!$I569)=0,"",-ROUND(N(资金日记账!$I569),2))=0,"",IF(N(资金日记账!$I569)=0,"",-ROUND(N(资金日记账!$I569),2))))</f>
        <v/>
      </c>
      <c r="O576" t="str">
        <f>IF($G576=0,"",IF(IF(N(资金日记账!$H569)=0,"",ROUND(N(资金日记账!$H569),2))=0,"",IF(N(资金日记账!$H569)=0,"",ROUND(N(资金日记账!$H569),2))))</f>
        <v/>
      </c>
      <c r="P576" t="str">
        <f>IF($G576=0,"",IF(资金日记账!$L569=0,"",资金日记账!$L569))</f>
        <v/>
      </c>
      <c r="T576" t="str">
        <f>IF(资金日记账!$G576="","",资金日记账!$G576)</f>
        <v/>
      </c>
      <c r="U576">
        <f t="shared" si="101"/>
        <v>0</v>
      </c>
      <c r="V576">
        <f t="shared" si="102"/>
        <v>0</v>
      </c>
      <c r="AF576" t="str">
        <f>IF(OR(资金日记账!$E576="",N(资金日记账!$H576)=0),"",资金日记账!$E576)</f>
        <v/>
      </c>
      <c r="AG576">
        <f t="shared" si="103"/>
        <v>0</v>
      </c>
      <c r="AH576">
        <f t="shared" si="104"/>
        <v>0</v>
      </c>
    </row>
    <row r="577" spans="1:34">
      <c r="A577" t="str">
        <f>IF(资金日记账!$F275="","",资金日记账!$F275)</f>
        <v/>
      </c>
      <c r="B577">
        <f t="shared" si="97"/>
        <v>0</v>
      </c>
      <c r="C577">
        <f t="shared" si="98"/>
        <v>0</v>
      </c>
      <c r="G577">
        <f>IF(OR($G$1="",资金日记账!$E570="",资金日记账!$E570&lt;&gt;$G$1),0,IF(NOT(OR(N(资金日记账!$H570)&lt;&gt;0,N(资金日记账!$I570)&lt;&gt;0)),0,IF(资金日记账!$B570="",1,IF(OR(N(资金日记账!$B570)&lt;$H$1,N(资金日记账!$B570)&gt;$I$1),0,1))))</f>
        <v>0</v>
      </c>
      <c r="H577">
        <f t="shared" si="99"/>
        <v>0</v>
      </c>
      <c r="I577" t="str">
        <f>IF($G577=0,"",IF(资金日记账!$B570=0,"",资金日记账!$B570))</f>
        <v/>
      </c>
      <c r="J577" t="str">
        <f>IF($G577=0,"",IF(资金日记账!$D570=0,"",资金日记账!$D570))</f>
        <v/>
      </c>
      <c r="K577" t="str">
        <f t="shared" si="105"/>
        <v/>
      </c>
      <c r="L577" t="str">
        <f t="shared" si="106"/>
        <v/>
      </c>
      <c r="M577" t="str">
        <f t="shared" si="100"/>
        <v/>
      </c>
      <c r="N577" t="str">
        <f>IF($G577=0,"",IF(IF(N(资金日记账!$I570)=0,"",-ROUND(N(资金日记账!$I570),2))=0,"",IF(N(资金日记账!$I570)=0,"",-ROUND(N(资金日记账!$I570),2))))</f>
        <v/>
      </c>
      <c r="O577" t="str">
        <f>IF($G577=0,"",IF(IF(N(资金日记账!$H570)=0,"",ROUND(N(资金日记账!$H570),2))=0,"",IF(N(资金日记账!$H570)=0,"",ROUND(N(资金日记账!$H570),2))))</f>
        <v/>
      </c>
      <c r="P577" t="str">
        <f>IF($G577=0,"",IF(资金日记账!$L570=0,"",资金日记账!$L570))</f>
        <v/>
      </c>
      <c r="T577" t="str">
        <f>IF(资金日记账!$G577="","",资金日记账!$G577)</f>
        <v/>
      </c>
      <c r="U577">
        <f t="shared" si="101"/>
        <v>0</v>
      </c>
      <c r="V577">
        <f t="shared" si="102"/>
        <v>0</v>
      </c>
      <c r="AF577" t="str">
        <f>IF(OR(资金日记账!$E577="",N(资金日记账!$H577)=0),"",资金日记账!$E577)</f>
        <v/>
      </c>
      <c r="AG577">
        <f t="shared" si="103"/>
        <v>0</v>
      </c>
      <c r="AH577">
        <f t="shared" si="104"/>
        <v>0</v>
      </c>
    </row>
    <row r="578" spans="1:34">
      <c r="A578" t="str">
        <f>IF(资金日记账!$F276="","",资金日记账!$F276)</f>
        <v/>
      </c>
      <c r="B578">
        <f t="shared" si="97"/>
        <v>0</v>
      </c>
      <c r="C578">
        <f t="shared" si="98"/>
        <v>0</v>
      </c>
      <c r="G578">
        <f>IF(OR($G$1="",资金日记账!$E571="",资金日记账!$E571&lt;&gt;$G$1),0,IF(NOT(OR(N(资金日记账!$H571)&lt;&gt;0,N(资金日记账!$I571)&lt;&gt;0)),0,IF(资金日记账!$B571="",1,IF(OR(N(资金日记账!$B571)&lt;$H$1,N(资金日记账!$B571)&gt;$I$1),0,1))))</f>
        <v>0</v>
      </c>
      <c r="H578">
        <f t="shared" si="99"/>
        <v>0</v>
      </c>
      <c r="I578" t="str">
        <f>IF($G578=0,"",IF(资金日记账!$B571=0,"",资金日记账!$B571))</f>
        <v/>
      </c>
      <c r="J578" t="str">
        <f>IF($G578=0,"",IF(资金日记账!$D571=0,"",资金日记账!$D571))</f>
        <v/>
      </c>
      <c r="K578" t="str">
        <f t="shared" si="105"/>
        <v/>
      </c>
      <c r="L578" t="str">
        <f t="shared" si="106"/>
        <v/>
      </c>
      <c r="M578" t="str">
        <f t="shared" si="100"/>
        <v/>
      </c>
      <c r="N578" t="str">
        <f>IF($G578=0,"",IF(IF(N(资金日记账!$I571)=0,"",-ROUND(N(资金日记账!$I571),2))=0,"",IF(N(资金日记账!$I571)=0,"",-ROUND(N(资金日记账!$I571),2))))</f>
        <v/>
      </c>
      <c r="O578" t="str">
        <f>IF($G578=0,"",IF(IF(N(资金日记账!$H571)=0,"",ROUND(N(资金日记账!$H571),2))=0,"",IF(N(资金日记账!$H571)=0,"",ROUND(N(资金日记账!$H571),2))))</f>
        <v/>
      </c>
      <c r="P578" t="str">
        <f>IF($G578=0,"",IF(资金日记账!$L571=0,"",资金日记账!$L571))</f>
        <v/>
      </c>
      <c r="T578" t="str">
        <f>IF(资金日记账!$G578="","",资金日记账!$G578)</f>
        <v/>
      </c>
      <c r="U578">
        <f t="shared" si="101"/>
        <v>0</v>
      </c>
      <c r="V578">
        <f t="shared" si="102"/>
        <v>0</v>
      </c>
      <c r="AF578" t="str">
        <f>IF(OR(资金日记账!$E578="",N(资金日记账!$H578)=0),"",资金日记账!$E578)</f>
        <v/>
      </c>
      <c r="AG578">
        <f t="shared" si="103"/>
        <v>0</v>
      </c>
      <c r="AH578">
        <f t="shared" si="104"/>
        <v>0</v>
      </c>
    </row>
    <row r="579" spans="1:34">
      <c r="A579" t="str">
        <f>IF(资金日记账!$F277="","",资金日记账!$F277)</f>
        <v/>
      </c>
      <c r="B579">
        <f t="shared" si="97"/>
        <v>0</v>
      </c>
      <c r="C579">
        <f t="shared" si="98"/>
        <v>0</v>
      </c>
      <c r="G579">
        <f>IF(OR($G$1="",资金日记账!$E572="",资金日记账!$E572&lt;&gt;$G$1),0,IF(NOT(OR(N(资金日记账!$H572)&lt;&gt;0,N(资金日记账!$I572)&lt;&gt;0)),0,IF(资金日记账!$B572="",1,IF(OR(N(资金日记账!$B572)&lt;$H$1,N(资金日记账!$B572)&gt;$I$1),0,1))))</f>
        <v>0</v>
      </c>
      <c r="H579">
        <f t="shared" si="99"/>
        <v>0</v>
      </c>
      <c r="I579" t="str">
        <f>IF($G579=0,"",IF(资金日记账!$B572=0,"",资金日记账!$B572))</f>
        <v/>
      </c>
      <c r="J579" t="str">
        <f>IF($G579=0,"",IF(资金日记账!$D572=0,"",资金日记账!$D572))</f>
        <v/>
      </c>
      <c r="K579" t="str">
        <f t="shared" si="105"/>
        <v/>
      </c>
      <c r="L579" t="str">
        <f t="shared" si="106"/>
        <v/>
      </c>
      <c r="M579" t="str">
        <f t="shared" si="100"/>
        <v/>
      </c>
      <c r="N579" t="str">
        <f>IF($G579=0,"",IF(IF(N(资金日记账!$I572)=0,"",-ROUND(N(资金日记账!$I572),2))=0,"",IF(N(资金日记账!$I572)=0,"",-ROUND(N(资金日记账!$I572),2))))</f>
        <v/>
      </c>
      <c r="O579" t="str">
        <f>IF($G579=0,"",IF(IF(N(资金日记账!$H572)=0,"",ROUND(N(资金日记账!$H572),2))=0,"",IF(N(资金日记账!$H572)=0,"",ROUND(N(资金日记账!$H572),2))))</f>
        <v/>
      </c>
      <c r="P579" t="str">
        <f>IF($G579=0,"",IF(资金日记账!$L572=0,"",资金日记账!$L572))</f>
        <v/>
      </c>
      <c r="T579" t="str">
        <f>IF(资金日记账!$G579="","",资金日记账!$G579)</f>
        <v/>
      </c>
      <c r="U579">
        <f t="shared" si="101"/>
        <v>0</v>
      </c>
      <c r="V579">
        <f t="shared" si="102"/>
        <v>0</v>
      </c>
      <c r="AF579" t="str">
        <f>IF(OR(资金日记账!$E579="",N(资金日记账!$H579)=0),"",资金日记账!$E579)</f>
        <v/>
      </c>
      <c r="AG579">
        <f t="shared" si="103"/>
        <v>0</v>
      </c>
      <c r="AH579">
        <f t="shared" si="104"/>
        <v>0</v>
      </c>
    </row>
    <row r="580" spans="1:34">
      <c r="A580" t="str">
        <f>IF(资金日记账!$F278="","",资金日记账!$F278)</f>
        <v/>
      </c>
      <c r="B580">
        <f t="shared" ref="B580:B643" si="107">IF(A580="",0,IF(MATCH(A580,$A$4:$A$1805,0)=ROW()-3,1,0))</f>
        <v>0</v>
      </c>
      <c r="C580">
        <f t="shared" ref="C580:C643" si="108">N(C579)+B580</f>
        <v>0</v>
      </c>
      <c r="G580">
        <f>IF(OR($G$1="",资金日记账!$E573="",资金日记账!$E573&lt;&gt;$G$1),0,IF(NOT(OR(N(资金日记账!$H573)&lt;&gt;0,N(资金日记账!$I573)&lt;&gt;0)),0,IF(资金日记账!$B573="",1,IF(OR(N(资金日记账!$B573)&lt;$H$1,N(资金日记账!$B573)&gt;$I$1),0,1))))</f>
        <v>0</v>
      </c>
      <c r="H580">
        <f t="shared" ref="H580:H643" si="109">N(H579)+$G580</f>
        <v>0</v>
      </c>
      <c r="I580" t="str">
        <f>IF($G580=0,"",IF(资金日记账!$B573=0,"",资金日记账!$B573))</f>
        <v/>
      </c>
      <c r="J580" t="str">
        <f>IF($G580=0,"",IF(资金日记账!$D573=0,"",资金日记账!$D573))</f>
        <v/>
      </c>
      <c r="K580" t="str">
        <f t="shared" si="105"/>
        <v/>
      </c>
      <c r="L580" t="str">
        <f t="shared" si="106"/>
        <v/>
      </c>
      <c r="M580" t="str">
        <f t="shared" ref="M580:M610" si="110">IF($G580=0,"",IF(""=0,"",""))</f>
        <v/>
      </c>
      <c r="N580" t="str">
        <f>IF($G580=0,"",IF(IF(N(资金日记账!$I573)=0,"",-ROUND(N(资金日记账!$I573),2))=0,"",IF(N(资金日记账!$I573)=0,"",-ROUND(N(资金日记账!$I573),2))))</f>
        <v/>
      </c>
      <c r="O580" t="str">
        <f>IF($G580=0,"",IF(IF(N(资金日记账!$H573)=0,"",ROUND(N(资金日记账!$H573),2))=0,"",IF(N(资金日记账!$H573)=0,"",ROUND(N(资金日记账!$H573),2))))</f>
        <v/>
      </c>
      <c r="P580" t="str">
        <f>IF($G580=0,"",IF(资金日记账!$L573=0,"",资金日记账!$L573))</f>
        <v/>
      </c>
      <c r="T580" t="str">
        <f>IF(资金日记账!$G580="","",资金日记账!$G580)</f>
        <v/>
      </c>
      <c r="U580">
        <f t="shared" ref="U580:U643" si="111">IF(T580="",0,IF(MATCH(T580,$T$4:$T$903,0)=ROW()-3,1,0))</f>
        <v>0</v>
      </c>
      <c r="V580">
        <f t="shared" ref="V580:V643" si="112">N(V579)+U580</f>
        <v>0</v>
      </c>
      <c r="AF580" t="str">
        <f>IF(OR(资金日记账!$E580="",N(资金日记账!$H580)=0),"",资金日记账!$E580)</f>
        <v/>
      </c>
      <c r="AG580">
        <f t="shared" ref="AG580:AG603" si="113">IF(AF580="",0,IF(MATCH(AF580,$AF$4:$AF$603,0)=ROW()-3,1,0))</f>
        <v>0</v>
      </c>
      <c r="AH580">
        <f t="shared" ref="AH580:AH603" si="114">N(AH579)+AG580</f>
        <v>0</v>
      </c>
    </row>
    <row r="581" spans="1:34">
      <c r="A581" t="str">
        <f>IF(资金日记账!$F279="","",资金日记账!$F279)</f>
        <v/>
      </c>
      <c r="B581">
        <f t="shared" si="107"/>
        <v>0</v>
      </c>
      <c r="C581">
        <f t="shared" si="108"/>
        <v>0</v>
      </c>
      <c r="G581">
        <f>IF(OR($G$1="",资金日记账!$E574="",资金日记账!$E574&lt;&gt;$G$1),0,IF(NOT(OR(N(资金日记账!$H574)&lt;&gt;0,N(资金日记账!$I574)&lt;&gt;0)),0,IF(资金日记账!$B574="",1,IF(OR(N(资金日记账!$B574)&lt;$H$1,N(资金日记账!$B574)&gt;$I$1),0,1))))</f>
        <v>0</v>
      </c>
      <c r="H581">
        <f t="shared" si="109"/>
        <v>0</v>
      </c>
      <c r="I581" t="str">
        <f>IF($G581=0,"",IF(资金日记账!$B574=0,"",资金日记账!$B574))</f>
        <v/>
      </c>
      <c r="J581" t="str">
        <f>IF($G581=0,"",IF(资金日记账!$D574=0,"",资金日记账!$D574))</f>
        <v/>
      </c>
      <c r="K581" t="str">
        <f t="shared" si="105"/>
        <v/>
      </c>
      <c r="L581" t="str">
        <f t="shared" si="106"/>
        <v/>
      </c>
      <c r="M581" t="str">
        <f t="shared" si="110"/>
        <v/>
      </c>
      <c r="N581" t="str">
        <f>IF($G581=0,"",IF(IF(N(资金日记账!$I574)=0,"",-ROUND(N(资金日记账!$I574),2))=0,"",IF(N(资金日记账!$I574)=0,"",-ROUND(N(资金日记账!$I574),2))))</f>
        <v/>
      </c>
      <c r="O581" t="str">
        <f>IF($G581=0,"",IF(IF(N(资金日记账!$H574)=0,"",ROUND(N(资金日记账!$H574),2))=0,"",IF(N(资金日记账!$H574)=0,"",ROUND(N(资金日记账!$H574),2))))</f>
        <v/>
      </c>
      <c r="P581" t="str">
        <f>IF($G581=0,"",IF(资金日记账!$L574=0,"",资金日记账!$L574))</f>
        <v/>
      </c>
      <c r="T581" t="str">
        <f>IF(资金日记账!$G581="","",资金日记账!$G581)</f>
        <v/>
      </c>
      <c r="U581">
        <f t="shared" si="111"/>
        <v>0</v>
      </c>
      <c r="V581">
        <f t="shared" si="112"/>
        <v>0</v>
      </c>
      <c r="AF581" t="str">
        <f>IF(OR(资金日记账!$E581="",N(资金日记账!$H581)=0),"",资金日记账!$E581)</f>
        <v/>
      </c>
      <c r="AG581">
        <f t="shared" si="113"/>
        <v>0</v>
      </c>
      <c r="AH581">
        <f t="shared" si="114"/>
        <v>0</v>
      </c>
    </row>
    <row r="582" spans="1:34">
      <c r="A582" t="str">
        <f>IF(资金日记账!$F280="","",资金日记账!$F280)</f>
        <v/>
      </c>
      <c r="B582">
        <f t="shared" si="107"/>
        <v>0</v>
      </c>
      <c r="C582">
        <f t="shared" si="108"/>
        <v>0</v>
      </c>
      <c r="G582">
        <f>IF(OR($G$1="",资金日记账!$E575="",资金日记账!$E575&lt;&gt;$G$1),0,IF(NOT(OR(N(资金日记账!$H575)&lt;&gt;0,N(资金日记账!$I575)&lt;&gt;0)),0,IF(资金日记账!$B575="",1,IF(OR(N(资金日记账!$B575)&lt;$H$1,N(资金日记账!$B575)&gt;$I$1),0,1))))</f>
        <v>0</v>
      </c>
      <c r="H582">
        <f t="shared" si="109"/>
        <v>0</v>
      </c>
      <c r="I582" t="str">
        <f>IF($G582=0,"",IF(资金日记账!$B575=0,"",资金日记账!$B575))</f>
        <v/>
      </c>
      <c r="J582" t="str">
        <f>IF($G582=0,"",IF(资金日记账!$D575=0,"",资金日记账!$D575))</f>
        <v/>
      </c>
      <c r="K582" t="str">
        <f t="shared" si="105"/>
        <v/>
      </c>
      <c r="L582" t="str">
        <f t="shared" si="106"/>
        <v/>
      </c>
      <c r="M582" t="str">
        <f t="shared" si="110"/>
        <v/>
      </c>
      <c r="N582" t="str">
        <f>IF($G582=0,"",IF(IF(N(资金日记账!$I575)=0,"",-ROUND(N(资金日记账!$I575),2))=0,"",IF(N(资金日记账!$I575)=0,"",-ROUND(N(资金日记账!$I575),2))))</f>
        <v/>
      </c>
      <c r="O582" t="str">
        <f>IF($G582=0,"",IF(IF(N(资金日记账!$H575)=0,"",ROUND(N(资金日记账!$H575),2))=0,"",IF(N(资金日记账!$H575)=0,"",ROUND(N(资金日记账!$H575),2))))</f>
        <v/>
      </c>
      <c r="P582" t="str">
        <f>IF($G582=0,"",IF(资金日记账!$L575=0,"",资金日记账!$L575))</f>
        <v/>
      </c>
      <c r="T582" t="str">
        <f>IF(资金日记账!$G582="","",资金日记账!$G582)</f>
        <v/>
      </c>
      <c r="U582">
        <f t="shared" si="111"/>
        <v>0</v>
      </c>
      <c r="V582">
        <f t="shared" si="112"/>
        <v>0</v>
      </c>
      <c r="AF582" t="str">
        <f>IF(OR(资金日记账!$E582="",N(资金日记账!$H582)=0),"",资金日记账!$E582)</f>
        <v/>
      </c>
      <c r="AG582">
        <f t="shared" si="113"/>
        <v>0</v>
      </c>
      <c r="AH582">
        <f t="shared" si="114"/>
        <v>0</v>
      </c>
    </row>
    <row r="583" spans="1:34">
      <c r="A583" t="str">
        <f>IF(资金日记账!$F281="","",资金日记账!$F281)</f>
        <v/>
      </c>
      <c r="B583">
        <f t="shared" si="107"/>
        <v>0</v>
      </c>
      <c r="C583">
        <f t="shared" si="108"/>
        <v>0</v>
      </c>
      <c r="G583">
        <f>IF(OR($G$1="",资金日记账!$E576="",资金日记账!$E576&lt;&gt;$G$1),0,IF(NOT(OR(N(资金日记账!$H576)&lt;&gt;0,N(资金日记账!$I576)&lt;&gt;0)),0,IF(资金日记账!$B576="",1,IF(OR(N(资金日记账!$B576)&lt;$H$1,N(资金日记账!$B576)&gt;$I$1),0,1))))</f>
        <v>0</v>
      </c>
      <c r="H583">
        <f t="shared" si="109"/>
        <v>0</v>
      </c>
      <c r="I583" t="str">
        <f>IF($G583=0,"",IF(资金日记账!$B576=0,"",资金日记账!$B576))</f>
        <v/>
      </c>
      <c r="J583" t="str">
        <f>IF($G583=0,"",IF(资金日记账!$D576=0,"",资金日记账!$D576))</f>
        <v/>
      </c>
      <c r="K583" t="str">
        <f t="shared" ref="K583:K610" si="115">IF($G583=0,"",IF(""=0,"",""))</f>
        <v/>
      </c>
      <c r="L583" t="str">
        <f t="shared" ref="L583:L610" si="116">IF($G583=0,"",IF(""=0,"",""))</f>
        <v/>
      </c>
      <c r="M583" t="str">
        <f t="shared" si="110"/>
        <v/>
      </c>
      <c r="N583" t="str">
        <f>IF($G583=0,"",IF(IF(N(资金日记账!$I576)=0,"",-ROUND(N(资金日记账!$I576),2))=0,"",IF(N(资金日记账!$I576)=0,"",-ROUND(N(资金日记账!$I576),2))))</f>
        <v/>
      </c>
      <c r="O583" t="str">
        <f>IF($G583=0,"",IF(IF(N(资金日记账!$H576)=0,"",ROUND(N(资金日记账!$H576),2))=0,"",IF(N(资金日记账!$H576)=0,"",ROUND(N(资金日记账!$H576),2))))</f>
        <v/>
      </c>
      <c r="P583" t="str">
        <f>IF($G583=0,"",IF(资金日记账!$L576=0,"",资金日记账!$L576))</f>
        <v/>
      </c>
      <c r="T583" t="str">
        <f>IF(资金日记账!$G583="","",资金日记账!$G583)</f>
        <v/>
      </c>
      <c r="U583">
        <f t="shared" si="111"/>
        <v>0</v>
      </c>
      <c r="V583">
        <f t="shared" si="112"/>
        <v>0</v>
      </c>
      <c r="AF583" t="str">
        <f>IF(OR(资金日记账!$E583="",N(资金日记账!$H583)=0),"",资金日记账!$E583)</f>
        <v/>
      </c>
      <c r="AG583">
        <f t="shared" si="113"/>
        <v>0</v>
      </c>
      <c r="AH583">
        <f t="shared" si="114"/>
        <v>0</v>
      </c>
    </row>
    <row r="584" spans="1:34">
      <c r="A584" t="str">
        <f>IF(资金日记账!$F282="","",资金日记账!$F282)</f>
        <v/>
      </c>
      <c r="B584">
        <f t="shared" si="107"/>
        <v>0</v>
      </c>
      <c r="C584">
        <f t="shared" si="108"/>
        <v>0</v>
      </c>
      <c r="G584">
        <f>IF(OR($G$1="",资金日记账!$E577="",资金日记账!$E577&lt;&gt;$G$1),0,IF(NOT(OR(N(资金日记账!$H577)&lt;&gt;0,N(资金日记账!$I577)&lt;&gt;0)),0,IF(资金日记账!$B577="",1,IF(OR(N(资金日记账!$B577)&lt;$H$1,N(资金日记账!$B577)&gt;$I$1),0,1))))</f>
        <v>0</v>
      </c>
      <c r="H584">
        <f t="shared" si="109"/>
        <v>0</v>
      </c>
      <c r="I584" t="str">
        <f>IF($G584=0,"",IF(资金日记账!$B577=0,"",资金日记账!$B577))</f>
        <v/>
      </c>
      <c r="J584" t="str">
        <f>IF($G584=0,"",IF(资金日记账!$D577=0,"",资金日记账!$D577))</f>
        <v/>
      </c>
      <c r="K584" t="str">
        <f t="shared" si="115"/>
        <v/>
      </c>
      <c r="L584" t="str">
        <f t="shared" si="116"/>
        <v/>
      </c>
      <c r="M584" t="str">
        <f t="shared" si="110"/>
        <v/>
      </c>
      <c r="N584" t="str">
        <f>IF($G584=0,"",IF(IF(N(资金日记账!$I577)=0,"",-ROUND(N(资金日记账!$I577),2))=0,"",IF(N(资金日记账!$I577)=0,"",-ROUND(N(资金日记账!$I577),2))))</f>
        <v/>
      </c>
      <c r="O584" t="str">
        <f>IF($G584=0,"",IF(IF(N(资金日记账!$H577)=0,"",ROUND(N(资金日记账!$H577),2))=0,"",IF(N(资金日记账!$H577)=0,"",ROUND(N(资金日记账!$H577),2))))</f>
        <v/>
      </c>
      <c r="P584" t="str">
        <f>IF($G584=0,"",IF(资金日记账!$L577=0,"",资金日记账!$L577))</f>
        <v/>
      </c>
      <c r="T584" t="str">
        <f>IF(资金日记账!$G584="","",资金日记账!$G584)</f>
        <v/>
      </c>
      <c r="U584">
        <f t="shared" si="111"/>
        <v>0</v>
      </c>
      <c r="V584">
        <f t="shared" si="112"/>
        <v>0</v>
      </c>
      <c r="AF584" t="str">
        <f>IF(OR(资金日记账!$E584="",N(资金日记账!$H584)=0),"",资金日记账!$E584)</f>
        <v/>
      </c>
      <c r="AG584">
        <f t="shared" si="113"/>
        <v>0</v>
      </c>
      <c r="AH584">
        <f t="shared" si="114"/>
        <v>0</v>
      </c>
    </row>
    <row r="585" spans="1:34">
      <c r="A585" t="str">
        <f>IF(资金日记账!$F283="","",资金日记账!$F283)</f>
        <v/>
      </c>
      <c r="B585">
        <f t="shared" si="107"/>
        <v>0</v>
      </c>
      <c r="C585">
        <f t="shared" si="108"/>
        <v>0</v>
      </c>
      <c r="G585">
        <f>IF(OR($G$1="",资金日记账!$E578="",资金日记账!$E578&lt;&gt;$G$1),0,IF(NOT(OR(N(资金日记账!$H578)&lt;&gt;0,N(资金日记账!$I578)&lt;&gt;0)),0,IF(资金日记账!$B578="",1,IF(OR(N(资金日记账!$B578)&lt;$H$1,N(资金日记账!$B578)&gt;$I$1),0,1))))</f>
        <v>0</v>
      </c>
      <c r="H585">
        <f t="shared" si="109"/>
        <v>0</v>
      </c>
      <c r="I585" t="str">
        <f>IF($G585=0,"",IF(资金日记账!$B578=0,"",资金日记账!$B578))</f>
        <v/>
      </c>
      <c r="J585" t="str">
        <f>IF($G585=0,"",IF(资金日记账!$D578=0,"",资金日记账!$D578))</f>
        <v/>
      </c>
      <c r="K585" t="str">
        <f t="shared" si="115"/>
        <v/>
      </c>
      <c r="L585" t="str">
        <f t="shared" si="116"/>
        <v/>
      </c>
      <c r="M585" t="str">
        <f t="shared" si="110"/>
        <v/>
      </c>
      <c r="N585" t="str">
        <f>IF($G585=0,"",IF(IF(N(资金日记账!$I578)=0,"",-ROUND(N(资金日记账!$I578),2))=0,"",IF(N(资金日记账!$I578)=0,"",-ROUND(N(资金日记账!$I578),2))))</f>
        <v/>
      </c>
      <c r="O585" t="str">
        <f>IF($G585=0,"",IF(IF(N(资金日记账!$H578)=0,"",ROUND(N(资金日记账!$H578),2))=0,"",IF(N(资金日记账!$H578)=0,"",ROUND(N(资金日记账!$H578),2))))</f>
        <v/>
      </c>
      <c r="P585" t="str">
        <f>IF($G585=0,"",IF(资金日记账!$L578=0,"",资金日记账!$L578))</f>
        <v/>
      </c>
      <c r="T585" t="str">
        <f>IF(资金日记账!$G585="","",资金日记账!$G585)</f>
        <v/>
      </c>
      <c r="U585">
        <f t="shared" si="111"/>
        <v>0</v>
      </c>
      <c r="V585">
        <f t="shared" si="112"/>
        <v>0</v>
      </c>
      <c r="AF585" t="str">
        <f>IF(OR(资金日记账!$E585="",N(资金日记账!$H585)=0),"",资金日记账!$E585)</f>
        <v/>
      </c>
      <c r="AG585">
        <f t="shared" si="113"/>
        <v>0</v>
      </c>
      <c r="AH585">
        <f t="shared" si="114"/>
        <v>0</v>
      </c>
    </row>
    <row r="586" spans="1:34">
      <c r="A586" t="str">
        <f>IF(资金日记账!$F284="","",资金日记账!$F284)</f>
        <v/>
      </c>
      <c r="B586">
        <f t="shared" si="107"/>
        <v>0</v>
      </c>
      <c r="C586">
        <f t="shared" si="108"/>
        <v>0</v>
      </c>
      <c r="G586">
        <f>IF(OR($G$1="",资金日记账!$E579="",资金日记账!$E579&lt;&gt;$G$1),0,IF(NOT(OR(N(资金日记账!$H579)&lt;&gt;0,N(资金日记账!$I579)&lt;&gt;0)),0,IF(资金日记账!$B579="",1,IF(OR(N(资金日记账!$B579)&lt;$H$1,N(资金日记账!$B579)&gt;$I$1),0,1))))</f>
        <v>0</v>
      </c>
      <c r="H586">
        <f t="shared" si="109"/>
        <v>0</v>
      </c>
      <c r="I586" t="str">
        <f>IF($G586=0,"",IF(资金日记账!$B579=0,"",资金日记账!$B579))</f>
        <v/>
      </c>
      <c r="J586" t="str">
        <f>IF($G586=0,"",IF(资金日记账!$D579=0,"",资金日记账!$D579))</f>
        <v/>
      </c>
      <c r="K586" t="str">
        <f t="shared" si="115"/>
        <v/>
      </c>
      <c r="L586" t="str">
        <f t="shared" si="116"/>
        <v/>
      </c>
      <c r="M586" t="str">
        <f t="shared" si="110"/>
        <v/>
      </c>
      <c r="N586" t="str">
        <f>IF($G586=0,"",IF(IF(N(资金日记账!$I579)=0,"",-ROUND(N(资金日记账!$I579),2))=0,"",IF(N(资金日记账!$I579)=0,"",-ROUND(N(资金日记账!$I579),2))))</f>
        <v/>
      </c>
      <c r="O586" t="str">
        <f>IF($G586=0,"",IF(IF(N(资金日记账!$H579)=0,"",ROUND(N(资金日记账!$H579),2))=0,"",IF(N(资金日记账!$H579)=0,"",ROUND(N(资金日记账!$H579),2))))</f>
        <v/>
      </c>
      <c r="P586" t="str">
        <f>IF($G586=0,"",IF(资金日记账!$L579=0,"",资金日记账!$L579))</f>
        <v/>
      </c>
      <c r="T586" t="str">
        <f>IF(资金日记账!$G586="","",资金日记账!$G586)</f>
        <v/>
      </c>
      <c r="U586">
        <f t="shared" si="111"/>
        <v>0</v>
      </c>
      <c r="V586">
        <f t="shared" si="112"/>
        <v>0</v>
      </c>
      <c r="AF586" t="str">
        <f>IF(OR(资金日记账!$E586="",N(资金日记账!$H586)=0),"",资金日记账!$E586)</f>
        <v/>
      </c>
      <c r="AG586">
        <f t="shared" si="113"/>
        <v>0</v>
      </c>
      <c r="AH586">
        <f t="shared" si="114"/>
        <v>0</v>
      </c>
    </row>
    <row r="587" spans="1:34">
      <c r="A587" t="str">
        <f>IF(资金日记账!$F285="","",资金日记账!$F285)</f>
        <v/>
      </c>
      <c r="B587">
        <f t="shared" si="107"/>
        <v>0</v>
      </c>
      <c r="C587">
        <f t="shared" si="108"/>
        <v>0</v>
      </c>
      <c r="G587">
        <f>IF(OR($G$1="",资金日记账!$E580="",资金日记账!$E580&lt;&gt;$G$1),0,IF(NOT(OR(N(资金日记账!$H580)&lt;&gt;0,N(资金日记账!$I580)&lt;&gt;0)),0,IF(资金日记账!$B580="",1,IF(OR(N(资金日记账!$B580)&lt;$H$1,N(资金日记账!$B580)&gt;$I$1),0,1))))</f>
        <v>0</v>
      </c>
      <c r="H587">
        <f t="shared" si="109"/>
        <v>0</v>
      </c>
      <c r="I587" t="str">
        <f>IF($G587=0,"",IF(资金日记账!$B580=0,"",资金日记账!$B580))</f>
        <v/>
      </c>
      <c r="J587" t="str">
        <f>IF($G587=0,"",IF(资金日记账!$D580=0,"",资金日记账!$D580))</f>
        <v/>
      </c>
      <c r="K587" t="str">
        <f t="shared" si="115"/>
        <v/>
      </c>
      <c r="L587" t="str">
        <f t="shared" si="116"/>
        <v/>
      </c>
      <c r="M587" t="str">
        <f t="shared" si="110"/>
        <v/>
      </c>
      <c r="N587" t="str">
        <f>IF($G587=0,"",IF(IF(N(资金日记账!$I580)=0,"",-ROUND(N(资金日记账!$I580),2))=0,"",IF(N(资金日记账!$I580)=0,"",-ROUND(N(资金日记账!$I580),2))))</f>
        <v/>
      </c>
      <c r="O587" t="str">
        <f>IF($G587=0,"",IF(IF(N(资金日记账!$H580)=0,"",ROUND(N(资金日记账!$H580),2))=0,"",IF(N(资金日记账!$H580)=0,"",ROUND(N(资金日记账!$H580),2))))</f>
        <v/>
      </c>
      <c r="P587" t="str">
        <f>IF($G587=0,"",IF(资金日记账!$L580=0,"",资金日记账!$L580))</f>
        <v/>
      </c>
      <c r="T587" t="str">
        <f>IF(资金日记账!$G587="","",资金日记账!$G587)</f>
        <v/>
      </c>
      <c r="U587">
        <f t="shared" si="111"/>
        <v>0</v>
      </c>
      <c r="V587">
        <f t="shared" si="112"/>
        <v>0</v>
      </c>
      <c r="AF587" t="str">
        <f>IF(OR(资金日记账!$E587="",N(资金日记账!$H587)=0),"",资金日记账!$E587)</f>
        <v/>
      </c>
      <c r="AG587">
        <f t="shared" si="113"/>
        <v>0</v>
      </c>
      <c r="AH587">
        <f t="shared" si="114"/>
        <v>0</v>
      </c>
    </row>
    <row r="588" spans="1:34">
      <c r="A588" t="str">
        <f>IF(资金日记账!$F286="","",资金日记账!$F286)</f>
        <v/>
      </c>
      <c r="B588">
        <f t="shared" si="107"/>
        <v>0</v>
      </c>
      <c r="C588">
        <f t="shared" si="108"/>
        <v>0</v>
      </c>
      <c r="G588">
        <f>IF(OR($G$1="",资金日记账!$E581="",资金日记账!$E581&lt;&gt;$G$1),0,IF(NOT(OR(N(资金日记账!$H581)&lt;&gt;0,N(资金日记账!$I581)&lt;&gt;0)),0,IF(资金日记账!$B581="",1,IF(OR(N(资金日记账!$B581)&lt;$H$1,N(资金日记账!$B581)&gt;$I$1),0,1))))</f>
        <v>0</v>
      </c>
      <c r="H588">
        <f t="shared" si="109"/>
        <v>0</v>
      </c>
      <c r="I588" t="str">
        <f>IF($G588=0,"",IF(资金日记账!$B581=0,"",资金日记账!$B581))</f>
        <v/>
      </c>
      <c r="J588" t="str">
        <f>IF($G588=0,"",IF(资金日记账!$D581=0,"",资金日记账!$D581))</f>
        <v/>
      </c>
      <c r="K588" t="str">
        <f t="shared" si="115"/>
        <v/>
      </c>
      <c r="L588" t="str">
        <f t="shared" si="116"/>
        <v/>
      </c>
      <c r="M588" t="str">
        <f t="shared" si="110"/>
        <v/>
      </c>
      <c r="N588" t="str">
        <f>IF($G588=0,"",IF(IF(N(资金日记账!$I581)=0,"",-ROUND(N(资金日记账!$I581),2))=0,"",IF(N(资金日记账!$I581)=0,"",-ROUND(N(资金日记账!$I581),2))))</f>
        <v/>
      </c>
      <c r="O588" t="str">
        <f>IF($G588=0,"",IF(IF(N(资金日记账!$H581)=0,"",ROUND(N(资金日记账!$H581),2))=0,"",IF(N(资金日记账!$H581)=0,"",ROUND(N(资金日记账!$H581),2))))</f>
        <v/>
      </c>
      <c r="P588" t="str">
        <f>IF($G588=0,"",IF(资金日记账!$L581=0,"",资金日记账!$L581))</f>
        <v/>
      </c>
      <c r="T588" t="str">
        <f>IF(资金日记账!$G588="","",资金日记账!$G588)</f>
        <v/>
      </c>
      <c r="U588">
        <f t="shared" si="111"/>
        <v>0</v>
      </c>
      <c r="V588">
        <f t="shared" si="112"/>
        <v>0</v>
      </c>
      <c r="AF588" t="str">
        <f>IF(OR(资金日记账!$E588="",N(资金日记账!$H588)=0),"",资金日记账!$E588)</f>
        <v/>
      </c>
      <c r="AG588">
        <f t="shared" si="113"/>
        <v>0</v>
      </c>
      <c r="AH588">
        <f t="shared" si="114"/>
        <v>0</v>
      </c>
    </row>
    <row r="589" spans="1:34">
      <c r="A589" t="str">
        <f>IF(资金日记账!$F287="","",资金日记账!$F287)</f>
        <v/>
      </c>
      <c r="B589">
        <f t="shared" si="107"/>
        <v>0</v>
      </c>
      <c r="C589">
        <f t="shared" si="108"/>
        <v>0</v>
      </c>
      <c r="G589">
        <f>IF(OR($G$1="",资金日记账!$E582="",资金日记账!$E582&lt;&gt;$G$1),0,IF(NOT(OR(N(资金日记账!$H582)&lt;&gt;0,N(资金日记账!$I582)&lt;&gt;0)),0,IF(资金日记账!$B582="",1,IF(OR(N(资金日记账!$B582)&lt;$H$1,N(资金日记账!$B582)&gt;$I$1),0,1))))</f>
        <v>0</v>
      </c>
      <c r="H589">
        <f t="shared" si="109"/>
        <v>0</v>
      </c>
      <c r="I589" t="str">
        <f>IF($G589=0,"",IF(资金日记账!$B582=0,"",资金日记账!$B582))</f>
        <v/>
      </c>
      <c r="J589" t="str">
        <f>IF($G589=0,"",IF(资金日记账!$D582=0,"",资金日记账!$D582))</f>
        <v/>
      </c>
      <c r="K589" t="str">
        <f t="shared" si="115"/>
        <v/>
      </c>
      <c r="L589" t="str">
        <f t="shared" si="116"/>
        <v/>
      </c>
      <c r="M589" t="str">
        <f t="shared" si="110"/>
        <v/>
      </c>
      <c r="N589" t="str">
        <f>IF($G589=0,"",IF(IF(N(资金日记账!$I582)=0,"",-ROUND(N(资金日记账!$I582),2))=0,"",IF(N(资金日记账!$I582)=0,"",-ROUND(N(资金日记账!$I582),2))))</f>
        <v/>
      </c>
      <c r="O589" t="str">
        <f>IF($G589=0,"",IF(IF(N(资金日记账!$H582)=0,"",ROUND(N(资金日记账!$H582),2))=0,"",IF(N(资金日记账!$H582)=0,"",ROUND(N(资金日记账!$H582),2))))</f>
        <v/>
      </c>
      <c r="P589" t="str">
        <f>IF($G589=0,"",IF(资金日记账!$L582=0,"",资金日记账!$L582))</f>
        <v/>
      </c>
      <c r="T589" t="str">
        <f>IF(资金日记账!$G589="","",资金日记账!$G589)</f>
        <v/>
      </c>
      <c r="U589">
        <f t="shared" si="111"/>
        <v>0</v>
      </c>
      <c r="V589">
        <f t="shared" si="112"/>
        <v>0</v>
      </c>
      <c r="AF589" t="str">
        <f>IF(OR(资金日记账!$E589="",N(资金日记账!$H589)=0),"",资金日记账!$E589)</f>
        <v/>
      </c>
      <c r="AG589">
        <f t="shared" si="113"/>
        <v>0</v>
      </c>
      <c r="AH589">
        <f t="shared" si="114"/>
        <v>0</v>
      </c>
    </row>
    <row r="590" spans="1:34">
      <c r="A590" t="str">
        <f>IF(资金日记账!$F288="","",资金日记账!$F288)</f>
        <v/>
      </c>
      <c r="B590">
        <f t="shared" si="107"/>
        <v>0</v>
      </c>
      <c r="C590">
        <f t="shared" si="108"/>
        <v>0</v>
      </c>
      <c r="G590">
        <f>IF(OR($G$1="",资金日记账!$E583="",资金日记账!$E583&lt;&gt;$G$1),0,IF(NOT(OR(N(资金日记账!$H583)&lt;&gt;0,N(资金日记账!$I583)&lt;&gt;0)),0,IF(资金日记账!$B583="",1,IF(OR(N(资金日记账!$B583)&lt;$H$1,N(资金日记账!$B583)&gt;$I$1),0,1))))</f>
        <v>0</v>
      </c>
      <c r="H590">
        <f t="shared" si="109"/>
        <v>0</v>
      </c>
      <c r="I590" t="str">
        <f>IF($G590=0,"",IF(资金日记账!$B583=0,"",资金日记账!$B583))</f>
        <v/>
      </c>
      <c r="J590" t="str">
        <f>IF($G590=0,"",IF(资金日记账!$D583=0,"",资金日记账!$D583))</f>
        <v/>
      </c>
      <c r="K590" t="str">
        <f t="shared" si="115"/>
        <v/>
      </c>
      <c r="L590" t="str">
        <f t="shared" si="116"/>
        <v/>
      </c>
      <c r="M590" t="str">
        <f t="shared" si="110"/>
        <v/>
      </c>
      <c r="N590" t="str">
        <f>IF($G590=0,"",IF(IF(N(资金日记账!$I583)=0,"",-ROUND(N(资金日记账!$I583),2))=0,"",IF(N(资金日记账!$I583)=0,"",-ROUND(N(资金日记账!$I583),2))))</f>
        <v/>
      </c>
      <c r="O590" t="str">
        <f>IF($G590=0,"",IF(IF(N(资金日记账!$H583)=0,"",ROUND(N(资金日记账!$H583),2))=0,"",IF(N(资金日记账!$H583)=0,"",ROUND(N(资金日记账!$H583),2))))</f>
        <v/>
      </c>
      <c r="P590" t="str">
        <f>IF($G590=0,"",IF(资金日记账!$L583=0,"",资金日记账!$L583))</f>
        <v/>
      </c>
      <c r="T590" t="str">
        <f>IF(资金日记账!$G590="","",资金日记账!$G590)</f>
        <v/>
      </c>
      <c r="U590">
        <f t="shared" si="111"/>
        <v>0</v>
      </c>
      <c r="V590">
        <f t="shared" si="112"/>
        <v>0</v>
      </c>
      <c r="AF590" t="str">
        <f>IF(OR(资金日记账!$E590="",N(资金日记账!$H590)=0),"",资金日记账!$E590)</f>
        <v/>
      </c>
      <c r="AG590">
        <f t="shared" si="113"/>
        <v>0</v>
      </c>
      <c r="AH590">
        <f t="shared" si="114"/>
        <v>0</v>
      </c>
    </row>
    <row r="591" spans="1:34">
      <c r="A591" t="str">
        <f>IF(资金日记账!$F289="","",资金日记账!$F289)</f>
        <v/>
      </c>
      <c r="B591">
        <f t="shared" si="107"/>
        <v>0</v>
      </c>
      <c r="C591">
        <f t="shared" si="108"/>
        <v>0</v>
      </c>
      <c r="G591">
        <f>IF(OR($G$1="",资金日记账!$E584="",资金日记账!$E584&lt;&gt;$G$1),0,IF(NOT(OR(N(资金日记账!$H584)&lt;&gt;0,N(资金日记账!$I584)&lt;&gt;0)),0,IF(资金日记账!$B584="",1,IF(OR(N(资金日记账!$B584)&lt;$H$1,N(资金日记账!$B584)&gt;$I$1),0,1))))</f>
        <v>0</v>
      </c>
      <c r="H591">
        <f t="shared" si="109"/>
        <v>0</v>
      </c>
      <c r="I591" t="str">
        <f>IF($G591=0,"",IF(资金日记账!$B584=0,"",资金日记账!$B584))</f>
        <v/>
      </c>
      <c r="J591" t="str">
        <f>IF($G591=0,"",IF(资金日记账!$D584=0,"",资金日记账!$D584))</f>
        <v/>
      </c>
      <c r="K591" t="str">
        <f t="shared" si="115"/>
        <v/>
      </c>
      <c r="L591" t="str">
        <f t="shared" si="116"/>
        <v/>
      </c>
      <c r="M591" t="str">
        <f t="shared" si="110"/>
        <v/>
      </c>
      <c r="N591" t="str">
        <f>IF($G591=0,"",IF(IF(N(资金日记账!$I584)=0,"",-ROUND(N(资金日记账!$I584),2))=0,"",IF(N(资金日记账!$I584)=0,"",-ROUND(N(资金日记账!$I584),2))))</f>
        <v/>
      </c>
      <c r="O591" t="str">
        <f>IF($G591=0,"",IF(IF(N(资金日记账!$H584)=0,"",ROUND(N(资金日记账!$H584),2))=0,"",IF(N(资金日记账!$H584)=0,"",ROUND(N(资金日记账!$H584),2))))</f>
        <v/>
      </c>
      <c r="P591" t="str">
        <f>IF($G591=0,"",IF(资金日记账!$L584=0,"",资金日记账!$L584))</f>
        <v/>
      </c>
      <c r="T591" t="str">
        <f>IF(资金日记账!$G591="","",资金日记账!$G591)</f>
        <v/>
      </c>
      <c r="U591">
        <f t="shared" si="111"/>
        <v>0</v>
      </c>
      <c r="V591">
        <f t="shared" si="112"/>
        <v>0</v>
      </c>
      <c r="AF591" t="str">
        <f>IF(OR(资金日记账!$E591="",N(资金日记账!$H591)=0),"",资金日记账!$E591)</f>
        <v/>
      </c>
      <c r="AG591">
        <f t="shared" si="113"/>
        <v>0</v>
      </c>
      <c r="AH591">
        <f t="shared" si="114"/>
        <v>0</v>
      </c>
    </row>
    <row r="592" spans="1:34">
      <c r="A592" t="str">
        <f>IF(资金日记账!$F290="","",资金日记账!$F290)</f>
        <v/>
      </c>
      <c r="B592">
        <f t="shared" si="107"/>
        <v>0</v>
      </c>
      <c r="C592">
        <f t="shared" si="108"/>
        <v>0</v>
      </c>
      <c r="G592">
        <f>IF(OR($G$1="",资金日记账!$E585="",资金日记账!$E585&lt;&gt;$G$1),0,IF(NOT(OR(N(资金日记账!$H585)&lt;&gt;0,N(资金日记账!$I585)&lt;&gt;0)),0,IF(资金日记账!$B585="",1,IF(OR(N(资金日记账!$B585)&lt;$H$1,N(资金日记账!$B585)&gt;$I$1),0,1))))</f>
        <v>0</v>
      </c>
      <c r="H592">
        <f t="shared" si="109"/>
        <v>0</v>
      </c>
      <c r="I592" t="str">
        <f>IF($G592=0,"",IF(资金日记账!$B585=0,"",资金日记账!$B585))</f>
        <v/>
      </c>
      <c r="J592" t="str">
        <f>IF($G592=0,"",IF(资金日记账!$D585=0,"",资金日记账!$D585))</f>
        <v/>
      </c>
      <c r="K592" t="str">
        <f t="shared" si="115"/>
        <v/>
      </c>
      <c r="L592" t="str">
        <f t="shared" si="116"/>
        <v/>
      </c>
      <c r="M592" t="str">
        <f t="shared" si="110"/>
        <v/>
      </c>
      <c r="N592" t="str">
        <f>IF($G592=0,"",IF(IF(N(资金日记账!$I585)=0,"",-ROUND(N(资金日记账!$I585),2))=0,"",IF(N(资金日记账!$I585)=0,"",-ROUND(N(资金日记账!$I585),2))))</f>
        <v/>
      </c>
      <c r="O592" t="str">
        <f>IF($G592=0,"",IF(IF(N(资金日记账!$H585)=0,"",ROUND(N(资金日记账!$H585),2))=0,"",IF(N(资金日记账!$H585)=0,"",ROUND(N(资金日记账!$H585),2))))</f>
        <v/>
      </c>
      <c r="P592" t="str">
        <f>IF($G592=0,"",IF(资金日记账!$L585=0,"",资金日记账!$L585))</f>
        <v/>
      </c>
      <c r="T592" t="str">
        <f>IF(资金日记账!$G592="","",资金日记账!$G592)</f>
        <v/>
      </c>
      <c r="U592">
        <f t="shared" si="111"/>
        <v>0</v>
      </c>
      <c r="V592">
        <f t="shared" si="112"/>
        <v>0</v>
      </c>
      <c r="AF592" t="str">
        <f>IF(OR(资金日记账!$E592="",N(资金日记账!$H592)=0),"",资金日记账!$E592)</f>
        <v/>
      </c>
      <c r="AG592">
        <f t="shared" si="113"/>
        <v>0</v>
      </c>
      <c r="AH592">
        <f t="shared" si="114"/>
        <v>0</v>
      </c>
    </row>
    <row r="593" spans="1:34">
      <c r="A593" t="str">
        <f>IF(资金日记账!$F291="","",资金日记账!$F291)</f>
        <v/>
      </c>
      <c r="B593">
        <f t="shared" si="107"/>
        <v>0</v>
      </c>
      <c r="C593">
        <f t="shared" si="108"/>
        <v>0</v>
      </c>
      <c r="G593">
        <f>IF(OR($G$1="",资金日记账!$E586="",资金日记账!$E586&lt;&gt;$G$1),0,IF(NOT(OR(N(资金日记账!$H586)&lt;&gt;0,N(资金日记账!$I586)&lt;&gt;0)),0,IF(资金日记账!$B586="",1,IF(OR(N(资金日记账!$B586)&lt;$H$1,N(资金日记账!$B586)&gt;$I$1),0,1))))</f>
        <v>0</v>
      </c>
      <c r="H593">
        <f t="shared" si="109"/>
        <v>0</v>
      </c>
      <c r="I593" t="str">
        <f>IF($G593=0,"",IF(资金日记账!$B586=0,"",资金日记账!$B586))</f>
        <v/>
      </c>
      <c r="J593" t="str">
        <f>IF($G593=0,"",IF(资金日记账!$D586=0,"",资金日记账!$D586))</f>
        <v/>
      </c>
      <c r="K593" t="str">
        <f t="shared" si="115"/>
        <v/>
      </c>
      <c r="L593" t="str">
        <f t="shared" si="116"/>
        <v/>
      </c>
      <c r="M593" t="str">
        <f t="shared" si="110"/>
        <v/>
      </c>
      <c r="N593" t="str">
        <f>IF($G593=0,"",IF(IF(N(资金日记账!$I586)=0,"",-ROUND(N(资金日记账!$I586),2))=0,"",IF(N(资金日记账!$I586)=0,"",-ROUND(N(资金日记账!$I586),2))))</f>
        <v/>
      </c>
      <c r="O593" t="str">
        <f>IF($G593=0,"",IF(IF(N(资金日记账!$H586)=0,"",ROUND(N(资金日记账!$H586),2))=0,"",IF(N(资金日记账!$H586)=0,"",ROUND(N(资金日记账!$H586),2))))</f>
        <v/>
      </c>
      <c r="P593" t="str">
        <f>IF($G593=0,"",IF(资金日记账!$L586=0,"",资金日记账!$L586))</f>
        <v/>
      </c>
      <c r="T593" t="str">
        <f>IF(资金日记账!$G593="","",资金日记账!$G593)</f>
        <v/>
      </c>
      <c r="U593">
        <f t="shared" si="111"/>
        <v>0</v>
      </c>
      <c r="V593">
        <f t="shared" si="112"/>
        <v>0</v>
      </c>
      <c r="AF593" t="str">
        <f>IF(OR(资金日记账!$E593="",N(资金日记账!$H593)=0),"",资金日记账!$E593)</f>
        <v/>
      </c>
      <c r="AG593">
        <f t="shared" si="113"/>
        <v>0</v>
      </c>
      <c r="AH593">
        <f t="shared" si="114"/>
        <v>0</v>
      </c>
    </row>
    <row r="594" spans="1:34">
      <c r="A594" t="str">
        <f>IF(资金日记账!$F292="","",资金日记账!$F292)</f>
        <v/>
      </c>
      <c r="B594">
        <f t="shared" si="107"/>
        <v>0</v>
      </c>
      <c r="C594">
        <f t="shared" si="108"/>
        <v>0</v>
      </c>
      <c r="G594">
        <f>IF(OR($G$1="",资金日记账!$E587="",资金日记账!$E587&lt;&gt;$G$1),0,IF(NOT(OR(N(资金日记账!$H587)&lt;&gt;0,N(资金日记账!$I587)&lt;&gt;0)),0,IF(资金日记账!$B587="",1,IF(OR(N(资金日记账!$B587)&lt;$H$1,N(资金日记账!$B587)&gt;$I$1),0,1))))</f>
        <v>0</v>
      </c>
      <c r="H594">
        <f t="shared" si="109"/>
        <v>0</v>
      </c>
      <c r="I594" t="str">
        <f>IF($G594=0,"",IF(资金日记账!$B587=0,"",资金日记账!$B587))</f>
        <v/>
      </c>
      <c r="J594" t="str">
        <f>IF($G594=0,"",IF(资金日记账!$D587=0,"",资金日记账!$D587))</f>
        <v/>
      </c>
      <c r="K594" t="str">
        <f t="shared" si="115"/>
        <v/>
      </c>
      <c r="L594" t="str">
        <f t="shared" si="116"/>
        <v/>
      </c>
      <c r="M594" t="str">
        <f t="shared" si="110"/>
        <v/>
      </c>
      <c r="N594" t="str">
        <f>IF($G594=0,"",IF(IF(N(资金日记账!$I587)=0,"",-ROUND(N(资金日记账!$I587),2))=0,"",IF(N(资金日记账!$I587)=0,"",-ROUND(N(资金日记账!$I587),2))))</f>
        <v/>
      </c>
      <c r="O594" t="str">
        <f>IF($G594=0,"",IF(IF(N(资金日记账!$H587)=0,"",ROUND(N(资金日记账!$H587),2))=0,"",IF(N(资金日记账!$H587)=0,"",ROUND(N(资金日记账!$H587),2))))</f>
        <v/>
      </c>
      <c r="P594" t="str">
        <f>IF($G594=0,"",IF(资金日记账!$L587=0,"",资金日记账!$L587))</f>
        <v/>
      </c>
      <c r="T594" t="str">
        <f>IF(资金日记账!$G594="","",资金日记账!$G594)</f>
        <v/>
      </c>
      <c r="U594">
        <f t="shared" si="111"/>
        <v>0</v>
      </c>
      <c r="V594">
        <f t="shared" si="112"/>
        <v>0</v>
      </c>
      <c r="AF594" t="str">
        <f>IF(OR(资金日记账!$E594="",N(资金日记账!$H594)=0),"",资金日记账!$E594)</f>
        <v/>
      </c>
      <c r="AG594">
        <f t="shared" si="113"/>
        <v>0</v>
      </c>
      <c r="AH594">
        <f t="shared" si="114"/>
        <v>0</v>
      </c>
    </row>
    <row r="595" spans="1:34">
      <c r="A595" t="str">
        <f>IF(资金日记账!$F293="","",资金日记账!$F293)</f>
        <v/>
      </c>
      <c r="B595">
        <f t="shared" si="107"/>
        <v>0</v>
      </c>
      <c r="C595">
        <f t="shared" si="108"/>
        <v>0</v>
      </c>
      <c r="G595">
        <f>IF(OR($G$1="",资金日记账!$E588="",资金日记账!$E588&lt;&gt;$G$1),0,IF(NOT(OR(N(资金日记账!$H588)&lt;&gt;0,N(资金日记账!$I588)&lt;&gt;0)),0,IF(资金日记账!$B588="",1,IF(OR(N(资金日记账!$B588)&lt;$H$1,N(资金日记账!$B588)&gt;$I$1),0,1))))</f>
        <v>0</v>
      </c>
      <c r="H595">
        <f t="shared" si="109"/>
        <v>0</v>
      </c>
      <c r="I595" t="str">
        <f>IF($G595=0,"",IF(资金日记账!$B588=0,"",资金日记账!$B588))</f>
        <v/>
      </c>
      <c r="J595" t="str">
        <f>IF($G595=0,"",IF(资金日记账!$D588=0,"",资金日记账!$D588))</f>
        <v/>
      </c>
      <c r="K595" t="str">
        <f t="shared" si="115"/>
        <v/>
      </c>
      <c r="L595" t="str">
        <f t="shared" si="116"/>
        <v/>
      </c>
      <c r="M595" t="str">
        <f t="shared" si="110"/>
        <v/>
      </c>
      <c r="N595" t="str">
        <f>IF($G595=0,"",IF(IF(N(资金日记账!$I588)=0,"",-ROUND(N(资金日记账!$I588),2))=0,"",IF(N(资金日记账!$I588)=0,"",-ROUND(N(资金日记账!$I588),2))))</f>
        <v/>
      </c>
      <c r="O595" t="str">
        <f>IF($G595=0,"",IF(IF(N(资金日记账!$H588)=0,"",ROUND(N(资金日记账!$H588),2))=0,"",IF(N(资金日记账!$H588)=0,"",ROUND(N(资金日记账!$H588),2))))</f>
        <v/>
      </c>
      <c r="P595" t="str">
        <f>IF($G595=0,"",IF(资金日记账!$L588=0,"",资金日记账!$L588))</f>
        <v/>
      </c>
      <c r="T595" t="str">
        <f>IF(资金日记账!$G595="","",资金日记账!$G595)</f>
        <v/>
      </c>
      <c r="U595">
        <f t="shared" si="111"/>
        <v>0</v>
      </c>
      <c r="V595">
        <f t="shared" si="112"/>
        <v>0</v>
      </c>
      <c r="AF595" t="str">
        <f>IF(OR(资金日记账!$E595="",N(资金日记账!$H595)=0),"",资金日记账!$E595)</f>
        <v/>
      </c>
      <c r="AG595">
        <f t="shared" si="113"/>
        <v>0</v>
      </c>
      <c r="AH595">
        <f t="shared" si="114"/>
        <v>0</v>
      </c>
    </row>
    <row r="596" spans="1:34">
      <c r="A596" t="str">
        <f>IF(资金日记账!$F294="","",资金日记账!$F294)</f>
        <v/>
      </c>
      <c r="B596">
        <f t="shared" si="107"/>
        <v>0</v>
      </c>
      <c r="C596">
        <f t="shared" si="108"/>
        <v>0</v>
      </c>
      <c r="G596">
        <f>IF(OR($G$1="",资金日记账!$E589="",资金日记账!$E589&lt;&gt;$G$1),0,IF(NOT(OR(N(资金日记账!$H589)&lt;&gt;0,N(资金日记账!$I589)&lt;&gt;0)),0,IF(资金日记账!$B589="",1,IF(OR(N(资金日记账!$B589)&lt;$H$1,N(资金日记账!$B589)&gt;$I$1),0,1))))</f>
        <v>0</v>
      </c>
      <c r="H596">
        <f t="shared" si="109"/>
        <v>0</v>
      </c>
      <c r="I596" t="str">
        <f>IF($G596=0,"",IF(资金日记账!$B589=0,"",资金日记账!$B589))</f>
        <v/>
      </c>
      <c r="J596" t="str">
        <f>IF($G596=0,"",IF(资金日记账!$D589=0,"",资金日记账!$D589))</f>
        <v/>
      </c>
      <c r="K596" t="str">
        <f t="shared" si="115"/>
        <v/>
      </c>
      <c r="L596" t="str">
        <f t="shared" si="116"/>
        <v/>
      </c>
      <c r="M596" t="str">
        <f t="shared" si="110"/>
        <v/>
      </c>
      <c r="N596" t="str">
        <f>IF($G596=0,"",IF(IF(N(资金日记账!$I589)=0,"",-ROUND(N(资金日记账!$I589),2))=0,"",IF(N(资金日记账!$I589)=0,"",-ROUND(N(资金日记账!$I589),2))))</f>
        <v/>
      </c>
      <c r="O596" t="str">
        <f>IF($G596=0,"",IF(IF(N(资金日记账!$H589)=0,"",ROUND(N(资金日记账!$H589),2))=0,"",IF(N(资金日记账!$H589)=0,"",ROUND(N(资金日记账!$H589),2))))</f>
        <v/>
      </c>
      <c r="P596" t="str">
        <f>IF($G596=0,"",IF(资金日记账!$L589=0,"",资金日记账!$L589))</f>
        <v/>
      </c>
      <c r="T596" t="str">
        <f>IF(资金日记账!$G596="","",资金日记账!$G596)</f>
        <v/>
      </c>
      <c r="U596">
        <f t="shared" si="111"/>
        <v>0</v>
      </c>
      <c r="V596">
        <f t="shared" si="112"/>
        <v>0</v>
      </c>
      <c r="AF596" t="str">
        <f>IF(OR(资金日记账!$E596="",N(资金日记账!$H596)=0),"",资金日记账!$E596)</f>
        <v/>
      </c>
      <c r="AG596">
        <f t="shared" si="113"/>
        <v>0</v>
      </c>
      <c r="AH596">
        <f t="shared" si="114"/>
        <v>0</v>
      </c>
    </row>
    <row r="597" spans="1:34">
      <c r="A597" t="str">
        <f>IF(资金日记账!$F295="","",资金日记账!$F295)</f>
        <v/>
      </c>
      <c r="B597">
        <f t="shared" si="107"/>
        <v>0</v>
      </c>
      <c r="C597">
        <f t="shared" si="108"/>
        <v>0</v>
      </c>
      <c r="G597">
        <f>IF(OR($G$1="",资金日记账!$E590="",资金日记账!$E590&lt;&gt;$G$1),0,IF(NOT(OR(N(资金日记账!$H590)&lt;&gt;0,N(资金日记账!$I590)&lt;&gt;0)),0,IF(资金日记账!$B590="",1,IF(OR(N(资金日记账!$B590)&lt;$H$1,N(资金日记账!$B590)&gt;$I$1),0,1))))</f>
        <v>0</v>
      </c>
      <c r="H597">
        <f t="shared" si="109"/>
        <v>0</v>
      </c>
      <c r="I597" t="str">
        <f>IF($G597=0,"",IF(资金日记账!$B590=0,"",资金日记账!$B590))</f>
        <v/>
      </c>
      <c r="J597" t="str">
        <f>IF($G597=0,"",IF(资金日记账!$D590=0,"",资金日记账!$D590))</f>
        <v/>
      </c>
      <c r="K597" t="str">
        <f t="shared" si="115"/>
        <v/>
      </c>
      <c r="L597" t="str">
        <f t="shared" si="116"/>
        <v/>
      </c>
      <c r="M597" t="str">
        <f t="shared" si="110"/>
        <v/>
      </c>
      <c r="N597" t="str">
        <f>IF($G597=0,"",IF(IF(N(资金日记账!$I590)=0,"",-ROUND(N(资金日记账!$I590),2))=0,"",IF(N(资金日记账!$I590)=0,"",-ROUND(N(资金日记账!$I590),2))))</f>
        <v/>
      </c>
      <c r="O597" t="str">
        <f>IF($G597=0,"",IF(IF(N(资金日记账!$H590)=0,"",ROUND(N(资金日记账!$H590),2))=0,"",IF(N(资金日记账!$H590)=0,"",ROUND(N(资金日记账!$H590),2))))</f>
        <v/>
      </c>
      <c r="P597" t="str">
        <f>IF($G597=0,"",IF(资金日记账!$L590=0,"",资金日记账!$L590))</f>
        <v/>
      </c>
      <c r="T597" t="str">
        <f>IF(资金日记账!$G597="","",资金日记账!$G597)</f>
        <v/>
      </c>
      <c r="U597">
        <f t="shared" si="111"/>
        <v>0</v>
      </c>
      <c r="V597">
        <f t="shared" si="112"/>
        <v>0</v>
      </c>
      <c r="AF597" t="str">
        <f>IF(OR(资金日记账!$E597="",N(资金日记账!$H597)=0),"",资金日记账!$E597)</f>
        <v/>
      </c>
      <c r="AG597">
        <f t="shared" si="113"/>
        <v>0</v>
      </c>
      <c r="AH597">
        <f t="shared" si="114"/>
        <v>0</v>
      </c>
    </row>
    <row r="598" spans="1:34">
      <c r="A598" t="str">
        <f>IF(资金日记账!$F296="","",资金日记账!$F296)</f>
        <v/>
      </c>
      <c r="B598">
        <f t="shared" si="107"/>
        <v>0</v>
      </c>
      <c r="C598">
        <f t="shared" si="108"/>
        <v>0</v>
      </c>
      <c r="G598">
        <f>IF(OR($G$1="",资金日记账!$E591="",资金日记账!$E591&lt;&gt;$G$1),0,IF(NOT(OR(N(资金日记账!$H591)&lt;&gt;0,N(资金日记账!$I591)&lt;&gt;0)),0,IF(资金日记账!$B591="",1,IF(OR(N(资金日记账!$B591)&lt;$H$1,N(资金日记账!$B591)&gt;$I$1),0,1))))</f>
        <v>0</v>
      </c>
      <c r="H598">
        <f t="shared" si="109"/>
        <v>0</v>
      </c>
      <c r="I598" t="str">
        <f>IF($G598=0,"",IF(资金日记账!$B591=0,"",资金日记账!$B591))</f>
        <v/>
      </c>
      <c r="J598" t="str">
        <f>IF($G598=0,"",IF(资金日记账!$D591=0,"",资金日记账!$D591))</f>
        <v/>
      </c>
      <c r="K598" t="str">
        <f t="shared" si="115"/>
        <v/>
      </c>
      <c r="L598" t="str">
        <f t="shared" si="116"/>
        <v/>
      </c>
      <c r="M598" t="str">
        <f t="shared" si="110"/>
        <v/>
      </c>
      <c r="N598" t="str">
        <f>IF($G598=0,"",IF(IF(N(资金日记账!$I591)=0,"",-ROUND(N(资金日记账!$I591),2))=0,"",IF(N(资金日记账!$I591)=0,"",-ROUND(N(资金日记账!$I591),2))))</f>
        <v/>
      </c>
      <c r="O598" t="str">
        <f>IF($G598=0,"",IF(IF(N(资金日记账!$H591)=0,"",ROUND(N(资金日记账!$H591),2))=0,"",IF(N(资金日记账!$H591)=0,"",ROUND(N(资金日记账!$H591),2))))</f>
        <v/>
      </c>
      <c r="P598" t="str">
        <f>IF($G598=0,"",IF(资金日记账!$L591=0,"",资金日记账!$L591))</f>
        <v/>
      </c>
      <c r="T598" t="str">
        <f>IF(资金日记账!$G598="","",资金日记账!$G598)</f>
        <v/>
      </c>
      <c r="U598">
        <f t="shared" si="111"/>
        <v>0</v>
      </c>
      <c r="V598">
        <f t="shared" si="112"/>
        <v>0</v>
      </c>
      <c r="AF598" t="str">
        <f>IF(OR(资金日记账!$E598="",N(资金日记账!$H598)=0),"",资金日记账!$E598)</f>
        <v/>
      </c>
      <c r="AG598">
        <f t="shared" si="113"/>
        <v>0</v>
      </c>
      <c r="AH598">
        <f t="shared" si="114"/>
        <v>0</v>
      </c>
    </row>
    <row r="599" spans="1:34">
      <c r="A599" t="str">
        <f>IF(资金日记账!$F297="","",资金日记账!$F297)</f>
        <v/>
      </c>
      <c r="B599">
        <f t="shared" si="107"/>
        <v>0</v>
      </c>
      <c r="C599">
        <f t="shared" si="108"/>
        <v>0</v>
      </c>
      <c r="G599">
        <f>IF(OR($G$1="",资金日记账!$E592="",资金日记账!$E592&lt;&gt;$G$1),0,IF(NOT(OR(N(资金日记账!$H592)&lt;&gt;0,N(资金日记账!$I592)&lt;&gt;0)),0,IF(资金日记账!$B592="",1,IF(OR(N(资金日记账!$B592)&lt;$H$1,N(资金日记账!$B592)&gt;$I$1),0,1))))</f>
        <v>0</v>
      </c>
      <c r="H599">
        <f t="shared" si="109"/>
        <v>0</v>
      </c>
      <c r="I599" t="str">
        <f>IF($G599=0,"",IF(资金日记账!$B592=0,"",资金日记账!$B592))</f>
        <v/>
      </c>
      <c r="J599" t="str">
        <f>IF($G599=0,"",IF(资金日记账!$D592=0,"",资金日记账!$D592))</f>
        <v/>
      </c>
      <c r="K599" t="str">
        <f t="shared" si="115"/>
        <v/>
      </c>
      <c r="L599" t="str">
        <f t="shared" si="116"/>
        <v/>
      </c>
      <c r="M599" t="str">
        <f t="shared" si="110"/>
        <v/>
      </c>
      <c r="N599" t="str">
        <f>IF($G599=0,"",IF(IF(N(资金日记账!$I592)=0,"",-ROUND(N(资金日记账!$I592),2))=0,"",IF(N(资金日记账!$I592)=0,"",-ROUND(N(资金日记账!$I592),2))))</f>
        <v/>
      </c>
      <c r="O599" t="str">
        <f>IF($G599=0,"",IF(IF(N(资金日记账!$H592)=0,"",ROUND(N(资金日记账!$H592),2))=0,"",IF(N(资金日记账!$H592)=0,"",ROUND(N(资金日记账!$H592),2))))</f>
        <v/>
      </c>
      <c r="P599" t="str">
        <f>IF($G599=0,"",IF(资金日记账!$L592=0,"",资金日记账!$L592))</f>
        <v/>
      </c>
      <c r="T599" t="str">
        <f>IF(资金日记账!$G599="","",资金日记账!$G599)</f>
        <v/>
      </c>
      <c r="U599">
        <f t="shared" si="111"/>
        <v>0</v>
      </c>
      <c r="V599">
        <f t="shared" si="112"/>
        <v>0</v>
      </c>
      <c r="AF599" t="str">
        <f>IF(OR(资金日记账!$E599="",N(资金日记账!$H599)=0),"",资金日记账!$E599)</f>
        <v/>
      </c>
      <c r="AG599">
        <f t="shared" si="113"/>
        <v>0</v>
      </c>
      <c r="AH599">
        <f t="shared" si="114"/>
        <v>0</v>
      </c>
    </row>
    <row r="600" spans="1:34">
      <c r="A600" t="str">
        <f>IF(资金日记账!$F298="","",资金日记账!$F298)</f>
        <v/>
      </c>
      <c r="B600">
        <f t="shared" si="107"/>
        <v>0</v>
      </c>
      <c r="C600">
        <f t="shared" si="108"/>
        <v>0</v>
      </c>
      <c r="G600">
        <f>IF(OR($G$1="",资金日记账!$E593="",资金日记账!$E593&lt;&gt;$G$1),0,IF(NOT(OR(N(资金日记账!$H593)&lt;&gt;0,N(资金日记账!$I593)&lt;&gt;0)),0,IF(资金日记账!$B593="",1,IF(OR(N(资金日记账!$B593)&lt;$H$1,N(资金日记账!$B593)&gt;$I$1),0,1))))</f>
        <v>0</v>
      </c>
      <c r="H600">
        <f t="shared" si="109"/>
        <v>0</v>
      </c>
      <c r="I600" t="str">
        <f>IF($G600=0,"",IF(资金日记账!$B593=0,"",资金日记账!$B593))</f>
        <v/>
      </c>
      <c r="J600" t="str">
        <f>IF($G600=0,"",IF(资金日记账!$D593=0,"",资金日记账!$D593))</f>
        <v/>
      </c>
      <c r="K600" t="str">
        <f t="shared" si="115"/>
        <v/>
      </c>
      <c r="L600" t="str">
        <f t="shared" si="116"/>
        <v/>
      </c>
      <c r="M600" t="str">
        <f t="shared" si="110"/>
        <v/>
      </c>
      <c r="N600" t="str">
        <f>IF($G600=0,"",IF(IF(N(资金日记账!$I593)=0,"",-ROUND(N(资金日记账!$I593),2))=0,"",IF(N(资金日记账!$I593)=0,"",-ROUND(N(资金日记账!$I593),2))))</f>
        <v/>
      </c>
      <c r="O600" t="str">
        <f>IF($G600=0,"",IF(IF(N(资金日记账!$H593)=0,"",ROUND(N(资金日记账!$H593),2))=0,"",IF(N(资金日记账!$H593)=0,"",ROUND(N(资金日记账!$H593),2))))</f>
        <v/>
      </c>
      <c r="P600" t="str">
        <f>IF($G600=0,"",IF(资金日记账!$L593=0,"",资金日记账!$L593))</f>
        <v/>
      </c>
      <c r="T600" t="str">
        <f>IF(资金日记账!$G600="","",资金日记账!$G600)</f>
        <v/>
      </c>
      <c r="U600">
        <f t="shared" si="111"/>
        <v>0</v>
      </c>
      <c r="V600">
        <f t="shared" si="112"/>
        <v>0</v>
      </c>
      <c r="AF600" t="str">
        <f>IF(OR(资金日记账!$E600="",N(资金日记账!$H600)=0),"",资金日记账!$E600)</f>
        <v/>
      </c>
      <c r="AG600">
        <f t="shared" si="113"/>
        <v>0</v>
      </c>
      <c r="AH600">
        <f t="shared" si="114"/>
        <v>0</v>
      </c>
    </row>
    <row r="601" spans="1:34">
      <c r="A601" t="str">
        <f>IF(资金日记账!$F299="","",资金日记账!$F299)</f>
        <v/>
      </c>
      <c r="B601">
        <f t="shared" si="107"/>
        <v>0</v>
      </c>
      <c r="C601">
        <f t="shared" si="108"/>
        <v>0</v>
      </c>
      <c r="G601">
        <f>IF(OR($G$1="",资金日记账!$E594="",资金日记账!$E594&lt;&gt;$G$1),0,IF(NOT(OR(N(资金日记账!$H594)&lt;&gt;0,N(资金日记账!$I594)&lt;&gt;0)),0,IF(资金日记账!$B594="",1,IF(OR(N(资金日记账!$B594)&lt;$H$1,N(资金日记账!$B594)&gt;$I$1),0,1))))</f>
        <v>0</v>
      </c>
      <c r="H601">
        <f t="shared" si="109"/>
        <v>0</v>
      </c>
      <c r="I601" t="str">
        <f>IF($G601=0,"",IF(资金日记账!$B594=0,"",资金日记账!$B594))</f>
        <v/>
      </c>
      <c r="J601" t="str">
        <f>IF($G601=0,"",IF(资金日记账!$D594=0,"",资金日记账!$D594))</f>
        <v/>
      </c>
      <c r="K601" t="str">
        <f t="shared" si="115"/>
        <v/>
      </c>
      <c r="L601" t="str">
        <f t="shared" si="116"/>
        <v/>
      </c>
      <c r="M601" t="str">
        <f t="shared" si="110"/>
        <v/>
      </c>
      <c r="N601" t="str">
        <f>IF($G601=0,"",IF(IF(N(资金日记账!$I594)=0,"",-ROUND(N(资金日记账!$I594),2))=0,"",IF(N(资金日记账!$I594)=0,"",-ROUND(N(资金日记账!$I594),2))))</f>
        <v/>
      </c>
      <c r="O601" t="str">
        <f>IF($G601=0,"",IF(IF(N(资金日记账!$H594)=0,"",ROUND(N(资金日记账!$H594),2))=0,"",IF(N(资金日记账!$H594)=0,"",ROUND(N(资金日记账!$H594),2))))</f>
        <v/>
      </c>
      <c r="P601" t="str">
        <f>IF($G601=0,"",IF(资金日记账!$L594=0,"",资金日记账!$L594))</f>
        <v/>
      </c>
      <c r="T601" t="str">
        <f>IF(资金日记账!$G601="","",资金日记账!$G601)</f>
        <v/>
      </c>
      <c r="U601">
        <f t="shared" si="111"/>
        <v>0</v>
      </c>
      <c r="V601">
        <f t="shared" si="112"/>
        <v>0</v>
      </c>
      <c r="AF601" t="str">
        <f>IF(OR(资金日记账!$E601="",N(资金日记账!$H601)=0),"",资金日记账!$E601)</f>
        <v/>
      </c>
      <c r="AG601">
        <f t="shared" si="113"/>
        <v>0</v>
      </c>
      <c r="AH601">
        <f t="shared" si="114"/>
        <v>0</v>
      </c>
    </row>
    <row r="602" spans="1:34">
      <c r="A602" t="str">
        <f>IF(资金日记账!$F300="","",资金日记账!$F300)</f>
        <v/>
      </c>
      <c r="B602">
        <f t="shared" si="107"/>
        <v>0</v>
      </c>
      <c r="C602">
        <f t="shared" si="108"/>
        <v>0</v>
      </c>
      <c r="G602">
        <f>IF(OR($G$1="",资金日记账!$E595="",资金日记账!$E595&lt;&gt;$G$1),0,IF(NOT(OR(N(资金日记账!$H595)&lt;&gt;0,N(资金日记账!$I595)&lt;&gt;0)),0,IF(资金日记账!$B595="",1,IF(OR(N(资金日记账!$B595)&lt;$H$1,N(资金日记账!$B595)&gt;$I$1),0,1))))</f>
        <v>0</v>
      </c>
      <c r="H602">
        <f t="shared" si="109"/>
        <v>0</v>
      </c>
      <c r="I602" t="str">
        <f>IF($G602=0,"",IF(资金日记账!$B595=0,"",资金日记账!$B595))</f>
        <v/>
      </c>
      <c r="J602" t="str">
        <f>IF($G602=0,"",IF(资金日记账!$D595=0,"",资金日记账!$D595))</f>
        <v/>
      </c>
      <c r="K602" t="str">
        <f t="shared" si="115"/>
        <v/>
      </c>
      <c r="L602" t="str">
        <f t="shared" si="116"/>
        <v/>
      </c>
      <c r="M602" t="str">
        <f t="shared" si="110"/>
        <v/>
      </c>
      <c r="N602" t="str">
        <f>IF($G602=0,"",IF(IF(N(资金日记账!$I595)=0,"",-ROUND(N(资金日记账!$I595),2))=0,"",IF(N(资金日记账!$I595)=0,"",-ROUND(N(资金日记账!$I595),2))))</f>
        <v/>
      </c>
      <c r="O602" t="str">
        <f>IF($G602=0,"",IF(IF(N(资金日记账!$H595)=0,"",ROUND(N(资金日记账!$H595),2))=0,"",IF(N(资金日记账!$H595)=0,"",ROUND(N(资金日记账!$H595),2))))</f>
        <v/>
      </c>
      <c r="P602" t="str">
        <f>IF($G602=0,"",IF(资金日记账!$L595=0,"",资金日记账!$L595))</f>
        <v/>
      </c>
      <c r="T602" t="str">
        <f>IF(资金日记账!$G602="","",资金日记账!$G602)</f>
        <v/>
      </c>
      <c r="U602">
        <f t="shared" si="111"/>
        <v>0</v>
      </c>
      <c r="V602">
        <f t="shared" si="112"/>
        <v>0</v>
      </c>
      <c r="AF602" t="str">
        <f>IF(OR(资金日记账!$E602="",N(资金日记账!$H602)=0),"",资金日记账!$E602)</f>
        <v/>
      </c>
      <c r="AG602">
        <f t="shared" si="113"/>
        <v>0</v>
      </c>
      <c r="AH602">
        <f t="shared" si="114"/>
        <v>0</v>
      </c>
    </row>
    <row r="603" spans="1:34">
      <c r="A603" t="str">
        <f>IF(资金日记账!$F301="","",资金日记账!$F301)</f>
        <v/>
      </c>
      <c r="B603">
        <f t="shared" si="107"/>
        <v>0</v>
      </c>
      <c r="C603">
        <f t="shared" si="108"/>
        <v>0</v>
      </c>
      <c r="G603">
        <f>IF(OR($G$1="",资金日记账!$E596="",资金日记账!$E596&lt;&gt;$G$1),0,IF(NOT(OR(N(资金日记账!$H596)&lt;&gt;0,N(资金日记账!$I596)&lt;&gt;0)),0,IF(资金日记账!$B596="",1,IF(OR(N(资金日记账!$B596)&lt;$H$1,N(资金日记账!$B596)&gt;$I$1),0,1))))</f>
        <v>0</v>
      </c>
      <c r="H603">
        <f t="shared" si="109"/>
        <v>0</v>
      </c>
      <c r="I603" t="str">
        <f>IF($G603=0,"",IF(资金日记账!$B596=0,"",资金日记账!$B596))</f>
        <v/>
      </c>
      <c r="J603" t="str">
        <f>IF($G603=0,"",IF(资金日记账!$D596=0,"",资金日记账!$D596))</f>
        <v/>
      </c>
      <c r="K603" t="str">
        <f t="shared" si="115"/>
        <v/>
      </c>
      <c r="L603" t="str">
        <f t="shared" si="116"/>
        <v/>
      </c>
      <c r="M603" t="str">
        <f t="shared" si="110"/>
        <v/>
      </c>
      <c r="N603" t="str">
        <f>IF($G603=0,"",IF(IF(N(资金日记账!$I596)=0,"",-ROUND(N(资金日记账!$I596),2))=0,"",IF(N(资金日记账!$I596)=0,"",-ROUND(N(资金日记账!$I596),2))))</f>
        <v/>
      </c>
      <c r="O603" t="str">
        <f>IF($G603=0,"",IF(IF(N(资金日记账!$H596)=0,"",ROUND(N(资金日记账!$H596),2))=0,"",IF(N(资金日记账!$H596)=0,"",ROUND(N(资金日记账!$H596),2))))</f>
        <v/>
      </c>
      <c r="P603" t="str">
        <f>IF($G603=0,"",IF(资金日记账!$L596=0,"",资金日记账!$L596))</f>
        <v/>
      </c>
      <c r="T603" t="str">
        <f>IF(资金日记账!$G603="","",资金日记账!$G603)</f>
        <v/>
      </c>
      <c r="U603">
        <f t="shared" si="111"/>
        <v>0</v>
      </c>
      <c r="V603">
        <f t="shared" si="112"/>
        <v>0</v>
      </c>
      <c r="AF603" t="str">
        <f>IF(OR(资金日记账!$E603="",N(资金日记账!$H603)=0),"",资金日记账!$E603)</f>
        <v/>
      </c>
      <c r="AG603">
        <f t="shared" si="113"/>
        <v>0</v>
      </c>
      <c r="AH603">
        <f t="shared" si="114"/>
        <v>0</v>
      </c>
    </row>
    <row r="604" spans="1:34">
      <c r="A604" t="str">
        <f>IF(资金日记账!$F302="","",资金日记账!$F302)</f>
        <v/>
      </c>
      <c r="B604">
        <f t="shared" si="107"/>
        <v>0</v>
      </c>
      <c r="C604">
        <f t="shared" si="108"/>
        <v>0</v>
      </c>
      <c r="G604">
        <f>IF(OR($G$1="",资金日记账!$E597="",资金日记账!$E597&lt;&gt;$G$1),0,IF(NOT(OR(N(资金日记账!$H597)&lt;&gt;0,N(资金日记账!$I597)&lt;&gt;0)),0,IF(资金日记账!$B597="",1,IF(OR(N(资金日记账!$B597)&lt;$H$1,N(资金日记账!$B597)&gt;$I$1),0,1))))</f>
        <v>0</v>
      </c>
      <c r="H604">
        <f t="shared" si="109"/>
        <v>0</v>
      </c>
      <c r="I604" t="str">
        <f>IF($G604=0,"",IF(资金日记账!$B597=0,"",资金日记账!$B597))</f>
        <v/>
      </c>
      <c r="J604" t="str">
        <f>IF($G604=0,"",IF(资金日记账!$D597=0,"",资金日记账!$D597))</f>
        <v/>
      </c>
      <c r="K604" t="str">
        <f t="shared" si="115"/>
        <v/>
      </c>
      <c r="L604" t="str">
        <f t="shared" si="116"/>
        <v/>
      </c>
      <c r="M604" t="str">
        <f t="shared" si="110"/>
        <v/>
      </c>
      <c r="N604" t="str">
        <f>IF($G604=0,"",IF(IF(N(资金日记账!$I597)=0,"",-ROUND(N(资金日记账!$I597),2))=0,"",IF(N(资金日记账!$I597)=0,"",-ROUND(N(资金日记账!$I597),2))))</f>
        <v/>
      </c>
      <c r="O604" t="str">
        <f>IF($G604=0,"",IF(IF(N(资金日记账!$H597)=0,"",ROUND(N(资金日记账!$H597),2))=0,"",IF(N(资金日记账!$H597)=0,"",ROUND(N(资金日记账!$H597),2))))</f>
        <v/>
      </c>
      <c r="P604" t="str">
        <f>IF($G604=0,"",IF(资金日记账!$L597=0,"",资金日记账!$L597))</f>
        <v/>
      </c>
      <c r="T604" t="str">
        <f>IF(成本费用登记表!$D4="","",成本费用登记表!$D4)</f>
        <v/>
      </c>
      <c r="U604">
        <f t="shared" si="111"/>
        <v>0</v>
      </c>
      <c r="V604">
        <f t="shared" si="112"/>
        <v>0</v>
      </c>
    </row>
    <row r="605" spans="1:34">
      <c r="A605" t="str">
        <f>IF(资金日记账!$F303="","",资金日记账!$F303)</f>
        <v/>
      </c>
      <c r="B605">
        <f t="shared" si="107"/>
        <v>0</v>
      </c>
      <c r="C605">
        <f t="shared" si="108"/>
        <v>0</v>
      </c>
      <c r="G605">
        <f>IF(OR($G$1="",资金日记账!$E598="",资金日记账!$E598&lt;&gt;$G$1),0,IF(NOT(OR(N(资金日记账!$H598)&lt;&gt;0,N(资金日记账!$I598)&lt;&gt;0)),0,IF(资金日记账!$B598="",1,IF(OR(N(资金日记账!$B598)&lt;$H$1,N(资金日记账!$B598)&gt;$I$1),0,1))))</f>
        <v>0</v>
      </c>
      <c r="H605">
        <f t="shared" si="109"/>
        <v>0</v>
      </c>
      <c r="I605" t="str">
        <f>IF($G605=0,"",IF(资金日记账!$B598=0,"",资金日记账!$B598))</f>
        <v/>
      </c>
      <c r="J605" t="str">
        <f>IF($G605=0,"",IF(资金日记账!$D598=0,"",资金日记账!$D598))</f>
        <v/>
      </c>
      <c r="K605" t="str">
        <f t="shared" si="115"/>
        <v/>
      </c>
      <c r="L605" t="str">
        <f t="shared" si="116"/>
        <v/>
      </c>
      <c r="M605" t="str">
        <f t="shared" si="110"/>
        <v/>
      </c>
      <c r="N605" t="str">
        <f>IF($G605=0,"",IF(IF(N(资金日记账!$I598)=0,"",-ROUND(N(资金日记账!$I598),2))=0,"",IF(N(资金日记账!$I598)=0,"",-ROUND(N(资金日记账!$I598),2))))</f>
        <v/>
      </c>
      <c r="O605" t="str">
        <f>IF($G605=0,"",IF(IF(N(资金日记账!$H598)=0,"",ROUND(N(资金日记账!$H598),2))=0,"",IF(N(资金日记账!$H598)=0,"",ROUND(N(资金日记账!$H598),2))))</f>
        <v/>
      </c>
      <c r="P605" t="str">
        <f>IF($G605=0,"",IF(资金日记账!$L598=0,"",资金日记账!$L598))</f>
        <v/>
      </c>
      <c r="T605" t="str">
        <f>IF(成本费用登记表!$D5="","",成本费用登记表!$D5)</f>
        <v/>
      </c>
      <c r="U605">
        <f t="shared" si="111"/>
        <v>0</v>
      </c>
      <c r="V605">
        <f t="shared" si="112"/>
        <v>0</v>
      </c>
    </row>
    <row r="606" spans="1:34">
      <c r="A606" t="str">
        <f>IF(资金日记账!$F304="","",资金日记账!$F304)</f>
        <v/>
      </c>
      <c r="B606">
        <f t="shared" si="107"/>
        <v>0</v>
      </c>
      <c r="C606">
        <f t="shared" si="108"/>
        <v>0</v>
      </c>
      <c r="G606">
        <f>IF(OR($G$1="",资金日记账!$E599="",资金日记账!$E599&lt;&gt;$G$1),0,IF(NOT(OR(N(资金日记账!$H599)&lt;&gt;0,N(资金日记账!$I599)&lt;&gt;0)),0,IF(资金日记账!$B599="",1,IF(OR(N(资金日记账!$B599)&lt;$H$1,N(资金日记账!$B599)&gt;$I$1),0,1))))</f>
        <v>0</v>
      </c>
      <c r="H606">
        <f t="shared" si="109"/>
        <v>0</v>
      </c>
      <c r="I606" t="str">
        <f>IF($G606=0,"",IF(资金日记账!$B599=0,"",资金日记账!$B599))</f>
        <v/>
      </c>
      <c r="J606" t="str">
        <f>IF($G606=0,"",IF(资金日记账!$D599=0,"",资金日记账!$D599))</f>
        <v/>
      </c>
      <c r="K606" t="str">
        <f t="shared" si="115"/>
        <v/>
      </c>
      <c r="L606" t="str">
        <f t="shared" si="116"/>
        <v/>
      </c>
      <c r="M606" t="str">
        <f t="shared" si="110"/>
        <v/>
      </c>
      <c r="N606" t="str">
        <f>IF($G606=0,"",IF(IF(N(资金日记账!$I599)=0,"",-ROUND(N(资金日记账!$I599),2))=0,"",IF(N(资金日记账!$I599)=0,"",-ROUND(N(资金日记账!$I599),2))))</f>
        <v/>
      </c>
      <c r="O606" t="str">
        <f>IF($G606=0,"",IF(IF(N(资金日记账!$H599)=0,"",ROUND(N(资金日记账!$H599),2))=0,"",IF(N(资金日记账!$H599)=0,"",ROUND(N(资金日记账!$H599),2))))</f>
        <v/>
      </c>
      <c r="P606" t="str">
        <f>IF($G606=0,"",IF(资金日记账!$L599=0,"",资金日记账!$L599))</f>
        <v/>
      </c>
      <c r="T606" t="str">
        <f>IF(成本费用登记表!$D6="","",成本费用登记表!$D6)</f>
        <v/>
      </c>
      <c r="U606">
        <f t="shared" si="111"/>
        <v>0</v>
      </c>
      <c r="V606">
        <f t="shared" si="112"/>
        <v>0</v>
      </c>
    </row>
    <row r="607" spans="1:34">
      <c r="A607" t="str">
        <f>IF(资金日记账!$F305="","",资金日记账!$F305)</f>
        <v/>
      </c>
      <c r="B607">
        <f t="shared" si="107"/>
        <v>0</v>
      </c>
      <c r="C607">
        <f t="shared" si="108"/>
        <v>0</v>
      </c>
      <c r="G607">
        <f>IF(OR($G$1="",资金日记账!$E600="",资金日记账!$E600&lt;&gt;$G$1),0,IF(NOT(OR(N(资金日记账!$H600)&lt;&gt;0,N(资金日记账!$I600)&lt;&gt;0)),0,IF(资金日记账!$B600="",1,IF(OR(N(资金日记账!$B600)&lt;$H$1,N(资金日记账!$B600)&gt;$I$1),0,1))))</f>
        <v>0</v>
      </c>
      <c r="H607">
        <f t="shared" si="109"/>
        <v>0</v>
      </c>
      <c r="I607" t="str">
        <f>IF($G607=0,"",IF(资金日记账!$B600=0,"",资金日记账!$B600))</f>
        <v/>
      </c>
      <c r="J607" t="str">
        <f>IF($G607=0,"",IF(资金日记账!$D600=0,"",资金日记账!$D600))</f>
        <v/>
      </c>
      <c r="K607" t="str">
        <f t="shared" si="115"/>
        <v/>
      </c>
      <c r="L607" t="str">
        <f t="shared" si="116"/>
        <v/>
      </c>
      <c r="M607" t="str">
        <f t="shared" si="110"/>
        <v/>
      </c>
      <c r="N607" t="str">
        <f>IF($G607=0,"",IF(IF(N(资金日记账!$I600)=0,"",-ROUND(N(资金日记账!$I600),2))=0,"",IF(N(资金日记账!$I600)=0,"",-ROUND(N(资金日记账!$I600),2))))</f>
        <v/>
      </c>
      <c r="O607" t="str">
        <f>IF($G607=0,"",IF(IF(N(资金日记账!$H600)=0,"",ROUND(N(资金日记账!$H600),2))=0,"",IF(N(资金日记账!$H600)=0,"",ROUND(N(资金日记账!$H600),2))))</f>
        <v/>
      </c>
      <c r="P607" t="str">
        <f>IF($G607=0,"",IF(资金日记账!$L600=0,"",资金日记账!$L600))</f>
        <v/>
      </c>
      <c r="T607" t="str">
        <f>IF(成本费用登记表!$D7="","",成本费用登记表!$D7)</f>
        <v/>
      </c>
      <c r="U607">
        <f t="shared" si="111"/>
        <v>0</v>
      </c>
      <c r="V607">
        <f t="shared" si="112"/>
        <v>0</v>
      </c>
    </row>
    <row r="608" spans="1:34">
      <c r="A608" t="str">
        <f>IF(资金日记账!$F306="","",资金日记账!$F306)</f>
        <v/>
      </c>
      <c r="B608">
        <f t="shared" si="107"/>
        <v>0</v>
      </c>
      <c r="C608">
        <f t="shared" si="108"/>
        <v>0</v>
      </c>
      <c r="G608">
        <f>IF(OR($G$1="",资金日记账!$E601="",资金日记账!$E601&lt;&gt;$G$1),0,IF(NOT(OR(N(资金日记账!$H601)&lt;&gt;0,N(资金日记账!$I601)&lt;&gt;0)),0,IF(资金日记账!$B601="",1,IF(OR(N(资金日记账!$B601)&lt;$H$1,N(资金日记账!$B601)&gt;$I$1),0,1))))</f>
        <v>0</v>
      </c>
      <c r="H608">
        <f t="shared" si="109"/>
        <v>0</v>
      </c>
      <c r="I608" t="str">
        <f>IF($G608=0,"",IF(资金日记账!$B601=0,"",资金日记账!$B601))</f>
        <v/>
      </c>
      <c r="J608" t="str">
        <f>IF($G608=0,"",IF(资金日记账!$D601=0,"",资金日记账!$D601))</f>
        <v/>
      </c>
      <c r="K608" t="str">
        <f t="shared" si="115"/>
        <v/>
      </c>
      <c r="L608" t="str">
        <f t="shared" si="116"/>
        <v/>
      </c>
      <c r="M608" t="str">
        <f t="shared" si="110"/>
        <v/>
      </c>
      <c r="N608" t="str">
        <f>IF($G608=0,"",IF(IF(N(资金日记账!$I601)=0,"",-ROUND(N(资金日记账!$I601),2))=0,"",IF(N(资金日记账!$I601)=0,"",-ROUND(N(资金日记账!$I601),2))))</f>
        <v/>
      </c>
      <c r="O608" t="str">
        <f>IF($G608=0,"",IF(IF(N(资金日记账!$H601)=0,"",ROUND(N(资金日记账!$H601),2))=0,"",IF(N(资金日记账!$H601)=0,"",ROUND(N(资金日记账!$H601),2))))</f>
        <v/>
      </c>
      <c r="P608" t="str">
        <f>IF($G608=0,"",IF(资金日记账!$L601=0,"",资金日记账!$L601))</f>
        <v/>
      </c>
      <c r="T608" t="str">
        <f>IF(成本费用登记表!$D8="","",成本费用登记表!$D8)</f>
        <v/>
      </c>
      <c r="U608">
        <f t="shared" si="111"/>
        <v>0</v>
      </c>
      <c r="V608">
        <f t="shared" si="112"/>
        <v>0</v>
      </c>
    </row>
    <row r="609" spans="1:22">
      <c r="A609" t="str">
        <f>IF(资金日记账!$F307="","",资金日记账!$F307)</f>
        <v/>
      </c>
      <c r="B609">
        <f t="shared" si="107"/>
        <v>0</v>
      </c>
      <c r="C609">
        <f t="shared" si="108"/>
        <v>0</v>
      </c>
      <c r="G609">
        <f>IF(OR($G$1="",资金日记账!$E602="",资金日记账!$E602&lt;&gt;$G$1),0,IF(NOT(OR(N(资金日记账!$H602)&lt;&gt;0,N(资金日记账!$I602)&lt;&gt;0)),0,IF(资金日记账!$B602="",1,IF(OR(N(资金日记账!$B602)&lt;$H$1,N(资金日记账!$B602)&gt;$I$1),0,1))))</f>
        <v>0</v>
      </c>
      <c r="H609">
        <f t="shared" si="109"/>
        <v>0</v>
      </c>
      <c r="I609" t="str">
        <f>IF($G609=0,"",IF(资金日记账!$B602=0,"",资金日记账!$B602))</f>
        <v/>
      </c>
      <c r="J609" t="str">
        <f>IF($G609=0,"",IF(资金日记账!$D602=0,"",资金日记账!$D602))</f>
        <v/>
      </c>
      <c r="K609" t="str">
        <f t="shared" si="115"/>
        <v/>
      </c>
      <c r="L609" t="str">
        <f t="shared" si="116"/>
        <v/>
      </c>
      <c r="M609" t="str">
        <f t="shared" si="110"/>
        <v/>
      </c>
      <c r="N609" t="str">
        <f>IF($G609=0,"",IF(IF(N(资金日记账!$I602)=0,"",-ROUND(N(资金日记账!$I602),2))=0,"",IF(N(资金日记账!$I602)=0,"",-ROUND(N(资金日记账!$I602),2))))</f>
        <v/>
      </c>
      <c r="O609" t="str">
        <f>IF($G609=0,"",IF(IF(N(资金日记账!$H602)=0,"",ROUND(N(资金日记账!$H602),2))=0,"",IF(N(资金日记账!$H602)=0,"",ROUND(N(资金日记账!$H602),2))))</f>
        <v/>
      </c>
      <c r="P609" t="str">
        <f>IF($G609=0,"",IF(资金日记账!$L602=0,"",资金日记账!$L602))</f>
        <v/>
      </c>
      <c r="T609" t="str">
        <f>IF(成本费用登记表!$D9="","",成本费用登记表!$D9)</f>
        <v/>
      </c>
      <c r="U609">
        <f t="shared" si="111"/>
        <v>0</v>
      </c>
      <c r="V609">
        <f t="shared" si="112"/>
        <v>0</v>
      </c>
    </row>
    <row r="610" spans="1:22">
      <c r="A610" t="str">
        <f>IF(资金日记账!$F308="","",资金日记账!$F308)</f>
        <v/>
      </c>
      <c r="B610">
        <f t="shared" si="107"/>
        <v>0</v>
      </c>
      <c r="C610">
        <f t="shared" si="108"/>
        <v>0</v>
      </c>
      <c r="G610">
        <f>IF(OR($G$1="",资金日记账!$E603="",资金日记账!$E603&lt;&gt;$G$1),0,IF(NOT(OR(N(资金日记账!$H603)&lt;&gt;0,N(资金日记账!$I603)&lt;&gt;0)),0,IF(资金日记账!$B603="",1,IF(OR(N(资金日记账!$B603)&lt;$H$1,N(资金日记账!$B603)&gt;$I$1),0,1))))</f>
        <v>0</v>
      </c>
      <c r="H610">
        <f t="shared" si="109"/>
        <v>0</v>
      </c>
      <c r="I610" t="str">
        <f>IF($G610=0,"",IF(资金日记账!$B603=0,"",资金日记账!$B603))</f>
        <v/>
      </c>
      <c r="J610" t="str">
        <f>IF($G610=0,"",IF(资金日记账!$D603=0,"",资金日记账!$D603))</f>
        <v/>
      </c>
      <c r="K610" t="str">
        <f t="shared" si="115"/>
        <v/>
      </c>
      <c r="L610" t="str">
        <f t="shared" si="116"/>
        <v/>
      </c>
      <c r="M610" t="str">
        <f t="shared" si="110"/>
        <v/>
      </c>
      <c r="N610" t="str">
        <f>IF($G610=0,"",IF(IF(N(资金日记账!$I603)=0,"",-ROUND(N(资金日记账!$I603),2))=0,"",IF(N(资金日记账!$I603)=0,"",-ROUND(N(资金日记账!$I603),2))))</f>
        <v/>
      </c>
      <c r="O610" t="str">
        <f>IF($G610=0,"",IF(IF(N(资金日记账!$H603)=0,"",ROUND(N(资金日记账!$H603),2))=0,"",IF(N(资金日记账!$H603)=0,"",ROUND(N(资金日记账!$H603),2))))</f>
        <v/>
      </c>
      <c r="P610" t="str">
        <f>IF($G610=0,"",IF(资金日记账!$L603=0,"",资金日记账!$L603))</f>
        <v/>
      </c>
      <c r="T610" t="str">
        <f>IF(成本费用登记表!$D10="","",成本费用登记表!$D10)</f>
        <v/>
      </c>
      <c r="U610">
        <f t="shared" si="111"/>
        <v>0</v>
      </c>
      <c r="V610">
        <f t="shared" si="112"/>
        <v>0</v>
      </c>
    </row>
    <row r="611" spans="1:22">
      <c r="A611" t="str">
        <f>IF(资金日记账!$F309="","",资金日记账!$F309)</f>
        <v/>
      </c>
      <c r="B611">
        <f t="shared" si="107"/>
        <v>0</v>
      </c>
      <c r="C611">
        <f t="shared" si="108"/>
        <v>0</v>
      </c>
      <c r="G611">
        <f>IF(OR($G$1="",对账补充行!$C4="",对账补充行!$C4&lt;&gt;$G$1),0,IF(NOT(OR(N(对账补充行!$H4)&lt;&gt;0,N(对账补充行!$I4)&lt;&gt;0)),0,IF(对账补充行!$B4="",1,IF(OR(N(对账补充行!$B4)&lt;$H$1,N(对账补充行!$B4)&gt;$I$1),0,1))))</f>
        <v>0</v>
      </c>
      <c r="H611">
        <f t="shared" si="109"/>
        <v>0</v>
      </c>
      <c r="I611" t="str">
        <f>IF($G611=0,"",IF(对账补充行!$B4=0,"",对账补充行!$B4))</f>
        <v/>
      </c>
      <c r="J611" t="str">
        <f>IF($G611=0,"",IF(对账补充行!$D4=0,"",对账补充行!$D4))</f>
        <v/>
      </c>
      <c r="K611" t="str">
        <f>IF($G611=0,"",IF(对账补充行!$E4=0,"",对账补充行!$E4))</f>
        <v/>
      </c>
      <c r="L611" t="str">
        <f>IF($G611=0,"",IF(对账补充行!$F4=0,"",对账补充行!$F4))</f>
        <v/>
      </c>
      <c r="M611" t="str">
        <f>IF($G611=0,"",IF(对账补充行!$G4=0,"",对账补充行!$G4))</f>
        <v/>
      </c>
      <c r="N611" t="str">
        <f>IF($G611=0,"",IF(对账补充行!$H4=0,"",对账补充行!$H4))</f>
        <v/>
      </c>
      <c r="O611" t="str">
        <f>IF($G611=0,"",IF(对账补充行!$I4=0,"",对账补充行!$I4))</f>
        <v/>
      </c>
      <c r="P611" t="str">
        <f>IF($G611=0,"",IF(对账补充行!$J4=0,"",对账补充行!$J4))</f>
        <v/>
      </c>
      <c r="T611" t="str">
        <f>IF(成本费用登记表!$D11="","",成本费用登记表!$D11)</f>
        <v/>
      </c>
      <c r="U611">
        <f t="shared" si="111"/>
        <v>0</v>
      </c>
      <c r="V611">
        <f t="shared" si="112"/>
        <v>0</v>
      </c>
    </row>
    <row r="612" spans="1:22">
      <c r="A612" t="str">
        <f>IF(资金日记账!$F310="","",资金日记账!$F310)</f>
        <v/>
      </c>
      <c r="B612">
        <f t="shared" si="107"/>
        <v>0</v>
      </c>
      <c r="C612">
        <f t="shared" si="108"/>
        <v>0</v>
      </c>
      <c r="G612">
        <f>IF(OR($G$1="",对账补充行!$C5="",对账补充行!$C5&lt;&gt;$G$1),0,IF(NOT(OR(N(对账补充行!$H5)&lt;&gt;0,N(对账补充行!$I5)&lt;&gt;0)),0,IF(对账补充行!$B5="",1,IF(OR(N(对账补充行!$B5)&lt;$H$1,N(对账补充行!$B5)&gt;$I$1),0,1))))</f>
        <v>0</v>
      </c>
      <c r="H612">
        <f t="shared" si="109"/>
        <v>0</v>
      </c>
      <c r="I612" t="str">
        <f>IF($G612=0,"",IF(对账补充行!$B5=0,"",对账补充行!$B5))</f>
        <v/>
      </c>
      <c r="J612" t="str">
        <f>IF($G612=0,"",IF(对账补充行!$D5=0,"",对账补充行!$D5))</f>
        <v/>
      </c>
      <c r="K612" t="str">
        <f>IF($G612=0,"",IF(对账补充行!$E5=0,"",对账补充行!$E5))</f>
        <v/>
      </c>
      <c r="L612" t="str">
        <f>IF($G612=0,"",IF(对账补充行!$F5=0,"",对账补充行!$F5))</f>
        <v/>
      </c>
      <c r="M612" t="str">
        <f>IF($G612=0,"",IF(对账补充行!$G5=0,"",对账补充行!$G5))</f>
        <v/>
      </c>
      <c r="N612" t="str">
        <f>IF($G612=0,"",IF(对账补充行!$H5=0,"",对账补充行!$H5))</f>
        <v/>
      </c>
      <c r="O612" t="str">
        <f>IF($G612=0,"",IF(对账补充行!$I5=0,"",对账补充行!$I5))</f>
        <v/>
      </c>
      <c r="P612" t="str">
        <f>IF($G612=0,"",IF(对账补充行!$J5=0,"",对账补充行!$J5))</f>
        <v/>
      </c>
      <c r="T612" t="str">
        <f>IF(成本费用登记表!$D12="","",成本费用登记表!$D12)</f>
        <v/>
      </c>
      <c r="U612">
        <f t="shared" si="111"/>
        <v>0</v>
      </c>
      <c r="V612">
        <f t="shared" si="112"/>
        <v>0</v>
      </c>
    </row>
    <row r="613" spans="1:22">
      <c r="A613" t="str">
        <f>IF(资金日记账!$F311="","",资金日记账!$F311)</f>
        <v/>
      </c>
      <c r="B613">
        <f t="shared" si="107"/>
        <v>0</v>
      </c>
      <c r="C613">
        <f t="shared" si="108"/>
        <v>0</v>
      </c>
      <c r="G613">
        <f>IF(OR($G$1="",对账补充行!$C6="",对账补充行!$C6&lt;&gt;$G$1),0,IF(NOT(OR(N(对账补充行!$H6)&lt;&gt;0,N(对账补充行!$I6)&lt;&gt;0)),0,IF(对账补充行!$B6="",1,IF(OR(N(对账补充行!$B6)&lt;$H$1,N(对账补充行!$B6)&gt;$I$1),0,1))))</f>
        <v>0</v>
      </c>
      <c r="H613">
        <f t="shared" si="109"/>
        <v>0</v>
      </c>
      <c r="I613" t="str">
        <f>IF($G613=0,"",IF(对账补充行!$B6=0,"",对账补充行!$B6))</f>
        <v/>
      </c>
      <c r="J613" t="str">
        <f>IF($G613=0,"",IF(对账补充行!$D6=0,"",对账补充行!$D6))</f>
        <v/>
      </c>
      <c r="K613" t="str">
        <f>IF($G613=0,"",IF(对账补充行!$E6=0,"",对账补充行!$E6))</f>
        <v/>
      </c>
      <c r="L613" t="str">
        <f>IF($G613=0,"",IF(对账补充行!$F6=0,"",对账补充行!$F6))</f>
        <v/>
      </c>
      <c r="M613" t="str">
        <f>IF($G613=0,"",IF(对账补充行!$G6=0,"",对账补充行!$G6))</f>
        <v/>
      </c>
      <c r="N613" t="str">
        <f>IF($G613=0,"",IF(对账补充行!$H6=0,"",对账补充行!$H6))</f>
        <v/>
      </c>
      <c r="O613" t="str">
        <f>IF($G613=0,"",IF(对账补充行!$I6=0,"",对账补充行!$I6))</f>
        <v/>
      </c>
      <c r="P613" t="str">
        <f>IF($G613=0,"",IF(对账补充行!$J6=0,"",对账补充行!$J6))</f>
        <v/>
      </c>
      <c r="T613" t="str">
        <f>IF(成本费用登记表!$D13="","",成本费用登记表!$D13)</f>
        <v/>
      </c>
      <c r="U613">
        <f t="shared" si="111"/>
        <v>0</v>
      </c>
      <c r="V613">
        <f t="shared" si="112"/>
        <v>0</v>
      </c>
    </row>
    <row r="614" spans="1:22">
      <c r="A614" t="str">
        <f>IF(资金日记账!$F312="","",资金日记账!$F312)</f>
        <v/>
      </c>
      <c r="B614">
        <f t="shared" si="107"/>
        <v>0</v>
      </c>
      <c r="C614">
        <f t="shared" si="108"/>
        <v>0</v>
      </c>
      <c r="G614">
        <f>IF(OR($G$1="",对账补充行!$C7="",对账补充行!$C7&lt;&gt;$G$1),0,IF(NOT(OR(N(对账补充行!$H7)&lt;&gt;0,N(对账补充行!$I7)&lt;&gt;0)),0,IF(对账补充行!$B7="",1,IF(OR(N(对账补充行!$B7)&lt;$H$1,N(对账补充行!$B7)&gt;$I$1),0,1))))</f>
        <v>0</v>
      </c>
      <c r="H614">
        <f t="shared" si="109"/>
        <v>0</v>
      </c>
      <c r="I614" t="str">
        <f>IF($G614=0,"",IF(对账补充行!$B7=0,"",对账补充行!$B7))</f>
        <v/>
      </c>
      <c r="J614" t="str">
        <f>IF($G614=0,"",IF(对账补充行!$D7=0,"",对账补充行!$D7))</f>
        <v/>
      </c>
      <c r="K614" t="str">
        <f>IF($G614=0,"",IF(对账补充行!$E7=0,"",对账补充行!$E7))</f>
        <v/>
      </c>
      <c r="L614" t="str">
        <f>IF($G614=0,"",IF(对账补充行!$F7=0,"",对账补充行!$F7))</f>
        <v/>
      </c>
      <c r="M614" t="str">
        <f>IF($G614=0,"",IF(对账补充行!$G7=0,"",对账补充行!$G7))</f>
        <v/>
      </c>
      <c r="N614" t="str">
        <f>IF($G614=0,"",IF(对账补充行!$H7=0,"",对账补充行!$H7))</f>
        <v/>
      </c>
      <c r="O614" t="str">
        <f>IF($G614=0,"",IF(对账补充行!$I7=0,"",对账补充行!$I7))</f>
        <v/>
      </c>
      <c r="P614" t="str">
        <f>IF($G614=0,"",IF(对账补充行!$J7=0,"",对账补充行!$J7))</f>
        <v/>
      </c>
      <c r="T614" t="str">
        <f>IF(成本费用登记表!$D14="","",成本费用登记表!$D14)</f>
        <v/>
      </c>
      <c r="U614">
        <f t="shared" si="111"/>
        <v>0</v>
      </c>
      <c r="V614">
        <f t="shared" si="112"/>
        <v>0</v>
      </c>
    </row>
    <row r="615" spans="1:22">
      <c r="A615" t="str">
        <f>IF(资金日记账!$F313="","",资金日记账!$F313)</f>
        <v/>
      </c>
      <c r="B615">
        <f t="shared" si="107"/>
        <v>0</v>
      </c>
      <c r="C615">
        <f t="shared" si="108"/>
        <v>0</v>
      </c>
      <c r="G615">
        <f>IF(OR($G$1="",对账补充行!$C8="",对账补充行!$C8&lt;&gt;$G$1),0,IF(NOT(OR(N(对账补充行!$H8)&lt;&gt;0,N(对账补充行!$I8)&lt;&gt;0)),0,IF(对账补充行!$B8="",1,IF(OR(N(对账补充行!$B8)&lt;$H$1,N(对账补充行!$B8)&gt;$I$1),0,1))))</f>
        <v>0</v>
      </c>
      <c r="H615">
        <f t="shared" si="109"/>
        <v>0</v>
      </c>
      <c r="I615" t="str">
        <f>IF($G615=0,"",IF(对账补充行!$B8=0,"",对账补充行!$B8))</f>
        <v/>
      </c>
      <c r="J615" t="str">
        <f>IF($G615=0,"",IF(对账补充行!$D8=0,"",对账补充行!$D8))</f>
        <v/>
      </c>
      <c r="K615" t="str">
        <f>IF($G615=0,"",IF(对账补充行!$E8=0,"",对账补充行!$E8))</f>
        <v/>
      </c>
      <c r="L615" t="str">
        <f>IF($G615=0,"",IF(对账补充行!$F8=0,"",对账补充行!$F8))</f>
        <v/>
      </c>
      <c r="M615" t="str">
        <f>IF($G615=0,"",IF(对账补充行!$G8=0,"",对账补充行!$G8))</f>
        <v/>
      </c>
      <c r="N615" t="str">
        <f>IF($G615=0,"",IF(对账补充行!$H8=0,"",对账补充行!$H8))</f>
        <v/>
      </c>
      <c r="O615" t="str">
        <f>IF($G615=0,"",IF(对账补充行!$I8=0,"",对账补充行!$I8))</f>
        <v/>
      </c>
      <c r="P615" t="str">
        <f>IF($G615=0,"",IF(对账补充行!$J8=0,"",对账补充行!$J8))</f>
        <v/>
      </c>
      <c r="T615" t="str">
        <f>IF(成本费用登记表!$D15="","",成本费用登记表!$D15)</f>
        <v/>
      </c>
      <c r="U615">
        <f t="shared" si="111"/>
        <v>0</v>
      </c>
      <c r="V615">
        <f t="shared" si="112"/>
        <v>0</v>
      </c>
    </row>
    <row r="616" spans="1:22">
      <c r="A616" t="str">
        <f>IF(资金日记账!$F314="","",资金日记账!$F314)</f>
        <v/>
      </c>
      <c r="B616">
        <f t="shared" si="107"/>
        <v>0</v>
      </c>
      <c r="C616">
        <f t="shared" si="108"/>
        <v>0</v>
      </c>
      <c r="G616">
        <f>IF(OR($G$1="",对账补充行!$C9="",对账补充行!$C9&lt;&gt;$G$1),0,IF(NOT(OR(N(对账补充行!$H9)&lt;&gt;0,N(对账补充行!$I9)&lt;&gt;0)),0,IF(对账补充行!$B9="",1,IF(OR(N(对账补充行!$B9)&lt;$H$1,N(对账补充行!$B9)&gt;$I$1),0,1))))</f>
        <v>0</v>
      </c>
      <c r="H616">
        <f t="shared" si="109"/>
        <v>0</v>
      </c>
      <c r="I616" t="str">
        <f>IF($G616=0,"",IF(对账补充行!$B9=0,"",对账补充行!$B9))</f>
        <v/>
      </c>
      <c r="J616" t="str">
        <f>IF($G616=0,"",IF(对账补充行!$D9=0,"",对账补充行!$D9))</f>
        <v/>
      </c>
      <c r="K616" t="str">
        <f>IF($G616=0,"",IF(对账补充行!$E9=0,"",对账补充行!$E9))</f>
        <v/>
      </c>
      <c r="L616" t="str">
        <f>IF($G616=0,"",IF(对账补充行!$F9=0,"",对账补充行!$F9))</f>
        <v/>
      </c>
      <c r="M616" t="str">
        <f>IF($G616=0,"",IF(对账补充行!$G9=0,"",对账补充行!$G9))</f>
        <v/>
      </c>
      <c r="N616" t="str">
        <f>IF($G616=0,"",IF(对账补充行!$H9=0,"",对账补充行!$H9))</f>
        <v/>
      </c>
      <c r="O616" t="str">
        <f>IF($G616=0,"",IF(对账补充行!$I9=0,"",对账补充行!$I9))</f>
        <v/>
      </c>
      <c r="P616" t="str">
        <f>IF($G616=0,"",IF(对账补充行!$J9=0,"",对账补充行!$J9))</f>
        <v/>
      </c>
      <c r="T616" t="str">
        <f>IF(成本费用登记表!$D16="","",成本费用登记表!$D16)</f>
        <v/>
      </c>
      <c r="U616">
        <f t="shared" si="111"/>
        <v>0</v>
      </c>
      <c r="V616">
        <f t="shared" si="112"/>
        <v>0</v>
      </c>
    </row>
    <row r="617" spans="1:22">
      <c r="A617" t="str">
        <f>IF(资金日记账!$F315="","",资金日记账!$F315)</f>
        <v/>
      </c>
      <c r="B617">
        <f t="shared" si="107"/>
        <v>0</v>
      </c>
      <c r="C617">
        <f t="shared" si="108"/>
        <v>0</v>
      </c>
      <c r="G617">
        <f>IF(OR($G$1="",对账补充行!$C10="",对账补充行!$C10&lt;&gt;$G$1),0,IF(NOT(OR(N(对账补充行!$H10)&lt;&gt;0,N(对账补充行!$I10)&lt;&gt;0)),0,IF(对账补充行!$B10="",1,IF(OR(N(对账补充行!$B10)&lt;$H$1,N(对账补充行!$B10)&gt;$I$1),0,1))))</f>
        <v>0</v>
      </c>
      <c r="H617">
        <f t="shared" si="109"/>
        <v>0</v>
      </c>
      <c r="I617" t="str">
        <f>IF($G617=0,"",IF(对账补充行!$B10=0,"",对账补充行!$B10))</f>
        <v/>
      </c>
      <c r="J617" t="str">
        <f>IF($G617=0,"",IF(对账补充行!$D10=0,"",对账补充行!$D10))</f>
        <v/>
      </c>
      <c r="K617" t="str">
        <f>IF($G617=0,"",IF(对账补充行!$E10=0,"",对账补充行!$E10))</f>
        <v/>
      </c>
      <c r="L617" t="str">
        <f>IF($G617=0,"",IF(对账补充行!$F10=0,"",对账补充行!$F10))</f>
        <v/>
      </c>
      <c r="M617" t="str">
        <f>IF($G617=0,"",IF(对账补充行!$G10=0,"",对账补充行!$G10))</f>
        <v/>
      </c>
      <c r="N617" t="str">
        <f>IF($G617=0,"",IF(对账补充行!$H10=0,"",对账补充行!$H10))</f>
        <v/>
      </c>
      <c r="O617" t="str">
        <f>IF($G617=0,"",IF(对账补充行!$I10=0,"",对账补充行!$I10))</f>
        <v/>
      </c>
      <c r="P617" t="str">
        <f>IF($G617=0,"",IF(对账补充行!$J10=0,"",对账补充行!$J10))</f>
        <v/>
      </c>
      <c r="T617" t="str">
        <f>IF(成本费用登记表!$D17="","",成本费用登记表!$D17)</f>
        <v/>
      </c>
      <c r="U617">
        <f t="shared" si="111"/>
        <v>0</v>
      </c>
      <c r="V617">
        <f t="shared" si="112"/>
        <v>0</v>
      </c>
    </row>
    <row r="618" spans="1:22">
      <c r="A618" t="str">
        <f>IF(资金日记账!$F316="","",资金日记账!$F316)</f>
        <v/>
      </c>
      <c r="B618">
        <f t="shared" si="107"/>
        <v>0</v>
      </c>
      <c r="C618">
        <f t="shared" si="108"/>
        <v>0</v>
      </c>
      <c r="G618">
        <f>IF(OR($G$1="",对账补充行!$C11="",对账补充行!$C11&lt;&gt;$G$1),0,IF(NOT(OR(N(对账补充行!$H11)&lt;&gt;0,N(对账补充行!$I11)&lt;&gt;0)),0,IF(对账补充行!$B11="",1,IF(OR(N(对账补充行!$B11)&lt;$H$1,N(对账补充行!$B11)&gt;$I$1),0,1))))</f>
        <v>0</v>
      </c>
      <c r="H618">
        <f t="shared" si="109"/>
        <v>0</v>
      </c>
      <c r="I618" t="str">
        <f>IF($G618=0,"",IF(对账补充行!$B11=0,"",对账补充行!$B11))</f>
        <v/>
      </c>
      <c r="J618" t="str">
        <f>IF($G618=0,"",IF(对账补充行!$D11=0,"",对账补充行!$D11))</f>
        <v/>
      </c>
      <c r="K618" t="str">
        <f>IF($G618=0,"",IF(对账补充行!$E11=0,"",对账补充行!$E11))</f>
        <v/>
      </c>
      <c r="L618" t="str">
        <f>IF($G618=0,"",IF(对账补充行!$F11=0,"",对账补充行!$F11))</f>
        <v/>
      </c>
      <c r="M618" t="str">
        <f>IF($G618=0,"",IF(对账补充行!$G11=0,"",对账补充行!$G11))</f>
        <v/>
      </c>
      <c r="N618" t="str">
        <f>IF($G618=0,"",IF(对账补充行!$H11=0,"",对账补充行!$H11))</f>
        <v/>
      </c>
      <c r="O618" t="str">
        <f>IF($G618=0,"",IF(对账补充行!$I11=0,"",对账补充行!$I11))</f>
        <v/>
      </c>
      <c r="P618" t="str">
        <f>IF($G618=0,"",IF(对账补充行!$J11=0,"",对账补充行!$J11))</f>
        <v/>
      </c>
      <c r="T618" t="str">
        <f>IF(成本费用登记表!$D18="","",成本费用登记表!$D18)</f>
        <v/>
      </c>
      <c r="U618">
        <f t="shared" si="111"/>
        <v>0</v>
      </c>
      <c r="V618">
        <f t="shared" si="112"/>
        <v>0</v>
      </c>
    </row>
    <row r="619" spans="1:22">
      <c r="A619" t="str">
        <f>IF(资金日记账!$F317="","",资金日记账!$F317)</f>
        <v/>
      </c>
      <c r="B619">
        <f t="shared" si="107"/>
        <v>0</v>
      </c>
      <c r="C619">
        <f t="shared" si="108"/>
        <v>0</v>
      </c>
      <c r="G619">
        <f>IF(OR($G$1="",对账补充行!$C12="",对账补充行!$C12&lt;&gt;$G$1),0,IF(NOT(OR(N(对账补充行!$H12)&lt;&gt;0,N(对账补充行!$I12)&lt;&gt;0)),0,IF(对账补充行!$B12="",1,IF(OR(N(对账补充行!$B12)&lt;$H$1,N(对账补充行!$B12)&gt;$I$1),0,1))))</f>
        <v>0</v>
      </c>
      <c r="H619">
        <f t="shared" si="109"/>
        <v>0</v>
      </c>
      <c r="I619" t="str">
        <f>IF($G619=0,"",IF(对账补充行!$B12=0,"",对账补充行!$B12))</f>
        <v/>
      </c>
      <c r="J619" t="str">
        <f>IF($G619=0,"",IF(对账补充行!$D12=0,"",对账补充行!$D12))</f>
        <v/>
      </c>
      <c r="K619" t="str">
        <f>IF($G619=0,"",IF(对账补充行!$E12=0,"",对账补充行!$E12))</f>
        <v/>
      </c>
      <c r="L619" t="str">
        <f>IF($G619=0,"",IF(对账补充行!$F12=0,"",对账补充行!$F12))</f>
        <v/>
      </c>
      <c r="M619" t="str">
        <f>IF($G619=0,"",IF(对账补充行!$G12=0,"",对账补充行!$G12))</f>
        <v/>
      </c>
      <c r="N619" t="str">
        <f>IF($G619=0,"",IF(对账补充行!$H12=0,"",对账补充行!$H12))</f>
        <v/>
      </c>
      <c r="O619" t="str">
        <f>IF($G619=0,"",IF(对账补充行!$I12=0,"",对账补充行!$I12))</f>
        <v/>
      </c>
      <c r="P619" t="str">
        <f>IF($G619=0,"",IF(对账补充行!$J12=0,"",对账补充行!$J12))</f>
        <v/>
      </c>
      <c r="T619" t="str">
        <f>IF(成本费用登记表!$D19="","",成本费用登记表!$D19)</f>
        <v/>
      </c>
      <c r="U619">
        <f t="shared" si="111"/>
        <v>0</v>
      </c>
      <c r="V619">
        <f t="shared" si="112"/>
        <v>0</v>
      </c>
    </row>
    <row r="620" spans="1:22">
      <c r="A620" t="str">
        <f>IF(资金日记账!$F318="","",资金日记账!$F318)</f>
        <v/>
      </c>
      <c r="B620">
        <f t="shared" si="107"/>
        <v>0</v>
      </c>
      <c r="C620">
        <f t="shared" si="108"/>
        <v>0</v>
      </c>
      <c r="G620">
        <f>IF(OR($G$1="",对账补充行!$C13="",对账补充行!$C13&lt;&gt;$G$1),0,IF(NOT(OR(N(对账补充行!$H13)&lt;&gt;0,N(对账补充行!$I13)&lt;&gt;0)),0,IF(对账补充行!$B13="",1,IF(OR(N(对账补充行!$B13)&lt;$H$1,N(对账补充行!$B13)&gt;$I$1),0,1))))</f>
        <v>0</v>
      </c>
      <c r="H620">
        <f t="shared" si="109"/>
        <v>0</v>
      </c>
      <c r="I620" t="str">
        <f>IF($G620=0,"",IF(对账补充行!$B13=0,"",对账补充行!$B13))</f>
        <v/>
      </c>
      <c r="J620" t="str">
        <f>IF($G620=0,"",IF(对账补充行!$D13=0,"",对账补充行!$D13))</f>
        <v/>
      </c>
      <c r="K620" t="str">
        <f>IF($G620=0,"",IF(对账补充行!$E13=0,"",对账补充行!$E13))</f>
        <v/>
      </c>
      <c r="L620" t="str">
        <f>IF($G620=0,"",IF(对账补充行!$F13=0,"",对账补充行!$F13))</f>
        <v/>
      </c>
      <c r="M620" t="str">
        <f>IF($G620=0,"",IF(对账补充行!$G13=0,"",对账补充行!$G13))</f>
        <v/>
      </c>
      <c r="N620" t="str">
        <f>IF($G620=0,"",IF(对账补充行!$H13=0,"",对账补充行!$H13))</f>
        <v/>
      </c>
      <c r="O620" t="str">
        <f>IF($G620=0,"",IF(对账补充行!$I13=0,"",对账补充行!$I13))</f>
        <v/>
      </c>
      <c r="P620" t="str">
        <f>IF($G620=0,"",IF(对账补充行!$J13=0,"",对账补充行!$J13))</f>
        <v/>
      </c>
      <c r="T620" t="str">
        <f>IF(成本费用登记表!$D20="","",成本费用登记表!$D20)</f>
        <v/>
      </c>
      <c r="U620">
        <f t="shared" si="111"/>
        <v>0</v>
      </c>
      <c r="V620">
        <f t="shared" si="112"/>
        <v>0</v>
      </c>
    </row>
    <row r="621" spans="1:22">
      <c r="A621" t="str">
        <f>IF(资金日记账!$F319="","",资金日记账!$F319)</f>
        <v/>
      </c>
      <c r="B621">
        <f t="shared" si="107"/>
        <v>0</v>
      </c>
      <c r="C621">
        <f t="shared" si="108"/>
        <v>0</v>
      </c>
      <c r="G621">
        <f>IF(OR($G$1="",对账补充行!$C14="",对账补充行!$C14&lt;&gt;$G$1),0,IF(NOT(OR(N(对账补充行!$H14)&lt;&gt;0,N(对账补充行!$I14)&lt;&gt;0)),0,IF(对账补充行!$B14="",1,IF(OR(N(对账补充行!$B14)&lt;$H$1,N(对账补充行!$B14)&gt;$I$1),0,1))))</f>
        <v>0</v>
      </c>
      <c r="H621">
        <f t="shared" si="109"/>
        <v>0</v>
      </c>
      <c r="I621" t="str">
        <f>IF($G621=0,"",IF(对账补充行!$B14=0,"",对账补充行!$B14))</f>
        <v/>
      </c>
      <c r="J621" t="str">
        <f>IF($G621=0,"",IF(对账补充行!$D14=0,"",对账补充行!$D14))</f>
        <v/>
      </c>
      <c r="K621" t="str">
        <f>IF($G621=0,"",IF(对账补充行!$E14=0,"",对账补充行!$E14))</f>
        <v/>
      </c>
      <c r="L621" t="str">
        <f>IF($G621=0,"",IF(对账补充行!$F14=0,"",对账补充行!$F14))</f>
        <v/>
      </c>
      <c r="M621" t="str">
        <f>IF($G621=0,"",IF(对账补充行!$G14=0,"",对账补充行!$G14))</f>
        <v/>
      </c>
      <c r="N621" t="str">
        <f>IF($G621=0,"",IF(对账补充行!$H14=0,"",对账补充行!$H14))</f>
        <v/>
      </c>
      <c r="O621" t="str">
        <f>IF($G621=0,"",IF(对账补充行!$I14=0,"",对账补充行!$I14))</f>
        <v/>
      </c>
      <c r="P621" t="str">
        <f>IF($G621=0,"",IF(对账补充行!$J14=0,"",对账补充行!$J14))</f>
        <v/>
      </c>
      <c r="T621" t="str">
        <f>IF(成本费用登记表!$D21="","",成本费用登记表!$D21)</f>
        <v/>
      </c>
      <c r="U621">
        <f t="shared" si="111"/>
        <v>0</v>
      </c>
      <c r="V621">
        <f t="shared" si="112"/>
        <v>0</v>
      </c>
    </row>
    <row r="622" spans="1:22">
      <c r="A622" t="str">
        <f>IF(资金日记账!$F320="","",资金日记账!$F320)</f>
        <v/>
      </c>
      <c r="B622">
        <f t="shared" si="107"/>
        <v>0</v>
      </c>
      <c r="C622">
        <f t="shared" si="108"/>
        <v>0</v>
      </c>
      <c r="G622">
        <f>IF(OR($G$1="",对账补充行!$C15="",对账补充行!$C15&lt;&gt;$G$1),0,IF(NOT(OR(N(对账补充行!$H15)&lt;&gt;0,N(对账补充行!$I15)&lt;&gt;0)),0,IF(对账补充行!$B15="",1,IF(OR(N(对账补充行!$B15)&lt;$H$1,N(对账补充行!$B15)&gt;$I$1),0,1))))</f>
        <v>0</v>
      </c>
      <c r="H622">
        <f t="shared" si="109"/>
        <v>0</v>
      </c>
      <c r="I622" t="str">
        <f>IF($G622=0,"",IF(对账补充行!$B15=0,"",对账补充行!$B15))</f>
        <v/>
      </c>
      <c r="J622" t="str">
        <f>IF($G622=0,"",IF(对账补充行!$D15=0,"",对账补充行!$D15))</f>
        <v/>
      </c>
      <c r="K622" t="str">
        <f>IF($G622=0,"",IF(对账补充行!$E15=0,"",对账补充行!$E15))</f>
        <v/>
      </c>
      <c r="L622" t="str">
        <f>IF($G622=0,"",IF(对账补充行!$F15=0,"",对账补充行!$F15))</f>
        <v/>
      </c>
      <c r="M622" t="str">
        <f>IF($G622=0,"",IF(对账补充行!$G15=0,"",对账补充行!$G15))</f>
        <v/>
      </c>
      <c r="N622" t="str">
        <f>IF($G622=0,"",IF(对账补充行!$H15=0,"",对账补充行!$H15))</f>
        <v/>
      </c>
      <c r="O622" t="str">
        <f>IF($G622=0,"",IF(对账补充行!$I15=0,"",对账补充行!$I15))</f>
        <v/>
      </c>
      <c r="P622" t="str">
        <f>IF($G622=0,"",IF(对账补充行!$J15=0,"",对账补充行!$J15))</f>
        <v/>
      </c>
      <c r="T622" t="str">
        <f>IF(成本费用登记表!$D22="","",成本费用登记表!$D22)</f>
        <v/>
      </c>
      <c r="U622">
        <f t="shared" si="111"/>
        <v>0</v>
      </c>
      <c r="V622">
        <f t="shared" si="112"/>
        <v>0</v>
      </c>
    </row>
    <row r="623" spans="1:22">
      <c r="A623" t="str">
        <f>IF(资金日记账!$F321="","",资金日记账!$F321)</f>
        <v/>
      </c>
      <c r="B623">
        <f t="shared" si="107"/>
        <v>0</v>
      </c>
      <c r="C623">
        <f t="shared" si="108"/>
        <v>0</v>
      </c>
      <c r="G623">
        <f>IF(OR($G$1="",对账补充行!$C16="",对账补充行!$C16&lt;&gt;$G$1),0,IF(NOT(OR(N(对账补充行!$H16)&lt;&gt;0,N(对账补充行!$I16)&lt;&gt;0)),0,IF(对账补充行!$B16="",1,IF(OR(N(对账补充行!$B16)&lt;$H$1,N(对账补充行!$B16)&gt;$I$1),0,1))))</f>
        <v>0</v>
      </c>
      <c r="H623">
        <f t="shared" si="109"/>
        <v>0</v>
      </c>
      <c r="I623" t="str">
        <f>IF($G623=0,"",IF(对账补充行!$B16=0,"",对账补充行!$B16))</f>
        <v/>
      </c>
      <c r="J623" t="str">
        <f>IF($G623=0,"",IF(对账补充行!$D16=0,"",对账补充行!$D16))</f>
        <v/>
      </c>
      <c r="K623" t="str">
        <f>IF($G623=0,"",IF(对账补充行!$E16=0,"",对账补充行!$E16))</f>
        <v/>
      </c>
      <c r="L623" t="str">
        <f>IF($G623=0,"",IF(对账补充行!$F16=0,"",对账补充行!$F16))</f>
        <v/>
      </c>
      <c r="M623" t="str">
        <f>IF($G623=0,"",IF(对账补充行!$G16=0,"",对账补充行!$G16))</f>
        <v/>
      </c>
      <c r="N623" t="str">
        <f>IF($G623=0,"",IF(对账补充行!$H16=0,"",对账补充行!$H16))</f>
        <v/>
      </c>
      <c r="O623" t="str">
        <f>IF($G623=0,"",IF(对账补充行!$I16=0,"",对账补充行!$I16))</f>
        <v/>
      </c>
      <c r="P623" t="str">
        <f>IF($G623=0,"",IF(对账补充行!$J16=0,"",对账补充行!$J16))</f>
        <v/>
      </c>
      <c r="T623" t="str">
        <f>IF(成本费用登记表!$D23="","",成本费用登记表!$D23)</f>
        <v/>
      </c>
      <c r="U623">
        <f t="shared" si="111"/>
        <v>0</v>
      </c>
      <c r="V623">
        <f t="shared" si="112"/>
        <v>0</v>
      </c>
    </row>
    <row r="624" spans="1:22">
      <c r="A624" t="str">
        <f>IF(资金日记账!$F322="","",资金日记账!$F322)</f>
        <v/>
      </c>
      <c r="B624">
        <f t="shared" si="107"/>
        <v>0</v>
      </c>
      <c r="C624">
        <f t="shared" si="108"/>
        <v>0</v>
      </c>
      <c r="G624">
        <f>IF(OR($G$1="",对账补充行!$C17="",对账补充行!$C17&lt;&gt;$G$1),0,IF(NOT(OR(N(对账补充行!$H17)&lt;&gt;0,N(对账补充行!$I17)&lt;&gt;0)),0,IF(对账补充行!$B17="",1,IF(OR(N(对账补充行!$B17)&lt;$H$1,N(对账补充行!$B17)&gt;$I$1),0,1))))</f>
        <v>0</v>
      </c>
      <c r="H624">
        <f t="shared" si="109"/>
        <v>0</v>
      </c>
      <c r="I624" t="str">
        <f>IF($G624=0,"",IF(对账补充行!$B17=0,"",对账补充行!$B17))</f>
        <v/>
      </c>
      <c r="J624" t="str">
        <f>IF($G624=0,"",IF(对账补充行!$D17=0,"",对账补充行!$D17))</f>
        <v/>
      </c>
      <c r="K624" t="str">
        <f>IF($G624=0,"",IF(对账补充行!$E17=0,"",对账补充行!$E17))</f>
        <v/>
      </c>
      <c r="L624" t="str">
        <f>IF($G624=0,"",IF(对账补充行!$F17=0,"",对账补充行!$F17))</f>
        <v/>
      </c>
      <c r="M624" t="str">
        <f>IF($G624=0,"",IF(对账补充行!$G17=0,"",对账补充行!$G17))</f>
        <v/>
      </c>
      <c r="N624" t="str">
        <f>IF($G624=0,"",IF(对账补充行!$H17=0,"",对账补充行!$H17))</f>
        <v/>
      </c>
      <c r="O624" t="str">
        <f>IF($G624=0,"",IF(对账补充行!$I17=0,"",对账补充行!$I17))</f>
        <v/>
      </c>
      <c r="P624" t="str">
        <f>IF($G624=0,"",IF(对账补充行!$J17=0,"",对账补充行!$J17))</f>
        <v/>
      </c>
      <c r="T624" t="str">
        <f>IF(成本费用登记表!$D24="","",成本费用登记表!$D24)</f>
        <v/>
      </c>
      <c r="U624">
        <f t="shared" si="111"/>
        <v>0</v>
      </c>
      <c r="V624">
        <f t="shared" si="112"/>
        <v>0</v>
      </c>
    </row>
    <row r="625" spans="1:22">
      <c r="A625" t="str">
        <f>IF(资金日记账!$F323="","",资金日记账!$F323)</f>
        <v/>
      </c>
      <c r="B625">
        <f t="shared" si="107"/>
        <v>0</v>
      </c>
      <c r="C625">
        <f t="shared" si="108"/>
        <v>0</v>
      </c>
      <c r="G625">
        <f>IF(OR($G$1="",对账补充行!$C18="",对账补充行!$C18&lt;&gt;$G$1),0,IF(NOT(OR(N(对账补充行!$H18)&lt;&gt;0,N(对账补充行!$I18)&lt;&gt;0)),0,IF(对账补充行!$B18="",1,IF(OR(N(对账补充行!$B18)&lt;$H$1,N(对账补充行!$B18)&gt;$I$1),0,1))))</f>
        <v>0</v>
      </c>
      <c r="H625">
        <f t="shared" si="109"/>
        <v>0</v>
      </c>
      <c r="I625" t="str">
        <f>IF($G625=0,"",IF(对账补充行!$B18=0,"",对账补充行!$B18))</f>
        <v/>
      </c>
      <c r="J625" t="str">
        <f>IF($G625=0,"",IF(对账补充行!$D18=0,"",对账补充行!$D18))</f>
        <v/>
      </c>
      <c r="K625" t="str">
        <f>IF($G625=0,"",IF(对账补充行!$E18=0,"",对账补充行!$E18))</f>
        <v/>
      </c>
      <c r="L625" t="str">
        <f>IF($G625=0,"",IF(对账补充行!$F18=0,"",对账补充行!$F18))</f>
        <v/>
      </c>
      <c r="M625" t="str">
        <f>IF($G625=0,"",IF(对账补充行!$G18=0,"",对账补充行!$G18))</f>
        <v/>
      </c>
      <c r="N625" t="str">
        <f>IF($G625=0,"",IF(对账补充行!$H18=0,"",对账补充行!$H18))</f>
        <v/>
      </c>
      <c r="O625" t="str">
        <f>IF($G625=0,"",IF(对账补充行!$I18=0,"",对账补充行!$I18))</f>
        <v/>
      </c>
      <c r="P625" t="str">
        <f>IF($G625=0,"",IF(对账补充行!$J18=0,"",对账补充行!$J18))</f>
        <v/>
      </c>
      <c r="T625" t="str">
        <f>IF(成本费用登记表!$D25="","",成本费用登记表!$D25)</f>
        <v/>
      </c>
      <c r="U625">
        <f t="shared" si="111"/>
        <v>0</v>
      </c>
      <c r="V625">
        <f t="shared" si="112"/>
        <v>0</v>
      </c>
    </row>
    <row r="626" spans="1:22">
      <c r="A626" t="str">
        <f>IF(资金日记账!$F324="","",资金日记账!$F324)</f>
        <v/>
      </c>
      <c r="B626">
        <f t="shared" si="107"/>
        <v>0</v>
      </c>
      <c r="C626">
        <f t="shared" si="108"/>
        <v>0</v>
      </c>
      <c r="G626">
        <f>IF(OR($G$1="",对账补充行!$C19="",对账补充行!$C19&lt;&gt;$G$1),0,IF(NOT(OR(N(对账补充行!$H19)&lt;&gt;0,N(对账补充行!$I19)&lt;&gt;0)),0,IF(对账补充行!$B19="",1,IF(OR(N(对账补充行!$B19)&lt;$H$1,N(对账补充行!$B19)&gt;$I$1),0,1))))</f>
        <v>0</v>
      </c>
      <c r="H626">
        <f t="shared" si="109"/>
        <v>0</v>
      </c>
      <c r="I626" t="str">
        <f>IF($G626=0,"",IF(对账补充行!$B19=0,"",对账补充行!$B19))</f>
        <v/>
      </c>
      <c r="J626" t="str">
        <f>IF($G626=0,"",IF(对账补充行!$D19=0,"",对账补充行!$D19))</f>
        <v/>
      </c>
      <c r="K626" t="str">
        <f>IF($G626=0,"",IF(对账补充行!$E19=0,"",对账补充行!$E19))</f>
        <v/>
      </c>
      <c r="L626" t="str">
        <f>IF($G626=0,"",IF(对账补充行!$F19=0,"",对账补充行!$F19))</f>
        <v/>
      </c>
      <c r="M626" t="str">
        <f>IF($G626=0,"",IF(对账补充行!$G19=0,"",对账补充行!$G19))</f>
        <v/>
      </c>
      <c r="N626" t="str">
        <f>IF($G626=0,"",IF(对账补充行!$H19=0,"",对账补充行!$H19))</f>
        <v/>
      </c>
      <c r="O626" t="str">
        <f>IF($G626=0,"",IF(对账补充行!$I19=0,"",对账补充行!$I19))</f>
        <v/>
      </c>
      <c r="P626" t="str">
        <f>IF($G626=0,"",IF(对账补充行!$J19=0,"",对账补充行!$J19))</f>
        <v/>
      </c>
      <c r="T626" t="str">
        <f>IF(成本费用登记表!$D26="","",成本费用登记表!$D26)</f>
        <v/>
      </c>
      <c r="U626">
        <f t="shared" si="111"/>
        <v>0</v>
      </c>
      <c r="V626">
        <f t="shared" si="112"/>
        <v>0</v>
      </c>
    </row>
    <row r="627" spans="1:22">
      <c r="A627" t="str">
        <f>IF(资金日记账!$F325="","",资金日记账!$F325)</f>
        <v/>
      </c>
      <c r="B627">
        <f t="shared" si="107"/>
        <v>0</v>
      </c>
      <c r="C627">
        <f t="shared" si="108"/>
        <v>0</v>
      </c>
      <c r="G627">
        <f>IF(OR($G$1="",对账补充行!$C20="",对账补充行!$C20&lt;&gt;$G$1),0,IF(NOT(OR(N(对账补充行!$H20)&lt;&gt;0,N(对账补充行!$I20)&lt;&gt;0)),0,IF(对账补充行!$B20="",1,IF(OR(N(对账补充行!$B20)&lt;$H$1,N(对账补充行!$B20)&gt;$I$1),0,1))))</f>
        <v>0</v>
      </c>
      <c r="H627">
        <f t="shared" si="109"/>
        <v>0</v>
      </c>
      <c r="I627" t="str">
        <f>IF($G627=0,"",IF(对账补充行!$B20=0,"",对账补充行!$B20))</f>
        <v/>
      </c>
      <c r="J627" t="str">
        <f>IF($G627=0,"",IF(对账补充行!$D20=0,"",对账补充行!$D20))</f>
        <v/>
      </c>
      <c r="K627" t="str">
        <f>IF($G627=0,"",IF(对账补充行!$E20=0,"",对账补充行!$E20))</f>
        <v/>
      </c>
      <c r="L627" t="str">
        <f>IF($G627=0,"",IF(对账补充行!$F20=0,"",对账补充行!$F20))</f>
        <v/>
      </c>
      <c r="M627" t="str">
        <f>IF($G627=0,"",IF(对账补充行!$G20=0,"",对账补充行!$G20))</f>
        <v/>
      </c>
      <c r="N627" t="str">
        <f>IF($G627=0,"",IF(对账补充行!$H20=0,"",对账补充行!$H20))</f>
        <v/>
      </c>
      <c r="O627" t="str">
        <f>IF($G627=0,"",IF(对账补充行!$I20=0,"",对账补充行!$I20))</f>
        <v/>
      </c>
      <c r="P627" t="str">
        <f>IF($G627=0,"",IF(对账补充行!$J20=0,"",对账补充行!$J20))</f>
        <v/>
      </c>
      <c r="T627" t="str">
        <f>IF(成本费用登记表!$D27="","",成本费用登记表!$D27)</f>
        <v/>
      </c>
      <c r="U627">
        <f t="shared" si="111"/>
        <v>0</v>
      </c>
      <c r="V627">
        <f t="shared" si="112"/>
        <v>0</v>
      </c>
    </row>
    <row r="628" spans="1:22">
      <c r="A628" t="str">
        <f>IF(资金日记账!$F326="","",资金日记账!$F326)</f>
        <v/>
      </c>
      <c r="B628">
        <f t="shared" si="107"/>
        <v>0</v>
      </c>
      <c r="C628">
        <f t="shared" si="108"/>
        <v>0</v>
      </c>
      <c r="G628">
        <f>IF(OR($G$1="",对账补充行!$C21="",对账补充行!$C21&lt;&gt;$G$1),0,IF(NOT(OR(N(对账补充行!$H21)&lt;&gt;0,N(对账补充行!$I21)&lt;&gt;0)),0,IF(对账补充行!$B21="",1,IF(OR(N(对账补充行!$B21)&lt;$H$1,N(对账补充行!$B21)&gt;$I$1),0,1))))</f>
        <v>0</v>
      </c>
      <c r="H628">
        <f t="shared" si="109"/>
        <v>0</v>
      </c>
      <c r="I628" t="str">
        <f>IF($G628=0,"",IF(对账补充行!$B21=0,"",对账补充行!$B21))</f>
        <v/>
      </c>
      <c r="J628" t="str">
        <f>IF($G628=0,"",IF(对账补充行!$D21=0,"",对账补充行!$D21))</f>
        <v/>
      </c>
      <c r="K628" t="str">
        <f>IF($G628=0,"",IF(对账补充行!$E21=0,"",对账补充行!$E21))</f>
        <v/>
      </c>
      <c r="L628" t="str">
        <f>IF($G628=0,"",IF(对账补充行!$F21=0,"",对账补充行!$F21))</f>
        <v/>
      </c>
      <c r="M628" t="str">
        <f>IF($G628=0,"",IF(对账补充行!$G21=0,"",对账补充行!$G21))</f>
        <v/>
      </c>
      <c r="N628" t="str">
        <f>IF($G628=0,"",IF(对账补充行!$H21=0,"",对账补充行!$H21))</f>
        <v/>
      </c>
      <c r="O628" t="str">
        <f>IF($G628=0,"",IF(对账补充行!$I21=0,"",对账补充行!$I21))</f>
        <v/>
      </c>
      <c r="P628" t="str">
        <f>IF($G628=0,"",IF(对账补充行!$J21=0,"",对账补充行!$J21))</f>
        <v/>
      </c>
      <c r="T628" t="str">
        <f>IF(成本费用登记表!$D28="","",成本费用登记表!$D28)</f>
        <v/>
      </c>
      <c r="U628">
        <f t="shared" si="111"/>
        <v>0</v>
      </c>
      <c r="V628">
        <f t="shared" si="112"/>
        <v>0</v>
      </c>
    </row>
    <row r="629" spans="1:22">
      <c r="A629" t="str">
        <f>IF(资金日记账!$F327="","",资金日记账!$F327)</f>
        <v/>
      </c>
      <c r="B629">
        <f t="shared" si="107"/>
        <v>0</v>
      </c>
      <c r="C629">
        <f t="shared" si="108"/>
        <v>0</v>
      </c>
      <c r="G629">
        <f>IF(OR($G$1="",对账补充行!$C22="",对账补充行!$C22&lt;&gt;$G$1),0,IF(NOT(OR(N(对账补充行!$H22)&lt;&gt;0,N(对账补充行!$I22)&lt;&gt;0)),0,IF(对账补充行!$B22="",1,IF(OR(N(对账补充行!$B22)&lt;$H$1,N(对账补充行!$B22)&gt;$I$1),0,1))))</f>
        <v>0</v>
      </c>
      <c r="H629">
        <f t="shared" si="109"/>
        <v>0</v>
      </c>
      <c r="I629" t="str">
        <f>IF($G629=0,"",IF(对账补充行!$B22=0,"",对账补充行!$B22))</f>
        <v/>
      </c>
      <c r="J629" t="str">
        <f>IF($G629=0,"",IF(对账补充行!$D22=0,"",对账补充行!$D22))</f>
        <v/>
      </c>
      <c r="K629" t="str">
        <f>IF($G629=0,"",IF(对账补充行!$E22=0,"",对账补充行!$E22))</f>
        <v/>
      </c>
      <c r="L629" t="str">
        <f>IF($G629=0,"",IF(对账补充行!$F22=0,"",对账补充行!$F22))</f>
        <v/>
      </c>
      <c r="M629" t="str">
        <f>IF($G629=0,"",IF(对账补充行!$G22=0,"",对账补充行!$G22))</f>
        <v/>
      </c>
      <c r="N629" t="str">
        <f>IF($G629=0,"",IF(对账补充行!$H22=0,"",对账补充行!$H22))</f>
        <v/>
      </c>
      <c r="O629" t="str">
        <f>IF($G629=0,"",IF(对账补充行!$I22=0,"",对账补充行!$I22))</f>
        <v/>
      </c>
      <c r="P629" t="str">
        <f>IF($G629=0,"",IF(对账补充行!$J22=0,"",对账补充行!$J22))</f>
        <v/>
      </c>
      <c r="T629" t="str">
        <f>IF(成本费用登记表!$D29="","",成本费用登记表!$D29)</f>
        <v/>
      </c>
      <c r="U629">
        <f t="shared" si="111"/>
        <v>0</v>
      </c>
      <c r="V629">
        <f t="shared" si="112"/>
        <v>0</v>
      </c>
    </row>
    <row r="630" spans="1:22">
      <c r="A630" t="str">
        <f>IF(资金日记账!$F328="","",资金日记账!$F328)</f>
        <v/>
      </c>
      <c r="B630">
        <f t="shared" si="107"/>
        <v>0</v>
      </c>
      <c r="C630">
        <f t="shared" si="108"/>
        <v>0</v>
      </c>
      <c r="G630">
        <f>IF(OR($G$1="",对账补充行!$C23="",对账补充行!$C23&lt;&gt;$G$1),0,IF(NOT(OR(N(对账补充行!$H23)&lt;&gt;0,N(对账补充行!$I23)&lt;&gt;0)),0,IF(对账补充行!$B23="",1,IF(OR(N(对账补充行!$B23)&lt;$H$1,N(对账补充行!$B23)&gt;$I$1),0,1))))</f>
        <v>0</v>
      </c>
      <c r="H630">
        <f t="shared" si="109"/>
        <v>0</v>
      </c>
      <c r="I630" t="str">
        <f>IF($G630=0,"",IF(对账补充行!$B23=0,"",对账补充行!$B23))</f>
        <v/>
      </c>
      <c r="J630" t="str">
        <f>IF($G630=0,"",IF(对账补充行!$D23=0,"",对账补充行!$D23))</f>
        <v/>
      </c>
      <c r="K630" t="str">
        <f>IF($G630=0,"",IF(对账补充行!$E23=0,"",对账补充行!$E23))</f>
        <v/>
      </c>
      <c r="L630" t="str">
        <f>IF($G630=0,"",IF(对账补充行!$F23=0,"",对账补充行!$F23))</f>
        <v/>
      </c>
      <c r="M630" t="str">
        <f>IF($G630=0,"",IF(对账补充行!$G23=0,"",对账补充行!$G23))</f>
        <v/>
      </c>
      <c r="N630" t="str">
        <f>IF($G630=0,"",IF(对账补充行!$H23=0,"",对账补充行!$H23))</f>
        <v/>
      </c>
      <c r="O630" t="str">
        <f>IF($G630=0,"",IF(对账补充行!$I23=0,"",对账补充行!$I23))</f>
        <v/>
      </c>
      <c r="P630" t="str">
        <f>IF($G630=0,"",IF(对账补充行!$J23=0,"",对账补充行!$J23))</f>
        <v/>
      </c>
      <c r="T630" t="str">
        <f>IF(成本费用登记表!$D30="","",成本费用登记表!$D30)</f>
        <v/>
      </c>
      <c r="U630">
        <f t="shared" si="111"/>
        <v>0</v>
      </c>
      <c r="V630">
        <f t="shared" si="112"/>
        <v>0</v>
      </c>
    </row>
    <row r="631" spans="1:22">
      <c r="A631" t="str">
        <f>IF(资金日记账!$F329="","",资金日记账!$F329)</f>
        <v/>
      </c>
      <c r="B631">
        <f t="shared" si="107"/>
        <v>0</v>
      </c>
      <c r="C631">
        <f t="shared" si="108"/>
        <v>0</v>
      </c>
      <c r="G631">
        <f>IF(OR($G$1="",对账补充行!$C24="",对账补充行!$C24&lt;&gt;$G$1),0,IF(NOT(OR(N(对账补充行!$H24)&lt;&gt;0,N(对账补充行!$I24)&lt;&gt;0)),0,IF(对账补充行!$B24="",1,IF(OR(N(对账补充行!$B24)&lt;$H$1,N(对账补充行!$B24)&gt;$I$1),0,1))))</f>
        <v>0</v>
      </c>
      <c r="H631">
        <f t="shared" si="109"/>
        <v>0</v>
      </c>
      <c r="I631" t="str">
        <f>IF($G631=0,"",IF(对账补充行!$B24=0,"",对账补充行!$B24))</f>
        <v/>
      </c>
      <c r="J631" t="str">
        <f>IF($G631=0,"",IF(对账补充行!$D24=0,"",对账补充行!$D24))</f>
        <v/>
      </c>
      <c r="K631" t="str">
        <f>IF($G631=0,"",IF(对账补充行!$E24=0,"",对账补充行!$E24))</f>
        <v/>
      </c>
      <c r="L631" t="str">
        <f>IF($G631=0,"",IF(对账补充行!$F24=0,"",对账补充行!$F24))</f>
        <v/>
      </c>
      <c r="M631" t="str">
        <f>IF($G631=0,"",IF(对账补充行!$G24=0,"",对账补充行!$G24))</f>
        <v/>
      </c>
      <c r="N631" t="str">
        <f>IF($G631=0,"",IF(对账补充行!$H24=0,"",对账补充行!$H24))</f>
        <v/>
      </c>
      <c r="O631" t="str">
        <f>IF($G631=0,"",IF(对账补充行!$I24=0,"",对账补充行!$I24))</f>
        <v/>
      </c>
      <c r="P631" t="str">
        <f>IF($G631=0,"",IF(对账补充行!$J24=0,"",对账补充行!$J24))</f>
        <v/>
      </c>
      <c r="T631" t="str">
        <f>IF(成本费用登记表!$D31="","",成本费用登记表!$D31)</f>
        <v/>
      </c>
      <c r="U631">
        <f t="shared" si="111"/>
        <v>0</v>
      </c>
      <c r="V631">
        <f t="shared" si="112"/>
        <v>0</v>
      </c>
    </row>
    <row r="632" spans="1:22">
      <c r="A632" t="str">
        <f>IF(资金日记账!$F330="","",资金日记账!$F330)</f>
        <v/>
      </c>
      <c r="B632">
        <f t="shared" si="107"/>
        <v>0</v>
      </c>
      <c r="C632">
        <f t="shared" si="108"/>
        <v>0</v>
      </c>
      <c r="G632">
        <f>IF(OR($G$1="",对账补充行!$C25="",对账补充行!$C25&lt;&gt;$G$1),0,IF(NOT(OR(N(对账补充行!$H25)&lt;&gt;0,N(对账补充行!$I25)&lt;&gt;0)),0,IF(对账补充行!$B25="",1,IF(OR(N(对账补充行!$B25)&lt;$H$1,N(对账补充行!$B25)&gt;$I$1),0,1))))</f>
        <v>0</v>
      </c>
      <c r="H632">
        <f t="shared" si="109"/>
        <v>0</v>
      </c>
      <c r="I632" t="str">
        <f>IF($G632=0,"",IF(对账补充行!$B25=0,"",对账补充行!$B25))</f>
        <v/>
      </c>
      <c r="J632" t="str">
        <f>IF($G632=0,"",IF(对账补充行!$D25=0,"",对账补充行!$D25))</f>
        <v/>
      </c>
      <c r="K632" t="str">
        <f>IF($G632=0,"",IF(对账补充行!$E25=0,"",对账补充行!$E25))</f>
        <v/>
      </c>
      <c r="L632" t="str">
        <f>IF($G632=0,"",IF(对账补充行!$F25=0,"",对账补充行!$F25))</f>
        <v/>
      </c>
      <c r="M632" t="str">
        <f>IF($G632=0,"",IF(对账补充行!$G25=0,"",对账补充行!$G25))</f>
        <v/>
      </c>
      <c r="N632" t="str">
        <f>IF($G632=0,"",IF(对账补充行!$H25=0,"",对账补充行!$H25))</f>
        <v/>
      </c>
      <c r="O632" t="str">
        <f>IF($G632=0,"",IF(对账补充行!$I25=0,"",对账补充行!$I25))</f>
        <v/>
      </c>
      <c r="P632" t="str">
        <f>IF($G632=0,"",IF(对账补充行!$J25=0,"",对账补充行!$J25))</f>
        <v/>
      </c>
      <c r="T632" t="str">
        <f>IF(成本费用登记表!$D32="","",成本费用登记表!$D32)</f>
        <v/>
      </c>
      <c r="U632">
        <f t="shared" si="111"/>
        <v>0</v>
      </c>
      <c r="V632">
        <f t="shared" si="112"/>
        <v>0</v>
      </c>
    </row>
    <row r="633" spans="1:22">
      <c r="A633" t="str">
        <f>IF(资金日记账!$F331="","",资金日记账!$F331)</f>
        <v/>
      </c>
      <c r="B633">
        <f t="shared" si="107"/>
        <v>0</v>
      </c>
      <c r="C633">
        <f t="shared" si="108"/>
        <v>0</v>
      </c>
      <c r="G633">
        <f>IF(OR($G$1="",对账补充行!$C26="",对账补充行!$C26&lt;&gt;$G$1),0,IF(NOT(OR(N(对账补充行!$H26)&lt;&gt;0,N(对账补充行!$I26)&lt;&gt;0)),0,IF(对账补充行!$B26="",1,IF(OR(N(对账补充行!$B26)&lt;$H$1,N(对账补充行!$B26)&gt;$I$1),0,1))))</f>
        <v>0</v>
      </c>
      <c r="H633">
        <f t="shared" si="109"/>
        <v>0</v>
      </c>
      <c r="I633" t="str">
        <f>IF($G633=0,"",IF(对账补充行!$B26=0,"",对账补充行!$B26))</f>
        <v/>
      </c>
      <c r="J633" t="str">
        <f>IF($G633=0,"",IF(对账补充行!$D26=0,"",对账补充行!$D26))</f>
        <v/>
      </c>
      <c r="K633" t="str">
        <f>IF($G633=0,"",IF(对账补充行!$E26=0,"",对账补充行!$E26))</f>
        <v/>
      </c>
      <c r="L633" t="str">
        <f>IF($G633=0,"",IF(对账补充行!$F26=0,"",对账补充行!$F26))</f>
        <v/>
      </c>
      <c r="M633" t="str">
        <f>IF($G633=0,"",IF(对账补充行!$G26=0,"",对账补充行!$G26))</f>
        <v/>
      </c>
      <c r="N633" t="str">
        <f>IF($G633=0,"",IF(对账补充行!$H26=0,"",对账补充行!$H26))</f>
        <v/>
      </c>
      <c r="O633" t="str">
        <f>IF($G633=0,"",IF(对账补充行!$I26=0,"",对账补充行!$I26))</f>
        <v/>
      </c>
      <c r="P633" t="str">
        <f>IF($G633=0,"",IF(对账补充行!$J26=0,"",对账补充行!$J26))</f>
        <v/>
      </c>
      <c r="T633" t="str">
        <f>IF(成本费用登记表!$D33="","",成本费用登记表!$D33)</f>
        <v/>
      </c>
      <c r="U633">
        <f t="shared" si="111"/>
        <v>0</v>
      </c>
      <c r="V633">
        <f t="shared" si="112"/>
        <v>0</v>
      </c>
    </row>
    <row r="634" spans="1:22">
      <c r="A634" t="str">
        <f>IF(资金日记账!$F332="","",资金日记账!$F332)</f>
        <v/>
      </c>
      <c r="B634">
        <f t="shared" si="107"/>
        <v>0</v>
      </c>
      <c r="C634">
        <f t="shared" si="108"/>
        <v>0</v>
      </c>
      <c r="G634">
        <f>IF(OR($G$1="",对账补充行!$C27="",对账补充行!$C27&lt;&gt;$G$1),0,IF(NOT(OR(N(对账补充行!$H27)&lt;&gt;0,N(对账补充行!$I27)&lt;&gt;0)),0,IF(对账补充行!$B27="",1,IF(OR(N(对账补充行!$B27)&lt;$H$1,N(对账补充行!$B27)&gt;$I$1),0,1))))</f>
        <v>0</v>
      </c>
      <c r="H634">
        <f t="shared" si="109"/>
        <v>0</v>
      </c>
      <c r="I634" t="str">
        <f>IF($G634=0,"",IF(对账补充行!$B27=0,"",对账补充行!$B27))</f>
        <v/>
      </c>
      <c r="J634" t="str">
        <f>IF($G634=0,"",IF(对账补充行!$D27=0,"",对账补充行!$D27))</f>
        <v/>
      </c>
      <c r="K634" t="str">
        <f>IF($G634=0,"",IF(对账补充行!$E27=0,"",对账补充行!$E27))</f>
        <v/>
      </c>
      <c r="L634" t="str">
        <f>IF($G634=0,"",IF(对账补充行!$F27=0,"",对账补充行!$F27))</f>
        <v/>
      </c>
      <c r="M634" t="str">
        <f>IF($G634=0,"",IF(对账补充行!$G27=0,"",对账补充行!$G27))</f>
        <v/>
      </c>
      <c r="N634" t="str">
        <f>IF($G634=0,"",IF(对账补充行!$H27=0,"",对账补充行!$H27))</f>
        <v/>
      </c>
      <c r="O634" t="str">
        <f>IF($G634=0,"",IF(对账补充行!$I27=0,"",对账补充行!$I27))</f>
        <v/>
      </c>
      <c r="P634" t="str">
        <f>IF($G634=0,"",IF(对账补充行!$J27=0,"",对账补充行!$J27))</f>
        <v/>
      </c>
      <c r="T634" t="str">
        <f>IF(成本费用登记表!$D34="","",成本费用登记表!$D34)</f>
        <v/>
      </c>
      <c r="U634">
        <f t="shared" si="111"/>
        <v>0</v>
      </c>
      <c r="V634">
        <f t="shared" si="112"/>
        <v>0</v>
      </c>
    </row>
    <row r="635" spans="1:22">
      <c r="A635" t="str">
        <f>IF(资金日记账!$F333="","",资金日记账!$F333)</f>
        <v/>
      </c>
      <c r="B635">
        <f t="shared" si="107"/>
        <v>0</v>
      </c>
      <c r="C635">
        <f t="shared" si="108"/>
        <v>0</v>
      </c>
      <c r="G635">
        <f>IF(OR($G$1="",对账补充行!$C28="",对账补充行!$C28&lt;&gt;$G$1),0,IF(NOT(OR(N(对账补充行!$H28)&lt;&gt;0,N(对账补充行!$I28)&lt;&gt;0)),0,IF(对账补充行!$B28="",1,IF(OR(N(对账补充行!$B28)&lt;$H$1,N(对账补充行!$B28)&gt;$I$1),0,1))))</f>
        <v>0</v>
      </c>
      <c r="H635">
        <f t="shared" si="109"/>
        <v>0</v>
      </c>
      <c r="I635" t="str">
        <f>IF($G635=0,"",IF(对账补充行!$B28=0,"",对账补充行!$B28))</f>
        <v/>
      </c>
      <c r="J635" t="str">
        <f>IF($G635=0,"",IF(对账补充行!$D28=0,"",对账补充行!$D28))</f>
        <v/>
      </c>
      <c r="K635" t="str">
        <f>IF($G635=0,"",IF(对账补充行!$E28=0,"",对账补充行!$E28))</f>
        <v/>
      </c>
      <c r="L635" t="str">
        <f>IF($G635=0,"",IF(对账补充行!$F28=0,"",对账补充行!$F28))</f>
        <v/>
      </c>
      <c r="M635" t="str">
        <f>IF($G635=0,"",IF(对账补充行!$G28=0,"",对账补充行!$G28))</f>
        <v/>
      </c>
      <c r="N635" t="str">
        <f>IF($G635=0,"",IF(对账补充行!$H28=0,"",对账补充行!$H28))</f>
        <v/>
      </c>
      <c r="O635" t="str">
        <f>IF($G635=0,"",IF(对账补充行!$I28=0,"",对账补充行!$I28))</f>
        <v/>
      </c>
      <c r="P635" t="str">
        <f>IF($G635=0,"",IF(对账补充行!$J28=0,"",对账补充行!$J28))</f>
        <v/>
      </c>
      <c r="T635" t="str">
        <f>IF(成本费用登记表!$D35="","",成本费用登记表!$D35)</f>
        <v/>
      </c>
      <c r="U635">
        <f t="shared" si="111"/>
        <v>0</v>
      </c>
      <c r="V635">
        <f t="shared" si="112"/>
        <v>0</v>
      </c>
    </row>
    <row r="636" spans="1:22">
      <c r="A636" t="str">
        <f>IF(资金日记账!$F334="","",资金日记账!$F334)</f>
        <v/>
      </c>
      <c r="B636">
        <f t="shared" si="107"/>
        <v>0</v>
      </c>
      <c r="C636">
        <f t="shared" si="108"/>
        <v>0</v>
      </c>
      <c r="G636">
        <f>IF(OR($G$1="",对账补充行!$C29="",对账补充行!$C29&lt;&gt;$G$1),0,IF(NOT(OR(N(对账补充行!$H29)&lt;&gt;0,N(对账补充行!$I29)&lt;&gt;0)),0,IF(对账补充行!$B29="",1,IF(OR(N(对账补充行!$B29)&lt;$H$1,N(对账补充行!$B29)&gt;$I$1),0,1))))</f>
        <v>0</v>
      </c>
      <c r="H636">
        <f t="shared" si="109"/>
        <v>0</v>
      </c>
      <c r="I636" t="str">
        <f>IF($G636=0,"",IF(对账补充行!$B29=0,"",对账补充行!$B29))</f>
        <v/>
      </c>
      <c r="J636" t="str">
        <f>IF($G636=0,"",IF(对账补充行!$D29=0,"",对账补充行!$D29))</f>
        <v/>
      </c>
      <c r="K636" t="str">
        <f>IF($G636=0,"",IF(对账补充行!$E29=0,"",对账补充行!$E29))</f>
        <v/>
      </c>
      <c r="L636" t="str">
        <f>IF($G636=0,"",IF(对账补充行!$F29=0,"",对账补充行!$F29))</f>
        <v/>
      </c>
      <c r="M636" t="str">
        <f>IF($G636=0,"",IF(对账补充行!$G29=0,"",对账补充行!$G29))</f>
        <v/>
      </c>
      <c r="N636" t="str">
        <f>IF($G636=0,"",IF(对账补充行!$H29=0,"",对账补充行!$H29))</f>
        <v/>
      </c>
      <c r="O636" t="str">
        <f>IF($G636=0,"",IF(对账补充行!$I29=0,"",对账补充行!$I29))</f>
        <v/>
      </c>
      <c r="P636" t="str">
        <f>IF($G636=0,"",IF(对账补充行!$J29=0,"",对账补充行!$J29))</f>
        <v/>
      </c>
      <c r="T636" t="str">
        <f>IF(成本费用登记表!$D36="","",成本费用登记表!$D36)</f>
        <v/>
      </c>
      <c r="U636">
        <f t="shared" si="111"/>
        <v>0</v>
      </c>
      <c r="V636">
        <f t="shared" si="112"/>
        <v>0</v>
      </c>
    </row>
    <row r="637" spans="1:22">
      <c r="A637" t="str">
        <f>IF(资金日记账!$F335="","",资金日记账!$F335)</f>
        <v/>
      </c>
      <c r="B637">
        <f t="shared" si="107"/>
        <v>0</v>
      </c>
      <c r="C637">
        <f t="shared" si="108"/>
        <v>0</v>
      </c>
      <c r="G637">
        <f>IF(OR($G$1="",对账补充行!$C30="",对账补充行!$C30&lt;&gt;$G$1),0,IF(NOT(OR(N(对账补充行!$H30)&lt;&gt;0,N(对账补充行!$I30)&lt;&gt;0)),0,IF(对账补充行!$B30="",1,IF(OR(N(对账补充行!$B30)&lt;$H$1,N(对账补充行!$B30)&gt;$I$1),0,1))))</f>
        <v>0</v>
      </c>
      <c r="H637">
        <f t="shared" si="109"/>
        <v>0</v>
      </c>
      <c r="I637" t="str">
        <f>IF($G637=0,"",IF(对账补充行!$B30=0,"",对账补充行!$B30))</f>
        <v/>
      </c>
      <c r="J637" t="str">
        <f>IF($G637=0,"",IF(对账补充行!$D30=0,"",对账补充行!$D30))</f>
        <v/>
      </c>
      <c r="K637" t="str">
        <f>IF($G637=0,"",IF(对账补充行!$E30=0,"",对账补充行!$E30))</f>
        <v/>
      </c>
      <c r="L637" t="str">
        <f>IF($G637=0,"",IF(对账补充行!$F30=0,"",对账补充行!$F30))</f>
        <v/>
      </c>
      <c r="M637" t="str">
        <f>IF($G637=0,"",IF(对账补充行!$G30=0,"",对账补充行!$G30))</f>
        <v/>
      </c>
      <c r="N637" t="str">
        <f>IF($G637=0,"",IF(对账补充行!$H30=0,"",对账补充行!$H30))</f>
        <v/>
      </c>
      <c r="O637" t="str">
        <f>IF($G637=0,"",IF(对账补充行!$I30=0,"",对账补充行!$I30))</f>
        <v/>
      </c>
      <c r="P637" t="str">
        <f>IF($G637=0,"",IF(对账补充行!$J30=0,"",对账补充行!$J30))</f>
        <v/>
      </c>
      <c r="T637" t="str">
        <f>IF(成本费用登记表!$D37="","",成本费用登记表!$D37)</f>
        <v/>
      </c>
      <c r="U637">
        <f t="shared" si="111"/>
        <v>0</v>
      </c>
      <c r="V637">
        <f t="shared" si="112"/>
        <v>0</v>
      </c>
    </row>
    <row r="638" spans="1:22">
      <c r="A638" t="str">
        <f>IF(资金日记账!$F336="","",资金日记账!$F336)</f>
        <v/>
      </c>
      <c r="B638">
        <f t="shared" si="107"/>
        <v>0</v>
      </c>
      <c r="C638">
        <f t="shared" si="108"/>
        <v>0</v>
      </c>
      <c r="G638">
        <f>IF(OR($G$1="",对账补充行!$C31="",对账补充行!$C31&lt;&gt;$G$1),0,IF(NOT(OR(N(对账补充行!$H31)&lt;&gt;0,N(对账补充行!$I31)&lt;&gt;0)),0,IF(对账补充行!$B31="",1,IF(OR(N(对账补充行!$B31)&lt;$H$1,N(对账补充行!$B31)&gt;$I$1),0,1))))</f>
        <v>0</v>
      </c>
      <c r="H638">
        <f t="shared" si="109"/>
        <v>0</v>
      </c>
      <c r="I638" t="str">
        <f>IF($G638=0,"",IF(对账补充行!$B31=0,"",对账补充行!$B31))</f>
        <v/>
      </c>
      <c r="J638" t="str">
        <f>IF($G638=0,"",IF(对账补充行!$D31=0,"",对账补充行!$D31))</f>
        <v/>
      </c>
      <c r="K638" t="str">
        <f>IF($G638=0,"",IF(对账补充行!$E31=0,"",对账补充行!$E31))</f>
        <v/>
      </c>
      <c r="L638" t="str">
        <f>IF($G638=0,"",IF(对账补充行!$F31=0,"",对账补充行!$F31))</f>
        <v/>
      </c>
      <c r="M638" t="str">
        <f>IF($G638=0,"",IF(对账补充行!$G31=0,"",对账补充行!$G31))</f>
        <v/>
      </c>
      <c r="N638" t="str">
        <f>IF($G638=0,"",IF(对账补充行!$H31=0,"",对账补充行!$H31))</f>
        <v/>
      </c>
      <c r="O638" t="str">
        <f>IF($G638=0,"",IF(对账补充行!$I31=0,"",对账补充行!$I31))</f>
        <v/>
      </c>
      <c r="P638" t="str">
        <f>IF($G638=0,"",IF(对账补充行!$J31=0,"",对账补充行!$J31))</f>
        <v/>
      </c>
      <c r="T638" t="str">
        <f>IF(成本费用登记表!$D38="","",成本费用登记表!$D38)</f>
        <v/>
      </c>
      <c r="U638">
        <f t="shared" si="111"/>
        <v>0</v>
      </c>
      <c r="V638">
        <f t="shared" si="112"/>
        <v>0</v>
      </c>
    </row>
    <row r="639" spans="1:22">
      <c r="A639" t="str">
        <f>IF(资金日记账!$F337="","",资金日记账!$F337)</f>
        <v/>
      </c>
      <c r="B639">
        <f t="shared" si="107"/>
        <v>0</v>
      </c>
      <c r="C639">
        <f t="shared" si="108"/>
        <v>0</v>
      </c>
      <c r="G639">
        <f>IF(OR($G$1="",对账补充行!$C32="",对账补充行!$C32&lt;&gt;$G$1),0,IF(NOT(OR(N(对账补充行!$H32)&lt;&gt;0,N(对账补充行!$I32)&lt;&gt;0)),0,IF(对账补充行!$B32="",1,IF(OR(N(对账补充行!$B32)&lt;$H$1,N(对账补充行!$B32)&gt;$I$1),0,1))))</f>
        <v>0</v>
      </c>
      <c r="H639">
        <f t="shared" si="109"/>
        <v>0</v>
      </c>
      <c r="I639" t="str">
        <f>IF($G639=0,"",IF(对账补充行!$B32=0,"",对账补充行!$B32))</f>
        <v/>
      </c>
      <c r="J639" t="str">
        <f>IF($G639=0,"",IF(对账补充行!$D32=0,"",对账补充行!$D32))</f>
        <v/>
      </c>
      <c r="K639" t="str">
        <f>IF($G639=0,"",IF(对账补充行!$E32=0,"",对账补充行!$E32))</f>
        <v/>
      </c>
      <c r="L639" t="str">
        <f>IF($G639=0,"",IF(对账补充行!$F32=0,"",对账补充行!$F32))</f>
        <v/>
      </c>
      <c r="M639" t="str">
        <f>IF($G639=0,"",IF(对账补充行!$G32=0,"",对账补充行!$G32))</f>
        <v/>
      </c>
      <c r="N639" t="str">
        <f>IF($G639=0,"",IF(对账补充行!$H32=0,"",对账补充行!$H32))</f>
        <v/>
      </c>
      <c r="O639" t="str">
        <f>IF($G639=0,"",IF(对账补充行!$I32=0,"",对账补充行!$I32))</f>
        <v/>
      </c>
      <c r="P639" t="str">
        <f>IF($G639=0,"",IF(对账补充行!$J32=0,"",对账补充行!$J32))</f>
        <v/>
      </c>
      <c r="T639" t="str">
        <f>IF(成本费用登记表!$D39="","",成本费用登记表!$D39)</f>
        <v/>
      </c>
      <c r="U639">
        <f t="shared" si="111"/>
        <v>0</v>
      </c>
      <c r="V639">
        <f t="shared" si="112"/>
        <v>0</v>
      </c>
    </row>
    <row r="640" spans="1:22">
      <c r="A640" t="str">
        <f>IF(资金日记账!$F338="","",资金日记账!$F338)</f>
        <v/>
      </c>
      <c r="B640">
        <f t="shared" si="107"/>
        <v>0</v>
      </c>
      <c r="C640">
        <f t="shared" si="108"/>
        <v>0</v>
      </c>
      <c r="G640">
        <f>IF(OR($G$1="",对账补充行!$C33="",对账补充行!$C33&lt;&gt;$G$1),0,IF(NOT(OR(N(对账补充行!$H33)&lt;&gt;0,N(对账补充行!$I33)&lt;&gt;0)),0,IF(对账补充行!$B33="",1,IF(OR(N(对账补充行!$B33)&lt;$H$1,N(对账补充行!$B33)&gt;$I$1),0,1))))</f>
        <v>0</v>
      </c>
      <c r="H640">
        <f t="shared" si="109"/>
        <v>0</v>
      </c>
      <c r="I640" t="str">
        <f>IF($G640=0,"",IF(对账补充行!$B33=0,"",对账补充行!$B33))</f>
        <v/>
      </c>
      <c r="J640" t="str">
        <f>IF($G640=0,"",IF(对账补充行!$D33=0,"",对账补充行!$D33))</f>
        <v/>
      </c>
      <c r="K640" t="str">
        <f>IF($G640=0,"",IF(对账补充行!$E33=0,"",对账补充行!$E33))</f>
        <v/>
      </c>
      <c r="L640" t="str">
        <f>IF($G640=0,"",IF(对账补充行!$F33=0,"",对账补充行!$F33))</f>
        <v/>
      </c>
      <c r="M640" t="str">
        <f>IF($G640=0,"",IF(对账补充行!$G33=0,"",对账补充行!$G33))</f>
        <v/>
      </c>
      <c r="N640" t="str">
        <f>IF($G640=0,"",IF(对账补充行!$H33=0,"",对账补充行!$H33))</f>
        <v/>
      </c>
      <c r="O640" t="str">
        <f>IF($G640=0,"",IF(对账补充行!$I33=0,"",对账补充行!$I33))</f>
        <v/>
      </c>
      <c r="P640" t="str">
        <f>IF($G640=0,"",IF(对账补充行!$J33=0,"",对账补充行!$J33))</f>
        <v/>
      </c>
      <c r="T640" t="str">
        <f>IF(成本费用登记表!$D40="","",成本费用登记表!$D40)</f>
        <v/>
      </c>
      <c r="U640">
        <f t="shared" si="111"/>
        <v>0</v>
      </c>
      <c r="V640">
        <f t="shared" si="112"/>
        <v>0</v>
      </c>
    </row>
    <row r="641" spans="1:22">
      <c r="A641" t="str">
        <f>IF(资金日记账!$F339="","",资金日记账!$F339)</f>
        <v/>
      </c>
      <c r="B641">
        <f t="shared" si="107"/>
        <v>0</v>
      </c>
      <c r="C641">
        <f t="shared" si="108"/>
        <v>0</v>
      </c>
      <c r="G641">
        <f>IF(OR($G$1="",对账补充行!$C34="",对账补充行!$C34&lt;&gt;$G$1),0,IF(NOT(OR(N(对账补充行!$H34)&lt;&gt;0,N(对账补充行!$I34)&lt;&gt;0)),0,IF(对账补充行!$B34="",1,IF(OR(N(对账补充行!$B34)&lt;$H$1,N(对账补充行!$B34)&gt;$I$1),0,1))))</f>
        <v>0</v>
      </c>
      <c r="H641">
        <f t="shared" si="109"/>
        <v>0</v>
      </c>
      <c r="I641" t="str">
        <f>IF($G641=0,"",IF(对账补充行!$B34=0,"",对账补充行!$B34))</f>
        <v/>
      </c>
      <c r="J641" t="str">
        <f>IF($G641=0,"",IF(对账补充行!$D34=0,"",对账补充行!$D34))</f>
        <v/>
      </c>
      <c r="K641" t="str">
        <f>IF($G641=0,"",IF(对账补充行!$E34=0,"",对账补充行!$E34))</f>
        <v/>
      </c>
      <c r="L641" t="str">
        <f>IF($G641=0,"",IF(对账补充行!$F34=0,"",对账补充行!$F34))</f>
        <v/>
      </c>
      <c r="M641" t="str">
        <f>IF($G641=0,"",IF(对账补充行!$G34=0,"",对账补充行!$G34))</f>
        <v/>
      </c>
      <c r="N641" t="str">
        <f>IF($G641=0,"",IF(对账补充行!$H34=0,"",对账补充行!$H34))</f>
        <v/>
      </c>
      <c r="O641" t="str">
        <f>IF($G641=0,"",IF(对账补充行!$I34=0,"",对账补充行!$I34))</f>
        <v/>
      </c>
      <c r="P641" t="str">
        <f>IF($G641=0,"",IF(对账补充行!$J34=0,"",对账补充行!$J34))</f>
        <v/>
      </c>
      <c r="T641" t="str">
        <f>IF(成本费用登记表!$D41="","",成本费用登记表!$D41)</f>
        <v/>
      </c>
      <c r="U641">
        <f t="shared" si="111"/>
        <v>0</v>
      </c>
      <c r="V641">
        <f t="shared" si="112"/>
        <v>0</v>
      </c>
    </row>
    <row r="642" spans="1:22">
      <c r="A642" t="str">
        <f>IF(资金日记账!$F340="","",资金日记账!$F340)</f>
        <v/>
      </c>
      <c r="B642">
        <f t="shared" si="107"/>
        <v>0</v>
      </c>
      <c r="C642">
        <f t="shared" si="108"/>
        <v>0</v>
      </c>
      <c r="G642">
        <f>IF(OR($G$1="",对账补充行!$C35="",对账补充行!$C35&lt;&gt;$G$1),0,IF(NOT(OR(N(对账补充行!$H35)&lt;&gt;0,N(对账补充行!$I35)&lt;&gt;0)),0,IF(对账补充行!$B35="",1,IF(OR(N(对账补充行!$B35)&lt;$H$1,N(对账补充行!$B35)&gt;$I$1),0,1))))</f>
        <v>0</v>
      </c>
      <c r="H642">
        <f t="shared" si="109"/>
        <v>0</v>
      </c>
      <c r="I642" t="str">
        <f>IF($G642=0,"",IF(对账补充行!$B35=0,"",对账补充行!$B35))</f>
        <v/>
      </c>
      <c r="J642" t="str">
        <f>IF($G642=0,"",IF(对账补充行!$D35=0,"",对账补充行!$D35))</f>
        <v/>
      </c>
      <c r="K642" t="str">
        <f>IF($G642=0,"",IF(对账补充行!$E35=0,"",对账补充行!$E35))</f>
        <v/>
      </c>
      <c r="L642" t="str">
        <f>IF($G642=0,"",IF(对账补充行!$F35=0,"",对账补充行!$F35))</f>
        <v/>
      </c>
      <c r="M642" t="str">
        <f>IF($G642=0,"",IF(对账补充行!$G35=0,"",对账补充行!$G35))</f>
        <v/>
      </c>
      <c r="N642" t="str">
        <f>IF($G642=0,"",IF(对账补充行!$H35=0,"",对账补充行!$H35))</f>
        <v/>
      </c>
      <c r="O642" t="str">
        <f>IF($G642=0,"",IF(对账补充行!$I35=0,"",对账补充行!$I35))</f>
        <v/>
      </c>
      <c r="P642" t="str">
        <f>IF($G642=0,"",IF(对账补充行!$J35=0,"",对账补充行!$J35))</f>
        <v/>
      </c>
      <c r="T642" t="str">
        <f>IF(成本费用登记表!$D42="","",成本费用登记表!$D42)</f>
        <v/>
      </c>
      <c r="U642">
        <f t="shared" si="111"/>
        <v>0</v>
      </c>
      <c r="V642">
        <f t="shared" si="112"/>
        <v>0</v>
      </c>
    </row>
    <row r="643" spans="1:22">
      <c r="A643" t="str">
        <f>IF(资金日记账!$F341="","",资金日记账!$F341)</f>
        <v/>
      </c>
      <c r="B643">
        <f t="shared" si="107"/>
        <v>0</v>
      </c>
      <c r="C643">
        <f t="shared" si="108"/>
        <v>0</v>
      </c>
      <c r="G643">
        <f>IF(OR($G$1="",对账补充行!$C36="",对账补充行!$C36&lt;&gt;$G$1),0,IF(NOT(OR(N(对账补充行!$H36)&lt;&gt;0,N(对账补充行!$I36)&lt;&gt;0)),0,IF(对账补充行!$B36="",1,IF(OR(N(对账补充行!$B36)&lt;$H$1,N(对账补充行!$B36)&gt;$I$1),0,1))))</f>
        <v>0</v>
      </c>
      <c r="H643">
        <f t="shared" si="109"/>
        <v>0</v>
      </c>
      <c r="I643" t="str">
        <f>IF($G643=0,"",IF(对账补充行!$B36=0,"",对账补充行!$B36))</f>
        <v/>
      </c>
      <c r="J643" t="str">
        <f>IF($G643=0,"",IF(对账补充行!$D36=0,"",对账补充行!$D36))</f>
        <v/>
      </c>
      <c r="K643" t="str">
        <f>IF($G643=0,"",IF(对账补充行!$E36=0,"",对账补充行!$E36))</f>
        <v/>
      </c>
      <c r="L643" t="str">
        <f>IF($G643=0,"",IF(对账补充行!$F36=0,"",对账补充行!$F36))</f>
        <v/>
      </c>
      <c r="M643" t="str">
        <f>IF($G643=0,"",IF(对账补充行!$G36=0,"",对账补充行!$G36))</f>
        <v/>
      </c>
      <c r="N643" t="str">
        <f>IF($G643=0,"",IF(对账补充行!$H36=0,"",对账补充行!$H36))</f>
        <v/>
      </c>
      <c r="O643" t="str">
        <f>IF($G643=0,"",IF(对账补充行!$I36=0,"",对账补充行!$I36))</f>
        <v/>
      </c>
      <c r="P643" t="str">
        <f>IF($G643=0,"",IF(对账补充行!$J36=0,"",对账补充行!$J36))</f>
        <v/>
      </c>
      <c r="T643" t="str">
        <f>IF(成本费用登记表!$D43="","",成本费用登记表!$D43)</f>
        <v/>
      </c>
      <c r="U643">
        <f t="shared" si="111"/>
        <v>0</v>
      </c>
      <c r="V643">
        <f t="shared" si="112"/>
        <v>0</v>
      </c>
    </row>
    <row r="644" spans="1:22">
      <c r="A644" t="str">
        <f>IF(资金日记账!$F342="","",资金日记账!$F342)</f>
        <v/>
      </c>
      <c r="B644">
        <f t="shared" ref="B644:B707" si="117">IF(A644="",0,IF(MATCH(A644,$A$4:$A$1805,0)=ROW()-3,1,0))</f>
        <v>0</v>
      </c>
      <c r="C644">
        <f t="shared" ref="C644:C707" si="118">N(C643)+B644</f>
        <v>0</v>
      </c>
      <c r="G644">
        <f>IF(OR($G$1="",对账补充行!$C37="",对账补充行!$C37&lt;&gt;$G$1),0,IF(NOT(OR(N(对账补充行!$H37)&lt;&gt;0,N(对账补充行!$I37)&lt;&gt;0)),0,IF(对账补充行!$B37="",1,IF(OR(N(对账补充行!$B37)&lt;$H$1,N(对账补充行!$B37)&gt;$I$1),0,1))))</f>
        <v>0</v>
      </c>
      <c r="H644">
        <f t="shared" ref="H644:H707" si="119">N(H643)+$G644</f>
        <v>0</v>
      </c>
      <c r="I644" t="str">
        <f>IF($G644=0,"",IF(对账补充行!$B37=0,"",对账补充行!$B37))</f>
        <v/>
      </c>
      <c r="J644" t="str">
        <f>IF($G644=0,"",IF(对账补充行!$D37=0,"",对账补充行!$D37))</f>
        <v/>
      </c>
      <c r="K644" t="str">
        <f>IF($G644=0,"",IF(对账补充行!$E37=0,"",对账补充行!$E37))</f>
        <v/>
      </c>
      <c r="L644" t="str">
        <f>IF($G644=0,"",IF(对账补充行!$F37=0,"",对账补充行!$F37))</f>
        <v/>
      </c>
      <c r="M644" t="str">
        <f>IF($G644=0,"",IF(对账补充行!$G37=0,"",对账补充行!$G37))</f>
        <v/>
      </c>
      <c r="N644" t="str">
        <f>IF($G644=0,"",IF(对账补充行!$H37=0,"",对账补充行!$H37))</f>
        <v/>
      </c>
      <c r="O644" t="str">
        <f>IF($G644=0,"",IF(对账补充行!$I37=0,"",对账补充行!$I37))</f>
        <v/>
      </c>
      <c r="P644" t="str">
        <f>IF($G644=0,"",IF(对账补充行!$J37=0,"",对账补充行!$J37))</f>
        <v/>
      </c>
      <c r="T644" t="str">
        <f>IF(成本费用登记表!$D44="","",成本费用登记表!$D44)</f>
        <v/>
      </c>
      <c r="U644">
        <f t="shared" ref="U644:U707" si="120">IF(T644="",0,IF(MATCH(T644,$T$4:$T$903,0)=ROW()-3,1,0))</f>
        <v>0</v>
      </c>
      <c r="V644">
        <f t="shared" ref="V644:V707" si="121">N(V643)+U644</f>
        <v>0</v>
      </c>
    </row>
    <row r="645" spans="1:22">
      <c r="A645" t="str">
        <f>IF(资金日记账!$F343="","",资金日记账!$F343)</f>
        <v/>
      </c>
      <c r="B645">
        <f t="shared" si="117"/>
        <v>0</v>
      </c>
      <c r="C645">
        <f t="shared" si="118"/>
        <v>0</v>
      </c>
      <c r="G645">
        <f>IF(OR($G$1="",对账补充行!$C38="",对账补充行!$C38&lt;&gt;$G$1),0,IF(NOT(OR(N(对账补充行!$H38)&lt;&gt;0,N(对账补充行!$I38)&lt;&gt;0)),0,IF(对账补充行!$B38="",1,IF(OR(N(对账补充行!$B38)&lt;$H$1,N(对账补充行!$B38)&gt;$I$1),0,1))))</f>
        <v>0</v>
      </c>
      <c r="H645">
        <f t="shared" si="119"/>
        <v>0</v>
      </c>
      <c r="I645" t="str">
        <f>IF($G645=0,"",IF(对账补充行!$B38=0,"",对账补充行!$B38))</f>
        <v/>
      </c>
      <c r="J645" t="str">
        <f>IF($G645=0,"",IF(对账补充行!$D38=0,"",对账补充行!$D38))</f>
        <v/>
      </c>
      <c r="K645" t="str">
        <f>IF($G645=0,"",IF(对账补充行!$E38=0,"",对账补充行!$E38))</f>
        <v/>
      </c>
      <c r="L645" t="str">
        <f>IF($G645=0,"",IF(对账补充行!$F38=0,"",对账补充行!$F38))</f>
        <v/>
      </c>
      <c r="M645" t="str">
        <f>IF($G645=0,"",IF(对账补充行!$G38=0,"",对账补充行!$G38))</f>
        <v/>
      </c>
      <c r="N645" t="str">
        <f>IF($G645=0,"",IF(对账补充行!$H38=0,"",对账补充行!$H38))</f>
        <v/>
      </c>
      <c r="O645" t="str">
        <f>IF($G645=0,"",IF(对账补充行!$I38=0,"",对账补充行!$I38))</f>
        <v/>
      </c>
      <c r="P645" t="str">
        <f>IF($G645=0,"",IF(对账补充行!$J38=0,"",对账补充行!$J38))</f>
        <v/>
      </c>
      <c r="T645" t="str">
        <f>IF(成本费用登记表!$D45="","",成本费用登记表!$D45)</f>
        <v/>
      </c>
      <c r="U645">
        <f t="shared" si="120"/>
        <v>0</v>
      </c>
      <c r="V645">
        <f t="shared" si="121"/>
        <v>0</v>
      </c>
    </row>
    <row r="646" spans="1:22">
      <c r="A646" t="str">
        <f>IF(资金日记账!$F344="","",资金日记账!$F344)</f>
        <v/>
      </c>
      <c r="B646">
        <f t="shared" si="117"/>
        <v>0</v>
      </c>
      <c r="C646">
        <f t="shared" si="118"/>
        <v>0</v>
      </c>
      <c r="G646">
        <f>IF(OR($G$1="",对账补充行!$C39="",对账补充行!$C39&lt;&gt;$G$1),0,IF(NOT(OR(N(对账补充行!$H39)&lt;&gt;0,N(对账补充行!$I39)&lt;&gt;0)),0,IF(对账补充行!$B39="",1,IF(OR(N(对账补充行!$B39)&lt;$H$1,N(对账补充行!$B39)&gt;$I$1),0,1))))</f>
        <v>0</v>
      </c>
      <c r="H646">
        <f t="shared" si="119"/>
        <v>0</v>
      </c>
      <c r="I646" t="str">
        <f>IF($G646=0,"",IF(对账补充行!$B39=0,"",对账补充行!$B39))</f>
        <v/>
      </c>
      <c r="J646" t="str">
        <f>IF($G646=0,"",IF(对账补充行!$D39=0,"",对账补充行!$D39))</f>
        <v/>
      </c>
      <c r="K646" t="str">
        <f>IF($G646=0,"",IF(对账补充行!$E39=0,"",对账补充行!$E39))</f>
        <v/>
      </c>
      <c r="L646" t="str">
        <f>IF($G646=0,"",IF(对账补充行!$F39=0,"",对账补充行!$F39))</f>
        <v/>
      </c>
      <c r="M646" t="str">
        <f>IF($G646=0,"",IF(对账补充行!$G39=0,"",对账补充行!$G39))</f>
        <v/>
      </c>
      <c r="N646" t="str">
        <f>IF($G646=0,"",IF(对账补充行!$H39=0,"",对账补充行!$H39))</f>
        <v/>
      </c>
      <c r="O646" t="str">
        <f>IF($G646=0,"",IF(对账补充行!$I39=0,"",对账补充行!$I39))</f>
        <v/>
      </c>
      <c r="P646" t="str">
        <f>IF($G646=0,"",IF(对账补充行!$J39=0,"",对账补充行!$J39))</f>
        <v/>
      </c>
      <c r="T646" t="str">
        <f>IF(成本费用登记表!$D46="","",成本费用登记表!$D46)</f>
        <v/>
      </c>
      <c r="U646">
        <f t="shared" si="120"/>
        <v>0</v>
      </c>
      <c r="V646">
        <f t="shared" si="121"/>
        <v>0</v>
      </c>
    </row>
    <row r="647" spans="1:22">
      <c r="A647" t="str">
        <f>IF(资金日记账!$F345="","",资金日记账!$F345)</f>
        <v/>
      </c>
      <c r="B647">
        <f t="shared" si="117"/>
        <v>0</v>
      </c>
      <c r="C647">
        <f t="shared" si="118"/>
        <v>0</v>
      </c>
      <c r="G647">
        <f>IF(OR($G$1="",对账补充行!$C40="",对账补充行!$C40&lt;&gt;$G$1),0,IF(NOT(OR(N(对账补充行!$H40)&lt;&gt;0,N(对账补充行!$I40)&lt;&gt;0)),0,IF(对账补充行!$B40="",1,IF(OR(N(对账补充行!$B40)&lt;$H$1,N(对账补充行!$B40)&gt;$I$1),0,1))))</f>
        <v>0</v>
      </c>
      <c r="H647">
        <f t="shared" si="119"/>
        <v>0</v>
      </c>
      <c r="I647" t="str">
        <f>IF($G647=0,"",IF(对账补充行!$B40=0,"",对账补充行!$B40))</f>
        <v/>
      </c>
      <c r="J647" t="str">
        <f>IF($G647=0,"",IF(对账补充行!$D40=0,"",对账补充行!$D40))</f>
        <v/>
      </c>
      <c r="K647" t="str">
        <f>IF($G647=0,"",IF(对账补充行!$E40=0,"",对账补充行!$E40))</f>
        <v/>
      </c>
      <c r="L647" t="str">
        <f>IF($G647=0,"",IF(对账补充行!$F40=0,"",对账补充行!$F40))</f>
        <v/>
      </c>
      <c r="M647" t="str">
        <f>IF($G647=0,"",IF(对账补充行!$G40=0,"",对账补充行!$G40))</f>
        <v/>
      </c>
      <c r="N647" t="str">
        <f>IF($G647=0,"",IF(对账补充行!$H40=0,"",对账补充行!$H40))</f>
        <v/>
      </c>
      <c r="O647" t="str">
        <f>IF($G647=0,"",IF(对账补充行!$I40=0,"",对账补充行!$I40))</f>
        <v/>
      </c>
      <c r="P647" t="str">
        <f>IF($G647=0,"",IF(对账补充行!$J40=0,"",对账补充行!$J40))</f>
        <v/>
      </c>
      <c r="T647" t="str">
        <f>IF(成本费用登记表!$D47="","",成本费用登记表!$D47)</f>
        <v/>
      </c>
      <c r="U647">
        <f t="shared" si="120"/>
        <v>0</v>
      </c>
      <c r="V647">
        <f t="shared" si="121"/>
        <v>0</v>
      </c>
    </row>
    <row r="648" spans="1:22">
      <c r="A648" t="str">
        <f>IF(资金日记账!$F346="","",资金日记账!$F346)</f>
        <v/>
      </c>
      <c r="B648">
        <f t="shared" si="117"/>
        <v>0</v>
      </c>
      <c r="C648">
        <f t="shared" si="118"/>
        <v>0</v>
      </c>
      <c r="G648">
        <f>IF(OR($G$1="",对账补充行!$C41="",对账补充行!$C41&lt;&gt;$G$1),0,IF(NOT(OR(N(对账补充行!$H41)&lt;&gt;0,N(对账补充行!$I41)&lt;&gt;0)),0,IF(对账补充行!$B41="",1,IF(OR(N(对账补充行!$B41)&lt;$H$1,N(对账补充行!$B41)&gt;$I$1),0,1))))</f>
        <v>0</v>
      </c>
      <c r="H648">
        <f t="shared" si="119"/>
        <v>0</v>
      </c>
      <c r="I648" t="str">
        <f>IF($G648=0,"",IF(对账补充行!$B41=0,"",对账补充行!$B41))</f>
        <v/>
      </c>
      <c r="J648" t="str">
        <f>IF($G648=0,"",IF(对账补充行!$D41=0,"",对账补充行!$D41))</f>
        <v/>
      </c>
      <c r="K648" t="str">
        <f>IF($G648=0,"",IF(对账补充行!$E41=0,"",对账补充行!$E41))</f>
        <v/>
      </c>
      <c r="L648" t="str">
        <f>IF($G648=0,"",IF(对账补充行!$F41=0,"",对账补充行!$F41))</f>
        <v/>
      </c>
      <c r="M648" t="str">
        <f>IF($G648=0,"",IF(对账补充行!$G41=0,"",对账补充行!$G41))</f>
        <v/>
      </c>
      <c r="N648" t="str">
        <f>IF($G648=0,"",IF(对账补充行!$H41=0,"",对账补充行!$H41))</f>
        <v/>
      </c>
      <c r="O648" t="str">
        <f>IF($G648=0,"",IF(对账补充行!$I41=0,"",对账补充行!$I41))</f>
        <v/>
      </c>
      <c r="P648" t="str">
        <f>IF($G648=0,"",IF(对账补充行!$J41=0,"",对账补充行!$J41))</f>
        <v/>
      </c>
      <c r="T648" t="str">
        <f>IF(成本费用登记表!$D48="","",成本费用登记表!$D48)</f>
        <v/>
      </c>
      <c r="U648">
        <f t="shared" si="120"/>
        <v>0</v>
      </c>
      <c r="V648">
        <f t="shared" si="121"/>
        <v>0</v>
      </c>
    </row>
    <row r="649" spans="1:22">
      <c r="A649" t="str">
        <f>IF(资金日记账!$F347="","",资金日记账!$F347)</f>
        <v/>
      </c>
      <c r="B649">
        <f t="shared" si="117"/>
        <v>0</v>
      </c>
      <c r="C649">
        <f t="shared" si="118"/>
        <v>0</v>
      </c>
      <c r="G649">
        <f>IF(OR($G$1="",对账补充行!$C42="",对账补充行!$C42&lt;&gt;$G$1),0,IF(NOT(OR(N(对账补充行!$H42)&lt;&gt;0,N(对账补充行!$I42)&lt;&gt;0)),0,IF(对账补充行!$B42="",1,IF(OR(N(对账补充行!$B42)&lt;$H$1,N(对账补充行!$B42)&gt;$I$1),0,1))))</f>
        <v>0</v>
      </c>
      <c r="H649">
        <f t="shared" si="119"/>
        <v>0</v>
      </c>
      <c r="I649" t="str">
        <f>IF($G649=0,"",IF(对账补充行!$B42=0,"",对账补充行!$B42))</f>
        <v/>
      </c>
      <c r="J649" t="str">
        <f>IF($G649=0,"",IF(对账补充行!$D42=0,"",对账补充行!$D42))</f>
        <v/>
      </c>
      <c r="K649" t="str">
        <f>IF($G649=0,"",IF(对账补充行!$E42=0,"",对账补充行!$E42))</f>
        <v/>
      </c>
      <c r="L649" t="str">
        <f>IF($G649=0,"",IF(对账补充行!$F42=0,"",对账补充行!$F42))</f>
        <v/>
      </c>
      <c r="M649" t="str">
        <f>IF($G649=0,"",IF(对账补充行!$G42=0,"",对账补充行!$G42))</f>
        <v/>
      </c>
      <c r="N649" t="str">
        <f>IF($G649=0,"",IF(对账补充行!$H42=0,"",对账补充行!$H42))</f>
        <v/>
      </c>
      <c r="O649" t="str">
        <f>IF($G649=0,"",IF(对账补充行!$I42=0,"",对账补充行!$I42))</f>
        <v/>
      </c>
      <c r="P649" t="str">
        <f>IF($G649=0,"",IF(对账补充行!$J42=0,"",对账补充行!$J42))</f>
        <v/>
      </c>
      <c r="T649" t="str">
        <f>IF(成本费用登记表!$D49="","",成本费用登记表!$D49)</f>
        <v/>
      </c>
      <c r="U649">
        <f t="shared" si="120"/>
        <v>0</v>
      </c>
      <c r="V649">
        <f t="shared" si="121"/>
        <v>0</v>
      </c>
    </row>
    <row r="650" spans="1:22">
      <c r="A650" t="str">
        <f>IF(资金日记账!$F348="","",资金日记账!$F348)</f>
        <v/>
      </c>
      <c r="B650">
        <f t="shared" si="117"/>
        <v>0</v>
      </c>
      <c r="C650">
        <f t="shared" si="118"/>
        <v>0</v>
      </c>
      <c r="G650">
        <f>IF(OR($G$1="",对账补充行!$C43="",对账补充行!$C43&lt;&gt;$G$1),0,IF(NOT(OR(N(对账补充行!$H43)&lt;&gt;0,N(对账补充行!$I43)&lt;&gt;0)),0,IF(对账补充行!$B43="",1,IF(OR(N(对账补充行!$B43)&lt;$H$1,N(对账补充行!$B43)&gt;$I$1),0,1))))</f>
        <v>0</v>
      </c>
      <c r="H650">
        <f t="shared" si="119"/>
        <v>0</v>
      </c>
      <c r="I650" t="str">
        <f>IF($G650=0,"",IF(对账补充行!$B43=0,"",对账补充行!$B43))</f>
        <v/>
      </c>
      <c r="J650" t="str">
        <f>IF($G650=0,"",IF(对账补充行!$D43=0,"",对账补充行!$D43))</f>
        <v/>
      </c>
      <c r="K650" t="str">
        <f>IF($G650=0,"",IF(对账补充行!$E43=0,"",对账补充行!$E43))</f>
        <v/>
      </c>
      <c r="L650" t="str">
        <f>IF($G650=0,"",IF(对账补充行!$F43=0,"",对账补充行!$F43))</f>
        <v/>
      </c>
      <c r="M650" t="str">
        <f>IF($G650=0,"",IF(对账补充行!$G43=0,"",对账补充行!$G43))</f>
        <v/>
      </c>
      <c r="N650" t="str">
        <f>IF($G650=0,"",IF(对账补充行!$H43=0,"",对账补充行!$H43))</f>
        <v/>
      </c>
      <c r="O650" t="str">
        <f>IF($G650=0,"",IF(对账补充行!$I43=0,"",对账补充行!$I43))</f>
        <v/>
      </c>
      <c r="P650" t="str">
        <f>IF($G650=0,"",IF(对账补充行!$J43=0,"",对账补充行!$J43))</f>
        <v/>
      </c>
      <c r="T650" t="str">
        <f>IF(成本费用登记表!$D50="","",成本费用登记表!$D50)</f>
        <v/>
      </c>
      <c r="U650">
        <f t="shared" si="120"/>
        <v>0</v>
      </c>
      <c r="V650">
        <f t="shared" si="121"/>
        <v>0</v>
      </c>
    </row>
    <row r="651" spans="1:22">
      <c r="A651" t="str">
        <f>IF(资金日记账!$F349="","",资金日记账!$F349)</f>
        <v/>
      </c>
      <c r="B651">
        <f t="shared" si="117"/>
        <v>0</v>
      </c>
      <c r="C651">
        <f t="shared" si="118"/>
        <v>0</v>
      </c>
      <c r="G651">
        <f>IF(OR($G$1="",对账补充行!$C44="",对账补充行!$C44&lt;&gt;$G$1),0,IF(NOT(OR(N(对账补充行!$H44)&lt;&gt;0,N(对账补充行!$I44)&lt;&gt;0)),0,IF(对账补充行!$B44="",1,IF(OR(N(对账补充行!$B44)&lt;$H$1,N(对账补充行!$B44)&gt;$I$1),0,1))))</f>
        <v>0</v>
      </c>
      <c r="H651">
        <f t="shared" si="119"/>
        <v>0</v>
      </c>
      <c r="I651" t="str">
        <f>IF($G651=0,"",IF(对账补充行!$B44=0,"",对账补充行!$B44))</f>
        <v/>
      </c>
      <c r="J651" t="str">
        <f>IF($G651=0,"",IF(对账补充行!$D44=0,"",对账补充行!$D44))</f>
        <v/>
      </c>
      <c r="K651" t="str">
        <f>IF($G651=0,"",IF(对账补充行!$E44=0,"",对账补充行!$E44))</f>
        <v/>
      </c>
      <c r="L651" t="str">
        <f>IF($G651=0,"",IF(对账补充行!$F44=0,"",对账补充行!$F44))</f>
        <v/>
      </c>
      <c r="M651" t="str">
        <f>IF($G651=0,"",IF(对账补充行!$G44=0,"",对账补充行!$G44))</f>
        <v/>
      </c>
      <c r="N651" t="str">
        <f>IF($G651=0,"",IF(对账补充行!$H44=0,"",对账补充行!$H44))</f>
        <v/>
      </c>
      <c r="O651" t="str">
        <f>IF($G651=0,"",IF(对账补充行!$I44=0,"",对账补充行!$I44))</f>
        <v/>
      </c>
      <c r="P651" t="str">
        <f>IF($G651=0,"",IF(对账补充行!$J44=0,"",对账补充行!$J44))</f>
        <v/>
      </c>
      <c r="T651" t="str">
        <f>IF(成本费用登记表!$D51="","",成本费用登记表!$D51)</f>
        <v/>
      </c>
      <c r="U651">
        <f t="shared" si="120"/>
        <v>0</v>
      </c>
      <c r="V651">
        <f t="shared" si="121"/>
        <v>0</v>
      </c>
    </row>
    <row r="652" spans="1:22">
      <c r="A652" t="str">
        <f>IF(资金日记账!$F350="","",资金日记账!$F350)</f>
        <v/>
      </c>
      <c r="B652">
        <f t="shared" si="117"/>
        <v>0</v>
      </c>
      <c r="C652">
        <f t="shared" si="118"/>
        <v>0</v>
      </c>
      <c r="G652">
        <f>IF(OR($G$1="",对账补充行!$C45="",对账补充行!$C45&lt;&gt;$G$1),0,IF(NOT(OR(N(对账补充行!$H45)&lt;&gt;0,N(对账补充行!$I45)&lt;&gt;0)),0,IF(对账补充行!$B45="",1,IF(OR(N(对账补充行!$B45)&lt;$H$1,N(对账补充行!$B45)&gt;$I$1),0,1))))</f>
        <v>0</v>
      </c>
      <c r="H652">
        <f t="shared" si="119"/>
        <v>0</v>
      </c>
      <c r="I652" t="str">
        <f>IF($G652=0,"",IF(对账补充行!$B45=0,"",对账补充行!$B45))</f>
        <v/>
      </c>
      <c r="J652" t="str">
        <f>IF($G652=0,"",IF(对账补充行!$D45=0,"",对账补充行!$D45))</f>
        <v/>
      </c>
      <c r="K652" t="str">
        <f>IF($G652=0,"",IF(对账补充行!$E45=0,"",对账补充行!$E45))</f>
        <v/>
      </c>
      <c r="L652" t="str">
        <f>IF($G652=0,"",IF(对账补充行!$F45=0,"",对账补充行!$F45))</f>
        <v/>
      </c>
      <c r="M652" t="str">
        <f>IF($G652=0,"",IF(对账补充行!$G45=0,"",对账补充行!$G45))</f>
        <v/>
      </c>
      <c r="N652" t="str">
        <f>IF($G652=0,"",IF(对账补充行!$H45=0,"",对账补充行!$H45))</f>
        <v/>
      </c>
      <c r="O652" t="str">
        <f>IF($G652=0,"",IF(对账补充行!$I45=0,"",对账补充行!$I45))</f>
        <v/>
      </c>
      <c r="P652" t="str">
        <f>IF($G652=0,"",IF(对账补充行!$J45=0,"",对账补充行!$J45))</f>
        <v/>
      </c>
      <c r="T652" t="str">
        <f>IF(成本费用登记表!$D52="","",成本费用登记表!$D52)</f>
        <v/>
      </c>
      <c r="U652">
        <f t="shared" si="120"/>
        <v>0</v>
      </c>
      <c r="V652">
        <f t="shared" si="121"/>
        <v>0</v>
      </c>
    </row>
    <row r="653" spans="1:22">
      <c r="A653" t="str">
        <f>IF(资金日记账!$F351="","",资金日记账!$F351)</f>
        <v/>
      </c>
      <c r="B653">
        <f t="shared" si="117"/>
        <v>0</v>
      </c>
      <c r="C653">
        <f t="shared" si="118"/>
        <v>0</v>
      </c>
      <c r="G653">
        <f>IF(OR($G$1="",对账补充行!$C46="",对账补充行!$C46&lt;&gt;$G$1),0,IF(NOT(OR(N(对账补充行!$H46)&lt;&gt;0,N(对账补充行!$I46)&lt;&gt;0)),0,IF(对账补充行!$B46="",1,IF(OR(N(对账补充行!$B46)&lt;$H$1,N(对账补充行!$B46)&gt;$I$1),0,1))))</f>
        <v>0</v>
      </c>
      <c r="H653">
        <f t="shared" si="119"/>
        <v>0</v>
      </c>
      <c r="I653" t="str">
        <f>IF($G653=0,"",IF(对账补充行!$B46=0,"",对账补充行!$B46))</f>
        <v/>
      </c>
      <c r="J653" t="str">
        <f>IF($G653=0,"",IF(对账补充行!$D46=0,"",对账补充行!$D46))</f>
        <v/>
      </c>
      <c r="K653" t="str">
        <f>IF($G653=0,"",IF(对账补充行!$E46=0,"",对账补充行!$E46))</f>
        <v/>
      </c>
      <c r="L653" t="str">
        <f>IF($G653=0,"",IF(对账补充行!$F46=0,"",对账补充行!$F46))</f>
        <v/>
      </c>
      <c r="M653" t="str">
        <f>IF($G653=0,"",IF(对账补充行!$G46=0,"",对账补充行!$G46))</f>
        <v/>
      </c>
      <c r="N653" t="str">
        <f>IF($G653=0,"",IF(对账补充行!$H46=0,"",对账补充行!$H46))</f>
        <v/>
      </c>
      <c r="O653" t="str">
        <f>IF($G653=0,"",IF(对账补充行!$I46=0,"",对账补充行!$I46))</f>
        <v/>
      </c>
      <c r="P653" t="str">
        <f>IF($G653=0,"",IF(对账补充行!$J46=0,"",对账补充行!$J46))</f>
        <v/>
      </c>
      <c r="T653" t="str">
        <f>IF(成本费用登记表!$D53="","",成本费用登记表!$D53)</f>
        <v/>
      </c>
      <c r="U653">
        <f t="shared" si="120"/>
        <v>0</v>
      </c>
      <c r="V653">
        <f t="shared" si="121"/>
        <v>0</v>
      </c>
    </row>
    <row r="654" spans="1:22">
      <c r="A654" t="str">
        <f>IF(资金日记账!$F352="","",资金日记账!$F352)</f>
        <v/>
      </c>
      <c r="B654">
        <f t="shared" si="117"/>
        <v>0</v>
      </c>
      <c r="C654">
        <f t="shared" si="118"/>
        <v>0</v>
      </c>
      <c r="G654">
        <f>IF(OR($G$1="",对账补充行!$C47="",对账补充行!$C47&lt;&gt;$G$1),0,IF(NOT(OR(N(对账补充行!$H47)&lt;&gt;0,N(对账补充行!$I47)&lt;&gt;0)),0,IF(对账补充行!$B47="",1,IF(OR(N(对账补充行!$B47)&lt;$H$1,N(对账补充行!$B47)&gt;$I$1),0,1))))</f>
        <v>0</v>
      </c>
      <c r="H654">
        <f t="shared" si="119"/>
        <v>0</v>
      </c>
      <c r="I654" t="str">
        <f>IF($G654=0,"",IF(对账补充行!$B47=0,"",对账补充行!$B47))</f>
        <v/>
      </c>
      <c r="J654" t="str">
        <f>IF($G654=0,"",IF(对账补充行!$D47=0,"",对账补充行!$D47))</f>
        <v/>
      </c>
      <c r="K654" t="str">
        <f>IF($G654=0,"",IF(对账补充行!$E47=0,"",对账补充行!$E47))</f>
        <v/>
      </c>
      <c r="L654" t="str">
        <f>IF($G654=0,"",IF(对账补充行!$F47=0,"",对账补充行!$F47))</f>
        <v/>
      </c>
      <c r="M654" t="str">
        <f>IF($G654=0,"",IF(对账补充行!$G47=0,"",对账补充行!$G47))</f>
        <v/>
      </c>
      <c r="N654" t="str">
        <f>IF($G654=0,"",IF(对账补充行!$H47=0,"",对账补充行!$H47))</f>
        <v/>
      </c>
      <c r="O654" t="str">
        <f>IF($G654=0,"",IF(对账补充行!$I47=0,"",对账补充行!$I47))</f>
        <v/>
      </c>
      <c r="P654" t="str">
        <f>IF($G654=0,"",IF(对账补充行!$J47=0,"",对账补充行!$J47))</f>
        <v/>
      </c>
      <c r="T654" t="str">
        <f>IF(成本费用登记表!$D54="","",成本费用登记表!$D54)</f>
        <v/>
      </c>
      <c r="U654">
        <f t="shared" si="120"/>
        <v>0</v>
      </c>
      <c r="V654">
        <f t="shared" si="121"/>
        <v>0</v>
      </c>
    </row>
    <row r="655" spans="1:22">
      <c r="A655" t="str">
        <f>IF(资金日记账!$F353="","",资金日记账!$F353)</f>
        <v/>
      </c>
      <c r="B655">
        <f t="shared" si="117"/>
        <v>0</v>
      </c>
      <c r="C655">
        <f t="shared" si="118"/>
        <v>0</v>
      </c>
      <c r="G655">
        <f>IF(OR($G$1="",对账补充行!$C48="",对账补充行!$C48&lt;&gt;$G$1),0,IF(NOT(OR(N(对账补充行!$H48)&lt;&gt;0,N(对账补充行!$I48)&lt;&gt;0)),0,IF(对账补充行!$B48="",1,IF(OR(N(对账补充行!$B48)&lt;$H$1,N(对账补充行!$B48)&gt;$I$1),0,1))))</f>
        <v>0</v>
      </c>
      <c r="H655">
        <f t="shared" si="119"/>
        <v>0</v>
      </c>
      <c r="I655" t="str">
        <f>IF($G655=0,"",IF(对账补充行!$B48=0,"",对账补充行!$B48))</f>
        <v/>
      </c>
      <c r="J655" t="str">
        <f>IF($G655=0,"",IF(对账补充行!$D48=0,"",对账补充行!$D48))</f>
        <v/>
      </c>
      <c r="K655" t="str">
        <f>IF($G655=0,"",IF(对账补充行!$E48=0,"",对账补充行!$E48))</f>
        <v/>
      </c>
      <c r="L655" t="str">
        <f>IF($G655=0,"",IF(对账补充行!$F48=0,"",对账补充行!$F48))</f>
        <v/>
      </c>
      <c r="M655" t="str">
        <f>IF($G655=0,"",IF(对账补充行!$G48=0,"",对账补充行!$G48))</f>
        <v/>
      </c>
      <c r="N655" t="str">
        <f>IF($G655=0,"",IF(对账补充行!$H48=0,"",对账补充行!$H48))</f>
        <v/>
      </c>
      <c r="O655" t="str">
        <f>IF($G655=0,"",IF(对账补充行!$I48=0,"",对账补充行!$I48))</f>
        <v/>
      </c>
      <c r="P655" t="str">
        <f>IF($G655=0,"",IF(对账补充行!$J48=0,"",对账补充行!$J48))</f>
        <v/>
      </c>
      <c r="T655" t="str">
        <f>IF(成本费用登记表!$D55="","",成本费用登记表!$D55)</f>
        <v/>
      </c>
      <c r="U655">
        <f t="shared" si="120"/>
        <v>0</v>
      </c>
      <c r="V655">
        <f t="shared" si="121"/>
        <v>0</v>
      </c>
    </row>
    <row r="656" spans="1:22">
      <c r="A656" t="str">
        <f>IF(资金日记账!$F354="","",资金日记账!$F354)</f>
        <v/>
      </c>
      <c r="B656">
        <f t="shared" si="117"/>
        <v>0</v>
      </c>
      <c r="C656">
        <f t="shared" si="118"/>
        <v>0</v>
      </c>
      <c r="G656">
        <f>IF(OR($G$1="",对账补充行!$C49="",对账补充行!$C49&lt;&gt;$G$1),0,IF(NOT(OR(N(对账补充行!$H49)&lt;&gt;0,N(对账补充行!$I49)&lt;&gt;0)),0,IF(对账补充行!$B49="",1,IF(OR(N(对账补充行!$B49)&lt;$H$1,N(对账补充行!$B49)&gt;$I$1),0,1))))</f>
        <v>0</v>
      </c>
      <c r="H656">
        <f t="shared" si="119"/>
        <v>0</v>
      </c>
      <c r="I656" t="str">
        <f>IF($G656=0,"",IF(对账补充行!$B49=0,"",对账补充行!$B49))</f>
        <v/>
      </c>
      <c r="J656" t="str">
        <f>IF($G656=0,"",IF(对账补充行!$D49=0,"",对账补充行!$D49))</f>
        <v/>
      </c>
      <c r="K656" t="str">
        <f>IF($G656=0,"",IF(对账补充行!$E49=0,"",对账补充行!$E49))</f>
        <v/>
      </c>
      <c r="L656" t="str">
        <f>IF($G656=0,"",IF(对账补充行!$F49=0,"",对账补充行!$F49))</f>
        <v/>
      </c>
      <c r="M656" t="str">
        <f>IF($G656=0,"",IF(对账补充行!$G49=0,"",对账补充行!$G49))</f>
        <v/>
      </c>
      <c r="N656" t="str">
        <f>IF($G656=0,"",IF(对账补充行!$H49=0,"",对账补充行!$H49))</f>
        <v/>
      </c>
      <c r="O656" t="str">
        <f>IF($G656=0,"",IF(对账补充行!$I49=0,"",对账补充行!$I49))</f>
        <v/>
      </c>
      <c r="P656" t="str">
        <f>IF($G656=0,"",IF(对账补充行!$J49=0,"",对账补充行!$J49))</f>
        <v/>
      </c>
      <c r="T656" t="str">
        <f>IF(成本费用登记表!$D56="","",成本费用登记表!$D56)</f>
        <v/>
      </c>
      <c r="U656">
        <f t="shared" si="120"/>
        <v>0</v>
      </c>
      <c r="V656">
        <f t="shared" si="121"/>
        <v>0</v>
      </c>
    </row>
    <row r="657" spans="1:22">
      <c r="A657" t="str">
        <f>IF(资金日记账!$F355="","",资金日记账!$F355)</f>
        <v/>
      </c>
      <c r="B657">
        <f t="shared" si="117"/>
        <v>0</v>
      </c>
      <c r="C657">
        <f t="shared" si="118"/>
        <v>0</v>
      </c>
      <c r="G657">
        <f>IF(OR($G$1="",对账补充行!$C50="",对账补充行!$C50&lt;&gt;$G$1),0,IF(NOT(OR(N(对账补充行!$H50)&lt;&gt;0,N(对账补充行!$I50)&lt;&gt;0)),0,IF(对账补充行!$B50="",1,IF(OR(N(对账补充行!$B50)&lt;$H$1,N(对账补充行!$B50)&gt;$I$1),0,1))))</f>
        <v>0</v>
      </c>
      <c r="H657">
        <f t="shared" si="119"/>
        <v>0</v>
      </c>
      <c r="I657" t="str">
        <f>IF($G657=0,"",IF(对账补充行!$B50=0,"",对账补充行!$B50))</f>
        <v/>
      </c>
      <c r="J657" t="str">
        <f>IF($G657=0,"",IF(对账补充行!$D50=0,"",对账补充行!$D50))</f>
        <v/>
      </c>
      <c r="K657" t="str">
        <f>IF($G657=0,"",IF(对账补充行!$E50=0,"",对账补充行!$E50))</f>
        <v/>
      </c>
      <c r="L657" t="str">
        <f>IF($G657=0,"",IF(对账补充行!$F50=0,"",对账补充行!$F50))</f>
        <v/>
      </c>
      <c r="M657" t="str">
        <f>IF($G657=0,"",IF(对账补充行!$G50=0,"",对账补充行!$G50))</f>
        <v/>
      </c>
      <c r="N657" t="str">
        <f>IF($G657=0,"",IF(对账补充行!$H50=0,"",对账补充行!$H50))</f>
        <v/>
      </c>
      <c r="O657" t="str">
        <f>IF($G657=0,"",IF(对账补充行!$I50=0,"",对账补充行!$I50))</f>
        <v/>
      </c>
      <c r="P657" t="str">
        <f>IF($G657=0,"",IF(对账补充行!$J50=0,"",对账补充行!$J50))</f>
        <v/>
      </c>
      <c r="T657" t="str">
        <f>IF(成本费用登记表!$D57="","",成本费用登记表!$D57)</f>
        <v/>
      </c>
      <c r="U657">
        <f t="shared" si="120"/>
        <v>0</v>
      </c>
      <c r="V657">
        <f t="shared" si="121"/>
        <v>0</v>
      </c>
    </row>
    <row r="658" spans="1:22">
      <c r="A658" t="str">
        <f>IF(资金日记账!$F356="","",资金日记账!$F356)</f>
        <v/>
      </c>
      <c r="B658">
        <f t="shared" si="117"/>
        <v>0</v>
      </c>
      <c r="C658">
        <f t="shared" si="118"/>
        <v>0</v>
      </c>
      <c r="G658">
        <f>IF(OR($G$1="",对账补充行!$C51="",对账补充行!$C51&lt;&gt;$G$1),0,IF(NOT(OR(N(对账补充行!$H51)&lt;&gt;0,N(对账补充行!$I51)&lt;&gt;0)),0,IF(对账补充行!$B51="",1,IF(OR(N(对账补充行!$B51)&lt;$H$1,N(对账补充行!$B51)&gt;$I$1),0,1))))</f>
        <v>0</v>
      </c>
      <c r="H658">
        <f t="shared" si="119"/>
        <v>0</v>
      </c>
      <c r="I658" t="str">
        <f>IF($G658=0,"",IF(对账补充行!$B51=0,"",对账补充行!$B51))</f>
        <v/>
      </c>
      <c r="J658" t="str">
        <f>IF($G658=0,"",IF(对账补充行!$D51=0,"",对账补充行!$D51))</f>
        <v/>
      </c>
      <c r="K658" t="str">
        <f>IF($G658=0,"",IF(对账补充行!$E51=0,"",对账补充行!$E51))</f>
        <v/>
      </c>
      <c r="L658" t="str">
        <f>IF($G658=0,"",IF(对账补充行!$F51=0,"",对账补充行!$F51))</f>
        <v/>
      </c>
      <c r="M658" t="str">
        <f>IF($G658=0,"",IF(对账补充行!$G51=0,"",对账补充行!$G51))</f>
        <v/>
      </c>
      <c r="N658" t="str">
        <f>IF($G658=0,"",IF(对账补充行!$H51=0,"",对账补充行!$H51))</f>
        <v/>
      </c>
      <c r="O658" t="str">
        <f>IF($G658=0,"",IF(对账补充行!$I51=0,"",对账补充行!$I51))</f>
        <v/>
      </c>
      <c r="P658" t="str">
        <f>IF($G658=0,"",IF(对账补充行!$J51=0,"",对账补充行!$J51))</f>
        <v/>
      </c>
      <c r="T658" t="str">
        <f>IF(成本费用登记表!$D58="","",成本费用登记表!$D58)</f>
        <v/>
      </c>
      <c r="U658">
        <f t="shared" si="120"/>
        <v>0</v>
      </c>
      <c r="V658">
        <f t="shared" si="121"/>
        <v>0</v>
      </c>
    </row>
    <row r="659" spans="1:22">
      <c r="A659" t="str">
        <f>IF(资金日记账!$F357="","",资金日记账!$F357)</f>
        <v/>
      </c>
      <c r="B659">
        <f t="shared" si="117"/>
        <v>0</v>
      </c>
      <c r="C659">
        <f t="shared" si="118"/>
        <v>0</v>
      </c>
      <c r="G659">
        <f>IF(OR($G$1="",对账补充行!$C52="",对账补充行!$C52&lt;&gt;$G$1),0,IF(NOT(OR(N(对账补充行!$H52)&lt;&gt;0,N(对账补充行!$I52)&lt;&gt;0)),0,IF(对账补充行!$B52="",1,IF(OR(N(对账补充行!$B52)&lt;$H$1,N(对账补充行!$B52)&gt;$I$1),0,1))))</f>
        <v>0</v>
      </c>
      <c r="H659">
        <f t="shared" si="119"/>
        <v>0</v>
      </c>
      <c r="I659" t="str">
        <f>IF($G659=0,"",IF(对账补充行!$B52=0,"",对账补充行!$B52))</f>
        <v/>
      </c>
      <c r="J659" t="str">
        <f>IF($G659=0,"",IF(对账补充行!$D52=0,"",对账补充行!$D52))</f>
        <v/>
      </c>
      <c r="K659" t="str">
        <f>IF($G659=0,"",IF(对账补充行!$E52=0,"",对账补充行!$E52))</f>
        <v/>
      </c>
      <c r="L659" t="str">
        <f>IF($G659=0,"",IF(对账补充行!$F52=0,"",对账补充行!$F52))</f>
        <v/>
      </c>
      <c r="M659" t="str">
        <f>IF($G659=0,"",IF(对账补充行!$G52=0,"",对账补充行!$G52))</f>
        <v/>
      </c>
      <c r="N659" t="str">
        <f>IF($G659=0,"",IF(对账补充行!$H52=0,"",对账补充行!$H52))</f>
        <v/>
      </c>
      <c r="O659" t="str">
        <f>IF($G659=0,"",IF(对账补充行!$I52=0,"",对账补充行!$I52))</f>
        <v/>
      </c>
      <c r="P659" t="str">
        <f>IF($G659=0,"",IF(对账补充行!$J52=0,"",对账补充行!$J52))</f>
        <v/>
      </c>
      <c r="T659" t="str">
        <f>IF(成本费用登记表!$D59="","",成本费用登记表!$D59)</f>
        <v/>
      </c>
      <c r="U659">
        <f t="shared" si="120"/>
        <v>0</v>
      </c>
      <c r="V659">
        <f t="shared" si="121"/>
        <v>0</v>
      </c>
    </row>
    <row r="660" spans="1:22">
      <c r="A660" t="str">
        <f>IF(资金日记账!$F358="","",资金日记账!$F358)</f>
        <v/>
      </c>
      <c r="B660">
        <f t="shared" si="117"/>
        <v>0</v>
      </c>
      <c r="C660">
        <f t="shared" si="118"/>
        <v>0</v>
      </c>
      <c r="G660">
        <f>IF(OR($G$1="",对账补充行!$C53="",对账补充行!$C53&lt;&gt;$G$1),0,IF(NOT(OR(N(对账补充行!$H53)&lt;&gt;0,N(对账补充行!$I53)&lt;&gt;0)),0,IF(对账补充行!$B53="",1,IF(OR(N(对账补充行!$B53)&lt;$H$1,N(对账补充行!$B53)&gt;$I$1),0,1))))</f>
        <v>0</v>
      </c>
      <c r="H660">
        <f t="shared" si="119"/>
        <v>0</v>
      </c>
      <c r="I660" t="str">
        <f>IF($G660=0,"",IF(对账补充行!$B53=0,"",对账补充行!$B53))</f>
        <v/>
      </c>
      <c r="J660" t="str">
        <f>IF($G660=0,"",IF(对账补充行!$D53=0,"",对账补充行!$D53))</f>
        <v/>
      </c>
      <c r="K660" t="str">
        <f>IF($G660=0,"",IF(对账补充行!$E53=0,"",对账补充行!$E53))</f>
        <v/>
      </c>
      <c r="L660" t="str">
        <f>IF($G660=0,"",IF(对账补充行!$F53=0,"",对账补充行!$F53))</f>
        <v/>
      </c>
      <c r="M660" t="str">
        <f>IF($G660=0,"",IF(对账补充行!$G53=0,"",对账补充行!$G53))</f>
        <v/>
      </c>
      <c r="N660" t="str">
        <f>IF($G660=0,"",IF(对账补充行!$H53=0,"",对账补充行!$H53))</f>
        <v/>
      </c>
      <c r="O660" t="str">
        <f>IF($G660=0,"",IF(对账补充行!$I53=0,"",对账补充行!$I53))</f>
        <v/>
      </c>
      <c r="P660" t="str">
        <f>IF($G660=0,"",IF(对账补充行!$J53=0,"",对账补充行!$J53))</f>
        <v/>
      </c>
      <c r="T660" t="str">
        <f>IF(成本费用登记表!$D60="","",成本费用登记表!$D60)</f>
        <v/>
      </c>
      <c r="U660">
        <f t="shared" si="120"/>
        <v>0</v>
      </c>
      <c r="V660">
        <f t="shared" si="121"/>
        <v>0</v>
      </c>
    </row>
    <row r="661" spans="1:22">
      <c r="A661" t="str">
        <f>IF(资金日记账!$F359="","",资金日记账!$F359)</f>
        <v/>
      </c>
      <c r="B661">
        <f t="shared" si="117"/>
        <v>0</v>
      </c>
      <c r="C661">
        <f t="shared" si="118"/>
        <v>0</v>
      </c>
      <c r="G661">
        <f>IF(OR($G$1="",对账补充行!$C54="",对账补充行!$C54&lt;&gt;$G$1),0,IF(NOT(OR(N(对账补充行!$H54)&lt;&gt;0,N(对账补充行!$I54)&lt;&gt;0)),0,IF(对账补充行!$B54="",1,IF(OR(N(对账补充行!$B54)&lt;$H$1,N(对账补充行!$B54)&gt;$I$1),0,1))))</f>
        <v>0</v>
      </c>
      <c r="H661">
        <f t="shared" si="119"/>
        <v>0</v>
      </c>
      <c r="I661" t="str">
        <f>IF($G661=0,"",IF(对账补充行!$B54=0,"",对账补充行!$B54))</f>
        <v/>
      </c>
      <c r="J661" t="str">
        <f>IF($G661=0,"",IF(对账补充行!$D54=0,"",对账补充行!$D54))</f>
        <v/>
      </c>
      <c r="K661" t="str">
        <f>IF($G661=0,"",IF(对账补充行!$E54=0,"",对账补充行!$E54))</f>
        <v/>
      </c>
      <c r="L661" t="str">
        <f>IF($G661=0,"",IF(对账补充行!$F54=0,"",对账补充行!$F54))</f>
        <v/>
      </c>
      <c r="M661" t="str">
        <f>IF($G661=0,"",IF(对账补充行!$G54=0,"",对账补充行!$G54))</f>
        <v/>
      </c>
      <c r="N661" t="str">
        <f>IF($G661=0,"",IF(对账补充行!$H54=0,"",对账补充行!$H54))</f>
        <v/>
      </c>
      <c r="O661" t="str">
        <f>IF($G661=0,"",IF(对账补充行!$I54=0,"",对账补充行!$I54))</f>
        <v/>
      </c>
      <c r="P661" t="str">
        <f>IF($G661=0,"",IF(对账补充行!$J54=0,"",对账补充行!$J54))</f>
        <v/>
      </c>
      <c r="T661" t="str">
        <f>IF(成本费用登记表!$D61="","",成本费用登记表!$D61)</f>
        <v/>
      </c>
      <c r="U661">
        <f t="shared" si="120"/>
        <v>0</v>
      </c>
      <c r="V661">
        <f t="shared" si="121"/>
        <v>0</v>
      </c>
    </row>
    <row r="662" spans="1:22">
      <c r="A662" t="str">
        <f>IF(资金日记账!$F360="","",资金日记账!$F360)</f>
        <v/>
      </c>
      <c r="B662">
        <f t="shared" si="117"/>
        <v>0</v>
      </c>
      <c r="C662">
        <f t="shared" si="118"/>
        <v>0</v>
      </c>
      <c r="G662">
        <f>IF(OR($G$1="",对账补充行!$C55="",对账补充行!$C55&lt;&gt;$G$1),0,IF(NOT(OR(N(对账补充行!$H55)&lt;&gt;0,N(对账补充行!$I55)&lt;&gt;0)),0,IF(对账补充行!$B55="",1,IF(OR(N(对账补充行!$B55)&lt;$H$1,N(对账补充行!$B55)&gt;$I$1),0,1))))</f>
        <v>0</v>
      </c>
      <c r="H662">
        <f t="shared" si="119"/>
        <v>0</v>
      </c>
      <c r="I662" t="str">
        <f>IF($G662=0,"",IF(对账补充行!$B55=0,"",对账补充行!$B55))</f>
        <v/>
      </c>
      <c r="J662" t="str">
        <f>IF($G662=0,"",IF(对账补充行!$D55=0,"",对账补充行!$D55))</f>
        <v/>
      </c>
      <c r="K662" t="str">
        <f>IF($G662=0,"",IF(对账补充行!$E55=0,"",对账补充行!$E55))</f>
        <v/>
      </c>
      <c r="L662" t="str">
        <f>IF($G662=0,"",IF(对账补充行!$F55=0,"",对账补充行!$F55))</f>
        <v/>
      </c>
      <c r="M662" t="str">
        <f>IF($G662=0,"",IF(对账补充行!$G55=0,"",对账补充行!$G55))</f>
        <v/>
      </c>
      <c r="N662" t="str">
        <f>IF($G662=0,"",IF(对账补充行!$H55=0,"",对账补充行!$H55))</f>
        <v/>
      </c>
      <c r="O662" t="str">
        <f>IF($G662=0,"",IF(对账补充行!$I55=0,"",对账补充行!$I55))</f>
        <v/>
      </c>
      <c r="P662" t="str">
        <f>IF($G662=0,"",IF(对账补充行!$J55=0,"",对账补充行!$J55))</f>
        <v/>
      </c>
      <c r="T662" t="str">
        <f>IF(成本费用登记表!$D62="","",成本费用登记表!$D62)</f>
        <v/>
      </c>
      <c r="U662">
        <f t="shared" si="120"/>
        <v>0</v>
      </c>
      <c r="V662">
        <f t="shared" si="121"/>
        <v>0</v>
      </c>
    </row>
    <row r="663" spans="1:22">
      <c r="A663" t="str">
        <f>IF(资金日记账!$F361="","",资金日记账!$F361)</f>
        <v/>
      </c>
      <c r="B663">
        <f t="shared" si="117"/>
        <v>0</v>
      </c>
      <c r="C663">
        <f t="shared" si="118"/>
        <v>0</v>
      </c>
      <c r="G663">
        <f>IF(OR($G$1="",对账补充行!$C56="",对账补充行!$C56&lt;&gt;$G$1),0,IF(NOT(OR(N(对账补充行!$H56)&lt;&gt;0,N(对账补充行!$I56)&lt;&gt;0)),0,IF(对账补充行!$B56="",1,IF(OR(N(对账补充行!$B56)&lt;$H$1,N(对账补充行!$B56)&gt;$I$1),0,1))))</f>
        <v>0</v>
      </c>
      <c r="H663">
        <f t="shared" si="119"/>
        <v>0</v>
      </c>
      <c r="I663" t="str">
        <f>IF($G663=0,"",IF(对账补充行!$B56=0,"",对账补充行!$B56))</f>
        <v/>
      </c>
      <c r="J663" t="str">
        <f>IF($G663=0,"",IF(对账补充行!$D56=0,"",对账补充行!$D56))</f>
        <v/>
      </c>
      <c r="K663" t="str">
        <f>IF($G663=0,"",IF(对账补充行!$E56=0,"",对账补充行!$E56))</f>
        <v/>
      </c>
      <c r="L663" t="str">
        <f>IF($G663=0,"",IF(对账补充行!$F56=0,"",对账补充行!$F56))</f>
        <v/>
      </c>
      <c r="M663" t="str">
        <f>IF($G663=0,"",IF(对账补充行!$G56=0,"",对账补充行!$G56))</f>
        <v/>
      </c>
      <c r="N663" t="str">
        <f>IF($G663=0,"",IF(对账补充行!$H56=0,"",对账补充行!$H56))</f>
        <v/>
      </c>
      <c r="O663" t="str">
        <f>IF($G663=0,"",IF(对账补充行!$I56=0,"",对账补充行!$I56))</f>
        <v/>
      </c>
      <c r="P663" t="str">
        <f>IF($G663=0,"",IF(对账补充行!$J56=0,"",对账补充行!$J56))</f>
        <v/>
      </c>
      <c r="T663" t="str">
        <f>IF(成本费用登记表!$D63="","",成本费用登记表!$D63)</f>
        <v/>
      </c>
      <c r="U663">
        <f t="shared" si="120"/>
        <v>0</v>
      </c>
      <c r="V663">
        <f t="shared" si="121"/>
        <v>0</v>
      </c>
    </row>
    <row r="664" spans="1:22">
      <c r="A664" t="str">
        <f>IF(资金日记账!$F362="","",资金日记账!$F362)</f>
        <v/>
      </c>
      <c r="B664">
        <f t="shared" si="117"/>
        <v>0</v>
      </c>
      <c r="C664">
        <f t="shared" si="118"/>
        <v>0</v>
      </c>
      <c r="G664">
        <f>IF(OR($G$1="",对账补充行!$C57="",对账补充行!$C57&lt;&gt;$G$1),0,IF(NOT(OR(N(对账补充行!$H57)&lt;&gt;0,N(对账补充行!$I57)&lt;&gt;0)),0,IF(对账补充行!$B57="",1,IF(OR(N(对账补充行!$B57)&lt;$H$1,N(对账补充行!$B57)&gt;$I$1),0,1))))</f>
        <v>0</v>
      </c>
      <c r="H664">
        <f t="shared" si="119"/>
        <v>0</v>
      </c>
      <c r="I664" t="str">
        <f>IF($G664=0,"",IF(对账补充行!$B57=0,"",对账补充行!$B57))</f>
        <v/>
      </c>
      <c r="J664" t="str">
        <f>IF($G664=0,"",IF(对账补充行!$D57=0,"",对账补充行!$D57))</f>
        <v/>
      </c>
      <c r="K664" t="str">
        <f>IF($G664=0,"",IF(对账补充行!$E57=0,"",对账补充行!$E57))</f>
        <v/>
      </c>
      <c r="L664" t="str">
        <f>IF($G664=0,"",IF(对账补充行!$F57=0,"",对账补充行!$F57))</f>
        <v/>
      </c>
      <c r="M664" t="str">
        <f>IF($G664=0,"",IF(对账补充行!$G57=0,"",对账补充行!$G57))</f>
        <v/>
      </c>
      <c r="N664" t="str">
        <f>IF($G664=0,"",IF(对账补充行!$H57=0,"",对账补充行!$H57))</f>
        <v/>
      </c>
      <c r="O664" t="str">
        <f>IF($G664=0,"",IF(对账补充行!$I57=0,"",对账补充行!$I57))</f>
        <v/>
      </c>
      <c r="P664" t="str">
        <f>IF($G664=0,"",IF(对账补充行!$J57=0,"",对账补充行!$J57))</f>
        <v/>
      </c>
      <c r="T664" t="str">
        <f>IF(成本费用登记表!$D64="","",成本费用登记表!$D64)</f>
        <v/>
      </c>
      <c r="U664">
        <f t="shared" si="120"/>
        <v>0</v>
      </c>
      <c r="V664">
        <f t="shared" si="121"/>
        <v>0</v>
      </c>
    </row>
    <row r="665" spans="1:22">
      <c r="A665" t="str">
        <f>IF(资金日记账!$F363="","",资金日记账!$F363)</f>
        <v/>
      </c>
      <c r="B665">
        <f t="shared" si="117"/>
        <v>0</v>
      </c>
      <c r="C665">
        <f t="shared" si="118"/>
        <v>0</v>
      </c>
      <c r="G665">
        <f>IF(OR($G$1="",对账补充行!$C58="",对账补充行!$C58&lt;&gt;$G$1),0,IF(NOT(OR(N(对账补充行!$H58)&lt;&gt;0,N(对账补充行!$I58)&lt;&gt;0)),0,IF(对账补充行!$B58="",1,IF(OR(N(对账补充行!$B58)&lt;$H$1,N(对账补充行!$B58)&gt;$I$1),0,1))))</f>
        <v>0</v>
      </c>
      <c r="H665">
        <f t="shared" si="119"/>
        <v>0</v>
      </c>
      <c r="I665" t="str">
        <f>IF($G665=0,"",IF(对账补充行!$B58=0,"",对账补充行!$B58))</f>
        <v/>
      </c>
      <c r="J665" t="str">
        <f>IF($G665=0,"",IF(对账补充行!$D58=0,"",对账补充行!$D58))</f>
        <v/>
      </c>
      <c r="K665" t="str">
        <f>IF($G665=0,"",IF(对账补充行!$E58=0,"",对账补充行!$E58))</f>
        <v/>
      </c>
      <c r="L665" t="str">
        <f>IF($G665=0,"",IF(对账补充行!$F58=0,"",对账补充行!$F58))</f>
        <v/>
      </c>
      <c r="M665" t="str">
        <f>IF($G665=0,"",IF(对账补充行!$G58=0,"",对账补充行!$G58))</f>
        <v/>
      </c>
      <c r="N665" t="str">
        <f>IF($G665=0,"",IF(对账补充行!$H58=0,"",对账补充行!$H58))</f>
        <v/>
      </c>
      <c r="O665" t="str">
        <f>IF($G665=0,"",IF(对账补充行!$I58=0,"",对账补充行!$I58))</f>
        <v/>
      </c>
      <c r="P665" t="str">
        <f>IF($G665=0,"",IF(对账补充行!$J58=0,"",对账补充行!$J58))</f>
        <v/>
      </c>
      <c r="T665" t="str">
        <f>IF(成本费用登记表!$D65="","",成本费用登记表!$D65)</f>
        <v/>
      </c>
      <c r="U665">
        <f t="shared" si="120"/>
        <v>0</v>
      </c>
      <c r="V665">
        <f t="shared" si="121"/>
        <v>0</v>
      </c>
    </row>
    <row r="666" spans="1:22">
      <c r="A666" t="str">
        <f>IF(资金日记账!$F364="","",资金日记账!$F364)</f>
        <v/>
      </c>
      <c r="B666">
        <f t="shared" si="117"/>
        <v>0</v>
      </c>
      <c r="C666">
        <f t="shared" si="118"/>
        <v>0</v>
      </c>
      <c r="G666">
        <f>IF(OR($G$1="",对账补充行!$C59="",对账补充行!$C59&lt;&gt;$G$1),0,IF(NOT(OR(N(对账补充行!$H59)&lt;&gt;0,N(对账补充行!$I59)&lt;&gt;0)),0,IF(对账补充行!$B59="",1,IF(OR(N(对账补充行!$B59)&lt;$H$1,N(对账补充行!$B59)&gt;$I$1),0,1))))</f>
        <v>0</v>
      </c>
      <c r="H666">
        <f t="shared" si="119"/>
        <v>0</v>
      </c>
      <c r="I666" t="str">
        <f>IF($G666=0,"",IF(对账补充行!$B59=0,"",对账补充行!$B59))</f>
        <v/>
      </c>
      <c r="J666" t="str">
        <f>IF($G666=0,"",IF(对账补充行!$D59=0,"",对账补充行!$D59))</f>
        <v/>
      </c>
      <c r="K666" t="str">
        <f>IF($G666=0,"",IF(对账补充行!$E59=0,"",对账补充行!$E59))</f>
        <v/>
      </c>
      <c r="L666" t="str">
        <f>IF($G666=0,"",IF(对账补充行!$F59=0,"",对账补充行!$F59))</f>
        <v/>
      </c>
      <c r="M666" t="str">
        <f>IF($G666=0,"",IF(对账补充行!$G59=0,"",对账补充行!$G59))</f>
        <v/>
      </c>
      <c r="N666" t="str">
        <f>IF($G666=0,"",IF(对账补充行!$H59=0,"",对账补充行!$H59))</f>
        <v/>
      </c>
      <c r="O666" t="str">
        <f>IF($G666=0,"",IF(对账补充行!$I59=0,"",对账补充行!$I59))</f>
        <v/>
      </c>
      <c r="P666" t="str">
        <f>IF($G666=0,"",IF(对账补充行!$J59=0,"",对账补充行!$J59))</f>
        <v/>
      </c>
      <c r="T666" t="str">
        <f>IF(成本费用登记表!$D66="","",成本费用登记表!$D66)</f>
        <v/>
      </c>
      <c r="U666">
        <f t="shared" si="120"/>
        <v>0</v>
      </c>
      <c r="V666">
        <f t="shared" si="121"/>
        <v>0</v>
      </c>
    </row>
    <row r="667" spans="1:22">
      <c r="A667" t="str">
        <f>IF(资金日记账!$F365="","",资金日记账!$F365)</f>
        <v/>
      </c>
      <c r="B667">
        <f t="shared" si="117"/>
        <v>0</v>
      </c>
      <c r="C667">
        <f t="shared" si="118"/>
        <v>0</v>
      </c>
      <c r="G667">
        <f>IF(OR($G$1="",对账补充行!$C60="",对账补充行!$C60&lt;&gt;$G$1),0,IF(NOT(OR(N(对账补充行!$H60)&lt;&gt;0,N(对账补充行!$I60)&lt;&gt;0)),0,IF(对账补充行!$B60="",1,IF(OR(N(对账补充行!$B60)&lt;$H$1,N(对账补充行!$B60)&gt;$I$1),0,1))))</f>
        <v>0</v>
      </c>
      <c r="H667">
        <f t="shared" si="119"/>
        <v>0</v>
      </c>
      <c r="I667" t="str">
        <f>IF($G667=0,"",IF(对账补充行!$B60=0,"",对账补充行!$B60))</f>
        <v/>
      </c>
      <c r="J667" t="str">
        <f>IF($G667=0,"",IF(对账补充行!$D60=0,"",对账补充行!$D60))</f>
        <v/>
      </c>
      <c r="K667" t="str">
        <f>IF($G667=0,"",IF(对账补充行!$E60=0,"",对账补充行!$E60))</f>
        <v/>
      </c>
      <c r="L667" t="str">
        <f>IF($G667=0,"",IF(对账补充行!$F60=0,"",对账补充行!$F60))</f>
        <v/>
      </c>
      <c r="M667" t="str">
        <f>IF($G667=0,"",IF(对账补充行!$G60=0,"",对账补充行!$G60))</f>
        <v/>
      </c>
      <c r="N667" t="str">
        <f>IF($G667=0,"",IF(对账补充行!$H60=0,"",对账补充行!$H60))</f>
        <v/>
      </c>
      <c r="O667" t="str">
        <f>IF($G667=0,"",IF(对账补充行!$I60=0,"",对账补充行!$I60))</f>
        <v/>
      </c>
      <c r="P667" t="str">
        <f>IF($G667=0,"",IF(对账补充行!$J60=0,"",对账补充行!$J60))</f>
        <v/>
      </c>
      <c r="T667" t="str">
        <f>IF(成本费用登记表!$D67="","",成本费用登记表!$D67)</f>
        <v/>
      </c>
      <c r="U667">
        <f t="shared" si="120"/>
        <v>0</v>
      </c>
      <c r="V667">
        <f t="shared" si="121"/>
        <v>0</v>
      </c>
    </row>
    <row r="668" spans="1:22">
      <c r="A668" t="str">
        <f>IF(资金日记账!$F366="","",资金日记账!$F366)</f>
        <v/>
      </c>
      <c r="B668">
        <f t="shared" si="117"/>
        <v>0</v>
      </c>
      <c r="C668">
        <f t="shared" si="118"/>
        <v>0</v>
      </c>
      <c r="G668">
        <f>IF(OR($G$1="",对账补充行!$C61="",对账补充行!$C61&lt;&gt;$G$1),0,IF(NOT(OR(N(对账补充行!$H61)&lt;&gt;0,N(对账补充行!$I61)&lt;&gt;0)),0,IF(对账补充行!$B61="",1,IF(OR(N(对账补充行!$B61)&lt;$H$1,N(对账补充行!$B61)&gt;$I$1),0,1))))</f>
        <v>0</v>
      </c>
      <c r="H668">
        <f t="shared" si="119"/>
        <v>0</v>
      </c>
      <c r="I668" t="str">
        <f>IF($G668=0,"",IF(对账补充行!$B61=0,"",对账补充行!$B61))</f>
        <v/>
      </c>
      <c r="J668" t="str">
        <f>IF($G668=0,"",IF(对账补充行!$D61=0,"",对账补充行!$D61))</f>
        <v/>
      </c>
      <c r="K668" t="str">
        <f>IF($G668=0,"",IF(对账补充行!$E61=0,"",对账补充行!$E61))</f>
        <v/>
      </c>
      <c r="L668" t="str">
        <f>IF($G668=0,"",IF(对账补充行!$F61=0,"",对账补充行!$F61))</f>
        <v/>
      </c>
      <c r="M668" t="str">
        <f>IF($G668=0,"",IF(对账补充行!$G61=0,"",对账补充行!$G61))</f>
        <v/>
      </c>
      <c r="N668" t="str">
        <f>IF($G668=0,"",IF(对账补充行!$H61=0,"",对账补充行!$H61))</f>
        <v/>
      </c>
      <c r="O668" t="str">
        <f>IF($G668=0,"",IF(对账补充行!$I61=0,"",对账补充行!$I61))</f>
        <v/>
      </c>
      <c r="P668" t="str">
        <f>IF($G668=0,"",IF(对账补充行!$J61=0,"",对账补充行!$J61))</f>
        <v/>
      </c>
      <c r="T668" t="str">
        <f>IF(成本费用登记表!$D68="","",成本费用登记表!$D68)</f>
        <v/>
      </c>
      <c r="U668">
        <f t="shared" si="120"/>
        <v>0</v>
      </c>
      <c r="V668">
        <f t="shared" si="121"/>
        <v>0</v>
      </c>
    </row>
    <row r="669" spans="1:22">
      <c r="A669" t="str">
        <f>IF(资金日记账!$F367="","",资金日记账!$F367)</f>
        <v/>
      </c>
      <c r="B669">
        <f t="shared" si="117"/>
        <v>0</v>
      </c>
      <c r="C669">
        <f t="shared" si="118"/>
        <v>0</v>
      </c>
      <c r="G669">
        <f>IF(OR($G$1="",对账补充行!$C62="",对账补充行!$C62&lt;&gt;$G$1),0,IF(NOT(OR(N(对账补充行!$H62)&lt;&gt;0,N(对账补充行!$I62)&lt;&gt;0)),0,IF(对账补充行!$B62="",1,IF(OR(N(对账补充行!$B62)&lt;$H$1,N(对账补充行!$B62)&gt;$I$1),0,1))))</f>
        <v>0</v>
      </c>
      <c r="H669">
        <f t="shared" si="119"/>
        <v>0</v>
      </c>
      <c r="I669" t="str">
        <f>IF($G669=0,"",IF(对账补充行!$B62=0,"",对账补充行!$B62))</f>
        <v/>
      </c>
      <c r="J669" t="str">
        <f>IF($G669=0,"",IF(对账补充行!$D62=0,"",对账补充行!$D62))</f>
        <v/>
      </c>
      <c r="K669" t="str">
        <f>IF($G669=0,"",IF(对账补充行!$E62=0,"",对账补充行!$E62))</f>
        <v/>
      </c>
      <c r="L669" t="str">
        <f>IF($G669=0,"",IF(对账补充行!$F62=0,"",对账补充行!$F62))</f>
        <v/>
      </c>
      <c r="M669" t="str">
        <f>IF($G669=0,"",IF(对账补充行!$G62=0,"",对账补充行!$G62))</f>
        <v/>
      </c>
      <c r="N669" t="str">
        <f>IF($G669=0,"",IF(对账补充行!$H62=0,"",对账补充行!$H62))</f>
        <v/>
      </c>
      <c r="O669" t="str">
        <f>IF($G669=0,"",IF(对账补充行!$I62=0,"",对账补充行!$I62))</f>
        <v/>
      </c>
      <c r="P669" t="str">
        <f>IF($G669=0,"",IF(对账补充行!$J62=0,"",对账补充行!$J62))</f>
        <v/>
      </c>
      <c r="T669" t="str">
        <f>IF(成本费用登记表!$D69="","",成本费用登记表!$D69)</f>
        <v/>
      </c>
      <c r="U669">
        <f t="shared" si="120"/>
        <v>0</v>
      </c>
      <c r="V669">
        <f t="shared" si="121"/>
        <v>0</v>
      </c>
    </row>
    <row r="670" spans="1:22">
      <c r="A670" t="str">
        <f>IF(资金日记账!$F368="","",资金日记账!$F368)</f>
        <v/>
      </c>
      <c r="B670">
        <f t="shared" si="117"/>
        <v>0</v>
      </c>
      <c r="C670">
        <f t="shared" si="118"/>
        <v>0</v>
      </c>
      <c r="G670">
        <f>IF(OR($G$1="",对账补充行!$C63="",对账补充行!$C63&lt;&gt;$G$1),0,IF(NOT(OR(N(对账补充行!$H63)&lt;&gt;0,N(对账补充行!$I63)&lt;&gt;0)),0,IF(对账补充行!$B63="",1,IF(OR(N(对账补充行!$B63)&lt;$H$1,N(对账补充行!$B63)&gt;$I$1),0,1))))</f>
        <v>0</v>
      </c>
      <c r="H670">
        <f t="shared" si="119"/>
        <v>0</v>
      </c>
      <c r="I670" t="str">
        <f>IF($G670=0,"",IF(对账补充行!$B63=0,"",对账补充行!$B63))</f>
        <v/>
      </c>
      <c r="J670" t="str">
        <f>IF($G670=0,"",IF(对账补充行!$D63=0,"",对账补充行!$D63))</f>
        <v/>
      </c>
      <c r="K670" t="str">
        <f>IF($G670=0,"",IF(对账补充行!$E63=0,"",对账补充行!$E63))</f>
        <v/>
      </c>
      <c r="L670" t="str">
        <f>IF($G670=0,"",IF(对账补充行!$F63=0,"",对账补充行!$F63))</f>
        <v/>
      </c>
      <c r="M670" t="str">
        <f>IF($G670=0,"",IF(对账补充行!$G63=0,"",对账补充行!$G63))</f>
        <v/>
      </c>
      <c r="N670" t="str">
        <f>IF($G670=0,"",IF(对账补充行!$H63=0,"",对账补充行!$H63))</f>
        <v/>
      </c>
      <c r="O670" t="str">
        <f>IF($G670=0,"",IF(对账补充行!$I63=0,"",对账补充行!$I63))</f>
        <v/>
      </c>
      <c r="P670" t="str">
        <f>IF($G670=0,"",IF(对账补充行!$J63=0,"",对账补充行!$J63))</f>
        <v/>
      </c>
      <c r="T670" t="str">
        <f>IF(成本费用登记表!$D70="","",成本费用登记表!$D70)</f>
        <v/>
      </c>
      <c r="U670">
        <f t="shared" si="120"/>
        <v>0</v>
      </c>
      <c r="V670">
        <f t="shared" si="121"/>
        <v>0</v>
      </c>
    </row>
    <row r="671" spans="1:22">
      <c r="A671" t="str">
        <f>IF(资金日记账!$F369="","",资金日记账!$F369)</f>
        <v/>
      </c>
      <c r="B671">
        <f t="shared" si="117"/>
        <v>0</v>
      </c>
      <c r="C671">
        <f t="shared" si="118"/>
        <v>0</v>
      </c>
      <c r="G671">
        <f>IF(OR($G$1="",对账补充行!$C64="",对账补充行!$C64&lt;&gt;$G$1),0,IF(NOT(OR(N(对账补充行!$H64)&lt;&gt;0,N(对账补充行!$I64)&lt;&gt;0)),0,IF(对账补充行!$B64="",1,IF(OR(N(对账补充行!$B64)&lt;$H$1,N(对账补充行!$B64)&gt;$I$1),0,1))))</f>
        <v>0</v>
      </c>
      <c r="H671">
        <f t="shared" si="119"/>
        <v>0</v>
      </c>
      <c r="I671" t="str">
        <f>IF($G671=0,"",IF(对账补充行!$B64=0,"",对账补充行!$B64))</f>
        <v/>
      </c>
      <c r="J671" t="str">
        <f>IF($G671=0,"",IF(对账补充行!$D64=0,"",对账补充行!$D64))</f>
        <v/>
      </c>
      <c r="K671" t="str">
        <f>IF($G671=0,"",IF(对账补充行!$E64=0,"",对账补充行!$E64))</f>
        <v/>
      </c>
      <c r="L671" t="str">
        <f>IF($G671=0,"",IF(对账补充行!$F64=0,"",对账补充行!$F64))</f>
        <v/>
      </c>
      <c r="M671" t="str">
        <f>IF($G671=0,"",IF(对账补充行!$G64=0,"",对账补充行!$G64))</f>
        <v/>
      </c>
      <c r="N671" t="str">
        <f>IF($G671=0,"",IF(对账补充行!$H64=0,"",对账补充行!$H64))</f>
        <v/>
      </c>
      <c r="O671" t="str">
        <f>IF($G671=0,"",IF(对账补充行!$I64=0,"",对账补充行!$I64))</f>
        <v/>
      </c>
      <c r="P671" t="str">
        <f>IF($G671=0,"",IF(对账补充行!$J64=0,"",对账补充行!$J64))</f>
        <v/>
      </c>
      <c r="T671" t="str">
        <f>IF(成本费用登记表!$D71="","",成本费用登记表!$D71)</f>
        <v/>
      </c>
      <c r="U671">
        <f t="shared" si="120"/>
        <v>0</v>
      </c>
      <c r="V671">
        <f t="shared" si="121"/>
        <v>0</v>
      </c>
    </row>
    <row r="672" spans="1:22">
      <c r="A672" t="str">
        <f>IF(资金日记账!$F370="","",资金日记账!$F370)</f>
        <v/>
      </c>
      <c r="B672">
        <f t="shared" si="117"/>
        <v>0</v>
      </c>
      <c r="C672">
        <f t="shared" si="118"/>
        <v>0</v>
      </c>
      <c r="G672">
        <f>IF(OR($G$1="",对账补充行!$C65="",对账补充行!$C65&lt;&gt;$G$1),0,IF(NOT(OR(N(对账补充行!$H65)&lt;&gt;0,N(对账补充行!$I65)&lt;&gt;0)),0,IF(对账补充行!$B65="",1,IF(OR(N(对账补充行!$B65)&lt;$H$1,N(对账补充行!$B65)&gt;$I$1),0,1))))</f>
        <v>0</v>
      </c>
      <c r="H672">
        <f t="shared" si="119"/>
        <v>0</v>
      </c>
      <c r="I672" t="str">
        <f>IF($G672=0,"",IF(对账补充行!$B65=0,"",对账补充行!$B65))</f>
        <v/>
      </c>
      <c r="J672" t="str">
        <f>IF($G672=0,"",IF(对账补充行!$D65=0,"",对账补充行!$D65))</f>
        <v/>
      </c>
      <c r="K672" t="str">
        <f>IF($G672=0,"",IF(对账补充行!$E65=0,"",对账补充行!$E65))</f>
        <v/>
      </c>
      <c r="L672" t="str">
        <f>IF($G672=0,"",IF(对账补充行!$F65=0,"",对账补充行!$F65))</f>
        <v/>
      </c>
      <c r="M672" t="str">
        <f>IF($G672=0,"",IF(对账补充行!$G65=0,"",对账补充行!$G65))</f>
        <v/>
      </c>
      <c r="N672" t="str">
        <f>IF($G672=0,"",IF(对账补充行!$H65=0,"",对账补充行!$H65))</f>
        <v/>
      </c>
      <c r="O672" t="str">
        <f>IF($G672=0,"",IF(对账补充行!$I65=0,"",对账补充行!$I65))</f>
        <v/>
      </c>
      <c r="P672" t="str">
        <f>IF($G672=0,"",IF(对账补充行!$J65=0,"",对账补充行!$J65))</f>
        <v/>
      </c>
      <c r="T672" t="str">
        <f>IF(成本费用登记表!$D72="","",成本费用登记表!$D72)</f>
        <v/>
      </c>
      <c r="U672">
        <f t="shared" si="120"/>
        <v>0</v>
      </c>
      <c r="V672">
        <f t="shared" si="121"/>
        <v>0</v>
      </c>
    </row>
    <row r="673" spans="1:22">
      <c r="A673" t="str">
        <f>IF(资金日记账!$F371="","",资金日记账!$F371)</f>
        <v/>
      </c>
      <c r="B673">
        <f t="shared" si="117"/>
        <v>0</v>
      </c>
      <c r="C673">
        <f t="shared" si="118"/>
        <v>0</v>
      </c>
      <c r="G673">
        <f>IF(OR($G$1="",对账补充行!$C66="",对账补充行!$C66&lt;&gt;$G$1),0,IF(NOT(OR(N(对账补充行!$H66)&lt;&gt;0,N(对账补充行!$I66)&lt;&gt;0)),0,IF(对账补充行!$B66="",1,IF(OR(N(对账补充行!$B66)&lt;$H$1,N(对账补充行!$B66)&gt;$I$1),0,1))))</f>
        <v>0</v>
      </c>
      <c r="H673">
        <f t="shared" si="119"/>
        <v>0</v>
      </c>
      <c r="I673" t="str">
        <f>IF($G673=0,"",IF(对账补充行!$B66=0,"",对账补充行!$B66))</f>
        <v/>
      </c>
      <c r="J673" t="str">
        <f>IF($G673=0,"",IF(对账补充行!$D66=0,"",对账补充行!$D66))</f>
        <v/>
      </c>
      <c r="K673" t="str">
        <f>IF($G673=0,"",IF(对账补充行!$E66=0,"",对账补充行!$E66))</f>
        <v/>
      </c>
      <c r="L673" t="str">
        <f>IF($G673=0,"",IF(对账补充行!$F66=0,"",对账补充行!$F66))</f>
        <v/>
      </c>
      <c r="M673" t="str">
        <f>IF($G673=0,"",IF(对账补充行!$G66=0,"",对账补充行!$G66))</f>
        <v/>
      </c>
      <c r="N673" t="str">
        <f>IF($G673=0,"",IF(对账补充行!$H66=0,"",对账补充行!$H66))</f>
        <v/>
      </c>
      <c r="O673" t="str">
        <f>IF($G673=0,"",IF(对账补充行!$I66=0,"",对账补充行!$I66))</f>
        <v/>
      </c>
      <c r="P673" t="str">
        <f>IF($G673=0,"",IF(对账补充行!$J66=0,"",对账补充行!$J66))</f>
        <v/>
      </c>
      <c r="T673" t="str">
        <f>IF(成本费用登记表!$D73="","",成本费用登记表!$D73)</f>
        <v/>
      </c>
      <c r="U673">
        <f t="shared" si="120"/>
        <v>0</v>
      </c>
      <c r="V673">
        <f t="shared" si="121"/>
        <v>0</v>
      </c>
    </row>
    <row r="674" spans="1:22">
      <c r="A674" t="str">
        <f>IF(资金日记账!$F372="","",资金日记账!$F372)</f>
        <v/>
      </c>
      <c r="B674">
        <f t="shared" si="117"/>
        <v>0</v>
      </c>
      <c r="C674">
        <f t="shared" si="118"/>
        <v>0</v>
      </c>
      <c r="G674">
        <f>IF(OR($G$1="",对账补充行!$C67="",对账补充行!$C67&lt;&gt;$G$1),0,IF(NOT(OR(N(对账补充行!$H67)&lt;&gt;0,N(对账补充行!$I67)&lt;&gt;0)),0,IF(对账补充行!$B67="",1,IF(OR(N(对账补充行!$B67)&lt;$H$1,N(对账补充行!$B67)&gt;$I$1),0,1))))</f>
        <v>0</v>
      </c>
      <c r="H674">
        <f t="shared" si="119"/>
        <v>0</v>
      </c>
      <c r="I674" t="str">
        <f>IF($G674=0,"",IF(对账补充行!$B67=0,"",对账补充行!$B67))</f>
        <v/>
      </c>
      <c r="J674" t="str">
        <f>IF($G674=0,"",IF(对账补充行!$D67=0,"",对账补充行!$D67))</f>
        <v/>
      </c>
      <c r="K674" t="str">
        <f>IF($G674=0,"",IF(对账补充行!$E67=0,"",对账补充行!$E67))</f>
        <v/>
      </c>
      <c r="L674" t="str">
        <f>IF($G674=0,"",IF(对账补充行!$F67=0,"",对账补充行!$F67))</f>
        <v/>
      </c>
      <c r="M674" t="str">
        <f>IF($G674=0,"",IF(对账补充行!$G67=0,"",对账补充行!$G67))</f>
        <v/>
      </c>
      <c r="N674" t="str">
        <f>IF($G674=0,"",IF(对账补充行!$H67=0,"",对账补充行!$H67))</f>
        <v/>
      </c>
      <c r="O674" t="str">
        <f>IF($G674=0,"",IF(对账补充行!$I67=0,"",对账补充行!$I67))</f>
        <v/>
      </c>
      <c r="P674" t="str">
        <f>IF($G674=0,"",IF(对账补充行!$J67=0,"",对账补充行!$J67))</f>
        <v/>
      </c>
      <c r="T674" t="str">
        <f>IF(成本费用登记表!$D74="","",成本费用登记表!$D74)</f>
        <v/>
      </c>
      <c r="U674">
        <f t="shared" si="120"/>
        <v>0</v>
      </c>
      <c r="V674">
        <f t="shared" si="121"/>
        <v>0</v>
      </c>
    </row>
    <row r="675" spans="1:22">
      <c r="A675" t="str">
        <f>IF(资金日记账!$F373="","",资金日记账!$F373)</f>
        <v/>
      </c>
      <c r="B675">
        <f t="shared" si="117"/>
        <v>0</v>
      </c>
      <c r="C675">
        <f t="shared" si="118"/>
        <v>0</v>
      </c>
      <c r="G675">
        <f>IF(OR($G$1="",对账补充行!$C68="",对账补充行!$C68&lt;&gt;$G$1),0,IF(NOT(OR(N(对账补充行!$H68)&lt;&gt;0,N(对账补充行!$I68)&lt;&gt;0)),0,IF(对账补充行!$B68="",1,IF(OR(N(对账补充行!$B68)&lt;$H$1,N(对账补充行!$B68)&gt;$I$1),0,1))))</f>
        <v>0</v>
      </c>
      <c r="H675">
        <f t="shared" si="119"/>
        <v>0</v>
      </c>
      <c r="I675" t="str">
        <f>IF($G675=0,"",IF(对账补充行!$B68=0,"",对账补充行!$B68))</f>
        <v/>
      </c>
      <c r="J675" t="str">
        <f>IF($G675=0,"",IF(对账补充行!$D68=0,"",对账补充行!$D68))</f>
        <v/>
      </c>
      <c r="K675" t="str">
        <f>IF($G675=0,"",IF(对账补充行!$E68=0,"",对账补充行!$E68))</f>
        <v/>
      </c>
      <c r="L675" t="str">
        <f>IF($G675=0,"",IF(对账补充行!$F68=0,"",对账补充行!$F68))</f>
        <v/>
      </c>
      <c r="M675" t="str">
        <f>IF($G675=0,"",IF(对账补充行!$G68=0,"",对账补充行!$G68))</f>
        <v/>
      </c>
      <c r="N675" t="str">
        <f>IF($G675=0,"",IF(对账补充行!$H68=0,"",对账补充行!$H68))</f>
        <v/>
      </c>
      <c r="O675" t="str">
        <f>IF($G675=0,"",IF(对账补充行!$I68=0,"",对账补充行!$I68))</f>
        <v/>
      </c>
      <c r="P675" t="str">
        <f>IF($G675=0,"",IF(对账补充行!$J68=0,"",对账补充行!$J68))</f>
        <v/>
      </c>
      <c r="T675" t="str">
        <f>IF(成本费用登记表!$D75="","",成本费用登记表!$D75)</f>
        <v/>
      </c>
      <c r="U675">
        <f t="shared" si="120"/>
        <v>0</v>
      </c>
      <c r="V675">
        <f t="shared" si="121"/>
        <v>0</v>
      </c>
    </row>
    <row r="676" spans="1:22">
      <c r="A676" t="str">
        <f>IF(资金日记账!$F374="","",资金日记账!$F374)</f>
        <v/>
      </c>
      <c r="B676">
        <f t="shared" si="117"/>
        <v>0</v>
      </c>
      <c r="C676">
        <f t="shared" si="118"/>
        <v>0</v>
      </c>
      <c r="G676">
        <f>IF(OR($G$1="",对账补充行!$C69="",对账补充行!$C69&lt;&gt;$G$1),0,IF(NOT(OR(N(对账补充行!$H69)&lt;&gt;0,N(对账补充行!$I69)&lt;&gt;0)),0,IF(对账补充行!$B69="",1,IF(OR(N(对账补充行!$B69)&lt;$H$1,N(对账补充行!$B69)&gt;$I$1),0,1))))</f>
        <v>0</v>
      </c>
      <c r="H676">
        <f t="shared" si="119"/>
        <v>0</v>
      </c>
      <c r="I676" t="str">
        <f>IF($G676=0,"",IF(对账补充行!$B69=0,"",对账补充行!$B69))</f>
        <v/>
      </c>
      <c r="J676" t="str">
        <f>IF($G676=0,"",IF(对账补充行!$D69=0,"",对账补充行!$D69))</f>
        <v/>
      </c>
      <c r="K676" t="str">
        <f>IF($G676=0,"",IF(对账补充行!$E69=0,"",对账补充行!$E69))</f>
        <v/>
      </c>
      <c r="L676" t="str">
        <f>IF($G676=0,"",IF(对账补充行!$F69=0,"",对账补充行!$F69))</f>
        <v/>
      </c>
      <c r="M676" t="str">
        <f>IF($G676=0,"",IF(对账补充行!$G69=0,"",对账补充行!$G69))</f>
        <v/>
      </c>
      <c r="N676" t="str">
        <f>IF($G676=0,"",IF(对账补充行!$H69=0,"",对账补充行!$H69))</f>
        <v/>
      </c>
      <c r="O676" t="str">
        <f>IF($G676=0,"",IF(对账补充行!$I69=0,"",对账补充行!$I69))</f>
        <v/>
      </c>
      <c r="P676" t="str">
        <f>IF($G676=0,"",IF(对账补充行!$J69=0,"",对账补充行!$J69))</f>
        <v/>
      </c>
      <c r="T676" t="str">
        <f>IF(成本费用登记表!$D76="","",成本费用登记表!$D76)</f>
        <v/>
      </c>
      <c r="U676">
        <f t="shared" si="120"/>
        <v>0</v>
      </c>
      <c r="V676">
        <f t="shared" si="121"/>
        <v>0</v>
      </c>
    </row>
    <row r="677" spans="1:22">
      <c r="A677" t="str">
        <f>IF(资金日记账!$F375="","",资金日记账!$F375)</f>
        <v/>
      </c>
      <c r="B677">
        <f t="shared" si="117"/>
        <v>0</v>
      </c>
      <c r="C677">
        <f t="shared" si="118"/>
        <v>0</v>
      </c>
      <c r="G677">
        <f>IF(OR($G$1="",对账补充行!$C70="",对账补充行!$C70&lt;&gt;$G$1),0,IF(NOT(OR(N(对账补充行!$H70)&lt;&gt;0,N(对账补充行!$I70)&lt;&gt;0)),0,IF(对账补充行!$B70="",1,IF(OR(N(对账补充行!$B70)&lt;$H$1,N(对账补充行!$B70)&gt;$I$1),0,1))))</f>
        <v>0</v>
      </c>
      <c r="H677">
        <f t="shared" si="119"/>
        <v>0</v>
      </c>
      <c r="I677" t="str">
        <f>IF($G677=0,"",IF(对账补充行!$B70=0,"",对账补充行!$B70))</f>
        <v/>
      </c>
      <c r="J677" t="str">
        <f>IF($G677=0,"",IF(对账补充行!$D70=0,"",对账补充行!$D70))</f>
        <v/>
      </c>
      <c r="K677" t="str">
        <f>IF($G677=0,"",IF(对账补充行!$E70=0,"",对账补充行!$E70))</f>
        <v/>
      </c>
      <c r="L677" t="str">
        <f>IF($G677=0,"",IF(对账补充行!$F70=0,"",对账补充行!$F70))</f>
        <v/>
      </c>
      <c r="M677" t="str">
        <f>IF($G677=0,"",IF(对账补充行!$G70=0,"",对账补充行!$G70))</f>
        <v/>
      </c>
      <c r="N677" t="str">
        <f>IF($G677=0,"",IF(对账补充行!$H70=0,"",对账补充行!$H70))</f>
        <v/>
      </c>
      <c r="O677" t="str">
        <f>IF($G677=0,"",IF(对账补充行!$I70=0,"",对账补充行!$I70))</f>
        <v/>
      </c>
      <c r="P677" t="str">
        <f>IF($G677=0,"",IF(对账补充行!$J70=0,"",对账补充行!$J70))</f>
        <v/>
      </c>
      <c r="T677" t="str">
        <f>IF(成本费用登记表!$D77="","",成本费用登记表!$D77)</f>
        <v/>
      </c>
      <c r="U677">
        <f t="shared" si="120"/>
        <v>0</v>
      </c>
      <c r="V677">
        <f t="shared" si="121"/>
        <v>0</v>
      </c>
    </row>
    <row r="678" spans="1:22">
      <c r="A678" t="str">
        <f>IF(资金日记账!$F376="","",资金日记账!$F376)</f>
        <v/>
      </c>
      <c r="B678">
        <f t="shared" si="117"/>
        <v>0</v>
      </c>
      <c r="C678">
        <f t="shared" si="118"/>
        <v>0</v>
      </c>
      <c r="G678">
        <f>IF(OR($G$1="",对账补充行!$C71="",对账补充行!$C71&lt;&gt;$G$1),0,IF(NOT(OR(N(对账补充行!$H71)&lt;&gt;0,N(对账补充行!$I71)&lt;&gt;0)),0,IF(对账补充行!$B71="",1,IF(OR(N(对账补充行!$B71)&lt;$H$1,N(对账补充行!$B71)&gt;$I$1),0,1))))</f>
        <v>0</v>
      </c>
      <c r="H678">
        <f t="shared" si="119"/>
        <v>0</v>
      </c>
      <c r="I678" t="str">
        <f>IF($G678=0,"",IF(对账补充行!$B71=0,"",对账补充行!$B71))</f>
        <v/>
      </c>
      <c r="J678" t="str">
        <f>IF($G678=0,"",IF(对账补充行!$D71=0,"",对账补充行!$D71))</f>
        <v/>
      </c>
      <c r="K678" t="str">
        <f>IF($G678=0,"",IF(对账补充行!$E71=0,"",对账补充行!$E71))</f>
        <v/>
      </c>
      <c r="L678" t="str">
        <f>IF($G678=0,"",IF(对账补充行!$F71=0,"",对账补充行!$F71))</f>
        <v/>
      </c>
      <c r="M678" t="str">
        <f>IF($G678=0,"",IF(对账补充行!$G71=0,"",对账补充行!$G71))</f>
        <v/>
      </c>
      <c r="N678" t="str">
        <f>IF($G678=0,"",IF(对账补充行!$H71=0,"",对账补充行!$H71))</f>
        <v/>
      </c>
      <c r="O678" t="str">
        <f>IF($G678=0,"",IF(对账补充行!$I71=0,"",对账补充行!$I71))</f>
        <v/>
      </c>
      <c r="P678" t="str">
        <f>IF($G678=0,"",IF(对账补充行!$J71=0,"",对账补充行!$J71))</f>
        <v/>
      </c>
      <c r="T678" t="str">
        <f>IF(成本费用登记表!$D78="","",成本费用登记表!$D78)</f>
        <v/>
      </c>
      <c r="U678">
        <f t="shared" si="120"/>
        <v>0</v>
      </c>
      <c r="V678">
        <f t="shared" si="121"/>
        <v>0</v>
      </c>
    </row>
    <row r="679" spans="1:22">
      <c r="A679" t="str">
        <f>IF(资金日记账!$F377="","",资金日记账!$F377)</f>
        <v/>
      </c>
      <c r="B679">
        <f t="shared" si="117"/>
        <v>0</v>
      </c>
      <c r="C679">
        <f t="shared" si="118"/>
        <v>0</v>
      </c>
      <c r="G679">
        <f>IF(OR($G$1="",对账补充行!$C72="",对账补充行!$C72&lt;&gt;$G$1),0,IF(NOT(OR(N(对账补充行!$H72)&lt;&gt;0,N(对账补充行!$I72)&lt;&gt;0)),0,IF(对账补充行!$B72="",1,IF(OR(N(对账补充行!$B72)&lt;$H$1,N(对账补充行!$B72)&gt;$I$1),0,1))))</f>
        <v>0</v>
      </c>
      <c r="H679">
        <f t="shared" si="119"/>
        <v>0</v>
      </c>
      <c r="I679" t="str">
        <f>IF($G679=0,"",IF(对账补充行!$B72=0,"",对账补充行!$B72))</f>
        <v/>
      </c>
      <c r="J679" t="str">
        <f>IF($G679=0,"",IF(对账补充行!$D72=0,"",对账补充行!$D72))</f>
        <v/>
      </c>
      <c r="K679" t="str">
        <f>IF($G679=0,"",IF(对账补充行!$E72=0,"",对账补充行!$E72))</f>
        <v/>
      </c>
      <c r="L679" t="str">
        <f>IF($G679=0,"",IF(对账补充行!$F72=0,"",对账补充行!$F72))</f>
        <v/>
      </c>
      <c r="M679" t="str">
        <f>IF($G679=0,"",IF(对账补充行!$G72=0,"",对账补充行!$G72))</f>
        <v/>
      </c>
      <c r="N679" t="str">
        <f>IF($G679=0,"",IF(对账补充行!$H72=0,"",对账补充行!$H72))</f>
        <v/>
      </c>
      <c r="O679" t="str">
        <f>IF($G679=0,"",IF(对账补充行!$I72=0,"",对账补充行!$I72))</f>
        <v/>
      </c>
      <c r="P679" t="str">
        <f>IF($G679=0,"",IF(对账补充行!$J72=0,"",对账补充行!$J72))</f>
        <v/>
      </c>
      <c r="T679" t="str">
        <f>IF(成本费用登记表!$D79="","",成本费用登记表!$D79)</f>
        <v/>
      </c>
      <c r="U679">
        <f t="shared" si="120"/>
        <v>0</v>
      </c>
      <c r="V679">
        <f t="shared" si="121"/>
        <v>0</v>
      </c>
    </row>
    <row r="680" spans="1:22">
      <c r="A680" t="str">
        <f>IF(资金日记账!$F378="","",资金日记账!$F378)</f>
        <v/>
      </c>
      <c r="B680">
        <f t="shared" si="117"/>
        <v>0</v>
      </c>
      <c r="C680">
        <f t="shared" si="118"/>
        <v>0</v>
      </c>
      <c r="G680">
        <f>IF(OR($G$1="",对账补充行!$C73="",对账补充行!$C73&lt;&gt;$G$1),0,IF(NOT(OR(N(对账补充行!$H73)&lt;&gt;0,N(对账补充行!$I73)&lt;&gt;0)),0,IF(对账补充行!$B73="",1,IF(OR(N(对账补充行!$B73)&lt;$H$1,N(对账补充行!$B73)&gt;$I$1),0,1))))</f>
        <v>0</v>
      </c>
      <c r="H680">
        <f t="shared" si="119"/>
        <v>0</v>
      </c>
      <c r="I680" t="str">
        <f>IF($G680=0,"",IF(对账补充行!$B73=0,"",对账补充行!$B73))</f>
        <v/>
      </c>
      <c r="J680" t="str">
        <f>IF($G680=0,"",IF(对账补充行!$D73=0,"",对账补充行!$D73))</f>
        <v/>
      </c>
      <c r="K680" t="str">
        <f>IF($G680=0,"",IF(对账补充行!$E73=0,"",对账补充行!$E73))</f>
        <v/>
      </c>
      <c r="L680" t="str">
        <f>IF($G680=0,"",IF(对账补充行!$F73=0,"",对账补充行!$F73))</f>
        <v/>
      </c>
      <c r="M680" t="str">
        <f>IF($G680=0,"",IF(对账补充行!$G73=0,"",对账补充行!$G73))</f>
        <v/>
      </c>
      <c r="N680" t="str">
        <f>IF($G680=0,"",IF(对账补充行!$H73=0,"",对账补充行!$H73))</f>
        <v/>
      </c>
      <c r="O680" t="str">
        <f>IF($G680=0,"",IF(对账补充行!$I73=0,"",对账补充行!$I73))</f>
        <v/>
      </c>
      <c r="P680" t="str">
        <f>IF($G680=0,"",IF(对账补充行!$J73=0,"",对账补充行!$J73))</f>
        <v/>
      </c>
      <c r="T680" t="str">
        <f>IF(成本费用登记表!$D80="","",成本费用登记表!$D80)</f>
        <v/>
      </c>
      <c r="U680">
        <f t="shared" si="120"/>
        <v>0</v>
      </c>
      <c r="V680">
        <f t="shared" si="121"/>
        <v>0</v>
      </c>
    </row>
    <row r="681" spans="1:22">
      <c r="A681" t="str">
        <f>IF(资金日记账!$F379="","",资金日记账!$F379)</f>
        <v/>
      </c>
      <c r="B681">
        <f t="shared" si="117"/>
        <v>0</v>
      </c>
      <c r="C681">
        <f t="shared" si="118"/>
        <v>0</v>
      </c>
      <c r="G681">
        <f>IF(OR($G$1="",对账补充行!$C74="",对账补充行!$C74&lt;&gt;$G$1),0,IF(NOT(OR(N(对账补充行!$H74)&lt;&gt;0,N(对账补充行!$I74)&lt;&gt;0)),0,IF(对账补充行!$B74="",1,IF(OR(N(对账补充行!$B74)&lt;$H$1,N(对账补充行!$B74)&gt;$I$1),0,1))))</f>
        <v>0</v>
      </c>
      <c r="H681">
        <f t="shared" si="119"/>
        <v>0</v>
      </c>
      <c r="I681" t="str">
        <f>IF($G681=0,"",IF(对账补充行!$B74=0,"",对账补充行!$B74))</f>
        <v/>
      </c>
      <c r="J681" t="str">
        <f>IF($G681=0,"",IF(对账补充行!$D74=0,"",对账补充行!$D74))</f>
        <v/>
      </c>
      <c r="K681" t="str">
        <f>IF($G681=0,"",IF(对账补充行!$E74=0,"",对账补充行!$E74))</f>
        <v/>
      </c>
      <c r="L681" t="str">
        <f>IF($G681=0,"",IF(对账补充行!$F74=0,"",对账补充行!$F74))</f>
        <v/>
      </c>
      <c r="M681" t="str">
        <f>IF($G681=0,"",IF(对账补充行!$G74=0,"",对账补充行!$G74))</f>
        <v/>
      </c>
      <c r="N681" t="str">
        <f>IF($G681=0,"",IF(对账补充行!$H74=0,"",对账补充行!$H74))</f>
        <v/>
      </c>
      <c r="O681" t="str">
        <f>IF($G681=0,"",IF(对账补充行!$I74=0,"",对账补充行!$I74))</f>
        <v/>
      </c>
      <c r="P681" t="str">
        <f>IF($G681=0,"",IF(对账补充行!$J74=0,"",对账补充行!$J74))</f>
        <v/>
      </c>
      <c r="T681" t="str">
        <f>IF(成本费用登记表!$D81="","",成本费用登记表!$D81)</f>
        <v/>
      </c>
      <c r="U681">
        <f t="shared" si="120"/>
        <v>0</v>
      </c>
      <c r="V681">
        <f t="shared" si="121"/>
        <v>0</v>
      </c>
    </row>
    <row r="682" spans="1:22">
      <c r="A682" t="str">
        <f>IF(资金日记账!$F380="","",资金日记账!$F380)</f>
        <v/>
      </c>
      <c r="B682">
        <f t="shared" si="117"/>
        <v>0</v>
      </c>
      <c r="C682">
        <f t="shared" si="118"/>
        <v>0</v>
      </c>
      <c r="G682">
        <f>IF(OR($G$1="",对账补充行!$C75="",对账补充行!$C75&lt;&gt;$G$1),0,IF(NOT(OR(N(对账补充行!$H75)&lt;&gt;0,N(对账补充行!$I75)&lt;&gt;0)),0,IF(对账补充行!$B75="",1,IF(OR(N(对账补充行!$B75)&lt;$H$1,N(对账补充行!$B75)&gt;$I$1),0,1))))</f>
        <v>0</v>
      </c>
      <c r="H682">
        <f t="shared" si="119"/>
        <v>0</v>
      </c>
      <c r="I682" t="str">
        <f>IF($G682=0,"",IF(对账补充行!$B75=0,"",对账补充行!$B75))</f>
        <v/>
      </c>
      <c r="J682" t="str">
        <f>IF($G682=0,"",IF(对账补充行!$D75=0,"",对账补充行!$D75))</f>
        <v/>
      </c>
      <c r="K682" t="str">
        <f>IF($G682=0,"",IF(对账补充行!$E75=0,"",对账补充行!$E75))</f>
        <v/>
      </c>
      <c r="L682" t="str">
        <f>IF($G682=0,"",IF(对账补充行!$F75=0,"",对账补充行!$F75))</f>
        <v/>
      </c>
      <c r="M682" t="str">
        <f>IF($G682=0,"",IF(对账补充行!$G75=0,"",对账补充行!$G75))</f>
        <v/>
      </c>
      <c r="N682" t="str">
        <f>IF($G682=0,"",IF(对账补充行!$H75=0,"",对账补充行!$H75))</f>
        <v/>
      </c>
      <c r="O682" t="str">
        <f>IF($G682=0,"",IF(对账补充行!$I75=0,"",对账补充行!$I75))</f>
        <v/>
      </c>
      <c r="P682" t="str">
        <f>IF($G682=0,"",IF(对账补充行!$J75=0,"",对账补充行!$J75))</f>
        <v/>
      </c>
      <c r="T682" t="str">
        <f>IF(成本费用登记表!$D82="","",成本费用登记表!$D82)</f>
        <v/>
      </c>
      <c r="U682">
        <f t="shared" si="120"/>
        <v>0</v>
      </c>
      <c r="V682">
        <f t="shared" si="121"/>
        <v>0</v>
      </c>
    </row>
    <row r="683" spans="1:22">
      <c r="A683" t="str">
        <f>IF(资金日记账!$F381="","",资金日记账!$F381)</f>
        <v/>
      </c>
      <c r="B683">
        <f t="shared" si="117"/>
        <v>0</v>
      </c>
      <c r="C683">
        <f t="shared" si="118"/>
        <v>0</v>
      </c>
      <c r="G683">
        <f>IF(OR($G$1="",对账补充行!$C76="",对账补充行!$C76&lt;&gt;$G$1),0,IF(NOT(OR(N(对账补充行!$H76)&lt;&gt;0,N(对账补充行!$I76)&lt;&gt;0)),0,IF(对账补充行!$B76="",1,IF(OR(N(对账补充行!$B76)&lt;$H$1,N(对账补充行!$B76)&gt;$I$1),0,1))))</f>
        <v>0</v>
      </c>
      <c r="H683">
        <f t="shared" si="119"/>
        <v>0</v>
      </c>
      <c r="I683" t="str">
        <f>IF($G683=0,"",IF(对账补充行!$B76=0,"",对账补充行!$B76))</f>
        <v/>
      </c>
      <c r="J683" t="str">
        <f>IF($G683=0,"",IF(对账补充行!$D76=0,"",对账补充行!$D76))</f>
        <v/>
      </c>
      <c r="K683" t="str">
        <f>IF($G683=0,"",IF(对账补充行!$E76=0,"",对账补充行!$E76))</f>
        <v/>
      </c>
      <c r="L683" t="str">
        <f>IF($G683=0,"",IF(对账补充行!$F76=0,"",对账补充行!$F76))</f>
        <v/>
      </c>
      <c r="M683" t="str">
        <f>IF($G683=0,"",IF(对账补充行!$G76=0,"",对账补充行!$G76))</f>
        <v/>
      </c>
      <c r="N683" t="str">
        <f>IF($G683=0,"",IF(对账补充行!$H76=0,"",对账补充行!$H76))</f>
        <v/>
      </c>
      <c r="O683" t="str">
        <f>IF($G683=0,"",IF(对账补充行!$I76=0,"",对账补充行!$I76))</f>
        <v/>
      </c>
      <c r="P683" t="str">
        <f>IF($G683=0,"",IF(对账补充行!$J76=0,"",对账补充行!$J76))</f>
        <v/>
      </c>
      <c r="T683" t="str">
        <f>IF(成本费用登记表!$D83="","",成本费用登记表!$D83)</f>
        <v/>
      </c>
      <c r="U683">
        <f t="shared" si="120"/>
        <v>0</v>
      </c>
      <c r="V683">
        <f t="shared" si="121"/>
        <v>0</v>
      </c>
    </row>
    <row r="684" spans="1:22">
      <c r="A684" t="str">
        <f>IF(资金日记账!$F382="","",资金日记账!$F382)</f>
        <v/>
      </c>
      <c r="B684">
        <f t="shared" si="117"/>
        <v>0</v>
      </c>
      <c r="C684">
        <f t="shared" si="118"/>
        <v>0</v>
      </c>
      <c r="G684">
        <f>IF(OR($G$1="",对账补充行!$C77="",对账补充行!$C77&lt;&gt;$G$1),0,IF(NOT(OR(N(对账补充行!$H77)&lt;&gt;0,N(对账补充行!$I77)&lt;&gt;0)),0,IF(对账补充行!$B77="",1,IF(OR(N(对账补充行!$B77)&lt;$H$1,N(对账补充行!$B77)&gt;$I$1),0,1))))</f>
        <v>0</v>
      </c>
      <c r="H684">
        <f t="shared" si="119"/>
        <v>0</v>
      </c>
      <c r="I684" t="str">
        <f>IF($G684=0,"",IF(对账补充行!$B77=0,"",对账补充行!$B77))</f>
        <v/>
      </c>
      <c r="J684" t="str">
        <f>IF($G684=0,"",IF(对账补充行!$D77=0,"",对账补充行!$D77))</f>
        <v/>
      </c>
      <c r="K684" t="str">
        <f>IF($G684=0,"",IF(对账补充行!$E77=0,"",对账补充行!$E77))</f>
        <v/>
      </c>
      <c r="L684" t="str">
        <f>IF($G684=0,"",IF(对账补充行!$F77=0,"",对账补充行!$F77))</f>
        <v/>
      </c>
      <c r="M684" t="str">
        <f>IF($G684=0,"",IF(对账补充行!$G77=0,"",对账补充行!$G77))</f>
        <v/>
      </c>
      <c r="N684" t="str">
        <f>IF($G684=0,"",IF(对账补充行!$H77=0,"",对账补充行!$H77))</f>
        <v/>
      </c>
      <c r="O684" t="str">
        <f>IF($G684=0,"",IF(对账补充行!$I77=0,"",对账补充行!$I77))</f>
        <v/>
      </c>
      <c r="P684" t="str">
        <f>IF($G684=0,"",IF(对账补充行!$J77=0,"",对账补充行!$J77))</f>
        <v/>
      </c>
      <c r="T684" t="str">
        <f>IF(成本费用登记表!$D84="","",成本费用登记表!$D84)</f>
        <v/>
      </c>
      <c r="U684">
        <f t="shared" si="120"/>
        <v>0</v>
      </c>
      <c r="V684">
        <f t="shared" si="121"/>
        <v>0</v>
      </c>
    </row>
    <row r="685" spans="1:22">
      <c r="A685" t="str">
        <f>IF(资金日记账!$F383="","",资金日记账!$F383)</f>
        <v/>
      </c>
      <c r="B685">
        <f t="shared" si="117"/>
        <v>0</v>
      </c>
      <c r="C685">
        <f t="shared" si="118"/>
        <v>0</v>
      </c>
      <c r="G685">
        <f>IF(OR($G$1="",对账补充行!$C78="",对账补充行!$C78&lt;&gt;$G$1),0,IF(NOT(OR(N(对账补充行!$H78)&lt;&gt;0,N(对账补充行!$I78)&lt;&gt;0)),0,IF(对账补充行!$B78="",1,IF(OR(N(对账补充行!$B78)&lt;$H$1,N(对账补充行!$B78)&gt;$I$1),0,1))))</f>
        <v>0</v>
      </c>
      <c r="H685">
        <f t="shared" si="119"/>
        <v>0</v>
      </c>
      <c r="I685" t="str">
        <f>IF($G685=0,"",IF(对账补充行!$B78=0,"",对账补充行!$B78))</f>
        <v/>
      </c>
      <c r="J685" t="str">
        <f>IF($G685=0,"",IF(对账补充行!$D78=0,"",对账补充行!$D78))</f>
        <v/>
      </c>
      <c r="K685" t="str">
        <f>IF($G685=0,"",IF(对账补充行!$E78=0,"",对账补充行!$E78))</f>
        <v/>
      </c>
      <c r="L685" t="str">
        <f>IF($G685=0,"",IF(对账补充行!$F78=0,"",对账补充行!$F78))</f>
        <v/>
      </c>
      <c r="M685" t="str">
        <f>IF($G685=0,"",IF(对账补充行!$G78=0,"",对账补充行!$G78))</f>
        <v/>
      </c>
      <c r="N685" t="str">
        <f>IF($G685=0,"",IF(对账补充行!$H78=0,"",对账补充行!$H78))</f>
        <v/>
      </c>
      <c r="O685" t="str">
        <f>IF($G685=0,"",IF(对账补充行!$I78=0,"",对账补充行!$I78))</f>
        <v/>
      </c>
      <c r="P685" t="str">
        <f>IF($G685=0,"",IF(对账补充行!$J78=0,"",对账补充行!$J78))</f>
        <v/>
      </c>
      <c r="T685" t="str">
        <f>IF(成本费用登记表!$D85="","",成本费用登记表!$D85)</f>
        <v/>
      </c>
      <c r="U685">
        <f t="shared" si="120"/>
        <v>0</v>
      </c>
      <c r="V685">
        <f t="shared" si="121"/>
        <v>0</v>
      </c>
    </row>
    <row r="686" spans="1:22">
      <c r="A686" t="str">
        <f>IF(资金日记账!$F384="","",资金日记账!$F384)</f>
        <v/>
      </c>
      <c r="B686">
        <f t="shared" si="117"/>
        <v>0</v>
      </c>
      <c r="C686">
        <f t="shared" si="118"/>
        <v>0</v>
      </c>
      <c r="G686">
        <f>IF(OR($G$1="",对账补充行!$C79="",对账补充行!$C79&lt;&gt;$G$1),0,IF(NOT(OR(N(对账补充行!$H79)&lt;&gt;0,N(对账补充行!$I79)&lt;&gt;0)),0,IF(对账补充行!$B79="",1,IF(OR(N(对账补充行!$B79)&lt;$H$1,N(对账补充行!$B79)&gt;$I$1),0,1))))</f>
        <v>0</v>
      </c>
      <c r="H686">
        <f t="shared" si="119"/>
        <v>0</v>
      </c>
      <c r="I686" t="str">
        <f>IF($G686=0,"",IF(对账补充行!$B79=0,"",对账补充行!$B79))</f>
        <v/>
      </c>
      <c r="J686" t="str">
        <f>IF($G686=0,"",IF(对账补充行!$D79=0,"",对账补充行!$D79))</f>
        <v/>
      </c>
      <c r="K686" t="str">
        <f>IF($G686=0,"",IF(对账补充行!$E79=0,"",对账补充行!$E79))</f>
        <v/>
      </c>
      <c r="L686" t="str">
        <f>IF($G686=0,"",IF(对账补充行!$F79=0,"",对账补充行!$F79))</f>
        <v/>
      </c>
      <c r="M686" t="str">
        <f>IF($G686=0,"",IF(对账补充行!$G79=0,"",对账补充行!$G79))</f>
        <v/>
      </c>
      <c r="N686" t="str">
        <f>IF($G686=0,"",IF(对账补充行!$H79=0,"",对账补充行!$H79))</f>
        <v/>
      </c>
      <c r="O686" t="str">
        <f>IF($G686=0,"",IF(对账补充行!$I79=0,"",对账补充行!$I79))</f>
        <v/>
      </c>
      <c r="P686" t="str">
        <f>IF($G686=0,"",IF(对账补充行!$J79=0,"",对账补充行!$J79))</f>
        <v/>
      </c>
      <c r="T686" t="str">
        <f>IF(成本费用登记表!$D86="","",成本费用登记表!$D86)</f>
        <v/>
      </c>
      <c r="U686">
        <f t="shared" si="120"/>
        <v>0</v>
      </c>
      <c r="V686">
        <f t="shared" si="121"/>
        <v>0</v>
      </c>
    </row>
    <row r="687" spans="1:22">
      <c r="A687" t="str">
        <f>IF(资金日记账!$F385="","",资金日记账!$F385)</f>
        <v/>
      </c>
      <c r="B687">
        <f t="shared" si="117"/>
        <v>0</v>
      </c>
      <c r="C687">
        <f t="shared" si="118"/>
        <v>0</v>
      </c>
      <c r="G687">
        <f>IF(OR($G$1="",对账补充行!$C80="",对账补充行!$C80&lt;&gt;$G$1),0,IF(NOT(OR(N(对账补充行!$H80)&lt;&gt;0,N(对账补充行!$I80)&lt;&gt;0)),0,IF(对账补充行!$B80="",1,IF(OR(N(对账补充行!$B80)&lt;$H$1,N(对账补充行!$B80)&gt;$I$1),0,1))))</f>
        <v>0</v>
      </c>
      <c r="H687">
        <f t="shared" si="119"/>
        <v>0</v>
      </c>
      <c r="I687" t="str">
        <f>IF($G687=0,"",IF(对账补充行!$B80=0,"",对账补充行!$B80))</f>
        <v/>
      </c>
      <c r="J687" t="str">
        <f>IF($G687=0,"",IF(对账补充行!$D80=0,"",对账补充行!$D80))</f>
        <v/>
      </c>
      <c r="K687" t="str">
        <f>IF($G687=0,"",IF(对账补充行!$E80=0,"",对账补充行!$E80))</f>
        <v/>
      </c>
      <c r="L687" t="str">
        <f>IF($G687=0,"",IF(对账补充行!$F80=0,"",对账补充行!$F80))</f>
        <v/>
      </c>
      <c r="M687" t="str">
        <f>IF($G687=0,"",IF(对账补充行!$G80=0,"",对账补充行!$G80))</f>
        <v/>
      </c>
      <c r="N687" t="str">
        <f>IF($G687=0,"",IF(对账补充行!$H80=0,"",对账补充行!$H80))</f>
        <v/>
      </c>
      <c r="O687" t="str">
        <f>IF($G687=0,"",IF(对账补充行!$I80=0,"",对账补充行!$I80))</f>
        <v/>
      </c>
      <c r="P687" t="str">
        <f>IF($G687=0,"",IF(对账补充行!$J80=0,"",对账补充行!$J80))</f>
        <v/>
      </c>
      <c r="T687" t="str">
        <f>IF(成本费用登记表!$D87="","",成本费用登记表!$D87)</f>
        <v/>
      </c>
      <c r="U687">
        <f t="shared" si="120"/>
        <v>0</v>
      </c>
      <c r="V687">
        <f t="shared" si="121"/>
        <v>0</v>
      </c>
    </row>
    <row r="688" spans="1:22">
      <c r="A688" t="str">
        <f>IF(资金日记账!$F386="","",资金日记账!$F386)</f>
        <v/>
      </c>
      <c r="B688">
        <f t="shared" si="117"/>
        <v>0</v>
      </c>
      <c r="C688">
        <f t="shared" si="118"/>
        <v>0</v>
      </c>
      <c r="G688">
        <f>IF(OR($G$1="",对账补充行!$C81="",对账补充行!$C81&lt;&gt;$G$1),0,IF(NOT(OR(N(对账补充行!$H81)&lt;&gt;0,N(对账补充行!$I81)&lt;&gt;0)),0,IF(对账补充行!$B81="",1,IF(OR(N(对账补充行!$B81)&lt;$H$1,N(对账补充行!$B81)&gt;$I$1),0,1))))</f>
        <v>0</v>
      </c>
      <c r="H688">
        <f t="shared" si="119"/>
        <v>0</v>
      </c>
      <c r="I688" t="str">
        <f>IF($G688=0,"",IF(对账补充行!$B81=0,"",对账补充行!$B81))</f>
        <v/>
      </c>
      <c r="J688" t="str">
        <f>IF($G688=0,"",IF(对账补充行!$D81=0,"",对账补充行!$D81))</f>
        <v/>
      </c>
      <c r="K688" t="str">
        <f>IF($G688=0,"",IF(对账补充行!$E81=0,"",对账补充行!$E81))</f>
        <v/>
      </c>
      <c r="L688" t="str">
        <f>IF($G688=0,"",IF(对账补充行!$F81=0,"",对账补充行!$F81))</f>
        <v/>
      </c>
      <c r="M688" t="str">
        <f>IF($G688=0,"",IF(对账补充行!$G81=0,"",对账补充行!$G81))</f>
        <v/>
      </c>
      <c r="N688" t="str">
        <f>IF($G688=0,"",IF(对账补充行!$H81=0,"",对账补充行!$H81))</f>
        <v/>
      </c>
      <c r="O688" t="str">
        <f>IF($G688=0,"",IF(对账补充行!$I81=0,"",对账补充行!$I81))</f>
        <v/>
      </c>
      <c r="P688" t="str">
        <f>IF($G688=0,"",IF(对账补充行!$J81=0,"",对账补充行!$J81))</f>
        <v/>
      </c>
      <c r="T688" t="str">
        <f>IF(成本费用登记表!$D88="","",成本费用登记表!$D88)</f>
        <v/>
      </c>
      <c r="U688">
        <f t="shared" si="120"/>
        <v>0</v>
      </c>
      <c r="V688">
        <f t="shared" si="121"/>
        <v>0</v>
      </c>
    </row>
    <row r="689" spans="1:22">
      <c r="A689" t="str">
        <f>IF(资金日记账!$F387="","",资金日记账!$F387)</f>
        <v/>
      </c>
      <c r="B689">
        <f t="shared" si="117"/>
        <v>0</v>
      </c>
      <c r="C689">
        <f t="shared" si="118"/>
        <v>0</v>
      </c>
      <c r="G689">
        <f>IF(OR($G$1="",对账补充行!$C82="",对账补充行!$C82&lt;&gt;$G$1),0,IF(NOT(OR(N(对账补充行!$H82)&lt;&gt;0,N(对账补充行!$I82)&lt;&gt;0)),0,IF(对账补充行!$B82="",1,IF(OR(N(对账补充行!$B82)&lt;$H$1,N(对账补充行!$B82)&gt;$I$1),0,1))))</f>
        <v>0</v>
      </c>
      <c r="H689">
        <f t="shared" si="119"/>
        <v>0</v>
      </c>
      <c r="I689" t="str">
        <f>IF($G689=0,"",IF(对账补充行!$B82=0,"",对账补充行!$B82))</f>
        <v/>
      </c>
      <c r="J689" t="str">
        <f>IF($G689=0,"",IF(对账补充行!$D82=0,"",对账补充行!$D82))</f>
        <v/>
      </c>
      <c r="K689" t="str">
        <f>IF($G689=0,"",IF(对账补充行!$E82=0,"",对账补充行!$E82))</f>
        <v/>
      </c>
      <c r="L689" t="str">
        <f>IF($G689=0,"",IF(对账补充行!$F82=0,"",对账补充行!$F82))</f>
        <v/>
      </c>
      <c r="M689" t="str">
        <f>IF($G689=0,"",IF(对账补充行!$G82=0,"",对账补充行!$G82))</f>
        <v/>
      </c>
      <c r="N689" t="str">
        <f>IF($G689=0,"",IF(对账补充行!$H82=0,"",对账补充行!$H82))</f>
        <v/>
      </c>
      <c r="O689" t="str">
        <f>IF($G689=0,"",IF(对账补充行!$I82=0,"",对账补充行!$I82))</f>
        <v/>
      </c>
      <c r="P689" t="str">
        <f>IF($G689=0,"",IF(对账补充行!$J82=0,"",对账补充行!$J82))</f>
        <v/>
      </c>
      <c r="T689" t="str">
        <f>IF(成本费用登记表!$D89="","",成本费用登记表!$D89)</f>
        <v/>
      </c>
      <c r="U689">
        <f t="shared" si="120"/>
        <v>0</v>
      </c>
      <c r="V689">
        <f t="shared" si="121"/>
        <v>0</v>
      </c>
    </row>
    <row r="690" spans="1:22">
      <c r="A690" t="str">
        <f>IF(资金日记账!$F388="","",资金日记账!$F388)</f>
        <v/>
      </c>
      <c r="B690">
        <f t="shared" si="117"/>
        <v>0</v>
      </c>
      <c r="C690">
        <f t="shared" si="118"/>
        <v>0</v>
      </c>
      <c r="G690">
        <f>IF(OR($G$1="",对账补充行!$C83="",对账补充行!$C83&lt;&gt;$G$1),0,IF(NOT(OR(N(对账补充行!$H83)&lt;&gt;0,N(对账补充行!$I83)&lt;&gt;0)),0,IF(对账补充行!$B83="",1,IF(OR(N(对账补充行!$B83)&lt;$H$1,N(对账补充行!$B83)&gt;$I$1),0,1))))</f>
        <v>0</v>
      </c>
      <c r="H690">
        <f t="shared" si="119"/>
        <v>0</v>
      </c>
      <c r="I690" t="str">
        <f>IF($G690=0,"",IF(对账补充行!$B83=0,"",对账补充行!$B83))</f>
        <v/>
      </c>
      <c r="J690" t="str">
        <f>IF($G690=0,"",IF(对账补充行!$D83=0,"",对账补充行!$D83))</f>
        <v/>
      </c>
      <c r="K690" t="str">
        <f>IF($G690=0,"",IF(对账补充行!$E83=0,"",对账补充行!$E83))</f>
        <v/>
      </c>
      <c r="L690" t="str">
        <f>IF($G690=0,"",IF(对账补充行!$F83=0,"",对账补充行!$F83))</f>
        <v/>
      </c>
      <c r="M690" t="str">
        <f>IF($G690=0,"",IF(对账补充行!$G83=0,"",对账补充行!$G83))</f>
        <v/>
      </c>
      <c r="N690" t="str">
        <f>IF($G690=0,"",IF(对账补充行!$H83=0,"",对账补充行!$H83))</f>
        <v/>
      </c>
      <c r="O690" t="str">
        <f>IF($G690=0,"",IF(对账补充行!$I83=0,"",对账补充行!$I83))</f>
        <v/>
      </c>
      <c r="P690" t="str">
        <f>IF($G690=0,"",IF(对账补充行!$J83=0,"",对账补充行!$J83))</f>
        <v/>
      </c>
      <c r="T690" t="str">
        <f>IF(成本费用登记表!$D90="","",成本费用登记表!$D90)</f>
        <v/>
      </c>
      <c r="U690">
        <f t="shared" si="120"/>
        <v>0</v>
      </c>
      <c r="V690">
        <f t="shared" si="121"/>
        <v>0</v>
      </c>
    </row>
    <row r="691" spans="1:22">
      <c r="A691" t="str">
        <f>IF(资金日记账!$F389="","",资金日记账!$F389)</f>
        <v/>
      </c>
      <c r="B691">
        <f t="shared" si="117"/>
        <v>0</v>
      </c>
      <c r="C691">
        <f t="shared" si="118"/>
        <v>0</v>
      </c>
      <c r="G691">
        <f>IF(OR($G$1="",对账补充行!$C84="",对账补充行!$C84&lt;&gt;$G$1),0,IF(NOT(OR(N(对账补充行!$H84)&lt;&gt;0,N(对账补充行!$I84)&lt;&gt;0)),0,IF(对账补充行!$B84="",1,IF(OR(N(对账补充行!$B84)&lt;$H$1,N(对账补充行!$B84)&gt;$I$1),0,1))))</f>
        <v>0</v>
      </c>
      <c r="H691">
        <f t="shared" si="119"/>
        <v>0</v>
      </c>
      <c r="I691" t="str">
        <f>IF($G691=0,"",IF(对账补充行!$B84=0,"",对账补充行!$B84))</f>
        <v/>
      </c>
      <c r="J691" t="str">
        <f>IF($G691=0,"",IF(对账补充行!$D84=0,"",对账补充行!$D84))</f>
        <v/>
      </c>
      <c r="K691" t="str">
        <f>IF($G691=0,"",IF(对账补充行!$E84=0,"",对账补充行!$E84))</f>
        <v/>
      </c>
      <c r="L691" t="str">
        <f>IF($G691=0,"",IF(对账补充行!$F84=0,"",对账补充行!$F84))</f>
        <v/>
      </c>
      <c r="M691" t="str">
        <f>IF($G691=0,"",IF(对账补充行!$G84=0,"",对账补充行!$G84))</f>
        <v/>
      </c>
      <c r="N691" t="str">
        <f>IF($G691=0,"",IF(对账补充行!$H84=0,"",对账补充行!$H84))</f>
        <v/>
      </c>
      <c r="O691" t="str">
        <f>IF($G691=0,"",IF(对账补充行!$I84=0,"",对账补充行!$I84))</f>
        <v/>
      </c>
      <c r="P691" t="str">
        <f>IF($G691=0,"",IF(对账补充行!$J84=0,"",对账补充行!$J84))</f>
        <v/>
      </c>
      <c r="T691" t="str">
        <f>IF(成本费用登记表!$D91="","",成本费用登记表!$D91)</f>
        <v/>
      </c>
      <c r="U691">
        <f t="shared" si="120"/>
        <v>0</v>
      </c>
      <c r="V691">
        <f t="shared" si="121"/>
        <v>0</v>
      </c>
    </row>
    <row r="692" spans="1:22">
      <c r="A692" t="str">
        <f>IF(资金日记账!$F390="","",资金日记账!$F390)</f>
        <v/>
      </c>
      <c r="B692">
        <f t="shared" si="117"/>
        <v>0</v>
      </c>
      <c r="C692">
        <f t="shared" si="118"/>
        <v>0</v>
      </c>
      <c r="G692">
        <f>IF(OR($G$1="",对账补充行!$C85="",对账补充行!$C85&lt;&gt;$G$1),0,IF(NOT(OR(N(对账补充行!$H85)&lt;&gt;0,N(对账补充行!$I85)&lt;&gt;0)),0,IF(对账补充行!$B85="",1,IF(OR(N(对账补充行!$B85)&lt;$H$1,N(对账补充行!$B85)&gt;$I$1),0,1))))</f>
        <v>0</v>
      </c>
      <c r="H692">
        <f t="shared" si="119"/>
        <v>0</v>
      </c>
      <c r="I692" t="str">
        <f>IF($G692=0,"",IF(对账补充行!$B85=0,"",对账补充行!$B85))</f>
        <v/>
      </c>
      <c r="J692" t="str">
        <f>IF($G692=0,"",IF(对账补充行!$D85=0,"",对账补充行!$D85))</f>
        <v/>
      </c>
      <c r="K692" t="str">
        <f>IF($G692=0,"",IF(对账补充行!$E85=0,"",对账补充行!$E85))</f>
        <v/>
      </c>
      <c r="L692" t="str">
        <f>IF($G692=0,"",IF(对账补充行!$F85=0,"",对账补充行!$F85))</f>
        <v/>
      </c>
      <c r="M692" t="str">
        <f>IF($G692=0,"",IF(对账补充行!$G85=0,"",对账补充行!$G85))</f>
        <v/>
      </c>
      <c r="N692" t="str">
        <f>IF($G692=0,"",IF(对账补充行!$H85=0,"",对账补充行!$H85))</f>
        <v/>
      </c>
      <c r="O692" t="str">
        <f>IF($G692=0,"",IF(对账补充行!$I85=0,"",对账补充行!$I85))</f>
        <v/>
      </c>
      <c r="P692" t="str">
        <f>IF($G692=0,"",IF(对账补充行!$J85=0,"",对账补充行!$J85))</f>
        <v/>
      </c>
      <c r="T692" t="str">
        <f>IF(成本费用登记表!$D92="","",成本费用登记表!$D92)</f>
        <v/>
      </c>
      <c r="U692">
        <f t="shared" si="120"/>
        <v>0</v>
      </c>
      <c r="V692">
        <f t="shared" si="121"/>
        <v>0</v>
      </c>
    </row>
    <row r="693" spans="1:22">
      <c r="A693" t="str">
        <f>IF(资金日记账!$F391="","",资金日记账!$F391)</f>
        <v/>
      </c>
      <c r="B693">
        <f t="shared" si="117"/>
        <v>0</v>
      </c>
      <c r="C693">
        <f t="shared" si="118"/>
        <v>0</v>
      </c>
      <c r="G693">
        <f>IF(OR($G$1="",对账补充行!$C86="",对账补充行!$C86&lt;&gt;$G$1),0,IF(NOT(OR(N(对账补充行!$H86)&lt;&gt;0,N(对账补充行!$I86)&lt;&gt;0)),0,IF(对账补充行!$B86="",1,IF(OR(N(对账补充行!$B86)&lt;$H$1,N(对账补充行!$B86)&gt;$I$1),0,1))))</f>
        <v>0</v>
      </c>
      <c r="H693">
        <f t="shared" si="119"/>
        <v>0</v>
      </c>
      <c r="I693" t="str">
        <f>IF($G693=0,"",IF(对账补充行!$B86=0,"",对账补充行!$B86))</f>
        <v/>
      </c>
      <c r="J693" t="str">
        <f>IF($G693=0,"",IF(对账补充行!$D86=0,"",对账补充行!$D86))</f>
        <v/>
      </c>
      <c r="K693" t="str">
        <f>IF($G693=0,"",IF(对账补充行!$E86=0,"",对账补充行!$E86))</f>
        <v/>
      </c>
      <c r="L693" t="str">
        <f>IF($G693=0,"",IF(对账补充行!$F86=0,"",对账补充行!$F86))</f>
        <v/>
      </c>
      <c r="M693" t="str">
        <f>IF($G693=0,"",IF(对账补充行!$G86=0,"",对账补充行!$G86))</f>
        <v/>
      </c>
      <c r="N693" t="str">
        <f>IF($G693=0,"",IF(对账补充行!$H86=0,"",对账补充行!$H86))</f>
        <v/>
      </c>
      <c r="O693" t="str">
        <f>IF($G693=0,"",IF(对账补充行!$I86=0,"",对账补充行!$I86))</f>
        <v/>
      </c>
      <c r="P693" t="str">
        <f>IF($G693=0,"",IF(对账补充行!$J86=0,"",对账补充行!$J86))</f>
        <v/>
      </c>
      <c r="T693" t="str">
        <f>IF(成本费用登记表!$D93="","",成本费用登记表!$D93)</f>
        <v/>
      </c>
      <c r="U693">
        <f t="shared" si="120"/>
        <v>0</v>
      </c>
      <c r="V693">
        <f t="shared" si="121"/>
        <v>0</v>
      </c>
    </row>
    <row r="694" spans="1:22">
      <c r="A694" t="str">
        <f>IF(资金日记账!$F392="","",资金日记账!$F392)</f>
        <v/>
      </c>
      <c r="B694">
        <f t="shared" si="117"/>
        <v>0</v>
      </c>
      <c r="C694">
        <f t="shared" si="118"/>
        <v>0</v>
      </c>
      <c r="G694">
        <f>IF(OR($G$1="",对账补充行!$C87="",对账补充行!$C87&lt;&gt;$G$1),0,IF(NOT(OR(N(对账补充行!$H87)&lt;&gt;0,N(对账补充行!$I87)&lt;&gt;0)),0,IF(对账补充行!$B87="",1,IF(OR(N(对账补充行!$B87)&lt;$H$1,N(对账补充行!$B87)&gt;$I$1),0,1))))</f>
        <v>0</v>
      </c>
      <c r="H694">
        <f t="shared" si="119"/>
        <v>0</v>
      </c>
      <c r="I694" t="str">
        <f>IF($G694=0,"",IF(对账补充行!$B87=0,"",对账补充行!$B87))</f>
        <v/>
      </c>
      <c r="J694" t="str">
        <f>IF($G694=0,"",IF(对账补充行!$D87=0,"",对账补充行!$D87))</f>
        <v/>
      </c>
      <c r="K694" t="str">
        <f>IF($G694=0,"",IF(对账补充行!$E87=0,"",对账补充行!$E87))</f>
        <v/>
      </c>
      <c r="L694" t="str">
        <f>IF($G694=0,"",IF(对账补充行!$F87=0,"",对账补充行!$F87))</f>
        <v/>
      </c>
      <c r="M694" t="str">
        <f>IF($G694=0,"",IF(对账补充行!$G87=0,"",对账补充行!$G87))</f>
        <v/>
      </c>
      <c r="N694" t="str">
        <f>IF($G694=0,"",IF(对账补充行!$H87=0,"",对账补充行!$H87))</f>
        <v/>
      </c>
      <c r="O694" t="str">
        <f>IF($G694=0,"",IF(对账补充行!$I87=0,"",对账补充行!$I87))</f>
        <v/>
      </c>
      <c r="P694" t="str">
        <f>IF($G694=0,"",IF(对账补充行!$J87=0,"",对账补充行!$J87))</f>
        <v/>
      </c>
      <c r="T694" t="str">
        <f>IF(成本费用登记表!$D94="","",成本费用登记表!$D94)</f>
        <v/>
      </c>
      <c r="U694">
        <f t="shared" si="120"/>
        <v>0</v>
      </c>
      <c r="V694">
        <f t="shared" si="121"/>
        <v>0</v>
      </c>
    </row>
    <row r="695" spans="1:22">
      <c r="A695" t="str">
        <f>IF(资金日记账!$F393="","",资金日记账!$F393)</f>
        <v/>
      </c>
      <c r="B695">
        <f t="shared" si="117"/>
        <v>0</v>
      </c>
      <c r="C695">
        <f t="shared" si="118"/>
        <v>0</v>
      </c>
      <c r="G695">
        <f>IF(OR($G$1="",对账补充行!$C88="",对账补充行!$C88&lt;&gt;$G$1),0,IF(NOT(OR(N(对账补充行!$H88)&lt;&gt;0,N(对账补充行!$I88)&lt;&gt;0)),0,IF(对账补充行!$B88="",1,IF(OR(N(对账补充行!$B88)&lt;$H$1,N(对账补充行!$B88)&gt;$I$1),0,1))))</f>
        <v>0</v>
      </c>
      <c r="H695">
        <f t="shared" si="119"/>
        <v>0</v>
      </c>
      <c r="I695" t="str">
        <f>IF($G695=0,"",IF(对账补充行!$B88=0,"",对账补充行!$B88))</f>
        <v/>
      </c>
      <c r="J695" t="str">
        <f>IF($G695=0,"",IF(对账补充行!$D88=0,"",对账补充行!$D88))</f>
        <v/>
      </c>
      <c r="K695" t="str">
        <f>IF($G695=0,"",IF(对账补充行!$E88=0,"",对账补充行!$E88))</f>
        <v/>
      </c>
      <c r="L695" t="str">
        <f>IF($G695=0,"",IF(对账补充行!$F88=0,"",对账补充行!$F88))</f>
        <v/>
      </c>
      <c r="M695" t="str">
        <f>IF($G695=0,"",IF(对账补充行!$G88=0,"",对账补充行!$G88))</f>
        <v/>
      </c>
      <c r="N695" t="str">
        <f>IF($G695=0,"",IF(对账补充行!$H88=0,"",对账补充行!$H88))</f>
        <v/>
      </c>
      <c r="O695" t="str">
        <f>IF($G695=0,"",IF(对账补充行!$I88=0,"",对账补充行!$I88))</f>
        <v/>
      </c>
      <c r="P695" t="str">
        <f>IF($G695=0,"",IF(对账补充行!$J88=0,"",对账补充行!$J88))</f>
        <v/>
      </c>
      <c r="T695" t="str">
        <f>IF(成本费用登记表!$D95="","",成本费用登记表!$D95)</f>
        <v/>
      </c>
      <c r="U695">
        <f t="shared" si="120"/>
        <v>0</v>
      </c>
      <c r="V695">
        <f t="shared" si="121"/>
        <v>0</v>
      </c>
    </row>
    <row r="696" spans="1:22">
      <c r="A696" t="str">
        <f>IF(资金日记账!$F394="","",资金日记账!$F394)</f>
        <v/>
      </c>
      <c r="B696">
        <f t="shared" si="117"/>
        <v>0</v>
      </c>
      <c r="C696">
        <f t="shared" si="118"/>
        <v>0</v>
      </c>
      <c r="G696">
        <f>IF(OR($G$1="",对账补充行!$C89="",对账补充行!$C89&lt;&gt;$G$1),0,IF(NOT(OR(N(对账补充行!$H89)&lt;&gt;0,N(对账补充行!$I89)&lt;&gt;0)),0,IF(对账补充行!$B89="",1,IF(OR(N(对账补充行!$B89)&lt;$H$1,N(对账补充行!$B89)&gt;$I$1),0,1))))</f>
        <v>0</v>
      </c>
      <c r="H696">
        <f t="shared" si="119"/>
        <v>0</v>
      </c>
      <c r="I696" t="str">
        <f>IF($G696=0,"",IF(对账补充行!$B89=0,"",对账补充行!$B89))</f>
        <v/>
      </c>
      <c r="J696" t="str">
        <f>IF($G696=0,"",IF(对账补充行!$D89=0,"",对账补充行!$D89))</f>
        <v/>
      </c>
      <c r="K696" t="str">
        <f>IF($G696=0,"",IF(对账补充行!$E89=0,"",对账补充行!$E89))</f>
        <v/>
      </c>
      <c r="L696" t="str">
        <f>IF($G696=0,"",IF(对账补充行!$F89=0,"",对账补充行!$F89))</f>
        <v/>
      </c>
      <c r="M696" t="str">
        <f>IF($G696=0,"",IF(对账补充行!$G89=0,"",对账补充行!$G89))</f>
        <v/>
      </c>
      <c r="N696" t="str">
        <f>IF($G696=0,"",IF(对账补充行!$H89=0,"",对账补充行!$H89))</f>
        <v/>
      </c>
      <c r="O696" t="str">
        <f>IF($G696=0,"",IF(对账补充行!$I89=0,"",对账补充行!$I89))</f>
        <v/>
      </c>
      <c r="P696" t="str">
        <f>IF($G696=0,"",IF(对账补充行!$J89=0,"",对账补充行!$J89))</f>
        <v/>
      </c>
      <c r="T696" t="str">
        <f>IF(成本费用登记表!$D96="","",成本费用登记表!$D96)</f>
        <v/>
      </c>
      <c r="U696">
        <f t="shared" si="120"/>
        <v>0</v>
      </c>
      <c r="V696">
        <f t="shared" si="121"/>
        <v>0</v>
      </c>
    </row>
    <row r="697" spans="1:22">
      <c r="A697" t="str">
        <f>IF(资金日记账!$F395="","",资金日记账!$F395)</f>
        <v/>
      </c>
      <c r="B697">
        <f t="shared" si="117"/>
        <v>0</v>
      </c>
      <c r="C697">
        <f t="shared" si="118"/>
        <v>0</v>
      </c>
      <c r="G697">
        <f>IF(OR($G$1="",对账补充行!$C90="",对账补充行!$C90&lt;&gt;$G$1),0,IF(NOT(OR(N(对账补充行!$H90)&lt;&gt;0,N(对账补充行!$I90)&lt;&gt;0)),0,IF(对账补充行!$B90="",1,IF(OR(N(对账补充行!$B90)&lt;$H$1,N(对账补充行!$B90)&gt;$I$1),0,1))))</f>
        <v>0</v>
      </c>
      <c r="H697">
        <f t="shared" si="119"/>
        <v>0</v>
      </c>
      <c r="I697" t="str">
        <f>IF($G697=0,"",IF(对账补充行!$B90=0,"",对账补充行!$B90))</f>
        <v/>
      </c>
      <c r="J697" t="str">
        <f>IF($G697=0,"",IF(对账补充行!$D90=0,"",对账补充行!$D90))</f>
        <v/>
      </c>
      <c r="K697" t="str">
        <f>IF($G697=0,"",IF(对账补充行!$E90=0,"",对账补充行!$E90))</f>
        <v/>
      </c>
      <c r="L697" t="str">
        <f>IF($G697=0,"",IF(对账补充行!$F90=0,"",对账补充行!$F90))</f>
        <v/>
      </c>
      <c r="M697" t="str">
        <f>IF($G697=0,"",IF(对账补充行!$G90=0,"",对账补充行!$G90))</f>
        <v/>
      </c>
      <c r="N697" t="str">
        <f>IF($G697=0,"",IF(对账补充行!$H90=0,"",对账补充行!$H90))</f>
        <v/>
      </c>
      <c r="O697" t="str">
        <f>IF($G697=0,"",IF(对账补充行!$I90=0,"",对账补充行!$I90))</f>
        <v/>
      </c>
      <c r="P697" t="str">
        <f>IF($G697=0,"",IF(对账补充行!$J90=0,"",对账补充行!$J90))</f>
        <v/>
      </c>
      <c r="T697" t="str">
        <f>IF(成本费用登记表!$D97="","",成本费用登记表!$D97)</f>
        <v/>
      </c>
      <c r="U697">
        <f t="shared" si="120"/>
        <v>0</v>
      </c>
      <c r="V697">
        <f t="shared" si="121"/>
        <v>0</v>
      </c>
    </row>
    <row r="698" spans="1:22">
      <c r="A698" t="str">
        <f>IF(资金日记账!$F396="","",资金日记账!$F396)</f>
        <v/>
      </c>
      <c r="B698">
        <f t="shared" si="117"/>
        <v>0</v>
      </c>
      <c r="C698">
        <f t="shared" si="118"/>
        <v>0</v>
      </c>
      <c r="G698">
        <f>IF(OR($G$1="",对账补充行!$C91="",对账补充行!$C91&lt;&gt;$G$1),0,IF(NOT(OR(N(对账补充行!$H91)&lt;&gt;0,N(对账补充行!$I91)&lt;&gt;0)),0,IF(对账补充行!$B91="",1,IF(OR(N(对账补充行!$B91)&lt;$H$1,N(对账补充行!$B91)&gt;$I$1),0,1))))</f>
        <v>0</v>
      </c>
      <c r="H698">
        <f t="shared" si="119"/>
        <v>0</v>
      </c>
      <c r="I698" t="str">
        <f>IF($G698=0,"",IF(对账补充行!$B91=0,"",对账补充行!$B91))</f>
        <v/>
      </c>
      <c r="J698" t="str">
        <f>IF($G698=0,"",IF(对账补充行!$D91=0,"",对账补充行!$D91))</f>
        <v/>
      </c>
      <c r="K698" t="str">
        <f>IF($G698=0,"",IF(对账补充行!$E91=0,"",对账补充行!$E91))</f>
        <v/>
      </c>
      <c r="L698" t="str">
        <f>IF($G698=0,"",IF(对账补充行!$F91=0,"",对账补充行!$F91))</f>
        <v/>
      </c>
      <c r="M698" t="str">
        <f>IF($G698=0,"",IF(对账补充行!$G91=0,"",对账补充行!$G91))</f>
        <v/>
      </c>
      <c r="N698" t="str">
        <f>IF($G698=0,"",IF(对账补充行!$H91=0,"",对账补充行!$H91))</f>
        <v/>
      </c>
      <c r="O698" t="str">
        <f>IF($G698=0,"",IF(对账补充行!$I91=0,"",对账补充行!$I91))</f>
        <v/>
      </c>
      <c r="P698" t="str">
        <f>IF($G698=0,"",IF(对账补充行!$J91=0,"",对账补充行!$J91))</f>
        <v/>
      </c>
      <c r="T698" t="str">
        <f>IF(成本费用登记表!$D98="","",成本费用登记表!$D98)</f>
        <v/>
      </c>
      <c r="U698">
        <f t="shared" si="120"/>
        <v>0</v>
      </c>
      <c r="V698">
        <f t="shared" si="121"/>
        <v>0</v>
      </c>
    </row>
    <row r="699" spans="1:22">
      <c r="A699" t="str">
        <f>IF(资金日记账!$F397="","",资金日记账!$F397)</f>
        <v/>
      </c>
      <c r="B699">
        <f t="shared" si="117"/>
        <v>0</v>
      </c>
      <c r="C699">
        <f t="shared" si="118"/>
        <v>0</v>
      </c>
      <c r="G699">
        <f>IF(OR($G$1="",对账补充行!$C92="",对账补充行!$C92&lt;&gt;$G$1),0,IF(NOT(OR(N(对账补充行!$H92)&lt;&gt;0,N(对账补充行!$I92)&lt;&gt;0)),0,IF(对账补充行!$B92="",1,IF(OR(N(对账补充行!$B92)&lt;$H$1,N(对账补充行!$B92)&gt;$I$1),0,1))))</f>
        <v>0</v>
      </c>
      <c r="H699">
        <f t="shared" si="119"/>
        <v>0</v>
      </c>
      <c r="I699" t="str">
        <f>IF($G699=0,"",IF(对账补充行!$B92=0,"",对账补充行!$B92))</f>
        <v/>
      </c>
      <c r="J699" t="str">
        <f>IF($G699=0,"",IF(对账补充行!$D92=0,"",对账补充行!$D92))</f>
        <v/>
      </c>
      <c r="K699" t="str">
        <f>IF($G699=0,"",IF(对账补充行!$E92=0,"",对账补充行!$E92))</f>
        <v/>
      </c>
      <c r="L699" t="str">
        <f>IF($G699=0,"",IF(对账补充行!$F92=0,"",对账补充行!$F92))</f>
        <v/>
      </c>
      <c r="M699" t="str">
        <f>IF($G699=0,"",IF(对账补充行!$G92=0,"",对账补充行!$G92))</f>
        <v/>
      </c>
      <c r="N699" t="str">
        <f>IF($G699=0,"",IF(对账补充行!$H92=0,"",对账补充行!$H92))</f>
        <v/>
      </c>
      <c r="O699" t="str">
        <f>IF($G699=0,"",IF(对账补充行!$I92=0,"",对账补充行!$I92))</f>
        <v/>
      </c>
      <c r="P699" t="str">
        <f>IF($G699=0,"",IF(对账补充行!$J92=0,"",对账补充行!$J92))</f>
        <v/>
      </c>
      <c r="T699" t="str">
        <f>IF(成本费用登记表!$D99="","",成本费用登记表!$D99)</f>
        <v/>
      </c>
      <c r="U699">
        <f t="shared" si="120"/>
        <v>0</v>
      </c>
      <c r="V699">
        <f t="shared" si="121"/>
        <v>0</v>
      </c>
    </row>
    <row r="700" spans="1:22">
      <c r="A700" t="str">
        <f>IF(资金日记账!$F398="","",资金日记账!$F398)</f>
        <v/>
      </c>
      <c r="B700">
        <f t="shared" si="117"/>
        <v>0</v>
      </c>
      <c r="C700">
        <f t="shared" si="118"/>
        <v>0</v>
      </c>
      <c r="G700">
        <f>IF(OR($G$1="",对账补充行!$C93="",对账补充行!$C93&lt;&gt;$G$1),0,IF(NOT(OR(N(对账补充行!$H93)&lt;&gt;0,N(对账补充行!$I93)&lt;&gt;0)),0,IF(对账补充行!$B93="",1,IF(OR(N(对账补充行!$B93)&lt;$H$1,N(对账补充行!$B93)&gt;$I$1),0,1))))</f>
        <v>0</v>
      </c>
      <c r="H700">
        <f t="shared" si="119"/>
        <v>0</v>
      </c>
      <c r="I700" t="str">
        <f>IF($G700=0,"",IF(对账补充行!$B93=0,"",对账补充行!$B93))</f>
        <v/>
      </c>
      <c r="J700" t="str">
        <f>IF($G700=0,"",IF(对账补充行!$D93=0,"",对账补充行!$D93))</f>
        <v/>
      </c>
      <c r="K700" t="str">
        <f>IF($G700=0,"",IF(对账补充行!$E93=0,"",对账补充行!$E93))</f>
        <v/>
      </c>
      <c r="L700" t="str">
        <f>IF($G700=0,"",IF(对账补充行!$F93=0,"",对账补充行!$F93))</f>
        <v/>
      </c>
      <c r="M700" t="str">
        <f>IF($G700=0,"",IF(对账补充行!$G93=0,"",对账补充行!$G93))</f>
        <v/>
      </c>
      <c r="N700" t="str">
        <f>IF($G700=0,"",IF(对账补充行!$H93=0,"",对账补充行!$H93))</f>
        <v/>
      </c>
      <c r="O700" t="str">
        <f>IF($G700=0,"",IF(对账补充行!$I93=0,"",对账补充行!$I93))</f>
        <v/>
      </c>
      <c r="P700" t="str">
        <f>IF($G700=0,"",IF(对账补充行!$J93=0,"",对账补充行!$J93))</f>
        <v/>
      </c>
      <c r="T700" t="str">
        <f>IF(成本费用登记表!$D100="","",成本费用登记表!$D100)</f>
        <v/>
      </c>
      <c r="U700">
        <f t="shared" si="120"/>
        <v>0</v>
      </c>
      <c r="V700">
        <f t="shared" si="121"/>
        <v>0</v>
      </c>
    </row>
    <row r="701" spans="1:22">
      <c r="A701" t="str">
        <f>IF(资金日记账!$F399="","",资金日记账!$F399)</f>
        <v/>
      </c>
      <c r="B701">
        <f t="shared" si="117"/>
        <v>0</v>
      </c>
      <c r="C701">
        <f t="shared" si="118"/>
        <v>0</v>
      </c>
      <c r="G701">
        <f>IF(OR($G$1="",对账补充行!$C94="",对账补充行!$C94&lt;&gt;$G$1),0,IF(NOT(OR(N(对账补充行!$H94)&lt;&gt;0,N(对账补充行!$I94)&lt;&gt;0)),0,IF(对账补充行!$B94="",1,IF(OR(N(对账补充行!$B94)&lt;$H$1,N(对账补充行!$B94)&gt;$I$1),0,1))))</f>
        <v>0</v>
      </c>
      <c r="H701">
        <f t="shared" si="119"/>
        <v>0</v>
      </c>
      <c r="I701" t="str">
        <f>IF($G701=0,"",IF(对账补充行!$B94=0,"",对账补充行!$B94))</f>
        <v/>
      </c>
      <c r="J701" t="str">
        <f>IF($G701=0,"",IF(对账补充行!$D94=0,"",对账补充行!$D94))</f>
        <v/>
      </c>
      <c r="K701" t="str">
        <f>IF($G701=0,"",IF(对账补充行!$E94=0,"",对账补充行!$E94))</f>
        <v/>
      </c>
      <c r="L701" t="str">
        <f>IF($G701=0,"",IF(对账补充行!$F94=0,"",对账补充行!$F94))</f>
        <v/>
      </c>
      <c r="M701" t="str">
        <f>IF($G701=0,"",IF(对账补充行!$G94=0,"",对账补充行!$G94))</f>
        <v/>
      </c>
      <c r="N701" t="str">
        <f>IF($G701=0,"",IF(对账补充行!$H94=0,"",对账补充行!$H94))</f>
        <v/>
      </c>
      <c r="O701" t="str">
        <f>IF($G701=0,"",IF(对账补充行!$I94=0,"",对账补充行!$I94))</f>
        <v/>
      </c>
      <c r="P701" t="str">
        <f>IF($G701=0,"",IF(对账补充行!$J94=0,"",对账补充行!$J94))</f>
        <v/>
      </c>
      <c r="T701" t="str">
        <f>IF(成本费用登记表!$D101="","",成本费用登记表!$D101)</f>
        <v/>
      </c>
      <c r="U701">
        <f t="shared" si="120"/>
        <v>0</v>
      </c>
      <c r="V701">
        <f t="shared" si="121"/>
        <v>0</v>
      </c>
    </row>
    <row r="702" spans="1:22">
      <c r="A702" t="str">
        <f>IF(资金日记账!$F400="","",资金日记账!$F400)</f>
        <v/>
      </c>
      <c r="B702">
        <f t="shared" si="117"/>
        <v>0</v>
      </c>
      <c r="C702">
        <f t="shared" si="118"/>
        <v>0</v>
      </c>
      <c r="G702">
        <f>IF(OR($G$1="",对账补充行!$C95="",对账补充行!$C95&lt;&gt;$G$1),0,IF(NOT(OR(N(对账补充行!$H95)&lt;&gt;0,N(对账补充行!$I95)&lt;&gt;0)),0,IF(对账补充行!$B95="",1,IF(OR(N(对账补充行!$B95)&lt;$H$1,N(对账补充行!$B95)&gt;$I$1),0,1))))</f>
        <v>0</v>
      </c>
      <c r="H702">
        <f t="shared" si="119"/>
        <v>0</v>
      </c>
      <c r="I702" t="str">
        <f>IF($G702=0,"",IF(对账补充行!$B95=0,"",对账补充行!$B95))</f>
        <v/>
      </c>
      <c r="J702" t="str">
        <f>IF($G702=0,"",IF(对账补充行!$D95=0,"",对账补充行!$D95))</f>
        <v/>
      </c>
      <c r="K702" t="str">
        <f>IF($G702=0,"",IF(对账补充行!$E95=0,"",对账补充行!$E95))</f>
        <v/>
      </c>
      <c r="L702" t="str">
        <f>IF($G702=0,"",IF(对账补充行!$F95=0,"",对账补充行!$F95))</f>
        <v/>
      </c>
      <c r="M702" t="str">
        <f>IF($G702=0,"",IF(对账补充行!$G95=0,"",对账补充行!$G95))</f>
        <v/>
      </c>
      <c r="N702" t="str">
        <f>IF($G702=0,"",IF(对账补充行!$H95=0,"",对账补充行!$H95))</f>
        <v/>
      </c>
      <c r="O702" t="str">
        <f>IF($G702=0,"",IF(对账补充行!$I95=0,"",对账补充行!$I95))</f>
        <v/>
      </c>
      <c r="P702" t="str">
        <f>IF($G702=0,"",IF(对账补充行!$J95=0,"",对账补充行!$J95))</f>
        <v/>
      </c>
      <c r="T702" t="str">
        <f>IF(成本费用登记表!$D102="","",成本费用登记表!$D102)</f>
        <v/>
      </c>
      <c r="U702">
        <f t="shared" si="120"/>
        <v>0</v>
      </c>
      <c r="V702">
        <f t="shared" si="121"/>
        <v>0</v>
      </c>
    </row>
    <row r="703" spans="1:22">
      <c r="A703" t="str">
        <f>IF(资金日记账!$F401="","",资金日记账!$F401)</f>
        <v/>
      </c>
      <c r="B703">
        <f t="shared" si="117"/>
        <v>0</v>
      </c>
      <c r="C703">
        <f t="shared" si="118"/>
        <v>0</v>
      </c>
      <c r="G703">
        <f>IF(OR($G$1="",对账补充行!$C96="",对账补充行!$C96&lt;&gt;$G$1),0,IF(NOT(OR(N(对账补充行!$H96)&lt;&gt;0,N(对账补充行!$I96)&lt;&gt;0)),0,IF(对账补充行!$B96="",1,IF(OR(N(对账补充行!$B96)&lt;$H$1,N(对账补充行!$B96)&gt;$I$1),0,1))))</f>
        <v>0</v>
      </c>
      <c r="H703">
        <f t="shared" si="119"/>
        <v>0</v>
      </c>
      <c r="I703" t="str">
        <f>IF($G703=0,"",IF(对账补充行!$B96=0,"",对账补充行!$B96))</f>
        <v/>
      </c>
      <c r="J703" t="str">
        <f>IF($G703=0,"",IF(对账补充行!$D96=0,"",对账补充行!$D96))</f>
        <v/>
      </c>
      <c r="K703" t="str">
        <f>IF($G703=0,"",IF(对账补充行!$E96=0,"",对账补充行!$E96))</f>
        <v/>
      </c>
      <c r="L703" t="str">
        <f>IF($G703=0,"",IF(对账补充行!$F96=0,"",对账补充行!$F96))</f>
        <v/>
      </c>
      <c r="M703" t="str">
        <f>IF($G703=0,"",IF(对账补充行!$G96=0,"",对账补充行!$G96))</f>
        <v/>
      </c>
      <c r="N703" t="str">
        <f>IF($G703=0,"",IF(对账补充行!$H96=0,"",对账补充行!$H96))</f>
        <v/>
      </c>
      <c r="O703" t="str">
        <f>IF($G703=0,"",IF(对账补充行!$I96=0,"",对账补充行!$I96))</f>
        <v/>
      </c>
      <c r="P703" t="str">
        <f>IF($G703=0,"",IF(对账补充行!$J96=0,"",对账补充行!$J96))</f>
        <v/>
      </c>
      <c r="T703" t="str">
        <f>IF(成本费用登记表!$D103="","",成本费用登记表!$D103)</f>
        <v/>
      </c>
      <c r="U703">
        <f t="shared" si="120"/>
        <v>0</v>
      </c>
      <c r="V703">
        <f t="shared" si="121"/>
        <v>0</v>
      </c>
    </row>
    <row r="704" spans="1:22">
      <c r="A704" t="str">
        <f>IF(资金日记账!$F402="","",资金日记账!$F402)</f>
        <v/>
      </c>
      <c r="B704">
        <f t="shared" si="117"/>
        <v>0</v>
      </c>
      <c r="C704">
        <f t="shared" si="118"/>
        <v>0</v>
      </c>
      <c r="G704">
        <f>IF(OR($G$1="",对账补充行!$C97="",对账补充行!$C97&lt;&gt;$G$1),0,IF(NOT(OR(N(对账补充行!$H97)&lt;&gt;0,N(对账补充行!$I97)&lt;&gt;0)),0,IF(对账补充行!$B97="",1,IF(OR(N(对账补充行!$B97)&lt;$H$1,N(对账补充行!$B97)&gt;$I$1),0,1))))</f>
        <v>0</v>
      </c>
      <c r="H704">
        <f t="shared" si="119"/>
        <v>0</v>
      </c>
      <c r="I704" t="str">
        <f>IF($G704=0,"",IF(对账补充行!$B97=0,"",对账补充行!$B97))</f>
        <v/>
      </c>
      <c r="J704" t="str">
        <f>IF($G704=0,"",IF(对账补充行!$D97=0,"",对账补充行!$D97))</f>
        <v/>
      </c>
      <c r="K704" t="str">
        <f>IF($G704=0,"",IF(对账补充行!$E97=0,"",对账补充行!$E97))</f>
        <v/>
      </c>
      <c r="L704" t="str">
        <f>IF($G704=0,"",IF(对账补充行!$F97=0,"",对账补充行!$F97))</f>
        <v/>
      </c>
      <c r="M704" t="str">
        <f>IF($G704=0,"",IF(对账补充行!$G97=0,"",对账补充行!$G97))</f>
        <v/>
      </c>
      <c r="N704" t="str">
        <f>IF($G704=0,"",IF(对账补充行!$H97=0,"",对账补充行!$H97))</f>
        <v/>
      </c>
      <c r="O704" t="str">
        <f>IF($G704=0,"",IF(对账补充行!$I97=0,"",对账补充行!$I97))</f>
        <v/>
      </c>
      <c r="P704" t="str">
        <f>IF($G704=0,"",IF(对账补充行!$J97=0,"",对账补充行!$J97))</f>
        <v/>
      </c>
      <c r="T704" t="str">
        <f>IF(成本费用登记表!$D104="","",成本费用登记表!$D104)</f>
        <v/>
      </c>
      <c r="U704">
        <f t="shared" si="120"/>
        <v>0</v>
      </c>
      <c r="V704">
        <f t="shared" si="121"/>
        <v>0</v>
      </c>
    </row>
    <row r="705" spans="1:22">
      <c r="A705" t="str">
        <f>IF(资金日记账!$F403="","",资金日记账!$F403)</f>
        <v/>
      </c>
      <c r="B705">
        <f t="shared" si="117"/>
        <v>0</v>
      </c>
      <c r="C705">
        <f t="shared" si="118"/>
        <v>0</v>
      </c>
      <c r="G705">
        <f>IF(OR($G$1="",对账补充行!$C98="",对账补充行!$C98&lt;&gt;$G$1),0,IF(NOT(OR(N(对账补充行!$H98)&lt;&gt;0,N(对账补充行!$I98)&lt;&gt;0)),0,IF(对账补充行!$B98="",1,IF(OR(N(对账补充行!$B98)&lt;$H$1,N(对账补充行!$B98)&gt;$I$1),0,1))))</f>
        <v>0</v>
      </c>
      <c r="H705">
        <f t="shared" si="119"/>
        <v>0</v>
      </c>
      <c r="I705" t="str">
        <f>IF($G705=0,"",IF(对账补充行!$B98=0,"",对账补充行!$B98))</f>
        <v/>
      </c>
      <c r="J705" t="str">
        <f>IF($G705=0,"",IF(对账补充行!$D98=0,"",对账补充行!$D98))</f>
        <v/>
      </c>
      <c r="K705" t="str">
        <f>IF($G705=0,"",IF(对账补充行!$E98=0,"",对账补充行!$E98))</f>
        <v/>
      </c>
      <c r="L705" t="str">
        <f>IF($G705=0,"",IF(对账补充行!$F98=0,"",对账补充行!$F98))</f>
        <v/>
      </c>
      <c r="M705" t="str">
        <f>IF($G705=0,"",IF(对账补充行!$G98=0,"",对账补充行!$G98))</f>
        <v/>
      </c>
      <c r="N705" t="str">
        <f>IF($G705=0,"",IF(对账补充行!$H98=0,"",对账补充行!$H98))</f>
        <v/>
      </c>
      <c r="O705" t="str">
        <f>IF($G705=0,"",IF(对账补充行!$I98=0,"",对账补充行!$I98))</f>
        <v/>
      </c>
      <c r="P705" t="str">
        <f>IF($G705=0,"",IF(对账补充行!$J98=0,"",对账补充行!$J98))</f>
        <v/>
      </c>
      <c r="T705" t="str">
        <f>IF(成本费用登记表!$D105="","",成本费用登记表!$D105)</f>
        <v/>
      </c>
      <c r="U705">
        <f t="shared" si="120"/>
        <v>0</v>
      </c>
      <c r="V705">
        <f t="shared" si="121"/>
        <v>0</v>
      </c>
    </row>
    <row r="706" spans="1:22">
      <c r="A706" t="str">
        <f>IF(资金日记账!$F404="","",资金日记账!$F404)</f>
        <v/>
      </c>
      <c r="B706">
        <f t="shared" si="117"/>
        <v>0</v>
      </c>
      <c r="C706">
        <f t="shared" si="118"/>
        <v>0</v>
      </c>
      <c r="G706">
        <f>IF(OR($G$1="",对账补充行!$C99="",对账补充行!$C99&lt;&gt;$G$1),0,IF(NOT(OR(N(对账补充行!$H99)&lt;&gt;0,N(对账补充行!$I99)&lt;&gt;0)),0,IF(对账补充行!$B99="",1,IF(OR(N(对账补充行!$B99)&lt;$H$1,N(对账补充行!$B99)&gt;$I$1),0,1))))</f>
        <v>0</v>
      </c>
      <c r="H706">
        <f t="shared" si="119"/>
        <v>0</v>
      </c>
      <c r="I706" t="str">
        <f>IF($G706=0,"",IF(对账补充行!$B99=0,"",对账补充行!$B99))</f>
        <v/>
      </c>
      <c r="J706" t="str">
        <f>IF($G706=0,"",IF(对账补充行!$D99=0,"",对账补充行!$D99))</f>
        <v/>
      </c>
      <c r="K706" t="str">
        <f>IF($G706=0,"",IF(对账补充行!$E99=0,"",对账补充行!$E99))</f>
        <v/>
      </c>
      <c r="L706" t="str">
        <f>IF($G706=0,"",IF(对账补充行!$F99=0,"",对账补充行!$F99))</f>
        <v/>
      </c>
      <c r="M706" t="str">
        <f>IF($G706=0,"",IF(对账补充行!$G99=0,"",对账补充行!$G99))</f>
        <v/>
      </c>
      <c r="N706" t="str">
        <f>IF($G706=0,"",IF(对账补充行!$H99=0,"",对账补充行!$H99))</f>
        <v/>
      </c>
      <c r="O706" t="str">
        <f>IF($G706=0,"",IF(对账补充行!$I99=0,"",对账补充行!$I99))</f>
        <v/>
      </c>
      <c r="P706" t="str">
        <f>IF($G706=0,"",IF(对账补充行!$J99=0,"",对账补充行!$J99))</f>
        <v/>
      </c>
      <c r="T706" t="str">
        <f>IF(成本费用登记表!$D106="","",成本费用登记表!$D106)</f>
        <v/>
      </c>
      <c r="U706">
        <f t="shared" si="120"/>
        <v>0</v>
      </c>
      <c r="V706">
        <f t="shared" si="121"/>
        <v>0</v>
      </c>
    </row>
    <row r="707" spans="1:22">
      <c r="A707" t="str">
        <f>IF(资金日记账!$F405="","",资金日记账!$F405)</f>
        <v/>
      </c>
      <c r="B707">
        <f t="shared" si="117"/>
        <v>0</v>
      </c>
      <c r="C707">
        <f t="shared" si="118"/>
        <v>0</v>
      </c>
      <c r="G707">
        <f>IF(OR($G$1="",对账补充行!$C100="",对账补充行!$C100&lt;&gt;$G$1),0,IF(NOT(OR(N(对账补充行!$H100)&lt;&gt;0,N(对账补充行!$I100)&lt;&gt;0)),0,IF(对账补充行!$B100="",1,IF(OR(N(对账补充行!$B100)&lt;$H$1,N(对账补充行!$B100)&gt;$I$1),0,1))))</f>
        <v>0</v>
      </c>
      <c r="H707">
        <f t="shared" si="119"/>
        <v>0</v>
      </c>
      <c r="I707" t="str">
        <f>IF($G707=0,"",IF(对账补充行!$B100=0,"",对账补充行!$B100))</f>
        <v/>
      </c>
      <c r="J707" t="str">
        <f>IF($G707=0,"",IF(对账补充行!$D100=0,"",对账补充行!$D100))</f>
        <v/>
      </c>
      <c r="K707" t="str">
        <f>IF($G707=0,"",IF(对账补充行!$E100=0,"",对账补充行!$E100))</f>
        <v/>
      </c>
      <c r="L707" t="str">
        <f>IF($G707=0,"",IF(对账补充行!$F100=0,"",对账补充行!$F100))</f>
        <v/>
      </c>
      <c r="M707" t="str">
        <f>IF($G707=0,"",IF(对账补充行!$G100=0,"",对账补充行!$G100))</f>
        <v/>
      </c>
      <c r="N707" t="str">
        <f>IF($G707=0,"",IF(对账补充行!$H100=0,"",对账补充行!$H100))</f>
        <v/>
      </c>
      <c r="O707" t="str">
        <f>IF($G707=0,"",IF(对账补充行!$I100=0,"",对账补充行!$I100))</f>
        <v/>
      </c>
      <c r="P707" t="str">
        <f>IF($G707=0,"",IF(对账补充行!$J100=0,"",对账补充行!$J100))</f>
        <v/>
      </c>
      <c r="T707" t="str">
        <f>IF(成本费用登记表!$D107="","",成本费用登记表!$D107)</f>
        <v/>
      </c>
      <c r="U707">
        <f t="shared" si="120"/>
        <v>0</v>
      </c>
      <c r="V707">
        <f t="shared" si="121"/>
        <v>0</v>
      </c>
    </row>
    <row r="708" spans="1:22">
      <c r="A708" t="str">
        <f>IF(资金日记账!$F406="","",资金日记账!$F406)</f>
        <v/>
      </c>
      <c r="B708">
        <f t="shared" ref="B708:B771" si="122">IF(A708="",0,IF(MATCH(A708,$A$4:$A$1805,0)=ROW()-3,1,0))</f>
        <v>0</v>
      </c>
      <c r="C708">
        <f t="shared" ref="C708:C771" si="123">N(C707)+B708</f>
        <v>0</v>
      </c>
      <c r="G708">
        <f>IF(OR($G$1="",对账补充行!$C101="",对账补充行!$C101&lt;&gt;$G$1),0,IF(NOT(OR(N(对账补充行!$H101)&lt;&gt;0,N(对账补充行!$I101)&lt;&gt;0)),0,IF(对账补充行!$B101="",1,IF(OR(N(对账补充行!$B101)&lt;$H$1,N(对账补充行!$B101)&gt;$I$1),0,1))))</f>
        <v>0</v>
      </c>
      <c r="H708">
        <f t="shared" ref="H708:H771" si="124">N(H707)+$G708</f>
        <v>0</v>
      </c>
      <c r="I708" t="str">
        <f>IF($G708=0,"",IF(对账补充行!$B101=0,"",对账补充行!$B101))</f>
        <v/>
      </c>
      <c r="J708" t="str">
        <f>IF($G708=0,"",IF(对账补充行!$D101=0,"",对账补充行!$D101))</f>
        <v/>
      </c>
      <c r="K708" t="str">
        <f>IF($G708=0,"",IF(对账补充行!$E101=0,"",对账补充行!$E101))</f>
        <v/>
      </c>
      <c r="L708" t="str">
        <f>IF($G708=0,"",IF(对账补充行!$F101=0,"",对账补充行!$F101))</f>
        <v/>
      </c>
      <c r="M708" t="str">
        <f>IF($G708=0,"",IF(对账补充行!$G101=0,"",对账补充行!$G101))</f>
        <v/>
      </c>
      <c r="N708" t="str">
        <f>IF($G708=0,"",IF(对账补充行!$H101=0,"",对账补充行!$H101))</f>
        <v/>
      </c>
      <c r="O708" t="str">
        <f>IF($G708=0,"",IF(对账补充行!$I101=0,"",对账补充行!$I101))</f>
        <v/>
      </c>
      <c r="P708" t="str">
        <f>IF($G708=0,"",IF(对账补充行!$J101=0,"",对账补充行!$J101))</f>
        <v/>
      </c>
      <c r="T708" t="str">
        <f>IF(成本费用登记表!$D108="","",成本费用登记表!$D108)</f>
        <v/>
      </c>
      <c r="U708">
        <f t="shared" ref="U708:U771" si="125">IF(T708="",0,IF(MATCH(T708,$T$4:$T$903,0)=ROW()-3,1,0))</f>
        <v>0</v>
      </c>
      <c r="V708">
        <f t="shared" ref="V708:V771" si="126">N(V707)+U708</f>
        <v>0</v>
      </c>
    </row>
    <row r="709" spans="1:22">
      <c r="A709" t="str">
        <f>IF(资金日记账!$F407="","",资金日记账!$F407)</f>
        <v/>
      </c>
      <c r="B709">
        <f t="shared" si="122"/>
        <v>0</v>
      </c>
      <c r="C709">
        <f t="shared" si="123"/>
        <v>0</v>
      </c>
      <c r="G709">
        <f>IF(OR($G$1="",对账补充行!$C102="",对账补充行!$C102&lt;&gt;$G$1),0,IF(NOT(OR(N(对账补充行!$H102)&lt;&gt;0,N(对账补充行!$I102)&lt;&gt;0)),0,IF(对账补充行!$B102="",1,IF(OR(N(对账补充行!$B102)&lt;$H$1,N(对账补充行!$B102)&gt;$I$1),0,1))))</f>
        <v>0</v>
      </c>
      <c r="H709">
        <f t="shared" si="124"/>
        <v>0</v>
      </c>
      <c r="I709" t="str">
        <f>IF($G709=0,"",IF(对账补充行!$B102=0,"",对账补充行!$B102))</f>
        <v/>
      </c>
      <c r="J709" t="str">
        <f>IF($G709=0,"",IF(对账补充行!$D102=0,"",对账补充行!$D102))</f>
        <v/>
      </c>
      <c r="K709" t="str">
        <f>IF($G709=0,"",IF(对账补充行!$E102=0,"",对账补充行!$E102))</f>
        <v/>
      </c>
      <c r="L709" t="str">
        <f>IF($G709=0,"",IF(对账补充行!$F102=0,"",对账补充行!$F102))</f>
        <v/>
      </c>
      <c r="M709" t="str">
        <f>IF($G709=0,"",IF(对账补充行!$G102=0,"",对账补充行!$G102))</f>
        <v/>
      </c>
      <c r="N709" t="str">
        <f>IF($G709=0,"",IF(对账补充行!$H102=0,"",对账补充行!$H102))</f>
        <v/>
      </c>
      <c r="O709" t="str">
        <f>IF($G709=0,"",IF(对账补充行!$I102=0,"",对账补充行!$I102))</f>
        <v/>
      </c>
      <c r="P709" t="str">
        <f>IF($G709=0,"",IF(对账补充行!$J102=0,"",对账补充行!$J102))</f>
        <v/>
      </c>
      <c r="T709" t="str">
        <f>IF(成本费用登记表!$D109="","",成本费用登记表!$D109)</f>
        <v/>
      </c>
      <c r="U709">
        <f t="shared" si="125"/>
        <v>0</v>
      </c>
      <c r="V709">
        <f t="shared" si="126"/>
        <v>0</v>
      </c>
    </row>
    <row r="710" spans="1:22">
      <c r="A710" t="str">
        <f>IF(资金日记账!$F408="","",资金日记账!$F408)</f>
        <v/>
      </c>
      <c r="B710">
        <f t="shared" si="122"/>
        <v>0</v>
      </c>
      <c r="C710">
        <f t="shared" si="123"/>
        <v>0</v>
      </c>
      <c r="G710">
        <f>IF(OR($G$1="",对账补充行!$C103="",对账补充行!$C103&lt;&gt;$G$1),0,IF(NOT(OR(N(对账补充行!$H103)&lt;&gt;0,N(对账补充行!$I103)&lt;&gt;0)),0,IF(对账补充行!$B103="",1,IF(OR(N(对账补充行!$B103)&lt;$H$1,N(对账补充行!$B103)&gt;$I$1),0,1))))</f>
        <v>0</v>
      </c>
      <c r="H710">
        <f t="shared" si="124"/>
        <v>0</v>
      </c>
      <c r="I710" t="str">
        <f>IF($G710=0,"",IF(对账补充行!$B103=0,"",对账补充行!$B103))</f>
        <v/>
      </c>
      <c r="J710" t="str">
        <f>IF($G710=0,"",IF(对账补充行!$D103=0,"",对账补充行!$D103))</f>
        <v/>
      </c>
      <c r="K710" t="str">
        <f>IF($G710=0,"",IF(对账补充行!$E103=0,"",对账补充行!$E103))</f>
        <v/>
      </c>
      <c r="L710" t="str">
        <f>IF($G710=0,"",IF(对账补充行!$F103=0,"",对账补充行!$F103))</f>
        <v/>
      </c>
      <c r="M710" t="str">
        <f>IF($G710=0,"",IF(对账补充行!$G103=0,"",对账补充行!$G103))</f>
        <v/>
      </c>
      <c r="N710" t="str">
        <f>IF($G710=0,"",IF(对账补充行!$H103=0,"",对账补充行!$H103))</f>
        <v/>
      </c>
      <c r="O710" t="str">
        <f>IF($G710=0,"",IF(对账补充行!$I103=0,"",对账补充行!$I103))</f>
        <v/>
      </c>
      <c r="P710" t="str">
        <f>IF($G710=0,"",IF(对账补充行!$J103=0,"",对账补充行!$J103))</f>
        <v/>
      </c>
      <c r="T710" t="str">
        <f>IF(成本费用登记表!$D110="","",成本费用登记表!$D110)</f>
        <v/>
      </c>
      <c r="U710">
        <f t="shared" si="125"/>
        <v>0</v>
      </c>
      <c r="V710">
        <f t="shared" si="126"/>
        <v>0</v>
      </c>
    </row>
    <row r="711" spans="1:22">
      <c r="A711" t="str">
        <f>IF(资金日记账!$F409="","",资金日记账!$F409)</f>
        <v/>
      </c>
      <c r="B711">
        <f t="shared" si="122"/>
        <v>0</v>
      </c>
      <c r="C711">
        <f t="shared" si="123"/>
        <v>0</v>
      </c>
      <c r="G711">
        <f>IF(OR($G$1="",对账补充行!$C104="",对账补充行!$C104&lt;&gt;$G$1),0,IF(NOT(OR(N(对账补充行!$H104)&lt;&gt;0,N(对账补充行!$I104)&lt;&gt;0)),0,IF(对账补充行!$B104="",1,IF(OR(N(对账补充行!$B104)&lt;$H$1,N(对账补充行!$B104)&gt;$I$1),0,1))))</f>
        <v>0</v>
      </c>
      <c r="H711">
        <f t="shared" si="124"/>
        <v>0</v>
      </c>
      <c r="I711" t="str">
        <f>IF($G711=0,"",IF(对账补充行!$B104=0,"",对账补充行!$B104))</f>
        <v/>
      </c>
      <c r="J711" t="str">
        <f>IF($G711=0,"",IF(对账补充行!$D104=0,"",对账补充行!$D104))</f>
        <v/>
      </c>
      <c r="K711" t="str">
        <f>IF($G711=0,"",IF(对账补充行!$E104=0,"",对账补充行!$E104))</f>
        <v/>
      </c>
      <c r="L711" t="str">
        <f>IF($G711=0,"",IF(对账补充行!$F104=0,"",对账补充行!$F104))</f>
        <v/>
      </c>
      <c r="M711" t="str">
        <f>IF($G711=0,"",IF(对账补充行!$G104=0,"",对账补充行!$G104))</f>
        <v/>
      </c>
      <c r="N711" t="str">
        <f>IF($G711=0,"",IF(对账补充行!$H104=0,"",对账补充行!$H104))</f>
        <v/>
      </c>
      <c r="O711" t="str">
        <f>IF($G711=0,"",IF(对账补充行!$I104=0,"",对账补充行!$I104))</f>
        <v/>
      </c>
      <c r="P711" t="str">
        <f>IF($G711=0,"",IF(对账补充行!$J104=0,"",对账补充行!$J104))</f>
        <v/>
      </c>
      <c r="T711" t="str">
        <f>IF(成本费用登记表!$D111="","",成本费用登记表!$D111)</f>
        <v/>
      </c>
      <c r="U711">
        <f t="shared" si="125"/>
        <v>0</v>
      </c>
      <c r="V711">
        <f t="shared" si="126"/>
        <v>0</v>
      </c>
    </row>
    <row r="712" spans="1:22">
      <c r="A712" t="str">
        <f>IF(资金日记账!$F410="","",资金日记账!$F410)</f>
        <v/>
      </c>
      <c r="B712">
        <f t="shared" si="122"/>
        <v>0</v>
      </c>
      <c r="C712">
        <f t="shared" si="123"/>
        <v>0</v>
      </c>
      <c r="G712">
        <f>IF(OR($G$1="",对账补充行!$C105="",对账补充行!$C105&lt;&gt;$G$1),0,IF(NOT(OR(N(对账补充行!$H105)&lt;&gt;0,N(对账补充行!$I105)&lt;&gt;0)),0,IF(对账补充行!$B105="",1,IF(OR(N(对账补充行!$B105)&lt;$H$1,N(对账补充行!$B105)&gt;$I$1),0,1))))</f>
        <v>0</v>
      </c>
      <c r="H712">
        <f t="shared" si="124"/>
        <v>0</v>
      </c>
      <c r="I712" t="str">
        <f>IF($G712=0,"",IF(对账补充行!$B105=0,"",对账补充行!$B105))</f>
        <v/>
      </c>
      <c r="J712" t="str">
        <f>IF($G712=0,"",IF(对账补充行!$D105=0,"",对账补充行!$D105))</f>
        <v/>
      </c>
      <c r="K712" t="str">
        <f>IF($G712=0,"",IF(对账补充行!$E105=0,"",对账补充行!$E105))</f>
        <v/>
      </c>
      <c r="L712" t="str">
        <f>IF($G712=0,"",IF(对账补充行!$F105=0,"",对账补充行!$F105))</f>
        <v/>
      </c>
      <c r="M712" t="str">
        <f>IF($G712=0,"",IF(对账补充行!$G105=0,"",对账补充行!$G105))</f>
        <v/>
      </c>
      <c r="N712" t="str">
        <f>IF($G712=0,"",IF(对账补充行!$H105=0,"",对账补充行!$H105))</f>
        <v/>
      </c>
      <c r="O712" t="str">
        <f>IF($G712=0,"",IF(对账补充行!$I105=0,"",对账补充行!$I105))</f>
        <v/>
      </c>
      <c r="P712" t="str">
        <f>IF($G712=0,"",IF(对账补充行!$J105=0,"",对账补充行!$J105))</f>
        <v/>
      </c>
      <c r="T712" t="str">
        <f>IF(成本费用登记表!$D112="","",成本费用登记表!$D112)</f>
        <v/>
      </c>
      <c r="U712">
        <f t="shared" si="125"/>
        <v>0</v>
      </c>
      <c r="V712">
        <f t="shared" si="126"/>
        <v>0</v>
      </c>
    </row>
    <row r="713" spans="1:22">
      <c r="A713" t="str">
        <f>IF(资金日记账!$F411="","",资金日记账!$F411)</f>
        <v/>
      </c>
      <c r="B713">
        <f t="shared" si="122"/>
        <v>0</v>
      </c>
      <c r="C713">
        <f t="shared" si="123"/>
        <v>0</v>
      </c>
      <c r="G713">
        <f>IF(OR($G$1="",对账补充行!$C106="",对账补充行!$C106&lt;&gt;$G$1),0,IF(NOT(OR(N(对账补充行!$H106)&lt;&gt;0,N(对账补充行!$I106)&lt;&gt;0)),0,IF(对账补充行!$B106="",1,IF(OR(N(对账补充行!$B106)&lt;$H$1,N(对账补充行!$B106)&gt;$I$1),0,1))))</f>
        <v>0</v>
      </c>
      <c r="H713">
        <f t="shared" si="124"/>
        <v>0</v>
      </c>
      <c r="I713" t="str">
        <f>IF($G713=0,"",IF(对账补充行!$B106=0,"",对账补充行!$B106))</f>
        <v/>
      </c>
      <c r="J713" t="str">
        <f>IF($G713=0,"",IF(对账补充行!$D106=0,"",对账补充行!$D106))</f>
        <v/>
      </c>
      <c r="K713" t="str">
        <f>IF($G713=0,"",IF(对账补充行!$E106=0,"",对账补充行!$E106))</f>
        <v/>
      </c>
      <c r="L713" t="str">
        <f>IF($G713=0,"",IF(对账补充行!$F106=0,"",对账补充行!$F106))</f>
        <v/>
      </c>
      <c r="M713" t="str">
        <f>IF($G713=0,"",IF(对账补充行!$G106=0,"",对账补充行!$G106))</f>
        <v/>
      </c>
      <c r="N713" t="str">
        <f>IF($G713=0,"",IF(对账补充行!$H106=0,"",对账补充行!$H106))</f>
        <v/>
      </c>
      <c r="O713" t="str">
        <f>IF($G713=0,"",IF(对账补充行!$I106=0,"",对账补充行!$I106))</f>
        <v/>
      </c>
      <c r="P713" t="str">
        <f>IF($G713=0,"",IF(对账补充行!$J106=0,"",对账补充行!$J106))</f>
        <v/>
      </c>
      <c r="T713" t="str">
        <f>IF(成本费用登记表!$D113="","",成本费用登记表!$D113)</f>
        <v/>
      </c>
      <c r="U713">
        <f t="shared" si="125"/>
        <v>0</v>
      </c>
      <c r="V713">
        <f t="shared" si="126"/>
        <v>0</v>
      </c>
    </row>
    <row r="714" spans="1:22">
      <c r="A714" t="str">
        <f>IF(资金日记账!$F412="","",资金日记账!$F412)</f>
        <v/>
      </c>
      <c r="B714">
        <f t="shared" si="122"/>
        <v>0</v>
      </c>
      <c r="C714">
        <f t="shared" si="123"/>
        <v>0</v>
      </c>
      <c r="G714">
        <f>IF(OR($G$1="",对账补充行!$C107="",对账补充行!$C107&lt;&gt;$G$1),0,IF(NOT(OR(N(对账补充行!$H107)&lt;&gt;0,N(对账补充行!$I107)&lt;&gt;0)),0,IF(对账补充行!$B107="",1,IF(OR(N(对账补充行!$B107)&lt;$H$1,N(对账补充行!$B107)&gt;$I$1),0,1))))</f>
        <v>0</v>
      </c>
      <c r="H714">
        <f t="shared" si="124"/>
        <v>0</v>
      </c>
      <c r="I714" t="str">
        <f>IF($G714=0,"",IF(对账补充行!$B107=0,"",对账补充行!$B107))</f>
        <v/>
      </c>
      <c r="J714" t="str">
        <f>IF($G714=0,"",IF(对账补充行!$D107=0,"",对账补充行!$D107))</f>
        <v/>
      </c>
      <c r="K714" t="str">
        <f>IF($G714=0,"",IF(对账补充行!$E107=0,"",对账补充行!$E107))</f>
        <v/>
      </c>
      <c r="L714" t="str">
        <f>IF($G714=0,"",IF(对账补充行!$F107=0,"",对账补充行!$F107))</f>
        <v/>
      </c>
      <c r="M714" t="str">
        <f>IF($G714=0,"",IF(对账补充行!$G107=0,"",对账补充行!$G107))</f>
        <v/>
      </c>
      <c r="N714" t="str">
        <f>IF($G714=0,"",IF(对账补充行!$H107=0,"",对账补充行!$H107))</f>
        <v/>
      </c>
      <c r="O714" t="str">
        <f>IF($G714=0,"",IF(对账补充行!$I107=0,"",对账补充行!$I107))</f>
        <v/>
      </c>
      <c r="P714" t="str">
        <f>IF($G714=0,"",IF(对账补充行!$J107=0,"",对账补充行!$J107))</f>
        <v/>
      </c>
      <c r="T714" t="str">
        <f>IF(成本费用登记表!$D114="","",成本费用登记表!$D114)</f>
        <v/>
      </c>
      <c r="U714">
        <f t="shared" si="125"/>
        <v>0</v>
      </c>
      <c r="V714">
        <f t="shared" si="126"/>
        <v>0</v>
      </c>
    </row>
    <row r="715" spans="1:22">
      <c r="A715" t="str">
        <f>IF(资金日记账!$F413="","",资金日记账!$F413)</f>
        <v/>
      </c>
      <c r="B715">
        <f t="shared" si="122"/>
        <v>0</v>
      </c>
      <c r="C715">
        <f t="shared" si="123"/>
        <v>0</v>
      </c>
      <c r="G715">
        <f>IF(OR($G$1="",对账补充行!$C108="",对账补充行!$C108&lt;&gt;$G$1),0,IF(NOT(OR(N(对账补充行!$H108)&lt;&gt;0,N(对账补充行!$I108)&lt;&gt;0)),0,IF(对账补充行!$B108="",1,IF(OR(N(对账补充行!$B108)&lt;$H$1,N(对账补充行!$B108)&gt;$I$1),0,1))))</f>
        <v>0</v>
      </c>
      <c r="H715">
        <f t="shared" si="124"/>
        <v>0</v>
      </c>
      <c r="I715" t="str">
        <f>IF($G715=0,"",IF(对账补充行!$B108=0,"",对账补充行!$B108))</f>
        <v/>
      </c>
      <c r="J715" t="str">
        <f>IF($G715=0,"",IF(对账补充行!$D108=0,"",对账补充行!$D108))</f>
        <v/>
      </c>
      <c r="K715" t="str">
        <f>IF($G715=0,"",IF(对账补充行!$E108=0,"",对账补充行!$E108))</f>
        <v/>
      </c>
      <c r="L715" t="str">
        <f>IF($G715=0,"",IF(对账补充行!$F108=0,"",对账补充行!$F108))</f>
        <v/>
      </c>
      <c r="M715" t="str">
        <f>IF($G715=0,"",IF(对账补充行!$G108=0,"",对账补充行!$G108))</f>
        <v/>
      </c>
      <c r="N715" t="str">
        <f>IF($G715=0,"",IF(对账补充行!$H108=0,"",对账补充行!$H108))</f>
        <v/>
      </c>
      <c r="O715" t="str">
        <f>IF($G715=0,"",IF(对账补充行!$I108=0,"",对账补充行!$I108))</f>
        <v/>
      </c>
      <c r="P715" t="str">
        <f>IF($G715=0,"",IF(对账补充行!$J108=0,"",对账补充行!$J108))</f>
        <v/>
      </c>
      <c r="T715" t="str">
        <f>IF(成本费用登记表!$D115="","",成本费用登记表!$D115)</f>
        <v/>
      </c>
      <c r="U715">
        <f t="shared" si="125"/>
        <v>0</v>
      </c>
      <c r="V715">
        <f t="shared" si="126"/>
        <v>0</v>
      </c>
    </row>
    <row r="716" spans="1:22">
      <c r="A716" t="str">
        <f>IF(资金日记账!$F414="","",资金日记账!$F414)</f>
        <v/>
      </c>
      <c r="B716">
        <f t="shared" si="122"/>
        <v>0</v>
      </c>
      <c r="C716">
        <f t="shared" si="123"/>
        <v>0</v>
      </c>
      <c r="G716">
        <f>IF(OR($G$1="",对账补充行!$C109="",对账补充行!$C109&lt;&gt;$G$1),0,IF(NOT(OR(N(对账补充行!$H109)&lt;&gt;0,N(对账补充行!$I109)&lt;&gt;0)),0,IF(对账补充行!$B109="",1,IF(OR(N(对账补充行!$B109)&lt;$H$1,N(对账补充行!$B109)&gt;$I$1),0,1))))</f>
        <v>0</v>
      </c>
      <c r="H716">
        <f t="shared" si="124"/>
        <v>0</v>
      </c>
      <c r="I716" t="str">
        <f>IF($G716=0,"",IF(对账补充行!$B109=0,"",对账补充行!$B109))</f>
        <v/>
      </c>
      <c r="J716" t="str">
        <f>IF($G716=0,"",IF(对账补充行!$D109=0,"",对账补充行!$D109))</f>
        <v/>
      </c>
      <c r="K716" t="str">
        <f>IF($G716=0,"",IF(对账补充行!$E109=0,"",对账补充行!$E109))</f>
        <v/>
      </c>
      <c r="L716" t="str">
        <f>IF($G716=0,"",IF(对账补充行!$F109=0,"",对账补充行!$F109))</f>
        <v/>
      </c>
      <c r="M716" t="str">
        <f>IF($G716=0,"",IF(对账补充行!$G109=0,"",对账补充行!$G109))</f>
        <v/>
      </c>
      <c r="N716" t="str">
        <f>IF($G716=0,"",IF(对账补充行!$H109=0,"",对账补充行!$H109))</f>
        <v/>
      </c>
      <c r="O716" t="str">
        <f>IF($G716=0,"",IF(对账补充行!$I109=0,"",对账补充行!$I109))</f>
        <v/>
      </c>
      <c r="P716" t="str">
        <f>IF($G716=0,"",IF(对账补充行!$J109=0,"",对账补充行!$J109))</f>
        <v/>
      </c>
      <c r="T716" t="str">
        <f>IF(成本费用登记表!$D116="","",成本费用登记表!$D116)</f>
        <v/>
      </c>
      <c r="U716">
        <f t="shared" si="125"/>
        <v>0</v>
      </c>
      <c r="V716">
        <f t="shared" si="126"/>
        <v>0</v>
      </c>
    </row>
    <row r="717" spans="1:22">
      <c r="A717" t="str">
        <f>IF(资金日记账!$F415="","",资金日记账!$F415)</f>
        <v/>
      </c>
      <c r="B717">
        <f t="shared" si="122"/>
        <v>0</v>
      </c>
      <c r="C717">
        <f t="shared" si="123"/>
        <v>0</v>
      </c>
      <c r="G717">
        <f>IF(OR($G$1="",对账补充行!$C110="",对账补充行!$C110&lt;&gt;$G$1),0,IF(NOT(OR(N(对账补充行!$H110)&lt;&gt;0,N(对账补充行!$I110)&lt;&gt;0)),0,IF(对账补充行!$B110="",1,IF(OR(N(对账补充行!$B110)&lt;$H$1,N(对账补充行!$B110)&gt;$I$1),0,1))))</f>
        <v>0</v>
      </c>
      <c r="H717">
        <f t="shared" si="124"/>
        <v>0</v>
      </c>
      <c r="I717" t="str">
        <f>IF($G717=0,"",IF(对账补充行!$B110=0,"",对账补充行!$B110))</f>
        <v/>
      </c>
      <c r="J717" t="str">
        <f>IF($G717=0,"",IF(对账补充行!$D110=0,"",对账补充行!$D110))</f>
        <v/>
      </c>
      <c r="K717" t="str">
        <f>IF($G717=0,"",IF(对账补充行!$E110=0,"",对账补充行!$E110))</f>
        <v/>
      </c>
      <c r="L717" t="str">
        <f>IF($G717=0,"",IF(对账补充行!$F110=0,"",对账补充行!$F110))</f>
        <v/>
      </c>
      <c r="M717" t="str">
        <f>IF($G717=0,"",IF(对账补充行!$G110=0,"",对账补充行!$G110))</f>
        <v/>
      </c>
      <c r="N717" t="str">
        <f>IF($G717=0,"",IF(对账补充行!$H110=0,"",对账补充行!$H110))</f>
        <v/>
      </c>
      <c r="O717" t="str">
        <f>IF($G717=0,"",IF(对账补充行!$I110=0,"",对账补充行!$I110))</f>
        <v/>
      </c>
      <c r="P717" t="str">
        <f>IF($G717=0,"",IF(对账补充行!$J110=0,"",对账补充行!$J110))</f>
        <v/>
      </c>
      <c r="T717" t="str">
        <f>IF(成本费用登记表!$D117="","",成本费用登记表!$D117)</f>
        <v/>
      </c>
      <c r="U717">
        <f t="shared" si="125"/>
        <v>0</v>
      </c>
      <c r="V717">
        <f t="shared" si="126"/>
        <v>0</v>
      </c>
    </row>
    <row r="718" spans="1:22">
      <c r="A718" t="str">
        <f>IF(资金日记账!$F416="","",资金日记账!$F416)</f>
        <v/>
      </c>
      <c r="B718">
        <f t="shared" si="122"/>
        <v>0</v>
      </c>
      <c r="C718">
        <f t="shared" si="123"/>
        <v>0</v>
      </c>
      <c r="G718">
        <f>IF(OR($G$1="",对账补充行!$C111="",对账补充行!$C111&lt;&gt;$G$1),0,IF(NOT(OR(N(对账补充行!$H111)&lt;&gt;0,N(对账补充行!$I111)&lt;&gt;0)),0,IF(对账补充行!$B111="",1,IF(OR(N(对账补充行!$B111)&lt;$H$1,N(对账补充行!$B111)&gt;$I$1),0,1))))</f>
        <v>0</v>
      </c>
      <c r="H718">
        <f t="shared" si="124"/>
        <v>0</v>
      </c>
      <c r="I718" t="str">
        <f>IF($G718=0,"",IF(对账补充行!$B111=0,"",对账补充行!$B111))</f>
        <v/>
      </c>
      <c r="J718" t="str">
        <f>IF($G718=0,"",IF(对账补充行!$D111=0,"",对账补充行!$D111))</f>
        <v/>
      </c>
      <c r="K718" t="str">
        <f>IF($G718=0,"",IF(对账补充行!$E111=0,"",对账补充行!$E111))</f>
        <v/>
      </c>
      <c r="L718" t="str">
        <f>IF($G718=0,"",IF(对账补充行!$F111=0,"",对账补充行!$F111))</f>
        <v/>
      </c>
      <c r="M718" t="str">
        <f>IF($G718=0,"",IF(对账补充行!$G111=0,"",对账补充行!$G111))</f>
        <v/>
      </c>
      <c r="N718" t="str">
        <f>IF($G718=0,"",IF(对账补充行!$H111=0,"",对账补充行!$H111))</f>
        <v/>
      </c>
      <c r="O718" t="str">
        <f>IF($G718=0,"",IF(对账补充行!$I111=0,"",对账补充行!$I111))</f>
        <v/>
      </c>
      <c r="P718" t="str">
        <f>IF($G718=0,"",IF(对账补充行!$J111=0,"",对账补充行!$J111))</f>
        <v/>
      </c>
      <c r="T718" t="str">
        <f>IF(成本费用登记表!$D118="","",成本费用登记表!$D118)</f>
        <v/>
      </c>
      <c r="U718">
        <f t="shared" si="125"/>
        <v>0</v>
      </c>
      <c r="V718">
        <f t="shared" si="126"/>
        <v>0</v>
      </c>
    </row>
    <row r="719" spans="1:22">
      <c r="A719" t="str">
        <f>IF(资金日记账!$F417="","",资金日记账!$F417)</f>
        <v/>
      </c>
      <c r="B719">
        <f t="shared" si="122"/>
        <v>0</v>
      </c>
      <c r="C719">
        <f t="shared" si="123"/>
        <v>0</v>
      </c>
      <c r="G719">
        <f>IF(OR($G$1="",对账补充行!$C112="",对账补充行!$C112&lt;&gt;$G$1),0,IF(NOT(OR(N(对账补充行!$H112)&lt;&gt;0,N(对账补充行!$I112)&lt;&gt;0)),0,IF(对账补充行!$B112="",1,IF(OR(N(对账补充行!$B112)&lt;$H$1,N(对账补充行!$B112)&gt;$I$1),0,1))))</f>
        <v>0</v>
      </c>
      <c r="H719">
        <f t="shared" si="124"/>
        <v>0</v>
      </c>
      <c r="I719" t="str">
        <f>IF($G719=0,"",IF(对账补充行!$B112=0,"",对账补充行!$B112))</f>
        <v/>
      </c>
      <c r="J719" t="str">
        <f>IF($G719=0,"",IF(对账补充行!$D112=0,"",对账补充行!$D112))</f>
        <v/>
      </c>
      <c r="K719" t="str">
        <f>IF($G719=0,"",IF(对账补充行!$E112=0,"",对账补充行!$E112))</f>
        <v/>
      </c>
      <c r="L719" t="str">
        <f>IF($G719=0,"",IF(对账补充行!$F112=0,"",对账补充行!$F112))</f>
        <v/>
      </c>
      <c r="M719" t="str">
        <f>IF($G719=0,"",IF(对账补充行!$G112=0,"",对账补充行!$G112))</f>
        <v/>
      </c>
      <c r="N719" t="str">
        <f>IF($G719=0,"",IF(对账补充行!$H112=0,"",对账补充行!$H112))</f>
        <v/>
      </c>
      <c r="O719" t="str">
        <f>IF($G719=0,"",IF(对账补充行!$I112=0,"",对账补充行!$I112))</f>
        <v/>
      </c>
      <c r="P719" t="str">
        <f>IF($G719=0,"",IF(对账补充行!$J112=0,"",对账补充行!$J112))</f>
        <v/>
      </c>
      <c r="T719" t="str">
        <f>IF(成本费用登记表!$D119="","",成本费用登记表!$D119)</f>
        <v/>
      </c>
      <c r="U719">
        <f t="shared" si="125"/>
        <v>0</v>
      </c>
      <c r="V719">
        <f t="shared" si="126"/>
        <v>0</v>
      </c>
    </row>
    <row r="720" spans="1:22">
      <c r="A720" t="str">
        <f>IF(资金日记账!$F418="","",资金日记账!$F418)</f>
        <v/>
      </c>
      <c r="B720">
        <f t="shared" si="122"/>
        <v>0</v>
      </c>
      <c r="C720">
        <f t="shared" si="123"/>
        <v>0</v>
      </c>
      <c r="G720">
        <f>IF(OR($G$1="",对账补充行!$C113="",对账补充行!$C113&lt;&gt;$G$1),0,IF(NOT(OR(N(对账补充行!$H113)&lt;&gt;0,N(对账补充行!$I113)&lt;&gt;0)),0,IF(对账补充行!$B113="",1,IF(OR(N(对账补充行!$B113)&lt;$H$1,N(对账补充行!$B113)&gt;$I$1),0,1))))</f>
        <v>0</v>
      </c>
      <c r="H720">
        <f t="shared" si="124"/>
        <v>0</v>
      </c>
      <c r="I720" t="str">
        <f>IF($G720=0,"",IF(对账补充行!$B113=0,"",对账补充行!$B113))</f>
        <v/>
      </c>
      <c r="J720" t="str">
        <f>IF($G720=0,"",IF(对账补充行!$D113=0,"",对账补充行!$D113))</f>
        <v/>
      </c>
      <c r="K720" t="str">
        <f>IF($G720=0,"",IF(对账补充行!$E113=0,"",对账补充行!$E113))</f>
        <v/>
      </c>
      <c r="L720" t="str">
        <f>IF($G720=0,"",IF(对账补充行!$F113=0,"",对账补充行!$F113))</f>
        <v/>
      </c>
      <c r="M720" t="str">
        <f>IF($G720=0,"",IF(对账补充行!$G113=0,"",对账补充行!$G113))</f>
        <v/>
      </c>
      <c r="N720" t="str">
        <f>IF($G720=0,"",IF(对账补充行!$H113=0,"",对账补充行!$H113))</f>
        <v/>
      </c>
      <c r="O720" t="str">
        <f>IF($G720=0,"",IF(对账补充行!$I113=0,"",对账补充行!$I113))</f>
        <v/>
      </c>
      <c r="P720" t="str">
        <f>IF($G720=0,"",IF(对账补充行!$J113=0,"",对账补充行!$J113))</f>
        <v/>
      </c>
      <c r="T720" t="str">
        <f>IF(成本费用登记表!$D120="","",成本费用登记表!$D120)</f>
        <v/>
      </c>
      <c r="U720">
        <f t="shared" si="125"/>
        <v>0</v>
      </c>
      <c r="V720">
        <f t="shared" si="126"/>
        <v>0</v>
      </c>
    </row>
    <row r="721" spans="1:22">
      <c r="A721" t="str">
        <f>IF(资金日记账!$F419="","",资金日记账!$F419)</f>
        <v/>
      </c>
      <c r="B721">
        <f t="shared" si="122"/>
        <v>0</v>
      </c>
      <c r="C721">
        <f t="shared" si="123"/>
        <v>0</v>
      </c>
      <c r="G721">
        <f>IF(OR($G$1="",对账补充行!$C114="",对账补充行!$C114&lt;&gt;$G$1),0,IF(NOT(OR(N(对账补充行!$H114)&lt;&gt;0,N(对账补充行!$I114)&lt;&gt;0)),0,IF(对账补充行!$B114="",1,IF(OR(N(对账补充行!$B114)&lt;$H$1,N(对账补充行!$B114)&gt;$I$1),0,1))))</f>
        <v>0</v>
      </c>
      <c r="H721">
        <f t="shared" si="124"/>
        <v>0</v>
      </c>
      <c r="I721" t="str">
        <f>IF($G721=0,"",IF(对账补充行!$B114=0,"",对账补充行!$B114))</f>
        <v/>
      </c>
      <c r="J721" t="str">
        <f>IF($G721=0,"",IF(对账补充行!$D114=0,"",对账补充行!$D114))</f>
        <v/>
      </c>
      <c r="K721" t="str">
        <f>IF($G721=0,"",IF(对账补充行!$E114=0,"",对账补充行!$E114))</f>
        <v/>
      </c>
      <c r="L721" t="str">
        <f>IF($G721=0,"",IF(对账补充行!$F114=0,"",对账补充行!$F114))</f>
        <v/>
      </c>
      <c r="M721" t="str">
        <f>IF($G721=0,"",IF(对账补充行!$G114=0,"",对账补充行!$G114))</f>
        <v/>
      </c>
      <c r="N721" t="str">
        <f>IF($G721=0,"",IF(对账补充行!$H114=0,"",对账补充行!$H114))</f>
        <v/>
      </c>
      <c r="O721" t="str">
        <f>IF($G721=0,"",IF(对账补充行!$I114=0,"",对账补充行!$I114))</f>
        <v/>
      </c>
      <c r="P721" t="str">
        <f>IF($G721=0,"",IF(对账补充行!$J114=0,"",对账补充行!$J114))</f>
        <v/>
      </c>
      <c r="T721" t="str">
        <f>IF(成本费用登记表!$D121="","",成本费用登记表!$D121)</f>
        <v/>
      </c>
      <c r="U721">
        <f t="shared" si="125"/>
        <v>0</v>
      </c>
      <c r="V721">
        <f t="shared" si="126"/>
        <v>0</v>
      </c>
    </row>
    <row r="722" spans="1:22">
      <c r="A722" t="str">
        <f>IF(资金日记账!$F420="","",资金日记账!$F420)</f>
        <v/>
      </c>
      <c r="B722">
        <f t="shared" si="122"/>
        <v>0</v>
      </c>
      <c r="C722">
        <f t="shared" si="123"/>
        <v>0</v>
      </c>
      <c r="G722">
        <f>IF(OR($G$1="",对账补充行!$C115="",对账补充行!$C115&lt;&gt;$G$1),0,IF(NOT(OR(N(对账补充行!$H115)&lt;&gt;0,N(对账补充行!$I115)&lt;&gt;0)),0,IF(对账补充行!$B115="",1,IF(OR(N(对账补充行!$B115)&lt;$H$1,N(对账补充行!$B115)&gt;$I$1),0,1))))</f>
        <v>0</v>
      </c>
      <c r="H722">
        <f t="shared" si="124"/>
        <v>0</v>
      </c>
      <c r="I722" t="str">
        <f>IF($G722=0,"",IF(对账补充行!$B115=0,"",对账补充行!$B115))</f>
        <v/>
      </c>
      <c r="J722" t="str">
        <f>IF($G722=0,"",IF(对账补充行!$D115=0,"",对账补充行!$D115))</f>
        <v/>
      </c>
      <c r="K722" t="str">
        <f>IF($G722=0,"",IF(对账补充行!$E115=0,"",对账补充行!$E115))</f>
        <v/>
      </c>
      <c r="L722" t="str">
        <f>IF($G722=0,"",IF(对账补充行!$F115=0,"",对账补充行!$F115))</f>
        <v/>
      </c>
      <c r="M722" t="str">
        <f>IF($G722=0,"",IF(对账补充行!$G115=0,"",对账补充行!$G115))</f>
        <v/>
      </c>
      <c r="N722" t="str">
        <f>IF($G722=0,"",IF(对账补充行!$H115=0,"",对账补充行!$H115))</f>
        <v/>
      </c>
      <c r="O722" t="str">
        <f>IF($G722=0,"",IF(对账补充行!$I115=0,"",对账补充行!$I115))</f>
        <v/>
      </c>
      <c r="P722" t="str">
        <f>IF($G722=0,"",IF(对账补充行!$J115=0,"",对账补充行!$J115))</f>
        <v/>
      </c>
      <c r="T722" t="str">
        <f>IF(成本费用登记表!$D122="","",成本费用登记表!$D122)</f>
        <v/>
      </c>
      <c r="U722">
        <f t="shared" si="125"/>
        <v>0</v>
      </c>
      <c r="V722">
        <f t="shared" si="126"/>
        <v>0</v>
      </c>
    </row>
    <row r="723" spans="1:22">
      <c r="A723" t="str">
        <f>IF(资金日记账!$F421="","",资金日记账!$F421)</f>
        <v/>
      </c>
      <c r="B723">
        <f t="shared" si="122"/>
        <v>0</v>
      </c>
      <c r="C723">
        <f t="shared" si="123"/>
        <v>0</v>
      </c>
      <c r="G723">
        <f>IF(OR($G$1="",对账补充行!$C116="",对账补充行!$C116&lt;&gt;$G$1),0,IF(NOT(OR(N(对账补充行!$H116)&lt;&gt;0,N(对账补充行!$I116)&lt;&gt;0)),0,IF(对账补充行!$B116="",1,IF(OR(N(对账补充行!$B116)&lt;$H$1,N(对账补充行!$B116)&gt;$I$1),0,1))))</f>
        <v>0</v>
      </c>
      <c r="H723">
        <f t="shared" si="124"/>
        <v>0</v>
      </c>
      <c r="I723" t="str">
        <f>IF($G723=0,"",IF(对账补充行!$B116=0,"",对账补充行!$B116))</f>
        <v/>
      </c>
      <c r="J723" t="str">
        <f>IF($G723=0,"",IF(对账补充行!$D116=0,"",对账补充行!$D116))</f>
        <v/>
      </c>
      <c r="K723" t="str">
        <f>IF($G723=0,"",IF(对账补充行!$E116=0,"",对账补充行!$E116))</f>
        <v/>
      </c>
      <c r="L723" t="str">
        <f>IF($G723=0,"",IF(对账补充行!$F116=0,"",对账补充行!$F116))</f>
        <v/>
      </c>
      <c r="M723" t="str">
        <f>IF($G723=0,"",IF(对账补充行!$G116=0,"",对账补充行!$G116))</f>
        <v/>
      </c>
      <c r="N723" t="str">
        <f>IF($G723=0,"",IF(对账补充行!$H116=0,"",对账补充行!$H116))</f>
        <v/>
      </c>
      <c r="O723" t="str">
        <f>IF($G723=0,"",IF(对账补充行!$I116=0,"",对账补充行!$I116))</f>
        <v/>
      </c>
      <c r="P723" t="str">
        <f>IF($G723=0,"",IF(对账补充行!$J116=0,"",对账补充行!$J116))</f>
        <v/>
      </c>
      <c r="T723" t="str">
        <f>IF(成本费用登记表!$D123="","",成本费用登记表!$D123)</f>
        <v/>
      </c>
      <c r="U723">
        <f t="shared" si="125"/>
        <v>0</v>
      </c>
      <c r="V723">
        <f t="shared" si="126"/>
        <v>0</v>
      </c>
    </row>
    <row r="724" spans="1:22">
      <c r="A724" t="str">
        <f>IF(资金日记账!$F422="","",资金日记账!$F422)</f>
        <v/>
      </c>
      <c r="B724">
        <f t="shared" si="122"/>
        <v>0</v>
      </c>
      <c r="C724">
        <f t="shared" si="123"/>
        <v>0</v>
      </c>
      <c r="G724">
        <f>IF(OR($G$1="",对账补充行!$C117="",对账补充行!$C117&lt;&gt;$G$1),0,IF(NOT(OR(N(对账补充行!$H117)&lt;&gt;0,N(对账补充行!$I117)&lt;&gt;0)),0,IF(对账补充行!$B117="",1,IF(OR(N(对账补充行!$B117)&lt;$H$1,N(对账补充行!$B117)&gt;$I$1),0,1))))</f>
        <v>0</v>
      </c>
      <c r="H724">
        <f t="shared" si="124"/>
        <v>0</v>
      </c>
      <c r="I724" t="str">
        <f>IF($G724=0,"",IF(对账补充行!$B117=0,"",对账补充行!$B117))</f>
        <v/>
      </c>
      <c r="J724" t="str">
        <f>IF($G724=0,"",IF(对账补充行!$D117=0,"",对账补充行!$D117))</f>
        <v/>
      </c>
      <c r="K724" t="str">
        <f>IF($G724=0,"",IF(对账补充行!$E117=0,"",对账补充行!$E117))</f>
        <v/>
      </c>
      <c r="L724" t="str">
        <f>IF($G724=0,"",IF(对账补充行!$F117=0,"",对账补充行!$F117))</f>
        <v/>
      </c>
      <c r="M724" t="str">
        <f>IF($G724=0,"",IF(对账补充行!$G117=0,"",对账补充行!$G117))</f>
        <v/>
      </c>
      <c r="N724" t="str">
        <f>IF($G724=0,"",IF(对账补充行!$H117=0,"",对账补充行!$H117))</f>
        <v/>
      </c>
      <c r="O724" t="str">
        <f>IF($G724=0,"",IF(对账补充行!$I117=0,"",对账补充行!$I117))</f>
        <v/>
      </c>
      <c r="P724" t="str">
        <f>IF($G724=0,"",IF(对账补充行!$J117=0,"",对账补充行!$J117))</f>
        <v/>
      </c>
      <c r="T724" t="str">
        <f>IF(成本费用登记表!$D124="","",成本费用登记表!$D124)</f>
        <v/>
      </c>
      <c r="U724">
        <f t="shared" si="125"/>
        <v>0</v>
      </c>
      <c r="V724">
        <f t="shared" si="126"/>
        <v>0</v>
      </c>
    </row>
    <row r="725" spans="1:22">
      <c r="A725" t="str">
        <f>IF(资金日记账!$F423="","",资金日记账!$F423)</f>
        <v/>
      </c>
      <c r="B725">
        <f t="shared" si="122"/>
        <v>0</v>
      </c>
      <c r="C725">
        <f t="shared" si="123"/>
        <v>0</v>
      </c>
      <c r="G725">
        <f>IF(OR($G$1="",对账补充行!$C118="",对账补充行!$C118&lt;&gt;$G$1),0,IF(NOT(OR(N(对账补充行!$H118)&lt;&gt;0,N(对账补充行!$I118)&lt;&gt;0)),0,IF(对账补充行!$B118="",1,IF(OR(N(对账补充行!$B118)&lt;$H$1,N(对账补充行!$B118)&gt;$I$1),0,1))))</f>
        <v>0</v>
      </c>
      <c r="H725">
        <f t="shared" si="124"/>
        <v>0</v>
      </c>
      <c r="I725" t="str">
        <f>IF($G725=0,"",IF(对账补充行!$B118=0,"",对账补充行!$B118))</f>
        <v/>
      </c>
      <c r="J725" t="str">
        <f>IF($G725=0,"",IF(对账补充行!$D118=0,"",对账补充行!$D118))</f>
        <v/>
      </c>
      <c r="K725" t="str">
        <f>IF($G725=0,"",IF(对账补充行!$E118=0,"",对账补充行!$E118))</f>
        <v/>
      </c>
      <c r="L725" t="str">
        <f>IF($G725=0,"",IF(对账补充行!$F118=0,"",对账补充行!$F118))</f>
        <v/>
      </c>
      <c r="M725" t="str">
        <f>IF($G725=0,"",IF(对账补充行!$G118=0,"",对账补充行!$G118))</f>
        <v/>
      </c>
      <c r="N725" t="str">
        <f>IF($G725=0,"",IF(对账补充行!$H118=0,"",对账补充行!$H118))</f>
        <v/>
      </c>
      <c r="O725" t="str">
        <f>IF($G725=0,"",IF(对账补充行!$I118=0,"",对账补充行!$I118))</f>
        <v/>
      </c>
      <c r="P725" t="str">
        <f>IF($G725=0,"",IF(对账补充行!$J118=0,"",对账补充行!$J118))</f>
        <v/>
      </c>
      <c r="T725" t="str">
        <f>IF(成本费用登记表!$D125="","",成本费用登记表!$D125)</f>
        <v/>
      </c>
      <c r="U725">
        <f t="shared" si="125"/>
        <v>0</v>
      </c>
      <c r="V725">
        <f t="shared" si="126"/>
        <v>0</v>
      </c>
    </row>
    <row r="726" spans="1:22">
      <c r="A726" t="str">
        <f>IF(资金日记账!$F424="","",资金日记账!$F424)</f>
        <v/>
      </c>
      <c r="B726">
        <f t="shared" si="122"/>
        <v>0</v>
      </c>
      <c r="C726">
        <f t="shared" si="123"/>
        <v>0</v>
      </c>
      <c r="G726">
        <f>IF(OR($G$1="",对账补充行!$C119="",对账补充行!$C119&lt;&gt;$G$1),0,IF(NOT(OR(N(对账补充行!$H119)&lt;&gt;0,N(对账补充行!$I119)&lt;&gt;0)),0,IF(对账补充行!$B119="",1,IF(OR(N(对账补充行!$B119)&lt;$H$1,N(对账补充行!$B119)&gt;$I$1),0,1))))</f>
        <v>0</v>
      </c>
      <c r="H726">
        <f t="shared" si="124"/>
        <v>0</v>
      </c>
      <c r="I726" t="str">
        <f>IF($G726=0,"",IF(对账补充行!$B119=0,"",对账补充行!$B119))</f>
        <v/>
      </c>
      <c r="J726" t="str">
        <f>IF($G726=0,"",IF(对账补充行!$D119=0,"",对账补充行!$D119))</f>
        <v/>
      </c>
      <c r="K726" t="str">
        <f>IF($G726=0,"",IF(对账补充行!$E119=0,"",对账补充行!$E119))</f>
        <v/>
      </c>
      <c r="L726" t="str">
        <f>IF($G726=0,"",IF(对账补充行!$F119=0,"",对账补充行!$F119))</f>
        <v/>
      </c>
      <c r="M726" t="str">
        <f>IF($G726=0,"",IF(对账补充行!$G119=0,"",对账补充行!$G119))</f>
        <v/>
      </c>
      <c r="N726" t="str">
        <f>IF($G726=0,"",IF(对账补充行!$H119=0,"",对账补充行!$H119))</f>
        <v/>
      </c>
      <c r="O726" t="str">
        <f>IF($G726=0,"",IF(对账补充行!$I119=0,"",对账补充行!$I119))</f>
        <v/>
      </c>
      <c r="P726" t="str">
        <f>IF($G726=0,"",IF(对账补充行!$J119=0,"",对账补充行!$J119))</f>
        <v/>
      </c>
      <c r="T726" t="str">
        <f>IF(成本费用登记表!$D126="","",成本费用登记表!$D126)</f>
        <v/>
      </c>
      <c r="U726">
        <f t="shared" si="125"/>
        <v>0</v>
      </c>
      <c r="V726">
        <f t="shared" si="126"/>
        <v>0</v>
      </c>
    </row>
    <row r="727" spans="1:22">
      <c r="A727" t="str">
        <f>IF(资金日记账!$F425="","",资金日记账!$F425)</f>
        <v/>
      </c>
      <c r="B727">
        <f t="shared" si="122"/>
        <v>0</v>
      </c>
      <c r="C727">
        <f t="shared" si="123"/>
        <v>0</v>
      </c>
      <c r="G727">
        <f>IF(OR($G$1="",对账补充行!$C120="",对账补充行!$C120&lt;&gt;$G$1),0,IF(NOT(OR(N(对账补充行!$H120)&lt;&gt;0,N(对账补充行!$I120)&lt;&gt;0)),0,IF(对账补充行!$B120="",1,IF(OR(N(对账补充行!$B120)&lt;$H$1,N(对账补充行!$B120)&gt;$I$1),0,1))))</f>
        <v>0</v>
      </c>
      <c r="H727">
        <f t="shared" si="124"/>
        <v>0</v>
      </c>
      <c r="I727" t="str">
        <f>IF($G727=0,"",IF(对账补充行!$B120=0,"",对账补充行!$B120))</f>
        <v/>
      </c>
      <c r="J727" t="str">
        <f>IF($G727=0,"",IF(对账补充行!$D120=0,"",对账补充行!$D120))</f>
        <v/>
      </c>
      <c r="K727" t="str">
        <f>IF($G727=0,"",IF(对账补充行!$E120=0,"",对账补充行!$E120))</f>
        <v/>
      </c>
      <c r="L727" t="str">
        <f>IF($G727=0,"",IF(对账补充行!$F120=0,"",对账补充行!$F120))</f>
        <v/>
      </c>
      <c r="M727" t="str">
        <f>IF($G727=0,"",IF(对账补充行!$G120=0,"",对账补充行!$G120))</f>
        <v/>
      </c>
      <c r="N727" t="str">
        <f>IF($G727=0,"",IF(对账补充行!$H120=0,"",对账补充行!$H120))</f>
        <v/>
      </c>
      <c r="O727" t="str">
        <f>IF($G727=0,"",IF(对账补充行!$I120=0,"",对账补充行!$I120))</f>
        <v/>
      </c>
      <c r="P727" t="str">
        <f>IF($G727=0,"",IF(对账补充行!$J120=0,"",对账补充行!$J120))</f>
        <v/>
      </c>
      <c r="T727" t="str">
        <f>IF(成本费用登记表!$D127="","",成本费用登记表!$D127)</f>
        <v/>
      </c>
      <c r="U727">
        <f t="shared" si="125"/>
        <v>0</v>
      </c>
      <c r="V727">
        <f t="shared" si="126"/>
        <v>0</v>
      </c>
    </row>
    <row r="728" spans="1:22">
      <c r="A728" t="str">
        <f>IF(资金日记账!$F426="","",资金日记账!$F426)</f>
        <v/>
      </c>
      <c r="B728">
        <f t="shared" si="122"/>
        <v>0</v>
      </c>
      <c r="C728">
        <f t="shared" si="123"/>
        <v>0</v>
      </c>
      <c r="G728">
        <f>IF(OR($G$1="",对账补充行!$C121="",对账补充行!$C121&lt;&gt;$G$1),0,IF(NOT(OR(N(对账补充行!$H121)&lt;&gt;0,N(对账补充行!$I121)&lt;&gt;0)),0,IF(对账补充行!$B121="",1,IF(OR(N(对账补充行!$B121)&lt;$H$1,N(对账补充行!$B121)&gt;$I$1),0,1))))</f>
        <v>0</v>
      </c>
      <c r="H728">
        <f t="shared" si="124"/>
        <v>0</v>
      </c>
      <c r="I728" t="str">
        <f>IF($G728=0,"",IF(对账补充行!$B121=0,"",对账补充行!$B121))</f>
        <v/>
      </c>
      <c r="J728" t="str">
        <f>IF($G728=0,"",IF(对账补充行!$D121=0,"",对账补充行!$D121))</f>
        <v/>
      </c>
      <c r="K728" t="str">
        <f>IF($G728=0,"",IF(对账补充行!$E121=0,"",对账补充行!$E121))</f>
        <v/>
      </c>
      <c r="L728" t="str">
        <f>IF($G728=0,"",IF(对账补充行!$F121=0,"",对账补充行!$F121))</f>
        <v/>
      </c>
      <c r="M728" t="str">
        <f>IF($G728=0,"",IF(对账补充行!$G121=0,"",对账补充行!$G121))</f>
        <v/>
      </c>
      <c r="N728" t="str">
        <f>IF($G728=0,"",IF(对账补充行!$H121=0,"",对账补充行!$H121))</f>
        <v/>
      </c>
      <c r="O728" t="str">
        <f>IF($G728=0,"",IF(对账补充行!$I121=0,"",对账补充行!$I121))</f>
        <v/>
      </c>
      <c r="P728" t="str">
        <f>IF($G728=0,"",IF(对账补充行!$J121=0,"",对账补充行!$J121))</f>
        <v/>
      </c>
      <c r="T728" t="str">
        <f>IF(成本费用登记表!$D128="","",成本费用登记表!$D128)</f>
        <v/>
      </c>
      <c r="U728">
        <f t="shared" si="125"/>
        <v>0</v>
      </c>
      <c r="V728">
        <f t="shared" si="126"/>
        <v>0</v>
      </c>
    </row>
    <row r="729" spans="1:22">
      <c r="A729" t="str">
        <f>IF(资金日记账!$F427="","",资金日记账!$F427)</f>
        <v/>
      </c>
      <c r="B729">
        <f t="shared" si="122"/>
        <v>0</v>
      </c>
      <c r="C729">
        <f t="shared" si="123"/>
        <v>0</v>
      </c>
      <c r="G729">
        <f>IF(OR($G$1="",对账补充行!$C122="",对账补充行!$C122&lt;&gt;$G$1),0,IF(NOT(OR(N(对账补充行!$H122)&lt;&gt;0,N(对账补充行!$I122)&lt;&gt;0)),0,IF(对账补充行!$B122="",1,IF(OR(N(对账补充行!$B122)&lt;$H$1,N(对账补充行!$B122)&gt;$I$1),0,1))))</f>
        <v>0</v>
      </c>
      <c r="H729">
        <f t="shared" si="124"/>
        <v>0</v>
      </c>
      <c r="I729" t="str">
        <f>IF($G729=0,"",IF(对账补充行!$B122=0,"",对账补充行!$B122))</f>
        <v/>
      </c>
      <c r="J729" t="str">
        <f>IF($G729=0,"",IF(对账补充行!$D122=0,"",对账补充行!$D122))</f>
        <v/>
      </c>
      <c r="K729" t="str">
        <f>IF($G729=0,"",IF(对账补充行!$E122=0,"",对账补充行!$E122))</f>
        <v/>
      </c>
      <c r="L729" t="str">
        <f>IF($G729=0,"",IF(对账补充行!$F122=0,"",对账补充行!$F122))</f>
        <v/>
      </c>
      <c r="M729" t="str">
        <f>IF($G729=0,"",IF(对账补充行!$G122=0,"",对账补充行!$G122))</f>
        <v/>
      </c>
      <c r="N729" t="str">
        <f>IF($G729=0,"",IF(对账补充行!$H122=0,"",对账补充行!$H122))</f>
        <v/>
      </c>
      <c r="O729" t="str">
        <f>IF($G729=0,"",IF(对账补充行!$I122=0,"",对账补充行!$I122))</f>
        <v/>
      </c>
      <c r="P729" t="str">
        <f>IF($G729=0,"",IF(对账补充行!$J122=0,"",对账补充行!$J122))</f>
        <v/>
      </c>
      <c r="T729" t="str">
        <f>IF(成本费用登记表!$D129="","",成本费用登记表!$D129)</f>
        <v/>
      </c>
      <c r="U729">
        <f t="shared" si="125"/>
        <v>0</v>
      </c>
      <c r="V729">
        <f t="shared" si="126"/>
        <v>0</v>
      </c>
    </row>
    <row r="730" spans="1:22">
      <c r="A730" t="str">
        <f>IF(资金日记账!$F428="","",资金日记账!$F428)</f>
        <v/>
      </c>
      <c r="B730">
        <f t="shared" si="122"/>
        <v>0</v>
      </c>
      <c r="C730">
        <f t="shared" si="123"/>
        <v>0</v>
      </c>
      <c r="G730">
        <f>IF(OR($G$1="",对账补充行!$C123="",对账补充行!$C123&lt;&gt;$G$1),0,IF(NOT(OR(N(对账补充行!$H123)&lt;&gt;0,N(对账补充行!$I123)&lt;&gt;0)),0,IF(对账补充行!$B123="",1,IF(OR(N(对账补充行!$B123)&lt;$H$1,N(对账补充行!$B123)&gt;$I$1),0,1))))</f>
        <v>0</v>
      </c>
      <c r="H730">
        <f t="shared" si="124"/>
        <v>0</v>
      </c>
      <c r="I730" t="str">
        <f>IF($G730=0,"",IF(对账补充行!$B123=0,"",对账补充行!$B123))</f>
        <v/>
      </c>
      <c r="J730" t="str">
        <f>IF($G730=0,"",IF(对账补充行!$D123=0,"",对账补充行!$D123))</f>
        <v/>
      </c>
      <c r="K730" t="str">
        <f>IF($G730=0,"",IF(对账补充行!$E123=0,"",对账补充行!$E123))</f>
        <v/>
      </c>
      <c r="L730" t="str">
        <f>IF($G730=0,"",IF(对账补充行!$F123=0,"",对账补充行!$F123))</f>
        <v/>
      </c>
      <c r="M730" t="str">
        <f>IF($G730=0,"",IF(对账补充行!$G123=0,"",对账补充行!$G123))</f>
        <v/>
      </c>
      <c r="N730" t="str">
        <f>IF($G730=0,"",IF(对账补充行!$H123=0,"",对账补充行!$H123))</f>
        <v/>
      </c>
      <c r="O730" t="str">
        <f>IF($G730=0,"",IF(对账补充行!$I123=0,"",对账补充行!$I123))</f>
        <v/>
      </c>
      <c r="P730" t="str">
        <f>IF($G730=0,"",IF(对账补充行!$J123=0,"",对账补充行!$J123))</f>
        <v/>
      </c>
      <c r="T730" t="str">
        <f>IF(成本费用登记表!$D130="","",成本费用登记表!$D130)</f>
        <v/>
      </c>
      <c r="U730">
        <f t="shared" si="125"/>
        <v>0</v>
      </c>
      <c r="V730">
        <f t="shared" si="126"/>
        <v>0</v>
      </c>
    </row>
    <row r="731" spans="1:22">
      <c r="A731" t="str">
        <f>IF(资金日记账!$F429="","",资金日记账!$F429)</f>
        <v/>
      </c>
      <c r="B731">
        <f t="shared" si="122"/>
        <v>0</v>
      </c>
      <c r="C731">
        <f t="shared" si="123"/>
        <v>0</v>
      </c>
      <c r="G731">
        <f>IF(OR($G$1="",对账补充行!$C124="",对账补充行!$C124&lt;&gt;$G$1),0,IF(NOT(OR(N(对账补充行!$H124)&lt;&gt;0,N(对账补充行!$I124)&lt;&gt;0)),0,IF(对账补充行!$B124="",1,IF(OR(N(对账补充行!$B124)&lt;$H$1,N(对账补充行!$B124)&gt;$I$1),0,1))))</f>
        <v>0</v>
      </c>
      <c r="H731">
        <f t="shared" si="124"/>
        <v>0</v>
      </c>
      <c r="I731" t="str">
        <f>IF($G731=0,"",IF(对账补充行!$B124=0,"",对账补充行!$B124))</f>
        <v/>
      </c>
      <c r="J731" t="str">
        <f>IF($G731=0,"",IF(对账补充行!$D124=0,"",对账补充行!$D124))</f>
        <v/>
      </c>
      <c r="K731" t="str">
        <f>IF($G731=0,"",IF(对账补充行!$E124=0,"",对账补充行!$E124))</f>
        <v/>
      </c>
      <c r="L731" t="str">
        <f>IF($G731=0,"",IF(对账补充行!$F124=0,"",对账补充行!$F124))</f>
        <v/>
      </c>
      <c r="M731" t="str">
        <f>IF($G731=0,"",IF(对账补充行!$G124=0,"",对账补充行!$G124))</f>
        <v/>
      </c>
      <c r="N731" t="str">
        <f>IF($G731=0,"",IF(对账补充行!$H124=0,"",对账补充行!$H124))</f>
        <v/>
      </c>
      <c r="O731" t="str">
        <f>IF($G731=0,"",IF(对账补充行!$I124=0,"",对账补充行!$I124))</f>
        <v/>
      </c>
      <c r="P731" t="str">
        <f>IF($G731=0,"",IF(对账补充行!$J124=0,"",对账补充行!$J124))</f>
        <v/>
      </c>
      <c r="T731" t="str">
        <f>IF(成本费用登记表!$D131="","",成本费用登记表!$D131)</f>
        <v/>
      </c>
      <c r="U731">
        <f t="shared" si="125"/>
        <v>0</v>
      </c>
      <c r="V731">
        <f t="shared" si="126"/>
        <v>0</v>
      </c>
    </row>
    <row r="732" spans="1:22">
      <c r="A732" t="str">
        <f>IF(资金日记账!$F430="","",资金日记账!$F430)</f>
        <v/>
      </c>
      <c r="B732">
        <f t="shared" si="122"/>
        <v>0</v>
      </c>
      <c r="C732">
        <f t="shared" si="123"/>
        <v>0</v>
      </c>
      <c r="G732">
        <f>IF(OR($G$1="",对账补充行!$C125="",对账补充行!$C125&lt;&gt;$G$1),0,IF(NOT(OR(N(对账补充行!$H125)&lt;&gt;0,N(对账补充行!$I125)&lt;&gt;0)),0,IF(对账补充行!$B125="",1,IF(OR(N(对账补充行!$B125)&lt;$H$1,N(对账补充行!$B125)&gt;$I$1),0,1))))</f>
        <v>0</v>
      </c>
      <c r="H732">
        <f t="shared" si="124"/>
        <v>0</v>
      </c>
      <c r="I732" t="str">
        <f>IF($G732=0,"",IF(对账补充行!$B125=0,"",对账补充行!$B125))</f>
        <v/>
      </c>
      <c r="J732" t="str">
        <f>IF($G732=0,"",IF(对账补充行!$D125=0,"",对账补充行!$D125))</f>
        <v/>
      </c>
      <c r="K732" t="str">
        <f>IF($G732=0,"",IF(对账补充行!$E125=0,"",对账补充行!$E125))</f>
        <v/>
      </c>
      <c r="L732" t="str">
        <f>IF($G732=0,"",IF(对账补充行!$F125=0,"",对账补充行!$F125))</f>
        <v/>
      </c>
      <c r="M732" t="str">
        <f>IF($G732=0,"",IF(对账补充行!$G125=0,"",对账补充行!$G125))</f>
        <v/>
      </c>
      <c r="N732" t="str">
        <f>IF($G732=0,"",IF(对账补充行!$H125=0,"",对账补充行!$H125))</f>
        <v/>
      </c>
      <c r="O732" t="str">
        <f>IF($G732=0,"",IF(对账补充行!$I125=0,"",对账补充行!$I125))</f>
        <v/>
      </c>
      <c r="P732" t="str">
        <f>IF($G732=0,"",IF(对账补充行!$J125=0,"",对账补充行!$J125))</f>
        <v/>
      </c>
      <c r="T732" t="str">
        <f>IF(成本费用登记表!$D132="","",成本费用登记表!$D132)</f>
        <v/>
      </c>
      <c r="U732">
        <f t="shared" si="125"/>
        <v>0</v>
      </c>
      <c r="V732">
        <f t="shared" si="126"/>
        <v>0</v>
      </c>
    </row>
    <row r="733" spans="1:22">
      <c r="A733" t="str">
        <f>IF(资金日记账!$F431="","",资金日记账!$F431)</f>
        <v/>
      </c>
      <c r="B733">
        <f t="shared" si="122"/>
        <v>0</v>
      </c>
      <c r="C733">
        <f t="shared" si="123"/>
        <v>0</v>
      </c>
      <c r="G733">
        <f>IF(OR($G$1="",对账补充行!$C126="",对账补充行!$C126&lt;&gt;$G$1),0,IF(NOT(OR(N(对账补充行!$H126)&lt;&gt;0,N(对账补充行!$I126)&lt;&gt;0)),0,IF(对账补充行!$B126="",1,IF(OR(N(对账补充行!$B126)&lt;$H$1,N(对账补充行!$B126)&gt;$I$1),0,1))))</f>
        <v>0</v>
      </c>
      <c r="H733">
        <f t="shared" si="124"/>
        <v>0</v>
      </c>
      <c r="I733" t="str">
        <f>IF($G733=0,"",IF(对账补充行!$B126=0,"",对账补充行!$B126))</f>
        <v/>
      </c>
      <c r="J733" t="str">
        <f>IF($G733=0,"",IF(对账补充行!$D126=0,"",对账补充行!$D126))</f>
        <v/>
      </c>
      <c r="K733" t="str">
        <f>IF($G733=0,"",IF(对账补充行!$E126=0,"",对账补充行!$E126))</f>
        <v/>
      </c>
      <c r="L733" t="str">
        <f>IF($G733=0,"",IF(对账补充行!$F126=0,"",对账补充行!$F126))</f>
        <v/>
      </c>
      <c r="M733" t="str">
        <f>IF($G733=0,"",IF(对账补充行!$G126=0,"",对账补充行!$G126))</f>
        <v/>
      </c>
      <c r="N733" t="str">
        <f>IF($G733=0,"",IF(对账补充行!$H126=0,"",对账补充行!$H126))</f>
        <v/>
      </c>
      <c r="O733" t="str">
        <f>IF($G733=0,"",IF(对账补充行!$I126=0,"",对账补充行!$I126))</f>
        <v/>
      </c>
      <c r="P733" t="str">
        <f>IF($G733=0,"",IF(对账补充行!$J126=0,"",对账补充行!$J126))</f>
        <v/>
      </c>
      <c r="T733" t="str">
        <f>IF(成本费用登记表!$D133="","",成本费用登记表!$D133)</f>
        <v/>
      </c>
      <c r="U733">
        <f t="shared" si="125"/>
        <v>0</v>
      </c>
      <c r="V733">
        <f t="shared" si="126"/>
        <v>0</v>
      </c>
    </row>
    <row r="734" spans="1:22">
      <c r="A734" t="str">
        <f>IF(资金日记账!$F432="","",资金日记账!$F432)</f>
        <v/>
      </c>
      <c r="B734">
        <f t="shared" si="122"/>
        <v>0</v>
      </c>
      <c r="C734">
        <f t="shared" si="123"/>
        <v>0</v>
      </c>
      <c r="G734">
        <f>IF(OR($G$1="",对账补充行!$C127="",对账补充行!$C127&lt;&gt;$G$1),0,IF(NOT(OR(N(对账补充行!$H127)&lt;&gt;0,N(对账补充行!$I127)&lt;&gt;0)),0,IF(对账补充行!$B127="",1,IF(OR(N(对账补充行!$B127)&lt;$H$1,N(对账补充行!$B127)&gt;$I$1),0,1))))</f>
        <v>0</v>
      </c>
      <c r="H734">
        <f t="shared" si="124"/>
        <v>0</v>
      </c>
      <c r="I734" t="str">
        <f>IF($G734=0,"",IF(对账补充行!$B127=0,"",对账补充行!$B127))</f>
        <v/>
      </c>
      <c r="J734" t="str">
        <f>IF($G734=0,"",IF(对账补充行!$D127=0,"",对账补充行!$D127))</f>
        <v/>
      </c>
      <c r="K734" t="str">
        <f>IF($G734=0,"",IF(对账补充行!$E127=0,"",对账补充行!$E127))</f>
        <v/>
      </c>
      <c r="L734" t="str">
        <f>IF($G734=0,"",IF(对账补充行!$F127=0,"",对账补充行!$F127))</f>
        <v/>
      </c>
      <c r="M734" t="str">
        <f>IF($G734=0,"",IF(对账补充行!$G127=0,"",对账补充行!$G127))</f>
        <v/>
      </c>
      <c r="N734" t="str">
        <f>IF($G734=0,"",IF(对账补充行!$H127=0,"",对账补充行!$H127))</f>
        <v/>
      </c>
      <c r="O734" t="str">
        <f>IF($G734=0,"",IF(对账补充行!$I127=0,"",对账补充行!$I127))</f>
        <v/>
      </c>
      <c r="P734" t="str">
        <f>IF($G734=0,"",IF(对账补充行!$J127=0,"",对账补充行!$J127))</f>
        <v/>
      </c>
      <c r="T734" t="str">
        <f>IF(成本费用登记表!$D134="","",成本费用登记表!$D134)</f>
        <v/>
      </c>
      <c r="U734">
        <f t="shared" si="125"/>
        <v>0</v>
      </c>
      <c r="V734">
        <f t="shared" si="126"/>
        <v>0</v>
      </c>
    </row>
    <row r="735" spans="1:22">
      <c r="A735" t="str">
        <f>IF(资金日记账!$F433="","",资金日记账!$F433)</f>
        <v/>
      </c>
      <c r="B735">
        <f t="shared" si="122"/>
        <v>0</v>
      </c>
      <c r="C735">
        <f t="shared" si="123"/>
        <v>0</v>
      </c>
      <c r="G735">
        <f>IF(OR($G$1="",对账补充行!$C128="",对账补充行!$C128&lt;&gt;$G$1),0,IF(NOT(OR(N(对账补充行!$H128)&lt;&gt;0,N(对账补充行!$I128)&lt;&gt;0)),0,IF(对账补充行!$B128="",1,IF(OR(N(对账补充行!$B128)&lt;$H$1,N(对账补充行!$B128)&gt;$I$1),0,1))))</f>
        <v>0</v>
      </c>
      <c r="H735">
        <f t="shared" si="124"/>
        <v>0</v>
      </c>
      <c r="I735" t="str">
        <f>IF($G735=0,"",IF(对账补充行!$B128=0,"",对账补充行!$B128))</f>
        <v/>
      </c>
      <c r="J735" t="str">
        <f>IF($G735=0,"",IF(对账补充行!$D128=0,"",对账补充行!$D128))</f>
        <v/>
      </c>
      <c r="K735" t="str">
        <f>IF($G735=0,"",IF(对账补充行!$E128=0,"",对账补充行!$E128))</f>
        <v/>
      </c>
      <c r="L735" t="str">
        <f>IF($G735=0,"",IF(对账补充行!$F128=0,"",对账补充行!$F128))</f>
        <v/>
      </c>
      <c r="M735" t="str">
        <f>IF($G735=0,"",IF(对账补充行!$G128=0,"",对账补充行!$G128))</f>
        <v/>
      </c>
      <c r="N735" t="str">
        <f>IF($G735=0,"",IF(对账补充行!$H128=0,"",对账补充行!$H128))</f>
        <v/>
      </c>
      <c r="O735" t="str">
        <f>IF($G735=0,"",IF(对账补充行!$I128=0,"",对账补充行!$I128))</f>
        <v/>
      </c>
      <c r="P735" t="str">
        <f>IF($G735=0,"",IF(对账补充行!$J128=0,"",对账补充行!$J128))</f>
        <v/>
      </c>
      <c r="T735" t="str">
        <f>IF(成本费用登记表!$D135="","",成本费用登记表!$D135)</f>
        <v/>
      </c>
      <c r="U735">
        <f t="shared" si="125"/>
        <v>0</v>
      </c>
      <c r="V735">
        <f t="shared" si="126"/>
        <v>0</v>
      </c>
    </row>
    <row r="736" spans="1:22">
      <c r="A736" t="str">
        <f>IF(资金日记账!$F434="","",资金日记账!$F434)</f>
        <v/>
      </c>
      <c r="B736">
        <f t="shared" si="122"/>
        <v>0</v>
      </c>
      <c r="C736">
        <f t="shared" si="123"/>
        <v>0</v>
      </c>
      <c r="G736">
        <f>IF(OR($G$1="",对账补充行!$C129="",对账补充行!$C129&lt;&gt;$G$1),0,IF(NOT(OR(N(对账补充行!$H129)&lt;&gt;0,N(对账补充行!$I129)&lt;&gt;0)),0,IF(对账补充行!$B129="",1,IF(OR(N(对账补充行!$B129)&lt;$H$1,N(对账补充行!$B129)&gt;$I$1),0,1))))</f>
        <v>0</v>
      </c>
      <c r="H736">
        <f t="shared" si="124"/>
        <v>0</v>
      </c>
      <c r="I736" t="str">
        <f>IF($G736=0,"",IF(对账补充行!$B129=0,"",对账补充行!$B129))</f>
        <v/>
      </c>
      <c r="J736" t="str">
        <f>IF($G736=0,"",IF(对账补充行!$D129=0,"",对账补充行!$D129))</f>
        <v/>
      </c>
      <c r="K736" t="str">
        <f>IF($G736=0,"",IF(对账补充行!$E129=0,"",对账补充行!$E129))</f>
        <v/>
      </c>
      <c r="L736" t="str">
        <f>IF($G736=0,"",IF(对账补充行!$F129=0,"",对账补充行!$F129))</f>
        <v/>
      </c>
      <c r="M736" t="str">
        <f>IF($G736=0,"",IF(对账补充行!$G129=0,"",对账补充行!$G129))</f>
        <v/>
      </c>
      <c r="N736" t="str">
        <f>IF($G736=0,"",IF(对账补充行!$H129=0,"",对账补充行!$H129))</f>
        <v/>
      </c>
      <c r="O736" t="str">
        <f>IF($G736=0,"",IF(对账补充行!$I129=0,"",对账补充行!$I129))</f>
        <v/>
      </c>
      <c r="P736" t="str">
        <f>IF($G736=0,"",IF(对账补充行!$J129=0,"",对账补充行!$J129))</f>
        <v/>
      </c>
      <c r="T736" t="str">
        <f>IF(成本费用登记表!$D136="","",成本费用登记表!$D136)</f>
        <v/>
      </c>
      <c r="U736">
        <f t="shared" si="125"/>
        <v>0</v>
      </c>
      <c r="V736">
        <f t="shared" si="126"/>
        <v>0</v>
      </c>
    </row>
    <row r="737" spans="1:22">
      <c r="A737" t="str">
        <f>IF(资金日记账!$F435="","",资金日记账!$F435)</f>
        <v/>
      </c>
      <c r="B737">
        <f t="shared" si="122"/>
        <v>0</v>
      </c>
      <c r="C737">
        <f t="shared" si="123"/>
        <v>0</v>
      </c>
      <c r="G737">
        <f>IF(OR($G$1="",对账补充行!$C130="",对账补充行!$C130&lt;&gt;$G$1),0,IF(NOT(OR(N(对账补充行!$H130)&lt;&gt;0,N(对账补充行!$I130)&lt;&gt;0)),0,IF(对账补充行!$B130="",1,IF(OR(N(对账补充行!$B130)&lt;$H$1,N(对账补充行!$B130)&gt;$I$1),0,1))))</f>
        <v>0</v>
      </c>
      <c r="H737">
        <f t="shared" si="124"/>
        <v>0</v>
      </c>
      <c r="I737" t="str">
        <f>IF($G737=0,"",IF(对账补充行!$B130=0,"",对账补充行!$B130))</f>
        <v/>
      </c>
      <c r="J737" t="str">
        <f>IF($G737=0,"",IF(对账补充行!$D130=0,"",对账补充行!$D130))</f>
        <v/>
      </c>
      <c r="K737" t="str">
        <f>IF($G737=0,"",IF(对账补充行!$E130=0,"",对账补充行!$E130))</f>
        <v/>
      </c>
      <c r="L737" t="str">
        <f>IF($G737=0,"",IF(对账补充行!$F130=0,"",对账补充行!$F130))</f>
        <v/>
      </c>
      <c r="M737" t="str">
        <f>IF($G737=0,"",IF(对账补充行!$G130=0,"",对账补充行!$G130))</f>
        <v/>
      </c>
      <c r="N737" t="str">
        <f>IF($G737=0,"",IF(对账补充行!$H130=0,"",对账补充行!$H130))</f>
        <v/>
      </c>
      <c r="O737" t="str">
        <f>IF($G737=0,"",IF(对账补充行!$I130=0,"",对账补充行!$I130))</f>
        <v/>
      </c>
      <c r="P737" t="str">
        <f>IF($G737=0,"",IF(对账补充行!$J130=0,"",对账补充行!$J130))</f>
        <v/>
      </c>
      <c r="T737" t="str">
        <f>IF(成本费用登记表!$D137="","",成本费用登记表!$D137)</f>
        <v/>
      </c>
      <c r="U737">
        <f t="shared" si="125"/>
        <v>0</v>
      </c>
      <c r="V737">
        <f t="shared" si="126"/>
        <v>0</v>
      </c>
    </row>
    <row r="738" spans="1:22">
      <c r="A738" t="str">
        <f>IF(资金日记账!$F436="","",资金日记账!$F436)</f>
        <v/>
      </c>
      <c r="B738">
        <f t="shared" si="122"/>
        <v>0</v>
      </c>
      <c r="C738">
        <f t="shared" si="123"/>
        <v>0</v>
      </c>
      <c r="G738">
        <f>IF(OR($G$1="",对账补充行!$C131="",对账补充行!$C131&lt;&gt;$G$1),0,IF(NOT(OR(N(对账补充行!$H131)&lt;&gt;0,N(对账补充行!$I131)&lt;&gt;0)),0,IF(对账补充行!$B131="",1,IF(OR(N(对账补充行!$B131)&lt;$H$1,N(对账补充行!$B131)&gt;$I$1),0,1))))</f>
        <v>0</v>
      </c>
      <c r="H738">
        <f t="shared" si="124"/>
        <v>0</v>
      </c>
      <c r="I738" t="str">
        <f>IF($G738=0,"",IF(对账补充行!$B131=0,"",对账补充行!$B131))</f>
        <v/>
      </c>
      <c r="J738" t="str">
        <f>IF($G738=0,"",IF(对账补充行!$D131=0,"",对账补充行!$D131))</f>
        <v/>
      </c>
      <c r="K738" t="str">
        <f>IF($G738=0,"",IF(对账补充行!$E131=0,"",对账补充行!$E131))</f>
        <v/>
      </c>
      <c r="L738" t="str">
        <f>IF($G738=0,"",IF(对账补充行!$F131=0,"",对账补充行!$F131))</f>
        <v/>
      </c>
      <c r="M738" t="str">
        <f>IF($G738=0,"",IF(对账补充行!$G131=0,"",对账补充行!$G131))</f>
        <v/>
      </c>
      <c r="N738" t="str">
        <f>IF($G738=0,"",IF(对账补充行!$H131=0,"",对账补充行!$H131))</f>
        <v/>
      </c>
      <c r="O738" t="str">
        <f>IF($G738=0,"",IF(对账补充行!$I131=0,"",对账补充行!$I131))</f>
        <v/>
      </c>
      <c r="P738" t="str">
        <f>IF($G738=0,"",IF(对账补充行!$J131=0,"",对账补充行!$J131))</f>
        <v/>
      </c>
      <c r="T738" t="str">
        <f>IF(成本费用登记表!$D138="","",成本费用登记表!$D138)</f>
        <v/>
      </c>
      <c r="U738">
        <f t="shared" si="125"/>
        <v>0</v>
      </c>
      <c r="V738">
        <f t="shared" si="126"/>
        <v>0</v>
      </c>
    </row>
    <row r="739" spans="1:22">
      <c r="A739" t="str">
        <f>IF(资金日记账!$F437="","",资金日记账!$F437)</f>
        <v/>
      </c>
      <c r="B739">
        <f t="shared" si="122"/>
        <v>0</v>
      </c>
      <c r="C739">
        <f t="shared" si="123"/>
        <v>0</v>
      </c>
      <c r="G739">
        <f>IF(OR($G$1="",对账补充行!$C132="",对账补充行!$C132&lt;&gt;$G$1),0,IF(NOT(OR(N(对账补充行!$H132)&lt;&gt;0,N(对账补充行!$I132)&lt;&gt;0)),0,IF(对账补充行!$B132="",1,IF(OR(N(对账补充行!$B132)&lt;$H$1,N(对账补充行!$B132)&gt;$I$1),0,1))))</f>
        <v>0</v>
      </c>
      <c r="H739">
        <f t="shared" si="124"/>
        <v>0</v>
      </c>
      <c r="I739" t="str">
        <f>IF($G739=0,"",IF(对账补充行!$B132=0,"",对账补充行!$B132))</f>
        <v/>
      </c>
      <c r="J739" t="str">
        <f>IF($G739=0,"",IF(对账补充行!$D132=0,"",对账补充行!$D132))</f>
        <v/>
      </c>
      <c r="K739" t="str">
        <f>IF($G739=0,"",IF(对账补充行!$E132=0,"",对账补充行!$E132))</f>
        <v/>
      </c>
      <c r="L739" t="str">
        <f>IF($G739=0,"",IF(对账补充行!$F132=0,"",对账补充行!$F132))</f>
        <v/>
      </c>
      <c r="M739" t="str">
        <f>IF($G739=0,"",IF(对账补充行!$G132=0,"",对账补充行!$G132))</f>
        <v/>
      </c>
      <c r="N739" t="str">
        <f>IF($G739=0,"",IF(对账补充行!$H132=0,"",对账补充行!$H132))</f>
        <v/>
      </c>
      <c r="O739" t="str">
        <f>IF($G739=0,"",IF(对账补充行!$I132=0,"",对账补充行!$I132))</f>
        <v/>
      </c>
      <c r="P739" t="str">
        <f>IF($G739=0,"",IF(对账补充行!$J132=0,"",对账补充行!$J132))</f>
        <v/>
      </c>
      <c r="T739" t="str">
        <f>IF(成本费用登记表!$D139="","",成本费用登记表!$D139)</f>
        <v/>
      </c>
      <c r="U739">
        <f t="shared" si="125"/>
        <v>0</v>
      </c>
      <c r="V739">
        <f t="shared" si="126"/>
        <v>0</v>
      </c>
    </row>
    <row r="740" spans="1:22">
      <c r="A740" t="str">
        <f>IF(资金日记账!$F438="","",资金日记账!$F438)</f>
        <v/>
      </c>
      <c r="B740">
        <f t="shared" si="122"/>
        <v>0</v>
      </c>
      <c r="C740">
        <f t="shared" si="123"/>
        <v>0</v>
      </c>
      <c r="G740">
        <f>IF(OR($G$1="",对账补充行!$C133="",对账补充行!$C133&lt;&gt;$G$1),0,IF(NOT(OR(N(对账补充行!$H133)&lt;&gt;0,N(对账补充行!$I133)&lt;&gt;0)),0,IF(对账补充行!$B133="",1,IF(OR(N(对账补充行!$B133)&lt;$H$1,N(对账补充行!$B133)&gt;$I$1),0,1))))</f>
        <v>0</v>
      </c>
      <c r="H740">
        <f t="shared" si="124"/>
        <v>0</v>
      </c>
      <c r="I740" t="str">
        <f>IF($G740=0,"",IF(对账补充行!$B133=0,"",对账补充行!$B133))</f>
        <v/>
      </c>
      <c r="J740" t="str">
        <f>IF($G740=0,"",IF(对账补充行!$D133=0,"",对账补充行!$D133))</f>
        <v/>
      </c>
      <c r="K740" t="str">
        <f>IF($G740=0,"",IF(对账补充行!$E133=0,"",对账补充行!$E133))</f>
        <v/>
      </c>
      <c r="L740" t="str">
        <f>IF($G740=0,"",IF(对账补充行!$F133=0,"",对账补充行!$F133))</f>
        <v/>
      </c>
      <c r="M740" t="str">
        <f>IF($G740=0,"",IF(对账补充行!$G133=0,"",对账补充行!$G133))</f>
        <v/>
      </c>
      <c r="N740" t="str">
        <f>IF($G740=0,"",IF(对账补充行!$H133=0,"",对账补充行!$H133))</f>
        <v/>
      </c>
      <c r="O740" t="str">
        <f>IF($G740=0,"",IF(对账补充行!$I133=0,"",对账补充行!$I133))</f>
        <v/>
      </c>
      <c r="P740" t="str">
        <f>IF($G740=0,"",IF(对账补充行!$J133=0,"",对账补充行!$J133))</f>
        <v/>
      </c>
      <c r="T740" t="str">
        <f>IF(成本费用登记表!$D140="","",成本费用登记表!$D140)</f>
        <v/>
      </c>
      <c r="U740">
        <f t="shared" si="125"/>
        <v>0</v>
      </c>
      <c r="V740">
        <f t="shared" si="126"/>
        <v>0</v>
      </c>
    </row>
    <row r="741" spans="1:22">
      <c r="A741" t="str">
        <f>IF(资金日记账!$F439="","",资金日记账!$F439)</f>
        <v/>
      </c>
      <c r="B741">
        <f t="shared" si="122"/>
        <v>0</v>
      </c>
      <c r="C741">
        <f t="shared" si="123"/>
        <v>0</v>
      </c>
      <c r="G741">
        <f>IF(OR($G$1="",对账补充行!$C134="",对账补充行!$C134&lt;&gt;$G$1),0,IF(NOT(OR(N(对账补充行!$H134)&lt;&gt;0,N(对账补充行!$I134)&lt;&gt;0)),0,IF(对账补充行!$B134="",1,IF(OR(N(对账补充行!$B134)&lt;$H$1,N(对账补充行!$B134)&gt;$I$1),0,1))))</f>
        <v>0</v>
      </c>
      <c r="H741">
        <f t="shared" si="124"/>
        <v>0</v>
      </c>
      <c r="I741" t="str">
        <f>IF($G741=0,"",IF(对账补充行!$B134=0,"",对账补充行!$B134))</f>
        <v/>
      </c>
      <c r="J741" t="str">
        <f>IF($G741=0,"",IF(对账补充行!$D134=0,"",对账补充行!$D134))</f>
        <v/>
      </c>
      <c r="K741" t="str">
        <f>IF($G741=0,"",IF(对账补充行!$E134=0,"",对账补充行!$E134))</f>
        <v/>
      </c>
      <c r="L741" t="str">
        <f>IF($G741=0,"",IF(对账补充行!$F134=0,"",对账补充行!$F134))</f>
        <v/>
      </c>
      <c r="M741" t="str">
        <f>IF($G741=0,"",IF(对账补充行!$G134=0,"",对账补充行!$G134))</f>
        <v/>
      </c>
      <c r="N741" t="str">
        <f>IF($G741=0,"",IF(对账补充行!$H134=0,"",对账补充行!$H134))</f>
        <v/>
      </c>
      <c r="O741" t="str">
        <f>IF($G741=0,"",IF(对账补充行!$I134=0,"",对账补充行!$I134))</f>
        <v/>
      </c>
      <c r="P741" t="str">
        <f>IF($G741=0,"",IF(对账补充行!$J134=0,"",对账补充行!$J134))</f>
        <v/>
      </c>
      <c r="T741" t="str">
        <f>IF(成本费用登记表!$D141="","",成本费用登记表!$D141)</f>
        <v/>
      </c>
      <c r="U741">
        <f t="shared" si="125"/>
        <v>0</v>
      </c>
      <c r="V741">
        <f t="shared" si="126"/>
        <v>0</v>
      </c>
    </row>
    <row r="742" spans="1:22">
      <c r="A742" t="str">
        <f>IF(资金日记账!$F440="","",资金日记账!$F440)</f>
        <v/>
      </c>
      <c r="B742">
        <f t="shared" si="122"/>
        <v>0</v>
      </c>
      <c r="C742">
        <f t="shared" si="123"/>
        <v>0</v>
      </c>
      <c r="G742">
        <f>IF(OR($G$1="",对账补充行!$C135="",对账补充行!$C135&lt;&gt;$G$1),0,IF(NOT(OR(N(对账补充行!$H135)&lt;&gt;0,N(对账补充行!$I135)&lt;&gt;0)),0,IF(对账补充行!$B135="",1,IF(OR(N(对账补充行!$B135)&lt;$H$1,N(对账补充行!$B135)&gt;$I$1),0,1))))</f>
        <v>0</v>
      </c>
      <c r="H742">
        <f t="shared" si="124"/>
        <v>0</v>
      </c>
      <c r="I742" t="str">
        <f>IF($G742=0,"",IF(对账补充行!$B135=0,"",对账补充行!$B135))</f>
        <v/>
      </c>
      <c r="J742" t="str">
        <f>IF($G742=0,"",IF(对账补充行!$D135=0,"",对账补充行!$D135))</f>
        <v/>
      </c>
      <c r="K742" t="str">
        <f>IF($G742=0,"",IF(对账补充行!$E135=0,"",对账补充行!$E135))</f>
        <v/>
      </c>
      <c r="L742" t="str">
        <f>IF($G742=0,"",IF(对账补充行!$F135=0,"",对账补充行!$F135))</f>
        <v/>
      </c>
      <c r="M742" t="str">
        <f>IF($G742=0,"",IF(对账补充行!$G135=0,"",对账补充行!$G135))</f>
        <v/>
      </c>
      <c r="N742" t="str">
        <f>IF($G742=0,"",IF(对账补充行!$H135=0,"",对账补充行!$H135))</f>
        <v/>
      </c>
      <c r="O742" t="str">
        <f>IF($G742=0,"",IF(对账补充行!$I135=0,"",对账补充行!$I135))</f>
        <v/>
      </c>
      <c r="P742" t="str">
        <f>IF($G742=0,"",IF(对账补充行!$J135=0,"",对账补充行!$J135))</f>
        <v/>
      </c>
      <c r="T742" t="str">
        <f>IF(成本费用登记表!$D142="","",成本费用登记表!$D142)</f>
        <v/>
      </c>
      <c r="U742">
        <f t="shared" si="125"/>
        <v>0</v>
      </c>
      <c r="V742">
        <f t="shared" si="126"/>
        <v>0</v>
      </c>
    </row>
    <row r="743" spans="1:22">
      <c r="A743" t="str">
        <f>IF(资金日记账!$F441="","",资金日记账!$F441)</f>
        <v/>
      </c>
      <c r="B743">
        <f t="shared" si="122"/>
        <v>0</v>
      </c>
      <c r="C743">
        <f t="shared" si="123"/>
        <v>0</v>
      </c>
      <c r="G743">
        <f>IF(OR($G$1="",对账补充行!$C136="",对账补充行!$C136&lt;&gt;$G$1),0,IF(NOT(OR(N(对账补充行!$H136)&lt;&gt;0,N(对账补充行!$I136)&lt;&gt;0)),0,IF(对账补充行!$B136="",1,IF(OR(N(对账补充行!$B136)&lt;$H$1,N(对账补充行!$B136)&gt;$I$1),0,1))))</f>
        <v>0</v>
      </c>
      <c r="H743">
        <f t="shared" si="124"/>
        <v>0</v>
      </c>
      <c r="I743" t="str">
        <f>IF($G743=0,"",IF(对账补充行!$B136=0,"",对账补充行!$B136))</f>
        <v/>
      </c>
      <c r="J743" t="str">
        <f>IF($G743=0,"",IF(对账补充行!$D136=0,"",对账补充行!$D136))</f>
        <v/>
      </c>
      <c r="K743" t="str">
        <f>IF($G743=0,"",IF(对账补充行!$E136=0,"",对账补充行!$E136))</f>
        <v/>
      </c>
      <c r="L743" t="str">
        <f>IF($G743=0,"",IF(对账补充行!$F136=0,"",对账补充行!$F136))</f>
        <v/>
      </c>
      <c r="M743" t="str">
        <f>IF($G743=0,"",IF(对账补充行!$G136=0,"",对账补充行!$G136))</f>
        <v/>
      </c>
      <c r="N743" t="str">
        <f>IF($G743=0,"",IF(对账补充行!$H136=0,"",对账补充行!$H136))</f>
        <v/>
      </c>
      <c r="O743" t="str">
        <f>IF($G743=0,"",IF(对账补充行!$I136=0,"",对账补充行!$I136))</f>
        <v/>
      </c>
      <c r="P743" t="str">
        <f>IF($G743=0,"",IF(对账补充行!$J136=0,"",对账补充行!$J136))</f>
        <v/>
      </c>
      <c r="T743" t="str">
        <f>IF(成本费用登记表!$D143="","",成本费用登记表!$D143)</f>
        <v/>
      </c>
      <c r="U743">
        <f t="shared" si="125"/>
        <v>0</v>
      </c>
      <c r="V743">
        <f t="shared" si="126"/>
        <v>0</v>
      </c>
    </row>
    <row r="744" spans="1:22">
      <c r="A744" t="str">
        <f>IF(资金日记账!$F442="","",资金日记账!$F442)</f>
        <v/>
      </c>
      <c r="B744">
        <f t="shared" si="122"/>
        <v>0</v>
      </c>
      <c r="C744">
        <f t="shared" si="123"/>
        <v>0</v>
      </c>
      <c r="G744">
        <f>IF(OR($G$1="",对账补充行!$C137="",对账补充行!$C137&lt;&gt;$G$1),0,IF(NOT(OR(N(对账补充行!$H137)&lt;&gt;0,N(对账补充行!$I137)&lt;&gt;0)),0,IF(对账补充行!$B137="",1,IF(OR(N(对账补充行!$B137)&lt;$H$1,N(对账补充行!$B137)&gt;$I$1),0,1))))</f>
        <v>0</v>
      </c>
      <c r="H744">
        <f t="shared" si="124"/>
        <v>0</v>
      </c>
      <c r="I744" t="str">
        <f>IF($G744=0,"",IF(对账补充行!$B137=0,"",对账补充行!$B137))</f>
        <v/>
      </c>
      <c r="J744" t="str">
        <f>IF($G744=0,"",IF(对账补充行!$D137=0,"",对账补充行!$D137))</f>
        <v/>
      </c>
      <c r="K744" t="str">
        <f>IF($G744=0,"",IF(对账补充行!$E137=0,"",对账补充行!$E137))</f>
        <v/>
      </c>
      <c r="L744" t="str">
        <f>IF($G744=0,"",IF(对账补充行!$F137=0,"",对账补充行!$F137))</f>
        <v/>
      </c>
      <c r="M744" t="str">
        <f>IF($G744=0,"",IF(对账补充行!$G137=0,"",对账补充行!$G137))</f>
        <v/>
      </c>
      <c r="N744" t="str">
        <f>IF($G744=0,"",IF(对账补充行!$H137=0,"",对账补充行!$H137))</f>
        <v/>
      </c>
      <c r="O744" t="str">
        <f>IF($G744=0,"",IF(对账补充行!$I137=0,"",对账补充行!$I137))</f>
        <v/>
      </c>
      <c r="P744" t="str">
        <f>IF($G744=0,"",IF(对账补充行!$J137=0,"",对账补充行!$J137))</f>
        <v/>
      </c>
      <c r="T744" t="str">
        <f>IF(成本费用登记表!$D144="","",成本费用登记表!$D144)</f>
        <v/>
      </c>
      <c r="U744">
        <f t="shared" si="125"/>
        <v>0</v>
      </c>
      <c r="V744">
        <f t="shared" si="126"/>
        <v>0</v>
      </c>
    </row>
    <row r="745" spans="1:22">
      <c r="A745" t="str">
        <f>IF(资金日记账!$F443="","",资金日记账!$F443)</f>
        <v/>
      </c>
      <c r="B745">
        <f t="shared" si="122"/>
        <v>0</v>
      </c>
      <c r="C745">
        <f t="shared" si="123"/>
        <v>0</v>
      </c>
      <c r="G745">
        <f>IF(OR($G$1="",对账补充行!$C138="",对账补充行!$C138&lt;&gt;$G$1),0,IF(NOT(OR(N(对账补充行!$H138)&lt;&gt;0,N(对账补充行!$I138)&lt;&gt;0)),0,IF(对账补充行!$B138="",1,IF(OR(N(对账补充行!$B138)&lt;$H$1,N(对账补充行!$B138)&gt;$I$1),0,1))))</f>
        <v>0</v>
      </c>
      <c r="H745">
        <f t="shared" si="124"/>
        <v>0</v>
      </c>
      <c r="I745" t="str">
        <f>IF($G745=0,"",IF(对账补充行!$B138=0,"",对账补充行!$B138))</f>
        <v/>
      </c>
      <c r="J745" t="str">
        <f>IF($G745=0,"",IF(对账补充行!$D138=0,"",对账补充行!$D138))</f>
        <v/>
      </c>
      <c r="K745" t="str">
        <f>IF($G745=0,"",IF(对账补充行!$E138=0,"",对账补充行!$E138))</f>
        <v/>
      </c>
      <c r="L745" t="str">
        <f>IF($G745=0,"",IF(对账补充行!$F138=0,"",对账补充行!$F138))</f>
        <v/>
      </c>
      <c r="M745" t="str">
        <f>IF($G745=0,"",IF(对账补充行!$G138=0,"",对账补充行!$G138))</f>
        <v/>
      </c>
      <c r="N745" t="str">
        <f>IF($G745=0,"",IF(对账补充行!$H138=0,"",对账补充行!$H138))</f>
        <v/>
      </c>
      <c r="O745" t="str">
        <f>IF($G745=0,"",IF(对账补充行!$I138=0,"",对账补充行!$I138))</f>
        <v/>
      </c>
      <c r="P745" t="str">
        <f>IF($G745=0,"",IF(对账补充行!$J138=0,"",对账补充行!$J138))</f>
        <v/>
      </c>
      <c r="T745" t="str">
        <f>IF(成本费用登记表!$D145="","",成本费用登记表!$D145)</f>
        <v/>
      </c>
      <c r="U745">
        <f t="shared" si="125"/>
        <v>0</v>
      </c>
      <c r="V745">
        <f t="shared" si="126"/>
        <v>0</v>
      </c>
    </row>
    <row r="746" spans="1:22">
      <c r="A746" t="str">
        <f>IF(资金日记账!$F444="","",资金日记账!$F444)</f>
        <v/>
      </c>
      <c r="B746">
        <f t="shared" si="122"/>
        <v>0</v>
      </c>
      <c r="C746">
        <f t="shared" si="123"/>
        <v>0</v>
      </c>
      <c r="G746">
        <f>IF(OR($G$1="",对账补充行!$C139="",对账补充行!$C139&lt;&gt;$G$1),0,IF(NOT(OR(N(对账补充行!$H139)&lt;&gt;0,N(对账补充行!$I139)&lt;&gt;0)),0,IF(对账补充行!$B139="",1,IF(OR(N(对账补充行!$B139)&lt;$H$1,N(对账补充行!$B139)&gt;$I$1),0,1))))</f>
        <v>0</v>
      </c>
      <c r="H746">
        <f t="shared" si="124"/>
        <v>0</v>
      </c>
      <c r="I746" t="str">
        <f>IF($G746=0,"",IF(对账补充行!$B139=0,"",对账补充行!$B139))</f>
        <v/>
      </c>
      <c r="J746" t="str">
        <f>IF($G746=0,"",IF(对账补充行!$D139=0,"",对账补充行!$D139))</f>
        <v/>
      </c>
      <c r="K746" t="str">
        <f>IF($G746=0,"",IF(对账补充行!$E139=0,"",对账补充行!$E139))</f>
        <v/>
      </c>
      <c r="L746" t="str">
        <f>IF($G746=0,"",IF(对账补充行!$F139=0,"",对账补充行!$F139))</f>
        <v/>
      </c>
      <c r="M746" t="str">
        <f>IF($G746=0,"",IF(对账补充行!$G139=0,"",对账补充行!$G139))</f>
        <v/>
      </c>
      <c r="N746" t="str">
        <f>IF($G746=0,"",IF(对账补充行!$H139=0,"",对账补充行!$H139))</f>
        <v/>
      </c>
      <c r="O746" t="str">
        <f>IF($G746=0,"",IF(对账补充行!$I139=0,"",对账补充行!$I139))</f>
        <v/>
      </c>
      <c r="P746" t="str">
        <f>IF($G746=0,"",IF(对账补充行!$J139=0,"",对账补充行!$J139))</f>
        <v/>
      </c>
      <c r="T746" t="str">
        <f>IF(成本费用登记表!$D146="","",成本费用登记表!$D146)</f>
        <v/>
      </c>
      <c r="U746">
        <f t="shared" si="125"/>
        <v>0</v>
      </c>
      <c r="V746">
        <f t="shared" si="126"/>
        <v>0</v>
      </c>
    </row>
    <row r="747" spans="1:22">
      <c r="A747" t="str">
        <f>IF(资金日记账!$F445="","",资金日记账!$F445)</f>
        <v/>
      </c>
      <c r="B747">
        <f t="shared" si="122"/>
        <v>0</v>
      </c>
      <c r="C747">
        <f t="shared" si="123"/>
        <v>0</v>
      </c>
      <c r="G747">
        <f>IF(OR($G$1="",对账补充行!$C140="",对账补充行!$C140&lt;&gt;$G$1),0,IF(NOT(OR(N(对账补充行!$H140)&lt;&gt;0,N(对账补充行!$I140)&lt;&gt;0)),0,IF(对账补充行!$B140="",1,IF(OR(N(对账补充行!$B140)&lt;$H$1,N(对账补充行!$B140)&gt;$I$1),0,1))))</f>
        <v>0</v>
      </c>
      <c r="H747">
        <f t="shared" si="124"/>
        <v>0</v>
      </c>
      <c r="I747" t="str">
        <f>IF($G747=0,"",IF(对账补充行!$B140=0,"",对账补充行!$B140))</f>
        <v/>
      </c>
      <c r="J747" t="str">
        <f>IF($G747=0,"",IF(对账补充行!$D140=0,"",对账补充行!$D140))</f>
        <v/>
      </c>
      <c r="K747" t="str">
        <f>IF($G747=0,"",IF(对账补充行!$E140=0,"",对账补充行!$E140))</f>
        <v/>
      </c>
      <c r="L747" t="str">
        <f>IF($G747=0,"",IF(对账补充行!$F140=0,"",对账补充行!$F140))</f>
        <v/>
      </c>
      <c r="M747" t="str">
        <f>IF($G747=0,"",IF(对账补充行!$G140=0,"",对账补充行!$G140))</f>
        <v/>
      </c>
      <c r="N747" t="str">
        <f>IF($G747=0,"",IF(对账补充行!$H140=0,"",对账补充行!$H140))</f>
        <v/>
      </c>
      <c r="O747" t="str">
        <f>IF($G747=0,"",IF(对账补充行!$I140=0,"",对账补充行!$I140))</f>
        <v/>
      </c>
      <c r="P747" t="str">
        <f>IF($G747=0,"",IF(对账补充行!$J140=0,"",对账补充行!$J140))</f>
        <v/>
      </c>
      <c r="T747" t="str">
        <f>IF(成本费用登记表!$D147="","",成本费用登记表!$D147)</f>
        <v/>
      </c>
      <c r="U747">
        <f t="shared" si="125"/>
        <v>0</v>
      </c>
      <c r="V747">
        <f t="shared" si="126"/>
        <v>0</v>
      </c>
    </row>
    <row r="748" spans="1:22">
      <c r="A748" t="str">
        <f>IF(资金日记账!$F446="","",资金日记账!$F446)</f>
        <v/>
      </c>
      <c r="B748">
        <f t="shared" si="122"/>
        <v>0</v>
      </c>
      <c r="C748">
        <f t="shared" si="123"/>
        <v>0</v>
      </c>
      <c r="G748">
        <f>IF(OR($G$1="",对账补充行!$C141="",对账补充行!$C141&lt;&gt;$G$1),0,IF(NOT(OR(N(对账补充行!$H141)&lt;&gt;0,N(对账补充行!$I141)&lt;&gt;0)),0,IF(对账补充行!$B141="",1,IF(OR(N(对账补充行!$B141)&lt;$H$1,N(对账补充行!$B141)&gt;$I$1),0,1))))</f>
        <v>0</v>
      </c>
      <c r="H748">
        <f t="shared" si="124"/>
        <v>0</v>
      </c>
      <c r="I748" t="str">
        <f>IF($G748=0,"",IF(对账补充行!$B141=0,"",对账补充行!$B141))</f>
        <v/>
      </c>
      <c r="J748" t="str">
        <f>IF($G748=0,"",IF(对账补充行!$D141=0,"",对账补充行!$D141))</f>
        <v/>
      </c>
      <c r="K748" t="str">
        <f>IF($G748=0,"",IF(对账补充行!$E141=0,"",对账补充行!$E141))</f>
        <v/>
      </c>
      <c r="L748" t="str">
        <f>IF($G748=0,"",IF(对账补充行!$F141=0,"",对账补充行!$F141))</f>
        <v/>
      </c>
      <c r="M748" t="str">
        <f>IF($G748=0,"",IF(对账补充行!$G141=0,"",对账补充行!$G141))</f>
        <v/>
      </c>
      <c r="N748" t="str">
        <f>IF($G748=0,"",IF(对账补充行!$H141=0,"",对账补充行!$H141))</f>
        <v/>
      </c>
      <c r="O748" t="str">
        <f>IF($G748=0,"",IF(对账补充行!$I141=0,"",对账补充行!$I141))</f>
        <v/>
      </c>
      <c r="P748" t="str">
        <f>IF($G748=0,"",IF(对账补充行!$J141=0,"",对账补充行!$J141))</f>
        <v/>
      </c>
      <c r="T748" t="str">
        <f>IF(成本费用登记表!$D148="","",成本费用登记表!$D148)</f>
        <v/>
      </c>
      <c r="U748">
        <f t="shared" si="125"/>
        <v>0</v>
      </c>
      <c r="V748">
        <f t="shared" si="126"/>
        <v>0</v>
      </c>
    </row>
    <row r="749" spans="1:22">
      <c r="A749" t="str">
        <f>IF(资金日记账!$F447="","",资金日记账!$F447)</f>
        <v/>
      </c>
      <c r="B749">
        <f t="shared" si="122"/>
        <v>0</v>
      </c>
      <c r="C749">
        <f t="shared" si="123"/>
        <v>0</v>
      </c>
      <c r="G749">
        <f>IF(OR($G$1="",对账补充行!$C142="",对账补充行!$C142&lt;&gt;$G$1),0,IF(NOT(OR(N(对账补充行!$H142)&lt;&gt;0,N(对账补充行!$I142)&lt;&gt;0)),0,IF(对账补充行!$B142="",1,IF(OR(N(对账补充行!$B142)&lt;$H$1,N(对账补充行!$B142)&gt;$I$1),0,1))))</f>
        <v>0</v>
      </c>
      <c r="H749">
        <f t="shared" si="124"/>
        <v>0</v>
      </c>
      <c r="I749" t="str">
        <f>IF($G749=0,"",IF(对账补充行!$B142=0,"",对账补充行!$B142))</f>
        <v/>
      </c>
      <c r="J749" t="str">
        <f>IF($G749=0,"",IF(对账补充行!$D142=0,"",对账补充行!$D142))</f>
        <v/>
      </c>
      <c r="K749" t="str">
        <f>IF($G749=0,"",IF(对账补充行!$E142=0,"",对账补充行!$E142))</f>
        <v/>
      </c>
      <c r="L749" t="str">
        <f>IF($G749=0,"",IF(对账补充行!$F142=0,"",对账补充行!$F142))</f>
        <v/>
      </c>
      <c r="M749" t="str">
        <f>IF($G749=0,"",IF(对账补充行!$G142=0,"",对账补充行!$G142))</f>
        <v/>
      </c>
      <c r="N749" t="str">
        <f>IF($G749=0,"",IF(对账补充行!$H142=0,"",对账补充行!$H142))</f>
        <v/>
      </c>
      <c r="O749" t="str">
        <f>IF($G749=0,"",IF(对账补充行!$I142=0,"",对账补充行!$I142))</f>
        <v/>
      </c>
      <c r="P749" t="str">
        <f>IF($G749=0,"",IF(对账补充行!$J142=0,"",对账补充行!$J142))</f>
        <v/>
      </c>
      <c r="T749" t="str">
        <f>IF(成本费用登记表!$D149="","",成本费用登记表!$D149)</f>
        <v/>
      </c>
      <c r="U749">
        <f t="shared" si="125"/>
        <v>0</v>
      </c>
      <c r="V749">
        <f t="shared" si="126"/>
        <v>0</v>
      </c>
    </row>
    <row r="750" spans="1:22">
      <c r="A750" t="str">
        <f>IF(资金日记账!$F448="","",资金日记账!$F448)</f>
        <v/>
      </c>
      <c r="B750">
        <f t="shared" si="122"/>
        <v>0</v>
      </c>
      <c r="C750">
        <f t="shared" si="123"/>
        <v>0</v>
      </c>
      <c r="G750">
        <f>IF(OR($G$1="",对账补充行!$C143="",对账补充行!$C143&lt;&gt;$G$1),0,IF(NOT(OR(N(对账补充行!$H143)&lt;&gt;0,N(对账补充行!$I143)&lt;&gt;0)),0,IF(对账补充行!$B143="",1,IF(OR(N(对账补充行!$B143)&lt;$H$1,N(对账补充行!$B143)&gt;$I$1),0,1))))</f>
        <v>0</v>
      </c>
      <c r="H750">
        <f t="shared" si="124"/>
        <v>0</v>
      </c>
      <c r="I750" t="str">
        <f>IF($G750=0,"",IF(对账补充行!$B143=0,"",对账补充行!$B143))</f>
        <v/>
      </c>
      <c r="J750" t="str">
        <f>IF($G750=0,"",IF(对账补充行!$D143=0,"",对账补充行!$D143))</f>
        <v/>
      </c>
      <c r="K750" t="str">
        <f>IF($G750=0,"",IF(对账补充行!$E143=0,"",对账补充行!$E143))</f>
        <v/>
      </c>
      <c r="L750" t="str">
        <f>IF($G750=0,"",IF(对账补充行!$F143=0,"",对账补充行!$F143))</f>
        <v/>
      </c>
      <c r="M750" t="str">
        <f>IF($G750=0,"",IF(对账补充行!$G143=0,"",对账补充行!$G143))</f>
        <v/>
      </c>
      <c r="N750" t="str">
        <f>IF($G750=0,"",IF(对账补充行!$H143=0,"",对账补充行!$H143))</f>
        <v/>
      </c>
      <c r="O750" t="str">
        <f>IF($G750=0,"",IF(对账补充行!$I143=0,"",对账补充行!$I143))</f>
        <v/>
      </c>
      <c r="P750" t="str">
        <f>IF($G750=0,"",IF(对账补充行!$J143=0,"",对账补充行!$J143))</f>
        <v/>
      </c>
      <c r="T750" t="str">
        <f>IF(成本费用登记表!$D150="","",成本费用登记表!$D150)</f>
        <v/>
      </c>
      <c r="U750">
        <f t="shared" si="125"/>
        <v>0</v>
      </c>
      <c r="V750">
        <f t="shared" si="126"/>
        <v>0</v>
      </c>
    </row>
    <row r="751" spans="1:22">
      <c r="A751" t="str">
        <f>IF(资金日记账!$F449="","",资金日记账!$F449)</f>
        <v/>
      </c>
      <c r="B751">
        <f t="shared" si="122"/>
        <v>0</v>
      </c>
      <c r="C751">
        <f t="shared" si="123"/>
        <v>0</v>
      </c>
      <c r="G751">
        <f>IF(OR($G$1="",对账补充行!$C144="",对账补充行!$C144&lt;&gt;$G$1),0,IF(NOT(OR(N(对账补充行!$H144)&lt;&gt;0,N(对账补充行!$I144)&lt;&gt;0)),0,IF(对账补充行!$B144="",1,IF(OR(N(对账补充行!$B144)&lt;$H$1,N(对账补充行!$B144)&gt;$I$1),0,1))))</f>
        <v>0</v>
      </c>
      <c r="H751">
        <f t="shared" si="124"/>
        <v>0</v>
      </c>
      <c r="I751" t="str">
        <f>IF($G751=0,"",IF(对账补充行!$B144=0,"",对账补充行!$B144))</f>
        <v/>
      </c>
      <c r="J751" t="str">
        <f>IF($G751=0,"",IF(对账补充行!$D144=0,"",对账补充行!$D144))</f>
        <v/>
      </c>
      <c r="K751" t="str">
        <f>IF($G751=0,"",IF(对账补充行!$E144=0,"",对账补充行!$E144))</f>
        <v/>
      </c>
      <c r="L751" t="str">
        <f>IF($G751=0,"",IF(对账补充行!$F144=0,"",对账补充行!$F144))</f>
        <v/>
      </c>
      <c r="M751" t="str">
        <f>IF($G751=0,"",IF(对账补充行!$G144=0,"",对账补充行!$G144))</f>
        <v/>
      </c>
      <c r="N751" t="str">
        <f>IF($G751=0,"",IF(对账补充行!$H144=0,"",对账补充行!$H144))</f>
        <v/>
      </c>
      <c r="O751" t="str">
        <f>IF($G751=0,"",IF(对账补充行!$I144=0,"",对账补充行!$I144))</f>
        <v/>
      </c>
      <c r="P751" t="str">
        <f>IF($G751=0,"",IF(对账补充行!$J144=0,"",对账补充行!$J144))</f>
        <v/>
      </c>
      <c r="T751" t="str">
        <f>IF(成本费用登记表!$D151="","",成本费用登记表!$D151)</f>
        <v/>
      </c>
      <c r="U751">
        <f t="shared" si="125"/>
        <v>0</v>
      </c>
      <c r="V751">
        <f t="shared" si="126"/>
        <v>0</v>
      </c>
    </row>
    <row r="752" spans="1:22">
      <c r="A752" t="str">
        <f>IF(资金日记账!$F450="","",资金日记账!$F450)</f>
        <v/>
      </c>
      <c r="B752">
        <f t="shared" si="122"/>
        <v>0</v>
      </c>
      <c r="C752">
        <f t="shared" si="123"/>
        <v>0</v>
      </c>
      <c r="G752">
        <f>IF(OR($G$1="",对账补充行!$C145="",对账补充行!$C145&lt;&gt;$G$1),0,IF(NOT(OR(N(对账补充行!$H145)&lt;&gt;0,N(对账补充行!$I145)&lt;&gt;0)),0,IF(对账补充行!$B145="",1,IF(OR(N(对账补充行!$B145)&lt;$H$1,N(对账补充行!$B145)&gt;$I$1),0,1))))</f>
        <v>0</v>
      </c>
      <c r="H752">
        <f t="shared" si="124"/>
        <v>0</v>
      </c>
      <c r="I752" t="str">
        <f>IF($G752=0,"",IF(对账补充行!$B145=0,"",对账补充行!$B145))</f>
        <v/>
      </c>
      <c r="J752" t="str">
        <f>IF($G752=0,"",IF(对账补充行!$D145=0,"",对账补充行!$D145))</f>
        <v/>
      </c>
      <c r="K752" t="str">
        <f>IF($G752=0,"",IF(对账补充行!$E145=0,"",对账补充行!$E145))</f>
        <v/>
      </c>
      <c r="L752" t="str">
        <f>IF($G752=0,"",IF(对账补充行!$F145=0,"",对账补充行!$F145))</f>
        <v/>
      </c>
      <c r="M752" t="str">
        <f>IF($G752=0,"",IF(对账补充行!$G145=0,"",对账补充行!$G145))</f>
        <v/>
      </c>
      <c r="N752" t="str">
        <f>IF($G752=0,"",IF(对账补充行!$H145=0,"",对账补充行!$H145))</f>
        <v/>
      </c>
      <c r="O752" t="str">
        <f>IF($G752=0,"",IF(对账补充行!$I145=0,"",对账补充行!$I145))</f>
        <v/>
      </c>
      <c r="P752" t="str">
        <f>IF($G752=0,"",IF(对账补充行!$J145=0,"",对账补充行!$J145))</f>
        <v/>
      </c>
      <c r="T752" t="str">
        <f>IF(成本费用登记表!$D152="","",成本费用登记表!$D152)</f>
        <v/>
      </c>
      <c r="U752">
        <f t="shared" si="125"/>
        <v>0</v>
      </c>
      <c r="V752">
        <f t="shared" si="126"/>
        <v>0</v>
      </c>
    </row>
    <row r="753" spans="1:22">
      <c r="A753" t="str">
        <f>IF(资金日记账!$F451="","",资金日记账!$F451)</f>
        <v/>
      </c>
      <c r="B753">
        <f t="shared" si="122"/>
        <v>0</v>
      </c>
      <c r="C753">
        <f t="shared" si="123"/>
        <v>0</v>
      </c>
      <c r="G753">
        <f>IF(OR($G$1="",对账补充行!$C146="",对账补充行!$C146&lt;&gt;$G$1),0,IF(NOT(OR(N(对账补充行!$H146)&lt;&gt;0,N(对账补充行!$I146)&lt;&gt;0)),0,IF(对账补充行!$B146="",1,IF(OR(N(对账补充行!$B146)&lt;$H$1,N(对账补充行!$B146)&gt;$I$1),0,1))))</f>
        <v>0</v>
      </c>
      <c r="H753">
        <f t="shared" si="124"/>
        <v>0</v>
      </c>
      <c r="I753" t="str">
        <f>IF($G753=0,"",IF(对账补充行!$B146=0,"",对账补充行!$B146))</f>
        <v/>
      </c>
      <c r="J753" t="str">
        <f>IF($G753=0,"",IF(对账补充行!$D146=0,"",对账补充行!$D146))</f>
        <v/>
      </c>
      <c r="K753" t="str">
        <f>IF($G753=0,"",IF(对账补充行!$E146=0,"",对账补充行!$E146))</f>
        <v/>
      </c>
      <c r="L753" t="str">
        <f>IF($G753=0,"",IF(对账补充行!$F146=0,"",对账补充行!$F146))</f>
        <v/>
      </c>
      <c r="M753" t="str">
        <f>IF($G753=0,"",IF(对账补充行!$G146=0,"",对账补充行!$G146))</f>
        <v/>
      </c>
      <c r="N753" t="str">
        <f>IF($G753=0,"",IF(对账补充行!$H146=0,"",对账补充行!$H146))</f>
        <v/>
      </c>
      <c r="O753" t="str">
        <f>IF($G753=0,"",IF(对账补充行!$I146=0,"",对账补充行!$I146))</f>
        <v/>
      </c>
      <c r="P753" t="str">
        <f>IF($G753=0,"",IF(对账补充行!$J146=0,"",对账补充行!$J146))</f>
        <v/>
      </c>
      <c r="T753" t="str">
        <f>IF(成本费用登记表!$D153="","",成本费用登记表!$D153)</f>
        <v/>
      </c>
      <c r="U753">
        <f t="shared" si="125"/>
        <v>0</v>
      </c>
      <c r="V753">
        <f t="shared" si="126"/>
        <v>0</v>
      </c>
    </row>
    <row r="754" spans="1:22">
      <c r="A754" t="str">
        <f>IF(资金日记账!$F452="","",资金日记账!$F452)</f>
        <v/>
      </c>
      <c r="B754">
        <f t="shared" si="122"/>
        <v>0</v>
      </c>
      <c r="C754">
        <f t="shared" si="123"/>
        <v>0</v>
      </c>
      <c r="G754">
        <f>IF(OR($G$1="",对账补充行!$C147="",对账补充行!$C147&lt;&gt;$G$1),0,IF(NOT(OR(N(对账补充行!$H147)&lt;&gt;0,N(对账补充行!$I147)&lt;&gt;0)),0,IF(对账补充行!$B147="",1,IF(OR(N(对账补充行!$B147)&lt;$H$1,N(对账补充行!$B147)&gt;$I$1),0,1))))</f>
        <v>0</v>
      </c>
      <c r="H754">
        <f t="shared" si="124"/>
        <v>0</v>
      </c>
      <c r="I754" t="str">
        <f>IF($G754=0,"",IF(对账补充行!$B147=0,"",对账补充行!$B147))</f>
        <v/>
      </c>
      <c r="J754" t="str">
        <f>IF($G754=0,"",IF(对账补充行!$D147=0,"",对账补充行!$D147))</f>
        <v/>
      </c>
      <c r="K754" t="str">
        <f>IF($G754=0,"",IF(对账补充行!$E147=0,"",对账补充行!$E147))</f>
        <v/>
      </c>
      <c r="L754" t="str">
        <f>IF($G754=0,"",IF(对账补充行!$F147=0,"",对账补充行!$F147))</f>
        <v/>
      </c>
      <c r="M754" t="str">
        <f>IF($G754=0,"",IF(对账补充行!$G147=0,"",对账补充行!$G147))</f>
        <v/>
      </c>
      <c r="N754" t="str">
        <f>IF($G754=0,"",IF(对账补充行!$H147=0,"",对账补充行!$H147))</f>
        <v/>
      </c>
      <c r="O754" t="str">
        <f>IF($G754=0,"",IF(对账补充行!$I147=0,"",对账补充行!$I147))</f>
        <v/>
      </c>
      <c r="P754" t="str">
        <f>IF($G754=0,"",IF(对账补充行!$J147=0,"",对账补充行!$J147))</f>
        <v/>
      </c>
      <c r="T754" t="str">
        <f>IF(成本费用登记表!$D154="","",成本费用登记表!$D154)</f>
        <v/>
      </c>
      <c r="U754">
        <f t="shared" si="125"/>
        <v>0</v>
      </c>
      <c r="V754">
        <f t="shared" si="126"/>
        <v>0</v>
      </c>
    </row>
    <row r="755" spans="1:22">
      <c r="A755" t="str">
        <f>IF(资金日记账!$F453="","",资金日记账!$F453)</f>
        <v/>
      </c>
      <c r="B755">
        <f t="shared" si="122"/>
        <v>0</v>
      </c>
      <c r="C755">
        <f t="shared" si="123"/>
        <v>0</v>
      </c>
      <c r="G755">
        <f>IF(OR($G$1="",对账补充行!$C148="",对账补充行!$C148&lt;&gt;$G$1),0,IF(NOT(OR(N(对账补充行!$H148)&lt;&gt;0,N(对账补充行!$I148)&lt;&gt;0)),0,IF(对账补充行!$B148="",1,IF(OR(N(对账补充行!$B148)&lt;$H$1,N(对账补充行!$B148)&gt;$I$1),0,1))))</f>
        <v>0</v>
      </c>
      <c r="H755">
        <f t="shared" si="124"/>
        <v>0</v>
      </c>
      <c r="I755" t="str">
        <f>IF($G755=0,"",IF(对账补充行!$B148=0,"",对账补充行!$B148))</f>
        <v/>
      </c>
      <c r="J755" t="str">
        <f>IF($G755=0,"",IF(对账补充行!$D148=0,"",对账补充行!$D148))</f>
        <v/>
      </c>
      <c r="K755" t="str">
        <f>IF($G755=0,"",IF(对账补充行!$E148=0,"",对账补充行!$E148))</f>
        <v/>
      </c>
      <c r="L755" t="str">
        <f>IF($G755=0,"",IF(对账补充行!$F148=0,"",对账补充行!$F148))</f>
        <v/>
      </c>
      <c r="M755" t="str">
        <f>IF($G755=0,"",IF(对账补充行!$G148=0,"",对账补充行!$G148))</f>
        <v/>
      </c>
      <c r="N755" t="str">
        <f>IF($G755=0,"",IF(对账补充行!$H148=0,"",对账补充行!$H148))</f>
        <v/>
      </c>
      <c r="O755" t="str">
        <f>IF($G755=0,"",IF(对账补充行!$I148=0,"",对账补充行!$I148))</f>
        <v/>
      </c>
      <c r="P755" t="str">
        <f>IF($G755=0,"",IF(对账补充行!$J148=0,"",对账补充行!$J148))</f>
        <v/>
      </c>
      <c r="T755" t="str">
        <f>IF(成本费用登记表!$D155="","",成本费用登记表!$D155)</f>
        <v/>
      </c>
      <c r="U755">
        <f t="shared" si="125"/>
        <v>0</v>
      </c>
      <c r="V755">
        <f t="shared" si="126"/>
        <v>0</v>
      </c>
    </row>
    <row r="756" spans="1:22">
      <c r="A756" t="str">
        <f>IF(资金日记账!$F454="","",资金日记账!$F454)</f>
        <v/>
      </c>
      <c r="B756">
        <f t="shared" si="122"/>
        <v>0</v>
      </c>
      <c r="C756">
        <f t="shared" si="123"/>
        <v>0</v>
      </c>
      <c r="G756">
        <f>IF(OR($G$1="",对账补充行!$C149="",对账补充行!$C149&lt;&gt;$G$1),0,IF(NOT(OR(N(对账补充行!$H149)&lt;&gt;0,N(对账补充行!$I149)&lt;&gt;0)),0,IF(对账补充行!$B149="",1,IF(OR(N(对账补充行!$B149)&lt;$H$1,N(对账补充行!$B149)&gt;$I$1),0,1))))</f>
        <v>0</v>
      </c>
      <c r="H756">
        <f t="shared" si="124"/>
        <v>0</v>
      </c>
      <c r="I756" t="str">
        <f>IF($G756=0,"",IF(对账补充行!$B149=0,"",对账补充行!$B149))</f>
        <v/>
      </c>
      <c r="J756" t="str">
        <f>IF($G756=0,"",IF(对账补充行!$D149=0,"",对账补充行!$D149))</f>
        <v/>
      </c>
      <c r="K756" t="str">
        <f>IF($G756=0,"",IF(对账补充行!$E149=0,"",对账补充行!$E149))</f>
        <v/>
      </c>
      <c r="L756" t="str">
        <f>IF($G756=0,"",IF(对账补充行!$F149=0,"",对账补充行!$F149))</f>
        <v/>
      </c>
      <c r="M756" t="str">
        <f>IF($G756=0,"",IF(对账补充行!$G149=0,"",对账补充行!$G149))</f>
        <v/>
      </c>
      <c r="N756" t="str">
        <f>IF($G756=0,"",IF(对账补充行!$H149=0,"",对账补充行!$H149))</f>
        <v/>
      </c>
      <c r="O756" t="str">
        <f>IF($G756=0,"",IF(对账补充行!$I149=0,"",对账补充行!$I149))</f>
        <v/>
      </c>
      <c r="P756" t="str">
        <f>IF($G756=0,"",IF(对账补充行!$J149=0,"",对账补充行!$J149))</f>
        <v/>
      </c>
      <c r="T756" t="str">
        <f>IF(成本费用登记表!$D156="","",成本费用登记表!$D156)</f>
        <v/>
      </c>
      <c r="U756">
        <f t="shared" si="125"/>
        <v>0</v>
      </c>
      <c r="V756">
        <f t="shared" si="126"/>
        <v>0</v>
      </c>
    </row>
    <row r="757" spans="1:22">
      <c r="A757" t="str">
        <f>IF(资金日记账!$F455="","",资金日记账!$F455)</f>
        <v/>
      </c>
      <c r="B757">
        <f t="shared" si="122"/>
        <v>0</v>
      </c>
      <c r="C757">
        <f t="shared" si="123"/>
        <v>0</v>
      </c>
      <c r="G757">
        <f>IF(OR($G$1="",对账补充行!$C150="",对账补充行!$C150&lt;&gt;$G$1),0,IF(NOT(OR(N(对账补充行!$H150)&lt;&gt;0,N(对账补充行!$I150)&lt;&gt;0)),0,IF(对账补充行!$B150="",1,IF(OR(N(对账补充行!$B150)&lt;$H$1,N(对账补充行!$B150)&gt;$I$1),0,1))))</f>
        <v>0</v>
      </c>
      <c r="H757">
        <f t="shared" si="124"/>
        <v>0</v>
      </c>
      <c r="I757" t="str">
        <f>IF($G757=0,"",IF(对账补充行!$B150=0,"",对账补充行!$B150))</f>
        <v/>
      </c>
      <c r="J757" t="str">
        <f>IF($G757=0,"",IF(对账补充行!$D150=0,"",对账补充行!$D150))</f>
        <v/>
      </c>
      <c r="K757" t="str">
        <f>IF($G757=0,"",IF(对账补充行!$E150=0,"",对账补充行!$E150))</f>
        <v/>
      </c>
      <c r="L757" t="str">
        <f>IF($G757=0,"",IF(对账补充行!$F150=0,"",对账补充行!$F150))</f>
        <v/>
      </c>
      <c r="M757" t="str">
        <f>IF($G757=0,"",IF(对账补充行!$G150=0,"",对账补充行!$G150))</f>
        <v/>
      </c>
      <c r="N757" t="str">
        <f>IF($G757=0,"",IF(对账补充行!$H150=0,"",对账补充行!$H150))</f>
        <v/>
      </c>
      <c r="O757" t="str">
        <f>IF($G757=0,"",IF(对账补充行!$I150=0,"",对账补充行!$I150))</f>
        <v/>
      </c>
      <c r="P757" t="str">
        <f>IF($G757=0,"",IF(对账补充行!$J150=0,"",对账补充行!$J150))</f>
        <v/>
      </c>
      <c r="T757" t="str">
        <f>IF(成本费用登记表!$D157="","",成本费用登记表!$D157)</f>
        <v/>
      </c>
      <c r="U757">
        <f t="shared" si="125"/>
        <v>0</v>
      </c>
      <c r="V757">
        <f t="shared" si="126"/>
        <v>0</v>
      </c>
    </row>
    <row r="758" spans="1:22">
      <c r="A758" t="str">
        <f>IF(资金日记账!$F456="","",资金日记账!$F456)</f>
        <v/>
      </c>
      <c r="B758">
        <f t="shared" si="122"/>
        <v>0</v>
      </c>
      <c r="C758">
        <f t="shared" si="123"/>
        <v>0</v>
      </c>
      <c r="G758">
        <f>IF(OR($G$1="",对账补充行!$C151="",对账补充行!$C151&lt;&gt;$G$1),0,IF(NOT(OR(N(对账补充行!$H151)&lt;&gt;0,N(对账补充行!$I151)&lt;&gt;0)),0,IF(对账补充行!$B151="",1,IF(OR(N(对账补充行!$B151)&lt;$H$1,N(对账补充行!$B151)&gt;$I$1),0,1))))</f>
        <v>0</v>
      </c>
      <c r="H758">
        <f t="shared" si="124"/>
        <v>0</v>
      </c>
      <c r="I758" t="str">
        <f>IF($G758=0,"",IF(对账补充行!$B151=0,"",对账补充行!$B151))</f>
        <v/>
      </c>
      <c r="J758" t="str">
        <f>IF($G758=0,"",IF(对账补充行!$D151=0,"",对账补充行!$D151))</f>
        <v/>
      </c>
      <c r="K758" t="str">
        <f>IF($G758=0,"",IF(对账补充行!$E151=0,"",对账补充行!$E151))</f>
        <v/>
      </c>
      <c r="L758" t="str">
        <f>IF($G758=0,"",IF(对账补充行!$F151=0,"",对账补充行!$F151))</f>
        <v/>
      </c>
      <c r="M758" t="str">
        <f>IF($G758=0,"",IF(对账补充行!$G151=0,"",对账补充行!$G151))</f>
        <v/>
      </c>
      <c r="N758" t="str">
        <f>IF($G758=0,"",IF(对账补充行!$H151=0,"",对账补充行!$H151))</f>
        <v/>
      </c>
      <c r="O758" t="str">
        <f>IF($G758=0,"",IF(对账补充行!$I151=0,"",对账补充行!$I151))</f>
        <v/>
      </c>
      <c r="P758" t="str">
        <f>IF($G758=0,"",IF(对账补充行!$J151=0,"",对账补充行!$J151))</f>
        <v/>
      </c>
      <c r="T758" t="str">
        <f>IF(成本费用登记表!$D158="","",成本费用登记表!$D158)</f>
        <v/>
      </c>
      <c r="U758">
        <f t="shared" si="125"/>
        <v>0</v>
      </c>
      <c r="V758">
        <f t="shared" si="126"/>
        <v>0</v>
      </c>
    </row>
    <row r="759" spans="1:22">
      <c r="A759" t="str">
        <f>IF(资金日记账!$F457="","",资金日记账!$F457)</f>
        <v/>
      </c>
      <c r="B759">
        <f t="shared" si="122"/>
        <v>0</v>
      </c>
      <c r="C759">
        <f t="shared" si="123"/>
        <v>0</v>
      </c>
      <c r="G759">
        <f>IF(OR($G$1="",对账补充行!$C152="",对账补充行!$C152&lt;&gt;$G$1),0,IF(NOT(OR(N(对账补充行!$H152)&lt;&gt;0,N(对账补充行!$I152)&lt;&gt;0)),0,IF(对账补充行!$B152="",1,IF(OR(N(对账补充行!$B152)&lt;$H$1,N(对账补充行!$B152)&gt;$I$1),0,1))))</f>
        <v>0</v>
      </c>
      <c r="H759">
        <f t="shared" si="124"/>
        <v>0</v>
      </c>
      <c r="I759" t="str">
        <f>IF($G759=0,"",IF(对账补充行!$B152=0,"",对账补充行!$B152))</f>
        <v/>
      </c>
      <c r="J759" t="str">
        <f>IF($G759=0,"",IF(对账补充行!$D152=0,"",对账补充行!$D152))</f>
        <v/>
      </c>
      <c r="K759" t="str">
        <f>IF($G759=0,"",IF(对账补充行!$E152=0,"",对账补充行!$E152))</f>
        <v/>
      </c>
      <c r="L759" t="str">
        <f>IF($G759=0,"",IF(对账补充行!$F152=0,"",对账补充行!$F152))</f>
        <v/>
      </c>
      <c r="M759" t="str">
        <f>IF($G759=0,"",IF(对账补充行!$G152=0,"",对账补充行!$G152))</f>
        <v/>
      </c>
      <c r="N759" t="str">
        <f>IF($G759=0,"",IF(对账补充行!$H152=0,"",对账补充行!$H152))</f>
        <v/>
      </c>
      <c r="O759" t="str">
        <f>IF($G759=0,"",IF(对账补充行!$I152=0,"",对账补充行!$I152))</f>
        <v/>
      </c>
      <c r="P759" t="str">
        <f>IF($G759=0,"",IF(对账补充行!$J152=0,"",对账补充行!$J152))</f>
        <v/>
      </c>
      <c r="T759" t="str">
        <f>IF(成本费用登记表!$D159="","",成本费用登记表!$D159)</f>
        <v/>
      </c>
      <c r="U759">
        <f t="shared" si="125"/>
        <v>0</v>
      </c>
      <c r="V759">
        <f t="shared" si="126"/>
        <v>0</v>
      </c>
    </row>
    <row r="760" spans="1:22">
      <c r="A760" t="str">
        <f>IF(资金日记账!$F458="","",资金日记账!$F458)</f>
        <v/>
      </c>
      <c r="B760">
        <f t="shared" si="122"/>
        <v>0</v>
      </c>
      <c r="C760">
        <f t="shared" si="123"/>
        <v>0</v>
      </c>
      <c r="G760">
        <f>IF(OR($G$1="",对账补充行!$C153="",对账补充行!$C153&lt;&gt;$G$1),0,IF(NOT(OR(N(对账补充行!$H153)&lt;&gt;0,N(对账补充行!$I153)&lt;&gt;0)),0,IF(对账补充行!$B153="",1,IF(OR(N(对账补充行!$B153)&lt;$H$1,N(对账补充行!$B153)&gt;$I$1),0,1))))</f>
        <v>0</v>
      </c>
      <c r="H760">
        <f t="shared" si="124"/>
        <v>0</v>
      </c>
      <c r="I760" t="str">
        <f>IF($G760=0,"",IF(对账补充行!$B153=0,"",对账补充行!$B153))</f>
        <v/>
      </c>
      <c r="J760" t="str">
        <f>IF($G760=0,"",IF(对账补充行!$D153=0,"",对账补充行!$D153))</f>
        <v/>
      </c>
      <c r="K760" t="str">
        <f>IF($G760=0,"",IF(对账补充行!$E153=0,"",对账补充行!$E153))</f>
        <v/>
      </c>
      <c r="L760" t="str">
        <f>IF($G760=0,"",IF(对账补充行!$F153=0,"",对账补充行!$F153))</f>
        <v/>
      </c>
      <c r="M760" t="str">
        <f>IF($G760=0,"",IF(对账补充行!$G153=0,"",对账补充行!$G153))</f>
        <v/>
      </c>
      <c r="N760" t="str">
        <f>IF($G760=0,"",IF(对账补充行!$H153=0,"",对账补充行!$H153))</f>
        <v/>
      </c>
      <c r="O760" t="str">
        <f>IF($G760=0,"",IF(对账补充行!$I153=0,"",对账补充行!$I153))</f>
        <v/>
      </c>
      <c r="P760" t="str">
        <f>IF($G760=0,"",IF(对账补充行!$J153=0,"",对账补充行!$J153))</f>
        <v/>
      </c>
      <c r="T760" t="str">
        <f>IF(成本费用登记表!$D160="","",成本费用登记表!$D160)</f>
        <v/>
      </c>
      <c r="U760">
        <f t="shared" si="125"/>
        <v>0</v>
      </c>
      <c r="V760">
        <f t="shared" si="126"/>
        <v>0</v>
      </c>
    </row>
    <row r="761" spans="1:22">
      <c r="A761" t="str">
        <f>IF(资金日记账!$F459="","",资金日记账!$F459)</f>
        <v/>
      </c>
      <c r="B761">
        <f t="shared" si="122"/>
        <v>0</v>
      </c>
      <c r="C761">
        <f t="shared" si="123"/>
        <v>0</v>
      </c>
      <c r="G761">
        <f>IF(OR($G$1="",对账补充行!$C154="",对账补充行!$C154&lt;&gt;$G$1),0,IF(NOT(OR(N(对账补充行!$H154)&lt;&gt;0,N(对账补充行!$I154)&lt;&gt;0)),0,IF(对账补充行!$B154="",1,IF(OR(N(对账补充行!$B154)&lt;$H$1,N(对账补充行!$B154)&gt;$I$1),0,1))))</f>
        <v>0</v>
      </c>
      <c r="H761">
        <f t="shared" si="124"/>
        <v>0</v>
      </c>
      <c r="I761" t="str">
        <f>IF($G761=0,"",IF(对账补充行!$B154=0,"",对账补充行!$B154))</f>
        <v/>
      </c>
      <c r="J761" t="str">
        <f>IF($G761=0,"",IF(对账补充行!$D154=0,"",对账补充行!$D154))</f>
        <v/>
      </c>
      <c r="K761" t="str">
        <f>IF($G761=0,"",IF(对账补充行!$E154=0,"",对账补充行!$E154))</f>
        <v/>
      </c>
      <c r="L761" t="str">
        <f>IF($G761=0,"",IF(对账补充行!$F154=0,"",对账补充行!$F154))</f>
        <v/>
      </c>
      <c r="M761" t="str">
        <f>IF($G761=0,"",IF(对账补充行!$G154=0,"",对账补充行!$G154))</f>
        <v/>
      </c>
      <c r="N761" t="str">
        <f>IF($G761=0,"",IF(对账补充行!$H154=0,"",对账补充行!$H154))</f>
        <v/>
      </c>
      <c r="O761" t="str">
        <f>IF($G761=0,"",IF(对账补充行!$I154=0,"",对账补充行!$I154))</f>
        <v/>
      </c>
      <c r="P761" t="str">
        <f>IF($G761=0,"",IF(对账补充行!$J154=0,"",对账补充行!$J154))</f>
        <v/>
      </c>
      <c r="T761" t="str">
        <f>IF(成本费用登记表!$D161="","",成本费用登记表!$D161)</f>
        <v/>
      </c>
      <c r="U761">
        <f t="shared" si="125"/>
        <v>0</v>
      </c>
      <c r="V761">
        <f t="shared" si="126"/>
        <v>0</v>
      </c>
    </row>
    <row r="762" spans="1:22">
      <c r="A762" t="str">
        <f>IF(资金日记账!$F460="","",资金日记账!$F460)</f>
        <v/>
      </c>
      <c r="B762">
        <f t="shared" si="122"/>
        <v>0</v>
      </c>
      <c r="C762">
        <f t="shared" si="123"/>
        <v>0</v>
      </c>
      <c r="G762">
        <f>IF(OR($G$1="",对账补充行!$C155="",对账补充行!$C155&lt;&gt;$G$1),0,IF(NOT(OR(N(对账补充行!$H155)&lt;&gt;0,N(对账补充行!$I155)&lt;&gt;0)),0,IF(对账补充行!$B155="",1,IF(OR(N(对账补充行!$B155)&lt;$H$1,N(对账补充行!$B155)&gt;$I$1),0,1))))</f>
        <v>0</v>
      </c>
      <c r="H762">
        <f t="shared" si="124"/>
        <v>0</v>
      </c>
      <c r="I762" t="str">
        <f>IF($G762=0,"",IF(对账补充行!$B155=0,"",对账补充行!$B155))</f>
        <v/>
      </c>
      <c r="J762" t="str">
        <f>IF($G762=0,"",IF(对账补充行!$D155=0,"",对账补充行!$D155))</f>
        <v/>
      </c>
      <c r="K762" t="str">
        <f>IF($G762=0,"",IF(对账补充行!$E155=0,"",对账补充行!$E155))</f>
        <v/>
      </c>
      <c r="L762" t="str">
        <f>IF($G762=0,"",IF(对账补充行!$F155=0,"",对账补充行!$F155))</f>
        <v/>
      </c>
      <c r="M762" t="str">
        <f>IF($G762=0,"",IF(对账补充行!$G155=0,"",对账补充行!$G155))</f>
        <v/>
      </c>
      <c r="N762" t="str">
        <f>IF($G762=0,"",IF(对账补充行!$H155=0,"",对账补充行!$H155))</f>
        <v/>
      </c>
      <c r="O762" t="str">
        <f>IF($G762=0,"",IF(对账补充行!$I155=0,"",对账补充行!$I155))</f>
        <v/>
      </c>
      <c r="P762" t="str">
        <f>IF($G762=0,"",IF(对账补充行!$J155=0,"",对账补充行!$J155))</f>
        <v/>
      </c>
      <c r="T762" t="str">
        <f>IF(成本费用登记表!$D162="","",成本费用登记表!$D162)</f>
        <v/>
      </c>
      <c r="U762">
        <f t="shared" si="125"/>
        <v>0</v>
      </c>
      <c r="V762">
        <f t="shared" si="126"/>
        <v>0</v>
      </c>
    </row>
    <row r="763" spans="1:22">
      <c r="A763" t="str">
        <f>IF(资金日记账!$F461="","",资金日记账!$F461)</f>
        <v/>
      </c>
      <c r="B763">
        <f t="shared" si="122"/>
        <v>0</v>
      </c>
      <c r="C763">
        <f t="shared" si="123"/>
        <v>0</v>
      </c>
      <c r="G763">
        <f>IF(OR($G$1="",对账补充行!$C156="",对账补充行!$C156&lt;&gt;$G$1),0,IF(NOT(OR(N(对账补充行!$H156)&lt;&gt;0,N(对账补充行!$I156)&lt;&gt;0)),0,IF(对账补充行!$B156="",1,IF(OR(N(对账补充行!$B156)&lt;$H$1,N(对账补充行!$B156)&gt;$I$1),0,1))))</f>
        <v>0</v>
      </c>
      <c r="H763">
        <f t="shared" si="124"/>
        <v>0</v>
      </c>
      <c r="I763" t="str">
        <f>IF($G763=0,"",IF(对账补充行!$B156=0,"",对账补充行!$B156))</f>
        <v/>
      </c>
      <c r="J763" t="str">
        <f>IF($G763=0,"",IF(对账补充行!$D156=0,"",对账补充行!$D156))</f>
        <v/>
      </c>
      <c r="K763" t="str">
        <f>IF($G763=0,"",IF(对账补充行!$E156=0,"",对账补充行!$E156))</f>
        <v/>
      </c>
      <c r="L763" t="str">
        <f>IF($G763=0,"",IF(对账补充行!$F156=0,"",对账补充行!$F156))</f>
        <v/>
      </c>
      <c r="M763" t="str">
        <f>IF($G763=0,"",IF(对账补充行!$G156=0,"",对账补充行!$G156))</f>
        <v/>
      </c>
      <c r="N763" t="str">
        <f>IF($G763=0,"",IF(对账补充行!$H156=0,"",对账补充行!$H156))</f>
        <v/>
      </c>
      <c r="O763" t="str">
        <f>IF($G763=0,"",IF(对账补充行!$I156=0,"",对账补充行!$I156))</f>
        <v/>
      </c>
      <c r="P763" t="str">
        <f>IF($G763=0,"",IF(对账补充行!$J156=0,"",对账补充行!$J156))</f>
        <v/>
      </c>
      <c r="T763" t="str">
        <f>IF(成本费用登记表!$D163="","",成本费用登记表!$D163)</f>
        <v/>
      </c>
      <c r="U763">
        <f t="shared" si="125"/>
        <v>0</v>
      </c>
      <c r="V763">
        <f t="shared" si="126"/>
        <v>0</v>
      </c>
    </row>
    <row r="764" spans="1:22">
      <c r="A764" t="str">
        <f>IF(资金日记账!$F462="","",资金日记账!$F462)</f>
        <v/>
      </c>
      <c r="B764">
        <f t="shared" si="122"/>
        <v>0</v>
      </c>
      <c r="C764">
        <f t="shared" si="123"/>
        <v>0</v>
      </c>
      <c r="G764">
        <f>IF(OR($G$1="",对账补充行!$C157="",对账补充行!$C157&lt;&gt;$G$1),0,IF(NOT(OR(N(对账补充行!$H157)&lt;&gt;0,N(对账补充行!$I157)&lt;&gt;0)),0,IF(对账补充行!$B157="",1,IF(OR(N(对账补充行!$B157)&lt;$H$1,N(对账补充行!$B157)&gt;$I$1),0,1))))</f>
        <v>0</v>
      </c>
      <c r="H764">
        <f t="shared" si="124"/>
        <v>0</v>
      </c>
      <c r="I764" t="str">
        <f>IF($G764=0,"",IF(对账补充行!$B157=0,"",对账补充行!$B157))</f>
        <v/>
      </c>
      <c r="J764" t="str">
        <f>IF($G764=0,"",IF(对账补充行!$D157=0,"",对账补充行!$D157))</f>
        <v/>
      </c>
      <c r="K764" t="str">
        <f>IF($G764=0,"",IF(对账补充行!$E157=0,"",对账补充行!$E157))</f>
        <v/>
      </c>
      <c r="L764" t="str">
        <f>IF($G764=0,"",IF(对账补充行!$F157=0,"",对账补充行!$F157))</f>
        <v/>
      </c>
      <c r="M764" t="str">
        <f>IF($G764=0,"",IF(对账补充行!$G157=0,"",对账补充行!$G157))</f>
        <v/>
      </c>
      <c r="N764" t="str">
        <f>IF($G764=0,"",IF(对账补充行!$H157=0,"",对账补充行!$H157))</f>
        <v/>
      </c>
      <c r="O764" t="str">
        <f>IF($G764=0,"",IF(对账补充行!$I157=0,"",对账补充行!$I157))</f>
        <v/>
      </c>
      <c r="P764" t="str">
        <f>IF($G764=0,"",IF(对账补充行!$J157=0,"",对账补充行!$J157))</f>
        <v/>
      </c>
      <c r="T764" t="str">
        <f>IF(成本费用登记表!$D164="","",成本费用登记表!$D164)</f>
        <v/>
      </c>
      <c r="U764">
        <f t="shared" si="125"/>
        <v>0</v>
      </c>
      <c r="V764">
        <f t="shared" si="126"/>
        <v>0</v>
      </c>
    </row>
    <row r="765" spans="1:22">
      <c r="A765" t="str">
        <f>IF(资金日记账!$F463="","",资金日记账!$F463)</f>
        <v/>
      </c>
      <c r="B765">
        <f t="shared" si="122"/>
        <v>0</v>
      </c>
      <c r="C765">
        <f t="shared" si="123"/>
        <v>0</v>
      </c>
      <c r="G765">
        <f>IF(OR($G$1="",对账补充行!$C158="",对账补充行!$C158&lt;&gt;$G$1),0,IF(NOT(OR(N(对账补充行!$H158)&lt;&gt;0,N(对账补充行!$I158)&lt;&gt;0)),0,IF(对账补充行!$B158="",1,IF(OR(N(对账补充行!$B158)&lt;$H$1,N(对账补充行!$B158)&gt;$I$1),0,1))))</f>
        <v>0</v>
      </c>
      <c r="H765">
        <f t="shared" si="124"/>
        <v>0</v>
      </c>
      <c r="I765" t="str">
        <f>IF($G765=0,"",IF(对账补充行!$B158=0,"",对账补充行!$B158))</f>
        <v/>
      </c>
      <c r="J765" t="str">
        <f>IF($G765=0,"",IF(对账补充行!$D158=0,"",对账补充行!$D158))</f>
        <v/>
      </c>
      <c r="K765" t="str">
        <f>IF($G765=0,"",IF(对账补充行!$E158=0,"",对账补充行!$E158))</f>
        <v/>
      </c>
      <c r="L765" t="str">
        <f>IF($G765=0,"",IF(对账补充行!$F158=0,"",对账补充行!$F158))</f>
        <v/>
      </c>
      <c r="M765" t="str">
        <f>IF($G765=0,"",IF(对账补充行!$G158=0,"",对账补充行!$G158))</f>
        <v/>
      </c>
      <c r="N765" t="str">
        <f>IF($G765=0,"",IF(对账补充行!$H158=0,"",对账补充行!$H158))</f>
        <v/>
      </c>
      <c r="O765" t="str">
        <f>IF($G765=0,"",IF(对账补充行!$I158=0,"",对账补充行!$I158))</f>
        <v/>
      </c>
      <c r="P765" t="str">
        <f>IF($G765=0,"",IF(对账补充行!$J158=0,"",对账补充行!$J158))</f>
        <v/>
      </c>
      <c r="T765" t="str">
        <f>IF(成本费用登记表!$D165="","",成本费用登记表!$D165)</f>
        <v/>
      </c>
      <c r="U765">
        <f t="shared" si="125"/>
        <v>0</v>
      </c>
      <c r="V765">
        <f t="shared" si="126"/>
        <v>0</v>
      </c>
    </row>
    <row r="766" spans="1:22">
      <c r="A766" t="str">
        <f>IF(资金日记账!$F464="","",资金日记账!$F464)</f>
        <v/>
      </c>
      <c r="B766">
        <f t="shared" si="122"/>
        <v>0</v>
      </c>
      <c r="C766">
        <f t="shared" si="123"/>
        <v>0</v>
      </c>
      <c r="G766">
        <f>IF(OR($G$1="",对账补充行!$C159="",对账补充行!$C159&lt;&gt;$G$1),0,IF(NOT(OR(N(对账补充行!$H159)&lt;&gt;0,N(对账补充行!$I159)&lt;&gt;0)),0,IF(对账补充行!$B159="",1,IF(OR(N(对账补充行!$B159)&lt;$H$1,N(对账补充行!$B159)&gt;$I$1),0,1))))</f>
        <v>0</v>
      </c>
      <c r="H766">
        <f t="shared" si="124"/>
        <v>0</v>
      </c>
      <c r="I766" t="str">
        <f>IF($G766=0,"",IF(对账补充行!$B159=0,"",对账补充行!$B159))</f>
        <v/>
      </c>
      <c r="J766" t="str">
        <f>IF($G766=0,"",IF(对账补充行!$D159=0,"",对账补充行!$D159))</f>
        <v/>
      </c>
      <c r="K766" t="str">
        <f>IF($G766=0,"",IF(对账补充行!$E159=0,"",对账补充行!$E159))</f>
        <v/>
      </c>
      <c r="L766" t="str">
        <f>IF($G766=0,"",IF(对账补充行!$F159=0,"",对账补充行!$F159))</f>
        <v/>
      </c>
      <c r="M766" t="str">
        <f>IF($G766=0,"",IF(对账补充行!$G159=0,"",对账补充行!$G159))</f>
        <v/>
      </c>
      <c r="N766" t="str">
        <f>IF($G766=0,"",IF(对账补充行!$H159=0,"",对账补充行!$H159))</f>
        <v/>
      </c>
      <c r="O766" t="str">
        <f>IF($G766=0,"",IF(对账补充行!$I159=0,"",对账补充行!$I159))</f>
        <v/>
      </c>
      <c r="P766" t="str">
        <f>IF($G766=0,"",IF(对账补充行!$J159=0,"",对账补充行!$J159))</f>
        <v/>
      </c>
      <c r="T766" t="str">
        <f>IF(成本费用登记表!$D166="","",成本费用登记表!$D166)</f>
        <v/>
      </c>
      <c r="U766">
        <f t="shared" si="125"/>
        <v>0</v>
      </c>
      <c r="V766">
        <f t="shared" si="126"/>
        <v>0</v>
      </c>
    </row>
    <row r="767" spans="1:22">
      <c r="A767" t="str">
        <f>IF(资金日记账!$F465="","",资金日记账!$F465)</f>
        <v/>
      </c>
      <c r="B767">
        <f t="shared" si="122"/>
        <v>0</v>
      </c>
      <c r="C767">
        <f t="shared" si="123"/>
        <v>0</v>
      </c>
      <c r="G767">
        <f>IF(OR($G$1="",对账补充行!$C160="",对账补充行!$C160&lt;&gt;$G$1),0,IF(NOT(OR(N(对账补充行!$H160)&lt;&gt;0,N(对账补充行!$I160)&lt;&gt;0)),0,IF(对账补充行!$B160="",1,IF(OR(N(对账补充行!$B160)&lt;$H$1,N(对账补充行!$B160)&gt;$I$1),0,1))))</f>
        <v>0</v>
      </c>
      <c r="H767">
        <f t="shared" si="124"/>
        <v>0</v>
      </c>
      <c r="I767" t="str">
        <f>IF($G767=0,"",IF(对账补充行!$B160=0,"",对账补充行!$B160))</f>
        <v/>
      </c>
      <c r="J767" t="str">
        <f>IF($G767=0,"",IF(对账补充行!$D160=0,"",对账补充行!$D160))</f>
        <v/>
      </c>
      <c r="K767" t="str">
        <f>IF($G767=0,"",IF(对账补充行!$E160=0,"",对账补充行!$E160))</f>
        <v/>
      </c>
      <c r="L767" t="str">
        <f>IF($G767=0,"",IF(对账补充行!$F160=0,"",对账补充行!$F160))</f>
        <v/>
      </c>
      <c r="M767" t="str">
        <f>IF($G767=0,"",IF(对账补充行!$G160=0,"",对账补充行!$G160))</f>
        <v/>
      </c>
      <c r="N767" t="str">
        <f>IF($G767=0,"",IF(对账补充行!$H160=0,"",对账补充行!$H160))</f>
        <v/>
      </c>
      <c r="O767" t="str">
        <f>IF($G767=0,"",IF(对账补充行!$I160=0,"",对账补充行!$I160))</f>
        <v/>
      </c>
      <c r="P767" t="str">
        <f>IF($G767=0,"",IF(对账补充行!$J160=0,"",对账补充行!$J160))</f>
        <v/>
      </c>
      <c r="T767" t="str">
        <f>IF(成本费用登记表!$D167="","",成本费用登记表!$D167)</f>
        <v/>
      </c>
      <c r="U767">
        <f t="shared" si="125"/>
        <v>0</v>
      </c>
      <c r="V767">
        <f t="shared" si="126"/>
        <v>0</v>
      </c>
    </row>
    <row r="768" spans="1:22">
      <c r="A768" t="str">
        <f>IF(资金日记账!$F466="","",资金日记账!$F466)</f>
        <v/>
      </c>
      <c r="B768">
        <f t="shared" si="122"/>
        <v>0</v>
      </c>
      <c r="C768">
        <f t="shared" si="123"/>
        <v>0</v>
      </c>
      <c r="G768">
        <f>IF(OR($G$1="",对账补充行!$C161="",对账补充行!$C161&lt;&gt;$G$1),0,IF(NOT(OR(N(对账补充行!$H161)&lt;&gt;0,N(对账补充行!$I161)&lt;&gt;0)),0,IF(对账补充行!$B161="",1,IF(OR(N(对账补充行!$B161)&lt;$H$1,N(对账补充行!$B161)&gt;$I$1),0,1))))</f>
        <v>0</v>
      </c>
      <c r="H768">
        <f t="shared" si="124"/>
        <v>0</v>
      </c>
      <c r="I768" t="str">
        <f>IF($G768=0,"",IF(对账补充行!$B161=0,"",对账补充行!$B161))</f>
        <v/>
      </c>
      <c r="J768" t="str">
        <f>IF($G768=0,"",IF(对账补充行!$D161=0,"",对账补充行!$D161))</f>
        <v/>
      </c>
      <c r="K768" t="str">
        <f>IF($G768=0,"",IF(对账补充行!$E161=0,"",对账补充行!$E161))</f>
        <v/>
      </c>
      <c r="L768" t="str">
        <f>IF($G768=0,"",IF(对账补充行!$F161=0,"",对账补充行!$F161))</f>
        <v/>
      </c>
      <c r="M768" t="str">
        <f>IF($G768=0,"",IF(对账补充行!$G161=0,"",对账补充行!$G161))</f>
        <v/>
      </c>
      <c r="N768" t="str">
        <f>IF($G768=0,"",IF(对账补充行!$H161=0,"",对账补充行!$H161))</f>
        <v/>
      </c>
      <c r="O768" t="str">
        <f>IF($G768=0,"",IF(对账补充行!$I161=0,"",对账补充行!$I161))</f>
        <v/>
      </c>
      <c r="P768" t="str">
        <f>IF($G768=0,"",IF(对账补充行!$J161=0,"",对账补充行!$J161))</f>
        <v/>
      </c>
      <c r="T768" t="str">
        <f>IF(成本费用登记表!$D168="","",成本费用登记表!$D168)</f>
        <v/>
      </c>
      <c r="U768">
        <f t="shared" si="125"/>
        <v>0</v>
      </c>
      <c r="V768">
        <f t="shared" si="126"/>
        <v>0</v>
      </c>
    </row>
    <row r="769" spans="1:22">
      <c r="A769" t="str">
        <f>IF(资金日记账!$F467="","",资金日记账!$F467)</f>
        <v/>
      </c>
      <c r="B769">
        <f t="shared" si="122"/>
        <v>0</v>
      </c>
      <c r="C769">
        <f t="shared" si="123"/>
        <v>0</v>
      </c>
      <c r="G769">
        <f>IF(OR($G$1="",对账补充行!$C162="",对账补充行!$C162&lt;&gt;$G$1),0,IF(NOT(OR(N(对账补充行!$H162)&lt;&gt;0,N(对账补充行!$I162)&lt;&gt;0)),0,IF(对账补充行!$B162="",1,IF(OR(N(对账补充行!$B162)&lt;$H$1,N(对账补充行!$B162)&gt;$I$1),0,1))))</f>
        <v>0</v>
      </c>
      <c r="H769">
        <f t="shared" si="124"/>
        <v>0</v>
      </c>
      <c r="I769" t="str">
        <f>IF($G769=0,"",IF(对账补充行!$B162=0,"",对账补充行!$B162))</f>
        <v/>
      </c>
      <c r="J769" t="str">
        <f>IF($G769=0,"",IF(对账补充行!$D162=0,"",对账补充行!$D162))</f>
        <v/>
      </c>
      <c r="K769" t="str">
        <f>IF($G769=0,"",IF(对账补充行!$E162=0,"",对账补充行!$E162))</f>
        <v/>
      </c>
      <c r="L769" t="str">
        <f>IF($G769=0,"",IF(对账补充行!$F162=0,"",对账补充行!$F162))</f>
        <v/>
      </c>
      <c r="M769" t="str">
        <f>IF($G769=0,"",IF(对账补充行!$G162=0,"",对账补充行!$G162))</f>
        <v/>
      </c>
      <c r="N769" t="str">
        <f>IF($G769=0,"",IF(对账补充行!$H162=0,"",对账补充行!$H162))</f>
        <v/>
      </c>
      <c r="O769" t="str">
        <f>IF($G769=0,"",IF(对账补充行!$I162=0,"",对账补充行!$I162))</f>
        <v/>
      </c>
      <c r="P769" t="str">
        <f>IF($G769=0,"",IF(对账补充行!$J162=0,"",对账补充行!$J162))</f>
        <v/>
      </c>
      <c r="T769" t="str">
        <f>IF(成本费用登记表!$D169="","",成本费用登记表!$D169)</f>
        <v/>
      </c>
      <c r="U769">
        <f t="shared" si="125"/>
        <v>0</v>
      </c>
      <c r="V769">
        <f t="shared" si="126"/>
        <v>0</v>
      </c>
    </row>
    <row r="770" spans="1:22">
      <c r="A770" t="str">
        <f>IF(资金日记账!$F468="","",资金日记账!$F468)</f>
        <v/>
      </c>
      <c r="B770">
        <f t="shared" si="122"/>
        <v>0</v>
      </c>
      <c r="C770">
        <f t="shared" si="123"/>
        <v>0</v>
      </c>
      <c r="G770">
        <f>IF(OR($G$1="",对账补充行!$C163="",对账补充行!$C163&lt;&gt;$G$1),0,IF(NOT(OR(N(对账补充行!$H163)&lt;&gt;0,N(对账补充行!$I163)&lt;&gt;0)),0,IF(对账补充行!$B163="",1,IF(OR(N(对账补充行!$B163)&lt;$H$1,N(对账补充行!$B163)&gt;$I$1),0,1))))</f>
        <v>0</v>
      </c>
      <c r="H770">
        <f t="shared" si="124"/>
        <v>0</v>
      </c>
      <c r="I770" t="str">
        <f>IF($G770=0,"",IF(对账补充行!$B163=0,"",对账补充行!$B163))</f>
        <v/>
      </c>
      <c r="J770" t="str">
        <f>IF($G770=0,"",IF(对账补充行!$D163=0,"",对账补充行!$D163))</f>
        <v/>
      </c>
      <c r="K770" t="str">
        <f>IF($G770=0,"",IF(对账补充行!$E163=0,"",对账补充行!$E163))</f>
        <v/>
      </c>
      <c r="L770" t="str">
        <f>IF($G770=0,"",IF(对账补充行!$F163=0,"",对账补充行!$F163))</f>
        <v/>
      </c>
      <c r="M770" t="str">
        <f>IF($G770=0,"",IF(对账补充行!$G163=0,"",对账补充行!$G163))</f>
        <v/>
      </c>
      <c r="N770" t="str">
        <f>IF($G770=0,"",IF(对账补充行!$H163=0,"",对账补充行!$H163))</f>
        <v/>
      </c>
      <c r="O770" t="str">
        <f>IF($G770=0,"",IF(对账补充行!$I163=0,"",对账补充行!$I163))</f>
        <v/>
      </c>
      <c r="P770" t="str">
        <f>IF($G770=0,"",IF(对账补充行!$J163=0,"",对账补充行!$J163))</f>
        <v/>
      </c>
      <c r="T770" t="str">
        <f>IF(成本费用登记表!$D170="","",成本费用登记表!$D170)</f>
        <v/>
      </c>
      <c r="U770">
        <f t="shared" si="125"/>
        <v>0</v>
      </c>
      <c r="V770">
        <f t="shared" si="126"/>
        <v>0</v>
      </c>
    </row>
    <row r="771" spans="1:22">
      <c r="A771" t="str">
        <f>IF(资金日记账!$F469="","",资金日记账!$F469)</f>
        <v/>
      </c>
      <c r="B771">
        <f t="shared" si="122"/>
        <v>0</v>
      </c>
      <c r="C771">
        <f t="shared" si="123"/>
        <v>0</v>
      </c>
      <c r="G771">
        <f>IF(OR($G$1="",对账补充行!$C164="",对账补充行!$C164&lt;&gt;$G$1),0,IF(NOT(OR(N(对账补充行!$H164)&lt;&gt;0,N(对账补充行!$I164)&lt;&gt;0)),0,IF(对账补充行!$B164="",1,IF(OR(N(对账补充行!$B164)&lt;$H$1,N(对账补充行!$B164)&gt;$I$1),0,1))))</f>
        <v>0</v>
      </c>
      <c r="H771">
        <f t="shared" si="124"/>
        <v>0</v>
      </c>
      <c r="I771" t="str">
        <f>IF($G771=0,"",IF(对账补充行!$B164=0,"",对账补充行!$B164))</f>
        <v/>
      </c>
      <c r="J771" t="str">
        <f>IF($G771=0,"",IF(对账补充行!$D164=0,"",对账补充行!$D164))</f>
        <v/>
      </c>
      <c r="K771" t="str">
        <f>IF($G771=0,"",IF(对账补充行!$E164=0,"",对账补充行!$E164))</f>
        <v/>
      </c>
      <c r="L771" t="str">
        <f>IF($G771=0,"",IF(对账补充行!$F164=0,"",对账补充行!$F164))</f>
        <v/>
      </c>
      <c r="M771" t="str">
        <f>IF($G771=0,"",IF(对账补充行!$G164=0,"",对账补充行!$G164))</f>
        <v/>
      </c>
      <c r="N771" t="str">
        <f>IF($G771=0,"",IF(对账补充行!$H164=0,"",对账补充行!$H164))</f>
        <v/>
      </c>
      <c r="O771" t="str">
        <f>IF($G771=0,"",IF(对账补充行!$I164=0,"",对账补充行!$I164))</f>
        <v/>
      </c>
      <c r="P771" t="str">
        <f>IF($G771=0,"",IF(对账补充行!$J164=0,"",对账补充行!$J164))</f>
        <v/>
      </c>
      <c r="T771" t="str">
        <f>IF(成本费用登记表!$D171="","",成本费用登记表!$D171)</f>
        <v/>
      </c>
      <c r="U771">
        <f t="shared" si="125"/>
        <v>0</v>
      </c>
      <c r="V771">
        <f t="shared" si="126"/>
        <v>0</v>
      </c>
    </row>
    <row r="772" spans="1:22">
      <c r="A772" t="str">
        <f>IF(资金日记账!$F470="","",资金日记账!$F470)</f>
        <v/>
      </c>
      <c r="B772">
        <f t="shared" ref="B772:B835" si="127">IF(A772="",0,IF(MATCH(A772,$A$4:$A$1805,0)=ROW()-3,1,0))</f>
        <v>0</v>
      </c>
      <c r="C772">
        <f t="shared" ref="C772:C835" si="128">N(C771)+B772</f>
        <v>0</v>
      </c>
      <c r="G772">
        <f>IF(OR($G$1="",对账补充行!$C165="",对账补充行!$C165&lt;&gt;$G$1),0,IF(NOT(OR(N(对账补充行!$H165)&lt;&gt;0,N(对账补充行!$I165)&lt;&gt;0)),0,IF(对账补充行!$B165="",1,IF(OR(N(对账补充行!$B165)&lt;$H$1,N(对账补充行!$B165)&gt;$I$1),0,1))))</f>
        <v>0</v>
      </c>
      <c r="H772">
        <f t="shared" ref="H772:H835" si="129">N(H771)+$G772</f>
        <v>0</v>
      </c>
      <c r="I772" t="str">
        <f>IF($G772=0,"",IF(对账补充行!$B165=0,"",对账补充行!$B165))</f>
        <v/>
      </c>
      <c r="J772" t="str">
        <f>IF($G772=0,"",IF(对账补充行!$D165=0,"",对账补充行!$D165))</f>
        <v/>
      </c>
      <c r="K772" t="str">
        <f>IF($G772=0,"",IF(对账补充行!$E165=0,"",对账补充行!$E165))</f>
        <v/>
      </c>
      <c r="L772" t="str">
        <f>IF($G772=0,"",IF(对账补充行!$F165=0,"",对账补充行!$F165))</f>
        <v/>
      </c>
      <c r="M772" t="str">
        <f>IF($G772=0,"",IF(对账补充行!$G165=0,"",对账补充行!$G165))</f>
        <v/>
      </c>
      <c r="N772" t="str">
        <f>IF($G772=0,"",IF(对账补充行!$H165=0,"",对账补充行!$H165))</f>
        <v/>
      </c>
      <c r="O772" t="str">
        <f>IF($G772=0,"",IF(对账补充行!$I165=0,"",对账补充行!$I165))</f>
        <v/>
      </c>
      <c r="P772" t="str">
        <f>IF($G772=0,"",IF(对账补充行!$J165=0,"",对账补充行!$J165))</f>
        <v/>
      </c>
      <c r="T772" t="str">
        <f>IF(成本费用登记表!$D172="","",成本费用登记表!$D172)</f>
        <v/>
      </c>
      <c r="U772">
        <f t="shared" ref="U772:U835" si="130">IF(T772="",0,IF(MATCH(T772,$T$4:$T$903,0)=ROW()-3,1,0))</f>
        <v>0</v>
      </c>
      <c r="V772">
        <f t="shared" ref="V772:V835" si="131">N(V771)+U772</f>
        <v>0</v>
      </c>
    </row>
    <row r="773" spans="1:22">
      <c r="A773" t="str">
        <f>IF(资金日记账!$F471="","",资金日记账!$F471)</f>
        <v/>
      </c>
      <c r="B773">
        <f t="shared" si="127"/>
        <v>0</v>
      </c>
      <c r="C773">
        <f t="shared" si="128"/>
        <v>0</v>
      </c>
      <c r="G773">
        <f>IF(OR($G$1="",对账补充行!$C166="",对账补充行!$C166&lt;&gt;$G$1),0,IF(NOT(OR(N(对账补充行!$H166)&lt;&gt;0,N(对账补充行!$I166)&lt;&gt;0)),0,IF(对账补充行!$B166="",1,IF(OR(N(对账补充行!$B166)&lt;$H$1,N(对账补充行!$B166)&gt;$I$1),0,1))))</f>
        <v>0</v>
      </c>
      <c r="H773">
        <f t="shared" si="129"/>
        <v>0</v>
      </c>
      <c r="I773" t="str">
        <f>IF($G773=0,"",IF(对账补充行!$B166=0,"",对账补充行!$B166))</f>
        <v/>
      </c>
      <c r="J773" t="str">
        <f>IF($G773=0,"",IF(对账补充行!$D166=0,"",对账补充行!$D166))</f>
        <v/>
      </c>
      <c r="K773" t="str">
        <f>IF($G773=0,"",IF(对账补充行!$E166=0,"",对账补充行!$E166))</f>
        <v/>
      </c>
      <c r="L773" t="str">
        <f>IF($G773=0,"",IF(对账补充行!$F166=0,"",对账补充行!$F166))</f>
        <v/>
      </c>
      <c r="M773" t="str">
        <f>IF($G773=0,"",IF(对账补充行!$G166=0,"",对账补充行!$G166))</f>
        <v/>
      </c>
      <c r="N773" t="str">
        <f>IF($G773=0,"",IF(对账补充行!$H166=0,"",对账补充行!$H166))</f>
        <v/>
      </c>
      <c r="O773" t="str">
        <f>IF($G773=0,"",IF(对账补充行!$I166=0,"",对账补充行!$I166))</f>
        <v/>
      </c>
      <c r="P773" t="str">
        <f>IF($G773=0,"",IF(对账补充行!$J166=0,"",对账补充行!$J166))</f>
        <v/>
      </c>
      <c r="T773" t="str">
        <f>IF(成本费用登记表!$D173="","",成本费用登记表!$D173)</f>
        <v/>
      </c>
      <c r="U773">
        <f t="shared" si="130"/>
        <v>0</v>
      </c>
      <c r="V773">
        <f t="shared" si="131"/>
        <v>0</v>
      </c>
    </row>
    <row r="774" spans="1:22">
      <c r="A774" t="str">
        <f>IF(资金日记账!$F472="","",资金日记账!$F472)</f>
        <v/>
      </c>
      <c r="B774">
        <f t="shared" si="127"/>
        <v>0</v>
      </c>
      <c r="C774">
        <f t="shared" si="128"/>
        <v>0</v>
      </c>
      <c r="G774">
        <f>IF(OR($G$1="",对账补充行!$C167="",对账补充行!$C167&lt;&gt;$G$1),0,IF(NOT(OR(N(对账补充行!$H167)&lt;&gt;0,N(对账补充行!$I167)&lt;&gt;0)),0,IF(对账补充行!$B167="",1,IF(OR(N(对账补充行!$B167)&lt;$H$1,N(对账补充行!$B167)&gt;$I$1),0,1))))</f>
        <v>0</v>
      </c>
      <c r="H774">
        <f t="shared" si="129"/>
        <v>0</v>
      </c>
      <c r="I774" t="str">
        <f>IF($G774=0,"",IF(对账补充行!$B167=0,"",对账补充行!$B167))</f>
        <v/>
      </c>
      <c r="J774" t="str">
        <f>IF($G774=0,"",IF(对账补充行!$D167=0,"",对账补充行!$D167))</f>
        <v/>
      </c>
      <c r="K774" t="str">
        <f>IF($G774=0,"",IF(对账补充行!$E167=0,"",对账补充行!$E167))</f>
        <v/>
      </c>
      <c r="L774" t="str">
        <f>IF($G774=0,"",IF(对账补充行!$F167=0,"",对账补充行!$F167))</f>
        <v/>
      </c>
      <c r="M774" t="str">
        <f>IF($G774=0,"",IF(对账补充行!$G167=0,"",对账补充行!$G167))</f>
        <v/>
      </c>
      <c r="N774" t="str">
        <f>IF($G774=0,"",IF(对账补充行!$H167=0,"",对账补充行!$H167))</f>
        <v/>
      </c>
      <c r="O774" t="str">
        <f>IF($G774=0,"",IF(对账补充行!$I167=0,"",对账补充行!$I167))</f>
        <v/>
      </c>
      <c r="P774" t="str">
        <f>IF($G774=0,"",IF(对账补充行!$J167=0,"",对账补充行!$J167))</f>
        <v/>
      </c>
      <c r="T774" t="str">
        <f>IF(成本费用登记表!$D174="","",成本费用登记表!$D174)</f>
        <v/>
      </c>
      <c r="U774">
        <f t="shared" si="130"/>
        <v>0</v>
      </c>
      <c r="V774">
        <f t="shared" si="131"/>
        <v>0</v>
      </c>
    </row>
    <row r="775" spans="1:22">
      <c r="A775" t="str">
        <f>IF(资金日记账!$F473="","",资金日记账!$F473)</f>
        <v/>
      </c>
      <c r="B775">
        <f t="shared" si="127"/>
        <v>0</v>
      </c>
      <c r="C775">
        <f t="shared" si="128"/>
        <v>0</v>
      </c>
      <c r="G775">
        <f>IF(OR($G$1="",对账补充行!$C168="",对账补充行!$C168&lt;&gt;$G$1),0,IF(NOT(OR(N(对账补充行!$H168)&lt;&gt;0,N(对账补充行!$I168)&lt;&gt;0)),0,IF(对账补充行!$B168="",1,IF(OR(N(对账补充行!$B168)&lt;$H$1,N(对账补充行!$B168)&gt;$I$1),0,1))))</f>
        <v>0</v>
      </c>
      <c r="H775">
        <f t="shared" si="129"/>
        <v>0</v>
      </c>
      <c r="I775" t="str">
        <f>IF($G775=0,"",IF(对账补充行!$B168=0,"",对账补充行!$B168))</f>
        <v/>
      </c>
      <c r="J775" t="str">
        <f>IF($G775=0,"",IF(对账补充行!$D168=0,"",对账补充行!$D168))</f>
        <v/>
      </c>
      <c r="K775" t="str">
        <f>IF($G775=0,"",IF(对账补充行!$E168=0,"",对账补充行!$E168))</f>
        <v/>
      </c>
      <c r="L775" t="str">
        <f>IF($G775=0,"",IF(对账补充行!$F168=0,"",对账补充行!$F168))</f>
        <v/>
      </c>
      <c r="M775" t="str">
        <f>IF($G775=0,"",IF(对账补充行!$G168=0,"",对账补充行!$G168))</f>
        <v/>
      </c>
      <c r="N775" t="str">
        <f>IF($G775=0,"",IF(对账补充行!$H168=0,"",对账补充行!$H168))</f>
        <v/>
      </c>
      <c r="O775" t="str">
        <f>IF($G775=0,"",IF(对账补充行!$I168=0,"",对账补充行!$I168))</f>
        <v/>
      </c>
      <c r="P775" t="str">
        <f>IF($G775=0,"",IF(对账补充行!$J168=0,"",对账补充行!$J168))</f>
        <v/>
      </c>
      <c r="T775" t="str">
        <f>IF(成本费用登记表!$D175="","",成本费用登记表!$D175)</f>
        <v/>
      </c>
      <c r="U775">
        <f t="shared" si="130"/>
        <v>0</v>
      </c>
      <c r="V775">
        <f t="shared" si="131"/>
        <v>0</v>
      </c>
    </row>
    <row r="776" spans="1:22">
      <c r="A776" t="str">
        <f>IF(资金日记账!$F474="","",资金日记账!$F474)</f>
        <v/>
      </c>
      <c r="B776">
        <f t="shared" si="127"/>
        <v>0</v>
      </c>
      <c r="C776">
        <f t="shared" si="128"/>
        <v>0</v>
      </c>
      <c r="G776">
        <f>IF(OR($G$1="",对账补充行!$C169="",对账补充行!$C169&lt;&gt;$G$1),0,IF(NOT(OR(N(对账补充行!$H169)&lt;&gt;0,N(对账补充行!$I169)&lt;&gt;0)),0,IF(对账补充行!$B169="",1,IF(OR(N(对账补充行!$B169)&lt;$H$1,N(对账补充行!$B169)&gt;$I$1),0,1))))</f>
        <v>0</v>
      </c>
      <c r="H776">
        <f t="shared" si="129"/>
        <v>0</v>
      </c>
      <c r="I776" t="str">
        <f>IF($G776=0,"",IF(对账补充行!$B169=0,"",对账补充行!$B169))</f>
        <v/>
      </c>
      <c r="J776" t="str">
        <f>IF($G776=0,"",IF(对账补充行!$D169=0,"",对账补充行!$D169))</f>
        <v/>
      </c>
      <c r="K776" t="str">
        <f>IF($G776=0,"",IF(对账补充行!$E169=0,"",对账补充行!$E169))</f>
        <v/>
      </c>
      <c r="L776" t="str">
        <f>IF($G776=0,"",IF(对账补充行!$F169=0,"",对账补充行!$F169))</f>
        <v/>
      </c>
      <c r="M776" t="str">
        <f>IF($G776=0,"",IF(对账补充行!$G169=0,"",对账补充行!$G169))</f>
        <v/>
      </c>
      <c r="N776" t="str">
        <f>IF($G776=0,"",IF(对账补充行!$H169=0,"",对账补充行!$H169))</f>
        <v/>
      </c>
      <c r="O776" t="str">
        <f>IF($G776=0,"",IF(对账补充行!$I169=0,"",对账补充行!$I169))</f>
        <v/>
      </c>
      <c r="P776" t="str">
        <f>IF($G776=0,"",IF(对账补充行!$J169=0,"",对账补充行!$J169))</f>
        <v/>
      </c>
      <c r="T776" t="str">
        <f>IF(成本费用登记表!$D176="","",成本费用登记表!$D176)</f>
        <v/>
      </c>
      <c r="U776">
        <f t="shared" si="130"/>
        <v>0</v>
      </c>
      <c r="V776">
        <f t="shared" si="131"/>
        <v>0</v>
      </c>
    </row>
    <row r="777" spans="1:22">
      <c r="A777" t="str">
        <f>IF(资金日记账!$F475="","",资金日记账!$F475)</f>
        <v/>
      </c>
      <c r="B777">
        <f t="shared" si="127"/>
        <v>0</v>
      </c>
      <c r="C777">
        <f t="shared" si="128"/>
        <v>0</v>
      </c>
      <c r="G777">
        <f>IF(OR($G$1="",对账补充行!$C170="",对账补充行!$C170&lt;&gt;$G$1),0,IF(NOT(OR(N(对账补充行!$H170)&lt;&gt;0,N(对账补充行!$I170)&lt;&gt;0)),0,IF(对账补充行!$B170="",1,IF(OR(N(对账补充行!$B170)&lt;$H$1,N(对账补充行!$B170)&gt;$I$1),0,1))))</f>
        <v>0</v>
      </c>
      <c r="H777">
        <f t="shared" si="129"/>
        <v>0</v>
      </c>
      <c r="I777" t="str">
        <f>IF($G777=0,"",IF(对账补充行!$B170=0,"",对账补充行!$B170))</f>
        <v/>
      </c>
      <c r="J777" t="str">
        <f>IF($G777=0,"",IF(对账补充行!$D170=0,"",对账补充行!$D170))</f>
        <v/>
      </c>
      <c r="K777" t="str">
        <f>IF($G777=0,"",IF(对账补充行!$E170=0,"",对账补充行!$E170))</f>
        <v/>
      </c>
      <c r="L777" t="str">
        <f>IF($G777=0,"",IF(对账补充行!$F170=0,"",对账补充行!$F170))</f>
        <v/>
      </c>
      <c r="M777" t="str">
        <f>IF($G777=0,"",IF(对账补充行!$G170=0,"",对账补充行!$G170))</f>
        <v/>
      </c>
      <c r="N777" t="str">
        <f>IF($G777=0,"",IF(对账补充行!$H170=0,"",对账补充行!$H170))</f>
        <v/>
      </c>
      <c r="O777" t="str">
        <f>IF($G777=0,"",IF(对账补充行!$I170=0,"",对账补充行!$I170))</f>
        <v/>
      </c>
      <c r="P777" t="str">
        <f>IF($G777=0,"",IF(对账补充行!$J170=0,"",对账补充行!$J170))</f>
        <v/>
      </c>
      <c r="T777" t="str">
        <f>IF(成本费用登记表!$D177="","",成本费用登记表!$D177)</f>
        <v/>
      </c>
      <c r="U777">
        <f t="shared" si="130"/>
        <v>0</v>
      </c>
      <c r="V777">
        <f t="shared" si="131"/>
        <v>0</v>
      </c>
    </row>
    <row r="778" spans="1:22">
      <c r="A778" t="str">
        <f>IF(资金日记账!$F476="","",资金日记账!$F476)</f>
        <v/>
      </c>
      <c r="B778">
        <f t="shared" si="127"/>
        <v>0</v>
      </c>
      <c r="C778">
        <f t="shared" si="128"/>
        <v>0</v>
      </c>
      <c r="G778">
        <f>IF(OR($G$1="",对账补充行!$C171="",对账补充行!$C171&lt;&gt;$G$1),0,IF(NOT(OR(N(对账补充行!$H171)&lt;&gt;0,N(对账补充行!$I171)&lt;&gt;0)),0,IF(对账补充行!$B171="",1,IF(OR(N(对账补充行!$B171)&lt;$H$1,N(对账补充行!$B171)&gt;$I$1),0,1))))</f>
        <v>0</v>
      </c>
      <c r="H778">
        <f t="shared" si="129"/>
        <v>0</v>
      </c>
      <c r="I778" t="str">
        <f>IF($G778=0,"",IF(对账补充行!$B171=0,"",对账补充行!$B171))</f>
        <v/>
      </c>
      <c r="J778" t="str">
        <f>IF($G778=0,"",IF(对账补充行!$D171=0,"",对账补充行!$D171))</f>
        <v/>
      </c>
      <c r="K778" t="str">
        <f>IF($G778=0,"",IF(对账补充行!$E171=0,"",对账补充行!$E171))</f>
        <v/>
      </c>
      <c r="L778" t="str">
        <f>IF($G778=0,"",IF(对账补充行!$F171=0,"",对账补充行!$F171))</f>
        <v/>
      </c>
      <c r="M778" t="str">
        <f>IF($G778=0,"",IF(对账补充行!$G171=0,"",对账补充行!$G171))</f>
        <v/>
      </c>
      <c r="N778" t="str">
        <f>IF($G778=0,"",IF(对账补充行!$H171=0,"",对账补充行!$H171))</f>
        <v/>
      </c>
      <c r="O778" t="str">
        <f>IF($G778=0,"",IF(对账补充行!$I171=0,"",对账补充行!$I171))</f>
        <v/>
      </c>
      <c r="P778" t="str">
        <f>IF($G778=0,"",IF(对账补充行!$J171=0,"",对账补充行!$J171))</f>
        <v/>
      </c>
      <c r="T778" t="str">
        <f>IF(成本费用登记表!$D178="","",成本费用登记表!$D178)</f>
        <v/>
      </c>
      <c r="U778">
        <f t="shared" si="130"/>
        <v>0</v>
      </c>
      <c r="V778">
        <f t="shared" si="131"/>
        <v>0</v>
      </c>
    </row>
    <row r="779" spans="1:22">
      <c r="A779" t="str">
        <f>IF(资金日记账!$F477="","",资金日记账!$F477)</f>
        <v/>
      </c>
      <c r="B779">
        <f t="shared" si="127"/>
        <v>0</v>
      </c>
      <c r="C779">
        <f t="shared" si="128"/>
        <v>0</v>
      </c>
      <c r="G779">
        <f>IF(OR($G$1="",对账补充行!$C172="",对账补充行!$C172&lt;&gt;$G$1),0,IF(NOT(OR(N(对账补充行!$H172)&lt;&gt;0,N(对账补充行!$I172)&lt;&gt;0)),0,IF(对账补充行!$B172="",1,IF(OR(N(对账补充行!$B172)&lt;$H$1,N(对账补充行!$B172)&gt;$I$1),0,1))))</f>
        <v>0</v>
      </c>
      <c r="H779">
        <f t="shared" si="129"/>
        <v>0</v>
      </c>
      <c r="I779" t="str">
        <f>IF($G779=0,"",IF(对账补充行!$B172=0,"",对账补充行!$B172))</f>
        <v/>
      </c>
      <c r="J779" t="str">
        <f>IF($G779=0,"",IF(对账补充行!$D172=0,"",对账补充行!$D172))</f>
        <v/>
      </c>
      <c r="K779" t="str">
        <f>IF($G779=0,"",IF(对账补充行!$E172=0,"",对账补充行!$E172))</f>
        <v/>
      </c>
      <c r="L779" t="str">
        <f>IF($G779=0,"",IF(对账补充行!$F172=0,"",对账补充行!$F172))</f>
        <v/>
      </c>
      <c r="M779" t="str">
        <f>IF($G779=0,"",IF(对账补充行!$G172=0,"",对账补充行!$G172))</f>
        <v/>
      </c>
      <c r="N779" t="str">
        <f>IF($G779=0,"",IF(对账补充行!$H172=0,"",对账补充行!$H172))</f>
        <v/>
      </c>
      <c r="O779" t="str">
        <f>IF($G779=0,"",IF(对账补充行!$I172=0,"",对账补充行!$I172))</f>
        <v/>
      </c>
      <c r="P779" t="str">
        <f>IF($G779=0,"",IF(对账补充行!$J172=0,"",对账补充行!$J172))</f>
        <v/>
      </c>
      <c r="T779" t="str">
        <f>IF(成本费用登记表!$D179="","",成本费用登记表!$D179)</f>
        <v/>
      </c>
      <c r="U779">
        <f t="shared" si="130"/>
        <v>0</v>
      </c>
      <c r="V779">
        <f t="shared" si="131"/>
        <v>0</v>
      </c>
    </row>
    <row r="780" spans="1:22">
      <c r="A780" t="str">
        <f>IF(资金日记账!$F478="","",资金日记账!$F478)</f>
        <v/>
      </c>
      <c r="B780">
        <f t="shared" si="127"/>
        <v>0</v>
      </c>
      <c r="C780">
        <f t="shared" si="128"/>
        <v>0</v>
      </c>
      <c r="G780">
        <f>IF(OR($G$1="",对账补充行!$C173="",对账补充行!$C173&lt;&gt;$G$1),0,IF(NOT(OR(N(对账补充行!$H173)&lt;&gt;0,N(对账补充行!$I173)&lt;&gt;0)),0,IF(对账补充行!$B173="",1,IF(OR(N(对账补充行!$B173)&lt;$H$1,N(对账补充行!$B173)&gt;$I$1),0,1))))</f>
        <v>0</v>
      </c>
      <c r="H780">
        <f t="shared" si="129"/>
        <v>0</v>
      </c>
      <c r="I780" t="str">
        <f>IF($G780=0,"",IF(对账补充行!$B173=0,"",对账补充行!$B173))</f>
        <v/>
      </c>
      <c r="J780" t="str">
        <f>IF($G780=0,"",IF(对账补充行!$D173=0,"",对账补充行!$D173))</f>
        <v/>
      </c>
      <c r="K780" t="str">
        <f>IF($G780=0,"",IF(对账补充行!$E173=0,"",对账补充行!$E173))</f>
        <v/>
      </c>
      <c r="L780" t="str">
        <f>IF($G780=0,"",IF(对账补充行!$F173=0,"",对账补充行!$F173))</f>
        <v/>
      </c>
      <c r="M780" t="str">
        <f>IF($G780=0,"",IF(对账补充行!$G173=0,"",对账补充行!$G173))</f>
        <v/>
      </c>
      <c r="N780" t="str">
        <f>IF($G780=0,"",IF(对账补充行!$H173=0,"",对账补充行!$H173))</f>
        <v/>
      </c>
      <c r="O780" t="str">
        <f>IF($G780=0,"",IF(对账补充行!$I173=0,"",对账补充行!$I173))</f>
        <v/>
      </c>
      <c r="P780" t="str">
        <f>IF($G780=0,"",IF(对账补充行!$J173=0,"",对账补充行!$J173))</f>
        <v/>
      </c>
      <c r="T780" t="str">
        <f>IF(成本费用登记表!$D180="","",成本费用登记表!$D180)</f>
        <v/>
      </c>
      <c r="U780">
        <f t="shared" si="130"/>
        <v>0</v>
      </c>
      <c r="V780">
        <f t="shared" si="131"/>
        <v>0</v>
      </c>
    </row>
    <row r="781" spans="1:22">
      <c r="A781" t="str">
        <f>IF(资金日记账!$F479="","",资金日记账!$F479)</f>
        <v/>
      </c>
      <c r="B781">
        <f t="shared" si="127"/>
        <v>0</v>
      </c>
      <c r="C781">
        <f t="shared" si="128"/>
        <v>0</v>
      </c>
      <c r="G781">
        <f>IF(OR($G$1="",对账补充行!$C174="",对账补充行!$C174&lt;&gt;$G$1),0,IF(NOT(OR(N(对账补充行!$H174)&lt;&gt;0,N(对账补充行!$I174)&lt;&gt;0)),0,IF(对账补充行!$B174="",1,IF(OR(N(对账补充行!$B174)&lt;$H$1,N(对账补充行!$B174)&gt;$I$1),0,1))))</f>
        <v>0</v>
      </c>
      <c r="H781">
        <f t="shared" si="129"/>
        <v>0</v>
      </c>
      <c r="I781" t="str">
        <f>IF($G781=0,"",IF(对账补充行!$B174=0,"",对账补充行!$B174))</f>
        <v/>
      </c>
      <c r="J781" t="str">
        <f>IF($G781=0,"",IF(对账补充行!$D174=0,"",对账补充行!$D174))</f>
        <v/>
      </c>
      <c r="K781" t="str">
        <f>IF($G781=0,"",IF(对账补充行!$E174=0,"",对账补充行!$E174))</f>
        <v/>
      </c>
      <c r="L781" t="str">
        <f>IF($G781=0,"",IF(对账补充行!$F174=0,"",对账补充行!$F174))</f>
        <v/>
      </c>
      <c r="M781" t="str">
        <f>IF($G781=0,"",IF(对账补充行!$G174=0,"",对账补充行!$G174))</f>
        <v/>
      </c>
      <c r="N781" t="str">
        <f>IF($G781=0,"",IF(对账补充行!$H174=0,"",对账补充行!$H174))</f>
        <v/>
      </c>
      <c r="O781" t="str">
        <f>IF($G781=0,"",IF(对账补充行!$I174=0,"",对账补充行!$I174))</f>
        <v/>
      </c>
      <c r="P781" t="str">
        <f>IF($G781=0,"",IF(对账补充行!$J174=0,"",对账补充行!$J174))</f>
        <v/>
      </c>
      <c r="T781" t="str">
        <f>IF(成本费用登记表!$D181="","",成本费用登记表!$D181)</f>
        <v/>
      </c>
      <c r="U781">
        <f t="shared" si="130"/>
        <v>0</v>
      </c>
      <c r="V781">
        <f t="shared" si="131"/>
        <v>0</v>
      </c>
    </row>
    <row r="782" spans="1:22">
      <c r="A782" t="str">
        <f>IF(资金日记账!$F480="","",资金日记账!$F480)</f>
        <v/>
      </c>
      <c r="B782">
        <f t="shared" si="127"/>
        <v>0</v>
      </c>
      <c r="C782">
        <f t="shared" si="128"/>
        <v>0</v>
      </c>
      <c r="G782">
        <f>IF(OR($G$1="",对账补充行!$C175="",对账补充行!$C175&lt;&gt;$G$1),0,IF(NOT(OR(N(对账补充行!$H175)&lt;&gt;0,N(对账补充行!$I175)&lt;&gt;0)),0,IF(对账补充行!$B175="",1,IF(OR(N(对账补充行!$B175)&lt;$H$1,N(对账补充行!$B175)&gt;$I$1),0,1))))</f>
        <v>0</v>
      </c>
      <c r="H782">
        <f t="shared" si="129"/>
        <v>0</v>
      </c>
      <c r="I782" t="str">
        <f>IF($G782=0,"",IF(对账补充行!$B175=0,"",对账补充行!$B175))</f>
        <v/>
      </c>
      <c r="J782" t="str">
        <f>IF($G782=0,"",IF(对账补充行!$D175=0,"",对账补充行!$D175))</f>
        <v/>
      </c>
      <c r="K782" t="str">
        <f>IF($G782=0,"",IF(对账补充行!$E175=0,"",对账补充行!$E175))</f>
        <v/>
      </c>
      <c r="L782" t="str">
        <f>IF($G782=0,"",IF(对账补充行!$F175=0,"",对账补充行!$F175))</f>
        <v/>
      </c>
      <c r="M782" t="str">
        <f>IF($G782=0,"",IF(对账补充行!$G175=0,"",对账补充行!$G175))</f>
        <v/>
      </c>
      <c r="N782" t="str">
        <f>IF($G782=0,"",IF(对账补充行!$H175=0,"",对账补充行!$H175))</f>
        <v/>
      </c>
      <c r="O782" t="str">
        <f>IF($G782=0,"",IF(对账补充行!$I175=0,"",对账补充行!$I175))</f>
        <v/>
      </c>
      <c r="P782" t="str">
        <f>IF($G782=0,"",IF(对账补充行!$J175=0,"",对账补充行!$J175))</f>
        <v/>
      </c>
      <c r="T782" t="str">
        <f>IF(成本费用登记表!$D182="","",成本费用登记表!$D182)</f>
        <v/>
      </c>
      <c r="U782">
        <f t="shared" si="130"/>
        <v>0</v>
      </c>
      <c r="V782">
        <f t="shared" si="131"/>
        <v>0</v>
      </c>
    </row>
    <row r="783" spans="1:22">
      <c r="A783" t="str">
        <f>IF(资金日记账!$F481="","",资金日记账!$F481)</f>
        <v/>
      </c>
      <c r="B783">
        <f t="shared" si="127"/>
        <v>0</v>
      </c>
      <c r="C783">
        <f t="shared" si="128"/>
        <v>0</v>
      </c>
      <c r="G783">
        <f>IF(OR($G$1="",对账补充行!$C176="",对账补充行!$C176&lt;&gt;$G$1),0,IF(NOT(OR(N(对账补充行!$H176)&lt;&gt;0,N(对账补充行!$I176)&lt;&gt;0)),0,IF(对账补充行!$B176="",1,IF(OR(N(对账补充行!$B176)&lt;$H$1,N(对账补充行!$B176)&gt;$I$1),0,1))))</f>
        <v>0</v>
      </c>
      <c r="H783">
        <f t="shared" si="129"/>
        <v>0</v>
      </c>
      <c r="I783" t="str">
        <f>IF($G783=0,"",IF(对账补充行!$B176=0,"",对账补充行!$B176))</f>
        <v/>
      </c>
      <c r="J783" t="str">
        <f>IF($G783=0,"",IF(对账补充行!$D176=0,"",对账补充行!$D176))</f>
        <v/>
      </c>
      <c r="K783" t="str">
        <f>IF($G783=0,"",IF(对账补充行!$E176=0,"",对账补充行!$E176))</f>
        <v/>
      </c>
      <c r="L783" t="str">
        <f>IF($G783=0,"",IF(对账补充行!$F176=0,"",对账补充行!$F176))</f>
        <v/>
      </c>
      <c r="M783" t="str">
        <f>IF($G783=0,"",IF(对账补充行!$G176=0,"",对账补充行!$G176))</f>
        <v/>
      </c>
      <c r="N783" t="str">
        <f>IF($G783=0,"",IF(对账补充行!$H176=0,"",对账补充行!$H176))</f>
        <v/>
      </c>
      <c r="O783" t="str">
        <f>IF($G783=0,"",IF(对账补充行!$I176=0,"",对账补充行!$I176))</f>
        <v/>
      </c>
      <c r="P783" t="str">
        <f>IF($G783=0,"",IF(对账补充行!$J176=0,"",对账补充行!$J176))</f>
        <v/>
      </c>
      <c r="T783" t="str">
        <f>IF(成本费用登记表!$D183="","",成本费用登记表!$D183)</f>
        <v/>
      </c>
      <c r="U783">
        <f t="shared" si="130"/>
        <v>0</v>
      </c>
      <c r="V783">
        <f t="shared" si="131"/>
        <v>0</v>
      </c>
    </row>
    <row r="784" spans="1:22">
      <c r="A784" t="str">
        <f>IF(资金日记账!$F482="","",资金日记账!$F482)</f>
        <v/>
      </c>
      <c r="B784">
        <f t="shared" si="127"/>
        <v>0</v>
      </c>
      <c r="C784">
        <f t="shared" si="128"/>
        <v>0</v>
      </c>
      <c r="G784">
        <f>IF(OR($G$1="",对账补充行!$C177="",对账补充行!$C177&lt;&gt;$G$1),0,IF(NOT(OR(N(对账补充行!$H177)&lt;&gt;0,N(对账补充行!$I177)&lt;&gt;0)),0,IF(对账补充行!$B177="",1,IF(OR(N(对账补充行!$B177)&lt;$H$1,N(对账补充行!$B177)&gt;$I$1),0,1))))</f>
        <v>0</v>
      </c>
      <c r="H784">
        <f t="shared" si="129"/>
        <v>0</v>
      </c>
      <c r="I784" t="str">
        <f>IF($G784=0,"",IF(对账补充行!$B177=0,"",对账补充行!$B177))</f>
        <v/>
      </c>
      <c r="J784" t="str">
        <f>IF($G784=0,"",IF(对账补充行!$D177=0,"",对账补充行!$D177))</f>
        <v/>
      </c>
      <c r="K784" t="str">
        <f>IF($G784=0,"",IF(对账补充行!$E177=0,"",对账补充行!$E177))</f>
        <v/>
      </c>
      <c r="L784" t="str">
        <f>IF($G784=0,"",IF(对账补充行!$F177=0,"",对账补充行!$F177))</f>
        <v/>
      </c>
      <c r="M784" t="str">
        <f>IF($G784=0,"",IF(对账补充行!$G177=0,"",对账补充行!$G177))</f>
        <v/>
      </c>
      <c r="N784" t="str">
        <f>IF($G784=0,"",IF(对账补充行!$H177=0,"",对账补充行!$H177))</f>
        <v/>
      </c>
      <c r="O784" t="str">
        <f>IF($G784=0,"",IF(对账补充行!$I177=0,"",对账补充行!$I177))</f>
        <v/>
      </c>
      <c r="P784" t="str">
        <f>IF($G784=0,"",IF(对账补充行!$J177=0,"",对账补充行!$J177))</f>
        <v/>
      </c>
      <c r="T784" t="str">
        <f>IF(成本费用登记表!$D184="","",成本费用登记表!$D184)</f>
        <v/>
      </c>
      <c r="U784">
        <f t="shared" si="130"/>
        <v>0</v>
      </c>
      <c r="V784">
        <f t="shared" si="131"/>
        <v>0</v>
      </c>
    </row>
    <row r="785" spans="1:22">
      <c r="A785" t="str">
        <f>IF(资金日记账!$F483="","",资金日记账!$F483)</f>
        <v/>
      </c>
      <c r="B785">
        <f t="shared" si="127"/>
        <v>0</v>
      </c>
      <c r="C785">
        <f t="shared" si="128"/>
        <v>0</v>
      </c>
      <c r="G785">
        <f>IF(OR($G$1="",对账补充行!$C178="",对账补充行!$C178&lt;&gt;$G$1),0,IF(NOT(OR(N(对账补充行!$H178)&lt;&gt;0,N(对账补充行!$I178)&lt;&gt;0)),0,IF(对账补充行!$B178="",1,IF(OR(N(对账补充行!$B178)&lt;$H$1,N(对账补充行!$B178)&gt;$I$1),0,1))))</f>
        <v>0</v>
      </c>
      <c r="H785">
        <f t="shared" si="129"/>
        <v>0</v>
      </c>
      <c r="I785" t="str">
        <f>IF($G785=0,"",IF(对账补充行!$B178=0,"",对账补充行!$B178))</f>
        <v/>
      </c>
      <c r="J785" t="str">
        <f>IF($G785=0,"",IF(对账补充行!$D178=0,"",对账补充行!$D178))</f>
        <v/>
      </c>
      <c r="K785" t="str">
        <f>IF($G785=0,"",IF(对账补充行!$E178=0,"",对账补充行!$E178))</f>
        <v/>
      </c>
      <c r="L785" t="str">
        <f>IF($G785=0,"",IF(对账补充行!$F178=0,"",对账补充行!$F178))</f>
        <v/>
      </c>
      <c r="M785" t="str">
        <f>IF($G785=0,"",IF(对账补充行!$G178=0,"",对账补充行!$G178))</f>
        <v/>
      </c>
      <c r="N785" t="str">
        <f>IF($G785=0,"",IF(对账补充行!$H178=0,"",对账补充行!$H178))</f>
        <v/>
      </c>
      <c r="O785" t="str">
        <f>IF($G785=0,"",IF(对账补充行!$I178=0,"",对账补充行!$I178))</f>
        <v/>
      </c>
      <c r="P785" t="str">
        <f>IF($G785=0,"",IF(对账补充行!$J178=0,"",对账补充行!$J178))</f>
        <v/>
      </c>
      <c r="T785" t="str">
        <f>IF(成本费用登记表!$D185="","",成本费用登记表!$D185)</f>
        <v/>
      </c>
      <c r="U785">
        <f t="shared" si="130"/>
        <v>0</v>
      </c>
      <c r="V785">
        <f t="shared" si="131"/>
        <v>0</v>
      </c>
    </row>
    <row r="786" spans="1:22">
      <c r="A786" t="str">
        <f>IF(资金日记账!$F484="","",资金日记账!$F484)</f>
        <v/>
      </c>
      <c r="B786">
        <f t="shared" si="127"/>
        <v>0</v>
      </c>
      <c r="C786">
        <f t="shared" si="128"/>
        <v>0</v>
      </c>
      <c r="G786">
        <f>IF(OR($G$1="",对账补充行!$C179="",对账补充行!$C179&lt;&gt;$G$1),0,IF(NOT(OR(N(对账补充行!$H179)&lt;&gt;0,N(对账补充行!$I179)&lt;&gt;0)),0,IF(对账补充行!$B179="",1,IF(OR(N(对账补充行!$B179)&lt;$H$1,N(对账补充行!$B179)&gt;$I$1),0,1))))</f>
        <v>0</v>
      </c>
      <c r="H786">
        <f t="shared" si="129"/>
        <v>0</v>
      </c>
      <c r="I786" t="str">
        <f>IF($G786=0,"",IF(对账补充行!$B179=0,"",对账补充行!$B179))</f>
        <v/>
      </c>
      <c r="J786" t="str">
        <f>IF($G786=0,"",IF(对账补充行!$D179=0,"",对账补充行!$D179))</f>
        <v/>
      </c>
      <c r="K786" t="str">
        <f>IF($G786=0,"",IF(对账补充行!$E179=0,"",对账补充行!$E179))</f>
        <v/>
      </c>
      <c r="L786" t="str">
        <f>IF($G786=0,"",IF(对账补充行!$F179=0,"",对账补充行!$F179))</f>
        <v/>
      </c>
      <c r="M786" t="str">
        <f>IF($G786=0,"",IF(对账补充行!$G179=0,"",对账补充行!$G179))</f>
        <v/>
      </c>
      <c r="N786" t="str">
        <f>IF($G786=0,"",IF(对账补充行!$H179=0,"",对账补充行!$H179))</f>
        <v/>
      </c>
      <c r="O786" t="str">
        <f>IF($G786=0,"",IF(对账补充行!$I179=0,"",对账补充行!$I179))</f>
        <v/>
      </c>
      <c r="P786" t="str">
        <f>IF($G786=0,"",IF(对账补充行!$J179=0,"",对账补充行!$J179))</f>
        <v/>
      </c>
      <c r="T786" t="str">
        <f>IF(成本费用登记表!$D186="","",成本费用登记表!$D186)</f>
        <v/>
      </c>
      <c r="U786">
        <f t="shared" si="130"/>
        <v>0</v>
      </c>
      <c r="V786">
        <f t="shared" si="131"/>
        <v>0</v>
      </c>
    </row>
    <row r="787" spans="1:22">
      <c r="A787" t="str">
        <f>IF(资金日记账!$F485="","",资金日记账!$F485)</f>
        <v/>
      </c>
      <c r="B787">
        <f t="shared" si="127"/>
        <v>0</v>
      </c>
      <c r="C787">
        <f t="shared" si="128"/>
        <v>0</v>
      </c>
      <c r="G787">
        <f>IF(OR($G$1="",对账补充行!$C180="",对账补充行!$C180&lt;&gt;$G$1),0,IF(NOT(OR(N(对账补充行!$H180)&lt;&gt;0,N(对账补充行!$I180)&lt;&gt;0)),0,IF(对账补充行!$B180="",1,IF(OR(N(对账补充行!$B180)&lt;$H$1,N(对账补充行!$B180)&gt;$I$1),0,1))))</f>
        <v>0</v>
      </c>
      <c r="H787">
        <f t="shared" si="129"/>
        <v>0</v>
      </c>
      <c r="I787" t="str">
        <f>IF($G787=0,"",IF(对账补充行!$B180=0,"",对账补充行!$B180))</f>
        <v/>
      </c>
      <c r="J787" t="str">
        <f>IF($G787=0,"",IF(对账补充行!$D180=0,"",对账补充行!$D180))</f>
        <v/>
      </c>
      <c r="K787" t="str">
        <f>IF($G787=0,"",IF(对账补充行!$E180=0,"",对账补充行!$E180))</f>
        <v/>
      </c>
      <c r="L787" t="str">
        <f>IF($G787=0,"",IF(对账补充行!$F180=0,"",对账补充行!$F180))</f>
        <v/>
      </c>
      <c r="M787" t="str">
        <f>IF($G787=0,"",IF(对账补充行!$G180=0,"",对账补充行!$G180))</f>
        <v/>
      </c>
      <c r="N787" t="str">
        <f>IF($G787=0,"",IF(对账补充行!$H180=0,"",对账补充行!$H180))</f>
        <v/>
      </c>
      <c r="O787" t="str">
        <f>IF($G787=0,"",IF(对账补充行!$I180=0,"",对账补充行!$I180))</f>
        <v/>
      </c>
      <c r="P787" t="str">
        <f>IF($G787=0,"",IF(对账补充行!$J180=0,"",对账补充行!$J180))</f>
        <v/>
      </c>
      <c r="T787" t="str">
        <f>IF(成本费用登记表!$D187="","",成本费用登记表!$D187)</f>
        <v/>
      </c>
      <c r="U787">
        <f t="shared" si="130"/>
        <v>0</v>
      </c>
      <c r="V787">
        <f t="shared" si="131"/>
        <v>0</v>
      </c>
    </row>
    <row r="788" spans="1:22">
      <c r="A788" t="str">
        <f>IF(资金日记账!$F486="","",资金日记账!$F486)</f>
        <v/>
      </c>
      <c r="B788">
        <f t="shared" si="127"/>
        <v>0</v>
      </c>
      <c r="C788">
        <f t="shared" si="128"/>
        <v>0</v>
      </c>
      <c r="G788">
        <f>IF(OR($G$1="",对账补充行!$C181="",对账补充行!$C181&lt;&gt;$G$1),0,IF(NOT(OR(N(对账补充行!$H181)&lt;&gt;0,N(对账补充行!$I181)&lt;&gt;0)),0,IF(对账补充行!$B181="",1,IF(OR(N(对账补充行!$B181)&lt;$H$1,N(对账补充行!$B181)&gt;$I$1),0,1))))</f>
        <v>0</v>
      </c>
      <c r="H788">
        <f t="shared" si="129"/>
        <v>0</v>
      </c>
      <c r="I788" t="str">
        <f>IF($G788=0,"",IF(对账补充行!$B181=0,"",对账补充行!$B181))</f>
        <v/>
      </c>
      <c r="J788" t="str">
        <f>IF($G788=0,"",IF(对账补充行!$D181=0,"",对账补充行!$D181))</f>
        <v/>
      </c>
      <c r="K788" t="str">
        <f>IF($G788=0,"",IF(对账补充行!$E181=0,"",对账补充行!$E181))</f>
        <v/>
      </c>
      <c r="L788" t="str">
        <f>IF($G788=0,"",IF(对账补充行!$F181=0,"",对账补充行!$F181))</f>
        <v/>
      </c>
      <c r="M788" t="str">
        <f>IF($G788=0,"",IF(对账补充行!$G181=0,"",对账补充行!$G181))</f>
        <v/>
      </c>
      <c r="N788" t="str">
        <f>IF($G788=0,"",IF(对账补充行!$H181=0,"",对账补充行!$H181))</f>
        <v/>
      </c>
      <c r="O788" t="str">
        <f>IF($G788=0,"",IF(对账补充行!$I181=0,"",对账补充行!$I181))</f>
        <v/>
      </c>
      <c r="P788" t="str">
        <f>IF($G788=0,"",IF(对账补充行!$J181=0,"",对账补充行!$J181))</f>
        <v/>
      </c>
      <c r="T788" t="str">
        <f>IF(成本费用登记表!$D188="","",成本费用登记表!$D188)</f>
        <v/>
      </c>
      <c r="U788">
        <f t="shared" si="130"/>
        <v>0</v>
      </c>
      <c r="V788">
        <f t="shared" si="131"/>
        <v>0</v>
      </c>
    </row>
    <row r="789" spans="1:22">
      <c r="A789" t="str">
        <f>IF(资金日记账!$F487="","",资金日记账!$F487)</f>
        <v/>
      </c>
      <c r="B789">
        <f t="shared" si="127"/>
        <v>0</v>
      </c>
      <c r="C789">
        <f t="shared" si="128"/>
        <v>0</v>
      </c>
      <c r="G789">
        <f>IF(OR($G$1="",对账补充行!$C182="",对账补充行!$C182&lt;&gt;$G$1),0,IF(NOT(OR(N(对账补充行!$H182)&lt;&gt;0,N(对账补充行!$I182)&lt;&gt;0)),0,IF(对账补充行!$B182="",1,IF(OR(N(对账补充行!$B182)&lt;$H$1,N(对账补充行!$B182)&gt;$I$1),0,1))))</f>
        <v>0</v>
      </c>
      <c r="H789">
        <f t="shared" si="129"/>
        <v>0</v>
      </c>
      <c r="I789" t="str">
        <f>IF($G789=0,"",IF(对账补充行!$B182=0,"",对账补充行!$B182))</f>
        <v/>
      </c>
      <c r="J789" t="str">
        <f>IF($G789=0,"",IF(对账补充行!$D182=0,"",对账补充行!$D182))</f>
        <v/>
      </c>
      <c r="K789" t="str">
        <f>IF($G789=0,"",IF(对账补充行!$E182=0,"",对账补充行!$E182))</f>
        <v/>
      </c>
      <c r="L789" t="str">
        <f>IF($G789=0,"",IF(对账补充行!$F182=0,"",对账补充行!$F182))</f>
        <v/>
      </c>
      <c r="M789" t="str">
        <f>IF($G789=0,"",IF(对账补充行!$G182=0,"",对账补充行!$G182))</f>
        <v/>
      </c>
      <c r="N789" t="str">
        <f>IF($G789=0,"",IF(对账补充行!$H182=0,"",对账补充行!$H182))</f>
        <v/>
      </c>
      <c r="O789" t="str">
        <f>IF($G789=0,"",IF(对账补充行!$I182=0,"",对账补充行!$I182))</f>
        <v/>
      </c>
      <c r="P789" t="str">
        <f>IF($G789=0,"",IF(对账补充行!$J182=0,"",对账补充行!$J182))</f>
        <v/>
      </c>
      <c r="T789" t="str">
        <f>IF(成本费用登记表!$D189="","",成本费用登记表!$D189)</f>
        <v/>
      </c>
      <c r="U789">
        <f t="shared" si="130"/>
        <v>0</v>
      </c>
      <c r="V789">
        <f t="shared" si="131"/>
        <v>0</v>
      </c>
    </row>
    <row r="790" spans="1:22">
      <c r="A790" t="str">
        <f>IF(资金日记账!$F488="","",资金日记账!$F488)</f>
        <v/>
      </c>
      <c r="B790">
        <f t="shared" si="127"/>
        <v>0</v>
      </c>
      <c r="C790">
        <f t="shared" si="128"/>
        <v>0</v>
      </c>
      <c r="G790">
        <f>IF(OR($G$1="",对账补充行!$C183="",对账补充行!$C183&lt;&gt;$G$1),0,IF(NOT(OR(N(对账补充行!$H183)&lt;&gt;0,N(对账补充行!$I183)&lt;&gt;0)),0,IF(对账补充行!$B183="",1,IF(OR(N(对账补充行!$B183)&lt;$H$1,N(对账补充行!$B183)&gt;$I$1),0,1))))</f>
        <v>0</v>
      </c>
      <c r="H790">
        <f t="shared" si="129"/>
        <v>0</v>
      </c>
      <c r="I790" t="str">
        <f>IF($G790=0,"",IF(对账补充行!$B183=0,"",对账补充行!$B183))</f>
        <v/>
      </c>
      <c r="J790" t="str">
        <f>IF($G790=0,"",IF(对账补充行!$D183=0,"",对账补充行!$D183))</f>
        <v/>
      </c>
      <c r="K790" t="str">
        <f>IF($G790=0,"",IF(对账补充行!$E183=0,"",对账补充行!$E183))</f>
        <v/>
      </c>
      <c r="L790" t="str">
        <f>IF($G790=0,"",IF(对账补充行!$F183=0,"",对账补充行!$F183))</f>
        <v/>
      </c>
      <c r="M790" t="str">
        <f>IF($G790=0,"",IF(对账补充行!$G183=0,"",对账补充行!$G183))</f>
        <v/>
      </c>
      <c r="N790" t="str">
        <f>IF($G790=0,"",IF(对账补充行!$H183=0,"",对账补充行!$H183))</f>
        <v/>
      </c>
      <c r="O790" t="str">
        <f>IF($G790=0,"",IF(对账补充行!$I183=0,"",对账补充行!$I183))</f>
        <v/>
      </c>
      <c r="P790" t="str">
        <f>IF($G790=0,"",IF(对账补充行!$J183=0,"",对账补充行!$J183))</f>
        <v/>
      </c>
      <c r="T790" t="str">
        <f>IF(成本费用登记表!$D190="","",成本费用登记表!$D190)</f>
        <v/>
      </c>
      <c r="U790">
        <f t="shared" si="130"/>
        <v>0</v>
      </c>
      <c r="V790">
        <f t="shared" si="131"/>
        <v>0</v>
      </c>
    </row>
    <row r="791" spans="1:22">
      <c r="A791" t="str">
        <f>IF(资金日记账!$F489="","",资金日记账!$F489)</f>
        <v/>
      </c>
      <c r="B791">
        <f t="shared" si="127"/>
        <v>0</v>
      </c>
      <c r="C791">
        <f t="shared" si="128"/>
        <v>0</v>
      </c>
      <c r="G791">
        <f>IF(OR($G$1="",对账补充行!$C184="",对账补充行!$C184&lt;&gt;$G$1),0,IF(NOT(OR(N(对账补充行!$H184)&lt;&gt;0,N(对账补充行!$I184)&lt;&gt;0)),0,IF(对账补充行!$B184="",1,IF(OR(N(对账补充行!$B184)&lt;$H$1,N(对账补充行!$B184)&gt;$I$1),0,1))))</f>
        <v>0</v>
      </c>
      <c r="H791">
        <f t="shared" si="129"/>
        <v>0</v>
      </c>
      <c r="I791" t="str">
        <f>IF($G791=0,"",IF(对账补充行!$B184=0,"",对账补充行!$B184))</f>
        <v/>
      </c>
      <c r="J791" t="str">
        <f>IF($G791=0,"",IF(对账补充行!$D184=0,"",对账补充行!$D184))</f>
        <v/>
      </c>
      <c r="K791" t="str">
        <f>IF($G791=0,"",IF(对账补充行!$E184=0,"",对账补充行!$E184))</f>
        <v/>
      </c>
      <c r="L791" t="str">
        <f>IF($G791=0,"",IF(对账补充行!$F184=0,"",对账补充行!$F184))</f>
        <v/>
      </c>
      <c r="M791" t="str">
        <f>IF($G791=0,"",IF(对账补充行!$G184=0,"",对账补充行!$G184))</f>
        <v/>
      </c>
      <c r="N791" t="str">
        <f>IF($G791=0,"",IF(对账补充行!$H184=0,"",对账补充行!$H184))</f>
        <v/>
      </c>
      <c r="O791" t="str">
        <f>IF($G791=0,"",IF(对账补充行!$I184=0,"",对账补充行!$I184))</f>
        <v/>
      </c>
      <c r="P791" t="str">
        <f>IF($G791=0,"",IF(对账补充行!$J184=0,"",对账补充行!$J184))</f>
        <v/>
      </c>
      <c r="T791" t="str">
        <f>IF(成本费用登记表!$D191="","",成本费用登记表!$D191)</f>
        <v/>
      </c>
      <c r="U791">
        <f t="shared" si="130"/>
        <v>0</v>
      </c>
      <c r="V791">
        <f t="shared" si="131"/>
        <v>0</v>
      </c>
    </row>
    <row r="792" spans="1:22">
      <c r="A792" t="str">
        <f>IF(资金日记账!$F490="","",资金日记账!$F490)</f>
        <v/>
      </c>
      <c r="B792">
        <f t="shared" si="127"/>
        <v>0</v>
      </c>
      <c r="C792">
        <f t="shared" si="128"/>
        <v>0</v>
      </c>
      <c r="G792">
        <f>IF(OR($G$1="",对账补充行!$C185="",对账补充行!$C185&lt;&gt;$G$1),0,IF(NOT(OR(N(对账补充行!$H185)&lt;&gt;0,N(对账补充行!$I185)&lt;&gt;0)),0,IF(对账补充行!$B185="",1,IF(OR(N(对账补充行!$B185)&lt;$H$1,N(对账补充行!$B185)&gt;$I$1),0,1))))</f>
        <v>0</v>
      </c>
      <c r="H792">
        <f t="shared" si="129"/>
        <v>0</v>
      </c>
      <c r="I792" t="str">
        <f>IF($G792=0,"",IF(对账补充行!$B185=0,"",对账补充行!$B185))</f>
        <v/>
      </c>
      <c r="J792" t="str">
        <f>IF($G792=0,"",IF(对账补充行!$D185=0,"",对账补充行!$D185))</f>
        <v/>
      </c>
      <c r="K792" t="str">
        <f>IF($G792=0,"",IF(对账补充行!$E185=0,"",对账补充行!$E185))</f>
        <v/>
      </c>
      <c r="L792" t="str">
        <f>IF($G792=0,"",IF(对账补充行!$F185=0,"",对账补充行!$F185))</f>
        <v/>
      </c>
      <c r="M792" t="str">
        <f>IF($G792=0,"",IF(对账补充行!$G185=0,"",对账补充行!$G185))</f>
        <v/>
      </c>
      <c r="N792" t="str">
        <f>IF($G792=0,"",IF(对账补充行!$H185=0,"",对账补充行!$H185))</f>
        <v/>
      </c>
      <c r="O792" t="str">
        <f>IF($G792=0,"",IF(对账补充行!$I185=0,"",对账补充行!$I185))</f>
        <v/>
      </c>
      <c r="P792" t="str">
        <f>IF($G792=0,"",IF(对账补充行!$J185=0,"",对账补充行!$J185))</f>
        <v/>
      </c>
      <c r="T792" t="str">
        <f>IF(成本费用登记表!$D192="","",成本费用登记表!$D192)</f>
        <v/>
      </c>
      <c r="U792">
        <f t="shared" si="130"/>
        <v>0</v>
      </c>
      <c r="V792">
        <f t="shared" si="131"/>
        <v>0</v>
      </c>
    </row>
    <row r="793" spans="1:22">
      <c r="A793" t="str">
        <f>IF(资金日记账!$F491="","",资金日记账!$F491)</f>
        <v/>
      </c>
      <c r="B793">
        <f t="shared" si="127"/>
        <v>0</v>
      </c>
      <c r="C793">
        <f t="shared" si="128"/>
        <v>0</v>
      </c>
      <c r="G793">
        <f>IF(OR($G$1="",对账补充行!$C186="",对账补充行!$C186&lt;&gt;$G$1),0,IF(NOT(OR(N(对账补充行!$H186)&lt;&gt;0,N(对账补充行!$I186)&lt;&gt;0)),0,IF(对账补充行!$B186="",1,IF(OR(N(对账补充行!$B186)&lt;$H$1,N(对账补充行!$B186)&gt;$I$1),0,1))))</f>
        <v>0</v>
      </c>
      <c r="H793">
        <f t="shared" si="129"/>
        <v>0</v>
      </c>
      <c r="I793" t="str">
        <f>IF($G793=0,"",IF(对账补充行!$B186=0,"",对账补充行!$B186))</f>
        <v/>
      </c>
      <c r="J793" t="str">
        <f>IF($G793=0,"",IF(对账补充行!$D186=0,"",对账补充行!$D186))</f>
        <v/>
      </c>
      <c r="K793" t="str">
        <f>IF($G793=0,"",IF(对账补充行!$E186=0,"",对账补充行!$E186))</f>
        <v/>
      </c>
      <c r="L793" t="str">
        <f>IF($G793=0,"",IF(对账补充行!$F186=0,"",对账补充行!$F186))</f>
        <v/>
      </c>
      <c r="M793" t="str">
        <f>IF($G793=0,"",IF(对账补充行!$G186=0,"",对账补充行!$G186))</f>
        <v/>
      </c>
      <c r="N793" t="str">
        <f>IF($G793=0,"",IF(对账补充行!$H186=0,"",对账补充行!$H186))</f>
        <v/>
      </c>
      <c r="O793" t="str">
        <f>IF($G793=0,"",IF(对账补充行!$I186=0,"",对账补充行!$I186))</f>
        <v/>
      </c>
      <c r="P793" t="str">
        <f>IF($G793=0,"",IF(对账补充行!$J186=0,"",对账补充行!$J186))</f>
        <v/>
      </c>
      <c r="T793" t="str">
        <f>IF(成本费用登记表!$D193="","",成本费用登记表!$D193)</f>
        <v/>
      </c>
      <c r="U793">
        <f t="shared" si="130"/>
        <v>0</v>
      </c>
      <c r="V793">
        <f t="shared" si="131"/>
        <v>0</v>
      </c>
    </row>
    <row r="794" spans="1:22">
      <c r="A794" t="str">
        <f>IF(资金日记账!$F492="","",资金日记账!$F492)</f>
        <v/>
      </c>
      <c r="B794">
        <f t="shared" si="127"/>
        <v>0</v>
      </c>
      <c r="C794">
        <f t="shared" si="128"/>
        <v>0</v>
      </c>
      <c r="G794">
        <f>IF(OR($G$1="",对账补充行!$C187="",对账补充行!$C187&lt;&gt;$G$1),0,IF(NOT(OR(N(对账补充行!$H187)&lt;&gt;0,N(对账补充行!$I187)&lt;&gt;0)),0,IF(对账补充行!$B187="",1,IF(OR(N(对账补充行!$B187)&lt;$H$1,N(对账补充行!$B187)&gt;$I$1),0,1))))</f>
        <v>0</v>
      </c>
      <c r="H794">
        <f t="shared" si="129"/>
        <v>0</v>
      </c>
      <c r="I794" t="str">
        <f>IF($G794=0,"",IF(对账补充行!$B187=0,"",对账补充行!$B187))</f>
        <v/>
      </c>
      <c r="J794" t="str">
        <f>IF($G794=0,"",IF(对账补充行!$D187=0,"",对账补充行!$D187))</f>
        <v/>
      </c>
      <c r="K794" t="str">
        <f>IF($G794=0,"",IF(对账补充行!$E187=0,"",对账补充行!$E187))</f>
        <v/>
      </c>
      <c r="L794" t="str">
        <f>IF($G794=0,"",IF(对账补充行!$F187=0,"",对账补充行!$F187))</f>
        <v/>
      </c>
      <c r="M794" t="str">
        <f>IF($G794=0,"",IF(对账补充行!$G187=0,"",对账补充行!$G187))</f>
        <v/>
      </c>
      <c r="N794" t="str">
        <f>IF($G794=0,"",IF(对账补充行!$H187=0,"",对账补充行!$H187))</f>
        <v/>
      </c>
      <c r="O794" t="str">
        <f>IF($G794=0,"",IF(对账补充行!$I187=0,"",对账补充行!$I187))</f>
        <v/>
      </c>
      <c r="P794" t="str">
        <f>IF($G794=0,"",IF(对账补充行!$J187=0,"",对账补充行!$J187))</f>
        <v/>
      </c>
      <c r="T794" t="str">
        <f>IF(成本费用登记表!$D194="","",成本费用登记表!$D194)</f>
        <v/>
      </c>
      <c r="U794">
        <f t="shared" si="130"/>
        <v>0</v>
      </c>
      <c r="V794">
        <f t="shared" si="131"/>
        <v>0</v>
      </c>
    </row>
    <row r="795" spans="1:22">
      <c r="A795" t="str">
        <f>IF(资金日记账!$F493="","",资金日记账!$F493)</f>
        <v/>
      </c>
      <c r="B795">
        <f t="shared" si="127"/>
        <v>0</v>
      </c>
      <c r="C795">
        <f t="shared" si="128"/>
        <v>0</v>
      </c>
      <c r="G795">
        <f>IF(OR($G$1="",对账补充行!$C188="",对账补充行!$C188&lt;&gt;$G$1),0,IF(NOT(OR(N(对账补充行!$H188)&lt;&gt;0,N(对账补充行!$I188)&lt;&gt;0)),0,IF(对账补充行!$B188="",1,IF(OR(N(对账补充行!$B188)&lt;$H$1,N(对账补充行!$B188)&gt;$I$1),0,1))))</f>
        <v>0</v>
      </c>
      <c r="H795">
        <f t="shared" si="129"/>
        <v>0</v>
      </c>
      <c r="I795" t="str">
        <f>IF($G795=0,"",IF(对账补充行!$B188=0,"",对账补充行!$B188))</f>
        <v/>
      </c>
      <c r="J795" t="str">
        <f>IF($G795=0,"",IF(对账补充行!$D188=0,"",对账补充行!$D188))</f>
        <v/>
      </c>
      <c r="K795" t="str">
        <f>IF($G795=0,"",IF(对账补充行!$E188=0,"",对账补充行!$E188))</f>
        <v/>
      </c>
      <c r="L795" t="str">
        <f>IF($G795=0,"",IF(对账补充行!$F188=0,"",对账补充行!$F188))</f>
        <v/>
      </c>
      <c r="M795" t="str">
        <f>IF($G795=0,"",IF(对账补充行!$G188=0,"",对账补充行!$G188))</f>
        <v/>
      </c>
      <c r="N795" t="str">
        <f>IF($G795=0,"",IF(对账补充行!$H188=0,"",对账补充行!$H188))</f>
        <v/>
      </c>
      <c r="O795" t="str">
        <f>IF($G795=0,"",IF(对账补充行!$I188=0,"",对账补充行!$I188))</f>
        <v/>
      </c>
      <c r="P795" t="str">
        <f>IF($G795=0,"",IF(对账补充行!$J188=0,"",对账补充行!$J188))</f>
        <v/>
      </c>
      <c r="T795" t="str">
        <f>IF(成本费用登记表!$D195="","",成本费用登记表!$D195)</f>
        <v/>
      </c>
      <c r="U795">
        <f t="shared" si="130"/>
        <v>0</v>
      </c>
      <c r="V795">
        <f t="shared" si="131"/>
        <v>0</v>
      </c>
    </row>
    <row r="796" spans="1:22">
      <c r="A796" t="str">
        <f>IF(资金日记账!$F494="","",资金日记账!$F494)</f>
        <v/>
      </c>
      <c r="B796">
        <f t="shared" si="127"/>
        <v>0</v>
      </c>
      <c r="C796">
        <f t="shared" si="128"/>
        <v>0</v>
      </c>
      <c r="G796">
        <f>IF(OR($G$1="",对账补充行!$C189="",对账补充行!$C189&lt;&gt;$G$1),0,IF(NOT(OR(N(对账补充行!$H189)&lt;&gt;0,N(对账补充行!$I189)&lt;&gt;0)),0,IF(对账补充行!$B189="",1,IF(OR(N(对账补充行!$B189)&lt;$H$1,N(对账补充行!$B189)&gt;$I$1),0,1))))</f>
        <v>0</v>
      </c>
      <c r="H796">
        <f t="shared" si="129"/>
        <v>0</v>
      </c>
      <c r="I796" t="str">
        <f>IF($G796=0,"",IF(对账补充行!$B189=0,"",对账补充行!$B189))</f>
        <v/>
      </c>
      <c r="J796" t="str">
        <f>IF($G796=0,"",IF(对账补充行!$D189=0,"",对账补充行!$D189))</f>
        <v/>
      </c>
      <c r="K796" t="str">
        <f>IF($G796=0,"",IF(对账补充行!$E189=0,"",对账补充行!$E189))</f>
        <v/>
      </c>
      <c r="L796" t="str">
        <f>IF($G796=0,"",IF(对账补充行!$F189=0,"",对账补充行!$F189))</f>
        <v/>
      </c>
      <c r="M796" t="str">
        <f>IF($G796=0,"",IF(对账补充行!$G189=0,"",对账补充行!$G189))</f>
        <v/>
      </c>
      <c r="N796" t="str">
        <f>IF($G796=0,"",IF(对账补充行!$H189=0,"",对账补充行!$H189))</f>
        <v/>
      </c>
      <c r="O796" t="str">
        <f>IF($G796=0,"",IF(对账补充行!$I189=0,"",对账补充行!$I189))</f>
        <v/>
      </c>
      <c r="P796" t="str">
        <f>IF($G796=0,"",IF(对账补充行!$J189=0,"",对账补充行!$J189))</f>
        <v/>
      </c>
      <c r="T796" t="str">
        <f>IF(成本费用登记表!$D196="","",成本费用登记表!$D196)</f>
        <v/>
      </c>
      <c r="U796">
        <f t="shared" si="130"/>
        <v>0</v>
      </c>
      <c r="V796">
        <f t="shared" si="131"/>
        <v>0</v>
      </c>
    </row>
    <row r="797" spans="1:22">
      <c r="A797" t="str">
        <f>IF(资金日记账!$F495="","",资金日记账!$F495)</f>
        <v/>
      </c>
      <c r="B797">
        <f t="shared" si="127"/>
        <v>0</v>
      </c>
      <c r="C797">
        <f t="shared" si="128"/>
        <v>0</v>
      </c>
      <c r="G797">
        <f>IF(OR($G$1="",对账补充行!$C190="",对账补充行!$C190&lt;&gt;$G$1),0,IF(NOT(OR(N(对账补充行!$H190)&lt;&gt;0,N(对账补充行!$I190)&lt;&gt;0)),0,IF(对账补充行!$B190="",1,IF(OR(N(对账补充行!$B190)&lt;$H$1,N(对账补充行!$B190)&gt;$I$1),0,1))))</f>
        <v>0</v>
      </c>
      <c r="H797">
        <f t="shared" si="129"/>
        <v>0</v>
      </c>
      <c r="I797" t="str">
        <f>IF($G797=0,"",IF(对账补充行!$B190=0,"",对账补充行!$B190))</f>
        <v/>
      </c>
      <c r="J797" t="str">
        <f>IF($G797=0,"",IF(对账补充行!$D190=0,"",对账补充行!$D190))</f>
        <v/>
      </c>
      <c r="K797" t="str">
        <f>IF($G797=0,"",IF(对账补充行!$E190=0,"",对账补充行!$E190))</f>
        <v/>
      </c>
      <c r="L797" t="str">
        <f>IF($G797=0,"",IF(对账补充行!$F190=0,"",对账补充行!$F190))</f>
        <v/>
      </c>
      <c r="M797" t="str">
        <f>IF($G797=0,"",IF(对账补充行!$G190=0,"",对账补充行!$G190))</f>
        <v/>
      </c>
      <c r="N797" t="str">
        <f>IF($G797=0,"",IF(对账补充行!$H190=0,"",对账补充行!$H190))</f>
        <v/>
      </c>
      <c r="O797" t="str">
        <f>IF($G797=0,"",IF(对账补充行!$I190=0,"",对账补充行!$I190))</f>
        <v/>
      </c>
      <c r="P797" t="str">
        <f>IF($G797=0,"",IF(对账补充行!$J190=0,"",对账补充行!$J190))</f>
        <v/>
      </c>
      <c r="T797" t="str">
        <f>IF(成本费用登记表!$D197="","",成本费用登记表!$D197)</f>
        <v/>
      </c>
      <c r="U797">
        <f t="shared" si="130"/>
        <v>0</v>
      </c>
      <c r="V797">
        <f t="shared" si="131"/>
        <v>0</v>
      </c>
    </row>
    <row r="798" spans="1:22">
      <c r="A798" t="str">
        <f>IF(资金日记账!$F496="","",资金日记账!$F496)</f>
        <v/>
      </c>
      <c r="B798">
        <f t="shared" si="127"/>
        <v>0</v>
      </c>
      <c r="C798">
        <f t="shared" si="128"/>
        <v>0</v>
      </c>
      <c r="G798">
        <f>IF(OR($G$1="",对账补充行!$C191="",对账补充行!$C191&lt;&gt;$G$1),0,IF(NOT(OR(N(对账补充行!$H191)&lt;&gt;0,N(对账补充行!$I191)&lt;&gt;0)),0,IF(对账补充行!$B191="",1,IF(OR(N(对账补充行!$B191)&lt;$H$1,N(对账补充行!$B191)&gt;$I$1),0,1))))</f>
        <v>0</v>
      </c>
      <c r="H798">
        <f t="shared" si="129"/>
        <v>0</v>
      </c>
      <c r="I798" t="str">
        <f>IF($G798=0,"",IF(对账补充行!$B191=0,"",对账补充行!$B191))</f>
        <v/>
      </c>
      <c r="J798" t="str">
        <f>IF($G798=0,"",IF(对账补充行!$D191=0,"",对账补充行!$D191))</f>
        <v/>
      </c>
      <c r="K798" t="str">
        <f>IF($G798=0,"",IF(对账补充行!$E191=0,"",对账补充行!$E191))</f>
        <v/>
      </c>
      <c r="L798" t="str">
        <f>IF($G798=0,"",IF(对账补充行!$F191=0,"",对账补充行!$F191))</f>
        <v/>
      </c>
      <c r="M798" t="str">
        <f>IF($G798=0,"",IF(对账补充行!$G191=0,"",对账补充行!$G191))</f>
        <v/>
      </c>
      <c r="N798" t="str">
        <f>IF($G798=0,"",IF(对账补充行!$H191=0,"",对账补充行!$H191))</f>
        <v/>
      </c>
      <c r="O798" t="str">
        <f>IF($G798=0,"",IF(对账补充行!$I191=0,"",对账补充行!$I191))</f>
        <v/>
      </c>
      <c r="P798" t="str">
        <f>IF($G798=0,"",IF(对账补充行!$J191=0,"",对账补充行!$J191))</f>
        <v/>
      </c>
      <c r="T798" t="str">
        <f>IF(成本费用登记表!$D198="","",成本费用登记表!$D198)</f>
        <v/>
      </c>
      <c r="U798">
        <f t="shared" si="130"/>
        <v>0</v>
      </c>
      <c r="V798">
        <f t="shared" si="131"/>
        <v>0</v>
      </c>
    </row>
    <row r="799" spans="1:22">
      <c r="A799" t="str">
        <f>IF(资金日记账!$F497="","",资金日记账!$F497)</f>
        <v/>
      </c>
      <c r="B799">
        <f t="shared" si="127"/>
        <v>0</v>
      </c>
      <c r="C799">
        <f t="shared" si="128"/>
        <v>0</v>
      </c>
      <c r="G799">
        <f>IF(OR($G$1="",对账补充行!$C192="",对账补充行!$C192&lt;&gt;$G$1),0,IF(NOT(OR(N(对账补充行!$H192)&lt;&gt;0,N(对账补充行!$I192)&lt;&gt;0)),0,IF(对账补充行!$B192="",1,IF(OR(N(对账补充行!$B192)&lt;$H$1,N(对账补充行!$B192)&gt;$I$1),0,1))))</f>
        <v>0</v>
      </c>
      <c r="H799">
        <f t="shared" si="129"/>
        <v>0</v>
      </c>
      <c r="I799" t="str">
        <f>IF($G799=0,"",IF(对账补充行!$B192=0,"",对账补充行!$B192))</f>
        <v/>
      </c>
      <c r="J799" t="str">
        <f>IF($G799=0,"",IF(对账补充行!$D192=0,"",对账补充行!$D192))</f>
        <v/>
      </c>
      <c r="K799" t="str">
        <f>IF($G799=0,"",IF(对账补充行!$E192=0,"",对账补充行!$E192))</f>
        <v/>
      </c>
      <c r="L799" t="str">
        <f>IF($G799=0,"",IF(对账补充行!$F192=0,"",对账补充行!$F192))</f>
        <v/>
      </c>
      <c r="M799" t="str">
        <f>IF($G799=0,"",IF(对账补充行!$G192=0,"",对账补充行!$G192))</f>
        <v/>
      </c>
      <c r="N799" t="str">
        <f>IF($G799=0,"",IF(对账补充行!$H192=0,"",对账补充行!$H192))</f>
        <v/>
      </c>
      <c r="O799" t="str">
        <f>IF($G799=0,"",IF(对账补充行!$I192=0,"",对账补充行!$I192))</f>
        <v/>
      </c>
      <c r="P799" t="str">
        <f>IF($G799=0,"",IF(对账补充行!$J192=0,"",对账补充行!$J192))</f>
        <v/>
      </c>
      <c r="T799" t="str">
        <f>IF(成本费用登记表!$D199="","",成本费用登记表!$D199)</f>
        <v/>
      </c>
      <c r="U799">
        <f t="shared" si="130"/>
        <v>0</v>
      </c>
      <c r="V799">
        <f t="shared" si="131"/>
        <v>0</v>
      </c>
    </row>
    <row r="800" spans="1:22">
      <c r="A800" t="str">
        <f>IF(资金日记账!$F498="","",资金日记账!$F498)</f>
        <v/>
      </c>
      <c r="B800">
        <f t="shared" si="127"/>
        <v>0</v>
      </c>
      <c r="C800">
        <f t="shared" si="128"/>
        <v>0</v>
      </c>
      <c r="G800">
        <f>IF(OR($G$1="",对账补充行!$C193="",对账补充行!$C193&lt;&gt;$G$1),0,IF(NOT(OR(N(对账补充行!$H193)&lt;&gt;0,N(对账补充行!$I193)&lt;&gt;0)),0,IF(对账补充行!$B193="",1,IF(OR(N(对账补充行!$B193)&lt;$H$1,N(对账补充行!$B193)&gt;$I$1),0,1))))</f>
        <v>0</v>
      </c>
      <c r="H800">
        <f t="shared" si="129"/>
        <v>0</v>
      </c>
      <c r="I800" t="str">
        <f>IF($G800=0,"",IF(对账补充行!$B193=0,"",对账补充行!$B193))</f>
        <v/>
      </c>
      <c r="J800" t="str">
        <f>IF($G800=0,"",IF(对账补充行!$D193=0,"",对账补充行!$D193))</f>
        <v/>
      </c>
      <c r="K800" t="str">
        <f>IF($G800=0,"",IF(对账补充行!$E193=0,"",对账补充行!$E193))</f>
        <v/>
      </c>
      <c r="L800" t="str">
        <f>IF($G800=0,"",IF(对账补充行!$F193=0,"",对账补充行!$F193))</f>
        <v/>
      </c>
      <c r="M800" t="str">
        <f>IF($G800=0,"",IF(对账补充行!$G193=0,"",对账补充行!$G193))</f>
        <v/>
      </c>
      <c r="N800" t="str">
        <f>IF($G800=0,"",IF(对账补充行!$H193=0,"",对账补充行!$H193))</f>
        <v/>
      </c>
      <c r="O800" t="str">
        <f>IF($G800=0,"",IF(对账补充行!$I193=0,"",对账补充行!$I193))</f>
        <v/>
      </c>
      <c r="P800" t="str">
        <f>IF($G800=0,"",IF(对账补充行!$J193=0,"",对账补充行!$J193))</f>
        <v/>
      </c>
      <c r="T800" t="str">
        <f>IF(成本费用登记表!$D200="","",成本费用登记表!$D200)</f>
        <v/>
      </c>
      <c r="U800">
        <f t="shared" si="130"/>
        <v>0</v>
      </c>
      <c r="V800">
        <f t="shared" si="131"/>
        <v>0</v>
      </c>
    </row>
    <row r="801" spans="1:22">
      <c r="A801" t="str">
        <f>IF(资金日记账!$F499="","",资金日记账!$F499)</f>
        <v/>
      </c>
      <c r="B801">
        <f t="shared" si="127"/>
        <v>0</v>
      </c>
      <c r="C801">
        <f t="shared" si="128"/>
        <v>0</v>
      </c>
      <c r="G801">
        <f>IF(OR($G$1="",对账补充行!$C194="",对账补充行!$C194&lt;&gt;$G$1),0,IF(NOT(OR(N(对账补充行!$H194)&lt;&gt;0,N(对账补充行!$I194)&lt;&gt;0)),0,IF(对账补充行!$B194="",1,IF(OR(N(对账补充行!$B194)&lt;$H$1,N(对账补充行!$B194)&gt;$I$1),0,1))))</f>
        <v>0</v>
      </c>
      <c r="H801">
        <f t="shared" si="129"/>
        <v>0</v>
      </c>
      <c r="I801" t="str">
        <f>IF($G801=0,"",IF(对账补充行!$B194=0,"",对账补充行!$B194))</f>
        <v/>
      </c>
      <c r="J801" t="str">
        <f>IF($G801=0,"",IF(对账补充行!$D194=0,"",对账补充行!$D194))</f>
        <v/>
      </c>
      <c r="K801" t="str">
        <f>IF($G801=0,"",IF(对账补充行!$E194=0,"",对账补充行!$E194))</f>
        <v/>
      </c>
      <c r="L801" t="str">
        <f>IF($G801=0,"",IF(对账补充行!$F194=0,"",对账补充行!$F194))</f>
        <v/>
      </c>
      <c r="M801" t="str">
        <f>IF($G801=0,"",IF(对账补充行!$G194=0,"",对账补充行!$G194))</f>
        <v/>
      </c>
      <c r="N801" t="str">
        <f>IF($G801=0,"",IF(对账补充行!$H194=0,"",对账补充行!$H194))</f>
        <v/>
      </c>
      <c r="O801" t="str">
        <f>IF($G801=0,"",IF(对账补充行!$I194=0,"",对账补充行!$I194))</f>
        <v/>
      </c>
      <c r="P801" t="str">
        <f>IF($G801=0,"",IF(对账补充行!$J194=0,"",对账补充行!$J194))</f>
        <v/>
      </c>
      <c r="T801" t="str">
        <f>IF(成本费用登记表!$D201="","",成本费用登记表!$D201)</f>
        <v/>
      </c>
      <c r="U801">
        <f t="shared" si="130"/>
        <v>0</v>
      </c>
      <c r="V801">
        <f t="shared" si="131"/>
        <v>0</v>
      </c>
    </row>
    <row r="802" spans="1:22">
      <c r="A802" t="str">
        <f>IF(资金日记账!$F500="","",资金日记账!$F500)</f>
        <v/>
      </c>
      <c r="B802">
        <f t="shared" si="127"/>
        <v>0</v>
      </c>
      <c r="C802">
        <f t="shared" si="128"/>
        <v>0</v>
      </c>
      <c r="G802">
        <f>IF(OR($G$1="",对账补充行!$C195="",对账补充行!$C195&lt;&gt;$G$1),0,IF(NOT(OR(N(对账补充行!$H195)&lt;&gt;0,N(对账补充行!$I195)&lt;&gt;0)),0,IF(对账补充行!$B195="",1,IF(OR(N(对账补充行!$B195)&lt;$H$1,N(对账补充行!$B195)&gt;$I$1),0,1))))</f>
        <v>0</v>
      </c>
      <c r="H802">
        <f t="shared" si="129"/>
        <v>0</v>
      </c>
      <c r="I802" t="str">
        <f>IF($G802=0,"",IF(对账补充行!$B195=0,"",对账补充行!$B195))</f>
        <v/>
      </c>
      <c r="J802" t="str">
        <f>IF($G802=0,"",IF(对账补充行!$D195=0,"",对账补充行!$D195))</f>
        <v/>
      </c>
      <c r="K802" t="str">
        <f>IF($G802=0,"",IF(对账补充行!$E195=0,"",对账补充行!$E195))</f>
        <v/>
      </c>
      <c r="L802" t="str">
        <f>IF($G802=0,"",IF(对账补充行!$F195=0,"",对账补充行!$F195))</f>
        <v/>
      </c>
      <c r="M802" t="str">
        <f>IF($G802=0,"",IF(对账补充行!$G195=0,"",对账补充行!$G195))</f>
        <v/>
      </c>
      <c r="N802" t="str">
        <f>IF($G802=0,"",IF(对账补充行!$H195=0,"",对账补充行!$H195))</f>
        <v/>
      </c>
      <c r="O802" t="str">
        <f>IF($G802=0,"",IF(对账补充行!$I195=0,"",对账补充行!$I195))</f>
        <v/>
      </c>
      <c r="P802" t="str">
        <f>IF($G802=0,"",IF(对账补充行!$J195=0,"",对账补充行!$J195))</f>
        <v/>
      </c>
      <c r="T802" t="str">
        <f>IF(成本费用登记表!$D202="","",成本费用登记表!$D202)</f>
        <v/>
      </c>
      <c r="U802">
        <f t="shared" si="130"/>
        <v>0</v>
      </c>
      <c r="V802">
        <f t="shared" si="131"/>
        <v>0</v>
      </c>
    </row>
    <row r="803" spans="1:22">
      <c r="A803" t="str">
        <f>IF(资金日记账!$F501="","",资金日记账!$F501)</f>
        <v/>
      </c>
      <c r="B803">
        <f t="shared" si="127"/>
        <v>0</v>
      </c>
      <c r="C803">
        <f t="shared" si="128"/>
        <v>0</v>
      </c>
      <c r="G803">
        <f>IF(OR($G$1="",对账补充行!$C196="",对账补充行!$C196&lt;&gt;$G$1),0,IF(NOT(OR(N(对账补充行!$H196)&lt;&gt;0,N(对账补充行!$I196)&lt;&gt;0)),0,IF(对账补充行!$B196="",1,IF(OR(N(对账补充行!$B196)&lt;$H$1,N(对账补充行!$B196)&gt;$I$1),0,1))))</f>
        <v>0</v>
      </c>
      <c r="H803">
        <f t="shared" si="129"/>
        <v>0</v>
      </c>
      <c r="I803" t="str">
        <f>IF($G803=0,"",IF(对账补充行!$B196=0,"",对账补充行!$B196))</f>
        <v/>
      </c>
      <c r="J803" t="str">
        <f>IF($G803=0,"",IF(对账补充行!$D196=0,"",对账补充行!$D196))</f>
        <v/>
      </c>
      <c r="K803" t="str">
        <f>IF($G803=0,"",IF(对账补充行!$E196=0,"",对账补充行!$E196))</f>
        <v/>
      </c>
      <c r="L803" t="str">
        <f>IF($G803=0,"",IF(对账补充行!$F196=0,"",对账补充行!$F196))</f>
        <v/>
      </c>
      <c r="M803" t="str">
        <f>IF($G803=0,"",IF(对账补充行!$G196=0,"",对账补充行!$G196))</f>
        <v/>
      </c>
      <c r="N803" t="str">
        <f>IF($G803=0,"",IF(对账补充行!$H196=0,"",对账补充行!$H196))</f>
        <v/>
      </c>
      <c r="O803" t="str">
        <f>IF($G803=0,"",IF(对账补充行!$I196=0,"",对账补充行!$I196))</f>
        <v/>
      </c>
      <c r="P803" t="str">
        <f>IF($G803=0,"",IF(对账补充行!$J196=0,"",对账补充行!$J196))</f>
        <v/>
      </c>
      <c r="T803" t="str">
        <f>IF(成本费用登记表!$D203="","",成本费用登记表!$D203)</f>
        <v/>
      </c>
      <c r="U803">
        <f t="shared" si="130"/>
        <v>0</v>
      </c>
      <c r="V803">
        <f t="shared" si="131"/>
        <v>0</v>
      </c>
    </row>
    <row r="804" spans="1:22">
      <c r="A804" t="str">
        <f>IF(资金日记账!$F502="","",资金日记账!$F502)</f>
        <v/>
      </c>
      <c r="B804">
        <f t="shared" si="127"/>
        <v>0</v>
      </c>
      <c r="C804">
        <f t="shared" si="128"/>
        <v>0</v>
      </c>
      <c r="G804">
        <f>IF(OR($G$1="",对账补充行!$C197="",对账补充行!$C197&lt;&gt;$G$1),0,IF(NOT(OR(N(对账补充行!$H197)&lt;&gt;0,N(对账补充行!$I197)&lt;&gt;0)),0,IF(对账补充行!$B197="",1,IF(OR(N(对账补充行!$B197)&lt;$H$1,N(对账补充行!$B197)&gt;$I$1),0,1))))</f>
        <v>0</v>
      </c>
      <c r="H804">
        <f t="shared" si="129"/>
        <v>0</v>
      </c>
      <c r="I804" t="str">
        <f>IF($G804=0,"",IF(对账补充行!$B197=0,"",对账补充行!$B197))</f>
        <v/>
      </c>
      <c r="J804" t="str">
        <f>IF($G804=0,"",IF(对账补充行!$D197=0,"",对账补充行!$D197))</f>
        <v/>
      </c>
      <c r="K804" t="str">
        <f>IF($G804=0,"",IF(对账补充行!$E197=0,"",对账补充行!$E197))</f>
        <v/>
      </c>
      <c r="L804" t="str">
        <f>IF($G804=0,"",IF(对账补充行!$F197=0,"",对账补充行!$F197))</f>
        <v/>
      </c>
      <c r="M804" t="str">
        <f>IF($G804=0,"",IF(对账补充行!$G197=0,"",对账补充行!$G197))</f>
        <v/>
      </c>
      <c r="N804" t="str">
        <f>IF($G804=0,"",IF(对账补充行!$H197=0,"",对账补充行!$H197))</f>
        <v/>
      </c>
      <c r="O804" t="str">
        <f>IF($G804=0,"",IF(对账补充行!$I197=0,"",对账补充行!$I197))</f>
        <v/>
      </c>
      <c r="P804" t="str">
        <f>IF($G804=0,"",IF(对账补充行!$J197=0,"",对账补充行!$J197))</f>
        <v/>
      </c>
      <c r="T804" t="str">
        <f>IF(成本费用登记表!$D204="","",成本费用登记表!$D204)</f>
        <v/>
      </c>
      <c r="U804">
        <f t="shared" si="130"/>
        <v>0</v>
      </c>
      <c r="V804">
        <f t="shared" si="131"/>
        <v>0</v>
      </c>
    </row>
    <row r="805" spans="1:22">
      <c r="A805" t="str">
        <f>IF(资金日记账!$F503="","",资金日记账!$F503)</f>
        <v/>
      </c>
      <c r="B805">
        <f t="shared" si="127"/>
        <v>0</v>
      </c>
      <c r="C805">
        <f t="shared" si="128"/>
        <v>0</v>
      </c>
      <c r="G805">
        <f>IF(OR($G$1="",对账补充行!$C198="",对账补充行!$C198&lt;&gt;$G$1),0,IF(NOT(OR(N(对账补充行!$H198)&lt;&gt;0,N(对账补充行!$I198)&lt;&gt;0)),0,IF(对账补充行!$B198="",1,IF(OR(N(对账补充行!$B198)&lt;$H$1,N(对账补充行!$B198)&gt;$I$1),0,1))))</f>
        <v>0</v>
      </c>
      <c r="H805">
        <f t="shared" si="129"/>
        <v>0</v>
      </c>
      <c r="I805" t="str">
        <f>IF($G805=0,"",IF(对账补充行!$B198=0,"",对账补充行!$B198))</f>
        <v/>
      </c>
      <c r="J805" t="str">
        <f>IF($G805=0,"",IF(对账补充行!$D198=0,"",对账补充行!$D198))</f>
        <v/>
      </c>
      <c r="K805" t="str">
        <f>IF($G805=0,"",IF(对账补充行!$E198=0,"",对账补充行!$E198))</f>
        <v/>
      </c>
      <c r="L805" t="str">
        <f>IF($G805=0,"",IF(对账补充行!$F198=0,"",对账补充行!$F198))</f>
        <v/>
      </c>
      <c r="M805" t="str">
        <f>IF($G805=0,"",IF(对账补充行!$G198=0,"",对账补充行!$G198))</f>
        <v/>
      </c>
      <c r="N805" t="str">
        <f>IF($G805=0,"",IF(对账补充行!$H198=0,"",对账补充行!$H198))</f>
        <v/>
      </c>
      <c r="O805" t="str">
        <f>IF($G805=0,"",IF(对账补充行!$I198=0,"",对账补充行!$I198))</f>
        <v/>
      </c>
      <c r="P805" t="str">
        <f>IF($G805=0,"",IF(对账补充行!$J198=0,"",对账补充行!$J198))</f>
        <v/>
      </c>
      <c r="T805" t="str">
        <f>IF(成本费用登记表!$D205="","",成本费用登记表!$D205)</f>
        <v/>
      </c>
      <c r="U805">
        <f t="shared" si="130"/>
        <v>0</v>
      </c>
      <c r="V805">
        <f t="shared" si="131"/>
        <v>0</v>
      </c>
    </row>
    <row r="806" spans="1:22">
      <c r="A806" t="str">
        <f>IF(资金日记账!$F504="","",资金日记账!$F504)</f>
        <v/>
      </c>
      <c r="B806">
        <f t="shared" si="127"/>
        <v>0</v>
      </c>
      <c r="C806">
        <f t="shared" si="128"/>
        <v>0</v>
      </c>
      <c r="G806">
        <f>IF(OR($G$1="",对账补充行!$C199="",对账补充行!$C199&lt;&gt;$G$1),0,IF(NOT(OR(N(对账补充行!$H199)&lt;&gt;0,N(对账补充行!$I199)&lt;&gt;0)),0,IF(对账补充行!$B199="",1,IF(OR(N(对账补充行!$B199)&lt;$H$1,N(对账补充行!$B199)&gt;$I$1),0,1))))</f>
        <v>0</v>
      </c>
      <c r="H806">
        <f t="shared" si="129"/>
        <v>0</v>
      </c>
      <c r="I806" t="str">
        <f>IF($G806=0,"",IF(对账补充行!$B199=0,"",对账补充行!$B199))</f>
        <v/>
      </c>
      <c r="J806" t="str">
        <f>IF($G806=0,"",IF(对账补充行!$D199=0,"",对账补充行!$D199))</f>
        <v/>
      </c>
      <c r="K806" t="str">
        <f>IF($G806=0,"",IF(对账补充行!$E199=0,"",对账补充行!$E199))</f>
        <v/>
      </c>
      <c r="L806" t="str">
        <f>IF($G806=0,"",IF(对账补充行!$F199=0,"",对账补充行!$F199))</f>
        <v/>
      </c>
      <c r="M806" t="str">
        <f>IF($G806=0,"",IF(对账补充行!$G199=0,"",对账补充行!$G199))</f>
        <v/>
      </c>
      <c r="N806" t="str">
        <f>IF($G806=0,"",IF(对账补充行!$H199=0,"",对账补充行!$H199))</f>
        <v/>
      </c>
      <c r="O806" t="str">
        <f>IF($G806=0,"",IF(对账补充行!$I199=0,"",对账补充行!$I199))</f>
        <v/>
      </c>
      <c r="P806" t="str">
        <f>IF($G806=0,"",IF(对账补充行!$J199=0,"",对账补充行!$J199))</f>
        <v/>
      </c>
      <c r="T806" t="str">
        <f>IF(成本费用登记表!$D206="","",成本费用登记表!$D206)</f>
        <v/>
      </c>
      <c r="U806">
        <f t="shared" si="130"/>
        <v>0</v>
      </c>
      <c r="V806">
        <f t="shared" si="131"/>
        <v>0</v>
      </c>
    </row>
    <row r="807" spans="1:22">
      <c r="A807" t="str">
        <f>IF(资金日记账!$F505="","",资金日记账!$F505)</f>
        <v/>
      </c>
      <c r="B807">
        <f t="shared" si="127"/>
        <v>0</v>
      </c>
      <c r="C807">
        <f t="shared" si="128"/>
        <v>0</v>
      </c>
      <c r="G807">
        <f>IF(OR($G$1="",对账补充行!$C200="",对账补充行!$C200&lt;&gt;$G$1),0,IF(NOT(OR(N(对账补充行!$H200)&lt;&gt;0,N(对账补充行!$I200)&lt;&gt;0)),0,IF(对账补充行!$B200="",1,IF(OR(N(对账补充行!$B200)&lt;$H$1,N(对账补充行!$B200)&gt;$I$1),0,1))))</f>
        <v>0</v>
      </c>
      <c r="H807">
        <f t="shared" si="129"/>
        <v>0</v>
      </c>
      <c r="I807" t="str">
        <f>IF($G807=0,"",IF(对账补充行!$B200=0,"",对账补充行!$B200))</f>
        <v/>
      </c>
      <c r="J807" t="str">
        <f>IF($G807=0,"",IF(对账补充行!$D200=0,"",对账补充行!$D200))</f>
        <v/>
      </c>
      <c r="K807" t="str">
        <f>IF($G807=0,"",IF(对账补充行!$E200=0,"",对账补充行!$E200))</f>
        <v/>
      </c>
      <c r="L807" t="str">
        <f>IF($G807=0,"",IF(对账补充行!$F200=0,"",对账补充行!$F200))</f>
        <v/>
      </c>
      <c r="M807" t="str">
        <f>IF($G807=0,"",IF(对账补充行!$G200=0,"",对账补充行!$G200))</f>
        <v/>
      </c>
      <c r="N807" t="str">
        <f>IF($G807=0,"",IF(对账补充行!$H200=0,"",对账补充行!$H200))</f>
        <v/>
      </c>
      <c r="O807" t="str">
        <f>IF($G807=0,"",IF(对账补充行!$I200=0,"",对账补充行!$I200))</f>
        <v/>
      </c>
      <c r="P807" t="str">
        <f>IF($G807=0,"",IF(对账补充行!$J200=0,"",对账补充行!$J200))</f>
        <v/>
      </c>
      <c r="T807" t="str">
        <f>IF(成本费用登记表!$D207="","",成本费用登记表!$D207)</f>
        <v/>
      </c>
      <c r="U807">
        <f t="shared" si="130"/>
        <v>0</v>
      </c>
      <c r="V807">
        <f t="shared" si="131"/>
        <v>0</v>
      </c>
    </row>
    <row r="808" spans="1:22">
      <c r="A808" t="str">
        <f>IF(资金日记账!$F506="","",资金日记账!$F506)</f>
        <v/>
      </c>
      <c r="B808">
        <f t="shared" si="127"/>
        <v>0</v>
      </c>
      <c r="C808">
        <f t="shared" si="128"/>
        <v>0</v>
      </c>
      <c r="G808">
        <f>IF(OR($G$1="",对账补充行!$C201="",对账补充行!$C201&lt;&gt;$G$1),0,IF(NOT(OR(N(对账补充行!$H201)&lt;&gt;0,N(对账补充行!$I201)&lt;&gt;0)),0,IF(对账补充行!$B201="",1,IF(OR(N(对账补充行!$B201)&lt;$H$1,N(对账补充行!$B201)&gt;$I$1),0,1))))</f>
        <v>0</v>
      </c>
      <c r="H808">
        <f t="shared" si="129"/>
        <v>0</v>
      </c>
      <c r="I808" t="str">
        <f>IF($G808=0,"",IF(对账补充行!$B201=0,"",对账补充行!$B201))</f>
        <v/>
      </c>
      <c r="J808" t="str">
        <f>IF($G808=0,"",IF(对账补充行!$D201=0,"",对账补充行!$D201))</f>
        <v/>
      </c>
      <c r="K808" t="str">
        <f>IF($G808=0,"",IF(对账补充行!$E201=0,"",对账补充行!$E201))</f>
        <v/>
      </c>
      <c r="L808" t="str">
        <f>IF($G808=0,"",IF(对账补充行!$F201=0,"",对账补充行!$F201))</f>
        <v/>
      </c>
      <c r="M808" t="str">
        <f>IF($G808=0,"",IF(对账补充行!$G201=0,"",对账补充行!$G201))</f>
        <v/>
      </c>
      <c r="N808" t="str">
        <f>IF($G808=0,"",IF(对账补充行!$H201=0,"",对账补充行!$H201))</f>
        <v/>
      </c>
      <c r="O808" t="str">
        <f>IF($G808=0,"",IF(对账补充行!$I201=0,"",对账补充行!$I201))</f>
        <v/>
      </c>
      <c r="P808" t="str">
        <f>IF($G808=0,"",IF(对账补充行!$J201=0,"",对账补充行!$J201))</f>
        <v/>
      </c>
      <c r="T808" t="str">
        <f>IF(成本费用登记表!$D208="","",成本费用登记表!$D208)</f>
        <v/>
      </c>
      <c r="U808">
        <f t="shared" si="130"/>
        <v>0</v>
      </c>
      <c r="V808">
        <f t="shared" si="131"/>
        <v>0</v>
      </c>
    </row>
    <row r="809" spans="1:22">
      <c r="A809" t="str">
        <f>IF(资金日记账!$F507="","",资金日记账!$F507)</f>
        <v/>
      </c>
      <c r="B809">
        <f t="shared" si="127"/>
        <v>0</v>
      </c>
      <c r="C809">
        <f t="shared" si="128"/>
        <v>0</v>
      </c>
      <c r="G809">
        <f>IF(OR($G$1="",对账补充行!$C202="",对账补充行!$C202&lt;&gt;$G$1),0,IF(NOT(OR(N(对账补充行!$H202)&lt;&gt;0,N(对账补充行!$I202)&lt;&gt;0)),0,IF(对账补充行!$B202="",1,IF(OR(N(对账补充行!$B202)&lt;$H$1,N(对账补充行!$B202)&gt;$I$1),0,1))))</f>
        <v>0</v>
      </c>
      <c r="H809">
        <f t="shared" si="129"/>
        <v>0</v>
      </c>
      <c r="I809" t="str">
        <f>IF($G809=0,"",IF(对账补充行!$B202=0,"",对账补充行!$B202))</f>
        <v/>
      </c>
      <c r="J809" t="str">
        <f>IF($G809=0,"",IF(对账补充行!$D202=0,"",对账补充行!$D202))</f>
        <v/>
      </c>
      <c r="K809" t="str">
        <f>IF($G809=0,"",IF(对账补充行!$E202=0,"",对账补充行!$E202))</f>
        <v/>
      </c>
      <c r="L809" t="str">
        <f>IF($G809=0,"",IF(对账补充行!$F202=0,"",对账补充行!$F202))</f>
        <v/>
      </c>
      <c r="M809" t="str">
        <f>IF($G809=0,"",IF(对账补充行!$G202=0,"",对账补充行!$G202))</f>
        <v/>
      </c>
      <c r="N809" t="str">
        <f>IF($G809=0,"",IF(对账补充行!$H202=0,"",对账补充行!$H202))</f>
        <v/>
      </c>
      <c r="O809" t="str">
        <f>IF($G809=0,"",IF(对账补充行!$I202=0,"",对账补充行!$I202))</f>
        <v/>
      </c>
      <c r="P809" t="str">
        <f>IF($G809=0,"",IF(对账补充行!$J202=0,"",对账补充行!$J202))</f>
        <v/>
      </c>
      <c r="T809" t="str">
        <f>IF(成本费用登记表!$D209="","",成本费用登记表!$D209)</f>
        <v/>
      </c>
      <c r="U809">
        <f t="shared" si="130"/>
        <v>0</v>
      </c>
      <c r="V809">
        <f t="shared" si="131"/>
        <v>0</v>
      </c>
    </row>
    <row r="810" spans="1:22">
      <c r="A810" t="str">
        <f>IF(资金日记账!$F508="","",资金日记账!$F508)</f>
        <v/>
      </c>
      <c r="B810">
        <f t="shared" si="127"/>
        <v>0</v>
      </c>
      <c r="C810">
        <f t="shared" si="128"/>
        <v>0</v>
      </c>
      <c r="G810">
        <f>IF(OR($G$1="",对账补充行!$C203="",对账补充行!$C203&lt;&gt;$G$1),0,IF(NOT(OR(N(对账补充行!$H203)&lt;&gt;0,N(对账补充行!$I203)&lt;&gt;0)),0,IF(对账补充行!$B203="",1,IF(OR(N(对账补充行!$B203)&lt;$H$1,N(对账补充行!$B203)&gt;$I$1),0,1))))</f>
        <v>0</v>
      </c>
      <c r="H810">
        <f t="shared" si="129"/>
        <v>0</v>
      </c>
      <c r="I810" t="str">
        <f>IF($G810=0,"",IF(对账补充行!$B203=0,"",对账补充行!$B203))</f>
        <v/>
      </c>
      <c r="J810" t="str">
        <f>IF($G810=0,"",IF(对账补充行!$D203=0,"",对账补充行!$D203))</f>
        <v/>
      </c>
      <c r="K810" t="str">
        <f>IF($G810=0,"",IF(对账补充行!$E203=0,"",对账补充行!$E203))</f>
        <v/>
      </c>
      <c r="L810" t="str">
        <f>IF($G810=0,"",IF(对账补充行!$F203=0,"",对账补充行!$F203))</f>
        <v/>
      </c>
      <c r="M810" t="str">
        <f>IF($G810=0,"",IF(对账补充行!$G203=0,"",对账补充行!$G203))</f>
        <v/>
      </c>
      <c r="N810" t="str">
        <f>IF($G810=0,"",IF(对账补充行!$H203=0,"",对账补充行!$H203))</f>
        <v/>
      </c>
      <c r="O810" t="str">
        <f>IF($G810=0,"",IF(对账补充行!$I203=0,"",对账补充行!$I203))</f>
        <v/>
      </c>
      <c r="P810" t="str">
        <f>IF($G810=0,"",IF(对账补充行!$J203=0,"",对账补充行!$J203))</f>
        <v/>
      </c>
      <c r="T810" t="str">
        <f>IF(成本费用登记表!$D210="","",成本费用登记表!$D210)</f>
        <v/>
      </c>
      <c r="U810">
        <f t="shared" si="130"/>
        <v>0</v>
      </c>
      <c r="V810">
        <f t="shared" si="131"/>
        <v>0</v>
      </c>
    </row>
    <row r="811" spans="1:22">
      <c r="A811" t="str">
        <f>IF(资金日记账!$F509="","",资金日记账!$F509)</f>
        <v/>
      </c>
      <c r="B811">
        <f t="shared" si="127"/>
        <v>0</v>
      </c>
      <c r="C811">
        <f t="shared" si="128"/>
        <v>0</v>
      </c>
      <c r="G811">
        <f>IF(OR($G$1="",对账补充行!$C204="",对账补充行!$C204&lt;&gt;$G$1),0,IF(NOT(OR(N(对账补充行!$H204)&lt;&gt;0,N(对账补充行!$I204)&lt;&gt;0)),0,IF(对账补充行!$B204="",1,IF(OR(N(对账补充行!$B204)&lt;$H$1,N(对账补充行!$B204)&gt;$I$1),0,1))))</f>
        <v>0</v>
      </c>
      <c r="H811">
        <f t="shared" si="129"/>
        <v>0</v>
      </c>
      <c r="I811" t="str">
        <f>IF($G811=0,"",IF(对账补充行!$B204=0,"",对账补充行!$B204))</f>
        <v/>
      </c>
      <c r="J811" t="str">
        <f>IF($G811=0,"",IF(对账补充行!$D204=0,"",对账补充行!$D204))</f>
        <v/>
      </c>
      <c r="K811" t="str">
        <f>IF($G811=0,"",IF(对账补充行!$E204=0,"",对账补充行!$E204))</f>
        <v/>
      </c>
      <c r="L811" t="str">
        <f>IF($G811=0,"",IF(对账补充行!$F204=0,"",对账补充行!$F204))</f>
        <v/>
      </c>
      <c r="M811" t="str">
        <f>IF($G811=0,"",IF(对账补充行!$G204=0,"",对账补充行!$G204))</f>
        <v/>
      </c>
      <c r="N811" t="str">
        <f>IF($G811=0,"",IF(对账补充行!$H204=0,"",对账补充行!$H204))</f>
        <v/>
      </c>
      <c r="O811" t="str">
        <f>IF($G811=0,"",IF(对账补充行!$I204=0,"",对账补充行!$I204))</f>
        <v/>
      </c>
      <c r="P811" t="str">
        <f>IF($G811=0,"",IF(对账补充行!$J204=0,"",对账补充行!$J204))</f>
        <v/>
      </c>
      <c r="T811" t="str">
        <f>IF(成本费用登记表!$D211="","",成本费用登记表!$D211)</f>
        <v/>
      </c>
      <c r="U811">
        <f t="shared" si="130"/>
        <v>0</v>
      </c>
      <c r="V811">
        <f t="shared" si="131"/>
        <v>0</v>
      </c>
    </row>
    <row r="812" spans="1:22">
      <c r="A812" t="str">
        <f>IF(资金日记账!$F510="","",资金日记账!$F510)</f>
        <v/>
      </c>
      <c r="B812">
        <f t="shared" si="127"/>
        <v>0</v>
      </c>
      <c r="C812">
        <f t="shared" si="128"/>
        <v>0</v>
      </c>
      <c r="G812">
        <f>IF(OR($G$1="",对账补充行!$C205="",对账补充行!$C205&lt;&gt;$G$1),0,IF(NOT(OR(N(对账补充行!$H205)&lt;&gt;0,N(对账补充行!$I205)&lt;&gt;0)),0,IF(对账补充行!$B205="",1,IF(OR(N(对账补充行!$B205)&lt;$H$1,N(对账补充行!$B205)&gt;$I$1),0,1))))</f>
        <v>0</v>
      </c>
      <c r="H812">
        <f t="shared" si="129"/>
        <v>0</v>
      </c>
      <c r="I812" t="str">
        <f>IF($G812=0,"",IF(对账补充行!$B205=0,"",对账补充行!$B205))</f>
        <v/>
      </c>
      <c r="J812" t="str">
        <f>IF($G812=0,"",IF(对账补充行!$D205=0,"",对账补充行!$D205))</f>
        <v/>
      </c>
      <c r="K812" t="str">
        <f>IF($G812=0,"",IF(对账补充行!$E205=0,"",对账补充行!$E205))</f>
        <v/>
      </c>
      <c r="L812" t="str">
        <f>IF($G812=0,"",IF(对账补充行!$F205=0,"",对账补充行!$F205))</f>
        <v/>
      </c>
      <c r="M812" t="str">
        <f>IF($G812=0,"",IF(对账补充行!$G205=0,"",对账补充行!$G205))</f>
        <v/>
      </c>
      <c r="N812" t="str">
        <f>IF($G812=0,"",IF(对账补充行!$H205=0,"",对账补充行!$H205))</f>
        <v/>
      </c>
      <c r="O812" t="str">
        <f>IF($G812=0,"",IF(对账补充行!$I205=0,"",对账补充行!$I205))</f>
        <v/>
      </c>
      <c r="P812" t="str">
        <f>IF($G812=0,"",IF(对账补充行!$J205=0,"",对账补充行!$J205))</f>
        <v/>
      </c>
      <c r="T812" t="str">
        <f>IF(成本费用登记表!$D212="","",成本费用登记表!$D212)</f>
        <v/>
      </c>
      <c r="U812">
        <f t="shared" si="130"/>
        <v>0</v>
      </c>
      <c r="V812">
        <f t="shared" si="131"/>
        <v>0</v>
      </c>
    </row>
    <row r="813" spans="1:22">
      <c r="A813" t="str">
        <f>IF(资金日记账!$F511="","",资金日记账!$F511)</f>
        <v/>
      </c>
      <c r="B813">
        <f t="shared" si="127"/>
        <v>0</v>
      </c>
      <c r="C813">
        <f t="shared" si="128"/>
        <v>0</v>
      </c>
      <c r="G813">
        <f>IF(OR($G$1="",对账补充行!$C206="",对账补充行!$C206&lt;&gt;$G$1),0,IF(NOT(OR(N(对账补充行!$H206)&lt;&gt;0,N(对账补充行!$I206)&lt;&gt;0)),0,IF(对账补充行!$B206="",1,IF(OR(N(对账补充行!$B206)&lt;$H$1,N(对账补充行!$B206)&gt;$I$1),0,1))))</f>
        <v>0</v>
      </c>
      <c r="H813">
        <f t="shared" si="129"/>
        <v>0</v>
      </c>
      <c r="I813" t="str">
        <f>IF($G813=0,"",IF(对账补充行!$B206=0,"",对账补充行!$B206))</f>
        <v/>
      </c>
      <c r="J813" t="str">
        <f>IF($G813=0,"",IF(对账补充行!$D206=0,"",对账补充行!$D206))</f>
        <v/>
      </c>
      <c r="K813" t="str">
        <f>IF($G813=0,"",IF(对账补充行!$E206=0,"",对账补充行!$E206))</f>
        <v/>
      </c>
      <c r="L813" t="str">
        <f>IF($G813=0,"",IF(对账补充行!$F206=0,"",对账补充行!$F206))</f>
        <v/>
      </c>
      <c r="M813" t="str">
        <f>IF($G813=0,"",IF(对账补充行!$G206=0,"",对账补充行!$G206))</f>
        <v/>
      </c>
      <c r="N813" t="str">
        <f>IF($G813=0,"",IF(对账补充行!$H206=0,"",对账补充行!$H206))</f>
        <v/>
      </c>
      <c r="O813" t="str">
        <f>IF($G813=0,"",IF(对账补充行!$I206=0,"",对账补充行!$I206))</f>
        <v/>
      </c>
      <c r="P813" t="str">
        <f>IF($G813=0,"",IF(对账补充行!$J206=0,"",对账补充行!$J206))</f>
        <v/>
      </c>
      <c r="T813" t="str">
        <f>IF(成本费用登记表!$D213="","",成本费用登记表!$D213)</f>
        <v/>
      </c>
      <c r="U813">
        <f t="shared" si="130"/>
        <v>0</v>
      </c>
      <c r="V813">
        <f t="shared" si="131"/>
        <v>0</v>
      </c>
    </row>
    <row r="814" spans="1:22">
      <c r="A814" t="str">
        <f>IF(资金日记账!$F512="","",资金日记账!$F512)</f>
        <v/>
      </c>
      <c r="B814">
        <f t="shared" si="127"/>
        <v>0</v>
      </c>
      <c r="C814">
        <f t="shared" si="128"/>
        <v>0</v>
      </c>
      <c r="G814">
        <f>IF(OR($G$1="",对账补充行!$C207="",对账补充行!$C207&lt;&gt;$G$1),0,IF(NOT(OR(N(对账补充行!$H207)&lt;&gt;0,N(对账补充行!$I207)&lt;&gt;0)),0,IF(对账补充行!$B207="",1,IF(OR(N(对账补充行!$B207)&lt;$H$1,N(对账补充行!$B207)&gt;$I$1),0,1))))</f>
        <v>0</v>
      </c>
      <c r="H814">
        <f t="shared" si="129"/>
        <v>0</v>
      </c>
      <c r="I814" t="str">
        <f>IF($G814=0,"",IF(对账补充行!$B207=0,"",对账补充行!$B207))</f>
        <v/>
      </c>
      <c r="J814" t="str">
        <f>IF($G814=0,"",IF(对账补充行!$D207=0,"",对账补充行!$D207))</f>
        <v/>
      </c>
      <c r="K814" t="str">
        <f>IF($G814=0,"",IF(对账补充行!$E207=0,"",对账补充行!$E207))</f>
        <v/>
      </c>
      <c r="L814" t="str">
        <f>IF($G814=0,"",IF(对账补充行!$F207=0,"",对账补充行!$F207))</f>
        <v/>
      </c>
      <c r="M814" t="str">
        <f>IF($G814=0,"",IF(对账补充行!$G207=0,"",对账补充行!$G207))</f>
        <v/>
      </c>
      <c r="N814" t="str">
        <f>IF($G814=0,"",IF(对账补充行!$H207=0,"",对账补充行!$H207))</f>
        <v/>
      </c>
      <c r="O814" t="str">
        <f>IF($G814=0,"",IF(对账补充行!$I207=0,"",对账补充行!$I207))</f>
        <v/>
      </c>
      <c r="P814" t="str">
        <f>IF($G814=0,"",IF(对账补充行!$J207=0,"",对账补充行!$J207))</f>
        <v/>
      </c>
      <c r="T814" t="str">
        <f>IF(成本费用登记表!$D214="","",成本费用登记表!$D214)</f>
        <v/>
      </c>
      <c r="U814">
        <f t="shared" si="130"/>
        <v>0</v>
      </c>
      <c r="V814">
        <f t="shared" si="131"/>
        <v>0</v>
      </c>
    </row>
    <row r="815" spans="1:22">
      <c r="A815" t="str">
        <f>IF(资金日记账!$F513="","",资金日记账!$F513)</f>
        <v/>
      </c>
      <c r="B815">
        <f t="shared" si="127"/>
        <v>0</v>
      </c>
      <c r="C815">
        <f t="shared" si="128"/>
        <v>0</v>
      </c>
      <c r="G815">
        <f>IF(OR($G$1="",对账补充行!$C208="",对账补充行!$C208&lt;&gt;$G$1),0,IF(NOT(OR(N(对账补充行!$H208)&lt;&gt;0,N(对账补充行!$I208)&lt;&gt;0)),0,IF(对账补充行!$B208="",1,IF(OR(N(对账补充行!$B208)&lt;$H$1,N(对账补充行!$B208)&gt;$I$1),0,1))))</f>
        <v>0</v>
      </c>
      <c r="H815">
        <f t="shared" si="129"/>
        <v>0</v>
      </c>
      <c r="I815" t="str">
        <f>IF($G815=0,"",IF(对账补充行!$B208=0,"",对账补充行!$B208))</f>
        <v/>
      </c>
      <c r="J815" t="str">
        <f>IF($G815=0,"",IF(对账补充行!$D208=0,"",对账补充行!$D208))</f>
        <v/>
      </c>
      <c r="K815" t="str">
        <f>IF($G815=0,"",IF(对账补充行!$E208=0,"",对账补充行!$E208))</f>
        <v/>
      </c>
      <c r="L815" t="str">
        <f>IF($G815=0,"",IF(对账补充行!$F208=0,"",对账补充行!$F208))</f>
        <v/>
      </c>
      <c r="M815" t="str">
        <f>IF($G815=0,"",IF(对账补充行!$G208=0,"",对账补充行!$G208))</f>
        <v/>
      </c>
      <c r="N815" t="str">
        <f>IF($G815=0,"",IF(对账补充行!$H208=0,"",对账补充行!$H208))</f>
        <v/>
      </c>
      <c r="O815" t="str">
        <f>IF($G815=0,"",IF(对账补充行!$I208=0,"",对账补充行!$I208))</f>
        <v/>
      </c>
      <c r="P815" t="str">
        <f>IF($G815=0,"",IF(对账补充行!$J208=0,"",对账补充行!$J208))</f>
        <v/>
      </c>
      <c r="T815" t="str">
        <f>IF(成本费用登记表!$D215="","",成本费用登记表!$D215)</f>
        <v/>
      </c>
      <c r="U815">
        <f t="shared" si="130"/>
        <v>0</v>
      </c>
      <c r="V815">
        <f t="shared" si="131"/>
        <v>0</v>
      </c>
    </row>
    <row r="816" spans="1:22">
      <c r="A816" t="str">
        <f>IF(资金日记账!$F514="","",资金日记账!$F514)</f>
        <v/>
      </c>
      <c r="B816">
        <f t="shared" si="127"/>
        <v>0</v>
      </c>
      <c r="C816">
        <f t="shared" si="128"/>
        <v>0</v>
      </c>
      <c r="G816">
        <f>IF(OR($G$1="",对账补充行!$C209="",对账补充行!$C209&lt;&gt;$G$1),0,IF(NOT(OR(N(对账补充行!$H209)&lt;&gt;0,N(对账补充行!$I209)&lt;&gt;0)),0,IF(对账补充行!$B209="",1,IF(OR(N(对账补充行!$B209)&lt;$H$1,N(对账补充行!$B209)&gt;$I$1),0,1))))</f>
        <v>0</v>
      </c>
      <c r="H816">
        <f t="shared" si="129"/>
        <v>0</v>
      </c>
      <c r="I816" t="str">
        <f>IF($G816=0,"",IF(对账补充行!$B209=0,"",对账补充行!$B209))</f>
        <v/>
      </c>
      <c r="J816" t="str">
        <f>IF($G816=0,"",IF(对账补充行!$D209=0,"",对账补充行!$D209))</f>
        <v/>
      </c>
      <c r="K816" t="str">
        <f>IF($G816=0,"",IF(对账补充行!$E209=0,"",对账补充行!$E209))</f>
        <v/>
      </c>
      <c r="L816" t="str">
        <f>IF($G816=0,"",IF(对账补充行!$F209=0,"",对账补充行!$F209))</f>
        <v/>
      </c>
      <c r="M816" t="str">
        <f>IF($G816=0,"",IF(对账补充行!$G209=0,"",对账补充行!$G209))</f>
        <v/>
      </c>
      <c r="N816" t="str">
        <f>IF($G816=0,"",IF(对账补充行!$H209=0,"",对账补充行!$H209))</f>
        <v/>
      </c>
      <c r="O816" t="str">
        <f>IF($G816=0,"",IF(对账补充行!$I209=0,"",对账补充行!$I209))</f>
        <v/>
      </c>
      <c r="P816" t="str">
        <f>IF($G816=0,"",IF(对账补充行!$J209=0,"",对账补充行!$J209))</f>
        <v/>
      </c>
      <c r="T816" t="str">
        <f>IF(成本费用登记表!$D216="","",成本费用登记表!$D216)</f>
        <v/>
      </c>
      <c r="U816">
        <f t="shared" si="130"/>
        <v>0</v>
      </c>
      <c r="V816">
        <f t="shared" si="131"/>
        <v>0</v>
      </c>
    </row>
    <row r="817" spans="1:22">
      <c r="A817" t="str">
        <f>IF(资金日记账!$F515="","",资金日记账!$F515)</f>
        <v/>
      </c>
      <c r="B817">
        <f t="shared" si="127"/>
        <v>0</v>
      </c>
      <c r="C817">
        <f t="shared" si="128"/>
        <v>0</v>
      </c>
      <c r="G817">
        <f>IF(OR($G$1="",对账补充行!$C210="",对账补充行!$C210&lt;&gt;$G$1),0,IF(NOT(OR(N(对账补充行!$H210)&lt;&gt;0,N(对账补充行!$I210)&lt;&gt;0)),0,IF(对账补充行!$B210="",1,IF(OR(N(对账补充行!$B210)&lt;$H$1,N(对账补充行!$B210)&gt;$I$1),0,1))))</f>
        <v>0</v>
      </c>
      <c r="H817">
        <f t="shared" si="129"/>
        <v>0</v>
      </c>
      <c r="I817" t="str">
        <f>IF($G817=0,"",IF(对账补充行!$B210=0,"",对账补充行!$B210))</f>
        <v/>
      </c>
      <c r="J817" t="str">
        <f>IF($G817=0,"",IF(对账补充行!$D210=0,"",对账补充行!$D210))</f>
        <v/>
      </c>
      <c r="K817" t="str">
        <f>IF($G817=0,"",IF(对账补充行!$E210=0,"",对账补充行!$E210))</f>
        <v/>
      </c>
      <c r="L817" t="str">
        <f>IF($G817=0,"",IF(对账补充行!$F210=0,"",对账补充行!$F210))</f>
        <v/>
      </c>
      <c r="M817" t="str">
        <f>IF($G817=0,"",IF(对账补充行!$G210=0,"",对账补充行!$G210))</f>
        <v/>
      </c>
      <c r="N817" t="str">
        <f>IF($G817=0,"",IF(对账补充行!$H210=0,"",对账补充行!$H210))</f>
        <v/>
      </c>
      <c r="O817" t="str">
        <f>IF($G817=0,"",IF(对账补充行!$I210=0,"",对账补充行!$I210))</f>
        <v/>
      </c>
      <c r="P817" t="str">
        <f>IF($G817=0,"",IF(对账补充行!$J210=0,"",对账补充行!$J210))</f>
        <v/>
      </c>
      <c r="T817" t="str">
        <f>IF(成本费用登记表!$D217="","",成本费用登记表!$D217)</f>
        <v/>
      </c>
      <c r="U817">
        <f t="shared" si="130"/>
        <v>0</v>
      </c>
      <c r="V817">
        <f t="shared" si="131"/>
        <v>0</v>
      </c>
    </row>
    <row r="818" spans="1:22">
      <c r="A818" t="str">
        <f>IF(资金日记账!$F516="","",资金日记账!$F516)</f>
        <v/>
      </c>
      <c r="B818">
        <f t="shared" si="127"/>
        <v>0</v>
      </c>
      <c r="C818">
        <f t="shared" si="128"/>
        <v>0</v>
      </c>
      <c r="G818">
        <f>IF(OR($G$1="",对账补充行!$C211="",对账补充行!$C211&lt;&gt;$G$1),0,IF(NOT(OR(N(对账补充行!$H211)&lt;&gt;0,N(对账补充行!$I211)&lt;&gt;0)),0,IF(对账补充行!$B211="",1,IF(OR(N(对账补充行!$B211)&lt;$H$1,N(对账补充行!$B211)&gt;$I$1),0,1))))</f>
        <v>0</v>
      </c>
      <c r="H818">
        <f t="shared" si="129"/>
        <v>0</v>
      </c>
      <c r="I818" t="str">
        <f>IF($G818=0,"",IF(对账补充行!$B211=0,"",对账补充行!$B211))</f>
        <v/>
      </c>
      <c r="J818" t="str">
        <f>IF($G818=0,"",IF(对账补充行!$D211=0,"",对账补充行!$D211))</f>
        <v/>
      </c>
      <c r="K818" t="str">
        <f>IF($G818=0,"",IF(对账补充行!$E211=0,"",对账补充行!$E211))</f>
        <v/>
      </c>
      <c r="L818" t="str">
        <f>IF($G818=0,"",IF(对账补充行!$F211=0,"",对账补充行!$F211))</f>
        <v/>
      </c>
      <c r="M818" t="str">
        <f>IF($G818=0,"",IF(对账补充行!$G211=0,"",对账补充行!$G211))</f>
        <v/>
      </c>
      <c r="N818" t="str">
        <f>IF($G818=0,"",IF(对账补充行!$H211=0,"",对账补充行!$H211))</f>
        <v/>
      </c>
      <c r="O818" t="str">
        <f>IF($G818=0,"",IF(对账补充行!$I211=0,"",对账补充行!$I211))</f>
        <v/>
      </c>
      <c r="P818" t="str">
        <f>IF($G818=0,"",IF(对账补充行!$J211=0,"",对账补充行!$J211))</f>
        <v/>
      </c>
      <c r="T818" t="str">
        <f>IF(成本费用登记表!$D218="","",成本费用登记表!$D218)</f>
        <v/>
      </c>
      <c r="U818">
        <f t="shared" si="130"/>
        <v>0</v>
      </c>
      <c r="V818">
        <f t="shared" si="131"/>
        <v>0</v>
      </c>
    </row>
    <row r="819" spans="1:22">
      <c r="A819" t="str">
        <f>IF(资金日记账!$F517="","",资金日记账!$F517)</f>
        <v/>
      </c>
      <c r="B819">
        <f t="shared" si="127"/>
        <v>0</v>
      </c>
      <c r="C819">
        <f t="shared" si="128"/>
        <v>0</v>
      </c>
      <c r="G819">
        <f>IF(OR($G$1="",对账补充行!$C212="",对账补充行!$C212&lt;&gt;$G$1),0,IF(NOT(OR(N(对账补充行!$H212)&lt;&gt;0,N(对账补充行!$I212)&lt;&gt;0)),0,IF(对账补充行!$B212="",1,IF(OR(N(对账补充行!$B212)&lt;$H$1,N(对账补充行!$B212)&gt;$I$1),0,1))))</f>
        <v>0</v>
      </c>
      <c r="H819">
        <f t="shared" si="129"/>
        <v>0</v>
      </c>
      <c r="I819" t="str">
        <f>IF($G819=0,"",IF(对账补充行!$B212=0,"",对账补充行!$B212))</f>
        <v/>
      </c>
      <c r="J819" t="str">
        <f>IF($G819=0,"",IF(对账补充行!$D212=0,"",对账补充行!$D212))</f>
        <v/>
      </c>
      <c r="K819" t="str">
        <f>IF($G819=0,"",IF(对账补充行!$E212=0,"",对账补充行!$E212))</f>
        <v/>
      </c>
      <c r="L819" t="str">
        <f>IF($G819=0,"",IF(对账补充行!$F212=0,"",对账补充行!$F212))</f>
        <v/>
      </c>
      <c r="M819" t="str">
        <f>IF($G819=0,"",IF(对账补充行!$G212=0,"",对账补充行!$G212))</f>
        <v/>
      </c>
      <c r="N819" t="str">
        <f>IF($G819=0,"",IF(对账补充行!$H212=0,"",对账补充行!$H212))</f>
        <v/>
      </c>
      <c r="O819" t="str">
        <f>IF($G819=0,"",IF(对账补充行!$I212=0,"",对账补充行!$I212))</f>
        <v/>
      </c>
      <c r="P819" t="str">
        <f>IF($G819=0,"",IF(对账补充行!$J212=0,"",对账补充行!$J212))</f>
        <v/>
      </c>
      <c r="T819" t="str">
        <f>IF(成本费用登记表!$D219="","",成本费用登记表!$D219)</f>
        <v/>
      </c>
      <c r="U819">
        <f t="shared" si="130"/>
        <v>0</v>
      </c>
      <c r="V819">
        <f t="shared" si="131"/>
        <v>0</v>
      </c>
    </row>
    <row r="820" spans="1:22">
      <c r="A820" t="str">
        <f>IF(资金日记账!$F518="","",资金日记账!$F518)</f>
        <v/>
      </c>
      <c r="B820">
        <f t="shared" si="127"/>
        <v>0</v>
      </c>
      <c r="C820">
        <f t="shared" si="128"/>
        <v>0</v>
      </c>
      <c r="G820">
        <f>IF(OR($G$1="",对账补充行!$C213="",对账补充行!$C213&lt;&gt;$G$1),0,IF(NOT(OR(N(对账补充行!$H213)&lt;&gt;0,N(对账补充行!$I213)&lt;&gt;0)),0,IF(对账补充行!$B213="",1,IF(OR(N(对账补充行!$B213)&lt;$H$1,N(对账补充行!$B213)&gt;$I$1),0,1))))</f>
        <v>0</v>
      </c>
      <c r="H820">
        <f t="shared" si="129"/>
        <v>0</v>
      </c>
      <c r="I820" t="str">
        <f>IF($G820=0,"",IF(对账补充行!$B213=0,"",对账补充行!$B213))</f>
        <v/>
      </c>
      <c r="J820" t="str">
        <f>IF($G820=0,"",IF(对账补充行!$D213=0,"",对账补充行!$D213))</f>
        <v/>
      </c>
      <c r="K820" t="str">
        <f>IF($G820=0,"",IF(对账补充行!$E213=0,"",对账补充行!$E213))</f>
        <v/>
      </c>
      <c r="L820" t="str">
        <f>IF($G820=0,"",IF(对账补充行!$F213=0,"",对账补充行!$F213))</f>
        <v/>
      </c>
      <c r="M820" t="str">
        <f>IF($G820=0,"",IF(对账补充行!$G213=0,"",对账补充行!$G213))</f>
        <v/>
      </c>
      <c r="N820" t="str">
        <f>IF($G820=0,"",IF(对账补充行!$H213=0,"",对账补充行!$H213))</f>
        <v/>
      </c>
      <c r="O820" t="str">
        <f>IF($G820=0,"",IF(对账补充行!$I213=0,"",对账补充行!$I213))</f>
        <v/>
      </c>
      <c r="P820" t="str">
        <f>IF($G820=0,"",IF(对账补充行!$J213=0,"",对账补充行!$J213))</f>
        <v/>
      </c>
      <c r="T820" t="str">
        <f>IF(成本费用登记表!$D220="","",成本费用登记表!$D220)</f>
        <v/>
      </c>
      <c r="U820">
        <f t="shared" si="130"/>
        <v>0</v>
      </c>
      <c r="V820">
        <f t="shared" si="131"/>
        <v>0</v>
      </c>
    </row>
    <row r="821" spans="1:22">
      <c r="A821" t="str">
        <f>IF(资金日记账!$F519="","",资金日记账!$F519)</f>
        <v/>
      </c>
      <c r="B821">
        <f t="shared" si="127"/>
        <v>0</v>
      </c>
      <c r="C821">
        <f t="shared" si="128"/>
        <v>0</v>
      </c>
      <c r="G821">
        <f>IF(OR($G$1="",对账补充行!$C214="",对账补充行!$C214&lt;&gt;$G$1),0,IF(NOT(OR(N(对账补充行!$H214)&lt;&gt;0,N(对账补充行!$I214)&lt;&gt;0)),0,IF(对账补充行!$B214="",1,IF(OR(N(对账补充行!$B214)&lt;$H$1,N(对账补充行!$B214)&gt;$I$1),0,1))))</f>
        <v>0</v>
      </c>
      <c r="H821">
        <f t="shared" si="129"/>
        <v>0</v>
      </c>
      <c r="I821" t="str">
        <f>IF($G821=0,"",IF(对账补充行!$B214=0,"",对账补充行!$B214))</f>
        <v/>
      </c>
      <c r="J821" t="str">
        <f>IF($G821=0,"",IF(对账补充行!$D214=0,"",对账补充行!$D214))</f>
        <v/>
      </c>
      <c r="K821" t="str">
        <f>IF($G821=0,"",IF(对账补充行!$E214=0,"",对账补充行!$E214))</f>
        <v/>
      </c>
      <c r="L821" t="str">
        <f>IF($G821=0,"",IF(对账补充行!$F214=0,"",对账补充行!$F214))</f>
        <v/>
      </c>
      <c r="M821" t="str">
        <f>IF($G821=0,"",IF(对账补充行!$G214=0,"",对账补充行!$G214))</f>
        <v/>
      </c>
      <c r="N821" t="str">
        <f>IF($G821=0,"",IF(对账补充行!$H214=0,"",对账补充行!$H214))</f>
        <v/>
      </c>
      <c r="O821" t="str">
        <f>IF($G821=0,"",IF(对账补充行!$I214=0,"",对账补充行!$I214))</f>
        <v/>
      </c>
      <c r="P821" t="str">
        <f>IF($G821=0,"",IF(对账补充行!$J214=0,"",对账补充行!$J214))</f>
        <v/>
      </c>
      <c r="T821" t="str">
        <f>IF(成本费用登记表!$D221="","",成本费用登记表!$D221)</f>
        <v/>
      </c>
      <c r="U821">
        <f t="shared" si="130"/>
        <v>0</v>
      </c>
      <c r="V821">
        <f t="shared" si="131"/>
        <v>0</v>
      </c>
    </row>
    <row r="822" spans="1:22">
      <c r="A822" t="str">
        <f>IF(资金日记账!$F520="","",资金日记账!$F520)</f>
        <v/>
      </c>
      <c r="B822">
        <f t="shared" si="127"/>
        <v>0</v>
      </c>
      <c r="C822">
        <f t="shared" si="128"/>
        <v>0</v>
      </c>
      <c r="G822">
        <f>IF(OR($G$1="",对账补充行!$C215="",对账补充行!$C215&lt;&gt;$G$1),0,IF(NOT(OR(N(对账补充行!$H215)&lt;&gt;0,N(对账补充行!$I215)&lt;&gt;0)),0,IF(对账补充行!$B215="",1,IF(OR(N(对账补充行!$B215)&lt;$H$1,N(对账补充行!$B215)&gt;$I$1),0,1))))</f>
        <v>0</v>
      </c>
      <c r="H822">
        <f t="shared" si="129"/>
        <v>0</v>
      </c>
      <c r="I822" t="str">
        <f>IF($G822=0,"",IF(对账补充行!$B215=0,"",对账补充行!$B215))</f>
        <v/>
      </c>
      <c r="J822" t="str">
        <f>IF($G822=0,"",IF(对账补充行!$D215=0,"",对账补充行!$D215))</f>
        <v/>
      </c>
      <c r="K822" t="str">
        <f>IF($G822=0,"",IF(对账补充行!$E215=0,"",对账补充行!$E215))</f>
        <v/>
      </c>
      <c r="L822" t="str">
        <f>IF($G822=0,"",IF(对账补充行!$F215=0,"",对账补充行!$F215))</f>
        <v/>
      </c>
      <c r="M822" t="str">
        <f>IF($G822=0,"",IF(对账补充行!$G215=0,"",对账补充行!$G215))</f>
        <v/>
      </c>
      <c r="N822" t="str">
        <f>IF($G822=0,"",IF(对账补充行!$H215=0,"",对账补充行!$H215))</f>
        <v/>
      </c>
      <c r="O822" t="str">
        <f>IF($G822=0,"",IF(对账补充行!$I215=0,"",对账补充行!$I215))</f>
        <v/>
      </c>
      <c r="P822" t="str">
        <f>IF($G822=0,"",IF(对账补充行!$J215=0,"",对账补充行!$J215))</f>
        <v/>
      </c>
      <c r="T822" t="str">
        <f>IF(成本费用登记表!$D222="","",成本费用登记表!$D222)</f>
        <v/>
      </c>
      <c r="U822">
        <f t="shared" si="130"/>
        <v>0</v>
      </c>
      <c r="V822">
        <f t="shared" si="131"/>
        <v>0</v>
      </c>
    </row>
    <row r="823" spans="1:22">
      <c r="A823" t="str">
        <f>IF(资金日记账!$F521="","",资金日记账!$F521)</f>
        <v/>
      </c>
      <c r="B823">
        <f t="shared" si="127"/>
        <v>0</v>
      </c>
      <c r="C823">
        <f t="shared" si="128"/>
        <v>0</v>
      </c>
      <c r="G823">
        <f>IF(OR($G$1="",对账补充行!$C216="",对账补充行!$C216&lt;&gt;$G$1),0,IF(NOT(OR(N(对账补充行!$H216)&lt;&gt;0,N(对账补充行!$I216)&lt;&gt;0)),0,IF(对账补充行!$B216="",1,IF(OR(N(对账补充行!$B216)&lt;$H$1,N(对账补充行!$B216)&gt;$I$1),0,1))))</f>
        <v>0</v>
      </c>
      <c r="H823">
        <f t="shared" si="129"/>
        <v>0</v>
      </c>
      <c r="I823" t="str">
        <f>IF($G823=0,"",IF(对账补充行!$B216=0,"",对账补充行!$B216))</f>
        <v/>
      </c>
      <c r="J823" t="str">
        <f>IF($G823=0,"",IF(对账补充行!$D216=0,"",对账补充行!$D216))</f>
        <v/>
      </c>
      <c r="K823" t="str">
        <f>IF($G823=0,"",IF(对账补充行!$E216=0,"",对账补充行!$E216))</f>
        <v/>
      </c>
      <c r="L823" t="str">
        <f>IF($G823=0,"",IF(对账补充行!$F216=0,"",对账补充行!$F216))</f>
        <v/>
      </c>
      <c r="M823" t="str">
        <f>IF($G823=0,"",IF(对账补充行!$G216=0,"",对账补充行!$G216))</f>
        <v/>
      </c>
      <c r="N823" t="str">
        <f>IF($G823=0,"",IF(对账补充行!$H216=0,"",对账补充行!$H216))</f>
        <v/>
      </c>
      <c r="O823" t="str">
        <f>IF($G823=0,"",IF(对账补充行!$I216=0,"",对账补充行!$I216))</f>
        <v/>
      </c>
      <c r="P823" t="str">
        <f>IF($G823=0,"",IF(对账补充行!$J216=0,"",对账补充行!$J216))</f>
        <v/>
      </c>
      <c r="T823" t="str">
        <f>IF(成本费用登记表!$D223="","",成本费用登记表!$D223)</f>
        <v/>
      </c>
      <c r="U823">
        <f t="shared" si="130"/>
        <v>0</v>
      </c>
      <c r="V823">
        <f t="shared" si="131"/>
        <v>0</v>
      </c>
    </row>
    <row r="824" spans="1:22">
      <c r="A824" t="str">
        <f>IF(资金日记账!$F522="","",资金日记账!$F522)</f>
        <v/>
      </c>
      <c r="B824">
        <f t="shared" si="127"/>
        <v>0</v>
      </c>
      <c r="C824">
        <f t="shared" si="128"/>
        <v>0</v>
      </c>
      <c r="G824">
        <f>IF(OR($G$1="",对账补充行!$C217="",对账补充行!$C217&lt;&gt;$G$1),0,IF(NOT(OR(N(对账补充行!$H217)&lt;&gt;0,N(对账补充行!$I217)&lt;&gt;0)),0,IF(对账补充行!$B217="",1,IF(OR(N(对账补充行!$B217)&lt;$H$1,N(对账补充行!$B217)&gt;$I$1),0,1))))</f>
        <v>0</v>
      </c>
      <c r="H824">
        <f t="shared" si="129"/>
        <v>0</v>
      </c>
      <c r="I824" t="str">
        <f>IF($G824=0,"",IF(对账补充行!$B217=0,"",对账补充行!$B217))</f>
        <v/>
      </c>
      <c r="J824" t="str">
        <f>IF($G824=0,"",IF(对账补充行!$D217=0,"",对账补充行!$D217))</f>
        <v/>
      </c>
      <c r="K824" t="str">
        <f>IF($G824=0,"",IF(对账补充行!$E217=0,"",对账补充行!$E217))</f>
        <v/>
      </c>
      <c r="L824" t="str">
        <f>IF($G824=0,"",IF(对账补充行!$F217=0,"",对账补充行!$F217))</f>
        <v/>
      </c>
      <c r="M824" t="str">
        <f>IF($G824=0,"",IF(对账补充行!$G217=0,"",对账补充行!$G217))</f>
        <v/>
      </c>
      <c r="N824" t="str">
        <f>IF($G824=0,"",IF(对账补充行!$H217=0,"",对账补充行!$H217))</f>
        <v/>
      </c>
      <c r="O824" t="str">
        <f>IF($G824=0,"",IF(对账补充行!$I217=0,"",对账补充行!$I217))</f>
        <v/>
      </c>
      <c r="P824" t="str">
        <f>IF($G824=0,"",IF(对账补充行!$J217=0,"",对账补充行!$J217))</f>
        <v/>
      </c>
      <c r="T824" t="str">
        <f>IF(成本费用登记表!$D224="","",成本费用登记表!$D224)</f>
        <v/>
      </c>
      <c r="U824">
        <f t="shared" si="130"/>
        <v>0</v>
      </c>
      <c r="V824">
        <f t="shared" si="131"/>
        <v>0</v>
      </c>
    </row>
    <row r="825" spans="1:22">
      <c r="A825" t="str">
        <f>IF(资金日记账!$F523="","",资金日记账!$F523)</f>
        <v/>
      </c>
      <c r="B825">
        <f t="shared" si="127"/>
        <v>0</v>
      </c>
      <c r="C825">
        <f t="shared" si="128"/>
        <v>0</v>
      </c>
      <c r="G825">
        <f>IF(OR($G$1="",对账补充行!$C218="",对账补充行!$C218&lt;&gt;$G$1),0,IF(NOT(OR(N(对账补充行!$H218)&lt;&gt;0,N(对账补充行!$I218)&lt;&gt;0)),0,IF(对账补充行!$B218="",1,IF(OR(N(对账补充行!$B218)&lt;$H$1,N(对账补充行!$B218)&gt;$I$1),0,1))))</f>
        <v>0</v>
      </c>
      <c r="H825">
        <f t="shared" si="129"/>
        <v>0</v>
      </c>
      <c r="I825" t="str">
        <f>IF($G825=0,"",IF(对账补充行!$B218=0,"",对账补充行!$B218))</f>
        <v/>
      </c>
      <c r="J825" t="str">
        <f>IF($G825=0,"",IF(对账补充行!$D218=0,"",对账补充行!$D218))</f>
        <v/>
      </c>
      <c r="K825" t="str">
        <f>IF($G825=0,"",IF(对账补充行!$E218=0,"",对账补充行!$E218))</f>
        <v/>
      </c>
      <c r="L825" t="str">
        <f>IF($G825=0,"",IF(对账补充行!$F218=0,"",对账补充行!$F218))</f>
        <v/>
      </c>
      <c r="M825" t="str">
        <f>IF($G825=0,"",IF(对账补充行!$G218=0,"",对账补充行!$G218))</f>
        <v/>
      </c>
      <c r="N825" t="str">
        <f>IF($G825=0,"",IF(对账补充行!$H218=0,"",对账补充行!$H218))</f>
        <v/>
      </c>
      <c r="O825" t="str">
        <f>IF($G825=0,"",IF(对账补充行!$I218=0,"",对账补充行!$I218))</f>
        <v/>
      </c>
      <c r="P825" t="str">
        <f>IF($G825=0,"",IF(对账补充行!$J218=0,"",对账补充行!$J218))</f>
        <v/>
      </c>
      <c r="T825" t="str">
        <f>IF(成本费用登记表!$D225="","",成本费用登记表!$D225)</f>
        <v/>
      </c>
      <c r="U825">
        <f t="shared" si="130"/>
        <v>0</v>
      </c>
      <c r="V825">
        <f t="shared" si="131"/>
        <v>0</v>
      </c>
    </row>
    <row r="826" spans="1:22">
      <c r="A826" t="str">
        <f>IF(资金日记账!$F524="","",资金日记账!$F524)</f>
        <v/>
      </c>
      <c r="B826">
        <f t="shared" si="127"/>
        <v>0</v>
      </c>
      <c r="C826">
        <f t="shared" si="128"/>
        <v>0</v>
      </c>
      <c r="G826">
        <f>IF(OR($G$1="",对账补充行!$C219="",对账补充行!$C219&lt;&gt;$G$1),0,IF(NOT(OR(N(对账补充行!$H219)&lt;&gt;0,N(对账补充行!$I219)&lt;&gt;0)),0,IF(对账补充行!$B219="",1,IF(OR(N(对账补充行!$B219)&lt;$H$1,N(对账补充行!$B219)&gt;$I$1),0,1))))</f>
        <v>0</v>
      </c>
      <c r="H826">
        <f t="shared" si="129"/>
        <v>0</v>
      </c>
      <c r="I826" t="str">
        <f>IF($G826=0,"",IF(对账补充行!$B219=0,"",对账补充行!$B219))</f>
        <v/>
      </c>
      <c r="J826" t="str">
        <f>IF($G826=0,"",IF(对账补充行!$D219=0,"",对账补充行!$D219))</f>
        <v/>
      </c>
      <c r="K826" t="str">
        <f>IF($G826=0,"",IF(对账补充行!$E219=0,"",对账补充行!$E219))</f>
        <v/>
      </c>
      <c r="L826" t="str">
        <f>IF($G826=0,"",IF(对账补充行!$F219=0,"",对账补充行!$F219))</f>
        <v/>
      </c>
      <c r="M826" t="str">
        <f>IF($G826=0,"",IF(对账补充行!$G219=0,"",对账补充行!$G219))</f>
        <v/>
      </c>
      <c r="N826" t="str">
        <f>IF($G826=0,"",IF(对账补充行!$H219=0,"",对账补充行!$H219))</f>
        <v/>
      </c>
      <c r="O826" t="str">
        <f>IF($G826=0,"",IF(对账补充行!$I219=0,"",对账补充行!$I219))</f>
        <v/>
      </c>
      <c r="P826" t="str">
        <f>IF($G826=0,"",IF(对账补充行!$J219=0,"",对账补充行!$J219))</f>
        <v/>
      </c>
      <c r="T826" t="str">
        <f>IF(成本费用登记表!$D226="","",成本费用登记表!$D226)</f>
        <v/>
      </c>
      <c r="U826">
        <f t="shared" si="130"/>
        <v>0</v>
      </c>
      <c r="V826">
        <f t="shared" si="131"/>
        <v>0</v>
      </c>
    </row>
    <row r="827" spans="1:22">
      <c r="A827" t="str">
        <f>IF(资金日记账!$F525="","",资金日记账!$F525)</f>
        <v/>
      </c>
      <c r="B827">
        <f t="shared" si="127"/>
        <v>0</v>
      </c>
      <c r="C827">
        <f t="shared" si="128"/>
        <v>0</v>
      </c>
      <c r="G827">
        <f>IF(OR($G$1="",对账补充行!$C220="",对账补充行!$C220&lt;&gt;$G$1),0,IF(NOT(OR(N(对账补充行!$H220)&lt;&gt;0,N(对账补充行!$I220)&lt;&gt;0)),0,IF(对账补充行!$B220="",1,IF(OR(N(对账补充行!$B220)&lt;$H$1,N(对账补充行!$B220)&gt;$I$1),0,1))))</f>
        <v>0</v>
      </c>
      <c r="H827">
        <f t="shared" si="129"/>
        <v>0</v>
      </c>
      <c r="I827" t="str">
        <f>IF($G827=0,"",IF(对账补充行!$B220=0,"",对账补充行!$B220))</f>
        <v/>
      </c>
      <c r="J827" t="str">
        <f>IF($G827=0,"",IF(对账补充行!$D220=0,"",对账补充行!$D220))</f>
        <v/>
      </c>
      <c r="K827" t="str">
        <f>IF($G827=0,"",IF(对账补充行!$E220=0,"",对账补充行!$E220))</f>
        <v/>
      </c>
      <c r="L827" t="str">
        <f>IF($G827=0,"",IF(对账补充行!$F220=0,"",对账补充行!$F220))</f>
        <v/>
      </c>
      <c r="M827" t="str">
        <f>IF($G827=0,"",IF(对账补充行!$G220=0,"",对账补充行!$G220))</f>
        <v/>
      </c>
      <c r="N827" t="str">
        <f>IF($G827=0,"",IF(对账补充行!$H220=0,"",对账补充行!$H220))</f>
        <v/>
      </c>
      <c r="O827" t="str">
        <f>IF($G827=0,"",IF(对账补充行!$I220=0,"",对账补充行!$I220))</f>
        <v/>
      </c>
      <c r="P827" t="str">
        <f>IF($G827=0,"",IF(对账补充行!$J220=0,"",对账补充行!$J220))</f>
        <v/>
      </c>
      <c r="T827" t="str">
        <f>IF(成本费用登记表!$D227="","",成本费用登记表!$D227)</f>
        <v/>
      </c>
      <c r="U827">
        <f t="shared" si="130"/>
        <v>0</v>
      </c>
      <c r="V827">
        <f t="shared" si="131"/>
        <v>0</v>
      </c>
    </row>
    <row r="828" spans="1:22">
      <c r="A828" t="str">
        <f>IF(资金日记账!$F526="","",资金日记账!$F526)</f>
        <v/>
      </c>
      <c r="B828">
        <f t="shared" si="127"/>
        <v>0</v>
      </c>
      <c r="C828">
        <f t="shared" si="128"/>
        <v>0</v>
      </c>
      <c r="G828">
        <f>IF(OR($G$1="",对账补充行!$C221="",对账补充行!$C221&lt;&gt;$G$1),0,IF(NOT(OR(N(对账补充行!$H221)&lt;&gt;0,N(对账补充行!$I221)&lt;&gt;0)),0,IF(对账补充行!$B221="",1,IF(OR(N(对账补充行!$B221)&lt;$H$1,N(对账补充行!$B221)&gt;$I$1),0,1))))</f>
        <v>0</v>
      </c>
      <c r="H828">
        <f t="shared" si="129"/>
        <v>0</v>
      </c>
      <c r="I828" t="str">
        <f>IF($G828=0,"",IF(对账补充行!$B221=0,"",对账补充行!$B221))</f>
        <v/>
      </c>
      <c r="J828" t="str">
        <f>IF($G828=0,"",IF(对账补充行!$D221=0,"",对账补充行!$D221))</f>
        <v/>
      </c>
      <c r="K828" t="str">
        <f>IF($G828=0,"",IF(对账补充行!$E221=0,"",对账补充行!$E221))</f>
        <v/>
      </c>
      <c r="L828" t="str">
        <f>IF($G828=0,"",IF(对账补充行!$F221=0,"",对账补充行!$F221))</f>
        <v/>
      </c>
      <c r="M828" t="str">
        <f>IF($G828=0,"",IF(对账补充行!$G221=0,"",对账补充行!$G221))</f>
        <v/>
      </c>
      <c r="N828" t="str">
        <f>IF($G828=0,"",IF(对账补充行!$H221=0,"",对账补充行!$H221))</f>
        <v/>
      </c>
      <c r="O828" t="str">
        <f>IF($G828=0,"",IF(对账补充行!$I221=0,"",对账补充行!$I221))</f>
        <v/>
      </c>
      <c r="P828" t="str">
        <f>IF($G828=0,"",IF(对账补充行!$J221=0,"",对账补充行!$J221))</f>
        <v/>
      </c>
      <c r="T828" t="str">
        <f>IF(成本费用登记表!$D228="","",成本费用登记表!$D228)</f>
        <v/>
      </c>
      <c r="U828">
        <f t="shared" si="130"/>
        <v>0</v>
      </c>
      <c r="V828">
        <f t="shared" si="131"/>
        <v>0</v>
      </c>
    </row>
    <row r="829" spans="1:22">
      <c r="A829" t="str">
        <f>IF(资金日记账!$F527="","",资金日记账!$F527)</f>
        <v/>
      </c>
      <c r="B829">
        <f t="shared" si="127"/>
        <v>0</v>
      </c>
      <c r="C829">
        <f t="shared" si="128"/>
        <v>0</v>
      </c>
      <c r="G829">
        <f>IF(OR($G$1="",对账补充行!$C222="",对账补充行!$C222&lt;&gt;$G$1),0,IF(NOT(OR(N(对账补充行!$H222)&lt;&gt;0,N(对账补充行!$I222)&lt;&gt;0)),0,IF(对账补充行!$B222="",1,IF(OR(N(对账补充行!$B222)&lt;$H$1,N(对账补充行!$B222)&gt;$I$1),0,1))))</f>
        <v>0</v>
      </c>
      <c r="H829">
        <f t="shared" si="129"/>
        <v>0</v>
      </c>
      <c r="I829" t="str">
        <f>IF($G829=0,"",IF(对账补充行!$B222=0,"",对账补充行!$B222))</f>
        <v/>
      </c>
      <c r="J829" t="str">
        <f>IF($G829=0,"",IF(对账补充行!$D222=0,"",对账补充行!$D222))</f>
        <v/>
      </c>
      <c r="K829" t="str">
        <f>IF($G829=0,"",IF(对账补充行!$E222=0,"",对账补充行!$E222))</f>
        <v/>
      </c>
      <c r="L829" t="str">
        <f>IF($G829=0,"",IF(对账补充行!$F222=0,"",对账补充行!$F222))</f>
        <v/>
      </c>
      <c r="M829" t="str">
        <f>IF($G829=0,"",IF(对账补充行!$G222=0,"",对账补充行!$G222))</f>
        <v/>
      </c>
      <c r="N829" t="str">
        <f>IF($G829=0,"",IF(对账补充行!$H222=0,"",对账补充行!$H222))</f>
        <v/>
      </c>
      <c r="O829" t="str">
        <f>IF($G829=0,"",IF(对账补充行!$I222=0,"",对账补充行!$I222))</f>
        <v/>
      </c>
      <c r="P829" t="str">
        <f>IF($G829=0,"",IF(对账补充行!$J222=0,"",对账补充行!$J222))</f>
        <v/>
      </c>
      <c r="T829" t="str">
        <f>IF(成本费用登记表!$D229="","",成本费用登记表!$D229)</f>
        <v/>
      </c>
      <c r="U829">
        <f t="shared" si="130"/>
        <v>0</v>
      </c>
      <c r="V829">
        <f t="shared" si="131"/>
        <v>0</v>
      </c>
    </row>
    <row r="830" spans="1:22">
      <c r="A830" t="str">
        <f>IF(资金日记账!$F528="","",资金日记账!$F528)</f>
        <v/>
      </c>
      <c r="B830">
        <f t="shared" si="127"/>
        <v>0</v>
      </c>
      <c r="C830">
        <f t="shared" si="128"/>
        <v>0</v>
      </c>
      <c r="G830">
        <f>IF(OR($G$1="",对账补充行!$C223="",对账补充行!$C223&lt;&gt;$G$1),0,IF(NOT(OR(N(对账补充行!$H223)&lt;&gt;0,N(对账补充行!$I223)&lt;&gt;0)),0,IF(对账补充行!$B223="",1,IF(OR(N(对账补充行!$B223)&lt;$H$1,N(对账补充行!$B223)&gt;$I$1),0,1))))</f>
        <v>0</v>
      </c>
      <c r="H830">
        <f t="shared" si="129"/>
        <v>0</v>
      </c>
      <c r="I830" t="str">
        <f>IF($G830=0,"",IF(对账补充行!$B223=0,"",对账补充行!$B223))</f>
        <v/>
      </c>
      <c r="J830" t="str">
        <f>IF($G830=0,"",IF(对账补充行!$D223=0,"",对账补充行!$D223))</f>
        <v/>
      </c>
      <c r="K830" t="str">
        <f>IF($G830=0,"",IF(对账补充行!$E223=0,"",对账补充行!$E223))</f>
        <v/>
      </c>
      <c r="L830" t="str">
        <f>IF($G830=0,"",IF(对账补充行!$F223=0,"",对账补充行!$F223))</f>
        <v/>
      </c>
      <c r="M830" t="str">
        <f>IF($G830=0,"",IF(对账补充行!$G223=0,"",对账补充行!$G223))</f>
        <v/>
      </c>
      <c r="N830" t="str">
        <f>IF($G830=0,"",IF(对账补充行!$H223=0,"",对账补充行!$H223))</f>
        <v/>
      </c>
      <c r="O830" t="str">
        <f>IF($G830=0,"",IF(对账补充行!$I223=0,"",对账补充行!$I223))</f>
        <v/>
      </c>
      <c r="P830" t="str">
        <f>IF($G830=0,"",IF(对账补充行!$J223=0,"",对账补充行!$J223))</f>
        <v/>
      </c>
      <c r="T830" t="str">
        <f>IF(成本费用登记表!$D230="","",成本费用登记表!$D230)</f>
        <v/>
      </c>
      <c r="U830">
        <f t="shared" si="130"/>
        <v>0</v>
      </c>
      <c r="V830">
        <f t="shared" si="131"/>
        <v>0</v>
      </c>
    </row>
    <row r="831" spans="1:22">
      <c r="A831" t="str">
        <f>IF(资金日记账!$F529="","",资金日记账!$F529)</f>
        <v/>
      </c>
      <c r="B831">
        <f t="shared" si="127"/>
        <v>0</v>
      </c>
      <c r="C831">
        <f t="shared" si="128"/>
        <v>0</v>
      </c>
      <c r="G831">
        <f>IF(OR($G$1="",对账补充行!$C224="",对账补充行!$C224&lt;&gt;$G$1),0,IF(NOT(OR(N(对账补充行!$H224)&lt;&gt;0,N(对账补充行!$I224)&lt;&gt;0)),0,IF(对账补充行!$B224="",1,IF(OR(N(对账补充行!$B224)&lt;$H$1,N(对账补充行!$B224)&gt;$I$1),0,1))))</f>
        <v>0</v>
      </c>
      <c r="H831">
        <f t="shared" si="129"/>
        <v>0</v>
      </c>
      <c r="I831" t="str">
        <f>IF($G831=0,"",IF(对账补充行!$B224=0,"",对账补充行!$B224))</f>
        <v/>
      </c>
      <c r="J831" t="str">
        <f>IF($G831=0,"",IF(对账补充行!$D224=0,"",对账补充行!$D224))</f>
        <v/>
      </c>
      <c r="K831" t="str">
        <f>IF($G831=0,"",IF(对账补充行!$E224=0,"",对账补充行!$E224))</f>
        <v/>
      </c>
      <c r="L831" t="str">
        <f>IF($G831=0,"",IF(对账补充行!$F224=0,"",对账补充行!$F224))</f>
        <v/>
      </c>
      <c r="M831" t="str">
        <f>IF($G831=0,"",IF(对账补充行!$G224=0,"",对账补充行!$G224))</f>
        <v/>
      </c>
      <c r="N831" t="str">
        <f>IF($G831=0,"",IF(对账补充行!$H224=0,"",对账补充行!$H224))</f>
        <v/>
      </c>
      <c r="O831" t="str">
        <f>IF($G831=0,"",IF(对账补充行!$I224=0,"",对账补充行!$I224))</f>
        <v/>
      </c>
      <c r="P831" t="str">
        <f>IF($G831=0,"",IF(对账补充行!$J224=0,"",对账补充行!$J224))</f>
        <v/>
      </c>
      <c r="T831" t="str">
        <f>IF(成本费用登记表!$D231="","",成本费用登记表!$D231)</f>
        <v/>
      </c>
      <c r="U831">
        <f t="shared" si="130"/>
        <v>0</v>
      </c>
      <c r="V831">
        <f t="shared" si="131"/>
        <v>0</v>
      </c>
    </row>
    <row r="832" spans="1:22">
      <c r="A832" t="str">
        <f>IF(资金日记账!$F530="","",资金日记账!$F530)</f>
        <v/>
      </c>
      <c r="B832">
        <f t="shared" si="127"/>
        <v>0</v>
      </c>
      <c r="C832">
        <f t="shared" si="128"/>
        <v>0</v>
      </c>
      <c r="G832">
        <f>IF(OR($G$1="",对账补充行!$C225="",对账补充行!$C225&lt;&gt;$G$1),0,IF(NOT(OR(N(对账补充行!$H225)&lt;&gt;0,N(对账补充行!$I225)&lt;&gt;0)),0,IF(对账补充行!$B225="",1,IF(OR(N(对账补充行!$B225)&lt;$H$1,N(对账补充行!$B225)&gt;$I$1),0,1))))</f>
        <v>0</v>
      </c>
      <c r="H832">
        <f t="shared" si="129"/>
        <v>0</v>
      </c>
      <c r="I832" t="str">
        <f>IF($G832=0,"",IF(对账补充行!$B225=0,"",对账补充行!$B225))</f>
        <v/>
      </c>
      <c r="J832" t="str">
        <f>IF($G832=0,"",IF(对账补充行!$D225=0,"",对账补充行!$D225))</f>
        <v/>
      </c>
      <c r="K832" t="str">
        <f>IF($G832=0,"",IF(对账补充行!$E225=0,"",对账补充行!$E225))</f>
        <v/>
      </c>
      <c r="L832" t="str">
        <f>IF($G832=0,"",IF(对账补充行!$F225=0,"",对账补充行!$F225))</f>
        <v/>
      </c>
      <c r="M832" t="str">
        <f>IF($G832=0,"",IF(对账补充行!$G225=0,"",对账补充行!$G225))</f>
        <v/>
      </c>
      <c r="N832" t="str">
        <f>IF($G832=0,"",IF(对账补充行!$H225=0,"",对账补充行!$H225))</f>
        <v/>
      </c>
      <c r="O832" t="str">
        <f>IF($G832=0,"",IF(对账补充行!$I225=0,"",对账补充行!$I225))</f>
        <v/>
      </c>
      <c r="P832" t="str">
        <f>IF($G832=0,"",IF(对账补充行!$J225=0,"",对账补充行!$J225))</f>
        <v/>
      </c>
      <c r="T832" t="str">
        <f>IF(成本费用登记表!$D232="","",成本费用登记表!$D232)</f>
        <v/>
      </c>
      <c r="U832">
        <f t="shared" si="130"/>
        <v>0</v>
      </c>
      <c r="V832">
        <f t="shared" si="131"/>
        <v>0</v>
      </c>
    </row>
    <row r="833" spans="1:22">
      <c r="A833" t="str">
        <f>IF(资金日记账!$F531="","",资金日记账!$F531)</f>
        <v/>
      </c>
      <c r="B833">
        <f t="shared" si="127"/>
        <v>0</v>
      </c>
      <c r="C833">
        <f t="shared" si="128"/>
        <v>0</v>
      </c>
      <c r="G833">
        <f>IF(OR($G$1="",对账补充行!$C226="",对账补充行!$C226&lt;&gt;$G$1),0,IF(NOT(OR(N(对账补充行!$H226)&lt;&gt;0,N(对账补充行!$I226)&lt;&gt;0)),0,IF(对账补充行!$B226="",1,IF(OR(N(对账补充行!$B226)&lt;$H$1,N(对账补充行!$B226)&gt;$I$1),0,1))))</f>
        <v>0</v>
      </c>
      <c r="H833">
        <f t="shared" si="129"/>
        <v>0</v>
      </c>
      <c r="I833" t="str">
        <f>IF($G833=0,"",IF(对账补充行!$B226=0,"",对账补充行!$B226))</f>
        <v/>
      </c>
      <c r="J833" t="str">
        <f>IF($G833=0,"",IF(对账补充行!$D226=0,"",对账补充行!$D226))</f>
        <v/>
      </c>
      <c r="K833" t="str">
        <f>IF($G833=0,"",IF(对账补充行!$E226=0,"",对账补充行!$E226))</f>
        <v/>
      </c>
      <c r="L833" t="str">
        <f>IF($G833=0,"",IF(对账补充行!$F226=0,"",对账补充行!$F226))</f>
        <v/>
      </c>
      <c r="M833" t="str">
        <f>IF($G833=0,"",IF(对账补充行!$G226=0,"",对账补充行!$G226))</f>
        <v/>
      </c>
      <c r="N833" t="str">
        <f>IF($G833=0,"",IF(对账补充行!$H226=0,"",对账补充行!$H226))</f>
        <v/>
      </c>
      <c r="O833" t="str">
        <f>IF($G833=0,"",IF(对账补充行!$I226=0,"",对账补充行!$I226))</f>
        <v/>
      </c>
      <c r="P833" t="str">
        <f>IF($G833=0,"",IF(对账补充行!$J226=0,"",对账补充行!$J226))</f>
        <v/>
      </c>
      <c r="T833" t="str">
        <f>IF(成本费用登记表!$D233="","",成本费用登记表!$D233)</f>
        <v/>
      </c>
      <c r="U833">
        <f t="shared" si="130"/>
        <v>0</v>
      </c>
      <c r="V833">
        <f t="shared" si="131"/>
        <v>0</v>
      </c>
    </row>
    <row r="834" spans="1:22">
      <c r="A834" t="str">
        <f>IF(资金日记账!$F532="","",资金日记账!$F532)</f>
        <v/>
      </c>
      <c r="B834">
        <f t="shared" si="127"/>
        <v>0</v>
      </c>
      <c r="C834">
        <f t="shared" si="128"/>
        <v>0</v>
      </c>
      <c r="G834">
        <f>IF(OR($G$1="",对账补充行!$C227="",对账补充行!$C227&lt;&gt;$G$1),0,IF(NOT(OR(N(对账补充行!$H227)&lt;&gt;0,N(对账补充行!$I227)&lt;&gt;0)),0,IF(对账补充行!$B227="",1,IF(OR(N(对账补充行!$B227)&lt;$H$1,N(对账补充行!$B227)&gt;$I$1),0,1))))</f>
        <v>0</v>
      </c>
      <c r="H834">
        <f t="shared" si="129"/>
        <v>0</v>
      </c>
      <c r="I834" t="str">
        <f>IF($G834=0,"",IF(对账补充行!$B227=0,"",对账补充行!$B227))</f>
        <v/>
      </c>
      <c r="J834" t="str">
        <f>IF($G834=0,"",IF(对账补充行!$D227=0,"",对账补充行!$D227))</f>
        <v/>
      </c>
      <c r="K834" t="str">
        <f>IF($G834=0,"",IF(对账补充行!$E227=0,"",对账补充行!$E227))</f>
        <v/>
      </c>
      <c r="L834" t="str">
        <f>IF($G834=0,"",IF(对账补充行!$F227=0,"",对账补充行!$F227))</f>
        <v/>
      </c>
      <c r="M834" t="str">
        <f>IF($G834=0,"",IF(对账补充行!$G227=0,"",对账补充行!$G227))</f>
        <v/>
      </c>
      <c r="N834" t="str">
        <f>IF($G834=0,"",IF(对账补充行!$H227=0,"",对账补充行!$H227))</f>
        <v/>
      </c>
      <c r="O834" t="str">
        <f>IF($G834=0,"",IF(对账补充行!$I227=0,"",对账补充行!$I227))</f>
        <v/>
      </c>
      <c r="P834" t="str">
        <f>IF($G834=0,"",IF(对账补充行!$J227=0,"",对账补充行!$J227))</f>
        <v/>
      </c>
      <c r="T834" t="str">
        <f>IF(成本费用登记表!$D234="","",成本费用登记表!$D234)</f>
        <v/>
      </c>
      <c r="U834">
        <f t="shared" si="130"/>
        <v>0</v>
      </c>
      <c r="V834">
        <f t="shared" si="131"/>
        <v>0</v>
      </c>
    </row>
    <row r="835" spans="1:22">
      <c r="A835" t="str">
        <f>IF(资金日记账!$F533="","",资金日记账!$F533)</f>
        <v/>
      </c>
      <c r="B835">
        <f t="shared" si="127"/>
        <v>0</v>
      </c>
      <c r="C835">
        <f t="shared" si="128"/>
        <v>0</v>
      </c>
      <c r="G835">
        <f>IF(OR($G$1="",对账补充行!$C228="",对账补充行!$C228&lt;&gt;$G$1),0,IF(NOT(OR(N(对账补充行!$H228)&lt;&gt;0,N(对账补充行!$I228)&lt;&gt;0)),0,IF(对账补充行!$B228="",1,IF(OR(N(对账补充行!$B228)&lt;$H$1,N(对账补充行!$B228)&gt;$I$1),0,1))))</f>
        <v>0</v>
      </c>
      <c r="H835">
        <f t="shared" si="129"/>
        <v>0</v>
      </c>
      <c r="I835" t="str">
        <f>IF($G835=0,"",IF(对账补充行!$B228=0,"",对账补充行!$B228))</f>
        <v/>
      </c>
      <c r="J835" t="str">
        <f>IF($G835=0,"",IF(对账补充行!$D228=0,"",对账补充行!$D228))</f>
        <v/>
      </c>
      <c r="K835" t="str">
        <f>IF($G835=0,"",IF(对账补充行!$E228=0,"",对账补充行!$E228))</f>
        <v/>
      </c>
      <c r="L835" t="str">
        <f>IF($G835=0,"",IF(对账补充行!$F228=0,"",对账补充行!$F228))</f>
        <v/>
      </c>
      <c r="M835" t="str">
        <f>IF($G835=0,"",IF(对账补充行!$G228=0,"",对账补充行!$G228))</f>
        <v/>
      </c>
      <c r="N835" t="str">
        <f>IF($G835=0,"",IF(对账补充行!$H228=0,"",对账补充行!$H228))</f>
        <v/>
      </c>
      <c r="O835" t="str">
        <f>IF($G835=0,"",IF(对账补充行!$I228=0,"",对账补充行!$I228))</f>
        <v/>
      </c>
      <c r="P835" t="str">
        <f>IF($G835=0,"",IF(对账补充行!$J228=0,"",对账补充行!$J228))</f>
        <v/>
      </c>
      <c r="T835" t="str">
        <f>IF(成本费用登记表!$D235="","",成本费用登记表!$D235)</f>
        <v/>
      </c>
      <c r="U835">
        <f t="shared" si="130"/>
        <v>0</v>
      </c>
      <c r="V835">
        <f t="shared" si="131"/>
        <v>0</v>
      </c>
    </row>
    <row r="836" spans="1:22">
      <c r="A836" t="str">
        <f>IF(资金日记账!$F534="","",资金日记账!$F534)</f>
        <v/>
      </c>
      <c r="B836">
        <f t="shared" ref="B836:B899" si="132">IF(A836="",0,IF(MATCH(A836,$A$4:$A$1805,0)=ROW()-3,1,0))</f>
        <v>0</v>
      </c>
      <c r="C836">
        <f t="shared" ref="C836:C899" si="133">N(C835)+B836</f>
        <v>0</v>
      </c>
      <c r="G836">
        <f>IF(OR($G$1="",对账补充行!$C229="",对账补充行!$C229&lt;&gt;$G$1),0,IF(NOT(OR(N(对账补充行!$H229)&lt;&gt;0,N(对账补充行!$I229)&lt;&gt;0)),0,IF(对账补充行!$B229="",1,IF(OR(N(对账补充行!$B229)&lt;$H$1,N(对账补充行!$B229)&gt;$I$1),0,1))))</f>
        <v>0</v>
      </c>
      <c r="H836">
        <f t="shared" ref="H836:H899" si="134">N(H835)+$G836</f>
        <v>0</v>
      </c>
      <c r="I836" t="str">
        <f>IF($G836=0,"",IF(对账补充行!$B229=0,"",对账补充行!$B229))</f>
        <v/>
      </c>
      <c r="J836" t="str">
        <f>IF($G836=0,"",IF(对账补充行!$D229=0,"",对账补充行!$D229))</f>
        <v/>
      </c>
      <c r="K836" t="str">
        <f>IF($G836=0,"",IF(对账补充行!$E229=0,"",对账补充行!$E229))</f>
        <v/>
      </c>
      <c r="L836" t="str">
        <f>IF($G836=0,"",IF(对账补充行!$F229=0,"",对账补充行!$F229))</f>
        <v/>
      </c>
      <c r="M836" t="str">
        <f>IF($G836=0,"",IF(对账补充行!$G229=0,"",对账补充行!$G229))</f>
        <v/>
      </c>
      <c r="N836" t="str">
        <f>IF($G836=0,"",IF(对账补充行!$H229=0,"",对账补充行!$H229))</f>
        <v/>
      </c>
      <c r="O836" t="str">
        <f>IF($G836=0,"",IF(对账补充行!$I229=0,"",对账补充行!$I229))</f>
        <v/>
      </c>
      <c r="P836" t="str">
        <f>IF($G836=0,"",IF(对账补充行!$J229=0,"",对账补充行!$J229))</f>
        <v/>
      </c>
      <c r="T836" t="str">
        <f>IF(成本费用登记表!$D236="","",成本费用登记表!$D236)</f>
        <v/>
      </c>
      <c r="U836">
        <f t="shared" ref="U836:U899" si="135">IF(T836="",0,IF(MATCH(T836,$T$4:$T$903,0)=ROW()-3,1,0))</f>
        <v>0</v>
      </c>
      <c r="V836">
        <f t="shared" ref="V836:V899" si="136">N(V835)+U836</f>
        <v>0</v>
      </c>
    </row>
    <row r="837" spans="1:22">
      <c r="A837" t="str">
        <f>IF(资金日记账!$F535="","",资金日记账!$F535)</f>
        <v/>
      </c>
      <c r="B837">
        <f t="shared" si="132"/>
        <v>0</v>
      </c>
      <c r="C837">
        <f t="shared" si="133"/>
        <v>0</v>
      </c>
      <c r="G837">
        <f>IF(OR($G$1="",对账补充行!$C230="",对账补充行!$C230&lt;&gt;$G$1),0,IF(NOT(OR(N(对账补充行!$H230)&lt;&gt;0,N(对账补充行!$I230)&lt;&gt;0)),0,IF(对账补充行!$B230="",1,IF(OR(N(对账补充行!$B230)&lt;$H$1,N(对账补充行!$B230)&gt;$I$1),0,1))))</f>
        <v>0</v>
      </c>
      <c r="H837">
        <f t="shared" si="134"/>
        <v>0</v>
      </c>
      <c r="I837" t="str">
        <f>IF($G837=0,"",IF(对账补充行!$B230=0,"",对账补充行!$B230))</f>
        <v/>
      </c>
      <c r="J837" t="str">
        <f>IF($G837=0,"",IF(对账补充行!$D230=0,"",对账补充行!$D230))</f>
        <v/>
      </c>
      <c r="K837" t="str">
        <f>IF($G837=0,"",IF(对账补充行!$E230=0,"",对账补充行!$E230))</f>
        <v/>
      </c>
      <c r="L837" t="str">
        <f>IF($G837=0,"",IF(对账补充行!$F230=0,"",对账补充行!$F230))</f>
        <v/>
      </c>
      <c r="M837" t="str">
        <f>IF($G837=0,"",IF(对账补充行!$G230=0,"",对账补充行!$G230))</f>
        <v/>
      </c>
      <c r="N837" t="str">
        <f>IF($G837=0,"",IF(对账补充行!$H230=0,"",对账补充行!$H230))</f>
        <v/>
      </c>
      <c r="O837" t="str">
        <f>IF($G837=0,"",IF(对账补充行!$I230=0,"",对账补充行!$I230))</f>
        <v/>
      </c>
      <c r="P837" t="str">
        <f>IF($G837=0,"",IF(对账补充行!$J230=0,"",对账补充行!$J230))</f>
        <v/>
      </c>
      <c r="T837" t="str">
        <f>IF(成本费用登记表!$D237="","",成本费用登记表!$D237)</f>
        <v/>
      </c>
      <c r="U837">
        <f t="shared" si="135"/>
        <v>0</v>
      </c>
      <c r="V837">
        <f t="shared" si="136"/>
        <v>0</v>
      </c>
    </row>
    <row r="838" spans="1:22">
      <c r="A838" t="str">
        <f>IF(资金日记账!$F536="","",资金日记账!$F536)</f>
        <v/>
      </c>
      <c r="B838">
        <f t="shared" si="132"/>
        <v>0</v>
      </c>
      <c r="C838">
        <f t="shared" si="133"/>
        <v>0</v>
      </c>
      <c r="G838">
        <f>IF(OR($G$1="",对账补充行!$C231="",对账补充行!$C231&lt;&gt;$G$1),0,IF(NOT(OR(N(对账补充行!$H231)&lt;&gt;0,N(对账补充行!$I231)&lt;&gt;0)),0,IF(对账补充行!$B231="",1,IF(OR(N(对账补充行!$B231)&lt;$H$1,N(对账补充行!$B231)&gt;$I$1),0,1))))</f>
        <v>0</v>
      </c>
      <c r="H838">
        <f t="shared" si="134"/>
        <v>0</v>
      </c>
      <c r="I838" t="str">
        <f>IF($G838=0,"",IF(对账补充行!$B231=0,"",对账补充行!$B231))</f>
        <v/>
      </c>
      <c r="J838" t="str">
        <f>IF($G838=0,"",IF(对账补充行!$D231=0,"",对账补充行!$D231))</f>
        <v/>
      </c>
      <c r="K838" t="str">
        <f>IF($G838=0,"",IF(对账补充行!$E231=0,"",对账补充行!$E231))</f>
        <v/>
      </c>
      <c r="L838" t="str">
        <f>IF($G838=0,"",IF(对账补充行!$F231=0,"",对账补充行!$F231))</f>
        <v/>
      </c>
      <c r="M838" t="str">
        <f>IF($G838=0,"",IF(对账补充行!$G231=0,"",对账补充行!$G231))</f>
        <v/>
      </c>
      <c r="N838" t="str">
        <f>IF($G838=0,"",IF(对账补充行!$H231=0,"",对账补充行!$H231))</f>
        <v/>
      </c>
      <c r="O838" t="str">
        <f>IF($G838=0,"",IF(对账补充行!$I231=0,"",对账补充行!$I231))</f>
        <v/>
      </c>
      <c r="P838" t="str">
        <f>IF($G838=0,"",IF(对账补充行!$J231=0,"",对账补充行!$J231))</f>
        <v/>
      </c>
      <c r="T838" t="str">
        <f>IF(成本费用登记表!$D238="","",成本费用登记表!$D238)</f>
        <v/>
      </c>
      <c r="U838">
        <f t="shared" si="135"/>
        <v>0</v>
      </c>
      <c r="V838">
        <f t="shared" si="136"/>
        <v>0</v>
      </c>
    </row>
    <row r="839" spans="1:22">
      <c r="A839" t="str">
        <f>IF(资金日记账!$F537="","",资金日记账!$F537)</f>
        <v/>
      </c>
      <c r="B839">
        <f t="shared" si="132"/>
        <v>0</v>
      </c>
      <c r="C839">
        <f t="shared" si="133"/>
        <v>0</v>
      </c>
      <c r="G839">
        <f>IF(OR($G$1="",对账补充行!$C232="",对账补充行!$C232&lt;&gt;$G$1),0,IF(NOT(OR(N(对账补充行!$H232)&lt;&gt;0,N(对账补充行!$I232)&lt;&gt;0)),0,IF(对账补充行!$B232="",1,IF(OR(N(对账补充行!$B232)&lt;$H$1,N(对账补充行!$B232)&gt;$I$1),0,1))))</f>
        <v>0</v>
      </c>
      <c r="H839">
        <f t="shared" si="134"/>
        <v>0</v>
      </c>
      <c r="I839" t="str">
        <f>IF($G839=0,"",IF(对账补充行!$B232=0,"",对账补充行!$B232))</f>
        <v/>
      </c>
      <c r="J839" t="str">
        <f>IF($G839=0,"",IF(对账补充行!$D232=0,"",对账补充行!$D232))</f>
        <v/>
      </c>
      <c r="K839" t="str">
        <f>IF($G839=0,"",IF(对账补充行!$E232=0,"",对账补充行!$E232))</f>
        <v/>
      </c>
      <c r="L839" t="str">
        <f>IF($G839=0,"",IF(对账补充行!$F232=0,"",对账补充行!$F232))</f>
        <v/>
      </c>
      <c r="M839" t="str">
        <f>IF($G839=0,"",IF(对账补充行!$G232=0,"",对账补充行!$G232))</f>
        <v/>
      </c>
      <c r="N839" t="str">
        <f>IF($G839=0,"",IF(对账补充行!$H232=0,"",对账补充行!$H232))</f>
        <v/>
      </c>
      <c r="O839" t="str">
        <f>IF($G839=0,"",IF(对账补充行!$I232=0,"",对账补充行!$I232))</f>
        <v/>
      </c>
      <c r="P839" t="str">
        <f>IF($G839=0,"",IF(对账补充行!$J232=0,"",对账补充行!$J232))</f>
        <v/>
      </c>
      <c r="T839" t="str">
        <f>IF(成本费用登记表!$D239="","",成本费用登记表!$D239)</f>
        <v/>
      </c>
      <c r="U839">
        <f t="shared" si="135"/>
        <v>0</v>
      </c>
      <c r="V839">
        <f t="shared" si="136"/>
        <v>0</v>
      </c>
    </row>
    <row r="840" spans="1:22">
      <c r="A840" t="str">
        <f>IF(资金日记账!$F538="","",资金日记账!$F538)</f>
        <v/>
      </c>
      <c r="B840">
        <f t="shared" si="132"/>
        <v>0</v>
      </c>
      <c r="C840">
        <f t="shared" si="133"/>
        <v>0</v>
      </c>
      <c r="G840">
        <f>IF(OR($G$1="",对账补充行!$C233="",对账补充行!$C233&lt;&gt;$G$1),0,IF(NOT(OR(N(对账补充行!$H233)&lt;&gt;0,N(对账补充行!$I233)&lt;&gt;0)),0,IF(对账补充行!$B233="",1,IF(OR(N(对账补充行!$B233)&lt;$H$1,N(对账补充行!$B233)&gt;$I$1),0,1))))</f>
        <v>0</v>
      </c>
      <c r="H840">
        <f t="shared" si="134"/>
        <v>0</v>
      </c>
      <c r="I840" t="str">
        <f>IF($G840=0,"",IF(对账补充行!$B233=0,"",对账补充行!$B233))</f>
        <v/>
      </c>
      <c r="J840" t="str">
        <f>IF($G840=0,"",IF(对账补充行!$D233=0,"",对账补充行!$D233))</f>
        <v/>
      </c>
      <c r="K840" t="str">
        <f>IF($G840=0,"",IF(对账补充行!$E233=0,"",对账补充行!$E233))</f>
        <v/>
      </c>
      <c r="L840" t="str">
        <f>IF($G840=0,"",IF(对账补充行!$F233=0,"",对账补充行!$F233))</f>
        <v/>
      </c>
      <c r="M840" t="str">
        <f>IF($G840=0,"",IF(对账补充行!$G233=0,"",对账补充行!$G233))</f>
        <v/>
      </c>
      <c r="N840" t="str">
        <f>IF($G840=0,"",IF(对账补充行!$H233=0,"",对账补充行!$H233))</f>
        <v/>
      </c>
      <c r="O840" t="str">
        <f>IF($G840=0,"",IF(对账补充行!$I233=0,"",对账补充行!$I233))</f>
        <v/>
      </c>
      <c r="P840" t="str">
        <f>IF($G840=0,"",IF(对账补充行!$J233=0,"",对账补充行!$J233))</f>
        <v/>
      </c>
      <c r="T840" t="str">
        <f>IF(成本费用登记表!$D240="","",成本费用登记表!$D240)</f>
        <v/>
      </c>
      <c r="U840">
        <f t="shared" si="135"/>
        <v>0</v>
      </c>
      <c r="V840">
        <f t="shared" si="136"/>
        <v>0</v>
      </c>
    </row>
    <row r="841" spans="1:22">
      <c r="A841" t="str">
        <f>IF(资金日记账!$F539="","",资金日记账!$F539)</f>
        <v/>
      </c>
      <c r="B841">
        <f t="shared" si="132"/>
        <v>0</v>
      </c>
      <c r="C841">
        <f t="shared" si="133"/>
        <v>0</v>
      </c>
      <c r="G841">
        <f>IF(OR($G$1="",对账补充行!$C234="",对账补充行!$C234&lt;&gt;$G$1),0,IF(NOT(OR(N(对账补充行!$H234)&lt;&gt;0,N(对账补充行!$I234)&lt;&gt;0)),0,IF(对账补充行!$B234="",1,IF(OR(N(对账补充行!$B234)&lt;$H$1,N(对账补充行!$B234)&gt;$I$1),0,1))))</f>
        <v>0</v>
      </c>
      <c r="H841">
        <f t="shared" si="134"/>
        <v>0</v>
      </c>
      <c r="I841" t="str">
        <f>IF($G841=0,"",IF(对账补充行!$B234=0,"",对账补充行!$B234))</f>
        <v/>
      </c>
      <c r="J841" t="str">
        <f>IF($G841=0,"",IF(对账补充行!$D234=0,"",对账补充行!$D234))</f>
        <v/>
      </c>
      <c r="K841" t="str">
        <f>IF($G841=0,"",IF(对账补充行!$E234=0,"",对账补充行!$E234))</f>
        <v/>
      </c>
      <c r="L841" t="str">
        <f>IF($G841=0,"",IF(对账补充行!$F234=0,"",对账补充行!$F234))</f>
        <v/>
      </c>
      <c r="M841" t="str">
        <f>IF($G841=0,"",IF(对账补充行!$G234=0,"",对账补充行!$G234))</f>
        <v/>
      </c>
      <c r="N841" t="str">
        <f>IF($G841=0,"",IF(对账补充行!$H234=0,"",对账补充行!$H234))</f>
        <v/>
      </c>
      <c r="O841" t="str">
        <f>IF($G841=0,"",IF(对账补充行!$I234=0,"",对账补充行!$I234))</f>
        <v/>
      </c>
      <c r="P841" t="str">
        <f>IF($G841=0,"",IF(对账补充行!$J234=0,"",对账补充行!$J234))</f>
        <v/>
      </c>
      <c r="T841" t="str">
        <f>IF(成本费用登记表!$D241="","",成本费用登记表!$D241)</f>
        <v/>
      </c>
      <c r="U841">
        <f t="shared" si="135"/>
        <v>0</v>
      </c>
      <c r="V841">
        <f t="shared" si="136"/>
        <v>0</v>
      </c>
    </row>
    <row r="842" spans="1:22">
      <c r="A842" t="str">
        <f>IF(资金日记账!$F540="","",资金日记账!$F540)</f>
        <v/>
      </c>
      <c r="B842">
        <f t="shared" si="132"/>
        <v>0</v>
      </c>
      <c r="C842">
        <f t="shared" si="133"/>
        <v>0</v>
      </c>
      <c r="G842">
        <f>IF(OR($G$1="",对账补充行!$C235="",对账补充行!$C235&lt;&gt;$G$1),0,IF(NOT(OR(N(对账补充行!$H235)&lt;&gt;0,N(对账补充行!$I235)&lt;&gt;0)),0,IF(对账补充行!$B235="",1,IF(OR(N(对账补充行!$B235)&lt;$H$1,N(对账补充行!$B235)&gt;$I$1),0,1))))</f>
        <v>0</v>
      </c>
      <c r="H842">
        <f t="shared" si="134"/>
        <v>0</v>
      </c>
      <c r="I842" t="str">
        <f>IF($G842=0,"",IF(对账补充行!$B235=0,"",对账补充行!$B235))</f>
        <v/>
      </c>
      <c r="J842" t="str">
        <f>IF($G842=0,"",IF(对账补充行!$D235=0,"",对账补充行!$D235))</f>
        <v/>
      </c>
      <c r="K842" t="str">
        <f>IF($G842=0,"",IF(对账补充行!$E235=0,"",对账补充行!$E235))</f>
        <v/>
      </c>
      <c r="L842" t="str">
        <f>IF($G842=0,"",IF(对账补充行!$F235=0,"",对账补充行!$F235))</f>
        <v/>
      </c>
      <c r="M842" t="str">
        <f>IF($G842=0,"",IF(对账补充行!$G235=0,"",对账补充行!$G235))</f>
        <v/>
      </c>
      <c r="N842" t="str">
        <f>IF($G842=0,"",IF(对账补充行!$H235=0,"",对账补充行!$H235))</f>
        <v/>
      </c>
      <c r="O842" t="str">
        <f>IF($G842=0,"",IF(对账补充行!$I235=0,"",对账补充行!$I235))</f>
        <v/>
      </c>
      <c r="P842" t="str">
        <f>IF($G842=0,"",IF(对账补充行!$J235=0,"",对账补充行!$J235))</f>
        <v/>
      </c>
      <c r="T842" t="str">
        <f>IF(成本费用登记表!$D242="","",成本费用登记表!$D242)</f>
        <v/>
      </c>
      <c r="U842">
        <f t="shared" si="135"/>
        <v>0</v>
      </c>
      <c r="V842">
        <f t="shared" si="136"/>
        <v>0</v>
      </c>
    </row>
    <row r="843" spans="1:22">
      <c r="A843" t="str">
        <f>IF(资金日记账!$F541="","",资金日记账!$F541)</f>
        <v/>
      </c>
      <c r="B843">
        <f t="shared" si="132"/>
        <v>0</v>
      </c>
      <c r="C843">
        <f t="shared" si="133"/>
        <v>0</v>
      </c>
      <c r="G843">
        <f>IF(OR($G$1="",对账补充行!$C236="",对账补充行!$C236&lt;&gt;$G$1),0,IF(NOT(OR(N(对账补充行!$H236)&lt;&gt;0,N(对账补充行!$I236)&lt;&gt;0)),0,IF(对账补充行!$B236="",1,IF(OR(N(对账补充行!$B236)&lt;$H$1,N(对账补充行!$B236)&gt;$I$1),0,1))))</f>
        <v>0</v>
      </c>
      <c r="H843">
        <f t="shared" si="134"/>
        <v>0</v>
      </c>
      <c r="I843" t="str">
        <f>IF($G843=0,"",IF(对账补充行!$B236=0,"",对账补充行!$B236))</f>
        <v/>
      </c>
      <c r="J843" t="str">
        <f>IF($G843=0,"",IF(对账补充行!$D236=0,"",对账补充行!$D236))</f>
        <v/>
      </c>
      <c r="K843" t="str">
        <f>IF($G843=0,"",IF(对账补充行!$E236=0,"",对账补充行!$E236))</f>
        <v/>
      </c>
      <c r="L843" t="str">
        <f>IF($G843=0,"",IF(对账补充行!$F236=0,"",对账补充行!$F236))</f>
        <v/>
      </c>
      <c r="M843" t="str">
        <f>IF($G843=0,"",IF(对账补充行!$G236=0,"",对账补充行!$G236))</f>
        <v/>
      </c>
      <c r="N843" t="str">
        <f>IF($G843=0,"",IF(对账补充行!$H236=0,"",对账补充行!$H236))</f>
        <v/>
      </c>
      <c r="O843" t="str">
        <f>IF($G843=0,"",IF(对账补充行!$I236=0,"",对账补充行!$I236))</f>
        <v/>
      </c>
      <c r="P843" t="str">
        <f>IF($G843=0,"",IF(对账补充行!$J236=0,"",对账补充行!$J236))</f>
        <v/>
      </c>
      <c r="T843" t="str">
        <f>IF(成本费用登记表!$D243="","",成本费用登记表!$D243)</f>
        <v/>
      </c>
      <c r="U843">
        <f t="shared" si="135"/>
        <v>0</v>
      </c>
      <c r="V843">
        <f t="shared" si="136"/>
        <v>0</v>
      </c>
    </row>
    <row r="844" spans="1:22">
      <c r="A844" t="str">
        <f>IF(资金日记账!$F542="","",资金日记账!$F542)</f>
        <v/>
      </c>
      <c r="B844">
        <f t="shared" si="132"/>
        <v>0</v>
      </c>
      <c r="C844">
        <f t="shared" si="133"/>
        <v>0</v>
      </c>
      <c r="G844">
        <f>IF(OR($G$1="",对账补充行!$C237="",对账补充行!$C237&lt;&gt;$G$1),0,IF(NOT(OR(N(对账补充行!$H237)&lt;&gt;0,N(对账补充行!$I237)&lt;&gt;0)),0,IF(对账补充行!$B237="",1,IF(OR(N(对账补充行!$B237)&lt;$H$1,N(对账补充行!$B237)&gt;$I$1),0,1))))</f>
        <v>0</v>
      </c>
      <c r="H844">
        <f t="shared" si="134"/>
        <v>0</v>
      </c>
      <c r="I844" t="str">
        <f>IF($G844=0,"",IF(对账补充行!$B237=0,"",对账补充行!$B237))</f>
        <v/>
      </c>
      <c r="J844" t="str">
        <f>IF($G844=0,"",IF(对账补充行!$D237=0,"",对账补充行!$D237))</f>
        <v/>
      </c>
      <c r="K844" t="str">
        <f>IF($G844=0,"",IF(对账补充行!$E237=0,"",对账补充行!$E237))</f>
        <v/>
      </c>
      <c r="L844" t="str">
        <f>IF($G844=0,"",IF(对账补充行!$F237=0,"",对账补充行!$F237))</f>
        <v/>
      </c>
      <c r="M844" t="str">
        <f>IF($G844=0,"",IF(对账补充行!$G237=0,"",对账补充行!$G237))</f>
        <v/>
      </c>
      <c r="N844" t="str">
        <f>IF($G844=0,"",IF(对账补充行!$H237=0,"",对账补充行!$H237))</f>
        <v/>
      </c>
      <c r="O844" t="str">
        <f>IF($G844=0,"",IF(对账补充行!$I237=0,"",对账补充行!$I237))</f>
        <v/>
      </c>
      <c r="P844" t="str">
        <f>IF($G844=0,"",IF(对账补充行!$J237=0,"",对账补充行!$J237))</f>
        <v/>
      </c>
      <c r="T844" t="str">
        <f>IF(成本费用登记表!$D244="","",成本费用登记表!$D244)</f>
        <v/>
      </c>
      <c r="U844">
        <f t="shared" si="135"/>
        <v>0</v>
      </c>
      <c r="V844">
        <f t="shared" si="136"/>
        <v>0</v>
      </c>
    </row>
    <row r="845" spans="1:22">
      <c r="A845" t="str">
        <f>IF(资金日记账!$F543="","",资金日记账!$F543)</f>
        <v/>
      </c>
      <c r="B845">
        <f t="shared" si="132"/>
        <v>0</v>
      </c>
      <c r="C845">
        <f t="shared" si="133"/>
        <v>0</v>
      </c>
      <c r="G845">
        <f>IF(OR($G$1="",对账补充行!$C238="",对账补充行!$C238&lt;&gt;$G$1),0,IF(NOT(OR(N(对账补充行!$H238)&lt;&gt;0,N(对账补充行!$I238)&lt;&gt;0)),0,IF(对账补充行!$B238="",1,IF(OR(N(对账补充行!$B238)&lt;$H$1,N(对账补充行!$B238)&gt;$I$1),0,1))))</f>
        <v>0</v>
      </c>
      <c r="H845">
        <f t="shared" si="134"/>
        <v>0</v>
      </c>
      <c r="I845" t="str">
        <f>IF($G845=0,"",IF(对账补充行!$B238=0,"",对账补充行!$B238))</f>
        <v/>
      </c>
      <c r="J845" t="str">
        <f>IF($G845=0,"",IF(对账补充行!$D238=0,"",对账补充行!$D238))</f>
        <v/>
      </c>
      <c r="K845" t="str">
        <f>IF($G845=0,"",IF(对账补充行!$E238=0,"",对账补充行!$E238))</f>
        <v/>
      </c>
      <c r="L845" t="str">
        <f>IF($G845=0,"",IF(对账补充行!$F238=0,"",对账补充行!$F238))</f>
        <v/>
      </c>
      <c r="M845" t="str">
        <f>IF($G845=0,"",IF(对账补充行!$G238=0,"",对账补充行!$G238))</f>
        <v/>
      </c>
      <c r="N845" t="str">
        <f>IF($G845=0,"",IF(对账补充行!$H238=0,"",对账补充行!$H238))</f>
        <v/>
      </c>
      <c r="O845" t="str">
        <f>IF($G845=0,"",IF(对账补充行!$I238=0,"",对账补充行!$I238))</f>
        <v/>
      </c>
      <c r="P845" t="str">
        <f>IF($G845=0,"",IF(对账补充行!$J238=0,"",对账补充行!$J238))</f>
        <v/>
      </c>
      <c r="T845" t="str">
        <f>IF(成本费用登记表!$D245="","",成本费用登记表!$D245)</f>
        <v/>
      </c>
      <c r="U845">
        <f t="shared" si="135"/>
        <v>0</v>
      </c>
      <c r="V845">
        <f t="shared" si="136"/>
        <v>0</v>
      </c>
    </row>
    <row r="846" spans="1:22">
      <c r="A846" t="str">
        <f>IF(资金日记账!$F544="","",资金日记账!$F544)</f>
        <v/>
      </c>
      <c r="B846">
        <f t="shared" si="132"/>
        <v>0</v>
      </c>
      <c r="C846">
        <f t="shared" si="133"/>
        <v>0</v>
      </c>
      <c r="G846">
        <f>IF(OR($G$1="",对账补充行!$C239="",对账补充行!$C239&lt;&gt;$G$1),0,IF(NOT(OR(N(对账补充行!$H239)&lt;&gt;0,N(对账补充行!$I239)&lt;&gt;0)),0,IF(对账补充行!$B239="",1,IF(OR(N(对账补充行!$B239)&lt;$H$1,N(对账补充行!$B239)&gt;$I$1),0,1))))</f>
        <v>0</v>
      </c>
      <c r="H846">
        <f t="shared" si="134"/>
        <v>0</v>
      </c>
      <c r="I846" t="str">
        <f>IF($G846=0,"",IF(对账补充行!$B239=0,"",对账补充行!$B239))</f>
        <v/>
      </c>
      <c r="J846" t="str">
        <f>IF($G846=0,"",IF(对账补充行!$D239=0,"",对账补充行!$D239))</f>
        <v/>
      </c>
      <c r="K846" t="str">
        <f>IF($G846=0,"",IF(对账补充行!$E239=0,"",对账补充行!$E239))</f>
        <v/>
      </c>
      <c r="L846" t="str">
        <f>IF($G846=0,"",IF(对账补充行!$F239=0,"",对账补充行!$F239))</f>
        <v/>
      </c>
      <c r="M846" t="str">
        <f>IF($G846=0,"",IF(对账补充行!$G239=0,"",对账补充行!$G239))</f>
        <v/>
      </c>
      <c r="N846" t="str">
        <f>IF($G846=0,"",IF(对账补充行!$H239=0,"",对账补充行!$H239))</f>
        <v/>
      </c>
      <c r="O846" t="str">
        <f>IF($G846=0,"",IF(对账补充行!$I239=0,"",对账补充行!$I239))</f>
        <v/>
      </c>
      <c r="P846" t="str">
        <f>IF($G846=0,"",IF(对账补充行!$J239=0,"",对账补充行!$J239))</f>
        <v/>
      </c>
      <c r="T846" t="str">
        <f>IF(成本费用登记表!$D246="","",成本费用登记表!$D246)</f>
        <v/>
      </c>
      <c r="U846">
        <f t="shared" si="135"/>
        <v>0</v>
      </c>
      <c r="V846">
        <f t="shared" si="136"/>
        <v>0</v>
      </c>
    </row>
    <row r="847" spans="1:22">
      <c r="A847" t="str">
        <f>IF(资金日记账!$F545="","",资金日记账!$F545)</f>
        <v/>
      </c>
      <c r="B847">
        <f t="shared" si="132"/>
        <v>0</v>
      </c>
      <c r="C847">
        <f t="shared" si="133"/>
        <v>0</v>
      </c>
      <c r="G847">
        <f>IF(OR($G$1="",对账补充行!$C240="",对账补充行!$C240&lt;&gt;$G$1),0,IF(NOT(OR(N(对账补充行!$H240)&lt;&gt;0,N(对账补充行!$I240)&lt;&gt;0)),0,IF(对账补充行!$B240="",1,IF(OR(N(对账补充行!$B240)&lt;$H$1,N(对账补充行!$B240)&gt;$I$1),0,1))))</f>
        <v>0</v>
      </c>
      <c r="H847">
        <f t="shared" si="134"/>
        <v>0</v>
      </c>
      <c r="I847" t="str">
        <f>IF($G847=0,"",IF(对账补充行!$B240=0,"",对账补充行!$B240))</f>
        <v/>
      </c>
      <c r="J847" t="str">
        <f>IF($G847=0,"",IF(对账补充行!$D240=0,"",对账补充行!$D240))</f>
        <v/>
      </c>
      <c r="K847" t="str">
        <f>IF($G847=0,"",IF(对账补充行!$E240=0,"",对账补充行!$E240))</f>
        <v/>
      </c>
      <c r="L847" t="str">
        <f>IF($G847=0,"",IF(对账补充行!$F240=0,"",对账补充行!$F240))</f>
        <v/>
      </c>
      <c r="M847" t="str">
        <f>IF($G847=0,"",IF(对账补充行!$G240=0,"",对账补充行!$G240))</f>
        <v/>
      </c>
      <c r="N847" t="str">
        <f>IF($G847=0,"",IF(对账补充行!$H240=0,"",对账补充行!$H240))</f>
        <v/>
      </c>
      <c r="O847" t="str">
        <f>IF($G847=0,"",IF(对账补充行!$I240=0,"",对账补充行!$I240))</f>
        <v/>
      </c>
      <c r="P847" t="str">
        <f>IF($G847=0,"",IF(对账补充行!$J240=0,"",对账补充行!$J240))</f>
        <v/>
      </c>
      <c r="T847" t="str">
        <f>IF(成本费用登记表!$D247="","",成本费用登记表!$D247)</f>
        <v/>
      </c>
      <c r="U847">
        <f t="shared" si="135"/>
        <v>0</v>
      </c>
      <c r="V847">
        <f t="shared" si="136"/>
        <v>0</v>
      </c>
    </row>
    <row r="848" spans="1:22">
      <c r="A848" t="str">
        <f>IF(资金日记账!$F546="","",资金日记账!$F546)</f>
        <v/>
      </c>
      <c r="B848">
        <f t="shared" si="132"/>
        <v>0</v>
      </c>
      <c r="C848">
        <f t="shared" si="133"/>
        <v>0</v>
      </c>
      <c r="G848">
        <f>IF(OR($G$1="",对账补充行!$C241="",对账补充行!$C241&lt;&gt;$G$1),0,IF(NOT(OR(N(对账补充行!$H241)&lt;&gt;0,N(对账补充行!$I241)&lt;&gt;0)),0,IF(对账补充行!$B241="",1,IF(OR(N(对账补充行!$B241)&lt;$H$1,N(对账补充行!$B241)&gt;$I$1),0,1))))</f>
        <v>0</v>
      </c>
      <c r="H848">
        <f t="shared" si="134"/>
        <v>0</v>
      </c>
      <c r="I848" t="str">
        <f>IF($G848=0,"",IF(对账补充行!$B241=0,"",对账补充行!$B241))</f>
        <v/>
      </c>
      <c r="J848" t="str">
        <f>IF($G848=0,"",IF(对账补充行!$D241=0,"",对账补充行!$D241))</f>
        <v/>
      </c>
      <c r="K848" t="str">
        <f>IF($G848=0,"",IF(对账补充行!$E241=0,"",对账补充行!$E241))</f>
        <v/>
      </c>
      <c r="L848" t="str">
        <f>IF($G848=0,"",IF(对账补充行!$F241=0,"",对账补充行!$F241))</f>
        <v/>
      </c>
      <c r="M848" t="str">
        <f>IF($G848=0,"",IF(对账补充行!$G241=0,"",对账补充行!$G241))</f>
        <v/>
      </c>
      <c r="N848" t="str">
        <f>IF($G848=0,"",IF(对账补充行!$H241=0,"",对账补充行!$H241))</f>
        <v/>
      </c>
      <c r="O848" t="str">
        <f>IF($G848=0,"",IF(对账补充行!$I241=0,"",对账补充行!$I241))</f>
        <v/>
      </c>
      <c r="P848" t="str">
        <f>IF($G848=0,"",IF(对账补充行!$J241=0,"",对账补充行!$J241))</f>
        <v/>
      </c>
      <c r="T848" t="str">
        <f>IF(成本费用登记表!$D248="","",成本费用登记表!$D248)</f>
        <v/>
      </c>
      <c r="U848">
        <f t="shared" si="135"/>
        <v>0</v>
      </c>
      <c r="V848">
        <f t="shared" si="136"/>
        <v>0</v>
      </c>
    </row>
    <row r="849" spans="1:22">
      <c r="A849" t="str">
        <f>IF(资金日记账!$F547="","",资金日记账!$F547)</f>
        <v/>
      </c>
      <c r="B849">
        <f t="shared" si="132"/>
        <v>0</v>
      </c>
      <c r="C849">
        <f t="shared" si="133"/>
        <v>0</v>
      </c>
      <c r="G849">
        <f>IF(OR($G$1="",对账补充行!$C242="",对账补充行!$C242&lt;&gt;$G$1),0,IF(NOT(OR(N(对账补充行!$H242)&lt;&gt;0,N(对账补充行!$I242)&lt;&gt;0)),0,IF(对账补充行!$B242="",1,IF(OR(N(对账补充行!$B242)&lt;$H$1,N(对账补充行!$B242)&gt;$I$1),0,1))))</f>
        <v>0</v>
      </c>
      <c r="H849">
        <f t="shared" si="134"/>
        <v>0</v>
      </c>
      <c r="I849" t="str">
        <f>IF($G849=0,"",IF(对账补充行!$B242=0,"",对账补充行!$B242))</f>
        <v/>
      </c>
      <c r="J849" t="str">
        <f>IF($G849=0,"",IF(对账补充行!$D242=0,"",对账补充行!$D242))</f>
        <v/>
      </c>
      <c r="K849" t="str">
        <f>IF($G849=0,"",IF(对账补充行!$E242=0,"",对账补充行!$E242))</f>
        <v/>
      </c>
      <c r="L849" t="str">
        <f>IF($G849=0,"",IF(对账补充行!$F242=0,"",对账补充行!$F242))</f>
        <v/>
      </c>
      <c r="M849" t="str">
        <f>IF($G849=0,"",IF(对账补充行!$G242=0,"",对账补充行!$G242))</f>
        <v/>
      </c>
      <c r="N849" t="str">
        <f>IF($G849=0,"",IF(对账补充行!$H242=0,"",对账补充行!$H242))</f>
        <v/>
      </c>
      <c r="O849" t="str">
        <f>IF($G849=0,"",IF(对账补充行!$I242=0,"",对账补充行!$I242))</f>
        <v/>
      </c>
      <c r="P849" t="str">
        <f>IF($G849=0,"",IF(对账补充行!$J242=0,"",对账补充行!$J242))</f>
        <v/>
      </c>
      <c r="T849" t="str">
        <f>IF(成本费用登记表!$D249="","",成本费用登记表!$D249)</f>
        <v/>
      </c>
      <c r="U849">
        <f t="shared" si="135"/>
        <v>0</v>
      </c>
      <c r="V849">
        <f t="shared" si="136"/>
        <v>0</v>
      </c>
    </row>
    <row r="850" spans="1:22">
      <c r="A850" t="str">
        <f>IF(资金日记账!$F548="","",资金日记账!$F548)</f>
        <v/>
      </c>
      <c r="B850">
        <f t="shared" si="132"/>
        <v>0</v>
      </c>
      <c r="C850">
        <f t="shared" si="133"/>
        <v>0</v>
      </c>
      <c r="G850">
        <f>IF(OR($G$1="",对账补充行!$C243="",对账补充行!$C243&lt;&gt;$G$1),0,IF(NOT(OR(N(对账补充行!$H243)&lt;&gt;0,N(对账补充行!$I243)&lt;&gt;0)),0,IF(对账补充行!$B243="",1,IF(OR(N(对账补充行!$B243)&lt;$H$1,N(对账补充行!$B243)&gt;$I$1),0,1))))</f>
        <v>0</v>
      </c>
      <c r="H850">
        <f t="shared" si="134"/>
        <v>0</v>
      </c>
      <c r="I850" t="str">
        <f>IF($G850=0,"",IF(对账补充行!$B243=0,"",对账补充行!$B243))</f>
        <v/>
      </c>
      <c r="J850" t="str">
        <f>IF($G850=0,"",IF(对账补充行!$D243=0,"",对账补充行!$D243))</f>
        <v/>
      </c>
      <c r="K850" t="str">
        <f>IF($G850=0,"",IF(对账补充行!$E243=0,"",对账补充行!$E243))</f>
        <v/>
      </c>
      <c r="L850" t="str">
        <f>IF($G850=0,"",IF(对账补充行!$F243=0,"",对账补充行!$F243))</f>
        <v/>
      </c>
      <c r="M850" t="str">
        <f>IF($G850=0,"",IF(对账补充行!$G243=0,"",对账补充行!$G243))</f>
        <v/>
      </c>
      <c r="N850" t="str">
        <f>IF($G850=0,"",IF(对账补充行!$H243=0,"",对账补充行!$H243))</f>
        <v/>
      </c>
      <c r="O850" t="str">
        <f>IF($G850=0,"",IF(对账补充行!$I243=0,"",对账补充行!$I243))</f>
        <v/>
      </c>
      <c r="P850" t="str">
        <f>IF($G850=0,"",IF(对账补充行!$J243=0,"",对账补充行!$J243))</f>
        <v/>
      </c>
      <c r="T850" t="str">
        <f>IF(成本费用登记表!$D250="","",成本费用登记表!$D250)</f>
        <v/>
      </c>
      <c r="U850">
        <f t="shared" si="135"/>
        <v>0</v>
      </c>
      <c r="V850">
        <f t="shared" si="136"/>
        <v>0</v>
      </c>
    </row>
    <row r="851" spans="1:22">
      <c r="A851" t="str">
        <f>IF(资金日记账!$F549="","",资金日记账!$F549)</f>
        <v/>
      </c>
      <c r="B851">
        <f t="shared" si="132"/>
        <v>0</v>
      </c>
      <c r="C851">
        <f t="shared" si="133"/>
        <v>0</v>
      </c>
      <c r="G851">
        <f>IF(OR($G$1="",对账补充行!$C244="",对账补充行!$C244&lt;&gt;$G$1),0,IF(NOT(OR(N(对账补充行!$H244)&lt;&gt;0,N(对账补充行!$I244)&lt;&gt;0)),0,IF(对账补充行!$B244="",1,IF(OR(N(对账补充行!$B244)&lt;$H$1,N(对账补充行!$B244)&gt;$I$1),0,1))))</f>
        <v>0</v>
      </c>
      <c r="H851">
        <f t="shared" si="134"/>
        <v>0</v>
      </c>
      <c r="I851" t="str">
        <f>IF($G851=0,"",IF(对账补充行!$B244=0,"",对账补充行!$B244))</f>
        <v/>
      </c>
      <c r="J851" t="str">
        <f>IF($G851=0,"",IF(对账补充行!$D244=0,"",对账补充行!$D244))</f>
        <v/>
      </c>
      <c r="K851" t="str">
        <f>IF($G851=0,"",IF(对账补充行!$E244=0,"",对账补充行!$E244))</f>
        <v/>
      </c>
      <c r="L851" t="str">
        <f>IF($G851=0,"",IF(对账补充行!$F244=0,"",对账补充行!$F244))</f>
        <v/>
      </c>
      <c r="M851" t="str">
        <f>IF($G851=0,"",IF(对账补充行!$G244=0,"",对账补充行!$G244))</f>
        <v/>
      </c>
      <c r="N851" t="str">
        <f>IF($G851=0,"",IF(对账补充行!$H244=0,"",对账补充行!$H244))</f>
        <v/>
      </c>
      <c r="O851" t="str">
        <f>IF($G851=0,"",IF(对账补充行!$I244=0,"",对账补充行!$I244))</f>
        <v/>
      </c>
      <c r="P851" t="str">
        <f>IF($G851=0,"",IF(对账补充行!$J244=0,"",对账补充行!$J244))</f>
        <v/>
      </c>
      <c r="T851" t="str">
        <f>IF(成本费用登记表!$D251="","",成本费用登记表!$D251)</f>
        <v/>
      </c>
      <c r="U851">
        <f t="shared" si="135"/>
        <v>0</v>
      </c>
      <c r="V851">
        <f t="shared" si="136"/>
        <v>0</v>
      </c>
    </row>
    <row r="852" spans="1:22">
      <c r="A852" t="str">
        <f>IF(资金日记账!$F550="","",资金日记账!$F550)</f>
        <v/>
      </c>
      <c r="B852">
        <f t="shared" si="132"/>
        <v>0</v>
      </c>
      <c r="C852">
        <f t="shared" si="133"/>
        <v>0</v>
      </c>
      <c r="G852">
        <f>IF(OR($G$1="",对账补充行!$C245="",对账补充行!$C245&lt;&gt;$G$1),0,IF(NOT(OR(N(对账补充行!$H245)&lt;&gt;0,N(对账补充行!$I245)&lt;&gt;0)),0,IF(对账补充行!$B245="",1,IF(OR(N(对账补充行!$B245)&lt;$H$1,N(对账补充行!$B245)&gt;$I$1),0,1))))</f>
        <v>0</v>
      </c>
      <c r="H852">
        <f t="shared" si="134"/>
        <v>0</v>
      </c>
      <c r="I852" t="str">
        <f>IF($G852=0,"",IF(对账补充行!$B245=0,"",对账补充行!$B245))</f>
        <v/>
      </c>
      <c r="J852" t="str">
        <f>IF($G852=0,"",IF(对账补充行!$D245=0,"",对账补充行!$D245))</f>
        <v/>
      </c>
      <c r="K852" t="str">
        <f>IF($G852=0,"",IF(对账补充行!$E245=0,"",对账补充行!$E245))</f>
        <v/>
      </c>
      <c r="L852" t="str">
        <f>IF($G852=0,"",IF(对账补充行!$F245=0,"",对账补充行!$F245))</f>
        <v/>
      </c>
      <c r="M852" t="str">
        <f>IF($G852=0,"",IF(对账补充行!$G245=0,"",对账补充行!$G245))</f>
        <v/>
      </c>
      <c r="N852" t="str">
        <f>IF($G852=0,"",IF(对账补充行!$H245=0,"",对账补充行!$H245))</f>
        <v/>
      </c>
      <c r="O852" t="str">
        <f>IF($G852=0,"",IF(对账补充行!$I245=0,"",对账补充行!$I245))</f>
        <v/>
      </c>
      <c r="P852" t="str">
        <f>IF($G852=0,"",IF(对账补充行!$J245=0,"",对账补充行!$J245))</f>
        <v/>
      </c>
      <c r="T852" t="str">
        <f>IF(成本费用登记表!$D252="","",成本费用登记表!$D252)</f>
        <v/>
      </c>
      <c r="U852">
        <f t="shared" si="135"/>
        <v>0</v>
      </c>
      <c r="V852">
        <f t="shared" si="136"/>
        <v>0</v>
      </c>
    </row>
    <row r="853" spans="1:22">
      <c r="A853" t="str">
        <f>IF(资金日记账!$F551="","",资金日记账!$F551)</f>
        <v/>
      </c>
      <c r="B853">
        <f t="shared" si="132"/>
        <v>0</v>
      </c>
      <c r="C853">
        <f t="shared" si="133"/>
        <v>0</v>
      </c>
      <c r="G853">
        <f>IF(OR($G$1="",对账补充行!$C246="",对账补充行!$C246&lt;&gt;$G$1),0,IF(NOT(OR(N(对账补充行!$H246)&lt;&gt;0,N(对账补充行!$I246)&lt;&gt;0)),0,IF(对账补充行!$B246="",1,IF(OR(N(对账补充行!$B246)&lt;$H$1,N(对账补充行!$B246)&gt;$I$1),0,1))))</f>
        <v>0</v>
      </c>
      <c r="H853">
        <f t="shared" si="134"/>
        <v>0</v>
      </c>
      <c r="I853" t="str">
        <f>IF($G853=0,"",IF(对账补充行!$B246=0,"",对账补充行!$B246))</f>
        <v/>
      </c>
      <c r="J853" t="str">
        <f>IF($G853=0,"",IF(对账补充行!$D246=0,"",对账补充行!$D246))</f>
        <v/>
      </c>
      <c r="K853" t="str">
        <f>IF($G853=0,"",IF(对账补充行!$E246=0,"",对账补充行!$E246))</f>
        <v/>
      </c>
      <c r="L853" t="str">
        <f>IF($G853=0,"",IF(对账补充行!$F246=0,"",对账补充行!$F246))</f>
        <v/>
      </c>
      <c r="M853" t="str">
        <f>IF($G853=0,"",IF(对账补充行!$G246=0,"",对账补充行!$G246))</f>
        <v/>
      </c>
      <c r="N853" t="str">
        <f>IF($G853=0,"",IF(对账补充行!$H246=0,"",对账补充行!$H246))</f>
        <v/>
      </c>
      <c r="O853" t="str">
        <f>IF($G853=0,"",IF(对账补充行!$I246=0,"",对账补充行!$I246))</f>
        <v/>
      </c>
      <c r="P853" t="str">
        <f>IF($G853=0,"",IF(对账补充行!$J246=0,"",对账补充行!$J246))</f>
        <v/>
      </c>
      <c r="T853" t="str">
        <f>IF(成本费用登记表!$D253="","",成本费用登记表!$D253)</f>
        <v/>
      </c>
      <c r="U853">
        <f t="shared" si="135"/>
        <v>0</v>
      </c>
      <c r="V853">
        <f t="shared" si="136"/>
        <v>0</v>
      </c>
    </row>
    <row r="854" spans="1:22">
      <c r="A854" t="str">
        <f>IF(资金日记账!$F552="","",资金日记账!$F552)</f>
        <v/>
      </c>
      <c r="B854">
        <f t="shared" si="132"/>
        <v>0</v>
      </c>
      <c r="C854">
        <f t="shared" si="133"/>
        <v>0</v>
      </c>
      <c r="G854">
        <f>IF(OR($G$1="",对账补充行!$C247="",对账补充行!$C247&lt;&gt;$G$1),0,IF(NOT(OR(N(对账补充行!$H247)&lt;&gt;0,N(对账补充行!$I247)&lt;&gt;0)),0,IF(对账补充行!$B247="",1,IF(OR(N(对账补充行!$B247)&lt;$H$1,N(对账补充行!$B247)&gt;$I$1),0,1))))</f>
        <v>0</v>
      </c>
      <c r="H854">
        <f t="shared" si="134"/>
        <v>0</v>
      </c>
      <c r="I854" t="str">
        <f>IF($G854=0,"",IF(对账补充行!$B247=0,"",对账补充行!$B247))</f>
        <v/>
      </c>
      <c r="J854" t="str">
        <f>IF($G854=0,"",IF(对账补充行!$D247=0,"",对账补充行!$D247))</f>
        <v/>
      </c>
      <c r="K854" t="str">
        <f>IF($G854=0,"",IF(对账补充行!$E247=0,"",对账补充行!$E247))</f>
        <v/>
      </c>
      <c r="L854" t="str">
        <f>IF($G854=0,"",IF(对账补充行!$F247=0,"",对账补充行!$F247))</f>
        <v/>
      </c>
      <c r="M854" t="str">
        <f>IF($G854=0,"",IF(对账补充行!$G247=0,"",对账补充行!$G247))</f>
        <v/>
      </c>
      <c r="N854" t="str">
        <f>IF($G854=0,"",IF(对账补充行!$H247=0,"",对账补充行!$H247))</f>
        <v/>
      </c>
      <c r="O854" t="str">
        <f>IF($G854=0,"",IF(对账补充行!$I247=0,"",对账补充行!$I247))</f>
        <v/>
      </c>
      <c r="P854" t="str">
        <f>IF($G854=0,"",IF(对账补充行!$J247=0,"",对账补充行!$J247))</f>
        <v/>
      </c>
      <c r="T854" t="str">
        <f>IF(成本费用登记表!$D254="","",成本费用登记表!$D254)</f>
        <v/>
      </c>
      <c r="U854">
        <f t="shared" si="135"/>
        <v>0</v>
      </c>
      <c r="V854">
        <f t="shared" si="136"/>
        <v>0</v>
      </c>
    </row>
    <row r="855" spans="1:22">
      <c r="A855" t="str">
        <f>IF(资金日记账!$F553="","",资金日记账!$F553)</f>
        <v/>
      </c>
      <c r="B855">
        <f t="shared" si="132"/>
        <v>0</v>
      </c>
      <c r="C855">
        <f t="shared" si="133"/>
        <v>0</v>
      </c>
      <c r="G855">
        <f>IF(OR($G$1="",对账补充行!$C248="",对账补充行!$C248&lt;&gt;$G$1),0,IF(NOT(OR(N(对账补充行!$H248)&lt;&gt;0,N(对账补充行!$I248)&lt;&gt;0)),0,IF(对账补充行!$B248="",1,IF(OR(N(对账补充行!$B248)&lt;$H$1,N(对账补充行!$B248)&gt;$I$1),0,1))))</f>
        <v>0</v>
      </c>
      <c r="H855">
        <f t="shared" si="134"/>
        <v>0</v>
      </c>
      <c r="I855" t="str">
        <f>IF($G855=0,"",IF(对账补充行!$B248=0,"",对账补充行!$B248))</f>
        <v/>
      </c>
      <c r="J855" t="str">
        <f>IF($G855=0,"",IF(对账补充行!$D248=0,"",对账补充行!$D248))</f>
        <v/>
      </c>
      <c r="K855" t="str">
        <f>IF($G855=0,"",IF(对账补充行!$E248=0,"",对账补充行!$E248))</f>
        <v/>
      </c>
      <c r="L855" t="str">
        <f>IF($G855=0,"",IF(对账补充行!$F248=0,"",对账补充行!$F248))</f>
        <v/>
      </c>
      <c r="M855" t="str">
        <f>IF($G855=0,"",IF(对账补充行!$G248=0,"",对账补充行!$G248))</f>
        <v/>
      </c>
      <c r="N855" t="str">
        <f>IF($G855=0,"",IF(对账补充行!$H248=0,"",对账补充行!$H248))</f>
        <v/>
      </c>
      <c r="O855" t="str">
        <f>IF($G855=0,"",IF(对账补充行!$I248=0,"",对账补充行!$I248))</f>
        <v/>
      </c>
      <c r="P855" t="str">
        <f>IF($G855=0,"",IF(对账补充行!$J248=0,"",对账补充行!$J248))</f>
        <v/>
      </c>
      <c r="T855" t="str">
        <f>IF(成本费用登记表!$D255="","",成本费用登记表!$D255)</f>
        <v/>
      </c>
      <c r="U855">
        <f t="shared" si="135"/>
        <v>0</v>
      </c>
      <c r="V855">
        <f t="shared" si="136"/>
        <v>0</v>
      </c>
    </row>
    <row r="856" spans="1:22">
      <c r="A856" t="str">
        <f>IF(资金日记账!$F554="","",资金日记账!$F554)</f>
        <v/>
      </c>
      <c r="B856">
        <f t="shared" si="132"/>
        <v>0</v>
      </c>
      <c r="C856">
        <f t="shared" si="133"/>
        <v>0</v>
      </c>
      <c r="G856">
        <f>IF(OR($G$1="",对账补充行!$C249="",对账补充行!$C249&lt;&gt;$G$1),0,IF(NOT(OR(N(对账补充行!$H249)&lt;&gt;0,N(对账补充行!$I249)&lt;&gt;0)),0,IF(对账补充行!$B249="",1,IF(OR(N(对账补充行!$B249)&lt;$H$1,N(对账补充行!$B249)&gt;$I$1),0,1))))</f>
        <v>0</v>
      </c>
      <c r="H856">
        <f t="shared" si="134"/>
        <v>0</v>
      </c>
      <c r="I856" t="str">
        <f>IF($G856=0,"",IF(对账补充行!$B249=0,"",对账补充行!$B249))</f>
        <v/>
      </c>
      <c r="J856" t="str">
        <f>IF($G856=0,"",IF(对账补充行!$D249=0,"",对账补充行!$D249))</f>
        <v/>
      </c>
      <c r="K856" t="str">
        <f>IF($G856=0,"",IF(对账补充行!$E249=0,"",对账补充行!$E249))</f>
        <v/>
      </c>
      <c r="L856" t="str">
        <f>IF($G856=0,"",IF(对账补充行!$F249=0,"",对账补充行!$F249))</f>
        <v/>
      </c>
      <c r="M856" t="str">
        <f>IF($G856=0,"",IF(对账补充行!$G249=0,"",对账补充行!$G249))</f>
        <v/>
      </c>
      <c r="N856" t="str">
        <f>IF($G856=0,"",IF(对账补充行!$H249=0,"",对账补充行!$H249))</f>
        <v/>
      </c>
      <c r="O856" t="str">
        <f>IF($G856=0,"",IF(对账补充行!$I249=0,"",对账补充行!$I249))</f>
        <v/>
      </c>
      <c r="P856" t="str">
        <f>IF($G856=0,"",IF(对账补充行!$J249=0,"",对账补充行!$J249))</f>
        <v/>
      </c>
      <c r="T856" t="str">
        <f>IF(成本费用登记表!$D256="","",成本费用登记表!$D256)</f>
        <v/>
      </c>
      <c r="U856">
        <f t="shared" si="135"/>
        <v>0</v>
      </c>
      <c r="V856">
        <f t="shared" si="136"/>
        <v>0</v>
      </c>
    </row>
    <row r="857" spans="1:22">
      <c r="A857" t="str">
        <f>IF(资金日记账!$F555="","",资金日记账!$F555)</f>
        <v/>
      </c>
      <c r="B857">
        <f t="shared" si="132"/>
        <v>0</v>
      </c>
      <c r="C857">
        <f t="shared" si="133"/>
        <v>0</v>
      </c>
      <c r="G857">
        <f>IF(OR($G$1="",对账补充行!$C250="",对账补充行!$C250&lt;&gt;$G$1),0,IF(NOT(OR(N(对账补充行!$H250)&lt;&gt;0,N(对账补充行!$I250)&lt;&gt;0)),0,IF(对账补充行!$B250="",1,IF(OR(N(对账补充行!$B250)&lt;$H$1,N(对账补充行!$B250)&gt;$I$1),0,1))))</f>
        <v>0</v>
      </c>
      <c r="H857">
        <f t="shared" si="134"/>
        <v>0</v>
      </c>
      <c r="I857" t="str">
        <f>IF($G857=0,"",IF(对账补充行!$B250=0,"",对账补充行!$B250))</f>
        <v/>
      </c>
      <c r="J857" t="str">
        <f>IF($G857=0,"",IF(对账补充行!$D250=0,"",对账补充行!$D250))</f>
        <v/>
      </c>
      <c r="K857" t="str">
        <f>IF($G857=0,"",IF(对账补充行!$E250=0,"",对账补充行!$E250))</f>
        <v/>
      </c>
      <c r="L857" t="str">
        <f>IF($G857=0,"",IF(对账补充行!$F250=0,"",对账补充行!$F250))</f>
        <v/>
      </c>
      <c r="M857" t="str">
        <f>IF($G857=0,"",IF(对账补充行!$G250=0,"",对账补充行!$G250))</f>
        <v/>
      </c>
      <c r="N857" t="str">
        <f>IF($G857=0,"",IF(对账补充行!$H250=0,"",对账补充行!$H250))</f>
        <v/>
      </c>
      <c r="O857" t="str">
        <f>IF($G857=0,"",IF(对账补充行!$I250=0,"",对账补充行!$I250))</f>
        <v/>
      </c>
      <c r="P857" t="str">
        <f>IF($G857=0,"",IF(对账补充行!$J250=0,"",对账补充行!$J250))</f>
        <v/>
      </c>
      <c r="T857" t="str">
        <f>IF(成本费用登记表!$D257="","",成本费用登记表!$D257)</f>
        <v/>
      </c>
      <c r="U857">
        <f t="shared" si="135"/>
        <v>0</v>
      </c>
      <c r="V857">
        <f t="shared" si="136"/>
        <v>0</v>
      </c>
    </row>
    <row r="858" spans="1:22">
      <c r="A858" t="str">
        <f>IF(资金日记账!$F556="","",资金日记账!$F556)</f>
        <v/>
      </c>
      <c r="B858">
        <f t="shared" si="132"/>
        <v>0</v>
      </c>
      <c r="C858">
        <f t="shared" si="133"/>
        <v>0</v>
      </c>
      <c r="G858">
        <f>IF(OR($G$1="",对账补充行!$C251="",对账补充行!$C251&lt;&gt;$G$1),0,IF(NOT(OR(N(对账补充行!$H251)&lt;&gt;0,N(对账补充行!$I251)&lt;&gt;0)),0,IF(对账补充行!$B251="",1,IF(OR(N(对账补充行!$B251)&lt;$H$1,N(对账补充行!$B251)&gt;$I$1),0,1))))</f>
        <v>0</v>
      </c>
      <c r="H858">
        <f t="shared" si="134"/>
        <v>0</v>
      </c>
      <c r="I858" t="str">
        <f>IF($G858=0,"",IF(对账补充行!$B251=0,"",对账补充行!$B251))</f>
        <v/>
      </c>
      <c r="J858" t="str">
        <f>IF($G858=0,"",IF(对账补充行!$D251=0,"",对账补充行!$D251))</f>
        <v/>
      </c>
      <c r="K858" t="str">
        <f>IF($G858=0,"",IF(对账补充行!$E251=0,"",对账补充行!$E251))</f>
        <v/>
      </c>
      <c r="L858" t="str">
        <f>IF($G858=0,"",IF(对账补充行!$F251=0,"",对账补充行!$F251))</f>
        <v/>
      </c>
      <c r="M858" t="str">
        <f>IF($G858=0,"",IF(对账补充行!$G251=0,"",对账补充行!$G251))</f>
        <v/>
      </c>
      <c r="N858" t="str">
        <f>IF($G858=0,"",IF(对账补充行!$H251=0,"",对账补充行!$H251))</f>
        <v/>
      </c>
      <c r="O858" t="str">
        <f>IF($G858=0,"",IF(对账补充行!$I251=0,"",对账补充行!$I251))</f>
        <v/>
      </c>
      <c r="P858" t="str">
        <f>IF($G858=0,"",IF(对账补充行!$J251=0,"",对账补充行!$J251))</f>
        <v/>
      </c>
      <c r="T858" t="str">
        <f>IF(成本费用登记表!$D258="","",成本费用登记表!$D258)</f>
        <v/>
      </c>
      <c r="U858">
        <f t="shared" si="135"/>
        <v>0</v>
      </c>
      <c r="V858">
        <f t="shared" si="136"/>
        <v>0</v>
      </c>
    </row>
    <row r="859" spans="1:22">
      <c r="A859" t="str">
        <f>IF(资金日记账!$F557="","",资金日记账!$F557)</f>
        <v/>
      </c>
      <c r="B859">
        <f t="shared" si="132"/>
        <v>0</v>
      </c>
      <c r="C859">
        <f t="shared" si="133"/>
        <v>0</v>
      </c>
      <c r="G859">
        <f>IF(OR($G$1="",对账补充行!$C252="",对账补充行!$C252&lt;&gt;$G$1),0,IF(NOT(OR(N(对账补充行!$H252)&lt;&gt;0,N(对账补充行!$I252)&lt;&gt;0)),0,IF(对账补充行!$B252="",1,IF(OR(N(对账补充行!$B252)&lt;$H$1,N(对账补充行!$B252)&gt;$I$1),0,1))))</f>
        <v>0</v>
      </c>
      <c r="H859">
        <f t="shared" si="134"/>
        <v>0</v>
      </c>
      <c r="I859" t="str">
        <f>IF($G859=0,"",IF(对账补充行!$B252=0,"",对账补充行!$B252))</f>
        <v/>
      </c>
      <c r="J859" t="str">
        <f>IF($G859=0,"",IF(对账补充行!$D252=0,"",对账补充行!$D252))</f>
        <v/>
      </c>
      <c r="K859" t="str">
        <f>IF($G859=0,"",IF(对账补充行!$E252=0,"",对账补充行!$E252))</f>
        <v/>
      </c>
      <c r="L859" t="str">
        <f>IF($G859=0,"",IF(对账补充行!$F252=0,"",对账补充行!$F252))</f>
        <v/>
      </c>
      <c r="M859" t="str">
        <f>IF($G859=0,"",IF(对账补充行!$G252=0,"",对账补充行!$G252))</f>
        <v/>
      </c>
      <c r="N859" t="str">
        <f>IF($G859=0,"",IF(对账补充行!$H252=0,"",对账补充行!$H252))</f>
        <v/>
      </c>
      <c r="O859" t="str">
        <f>IF($G859=0,"",IF(对账补充行!$I252=0,"",对账补充行!$I252))</f>
        <v/>
      </c>
      <c r="P859" t="str">
        <f>IF($G859=0,"",IF(对账补充行!$J252=0,"",对账补充行!$J252))</f>
        <v/>
      </c>
      <c r="T859" t="str">
        <f>IF(成本费用登记表!$D259="","",成本费用登记表!$D259)</f>
        <v/>
      </c>
      <c r="U859">
        <f t="shared" si="135"/>
        <v>0</v>
      </c>
      <c r="V859">
        <f t="shared" si="136"/>
        <v>0</v>
      </c>
    </row>
    <row r="860" spans="1:22">
      <c r="A860" t="str">
        <f>IF(资金日记账!$F558="","",资金日记账!$F558)</f>
        <v/>
      </c>
      <c r="B860">
        <f t="shared" si="132"/>
        <v>0</v>
      </c>
      <c r="C860">
        <f t="shared" si="133"/>
        <v>0</v>
      </c>
      <c r="G860">
        <f>IF(OR($G$1="",对账补充行!$C253="",对账补充行!$C253&lt;&gt;$G$1),0,IF(NOT(OR(N(对账补充行!$H253)&lt;&gt;0,N(对账补充行!$I253)&lt;&gt;0)),0,IF(对账补充行!$B253="",1,IF(OR(N(对账补充行!$B253)&lt;$H$1,N(对账补充行!$B253)&gt;$I$1),0,1))))</f>
        <v>0</v>
      </c>
      <c r="H860">
        <f t="shared" si="134"/>
        <v>0</v>
      </c>
      <c r="I860" t="str">
        <f>IF($G860=0,"",IF(对账补充行!$B253=0,"",对账补充行!$B253))</f>
        <v/>
      </c>
      <c r="J860" t="str">
        <f>IF($G860=0,"",IF(对账补充行!$D253=0,"",对账补充行!$D253))</f>
        <v/>
      </c>
      <c r="K860" t="str">
        <f>IF($G860=0,"",IF(对账补充行!$E253=0,"",对账补充行!$E253))</f>
        <v/>
      </c>
      <c r="L860" t="str">
        <f>IF($G860=0,"",IF(对账补充行!$F253=0,"",对账补充行!$F253))</f>
        <v/>
      </c>
      <c r="M860" t="str">
        <f>IF($G860=0,"",IF(对账补充行!$G253=0,"",对账补充行!$G253))</f>
        <v/>
      </c>
      <c r="N860" t="str">
        <f>IF($G860=0,"",IF(对账补充行!$H253=0,"",对账补充行!$H253))</f>
        <v/>
      </c>
      <c r="O860" t="str">
        <f>IF($G860=0,"",IF(对账补充行!$I253=0,"",对账补充行!$I253))</f>
        <v/>
      </c>
      <c r="P860" t="str">
        <f>IF($G860=0,"",IF(对账补充行!$J253=0,"",对账补充行!$J253))</f>
        <v/>
      </c>
      <c r="T860" t="str">
        <f>IF(成本费用登记表!$D260="","",成本费用登记表!$D260)</f>
        <v/>
      </c>
      <c r="U860">
        <f t="shared" si="135"/>
        <v>0</v>
      </c>
      <c r="V860">
        <f t="shared" si="136"/>
        <v>0</v>
      </c>
    </row>
    <row r="861" spans="1:22">
      <c r="A861" t="str">
        <f>IF(资金日记账!$F559="","",资金日记账!$F559)</f>
        <v/>
      </c>
      <c r="B861">
        <f t="shared" si="132"/>
        <v>0</v>
      </c>
      <c r="C861">
        <f t="shared" si="133"/>
        <v>0</v>
      </c>
      <c r="G861">
        <f>IF(OR($G$1="",对账补充行!$C254="",对账补充行!$C254&lt;&gt;$G$1),0,IF(NOT(OR(N(对账补充行!$H254)&lt;&gt;0,N(对账补充行!$I254)&lt;&gt;0)),0,IF(对账补充行!$B254="",1,IF(OR(N(对账补充行!$B254)&lt;$H$1,N(对账补充行!$B254)&gt;$I$1),0,1))))</f>
        <v>0</v>
      </c>
      <c r="H861">
        <f t="shared" si="134"/>
        <v>0</v>
      </c>
      <c r="I861" t="str">
        <f>IF($G861=0,"",IF(对账补充行!$B254=0,"",对账补充行!$B254))</f>
        <v/>
      </c>
      <c r="J861" t="str">
        <f>IF($G861=0,"",IF(对账补充行!$D254=0,"",对账补充行!$D254))</f>
        <v/>
      </c>
      <c r="K861" t="str">
        <f>IF($G861=0,"",IF(对账补充行!$E254=0,"",对账补充行!$E254))</f>
        <v/>
      </c>
      <c r="L861" t="str">
        <f>IF($G861=0,"",IF(对账补充行!$F254=0,"",对账补充行!$F254))</f>
        <v/>
      </c>
      <c r="M861" t="str">
        <f>IF($G861=0,"",IF(对账补充行!$G254=0,"",对账补充行!$G254))</f>
        <v/>
      </c>
      <c r="N861" t="str">
        <f>IF($G861=0,"",IF(对账补充行!$H254=0,"",对账补充行!$H254))</f>
        <v/>
      </c>
      <c r="O861" t="str">
        <f>IF($G861=0,"",IF(对账补充行!$I254=0,"",对账补充行!$I254))</f>
        <v/>
      </c>
      <c r="P861" t="str">
        <f>IF($G861=0,"",IF(对账补充行!$J254=0,"",对账补充行!$J254))</f>
        <v/>
      </c>
      <c r="T861" t="str">
        <f>IF(成本费用登记表!$D261="","",成本费用登记表!$D261)</f>
        <v/>
      </c>
      <c r="U861">
        <f t="shared" si="135"/>
        <v>0</v>
      </c>
      <c r="V861">
        <f t="shared" si="136"/>
        <v>0</v>
      </c>
    </row>
    <row r="862" spans="1:22">
      <c r="A862" t="str">
        <f>IF(资金日记账!$F560="","",资金日记账!$F560)</f>
        <v/>
      </c>
      <c r="B862">
        <f t="shared" si="132"/>
        <v>0</v>
      </c>
      <c r="C862">
        <f t="shared" si="133"/>
        <v>0</v>
      </c>
      <c r="G862">
        <f>IF(OR($G$1="",对账补充行!$C255="",对账补充行!$C255&lt;&gt;$G$1),0,IF(NOT(OR(N(对账补充行!$H255)&lt;&gt;0,N(对账补充行!$I255)&lt;&gt;0)),0,IF(对账补充行!$B255="",1,IF(OR(N(对账补充行!$B255)&lt;$H$1,N(对账补充行!$B255)&gt;$I$1),0,1))))</f>
        <v>0</v>
      </c>
      <c r="H862">
        <f t="shared" si="134"/>
        <v>0</v>
      </c>
      <c r="I862" t="str">
        <f>IF($G862=0,"",IF(对账补充行!$B255=0,"",对账补充行!$B255))</f>
        <v/>
      </c>
      <c r="J862" t="str">
        <f>IF($G862=0,"",IF(对账补充行!$D255=0,"",对账补充行!$D255))</f>
        <v/>
      </c>
      <c r="K862" t="str">
        <f>IF($G862=0,"",IF(对账补充行!$E255=0,"",对账补充行!$E255))</f>
        <v/>
      </c>
      <c r="L862" t="str">
        <f>IF($G862=0,"",IF(对账补充行!$F255=0,"",对账补充行!$F255))</f>
        <v/>
      </c>
      <c r="M862" t="str">
        <f>IF($G862=0,"",IF(对账补充行!$G255=0,"",对账补充行!$G255))</f>
        <v/>
      </c>
      <c r="N862" t="str">
        <f>IF($G862=0,"",IF(对账补充行!$H255=0,"",对账补充行!$H255))</f>
        <v/>
      </c>
      <c r="O862" t="str">
        <f>IF($G862=0,"",IF(对账补充行!$I255=0,"",对账补充行!$I255))</f>
        <v/>
      </c>
      <c r="P862" t="str">
        <f>IF($G862=0,"",IF(对账补充行!$J255=0,"",对账补充行!$J255))</f>
        <v/>
      </c>
      <c r="T862" t="str">
        <f>IF(成本费用登记表!$D262="","",成本费用登记表!$D262)</f>
        <v/>
      </c>
      <c r="U862">
        <f t="shared" si="135"/>
        <v>0</v>
      </c>
      <c r="V862">
        <f t="shared" si="136"/>
        <v>0</v>
      </c>
    </row>
    <row r="863" spans="1:22">
      <c r="A863" t="str">
        <f>IF(资金日记账!$F561="","",资金日记账!$F561)</f>
        <v/>
      </c>
      <c r="B863">
        <f t="shared" si="132"/>
        <v>0</v>
      </c>
      <c r="C863">
        <f t="shared" si="133"/>
        <v>0</v>
      </c>
      <c r="G863">
        <f>IF(OR($G$1="",对账补充行!$C256="",对账补充行!$C256&lt;&gt;$G$1),0,IF(NOT(OR(N(对账补充行!$H256)&lt;&gt;0,N(对账补充行!$I256)&lt;&gt;0)),0,IF(对账补充行!$B256="",1,IF(OR(N(对账补充行!$B256)&lt;$H$1,N(对账补充行!$B256)&gt;$I$1),0,1))))</f>
        <v>0</v>
      </c>
      <c r="H863">
        <f t="shared" si="134"/>
        <v>0</v>
      </c>
      <c r="I863" t="str">
        <f>IF($G863=0,"",IF(对账补充行!$B256=0,"",对账补充行!$B256))</f>
        <v/>
      </c>
      <c r="J863" t="str">
        <f>IF($G863=0,"",IF(对账补充行!$D256=0,"",对账补充行!$D256))</f>
        <v/>
      </c>
      <c r="K863" t="str">
        <f>IF($G863=0,"",IF(对账补充行!$E256=0,"",对账补充行!$E256))</f>
        <v/>
      </c>
      <c r="L863" t="str">
        <f>IF($G863=0,"",IF(对账补充行!$F256=0,"",对账补充行!$F256))</f>
        <v/>
      </c>
      <c r="M863" t="str">
        <f>IF($G863=0,"",IF(对账补充行!$G256=0,"",对账补充行!$G256))</f>
        <v/>
      </c>
      <c r="N863" t="str">
        <f>IF($G863=0,"",IF(对账补充行!$H256=0,"",对账补充行!$H256))</f>
        <v/>
      </c>
      <c r="O863" t="str">
        <f>IF($G863=0,"",IF(对账补充行!$I256=0,"",对账补充行!$I256))</f>
        <v/>
      </c>
      <c r="P863" t="str">
        <f>IF($G863=0,"",IF(对账补充行!$J256=0,"",对账补充行!$J256))</f>
        <v/>
      </c>
      <c r="T863" t="str">
        <f>IF(成本费用登记表!$D263="","",成本费用登记表!$D263)</f>
        <v/>
      </c>
      <c r="U863">
        <f t="shared" si="135"/>
        <v>0</v>
      </c>
      <c r="V863">
        <f t="shared" si="136"/>
        <v>0</v>
      </c>
    </row>
    <row r="864" spans="1:22">
      <c r="A864" t="str">
        <f>IF(资金日记账!$F562="","",资金日记账!$F562)</f>
        <v/>
      </c>
      <c r="B864">
        <f t="shared" si="132"/>
        <v>0</v>
      </c>
      <c r="C864">
        <f t="shared" si="133"/>
        <v>0</v>
      </c>
      <c r="G864">
        <f>IF(OR($G$1="",对账补充行!$C257="",对账补充行!$C257&lt;&gt;$G$1),0,IF(NOT(OR(N(对账补充行!$H257)&lt;&gt;0,N(对账补充行!$I257)&lt;&gt;0)),0,IF(对账补充行!$B257="",1,IF(OR(N(对账补充行!$B257)&lt;$H$1,N(对账补充行!$B257)&gt;$I$1),0,1))))</f>
        <v>0</v>
      </c>
      <c r="H864">
        <f t="shared" si="134"/>
        <v>0</v>
      </c>
      <c r="I864" t="str">
        <f>IF($G864=0,"",IF(对账补充行!$B257=0,"",对账补充行!$B257))</f>
        <v/>
      </c>
      <c r="J864" t="str">
        <f>IF($G864=0,"",IF(对账补充行!$D257=0,"",对账补充行!$D257))</f>
        <v/>
      </c>
      <c r="K864" t="str">
        <f>IF($G864=0,"",IF(对账补充行!$E257=0,"",对账补充行!$E257))</f>
        <v/>
      </c>
      <c r="L864" t="str">
        <f>IF($G864=0,"",IF(对账补充行!$F257=0,"",对账补充行!$F257))</f>
        <v/>
      </c>
      <c r="M864" t="str">
        <f>IF($G864=0,"",IF(对账补充行!$G257=0,"",对账补充行!$G257))</f>
        <v/>
      </c>
      <c r="N864" t="str">
        <f>IF($G864=0,"",IF(对账补充行!$H257=0,"",对账补充行!$H257))</f>
        <v/>
      </c>
      <c r="O864" t="str">
        <f>IF($G864=0,"",IF(对账补充行!$I257=0,"",对账补充行!$I257))</f>
        <v/>
      </c>
      <c r="P864" t="str">
        <f>IF($G864=0,"",IF(对账补充行!$J257=0,"",对账补充行!$J257))</f>
        <v/>
      </c>
      <c r="T864" t="str">
        <f>IF(成本费用登记表!$D264="","",成本费用登记表!$D264)</f>
        <v/>
      </c>
      <c r="U864">
        <f t="shared" si="135"/>
        <v>0</v>
      </c>
      <c r="V864">
        <f t="shared" si="136"/>
        <v>0</v>
      </c>
    </row>
    <row r="865" spans="1:22">
      <c r="A865" t="str">
        <f>IF(资金日记账!$F563="","",资金日记账!$F563)</f>
        <v/>
      </c>
      <c r="B865">
        <f t="shared" si="132"/>
        <v>0</v>
      </c>
      <c r="C865">
        <f t="shared" si="133"/>
        <v>0</v>
      </c>
      <c r="G865">
        <f>IF(OR($G$1="",对账补充行!$C258="",对账补充行!$C258&lt;&gt;$G$1),0,IF(NOT(OR(N(对账补充行!$H258)&lt;&gt;0,N(对账补充行!$I258)&lt;&gt;0)),0,IF(对账补充行!$B258="",1,IF(OR(N(对账补充行!$B258)&lt;$H$1,N(对账补充行!$B258)&gt;$I$1),0,1))))</f>
        <v>0</v>
      </c>
      <c r="H865">
        <f t="shared" si="134"/>
        <v>0</v>
      </c>
      <c r="I865" t="str">
        <f>IF($G865=0,"",IF(对账补充行!$B258=0,"",对账补充行!$B258))</f>
        <v/>
      </c>
      <c r="J865" t="str">
        <f>IF($G865=0,"",IF(对账补充行!$D258=0,"",对账补充行!$D258))</f>
        <v/>
      </c>
      <c r="K865" t="str">
        <f>IF($G865=0,"",IF(对账补充行!$E258=0,"",对账补充行!$E258))</f>
        <v/>
      </c>
      <c r="L865" t="str">
        <f>IF($G865=0,"",IF(对账补充行!$F258=0,"",对账补充行!$F258))</f>
        <v/>
      </c>
      <c r="M865" t="str">
        <f>IF($G865=0,"",IF(对账补充行!$G258=0,"",对账补充行!$G258))</f>
        <v/>
      </c>
      <c r="N865" t="str">
        <f>IF($G865=0,"",IF(对账补充行!$H258=0,"",对账补充行!$H258))</f>
        <v/>
      </c>
      <c r="O865" t="str">
        <f>IF($G865=0,"",IF(对账补充行!$I258=0,"",对账补充行!$I258))</f>
        <v/>
      </c>
      <c r="P865" t="str">
        <f>IF($G865=0,"",IF(对账补充行!$J258=0,"",对账补充行!$J258))</f>
        <v/>
      </c>
      <c r="T865" t="str">
        <f>IF(成本费用登记表!$D265="","",成本费用登记表!$D265)</f>
        <v/>
      </c>
      <c r="U865">
        <f t="shared" si="135"/>
        <v>0</v>
      </c>
      <c r="V865">
        <f t="shared" si="136"/>
        <v>0</v>
      </c>
    </row>
    <row r="866" spans="1:22">
      <c r="A866" t="str">
        <f>IF(资金日记账!$F564="","",资金日记账!$F564)</f>
        <v/>
      </c>
      <c r="B866">
        <f t="shared" si="132"/>
        <v>0</v>
      </c>
      <c r="C866">
        <f t="shared" si="133"/>
        <v>0</v>
      </c>
      <c r="G866">
        <f>IF(OR($G$1="",对账补充行!$C259="",对账补充行!$C259&lt;&gt;$G$1),0,IF(NOT(OR(N(对账补充行!$H259)&lt;&gt;0,N(对账补充行!$I259)&lt;&gt;0)),0,IF(对账补充行!$B259="",1,IF(OR(N(对账补充行!$B259)&lt;$H$1,N(对账补充行!$B259)&gt;$I$1),0,1))))</f>
        <v>0</v>
      </c>
      <c r="H866">
        <f t="shared" si="134"/>
        <v>0</v>
      </c>
      <c r="I866" t="str">
        <f>IF($G866=0,"",IF(对账补充行!$B259=0,"",对账补充行!$B259))</f>
        <v/>
      </c>
      <c r="J866" t="str">
        <f>IF($G866=0,"",IF(对账补充行!$D259=0,"",对账补充行!$D259))</f>
        <v/>
      </c>
      <c r="K866" t="str">
        <f>IF($G866=0,"",IF(对账补充行!$E259=0,"",对账补充行!$E259))</f>
        <v/>
      </c>
      <c r="L866" t="str">
        <f>IF($G866=0,"",IF(对账补充行!$F259=0,"",对账补充行!$F259))</f>
        <v/>
      </c>
      <c r="M866" t="str">
        <f>IF($G866=0,"",IF(对账补充行!$G259=0,"",对账补充行!$G259))</f>
        <v/>
      </c>
      <c r="N866" t="str">
        <f>IF($G866=0,"",IF(对账补充行!$H259=0,"",对账补充行!$H259))</f>
        <v/>
      </c>
      <c r="O866" t="str">
        <f>IF($G866=0,"",IF(对账补充行!$I259=0,"",对账补充行!$I259))</f>
        <v/>
      </c>
      <c r="P866" t="str">
        <f>IF($G866=0,"",IF(对账补充行!$J259=0,"",对账补充行!$J259))</f>
        <v/>
      </c>
      <c r="T866" t="str">
        <f>IF(成本费用登记表!$D266="","",成本费用登记表!$D266)</f>
        <v/>
      </c>
      <c r="U866">
        <f t="shared" si="135"/>
        <v>0</v>
      </c>
      <c r="V866">
        <f t="shared" si="136"/>
        <v>0</v>
      </c>
    </row>
    <row r="867" spans="1:22">
      <c r="A867" t="str">
        <f>IF(资金日记账!$F565="","",资金日记账!$F565)</f>
        <v/>
      </c>
      <c r="B867">
        <f t="shared" si="132"/>
        <v>0</v>
      </c>
      <c r="C867">
        <f t="shared" si="133"/>
        <v>0</v>
      </c>
      <c r="G867">
        <f>IF(OR($G$1="",对账补充行!$C260="",对账补充行!$C260&lt;&gt;$G$1),0,IF(NOT(OR(N(对账补充行!$H260)&lt;&gt;0,N(对账补充行!$I260)&lt;&gt;0)),0,IF(对账补充行!$B260="",1,IF(OR(N(对账补充行!$B260)&lt;$H$1,N(对账补充行!$B260)&gt;$I$1),0,1))))</f>
        <v>0</v>
      </c>
      <c r="H867">
        <f t="shared" si="134"/>
        <v>0</v>
      </c>
      <c r="I867" t="str">
        <f>IF($G867=0,"",IF(对账补充行!$B260=0,"",对账补充行!$B260))</f>
        <v/>
      </c>
      <c r="J867" t="str">
        <f>IF($G867=0,"",IF(对账补充行!$D260=0,"",对账补充行!$D260))</f>
        <v/>
      </c>
      <c r="K867" t="str">
        <f>IF($G867=0,"",IF(对账补充行!$E260=0,"",对账补充行!$E260))</f>
        <v/>
      </c>
      <c r="L867" t="str">
        <f>IF($G867=0,"",IF(对账补充行!$F260=0,"",对账补充行!$F260))</f>
        <v/>
      </c>
      <c r="M867" t="str">
        <f>IF($G867=0,"",IF(对账补充行!$G260=0,"",对账补充行!$G260))</f>
        <v/>
      </c>
      <c r="N867" t="str">
        <f>IF($G867=0,"",IF(对账补充行!$H260=0,"",对账补充行!$H260))</f>
        <v/>
      </c>
      <c r="O867" t="str">
        <f>IF($G867=0,"",IF(对账补充行!$I260=0,"",对账补充行!$I260))</f>
        <v/>
      </c>
      <c r="P867" t="str">
        <f>IF($G867=0,"",IF(对账补充行!$J260=0,"",对账补充行!$J260))</f>
        <v/>
      </c>
      <c r="T867" t="str">
        <f>IF(成本费用登记表!$D267="","",成本费用登记表!$D267)</f>
        <v/>
      </c>
      <c r="U867">
        <f t="shared" si="135"/>
        <v>0</v>
      </c>
      <c r="V867">
        <f t="shared" si="136"/>
        <v>0</v>
      </c>
    </row>
    <row r="868" spans="1:22">
      <c r="A868" t="str">
        <f>IF(资金日记账!$F566="","",资金日记账!$F566)</f>
        <v/>
      </c>
      <c r="B868">
        <f t="shared" si="132"/>
        <v>0</v>
      </c>
      <c r="C868">
        <f t="shared" si="133"/>
        <v>0</v>
      </c>
      <c r="G868">
        <f>IF(OR($G$1="",对账补充行!$C261="",对账补充行!$C261&lt;&gt;$G$1),0,IF(NOT(OR(N(对账补充行!$H261)&lt;&gt;0,N(对账补充行!$I261)&lt;&gt;0)),0,IF(对账补充行!$B261="",1,IF(OR(N(对账补充行!$B261)&lt;$H$1,N(对账补充行!$B261)&gt;$I$1),0,1))))</f>
        <v>0</v>
      </c>
      <c r="H868">
        <f t="shared" si="134"/>
        <v>0</v>
      </c>
      <c r="I868" t="str">
        <f>IF($G868=0,"",IF(对账补充行!$B261=0,"",对账补充行!$B261))</f>
        <v/>
      </c>
      <c r="J868" t="str">
        <f>IF($G868=0,"",IF(对账补充行!$D261=0,"",对账补充行!$D261))</f>
        <v/>
      </c>
      <c r="K868" t="str">
        <f>IF($G868=0,"",IF(对账补充行!$E261=0,"",对账补充行!$E261))</f>
        <v/>
      </c>
      <c r="L868" t="str">
        <f>IF($G868=0,"",IF(对账补充行!$F261=0,"",对账补充行!$F261))</f>
        <v/>
      </c>
      <c r="M868" t="str">
        <f>IF($G868=0,"",IF(对账补充行!$G261=0,"",对账补充行!$G261))</f>
        <v/>
      </c>
      <c r="N868" t="str">
        <f>IF($G868=0,"",IF(对账补充行!$H261=0,"",对账补充行!$H261))</f>
        <v/>
      </c>
      <c r="O868" t="str">
        <f>IF($G868=0,"",IF(对账补充行!$I261=0,"",对账补充行!$I261))</f>
        <v/>
      </c>
      <c r="P868" t="str">
        <f>IF($G868=0,"",IF(对账补充行!$J261=0,"",对账补充行!$J261))</f>
        <v/>
      </c>
      <c r="T868" t="str">
        <f>IF(成本费用登记表!$D268="","",成本费用登记表!$D268)</f>
        <v/>
      </c>
      <c r="U868">
        <f t="shared" si="135"/>
        <v>0</v>
      </c>
      <c r="V868">
        <f t="shared" si="136"/>
        <v>0</v>
      </c>
    </row>
    <row r="869" spans="1:22">
      <c r="A869" t="str">
        <f>IF(资金日记账!$F567="","",资金日记账!$F567)</f>
        <v/>
      </c>
      <c r="B869">
        <f t="shared" si="132"/>
        <v>0</v>
      </c>
      <c r="C869">
        <f t="shared" si="133"/>
        <v>0</v>
      </c>
      <c r="G869">
        <f>IF(OR($G$1="",对账补充行!$C262="",对账补充行!$C262&lt;&gt;$G$1),0,IF(NOT(OR(N(对账补充行!$H262)&lt;&gt;0,N(对账补充行!$I262)&lt;&gt;0)),0,IF(对账补充行!$B262="",1,IF(OR(N(对账补充行!$B262)&lt;$H$1,N(对账补充行!$B262)&gt;$I$1),0,1))))</f>
        <v>0</v>
      </c>
      <c r="H869">
        <f t="shared" si="134"/>
        <v>0</v>
      </c>
      <c r="I869" t="str">
        <f>IF($G869=0,"",IF(对账补充行!$B262=0,"",对账补充行!$B262))</f>
        <v/>
      </c>
      <c r="J869" t="str">
        <f>IF($G869=0,"",IF(对账补充行!$D262=0,"",对账补充行!$D262))</f>
        <v/>
      </c>
      <c r="K869" t="str">
        <f>IF($G869=0,"",IF(对账补充行!$E262=0,"",对账补充行!$E262))</f>
        <v/>
      </c>
      <c r="L869" t="str">
        <f>IF($G869=0,"",IF(对账补充行!$F262=0,"",对账补充行!$F262))</f>
        <v/>
      </c>
      <c r="M869" t="str">
        <f>IF($G869=0,"",IF(对账补充行!$G262=0,"",对账补充行!$G262))</f>
        <v/>
      </c>
      <c r="N869" t="str">
        <f>IF($G869=0,"",IF(对账补充行!$H262=0,"",对账补充行!$H262))</f>
        <v/>
      </c>
      <c r="O869" t="str">
        <f>IF($G869=0,"",IF(对账补充行!$I262=0,"",对账补充行!$I262))</f>
        <v/>
      </c>
      <c r="P869" t="str">
        <f>IF($G869=0,"",IF(对账补充行!$J262=0,"",对账补充行!$J262))</f>
        <v/>
      </c>
      <c r="T869" t="str">
        <f>IF(成本费用登记表!$D269="","",成本费用登记表!$D269)</f>
        <v/>
      </c>
      <c r="U869">
        <f t="shared" si="135"/>
        <v>0</v>
      </c>
      <c r="V869">
        <f t="shared" si="136"/>
        <v>0</v>
      </c>
    </row>
    <row r="870" spans="1:22">
      <c r="A870" t="str">
        <f>IF(资金日记账!$F568="","",资金日记账!$F568)</f>
        <v/>
      </c>
      <c r="B870">
        <f t="shared" si="132"/>
        <v>0</v>
      </c>
      <c r="C870">
        <f t="shared" si="133"/>
        <v>0</v>
      </c>
      <c r="G870">
        <f>IF(OR($G$1="",对账补充行!$C263="",对账补充行!$C263&lt;&gt;$G$1),0,IF(NOT(OR(N(对账补充行!$H263)&lt;&gt;0,N(对账补充行!$I263)&lt;&gt;0)),0,IF(对账补充行!$B263="",1,IF(OR(N(对账补充行!$B263)&lt;$H$1,N(对账补充行!$B263)&gt;$I$1),0,1))))</f>
        <v>0</v>
      </c>
      <c r="H870">
        <f t="shared" si="134"/>
        <v>0</v>
      </c>
      <c r="I870" t="str">
        <f>IF($G870=0,"",IF(对账补充行!$B263=0,"",对账补充行!$B263))</f>
        <v/>
      </c>
      <c r="J870" t="str">
        <f>IF($G870=0,"",IF(对账补充行!$D263=0,"",对账补充行!$D263))</f>
        <v/>
      </c>
      <c r="K870" t="str">
        <f>IF($G870=0,"",IF(对账补充行!$E263=0,"",对账补充行!$E263))</f>
        <v/>
      </c>
      <c r="L870" t="str">
        <f>IF($G870=0,"",IF(对账补充行!$F263=0,"",对账补充行!$F263))</f>
        <v/>
      </c>
      <c r="M870" t="str">
        <f>IF($G870=0,"",IF(对账补充行!$G263=0,"",对账补充行!$G263))</f>
        <v/>
      </c>
      <c r="N870" t="str">
        <f>IF($G870=0,"",IF(对账补充行!$H263=0,"",对账补充行!$H263))</f>
        <v/>
      </c>
      <c r="O870" t="str">
        <f>IF($G870=0,"",IF(对账补充行!$I263=0,"",对账补充行!$I263))</f>
        <v/>
      </c>
      <c r="P870" t="str">
        <f>IF($G870=0,"",IF(对账补充行!$J263=0,"",对账补充行!$J263))</f>
        <v/>
      </c>
      <c r="T870" t="str">
        <f>IF(成本费用登记表!$D270="","",成本费用登记表!$D270)</f>
        <v/>
      </c>
      <c r="U870">
        <f t="shared" si="135"/>
        <v>0</v>
      </c>
      <c r="V870">
        <f t="shared" si="136"/>
        <v>0</v>
      </c>
    </row>
    <row r="871" spans="1:22">
      <c r="A871" t="str">
        <f>IF(资金日记账!$F569="","",资金日记账!$F569)</f>
        <v/>
      </c>
      <c r="B871">
        <f t="shared" si="132"/>
        <v>0</v>
      </c>
      <c r="C871">
        <f t="shared" si="133"/>
        <v>0</v>
      </c>
      <c r="G871">
        <f>IF(OR($G$1="",对账补充行!$C264="",对账补充行!$C264&lt;&gt;$G$1),0,IF(NOT(OR(N(对账补充行!$H264)&lt;&gt;0,N(对账补充行!$I264)&lt;&gt;0)),0,IF(对账补充行!$B264="",1,IF(OR(N(对账补充行!$B264)&lt;$H$1,N(对账补充行!$B264)&gt;$I$1),0,1))))</f>
        <v>0</v>
      </c>
      <c r="H871">
        <f t="shared" si="134"/>
        <v>0</v>
      </c>
      <c r="I871" t="str">
        <f>IF($G871=0,"",IF(对账补充行!$B264=0,"",对账补充行!$B264))</f>
        <v/>
      </c>
      <c r="J871" t="str">
        <f>IF($G871=0,"",IF(对账补充行!$D264=0,"",对账补充行!$D264))</f>
        <v/>
      </c>
      <c r="K871" t="str">
        <f>IF($G871=0,"",IF(对账补充行!$E264=0,"",对账补充行!$E264))</f>
        <v/>
      </c>
      <c r="L871" t="str">
        <f>IF($G871=0,"",IF(对账补充行!$F264=0,"",对账补充行!$F264))</f>
        <v/>
      </c>
      <c r="M871" t="str">
        <f>IF($G871=0,"",IF(对账补充行!$G264=0,"",对账补充行!$G264))</f>
        <v/>
      </c>
      <c r="N871" t="str">
        <f>IF($G871=0,"",IF(对账补充行!$H264=0,"",对账补充行!$H264))</f>
        <v/>
      </c>
      <c r="O871" t="str">
        <f>IF($G871=0,"",IF(对账补充行!$I264=0,"",对账补充行!$I264))</f>
        <v/>
      </c>
      <c r="P871" t="str">
        <f>IF($G871=0,"",IF(对账补充行!$J264=0,"",对账补充行!$J264))</f>
        <v/>
      </c>
      <c r="T871" t="str">
        <f>IF(成本费用登记表!$D271="","",成本费用登记表!$D271)</f>
        <v/>
      </c>
      <c r="U871">
        <f t="shared" si="135"/>
        <v>0</v>
      </c>
      <c r="V871">
        <f t="shared" si="136"/>
        <v>0</v>
      </c>
    </row>
    <row r="872" spans="1:22">
      <c r="A872" t="str">
        <f>IF(资金日记账!$F570="","",资金日记账!$F570)</f>
        <v/>
      </c>
      <c r="B872">
        <f t="shared" si="132"/>
        <v>0</v>
      </c>
      <c r="C872">
        <f t="shared" si="133"/>
        <v>0</v>
      </c>
      <c r="G872">
        <f>IF(OR($G$1="",对账补充行!$C265="",对账补充行!$C265&lt;&gt;$G$1),0,IF(NOT(OR(N(对账补充行!$H265)&lt;&gt;0,N(对账补充行!$I265)&lt;&gt;0)),0,IF(对账补充行!$B265="",1,IF(OR(N(对账补充行!$B265)&lt;$H$1,N(对账补充行!$B265)&gt;$I$1),0,1))))</f>
        <v>0</v>
      </c>
      <c r="H872">
        <f t="shared" si="134"/>
        <v>0</v>
      </c>
      <c r="I872" t="str">
        <f>IF($G872=0,"",IF(对账补充行!$B265=0,"",对账补充行!$B265))</f>
        <v/>
      </c>
      <c r="J872" t="str">
        <f>IF($G872=0,"",IF(对账补充行!$D265=0,"",对账补充行!$D265))</f>
        <v/>
      </c>
      <c r="K872" t="str">
        <f>IF($G872=0,"",IF(对账补充行!$E265=0,"",对账补充行!$E265))</f>
        <v/>
      </c>
      <c r="L872" t="str">
        <f>IF($G872=0,"",IF(对账补充行!$F265=0,"",对账补充行!$F265))</f>
        <v/>
      </c>
      <c r="M872" t="str">
        <f>IF($G872=0,"",IF(对账补充行!$G265=0,"",对账补充行!$G265))</f>
        <v/>
      </c>
      <c r="N872" t="str">
        <f>IF($G872=0,"",IF(对账补充行!$H265=0,"",对账补充行!$H265))</f>
        <v/>
      </c>
      <c r="O872" t="str">
        <f>IF($G872=0,"",IF(对账补充行!$I265=0,"",对账补充行!$I265))</f>
        <v/>
      </c>
      <c r="P872" t="str">
        <f>IF($G872=0,"",IF(对账补充行!$J265=0,"",对账补充行!$J265))</f>
        <v/>
      </c>
      <c r="T872" t="str">
        <f>IF(成本费用登记表!$D272="","",成本费用登记表!$D272)</f>
        <v/>
      </c>
      <c r="U872">
        <f t="shared" si="135"/>
        <v>0</v>
      </c>
      <c r="V872">
        <f t="shared" si="136"/>
        <v>0</v>
      </c>
    </row>
    <row r="873" spans="1:22">
      <c r="A873" t="str">
        <f>IF(资金日记账!$F571="","",资金日记账!$F571)</f>
        <v/>
      </c>
      <c r="B873">
        <f t="shared" si="132"/>
        <v>0</v>
      </c>
      <c r="C873">
        <f t="shared" si="133"/>
        <v>0</v>
      </c>
      <c r="G873">
        <f>IF(OR($G$1="",对账补充行!$C266="",对账补充行!$C266&lt;&gt;$G$1),0,IF(NOT(OR(N(对账补充行!$H266)&lt;&gt;0,N(对账补充行!$I266)&lt;&gt;0)),0,IF(对账补充行!$B266="",1,IF(OR(N(对账补充行!$B266)&lt;$H$1,N(对账补充行!$B266)&gt;$I$1),0,1))))</f>
        <v>0</v>
      </c>
      <c r="H873">
        <f t="shared" si="134"/>
        <v>0</v>
      </c>
      <c r="I873" t="str">
        <f>IF($G873=0,"",IF(对账补充行!$B266=0,"",对账补充行!$B266))</f>
        <v/>
      </c>
      <c r="J873" t="str">
        <f>IF($G873=0,"",IF(对账补充行!$D266=0,"",对账补充行!$D266))</f>
        <v/>
      </c>
      <c r="K873" t="str">
        <f>IF($G873=0,"",IF(对账补充行!$E266=0,"",对账补充行!$E266))</f>
        <v/>
      </c>
      <c r="L873" t="str">
        <f>IF($G873=0,"",IF(对账补充行!$F266=0,"",对账补充行!$F266))</f>
        <v/>
      </c>
      <c r="M873" t="str">
        <f>IF($G873=0,"",IF(对账补充行!$G266=0,"",对账补充行!$G266))</f>
        <v/>
      </c>
      <c r="N873" t="str">
        <f>IF($G873=0,"",IF(对账补充行!$H266=0,"",对账补充行!$H266))</f>
        <v/>
      </c>
      <c r="O873" t="str">
        <f>IF($G873=0,"",IF(对账补充行!$I266=0,"",对账补充行!$I266))</f>
        <v/>
      </c>
      <c r="P873" t="str">
        <f>IF($G873=0,"",IF(对账补充行!$J266=0,"",对账补充行!$J266))</f>
        <v/>
      </c>
      <c r="T873" t="str">
        <f>IF(成本费用登记表!$D273="","",成本费用登记表!$D273)</f>
        <v/>
      </c>
      <c r="U873">
        <f t="shared" si="135"/>
        <v>0</v>
      </c>
      <c r="V873">
        <f t="shared" si="136"/>
        <v>0</v>
      </c>
    </row>
    <row r="874" spans="1:22">
      <c r="A874" t="str">
        <f>IF(资金日记账!$F572="","",资金日记账!$F572)</f>
        <v/>
      </c>
      <c r="B874">
        <f t="shared" si="132"/>
        <v>0</v>
      </c>
      <c r="C874">
        <f t="shared" si="133"/>
        <v>0</v>
      </c>
      <c r="G874">
        <f>IF(OR($G$1="",对账补充行!$C267="",对账补充行!$C267&lt;&gt;$G$1),0,IF(NOT(OR(N(对账补充行!$H267)&lt;&gt;0,N(对账补充行!$I267)&lt;&gt;0)),0,IF(对账补充行!$B267="",1,IF(OR(N(对账补充行!$B267)&lt;$H$1,N(对账补充行!$B267)&gt;$I$1),0,1))))</f>
        <v>0</v>
      </c>
      <c r="H874">
        <f t="shared" si="134"/>
        <v>0</v>
      </c>
      <c r="I874" t="str">
        <f>IF($G874=0,"",IF(对账补充行!$B267=0,"",对账补充行!$B267))</f>
        <v/>
      </c>
      <c r="J874" t="str">
        <f>IF($G874=0,"",IF(对账补充行!$D267=0,"",对账补充行!$D267))</f>
        <v/>
      </c>
      <c r="K874" t="str">
        <f>IF($G874=0,"",IF(对账补充行!$E267=0,"",对账补充行!$E267))</f>
        <v/>
      </c>
      <c r="L874" t="str">
        <f>IF($G874=0,"",IF(对账补充行!$F267=0,"",对账补充行!$F267))</f>
        <v/>
      </c>
      <c r="M874" t="str">
        <f>IF($G874=0,"",IF(对账补充行!$G267=0,"",对账补充行!$G267))</f>
        <v/>
      </c>
      <c r="N874" t="str">
        <f>IF($G874=0,"",IF(对账补充行!$H267=0,"",对账补充行!$H267))</f>
        <v/>
      </c>
      <c r="O874" t="str">
        <f>IF($G874=0,"",IF(对账补充行!$I267=0,"",对账补充行!$I267))</f>
        <v/>
      </c>
      <c r="P874" t="str">
        <f>IF($G874=0,"",IF(对账补充行!$J267=0,"",对账补充行!$J267))</f>
        <v/>
      </c>
      <c r="T874" t="str">
        <f>IF(成本费用登记表!$D274="","",成本费用登记表!$D274)</f>
        <v/>
      </c>
      <c r="U874">
        <f t="shared" si="135"/>
        <v>0</v>
      </c>
      <c r="V874">
        <f t="shared" si="136"/>
        <v>0</v>
      </c>
    </row>
    <row r="875" spans="1:22">
      <c r="A875" t="str">
        <f>IF(资金日记账!$F573="","",资金日记账!$F573)</f>
        <v/>
      </c>
      <c r="B875">
        <f t="shared" si="132"/>
        <v>0</v>
      </c>
      <c r="C875">
        <f t="shared" si="133"/>
        <v>0</v>
      </c>
      <c r="G875">
        <f>IF(OR($G$1="",对账补充行!$C268="",对账补充行!$C268&lt;&gt;$G$1),0,IF(NOT(OR(N(对账补充行!$H268)&lt;&gt;0,N(对账补充行!$I268)&lt;&gt;0)),0,IF(对账补充行!$B268="",1,IF(OR(N(对账补充行!$B268)&lt;$H$1,N(对账补充行!$B268)&gt;$I$1),0,1))))</f>
        <v>0</v>
      </c>
      <c r="H875">
        <f t="shared" si="134"/>
        <v>0</v>
      </c>
      <c r="I875" t="str">
        <f>IF($G875=0,"",IF(对账补充行!$B268=0,"",对账补充行!$B268))</f>
        <v/>
      </c>
      <c r="J875" t="str">
        <f>IF($G875=0,"",IF(对账补充行!$D268=0,"",对账补充行!$D268))</f>
        <v/>
      </c>
      <c r="K875" t="str">
        <f>IF($G875=0,"",IF(对账补充行!$E268=0,"",对账补充行!$E268))</f>
        <v/>
      </c>
      <c r="L875" t="str">
        <f>IF($G875=0,"",IF(对账补充行!$F268=0,"",对账补充行!$F268))</f>
        <v/>
      </c>
      <c r="M875" t="str">
        <f>IF($G875=0,"",IF(对账补充行!$G268=0,"",对账补充行!$G268))</f>
        <v/>
      </c>
      <c r="N875" t="str">
        <f>IF($G875=0,"",IF(对账补充行!$H268=0,"",对账补充行!$H268))</f>
        <v/>
      </c>
      <c r="O875" t="str">
        <f>IF($G875=0,"",IF(对账补充行!$I268=0,"",对账补充行!$I268))</f>
        <v/>
      </c>
      <c r="P875" t="str">
        <f>IF($G875=0,"",IF(对账补充行!$J268=0,"",对账补充行!$J268))</f>
        <v/>
      </c>
      <c r="T875" t="str">
        <f>IF(成本费用登记表!$D275="","",成本费用登记表!$D275)</f>
        <v/>
      </c>
      <c r="U875">
        <f t="shared" si="135"/>
        <v>0</v>
      </c>
      <c r="V875">
        <f t="shared" si="136"/>
        <v>0</v>
      </c>
    </row>
    <row r="876" spans="1:22">
      <c r="A876" t="str">
        <f>IF(资金日记账!$F574="","",资金日记账!$F574)</f>
        <v/>
      </c>
      <c r="B876">
        <f t="shared" si="132"/>
        <v>0</v>
      </c>
      <c r="C876">
        <f t="shared" si="133"/>
        <v>0</v>
      </c>
      <c r="G876">
        <f>IF(OR($G$1="",对账补充行!$C269="",对账补充行!$C269&lt;&gt;$G$1),0,IF(NOT(OR(N(对账补充行!$H269)&lt;&gt;0,N(对账补充行!$I269)&lt;&gt;0)),0,IF(对账补充行!$B269="",1,IF(OR(N(对账补充行!$B269)&lt;$H$1,N(对账补充行!$B269)&gt;$I$1),0,1))))</f>
        <v>0</v>
      </c>
      <c r="H876">
        <f t="shared" si="134"/>
        <v>0</v>
      </c>
      <c r="I876" t="str">
        <f>IF($G876=0,"",IF(对账补充行!$B269=0,"",对账补充行!$B269))</f>
        <v/>
      </c>
      <c r="J876" t="str">
        <f>IF($G876=0,"",IF(对账补充行!$D269=0,"",对账补充行!$D269))</f>
        <v/>
      </c>
      <c r="K876" t="str">
        <f>IF($G876=0,"",IF(对账补充行!$E269=0,"",对账补充行!$E269))</f>
        <v/>
      </c>
      <c r="L876" t="str">
        <f>IF($G876=0,"",IF(对账补充行!$F269=0,"",对账补充行!$F269))</f>
        <v/>
      </c>
      <c r="M876" t="str">
        <f>IF($G876=0,"",IF(对账补充行!$G269=0,"",对账补充行!$G269))</f>
        <v/>
      </c>
      <c r="N876" t="str">
        <f>IF($G876=0,"",IF(对账补充行!$H269=0,"",对账补充行!$H269))</f>
        <v/>
      </c>
      <c r="O876" t="str">
        <f>IF($G876=0,"",IF(对账补充行!$I269=0,"",对账补充行!$I269))</f>
        <v/>
      </c>
      <c r="P876" t="str">
        <f>IF($G876=0,"",IF(对账补充行!$J269=0,"",对账补充行!$J269))</f>
        <v/>
      </c>
      <c r="T876" t="str">
        <f>IF(成本费用登记表!$D276="","",成本费用登记表!$D276)</f>
        <v/>
      </c>
      <c r="U876">
        <f t="shared" si="135"/>
        <v>0</v>
      </c>
      <c r="V876">
        <f t="shared" si="136"/>
        <v>0</v>
      </c>
    </row>
    <row r="877" spans="1:22">
      <c r="A877" t="str">
        <f>IF(资金日记账!$F575="","",资金日记账!$F575)</f>
        <v/>
      </c>
      <c r="B877">
        <f t="shared" si="132"/>
        <v>0</v>
      </c>
      <c r="C877">
        <f t="shared" si="133"/>
        <v>0</v>
      </c>
      <c r="G877">
        <f>IF(OR($G$1="",对账补充行!$C270="",对账补充行!$C270&lt;&gt;$G$1),0,IF(NOT(OR(N(对账补充行!$H270)&lt;&gt;0,N(对账补充行!$I270)&lt;&gt;0)),0,IF(对账补充行!$B270="",1,IF(OR(N(对账补充行!$B270)&lt;$H$1,N(对账补充行!$B270)&gt;$I$1),0,1))))</f>
        <v>0</v>
      </c>
      <c r="H877">
        <f t="shared" si="134"/>
        <v>0</v>
      </c>
      <c r="I877" t="str">
        <f>IF($G877=0,"",IF(对账补充行!$B270=0,"",对账补充行!$B270))</f>
        <v/>
      </c>
      <c r="J877" t="str">
        <f>IF($G877=0,"",IF(对账补充行!$D270=0,"",对账补充行!$D270))</f>
        <v/>
      </c>
      <c r="K877" t="str">
        <f>IF($G877=0,"",IF(对账补充行!$E270=0,"",对账补充行!$E270))</f>
        <v/>
      </c>
      <c r="L877" t="str">
        <f>IF($G877=0,"",IF(对账补充行!$F270=0,"",对账补充行!$F270))</f>
        <v/>
      </c>
      <c r="M877" t="str">
        <f>IF($G877=0,"",IF(对账补充行!$G270=0,"",对账补充行!$G270))</f>
        <v/>
      </c>
      <c r="N877" t="str">
        <f>IF($G877=0,"",IF(对账补充行!$H270=0,"",对账补充行!$H270))</f>
        <v/>
      </c>
      <c r="O877" t="str">
        <f>IF($G877=0,"",IF(对账补充行!$I270=0,"",对账补充行!$I270))</f>
        <v/>
      </c>
      <c r="P877" t="str">
        <f>IF($G877=0,"",IF(对账补充行!$J270=0,"",对账补充行!$J270))</f>
        <v/>
      </c>
      <c r="T877" t="str">
        <f>IF(成本费用登记表!$D277="","",成本费用登记表!$D277)</f>
        <v/>
      </c>
      <c r="U877">
        <f t="shared" si="135"/>
        <v>0</v>
      </c>
      <c r="V877">
        <f t="shared" si="136"/>
        <v>0</v>
      </c>
    </row>
    <row r="878" spans="1:22">
      <c r="A878" t="str">
        <f>IF(资金日记账!$F576="","",资金日记账!$F576)</f>
        <v/>
      </c>
      <c r="B878">
        <f t="shared" si="132"/>
        <v>0</v>
      </c>
      <c r="C878">
        <f t="shared" si="133"/>
        <v>0</v>
      </c>
      <c r="G878">
        <f>IF(OR($G$1="",对账补充行!$C271="",对账补充行!$C271&lt;&gt;$G$1),0,IF(NOT(OR(N(对账补充行!$H271)&lt;&gt;0,N(对账补充行!$I271)&lt;&gt;0)),0,IF(对账补充行!$B271="",1,IF(OR(N(对账补充行!$B271)&lt;$H$1,N(对账补充行!$B271)&gt;$I$1),0,1))))</f>
        <v>0</v>
      </c>
      <c r="H878">
        <f t="shared" si="134"/>
        <v>0</v>
      </c>
      <c r="I878" t="str">
        <f>IF($G878=0,"",IF(对账补充行!$B271=0,"",对账补充行!$B271))</f>
        <v/>
      </c>
      <c r="J878" t="str">
        <f>IF($G878=0,"",IF(对账补充行!$D271=0,"",对账补充行!$D271))</f>
        <v/>
      </c>
      <c r="K878" t="str">
        <f>IF($G878=0,"",IF(对账补充行!$E271=0,"",对账补充行!$E271))</f>
        <v/>
      </c>
      <c r="L878" t="str">
        <f>IF($G878=0,"",IF(对账补充行!$F271=0,"",对账补充行!$F271))</f>
        <v/>
      </c>
      <c r="M878" t="str">
        <f>IF($G878=0,"",IF(对账补充行!$G271=0,"",对账补充行!$G271))</f>
        <v/>
      </c>
      <c r="N878" t="str">
        <f>IF($G878=0,"",IF(对账补充行!$H271=0,"",对账补充行!$H271))</f>
        <v/>
      </c>
      <c r="O878" t="str">
        <f>IF($G878=0,"",IF(对账补充行!$I271=0,"",对账补充行!$I271))</f>
        <v/>
      </c>
      <c r="P878" t="str">
        <f>IF($G878=0,"",IF(对账补充行!$J271=0,"",对账补充行!$J271))</f>
        <v/>
      </c>
      <c r="T878" t="str">
        <f>IF(成本费用登记表!$D278="","",成本费用登记表!$D278)</f>
        <v/>
      </c>
      <c r="U878">
        <f t="shared" si="135"/>
        <v>0</v>
      </c>
      <c r="V878">
        <f t="shared" si="136"/>
        <v>0</v>
      </c>
    </row>
    <row r="879" spans="1:22">
      <c r="A879" t="str">
        <f>IF(资金日记账!$F577="","",资金日记账!$F577)</f>
        <v/>
      </c>
      <c r="B879">
        <f t="shared" si="132"/>
        <v>0</v>
      </c>
      <c r="C879">
        <f t="shared" si="133"/>
        <v>0</v>
      </c>
      <c r="G879">
        <f>IF(OR($G$1="",对账补充行!$C272="",对账补充行!$C272&lt;&gt;$G$1),0,IF(NOT(OR(N(对账补充行!$H272)&lt;&gt;0,N(对账补充行!$I272)&lt;&gt;0)),0,IF(对账补充行!$B272="",1,IF(OR(N(对账补充行!$B272)&lt;$H$1,N(对账补充行!$B272)&gt;$I$1),0,1))))</f>
        <v>0</v>
      </c>
      <c r="H879">
        <f t="shared" si="134"/>
        <v>0</v>
      </c>
      <c r="I879" t="str">
        <f>IF($G879=0,"",IF(对账补充行!$B272=0,"",对账补充行!$B272))</f>
        <v/>
      </c>
      <c r="J879" t="str">
        <f>IF($G879=0,"",IF(对账补充行!$D272=0,"",对账补充行!$D272))</f>
        <v/>
      </c>
      <c r="K879" t="str">
        <f>IF($G879=0,"",IF(对账补充行!$E272=0,"",对账补充行!$E272))</f>
        <v/>
      </c>
      <c r="L879" t="str">
        <f>IF($G879=0,"",IF(对账补充行!$F272=0,"",对账补充行!$F272))</f>
        <v/>
      </c>
      <c r="M879" t="str">
        <f>IF($G879=0,"",IF(对账补充行!$G272=0,"",对账补充行!$G272))</f>
        <v/>
      </c>
      <c r="N879" t="str">
        <f>IF($G879=0,"",IF(对账补充行!$H272=0,"",对账补充行!$H272))</f>
        <v/>
      </c>
      <c r="O879" t="str">
        <f>IF($G879=0,"",IF(对账补充行!$I272=0,"",对账补充行!$I272))</f>
        <v/>
      </c>
      <c r="P879" t="str">
        <f>IF($G879=0,"",IF(对账补充行!$J272=0,"",对账补充行!$J272))</f>
        <v/>
      </c>
      <c r="T879" t="str">
        <f>IF(成本费用登记表!$D279="","",成本费用登记表!$D279)</f>
        <v/>
      </c>
      <c r="U879">
        <f t="shared" si="135"/>
        <v>0</v>
      </c>
      <c r="V879">
        <f t="shared" si="136"/>
        <v>0</v>
      </c>
    </row>
    <row r="880" spans="1:22">
      <c r="A880" t="str">
        <f>IF(资金日记账!$F578="","",资金日记账!$F578)</f>
        <v/>
      </c>
      <c r="B880">
        <f t="shared" si="132"/>
        <v>0</v>
      </c>
      <c r="C880">
        <f t="shared" si="133"/>
        <v>0</v>
      </c>
      <c r="G880">
        <f>IF(OR($G$1="",对账补充行!$C273="",对账补充行!$C273&lt;&gt;$G$1),0,IF(NOT(OR(N(对账补充行!$H273)&lt;&gt;0,N(对账补充行!$I273)&lt;&gt;0)),0,IF(对账补充行!$B273="",1,IF(OR(N(对账补充行!$B273)&lt;$H$1,N(对账补充行!$B273)&gt;$I$1),0,1))))</f>
        <v>0</v>
      </c>
      <c r="H880">
        <f t="shared" si="134"/>
        <v>0</v>
      </c>
      <c r="I880" t="str">
        <f>IF($G880=0,"",IF(对账补充行!$B273=0,"",对账补充行!$B273))</f>
        <v/>
      </c>
      <c r="J880" t="str">
        <f>IF($G880=0,"",IF(对账补充行!$D273=0,"",对账补充行!$D273))</f>
        <v/>
      </c>
      <c r="K880" t="str">
        <f>IF($G880=0,"",IF(对账补充行!$E273=0,"",对账补充行!$E273))</f>
        <v/>
      </c>
      <c r="L880" t="str">
        <f>IF($G880=0,"",IF(对账补充行!$F273=0,"",对账补充行!$F273))</f>
        <v/>
      </c>
      <c r="M880" t="str">
        <f>IF($G880=0,"",IF(对账补充行!$G273=0,"",对账补充行!$G273))</f>
        <v/>
      </c>
      <c r="N880" t="str">
        <f>IF($G880=0,"",IF(对账补充行!$H273=0,"",对账补充行!$H273))</f>
        <v/>
      </c>
      <c r="O880" t="str">
        <f>IF($G880=0,"",IF(对账补充行!$I273=0,"",对账补充行!$I273))</f>
        <v/>
      </c>
      <c r="P880" t="str">
        <f>IF($G880=0,"",IF(对账补充行!$J273=0,"",对账补充行!$J273))</f>
        <v/>
      </c>
      <c r="T880" t="str">
        <f>IF(成本费用登记表!$D280="","",成本费用登记表!$D280)</f>
        <v/>
      </c>
      <c r="U880">
        <f t="shared" si="135"/>
        <v>0</v>
      </c>
      <c r="V880">
        <f t="shared" si="136"/>
        <v>0</v>
      </c>
    </row>
    <row r="881" spans="1:22">
      <c r="A881" t="str">
        <f>IF(资金日记账!$F579="","",资金日记账!$F579)</f>
        <v/>
      </c>
      <c r="B881">
        <f t="shared" si="132"/>
        <v>0</v>
      </c>
      <c r="C881">
        <f t="shared" si="133"/>
        <v>0</v>
      </c>
      <c r="G881">
        <f>IF(OR($G$1="",对账补充行!$C274="",对账补充行!$C274&lt;&gt;$G$1),0,IF(NOT(OR(N(对账补充行!$H274)&lt;&gt;0,N(对账补充行!$I274)&lt;&gt;0)),0,IF(对账补充行!$B274="",1,IF(OR(N(对账补充行!$B274)&lt;$H$1,N(对账补充行!$B274)&gt;$I$1),0,1))))</f>
        <v>0</v>
      </c>
      <c r="H881">
        <f t="shared" si="134"/>
        <v>0</v>
      </c>
      <c r="I881" t="str">
        <f>IF($G881=0,"",IF(对账补充行!$B274=0,"",对账补充行!$B274))</f>
        <v/>
      </c>
      <c r="J881" t="str">
        <f>IF($G881=0,"",IF(对账补充行!$D274=0,"",对账补充行!$D274))</f>
        <v/>
      </c>
      <c r="K881" t="str">
        <f>IF($G881=0,"",IF(对账补充行!$E274=0,"",对账补充行!$E274))</f>
        <v/>
      </c>
      <c r="L881" t="str">
        <f>IF($G881=0,"",IF(对账补充行!$F274=0,"",对账补充行!$F274))</f>
        <v/>
      </c>
      <c r="M881" t="str">
        <f>IF($G881=0,"",IF(对账补充行!$G274=0,"",对账补充行!$G274))</f>
        <v/>
      </c>
      <c r="N881" t="str">
        <f>IF($G881=0,"",IF(对账补充行!$H274=0,"",对账补充行!$H274))</f>
        <v/>
      </c>
      <c r="O881" t="str">
        <f>IF($G881=0,"",IF(对账补充行!$I274=0,"",对账补充行!$I274))</f>
        <v/>
      </c>
      <c r="P881" t="str">
        <f>IF($G881=0,"",IF(对账补充行!$J274=0,"",对账补充行!$J274))</f>
        <v/>
      </c>
      <c r="T881" t="str">
        <f>IF(成本费用登记表!$D281="","",成本费用登记表!$D281)</f>
        <v/>
      </c>
      <c r="U881">
        <f t="shared" si="135"/>
        <v>0</v>
      </c>
      <c r="V881">
        <f t="shared" si="136"/>
        <v>0</v>
      </c>
    </row>
    <row r="882" spans="1:22">
      <c r="A882" t="str">
        <f>IF(资金日记账!$F580="","",资金日记账!$F580)</f>
        <v/>
      </c>
      <c r="B882">
        <f t="shared" si="132"/>
        <v>0</v>
      </c>
      <c r="C882">
        <f t="shared" si="133"/>
        <v>0</v>
      </c>
      <c r="G882">
        <f>IF(OR($G$1="",对账补充行!$C275="",对账补充行!$C275&lt;&gt;$G$1),0,IF(NOT(OR(N(对账补充行!$H275)&lt;&gt;0,N(对账补充行!$I275)&lt;&gt;0)),0,IF(对账补充行!$B275="",1,IF(OR(N(对账补充行!$B275)&lt;$H$1,N(对账补充行!$B275)&gt;$I$1),0,1))))</f>
        <v>0</v>
      </c>
      <c r="H882">
        <f t="shared" si="134"/>
        <v>0</v>
      </c>
      <c r="I882" t="str">
        <f>IF($G882=0,"",IF(对账补充行!$B275=0,"",对账补充行!$B275))</f>
        <v/>
      </c>
      <c r="J882" t="str">
        <f>IF($G882=0,"",IF(对账补充行!$D275=0,"",对账补充行!$D275))</f>
        <v/>
      </c>
      <c r="K882" t="str">
        <f>IF($G882=0,"",IF(对账补充行!$E275=0,"",对账补充行!$E275))</f>
        <v/>
      </c>
      <c r="L882" t="str">
        <f>IF($G882=0,"",IF(对账补充行!$F275=0,"",对账补充行!$F275))</f>
        <v/>
      </c>
      <c r="M882" t="str">
        <f>IF($G882=0,"",IF(对账补充行!$G275=0,"",对账补充行!$G275))</f>
        <v/>
      </c>
      <c r="N882" t="str">
        <f>IF($G882=0,"",IF(对账补充行!$H275=0,"",对账补充行!$H275))</f>
        <v/>
      </c>
      <c r="O882" t="str">
        <f>IF($G882=0,"",IF(对账补充行!$I275=0,"",对账补充行!$I275))</f>
        <v/>
      </c>
      <c r="P882" t="str">
        <f>IF($G882=0,"",IF(对账补充行!$J275=0,"",对账补充行!$J275))</f>
        <v/>
      </c>
      <c r="T882" t="str">
        <f>IF(成本费用登记表!$D282="","",成本费用登记表!$D282)</f>
        <v/>
      </c>
      <c r="U882">
        <f t="shared" si="135"/>
        <v>0</v>
      </c>
      <c r="V882">
        <f t="shared" si="136"/>
        <v>0</v>
      </c>
    </row>
    <row r="883" spans="1:22">
      <c r="A883" t="str">
        <f>IF(资金日记账!$F581="","",资金日记账!$F581)</f>
        <v/>
      </c>
      <c r="B883">
        <f t="shared" si="132"/>
        <v>0</v>
      </c>
      <c r="C883">
        <f t="shared" si="133"/>
        <v>0</v>
      </c>
      <c r="G883">
        <f>IF(OR($G$1="",对账补充行!$C276="",对账补充行!$C276&lt;&gt;$G$1),0,IF(NOT(OR(N(对账补充行!$H276)&lt;&gt;0,N(对账补充行!$I276)&lt;&gt;0)),0,IF(对账补充行!$B276="",1,IF(OR(N(对账补充行!$B276)&lt;$H$1,N(对账补充行!$B276)&gt;$I$1),0,1))))</f>
        <v>0</v>
      </c>
      <c r="H883">
        <f t="shared" si="134"/>
        <v>0</v>
      </c>
      <c r="I883" t="str">
        <f>IF($G883=0,"",IF(对账补充行!$B276=0,"",对账补充行!$B276))</f>
        <v/>
      </c>
      <c r="J883" t="str">
        <f>IF($G883=0,"",IF(对账补充行!$D276=0,"",对账补充行!$D276))</f>
        <v/>
      </c>
      <c r="K883" t="str">
        <f>IF($G883=0,"",IF(对账补充行!$E276=0,"",对账补充行!$E276))</f>
        <v/>
      </c>
      <c r="L883" t="str">
        <f>IF($G883=0,"",IF(对账补充行!$F276=0,"",对账补充行!$F276))</f>
        <v/>
      </c>
      <c r="M883" t="str">
        <f>IF($G883=0,"",IF(对账补充行!$G276=0,"",对账补充行!$G276))</f>
        <v/>
      </c>
      <c r="N883" t="str">
        <f>IF($G883=0,"",IF(对账补充行!$H276=0,"",对账补充行!$H276))</f>
        <v/>
      </c>
      <c r="O883" t="str">
        <f>IF($G883=0,"",IF(对账补充行!$I276=0,"",对账补充行!$I276))</f>
        <v/>
      </c>
      <c r="P883" t="str">
        <f>IF($G883=0,"",IF(对账补充行!$J276=0,"",对账补充行!$J276))</f>
        <v/>
      </c>
      <c r="T883" t="str">
        <f>IF(成本费用登记表!$D283="","",成本费用登记表!$D283)</f>
        <v/>
      </c>
      <c r="U883">
        <f t="shared" si="135"/>
        <v>0</v>
      </c>
      <c r="V883">
        <f t="shared" si="136"/>
        <v>0</v>
      </c>
    </row>
    <row r="884" spans="1:22">
      <c r="A884" t="str">
        <f>IF(资金日记账!$F582="","",资金日记账!$F582)</f>
        <v/>
      </c>
      <c r="B884">
        <f t="shared" si="132"/>
        <v>0</v>
      </c>
      <c r="C884">
        <f t="shared" si="133"/>
        <v>0</v>
      </c>
      <c r="G884">
        <f>IF(OR($G$1="",对账补充行!$C277="",对账补充行!$C277&lt;&gt;$G$1),0,IF(NOT(OR(N(对账补充行!$H277)&lt;&gt;0,N(对账补充行!$I277)&lt;&gt;0)),0,IF(对账补充行!$B277="",1,IF(OR(N(对账补充行!$B277)&lt;$H$1,N(对账补充行!$B277)&gt;$I$1),0,1))))</f>
        <v>0</v>
      </c>
      <c r="H884">
        <f t="shared" si="134"/>
        <v>0</v>
      </c>
      <c r="I884" t="str">
        <f>IF($G884=0,"",IF(对账补充行!$B277=0,"",对账补充行!$B277))</f>
        <v/>
      </c>
      <c r="J884" t="str">
        <f>IF($G884=0,"",IF(对账补充行!$D277=0,"",对账补充行!$D277))</f>
        <v/>
      </c>
      <c r="K884" t="str">
        <f>IF($G884=0,"",IF(对账补充行!$E277=0,"",对账补充行!$E277))</f>
        <v/>
      </c>
      <c r="L884" t="str">
        <f>IF($G884=0,"",IF(对账补充行!$F277=0,"",对账补充行!$F277))</f>
        <v/>
      </c>
      <c r="M884" t="str">
        <f>IF($G884=0,"",IF(对账补充行!$G277=0,"",对账补充行!$G277))</f>
        <v/>
      </c>
      <c r="N884" t="str">
        <f>IF($G884=0,"",IF(对账补充行!$H277=0,"",对账补充行!$H277))</f>
        <v/>
      </c>
      <c r="O884" t="str">
        <f>IF($G884=0,"",IF(对账补充行!$I277=0,"",对账补充行!$I277))</f>
        <v/>
      </c>
      <c r="P884" t="str">
        <f>IF($G884=0,"",IF(对账补充行!$J277=0,"",对账补充行!$J277))</f>
        <v/>
      </c>
      <c r="T884" t="str">
        <f>IF(成本费用登记表!$D284="","",成本费用登记表!$D284)</f>
        <v/>
      </c>
      <c r="U884">
        <f t="shared" si="135"/>
        <v>0</v>
      </c>
      <c r="V884">
        <f t="shared" si="136"/>
        <v>0</v>
      </c>
    </row>
    <row r="885" spans="1:22">
      <c r="A885" t="str">
        <f>IF(资金日记账!$F583="","",资金日记账!$F583)</f>
        <v/>
      </c>
      <c r="B885">
        <f t="shared" si="132"/>
        <v>0</v>
      </c>
      <c r="C885">
        <f t="shared" si="133"/>
        <v>0</v>
      </c>
      <c r="G885">
        <f>IF(OR($G$1="",对账补充行!$C278="",对账补充行!$C278&lt;&gt;$G$1),0,IF(NOT(OR(N(对账补充行!$H278)&lt;&gt;0,N(对账补充行!$I278)&lt;&gt;0)),0,IF(对账补充行!$B278="",1,IF(OR(N(对账补充行!$B278)&lt;$H$1,N(对账补充行!$B278)&gt;$I$1),0,1))))</f>
        <v>0</v>
      </c>
      <c r="H885">
        <f t="shared" si="134"/>
        <v>0</v>
      </c>
      <c r="I885" t="str">
        <f>IF($G885=0,"",IF(对账补充行!$B278=0,"",对账补充行!$B278))</f>
        <v/>
      </c>
      <c r="J885" t="str">
        <f>IF($G885=0,"",IF(对账补充行!$D278=0,"",对账补充行!$D278))</f>
        <v/>
      </c>
      <c r="K885" t="str">
        <f>IF($G885=0,"",IF(对账补充行!$E278=0,"",对账补充行!$E278))</f>
        <v/>
      </c>
      <c r="L885" t="str">
        <f>IF($G885=0,"",IF(对账补充行!$F278=0,"",对账补充行!$F278))</f>
        <v/>
      </c>
      <c r="M885" t="str">
        <f>IF($G885=0,"",IF(对账补充行!$G278=0,"",对账补充行!$G278))</f>
        <v/>
      </c>
      <c r="N885" t="str">
        <f>IF($G885=0,"",IF(对账补充行!$H278=0,"",对账补充行!$H278))</f>
        <v/>
      </c>
      <c r="O885" t="str">
        <f>IF($G885=0,"",IF(对账补充行!$I278=0,"",对账补充行!$I278))</f>
        <v/>
      </c>
      <c r="P885" t="str">
        <f>IF($G885=0,"",IF(对账补充行!$J278=0,"",对账补充行!$J278))</f>
        <v/>
      </c>
      <c r="T885" t="str">
        <f>IF(成本费用登记表!$D285="","",成本费用登记表!$D285)</f>
        <v/>
      </c>
      <c r="U885">
        <f t="shared" si="135"/>
        <v>0</v>
      </c>
      <c r="V885">
        <f t="shared" si="136"/>
        <v>0</v>
      </c>
    </row>
    <row r="886" spans="1:22">
      <c r="A886" t="str">
        <f>IF(资金日记账!$F584="","",资金日记账!$F584)</f>
        <v/>
      </c>
      <c r="B886">
        <f t="shared" si="132"/>
        <v>0</v>
      </c>
      <c r="C886">
        <f t="shared" si="133"/>
        <v>0</v>
      </c>
      <c r="G886">
        <f>IF(OR($G$1="",对账补充行!$C279="",对账补充行!$C279&lt;&gt;$G$1),0,IF(NOT(OR(N(对账补充行!$H279)&lt;&gt;0,N(对账补充行!$I279)&lt;&gt;0)),0,IF(对账补充行!$B279="",1,IF(OR(N(对账补充行!$B279)&lt;$H$1,N(对账补充行!$B279)&gt;$I$1),0,1))))</f>
        <v>0</v>
      </c>
      <c r="H886">
        <f t="shared" si="134"/>
        <v>0</v>
      </c>
      <c r="I886" t="str">
        <f>IF($G886=0,"",IF(对账补充行!$B279=0,"",对账补充行!$B279))</f>
        <v/>
      </c>
      <c r="J886" t="str">
        <f>IF($G886=0,"",IF(对账补充行!$D279=0,"",对账补充行!$D279))</f>
        <v/>
      </c>
      <c r="K886" t="str">
        <f>IF($G886=0,"",IF(对账补充行!$E279=0,"",对账补充行!$E279))</f>
        <v/>
      </c>
      <c r="L886" t="str">
        <f>IF($G886=0,"",IF(对账补充行!$F279=0,"",对账补充行!$F279))</f>
        <v/>
      </c>
      <c r="M886" t="str">
        <f>IF($G886=0,"",IF(对账补充行!$G279=0,"",对账补充行!$G279))</f>
        <v/>
      </c>
      <c r="N886" t="str">
        <f>IF($G886=0,"",IF(对账补充行!$H279=0,"",对账补充行!$H279))</f>
        <v/>
      </c>
      <c r="O886" t="str">
        <f>IF($G886=0,"",IF(对账补充行!$I279=0,"",对账补充行!$I279))</f>
        <v/>
      </c>
      <c r="P886" t="str">
        <f>IF($G886=0,"",IF(对账补充行!$J279=0,"",对账补充行!$J279))</f>
        <v/>
      </c>
      <c r="T886" t="str">
        <f>IF(成本费用登记表!$D286="","",成本费用登记表!$D286)</f>
        <v/>
      </c>
      <c r="U886">
        <f t="shared" si="135"/>
        <v>0</v>
      </c>
      <c r="V886">
        <f t="shared" si="136"/>
        <v>0</v>
      </c>
    </row>
    <row r="887" spans="1:22">
      <c r="A887" t="str">
        <f>IF(资金日记账!$F585="","",资金日记账!$F585)</f>
        <v/>
      </c>
      <c r="B887">
        <f t="shared" si="132"/>
        <v>0</v>
      </c>
      <c r="C887">
        <f t="shared" si="133"/>
        <v>0</v>
      </c>
      <c r="G887">
        <f>IF(OR($G$1="",对账补充行!$C280="",对账补充行!$C280&lt;&gt;$G$1),0,IF(NOT(OR(N(对账补充行!$H280)&lt;&gt;0,N(对账补充行!$I280)&lt;&gt;0)),0,IF(对账补充行!$B280="",1,IF(OR(N(对账补充行!$B280)&lt;$H$1,N(对账补充行!$B280)&gt;$I$1),0,1))))</f>
        <v>0</v>
      </c>
      <c r="H887">
        <f t="shared" si="134"/>
        <v>0</v>
      </c>
      <c r="I887" t="str">
        <f>IF($G887=0,"",IF(对账补充行!$B280=0,"",对账补充行!$B280))</f>
        <v/>
      </c>
      <c r="J887" t="str">
        <f>IF($G887=0,"",IF(对账补充行!$D280=0,"",对账补充行!$D280))</f>
        <v/>
      </c>
      <c r="K887" t="str">
        <f>IF($G887=0,"",IF(对账补充行!$E280=0,"",对账补充行!$E280))</f>
        <v/>
      </c>
      <c r="L887" t="str">
        <f>IF($G887=0,"",IF(对账补充行!$F280=0,"",对账补充行!$F280))</f>
        <v/>
      </c>
      <c r="M887" t="str">
        <f>IF($G887=0,"",IF(对账补充行!$G280=0,"",对账补充行!$G280))</f>
        <v/>
      </c>
      <c r="N887" t="str">
        <f>IF($G887=0,"",IF(对账补充行!$H280=0,"",对账补充行!$H280))</f>
        <v/>
      </c>
      <c r="O887" t="str">
        <f>IF($G887=0,"",IF(对账补充行!$I280=0,"",对账补充行!$I280))</f>
        <v/>
      </c>
      <c r="P887" t="str">
        <f>IF($G887=0,"",IF(对账补充行!$J280=0,"",对账补充行!$J280))</f>
        <v/>
      </c>
      <c r="T887" t="str">
        <f>IF(成本费用登记表!$D287="","",成本费用登记表!$D287)</f>
        <v/>
      </c>
      <c r="U887">
        <f t="shared" si="135"/>
        <v>0</v>
      </c>
      <c r="V887">
        <f t="shared" si="136"/>
        <v>0</v>
      </c>
    </row>
    <row r="888" spans="1:22">
      <c r="A888" t="str">
        <f>IF(资金日记账!$F586="","",资金日记账!$F586)</f>
        <v/>
      </c>
      <c r="B888">
        <f t="shared" si="132"/>
        <v>0</v>
      </c>
      <c r="C888">
        <f t="shared" si="133"/>
        <v>0</v>
      </c>
      <c r="G888">
        <f>IF(OR($G$1="",对账补充行!$C281="",对账补充行!$C281&lt;&gt;$G$1),0,IF(NOT(OR(N(对账补充行!$H281)&lt;&gt;0,N(对账补充行!$I281)&lt;&gt;0)),0,IF(对账补充行!$B281="",1,IF(OR(N(对账补充行!$B281)&lt;$H$1,N(对账补充行!$B281)&gt;$I$1),0,1))))</f>
        <v>0</v>
      </c>
      <c r="H888">
        <f t="shared" si="134"/>
        <v>0</v>
      </c>
      <c r="I888" t="str">
        <f>IF($G888=0,"",IF(对账补充行!$B281=0,"",对账补充行!$B281))</f>
        <v/>
      </c>
      <c r="J888" t="str">
        <f>IF($G888=0,"",IF(对账补充行!$D281=0,"",对账补充行!$D281))</f>
        <v/>
      </c>
      <c r="K888" t="str">
        <f>IF($G888=0,"",IF(对账补充行!$E281=0,"",对账补充行!$E281))</f>
        <v/>
      </c>
      <c r="L888" t="str">
        <f>IF($G888=0,"",IF(对账补充行!$F281=0,"",对账补充行!$F281))</f>
        <v/>
      </c>
      <c r="M888" t="str">
        <f>IF($G888=0,"",IF(对账补充行!$G281=0,"",对账补充行!$G281))</f>
        <v/>
      </c>
      <c r="N888" t="str">
        <f>IF($G888=0,"",IF(对账补充行!$H281=0,"",对账补充行!$H281))</f>
        <v/>
      </c>
      <c r="O888" t="str">
        <f>IF($G888=0,"",IF(对账补充行!$I281=0,"",对账补充行!$I281))</f>
        <v/>
      </c>
      <c r="P888" t="str">
        <f>IF($G888=0,"",IF(对账补充行!$J281=0,"",对账补充行!$J281))</f>
        <v/>
      </c>
      <c r="T888" t="str">
        <f>IF(成本费用登记表!$D288="","",成本费用登记表!$D288)</f>
        <v/>
      </c>
      <c r="U888">
        <f t="shared" si="135"/>
        <v>0</v>
      </c>
      <c r="V888">
        <f t="shared" si="136"/>
        <v>0</v>
      </c>
    </row>
    <row r="889" spans="1:22">
      <c r="A889" t="str">
        <f>IF(资金日记账!$F587="","",资金日记账!$F587)</f>
        <v/>
      </c>
      <c r="B889">
        <f t="shared" si="132"/>
        <v>0</v>
      </c>
      <c r="C889">
        <f t="shared" si="133"/>
        <v>0</v>
      </c>
      <c r="G889">
        <f>IF(OR($G$1="",对账补充行!$C282="",对账补充行!$C282&lt;&gt;$G$1),0,IF(NOT(OR(N(对账补充行!$H282)&lt;&gt;0,N(对账补充行!$I282)&lt;&gt;0)),0,IF(对账补充行!$B282="",1,IF(OR(N(对账补充行!$B282)&lt;$H$1,N(对账补充行!$B282)&gt;$I$1),0,1))))</f>
        <v>0</v>
      </c>
      <c r="H889">
        <f t="shared" si="134"/>
        <v>0</v>
      </c>
      <c r="I889" t="str">
        <f>IF($G889=0,"",IF(对账补充行!$B282=0,"",对账补充行!$B282))</f>
        <v/>
      </c>
      <c r="J889" t="str">
        <f>IF($G889=0,"",IF(对账补充行!$D282=0,"",对账补充行!$D282))</f>
        <v/>
      </c>
      <c r="K889" t="str">
        <f>IF($G889=0,"",IF(对账补充行!$E282=0,"",对账补充行!$E282))</f>
        <v/>
      </c>
      <c r="L889" t="str">
        <f>IF($G889=0,"",IF(对账补充行!$F282=0,"",对账补充行!$F282))</f>
        <v/>
      </c>
      <c r="M889" t="str">
        <f>IF($G889=0,"",IF(对账补充行!$G282=0,"",对账补充行!$G282))</f>
        <v/>
      </c>
      <c r="N889" t="str">
        <f>IF($G889=0,"",IF(对账补充行!$H282=0,"",对账补充行!$H282))</f>
        <v/>
      </c>
      <c r="O889" t="str">
        <f>IF($G889=0,"",IF(对账补充行!$I282=0,"",对账补充行!$I282))</f>
        <v/>
      </c>
      <c r="P889" t="str">
        <f>IF($G889=0,"",IF(对账补充行!$J282=0,"",对账补充行!$J282))</f>
        <v/>
      </c>
      <c r="T889" t="str">
        <f>IF(成本费用登记表!$D289="","",成本费用登记表!$D289)</f>
        <v/>
      </c>
      <c r="U889">
        <f t="shared" si="135"/>
        <v>0</v>
      </c>
      <c r="V889">
        <f t="shared" si="136"/>
        <v>0</v>
      </c>
    </row>
    <row r="890" spans="1:22">
      <c r="A890" t="str">
        <f>IF(资金日记账!$F588="","",资金日记账!$F588)</f>
        <v/>
      </c>
      <c r="B890">
        <f t="shared" si="132"/>
        <v>0</v>
      </c>
      <c r="C890">
        <f t="shared" si="133"/>
        <v>0</v>
      </c>
      <c r="G890">
        <f>IF(OR($G$1="",对账补充行!$C283="",对账补充行!$C283&lt;&gt;$G$1),0,IF(NOT(OR(N(对账补充行!$H283)&lt;&gt;0,N(对账补充行!$I283)&lt;&gt;0)),0,IF(对账补充行!$B283="",1,IF(OR(N(对账补充行!$B283)&lt;$H$1,N(对账补充行!$B283)&gt;$I$1),0,1))))</f>
        <v>0</v>
      </c>
      <c r="H890">
        <f t="shared" si="134"/>
        <v>0</v>
      </c>
      <c r="I890" t="str">
        <f>IF($G890=0,"",IF(对账补充行!$B283=0,"",对账补充行!$B283))</f>
        <v/>
      </c>
      <c r="J890" t="str">
        <f>IF($G890=0,"",IF(对账补充行!$D283=0,"",对账补充行!$D283))</f>
        <v/>
      </c>
      <c r="K890" t="str">
        <f>IF($G890=0,"",IF(对账补充行!$E283=0,"",对账补充行!$E283))</f>
        <v/>
      </c>
      <c r="L890" t="str">
        <f>IF($G890=0,"",IF(对账补充行!$F283=0,"",对账补充行!$F283))</f>
        <v/>
      </c>
      <c r="M890" t="str">
        <f>IF($G890=0,"",IF(对账补充行!$G283=0,"",对账补充行!$G283))</f>
        <v/>
      </c>
      <c r="N890" t="str">
        <f>IF($G890=0,"",IF(对账补充行!$H283=0,"",对账补充行!$H283))</f>
        <v/>
      </c>
      <c r="O890" t="str">
        <f>IF($G890=0,"",IF(对账补充行!$I283=0,"",对账补充行!$I283))</f>
        <v/>
      </c>
      <c r="P890" t="str">
        <f>IF($G890=0,"",IF(对账补充行!$J283=0,"",对账补充行!$J283))</f>
        <v/>
      </c>
      <c r="T890" t="str">
        <f>IF(成本费用登记表!$D290="","",成本费用登记表!$D290)</f>
        <v/>
      </c>
      <c r="U890">
        <f t="shared" si="135"/>
        <v>0</v>
      </c>
      <c r="V890">
        <f t="shared" si="136"/>
        <v>0</v>
      </c>
    </row>
    <row r="891" spans="1:22">
      <c r="A891" t="str">
        <f>IF(资金日记账!$F589="","",资金日记账!$F589)</f>
        <v/>
      </c>
      <c r="B891">
        <f t="shared" si="132"/>
        <v>0</v>
      </c>
      <c r="C891">
        <f t="shared" si="133"/>
        <v>0</v>
      </c>
      <c r="G891">
        <f>IF(OR($G$1="",对账补充行!$C284="",对账补充行!$C284&lt;&gt;$G$1),0,IF(NOT(OR(N(对账补充行!$H284)&lt;&gt;0,N(对账补充行!$I284)&lt;&gt;0)),0,IF(对账补充行!$B284="",1,IF(OR(N(对账补充行!$B284)&lt;$H$1,N(对账补充行!$B284)&gt;$I$1),0,1))))</f>
        <v>0</v>
      </c>
      <c r="H891">
        <f t="shared" si="134"/>
        <v>0</v>
      </c>
      <c r="I891" t="str">
        <f>IF($G891=0,"",IF(对账补充行!$B284=0,"",对账补充行!$B284))</f>
        <v/>
      </c>
      <c r="J891" t="str">
        <f>IF($G891=0,"",IF(对账补充行!$D284=0,"",对账补充行!$D284))</f>
        <v/>
      </c>
      <c r="K891" t="str">
        <f>IF($G891=0,"",IF(对账补充行!$E284=0,"",对账补充行!$E284))</f>
        <v/>
      </c>
      <c r="L891" t="str">
        <f>IF($G891=0,"",IF(对账补充行!$F284=0,"",对账补充行!$F284))</f>
        <v/>
      </c>
      <c r="M891" t="str">
        <f>IF($G891=0,"",IF(对账补充行!$G284=0,"",对账补充行!$G284))</f>
        <v/>
      </c>
      <c r="N891" t="str">
        <f>IF($G891=0,"",IF(对账补充行!$H284=0,"",对账补充行!$H284))</f>
        <v/>
      </c>
      <c r="O891" t="str">
        <f>IF($G891=0,"",IF(对账补充行!$I284=0,"",对账补充行!$I284))</f>
        <v/>
      </c>
      <c r="P891" t="str">
        <f>IF($G891=0,"",IF(对账补充行!$J284=0,"",对账补充行!$J284))</f>
        <v/>
      </c>
      <c r="T891" t="str">
        <f>IF(成本费用登记表!$D291="","",成本费用登记表!$D291)</f>
        <v/>
      </c>
      <c r="U891">
        <f t="shared" si="135"/>
        <v>0</v>
      </c>
      <c r="V891">
        <f t="shared" si="136"/>
        <v>0</v>
      </c>
    </row>
    <row r="892" spans="1:22">
      <c r="A892" t="str">
        <f>IF(资金日记账!$F590="","",资金日记账!$F590)</f>
        <v/>
      </c>
      <c r="B892">
        <f t="shared" si="132"/>
        <v>0</v>
      </c>
      <c r="C892">
        <f t="shared" si="133"/>
        <v>0</v>
      </c>
      <c r="G892">
        <f>IF(OR($G$1="",对账补充行!$C285="",对账补充行!$C285&lt;&gt;$G$1),0,IF(NOT(OR(N(对账补充行!$H285)&lt;&gt;0,N(对账补充行!$I285)&lt;&gt;0)),0,IF(对账补充行!$B285="",1,IF(OR(N(对账补充行!$B285)&lt;$H$1,N(对账补充行!$B285)&gt;$I$1),0,1))))</f>
        <v>0</v>
      </c>
      <c r="H892">
        <f t="shared" si="134"/>
        <v>0</v>
      </c>
      <c r="I892" t="str">
        <f>IF($G892=0,"",IF(对账补充行!$B285=0,"",对账补充行!$B285))</f>
        <v/>
      </c>
      <c r="J892" t="str">
        <f>IF($G892=0,"",IF(对账补充行!$D285=0,"",对账补充行!$D285))</f>
        <v/>
      </c>
      <c r="K892" t="str">
        <f>IF($G892=0,"",IF(对账补充行!$E285=0,"",对账补充行!$E285))</f>
        <v/>
      </c>
      <c r="L892" t="str">
        <f>IF($G892=0,"",IF(对账补充行!$F285=0,"",对账补充行!$F285))</f>
        <v/>
      </c>
      <c r="M892" t="str">
        <f>IF($G892=0,"",IF(对账补充行!$G285=0,"",对账补充行!$G285))</f>
        <v/>
      </c>
      <c r="N892" t="str">
        <f>IF($G892=0,"",IF(对账补充行!$H285=0,"",对账补充行!$H285))</f>
        <v/>
      </c>
      <c r="O892" t="str">
        <f>IF($G892=0,"",IF(对账补充行!$I285=0,"",对账补充行!$I285))</f>
        <v/>
      </c>
      <c r="P892" t="str">
        <f>IF($G892=0,"",IF(对账补充行!$J285=0,"",对账补充行!$J285))</f>
        <v/>
      </c>
      <c r="T892" t="str">
        <f>IF(成本费用登记表!$D292="","",成本费用登记表!$D292)</f>
        <v/>
      </c>
      <c r="U892">
        <f t="shared" si="135"/>
        <v>0</v>
      </c>
      <c r="V892">
        <f t="shared" si="136"/>
        <v>0</v>
      </c>
    </row>
    <row r="893" spans="1:22">
      <c r="A893" t="str">
        <f>IF(资金日记账!$F591="","",资金日记账!$F591)</f>
        <v/>
      </c>
      <c r="B893">
        <f t="shared" si="132"/>
        <v>0</v>
      </c>
      <c r="C893">
        <f t="shared" si="133"/>
        <v>0</v>
      </c>
      <c r="G893">
        <f>IF(OR($G$1="",对账补充行!$C286="",对账补充行!$C286&lt;&gt;$G$1),0,IF(NOT(OR(N(对账补充行!$H286)&lt;&gt;0,N(对账补充行!$I286)&lt;&gt;0)),0,IF(对账补充行!$B286="",1,IF(OR(N(对账补充行!$B286)&lt;$H$1,N(对账补充行!$B286)&gt;$I$1),0,1))))</f>
        <v>0</v>
      </c>
      <c r="H893">
        <f t="shared" si="134"/>
        <v>0</v>
      </c>
      <c r="I893" t="str">
        <f>IF($G893=0,"",IF(对账补充行!$B286=0,"",对账补充行!$B286))</f>
        <v/>
      </c>
      <c r="J893" t="str">
        <f>IF($G893=0,"",IF(对账补充行!$D286=0,"",对账补充行!$D286))</f>
        <v/>
      </c>
      <c r="K893" t="str">
        <f>IF($G893=0,"",IF(对账补充行!$E286=0,"",对账补充行!$E286))</f>
        <v/>
      </c>
      <c r="L893" t="str">
        <f>IF($G893=0,"",IF(对账补充行!$F286=0,"",对账补充行!$F286))</f>
        <v/>
      </c>
      <c r="M893" t="str">
        <f>IF($G893=0,"",IF(对账补充行!$G286=0,"",对账补充行!$G286))</f>
        <v/>
      </c>
      <c r="N893" t="str">
        <f>IF($G893=0,"",IF(对账补充行!$H286=0,"",对账补充行!$H286))</f>
        <v/>
      </c>
      <c r="O893" t="str">
        <f>IF($G893=0,"",IF(对账补充行!$I286=0,"",对账补充行!$I286))</f>
        <v/>
      </c>
      <c r="P893" t="str">
        <f>IF($G893=0,"",IF(对账补充行!$J286=0,"",对账补充行!$J286))</f>
        <v/>
      </c>
      <c r="T893" t="str">
        <f>IF(成本费用登记表!$D293="","",成本费用登记表!$D293)</f>
        <v/>
      </c>
      <c r="U893">
        <f t="shared" si="135"/>
        <v>0</v>
      </c>
      <c r="V893">
        <f t="shared" si="136"/>
        <v>0</v>
      </c>
    </row>
    <row r="894" spans="1:22">
      <c r="A894" t="str">
        <f>IF(资金日记账!$F592="","",资金日记账!$F592)</f>
        <v/>
      </c>
      <c r="B894">
        <f t="shared" si="132"/>
        <v>0</v>
      </c>
      <c r="C894">
        <f t="shared" si="133"/>
        <v>0</v>
      </c>
      <c r="G894">
        <f>IF(OR($G$1="",对账补充行!$C287="",对账补充行!$C287&lt;&gt;$G$1),0,IF(NOT(OR(N(对账补充行!$H287)&lt;&gt;0,N(对账补充行!$I287)&lt;&gt;0)),0,IF(对账补充行!$B287="",1,IF(OR(N(对账补充行!$B287)&lt;$H$1,N(对账补充行!$B287)&gt;$I$1),0,1))))</f>
        <v>0</v>
      </c>
      <c r="H894">
        <f t="shared" si="134"/>
        <v>0</v>
      </c>
      <c r="I894" t="str">
        <f>IF($G894=0,"",IF(对账补充行!$B287=0,"",对账补充行!$B287))</f>
        <v/>
      </c>
      <c r="J894" t="str">
        <f>IF($G894=0,"",IF(对账补充行!$D287=0,"",对账补充行!$D287))</f>
        <v/>
      </c>
      <c r="K894" t="str">
        <f>IF($G894=0,"",IF(对账补充行!$E287=0,"",对账补充行!$E287))</f>
        <v/>
      </c>
      <c r="L894" t="str">
        <f>IF($G894=0,"",IF(对账补充行!$F287=0,"",对账补充行!$F287))</f>
        <v/>
      </c>
      <c r="M894" t="str">
        <f>IF($G894=0,"",IF(对账补充行!$G287=0,"",对账补充行!$G287))</f>
        <v/>
      </c>
      <c r="N894" t="str">
        <f>IF($G894=0,"",IF(对账补充行!$H287=0,"",对账补充行!$H287))</f>
        <v/>
      </c>
      <c r="O894" t="str">
        <f>IF($G894=0,"",IF(对账补充行!$I287=0,"",对账补充行!$I287))</f>
        <v/>
      </c>
      <c r="P894" t="str">
        <f>IF($G894=0,"",IF(对账补充行!$J287=0,"",对账补充行!$J287))</f>
        <v/>
      </c>
      <c r="T894" t="str">
        <f>IF(成本费用登记表!$D294="","",成本费用登记表!$D294)</f>
        <v/>
      </c>
      <c r="U894">
        <f t="shared" si="135"/>
        <v>0</v>
      </c>
      <c r="V894">
        <f t="shared" si="136"/>
        <v>0</v>
      </c>
    </row>
    <row r="895" spans="1:22">
      <c r="A895" t="str">
        <f>IF(资金日记账!$F593="","",资金日记账!$F593)</f>
        <v/>
      </c>
      <c r="B895">
        <f t="shared" si="132"/>
        <v>0</v>
      </c>
      <c r="C895">
        <f t="shared" si="133"/>
        <v>0</v>
      </c>
      <c r="G895">
        <f>IF(OR($G$1="",对账补充行!$C288="",对账补充行!$C288&lt;&gt;$G$1),0,IF(NOT(OR(N(对账补充行!$H288)&lt;&gt;0,N(对账补充行!$I288)&lt;&gt;0)),0,IF(对账补充行!$B288="",1,IF(OR(N(对账补充行!$B288)&lt;$H$1,N(对账补充行!$B288)&gt;$I$1),0,1))))</f>
        <v>0</v>
      </c>
      <c r="H895">
        <f t="shared" si="134"/>
        <v>0</v>
      </c>
      <c r="I895" t="str">
        <f>IF($G895=0,"",IF(对账补充行!$B288=0,"",对账补充行!$B288))</f>
        <v/>
      </c>
      <c r="J895" t="str">
        <f>IF($G895=0,"",IF(对账补充行!$D288=0,"",对账补充行!$D288))</f>
        <v/>
      </c>
      <c r="K895" t="str">
        <f>IF($G895=0,"",IF(对账补充行!$E288=0,"",对账补充行!$E288))</f>
        <v/>
      </c>
      <c r="L895" t="str">
        <f>IF($G895=0,"",IF(对账补充行!$F288=0,"",对账补充行!$F288))</f>
        <v/>
      </c>
      <c r="M895" t="str">
        <f>IF($G895=0,"",IF(对账补充行!$G288=0,"",对账补充行!$G288))</f>
        <v/>
      </c>
      <c r="N895" t="str">
        <f>IF($G895=0,"",IF(对账补充行!$H288=0,"",对账补充行!$H288))</f>
        <v/>
      </c>
      <c r="O895" t="str">
        <f>IF($G895=0,"",IF(对账补充行!$I288=0,"",对账补充行!$I288))</f>
        <v/>
      </c>
      <c r="P895" t="str">
        <f>IF($G895=0,"",IF(对账补充行!$J288=0,"",对账补充行!$J288))</f>
        <v/>
      </c>
      <c r="T895" t="str">
        <f>IF(成本费用登记表!$D295="","",成本费用登记表!$D295)</f>
        <v/>
      </c>
      <c r="U895">
        <f t="shared" si="135"/>
        <v>0</v>
      </c>
      <c r="V895">
        <f t="shared" si="136"/>
        <v>0</v>
      </c>
    </row>
    <row r="896" spans="1:22">
      <c r="A896" t="str">
        <f>IF(资金日记账!$F594="","",资金日记账!$F594)</f>
        <v/>
      </c>
      <c r="B896">
        <f t="shared" si="132"/>
        <v>0</v>
      </c>
      <c r="C896">
        <f t="shared" si="133"/>
        <v>0</v>
      </c>
      <c r="G896">
        <f>IF(OR($G$1="",对账补充行!$C289="",对账补充行!$C289&lt;&gt;$G$1),0,IF(NOT(OR(N(对账补充行!$H289)&lt;&gt;0,N(对账补充行!$I289)&lt;&gt;0)),0,IF(对账补充行!$B289="",1,IF(OR(N(对账补充行!$B289)&lt;$H$1,N(对账补充行!$B289)&gt;$I$1),0,1))))</f>
        <v>0</v>
      </c>
      <c r="H896">
        <f t="shared" si="134"/>
        <v>0</v>
      </c>
      <c r="I896" t="str">
        <f>IF($G896=0,"",IF(对账补充行!$B289=0,"",对账补充行!$B289))</f>
        <v/>
      </c>
      <c r="J896" t="str">
        <f>IF($G896=0,"",IF(对账补充行!$D289=0,"",对账补充行!$D289))</f>
        <v/>
      </c>
      <c r="K896" t="str">
        <f>IF($G896=0,"",IF(对账补充行!$E289=0,"",对账补充行!$E289))</f>
        <v/>
      </c>
      <c r="L896" t="str">
        <f>IF($G896=0,"",IF(对账补充行!$F289=0,"",对账补充行!$F289))</f>
        <v/>
      </c>
      <c r="M896" t="str">
        <f>IF($G896=0,"",IF(对账补充行!$G289=0,"",对账补充行!$G289))</f>
        <v/>
      </c>
      <c r="N896" t="str">
        <f>IF($G896=0,"",IF(对账补充行!$H289=0,"",对账补充行!$H289))</f>
        <v/>
      </c>
      <c r="O896" t="str">
        <f>IF($G896=0,"",IF(对账补充行!$I289=0,"",对账补充行!$I289))</f>
        <v/>
      </c>
      <c r="P896" t="str">
        <f>IF($G896=0,"",IF(对账补充行!$J289=0,"",对账补充行!$J289))</f>
        <v/>
      </c>
      <c r="T896" t="str">
        <f>IF(成本费用登记表!$D296="","",成本费用登记表!$D296)</f>
        <v/>
      </c>
      <c r="U896">
        <f t="shared" si="135"/>
        <v>0</v>
      </c>
      <c r="V896">
        <f t="shared" si="136"/>
        <v>0</v>
      </c>
    </row>
    <row r="897" spans="1:22">
      <c r="A897" t="str">
        <f>IF(资金日记账!$F595="","",资金日记账!$F595)</f>
        <v/>
      </c>
      <c r="B897">
        <f t="shared" si="132"/>
        <v>0</v>
      </c>
      <c r="C897">
        <f t="shared" si="133"/>
        <v>0</v>
      </c>
      <c r="G897">
        <f>IF(OR($G$1="",对账补充行!$C290="",对账补充行!$C290&lt;&gt;$G$1),0,IF(NOT(OR(N(对账补充行!$H290)&lt;&gt;0,N(对账补充行!$I290)&lt;&gt;0)),0,IF(对账补充行!$B290="",1,IF(OR(N(对账补充行!$B290)&lt;$H$1,N(对账补充行!$B290)&gt;$I$1),0,1))))</f>
        <v>0</v>
      </c>
      <c r="H897">
        <f t="shared" si="134"/>
        <v>0</v>
      </c>
      <c r="I897" t="str">
        <f>IF($G897=0,"",IF(对账补充行!$B290=0,"",对账补充行!$B290))</f>
        <v/>
      </c>
      <c r="J897" t="str">
        <f>IF($G897=0,"",IF(对账补充行!$D290=0,"",对账补充行!$D290))</f>
        <v/>
      </c>
      <c r="K897" t="str">
        <f>IF($G897=0,"",IF(对账补充行!$E290=0,"",对账补充行!$E290))</f>
        <v/>
      </c>
      <c r="L897" t="str">
        <f>IF($G897=0,"",IF(对账补充行!$F290=0,"",对账补充行!$F290))</f>
        <v/>
      </c>
      <c r="M897" t="str">
        <f>IF($G897=0,"",IF(对账补充行!$G290=0,"",对账补充行!$G290))</f>
        <v/>
      </c>
      <c r="N897" t="str">
        <f>IF($G897=0,"",IF(对账补充行!$H290=0,"",对账补充行!$H290))</f>
        <v/>
      </c>
      <c r="O897" t="str">
        <f>IF($G897=0,"",IF(对账补充行!$I290=0,"",对账补充行!$I290))</f>
        <v/>
      </c>
      <c r="P897" t="str">
        <f>IF($G897=0,"",IF(对账补充行!$J290=0,"",对账补充行!$J290))</f>
        <v/>
      </c>
      <c r="T897" t="str">
        <f>IF(成本费用登记表!$D297="","",成本费用登记表!$D297)</f>
        <v/>
      </c>
      <c r="U897">
        <f t="shared" si="135"/>
        <v>0</v>
      </c>
      <c r="V897">
        <f t="shared" si="136"/>
        <v>0</v>
      </c>
    </row>
    <row r="898" spans="1:22">
      <c r="A898" t="str">
        <f>IF(资金日记账!$F596="","",资金日记账!$F596)</f>
        <v/>
      </c>
      <c r="B898">
        <f t="shared" si="132"/>
        <v>0</v>
      </c>
      <c r="C898">
        <f t="shared" si="133"/>
        <v>0</v>
      </c>
      <c r="G898">
        <f>IF(OR($G$1="",对账补充行!$C291="",对账补充行!$C291&lt;&gt;$G$1),0,IF(NOT(OR(N(对账补充行!$H291)&lt;&gt;0,N(对账补充行!$I291)&lt;&gt;0)),0,IF(对账补充行!$B291="",1,IF(OR(N(对账补充行!$B291)&lt;$H$1,N(对账补充行!$B291)&gt;$I$1),0,1))))</f>
        <v>0</v>
      </c>
      <c r="H898">
        <f t="shared" si="134"/>
        <v>0</v>
      </c>
      <c r="I898" t="str">
        <f>IF($G898=0,"",IF(对账补充行!$B291=0,"",对账补充行!$B291))</f>
        <v/>
      </c>
      <c r="J898" t="str">
        <f>IF($G898=0,"",IF(对账补充行!$D291=0,"",对账补充行!$D291))</f>
        <v/>
      </c>
      <c r="K898" t="str">
        <f>IF($G898=0,"",IF(对账补充行!$E291=0,"",对账补充行!$E291))</f>
        <v/>
      </c>
      <c r="L898" t="str">
        <f>IF($G898=0,"",IF(对账补充行!$F291=0,"",对账补充行!$F291))</f>
        <v/>
      </c>
      <c r="M898" t="str">
        <f>IF($G898=0,"",IF(对账补充行!$G291=0,"",对账补充行!$G291))</f>
        <v/>
      </c>
      <c r="N898" t="str">
        <f>IF($G898=0,"",IF(对账补充行!$H291=0,"",对账补充行!$H291))</f>
        <v/>
      </c>
      <c r="O898" t="str">
        <f>IF($G898=0,"",IF(对账补充行!$I291=0,"",对账补充行!$I291))</f>
        <v/>
      </c>
      <c r="P898" t="str">
        <f>IF($G898=0,"",IF(对账补充行!$J291=0,"",对账补充行!$J291))</f>
        <v/>
      </c>
      <c r="T898" t="str">
        <f>IF(成本费用登记表!$D298="","",成本费用登记表!$D298)</f>
        <v/>
      </c>
      <c r="U898">
        <f t="shared" si="135"/>
        <v>0</v>
      </c>
      <c r="V898">
        <f t="shared" si="136"/>
        <v>0</v>
      </c>
    </row>
    <row r="899" spans="1:22">
      <c r="A899" t="str">
        <f>IF(资金日记账!$F597="","",资金日记账!$F597)</f>
        <v/>
      </c>
      <c r="B899">
        <f t="shared" si="132"/>
        <v>0</v>
      </c>
      <c r="C899">
        <f t="shared" si="133"/>
        <v>0</v>
      </c>
      <c r="G899">
        <f>IF(OR($G$1="",对账补充行!$C292="",对账补充行!$C292&lt;&gt;$G$1),0,IF(NOT(OR(N(对账补充行!$H292)&lt;&gt;0,N(对账补充行!$I292)&lt;&gt;0)),0,IF(对账补充行!$B292="",1,IF(OR(N(对账补充行!$B292)&lt;$H$1,N(对账补充行!$B292)&gt;$I$1),0,1))))</f>
        <v>0</v>
      </c>
      <c r="H899">
        <f t="shared" si="134"/>
        <v>0</v>
      </c>
      <c r="I899" t="str">
        <f>IF($G899=0,"",IF(对账补充行!$B292=0,"",对账补充行!$B292))</f>
        <v/>
      </c>
      <c r="J899" t="str">
        <f>IF($G899=0,"",IF(对账补充行!$D292=0,"",对账补充行!$D292))</f>
        <v/>
      </c>
      <c r="K899" t="str">
        <f>IF($G899=0,"",IF(对账补充行!$E292=0,"",对账补充行!$E292))</f>
        <v/>
      </c>
      <c r="L899" t="str">
        <f>IF($G899=0,"",IF(对账补充行!$F292=0,"",对账补充行!$F292))</f>
        <v/>
      </c>
      <c r="M899" t="str">
        <f>IF($G899=0,"",IF(对账补充行!$G292=0,"",对账补充行!$G292))</f>
        <v/>
      </c>
      <c r="N899" t="str">
        <f>IF($G899=0,"",IF(对账补充行!$H292=0,"",对账补充行!$H292))</f>
        <v/>
      </c>
      <c r="O899" t="str">
        <f>IF($G899=0,"",IF(对账补充行!$I292=0,"",对账补充行!$I292))</f>
        <v/>
      </c>
      <c r="P899" t="str">
        <f>IF($G899=0,"",IF(对账补充行!$J292=0,"",对账补充行!$J292))</f>
        <v/>
      </c>
      <c r="T899" t="str">
        <f>IF(成本费用登记表!$D299="","",成本费用登记表!$D299)</f>
        <v/>
      </c>
      <c r="U899">
        <f t="shared" si="135"/>
        <v>0</v>
      </c>
      <c r="V899">
        <f t="shared" si="136"/>
        <v>0</v>
      </c>
    </row>
    <row r="900" spans="1:22">
      <c r="A900" t="str">
        <f>IF(资金日记账!$F598="","",资金日记账!$F598)</f>
        <v/>
      </c>
      <c r="B900">
        <f t="shared" ref="B900:B963" si="137">IF(A900="",0,IF(MATCH(A900,$A$4:$A$1805,0)=ROW()-3,1,0))</f>
        <v>0</v>
      </c>
      <c r="C900">
        <f t="shared" ref="C900:C963" si="138">N(C899)+B900</f>
        <v>0</v>
      </c>
      <c r="G900">
        <f>IF(OR($G$1="",对账补充行!$C293="",对账补充行!$C293&lt;&gt;$G$1),0,IF(NOT(OR(N(对账补充行!$H293)&lt;&gt;0,N(对账补充行!$I293)&lt;&gt;0)),0,IF(对账补充行!$B293="",1,IF(OR(N(对账补充行!$B293)&lt;$H$1,N(对账补充行!$B293)&gt;$I$1),0,1))))</f>
        <v>0</v>
      </c>
      <c r="H900">
        <f t="shared" ref="H900:H910" si="139">N(H899)+$G900</f>
        <v>0</v>
      </c>
      <c r="I900" t="str">
        <f>IF($G900=0,"",IF(对账补充行!$B293=0,"",对账补充行!$B293))</f>
        <v/>
      </c>
      <c r="J900" t="str">
        <f>IF($G900=0,"",IF(对账补充行!$D293=0,"",对账补充行!$D293))</f>
        <v/>
      </c>
      <c r="K900" t="str">
        <f>IF($G900=0,"",IF(对账补充行!$E293=0,"",对账补充行!$E293))</f>
        <v/>
      </c>
      <c r="L900" t="str">
        <f>IF($G900=0,"",IF(对账补充行!$F293=0,"",对账补充行!$F293))</f>
        <v/>
      </c>
      <c r="M900" t="str">
        <f>IF($G900=0,"",IF(对账补充行!$G293=0,"",对账补充行!$G293))</f>
        <v/>
      </c>
      <c r="N900" t="str">
        <f>IF($G900=0,"",IF(对账补充行!$H293=0,"",对账补充行!$H293))</f>
        <v/>
      </c>
      <c r="O900" t="str">
        <f>IF($G900=0,"",IF(对账补充行!$I293=0,"",对账补充行!$I293))</f>
        <v/>
      </c>
      <c r="P900" t="str">
        <f>IF($G900=0,"",IF(对账补充行!$J293=0,"",对账补充行!$J293))</f>
        <v/>
      </c>
      <c r="T900" t="str">
        <f>IF(成本费用登记表!$D300="","",成本费用登记表!$D300)</f>
        <v/>
      </c>
      <c r="U900">
        <f>IF(T900="",0,IF(MATCH(T900,$T$4:$T$903,0)=ROW()-3,1,0))</f>
        <v>0</v>
      </c>
      <c r="V900">
        <f>N(V899)+U900</f>
        <v>0</v>
      </c>
    </row>
    <row r="901" spans="1:22">
      <c r="A901" t="str">
        <f>IF(资金日记账!$F599="","",资金日记账!$F599)</f>
        <v/>
      </c>
      <c r="B901">
        <f t="shared" si="137"/>
        <v>0</v>
      </c>
      <c r="C901">
        <f t="shared" si="138"/>
        <v>0</v>
      </c>
      <c r="G901">
        <f>IF(OR($G$1="",对账补充行!$C294="",对账补充行!$C294&lt;&gt;$G$1),0,IF(NOT(OR(N(对账补充行!$H294)&lt;&gt;0,N(对账补充行!$I294)&lt;&gt;0)),0,IF(对账补充行!$B294="",1,IF(OR(N(对账补充行!$B294)&lt;$H$1,N(对账补充行!$B294)&gt;$I$1),0,1))))</f>
        <v>0</v>
      </c>
      <c r="H901">
        <f t="shared" si="139"/>
        <v>0</v>
      </c>
      <c r="I901" t="str">
        <f>IF($G901=0,"",IF(对账补充行!$B294=0,"",对账补充行!$B294))</f>
        <v/>
      </c>
      <c r="J901" t="str">
        <f>IF($G901=0,"",IF(对账补充行!$D294=0,"",对账补充行!$D294))</f>
        <v/>
      </c>
      <c r="K901" t="str">
        <f>IF($G901=0,"",IF(对账补充行!$E294=0,"",对账补充行!$E294))</f>
        <v/>
      </c>
      <c r="L901" t="str">
        <f>IF($G901=0,"",IF(对账补充行!$F294=0,"",对账补充行!$F294))</f>
        <v/>
      </c>
      <c r="M901" t="str">
        <f>IF($G901=0,"",IF(对账补充行!$G294=0,"",对账补充行!$G294))</f>
        <v/>
      </c>
      <c r="N901" t="str">
        <f>IF($G901=0,"",IF(对账补充行!$H294=0,"",对账补充行!$H294))</f>
        <v/>
      </c>
      <c r="O901" t="str">
        <f>IF($G901=0,"",IF(对账补充行!$I294=0,"",对账补充行!$I294))</f>
        <v/>
      </c>
      <c r="P901" t="str">
        <f>IF($G901=0,"",IF(对账补充行!$J294=0,"",对账补充行!$J294))</f>
        <v/>
      </c>
      <c r="T901" t="str">
        <f>IF(成本费用登记表!$D301="","",成本费用登记表!$D301)</f>
        <v/>
      </c>
      <c r="U901">
        <f>IF(T901="",0,IF(MATCH(T901,$T$4:$T$903,0)=ROW()-3,1,0))</f>
        <v>0</v>
      </c>
      <c r="V901">
        <f>N(V900)+U901</f>
        <v>0</v>
      </c>
    </row>
    <row r="902" spans="1:22">
      <c r="A902" t="str">
        <f>IF(资金日记账!$F600="","",资金日记账!$F600)</f>
        <v/>
      </c>
      <c r="B902">
        <f t="shared" si="137"/>
        <v>0</v>
      </c>
      <c r="C902">
        <f t="shared" si="138"/>
        <v>0</v>
      </c>
      <c r="G902">
        <f>IF(OR($G$1="",对账补充行!$C295="",对账补充行!$C295&lt;&gt;$G$1),0,IF(NOT(OR(N(对账补充行!$H295)&lt;&gt;0,N(对账补充行!$I295)&lt;&gt;0)),0,IF(对账补充行!$B295="",1,IF(OR(N(对账补充行!$B295)&lt;$H$1,N(对账补充行!$B295)&gt;$I$1),0,1))))</f>
        <v>0</v>
      </c>
      <c r="H902">
        <f t="shared" si="139"/>
        <v>0</v>
      </c>
      <c r="I902" t="str">
        <f>IF($G902=0,"",IF(对账补充行!$B295=0,"",对账补充行!$B295))</f>
        <v/>
      </c>
      <c r="J902" t="str">
        <f>IF($G902=0,"",IF(对账补充行!$D295=0,"",对账补充行!$D295))</f>
        <v/>
      </c>
      <c r="K902" t="str">
        <f>IF($G902=0,"",IF(对账补充行!$E295=0,"",对账补充行!$E295))</f>
        <v/>
      </c>
      <c r="L902" t="str">
        <f>IF($G902=0,"",IF(对账补充行!$F295=0,"",对账补充行!$F295))</f>
        <v/>
      </c>
      <c r="M902" t="str">
        <f>IF($G902=0,"",IF(对账补充行!$G295=0,"",对账补充行!$G295))</f>
        <v/>
      </c>
      <c r="N902" t="str">
        <f>IF($G902=0,"",IF(对账补充行!$H295=0,"",对账补充行!$H295))</f>
        <v/>
      </c>
      <c r="O902" t="str">
        <f>IF($G902=0,"",IF(对账补充行!$I295=0,"",对账补充行!$I295))</f>
        <v/>
      </c>
      <c r="P902" t="str">
        <f>IF($G902=0,"",IF(对账补充行!$J295=0,"",对账补充行!$J295))</f>
        <v/>
      </c>
      <c r="T902" t="str">
        <f>IF(成本费用登记表!$D302="","",成本费用登记表!$D302)</f>
        <v/>
      </c>
      <c r="U902">
        <f>IF(T902="",0,IF(MATCH(T902,$T$4:$T$903,0)=ROW()-3,1,0))</f>
        <v>0</v>
      </c>
      <c r="V902">
        <f>N(V901)+U902</f>
        <v>0</v>
      </c>
    </row>
    <row r="903" spans="1:22">
      <c r="A903" t="str">
        <f>IF(资金日记账!$F601="","",资金日记账!$F601)</f>
        <v/>
      </c>
      <c r="B903">
        <f t="shared" si="137"/>
        <v>0</v>
      </c>
      <c r="C903">
        <f t="shared" si="138"/>
        <v>0</v>
      </c>
      <c r="G903">
        <f>IF(OR($G$1="",对账补充行!$C296="",对账补充行!$C296&lt;&gt;$G$1),0,IF(NOT(OR(N(对账补充行!$H296)&lt;&gt;0,N(对账补充行!$I296)&lt;&gt;0)),0,IF(对账补充行!$B296="",1,IF(OR(N(对账补充行!$B296)&lt;$H$1,N(对账补充行!$B296)&gt;$I$1),0,1))))</f>
        <v>0</v>
      </c>
      <c r="H903">
        <f t="shared" si="139"/>
        <v>0</v>
      </c>
      <c r="I903" t="str">
        <f>IF($G903=0,"",IF(对账补充行!$B296=0,"",对账补充行!$B296))</f>
        <v/>
      </c>
      <c r="J903" t="str">
        <f>IF($G903=0,"",IF(对账补充行!$D296=0,"",对账补充行!$D296))</f>
        <v/>
      </c>
      <c r="K903" t="str">
        <f>IF($G903=0,"",IF(对账补充行!$E296=0,"",对账补充行!$E296))</f>
        <v/>
      </c>
      <c r="L903" t="str">
        <f>IF($G903=0,"",IF(对账补充行!$F296=0,"",对账补充行!$F296))</f>
        <v/>
      </c>
      <c r="M903" t="str">
        <f>IF($G903=0,"",IF(对账补充行!$G296=0,"",对账补充行!$G296))</f>
        <v/>
      </c>
      <c r="N903" t="str">
        <f>IF($G903=0,"",IF(对账补充行!$H296=0,"",对账补充行!$H296))</f>
        <v/>
      </c>
      <c r="O903" t="str">
        <f>IF($G903=0,"",IF(对账补充行!$I296=0,"",对账补充行!$I296))</f>
        <v/>
      </c>
      <c r="P903" t="str">
        <f>IF($G903=0,"",IF(对账补充行!$J296=0,"",对账补充行!$J296))</f>
        <v/>
      </c>
      <c r="T903" t="str">
        <f>IF(成本费用登记表!$D303="","",成本费用登记表!$D303)</f>
        <v/>
      </c>
      <c r="U903">
        <f>IF(T903="",0,IF(MATCH(T903,$T$4:$T$903,0)=ROW()-3,1,0))</f>
        <v>0</v>
      </c>
      <c r="V903">
        <f>N(V902)+U903</f>
        <v>0</v>
      </c>
    </row>
    <row r="904" spans="1:22">
      <c r="A904" t="str">
        <f>IF(资金日记账!$F602="","",资金日记账!$F602)</f>
        <v/>
      </c>
      <c r="B904">
        <f t="shared" si="137"/>
        <v>0</v>
      </c>
      <c r="C904">
        <f t="shared" si="138"/>
        <v>0</v>
      </c>
      <c r="G904">
        <f>IF(OR($G$1="",对账补充行!$C297="",对账补充行!$C297&lt;&gt;$G$1),0,IF(NOT(OR(N(对账补充行!$H297)&lt;&gt;0,N(对账补充行!$I297)&lt;&gt;0)),0,IF(对账补充行!$B297="",1,IF(OR(N(对账补充行!$B297)&lt;$H$1,N(对账补充行!$B297)&gt;$I$1),0,1))))</f>
        <v>0</v>
      </c>
      <c r="H904">
        <f t="shared" si="139"/>
        <v>0</v>
      </c>
      <c r="I904" t="str">
        <f>IF($G904=0,"",IF(对账补充行!$B297=0,"",对账补充行!$B297))</f>
        <v/>
      </c>
      <c r="J904" t="str">
        <f>IF($G904=0,"",IF(对账补充行!$D297=0,"",对账补充行!$D297))</f>
        <v/>
      </c>
      <c r="K904" t="str">
        <f>IF($G904=0,"",IF(对账补充行!$E297=0,"",对账补充行!$E297))</f>
        <v/>
      </c>
      <c r="L904" t="str">
        <f>IF($G904=0,"",IF(对账补充行!$F297=0,"",对账补充行!$F297))</f>
        <v/>
      </c>
      <c r="M904" t="str">
        <f>IF($G904=0,"",IF(对账补充行!$G297=0,"",对账补充行!$G297))</f>
        <v/>
      </c>
      <c r="N904" t="str">
        <f>IF($G904=0,"",IF(对账补充行!$H297=0,"",对账补充行!$H297))</f>
        <v/>
      </c>
      <c r="O904" t="str">
        <f>IF($G904=0,"",IF(对账补充行!$I297=0,"",对账补充行!$I297))</f>
        <v/>
      </c>
      <c r="P904" t="str">
        <f>IF($G904=0,"",IF(对账补充行!$J297=0,"",对账补充行!$J297))</f>
        <v/>
      </c>
    </row>
    <row r="905" spans="1:22">
      <c r="A905" t="str">
        <f>IF(资金日记账!$F603="","",资金日记账!$F603)</f>
        <v/>
      </c>
      <c r="B905">
        <f t="shared" si="137"/>
        <v>0</v>
      </c>
      <c r="C905">
        <f t="shared" si="138"/>
        <v>0</v>
      </c>
      <c r="G905">
        <f>IF(OR($G$1="",对账补充行!$C298="",对账补充行!$C298&lt;&gt;$G$1),0,IF(NOT(OR(N(对账补充行!$H298)&lt;&gt;0,N(对账补充行!$I298)&lt;&gt;0)),0,IF(对账补充行!$B298="",1,IF(OR(N(对账补充行!$B298)&lt;$H$1,N(对账补充行!$B298)&gt;$I$1),0,1))))</f>
        <v>0</v>
      </c>
      <c r="H905">
        <f t="shared" si="139"/>
        <v>0</v>
      </c>
      <c r="I905" t="str">
        <f>IF($G905=0,"",IF(对账补充行!$B298=0,"",对账补充行!$B298))</f>
        <v/>
      </c>
      <c r="J905" t="str">
        <f>IF($G905=0,"",IF(对账补充行!$D298=0,"",对账补充行!$D298))</f>
        <v/>
      </c>
      <c r="K905" t="str">
        <f>IF($G905=0,"",IF(对账补充行!$E298=0,"",对账补充行!$E298))</f>
        <v/>
      </c>
      <c r="L905" t="str">
        <f>IF($G905=0,"",IF(对账补充行!$F298=0,"",对账补充行!$F298))</f>
        <v/>
      </c>
      <c r="M905" t="str">
        <f>IF($G905=0,"",IF(对账补充行!$G298=0,"",对账补充行!$G298))</f>
        <v/>
      </c>
      <c r="N905" t="str">
        <f>IF($G905=0,"",IF(对账补充行!$H298=0,"",对账补充行!$H298))</f>
        <v/>
      </c>
      <c r="O905" t="str">
        <f>IF($G905=0,"",IF(对账补充行!$I298=0,"",对账补充行!$I298))</f>
        <v/>
      </c>
      <c r="P905" t="str">
        <f>IF($G905=0,"",IF(对账补充行!$J298=0,"",对账补充行!$J298))</f>
        <v/>
      </c>
    </row>
    <row r="906" spans="1:22">
      <c r="A906" t="str">
        <f>IF(成本费用登记表!$C4="","",成本费用登记表!$C4)</f>
        <v/>
      </c>
      <c r="B906">
        <f t="shared" si="137"/>
        <v>0</v>
      </c>
      <c r="C906">
        <f t="shared" si="138"/>
        <v>0</v>
      </c>
      <c r="G906">
        <f>IF(OR($G$1="",对账补充行!$C299="",对账补充行!$C299&lt;&gt;$G$1),0,IF(NOT(OR(N(对账补充行!$H299)&lt;&gt;0,N(对账补充行!$I299)&lt;&gt;0)),0,IF(对账补充行!$B299="",1,IF(OR(N(对账补充行!$B299)&lt;$H$1,N(对账补充行!$B299)&gt;$I$1),0,1))))</f>
        <v>0</v>
      </c>
      <c r="H906">
        <f t="shared" si="139"/>
        <v>0</v>
      </c>
      <c r="I906" t="str">
        <f>IF($G906=0,"",IF(对账补充行!$B299=0,"",对账补充行!$B299))</f>
        <v/>
      </c>
      <c r="J906" t="str">
        <f>IF($G906=0,"",IF(对账补充行!$D299=0,"",对账补充行!$D299))</f>
        <v/>
      </c>
      <c r="K906" t="str">
        <f>IF($G906=0,"",IF(对账补充行!$E299=0,"",对账补充行!$E299))</f>
        <v/>
      </c>
      <c r="L906" t="str">
        <f>IF($G906=0,"",IF(对账补充行!$F299=0,"",对账补充行!$F299))</f>
        <v/>
      </c>
      <c r="M906" t="str">
        <f>IF($G906=0,"",IF(对账补充行!$G299=0,"",对账补充行!$G299))</f>
        <v/>
      </c>
      <c r="N906" t="str">
        <f>IF($G906=0,"",IF(对账补充行!$H299=0,"",对账补充行!$H299))</f>
        <v/>
      </c>
      <c r="O906" t="str">
        <f>IF($G906=0,"",IF(对账补充行!$I299=0,"",对账补充行!$I299))</f>
        <v/>
      </c>
      <c r="P906" t="str">
        <f>IF($G906=0,"",IF(对账补充行!$J299=0,"",对账补充行!$J299))</f>
        <v/>
      </c>
    </row>
    <row r="907" spans="1:22">
      <c r="A907" t="str">
        <f>IF(成本费用登记表!$C5="","",成本费用登记表!$C5)</f>
        <v/>
      </c>
      <c r="B907">
        <f t="shared" si="137"/>
        <v>0</v>
      </c>
      <c r="C907">
        <f t="shared" si="138"/>
        <v>0</v>
      </c>
      <c r="G907">
        <f>IF(OR($G$1="",对账补充行!$C300="",对账补充行!$C300&lt;&gt;$G$1),0,IF(NOT(OR(N(对账补充行!$H300)&lt;&gt;0,N(对账补充行!$I300)&lt;&gt;0)),0,IF(对账补充行!$B300="",1,IF(OR(N(对账补充行!$B300)&lt;$H$1,N(对账补充行!$B300)&gt;$I$1),0,1))))</f>
        <v>0</v>
      </c>
      <c r="H907">
        <f t="shared" si="139"/>
        <v>0</v>
      </c>
      <c r="I907" t="str">
        <f>IF($G907=0,"",IF(对账补充行!$B300=0,"",对账补充行!$B300))</f>
        <v/>
      </c>
      <c r="J907" t="str">
        <f>IF($G907=0,"",IF(对账补充行!$D300=0,"",对账补充行!$D300))</f>
        <v/>
      </c>
      <c r="K907" t="str">
        <f>IF($G907=0,"",IF(对账补充行!$E300=0,"",对账补充行!$E300))</f>
        <v/>
      </c>
      <c r="L907" t="str">
        <f>IF($G907=0,"",IF(对账补充行!$F300=0,"",对账补充行!$F300))</f>
        <v/>
      </c>
      <c r="M907" t="str">
        <f>IF($G907=0,"",IF(对账补充行!$G300=0,"",对账补充行!$G300))</f>
        <v/>
      </c>
      <c r="N907" t="str">
        <f>IF($G907=0,"",IF(对账补充行!$H300=0,"",对账补充行!$H300))</f>
        <v/>
      </c>
      <c r="O907" t="str">
        <f>IF($G907=0,"",IF(对账补充行!$I300=0,"",对账补充行!$I300))</f>
        <v/>
      </c>
      <c r="P907" t="str">
        <f>IF($G907=0,"",IF(对账补充行!$J300=0,"",对账补充行!$J300))</f>
        <v/>
      </c>
    </row>
    <row r="908" spans="1:22">
      <c r="A908" t="str">
        <f>IF(成本费用登记表!$C6="","",成本费用登记表!$C6)</f>
        <v/>
      </c>
      <c r="B908">
        <f t="shared" si="137"/>
        <v>0</v>
      </c>
      <c r="C908">
        <f t="shared" si="138"/>
        <v>0</v>
      </c>
      <c r="G908">
        <f>IF(OR($G$1="",对账补充行!$C301="",对账补充行!$C301&lt;&gt;$G$1),0,IF(NOT(OR(N(对账补充行!$H301)&lt;&gt;0,N(对账补充行!$I301)&lt;&gt;0)),0,IF(对账补充行!$B301="",1,IF(OR(N(对账补充行!$B301)&lt;$H$1,N(对账补充行!$B301)&gt;$I$1),0,1))))</f>
        <v>0</v>
      </c>
      <c r="H908">
        <f t="shared" si="139"/>
        <v>0</v>
      </c>
      <c r="I908" t="str">
        <f>IF($G908=0,"",IF(对账补充行!$B301=0,"",对账补充行!$B301))</f>
        <v/>
      </c>
      <c r="J908" t="str">
        <f>IF($G908=0,"",IF(对账补充行!$D301=0,"",对账补充行!$D301))</f>
        <v/>
      </c>
      <c r="K908" t="str">
        <f>IF($G908=0,"",IF(对账补充行!$E301=0,"",对账补充行!$E301))</f>
        <v/>
      </c>
      <c r="L908" t="str">
        <f>IF($G908=0,"",IF(对账补充行!$F301=0,"",对账补充行!$F301))</f>
        <v/>
      </c>
      <c r="M908" t="str">
        <f>IF($G908=0,"",IF(对账补充行!$G301=0,"",对账补充行!$G301))</f>
        <v/>
      </c>
      <c r="N908" t="str">
        <f>IF($G908=0,"",IF(对账补充行!$H301=0,"",对账补充行!$H301))</f>
        <v/>
      </c>
      <c r="O908" t="str">
        <f>IF($G908=0,"",IF(对账补充行!$I301=0,"",对账补充行!$I301))</f>
        <v/>
      </c>
      <c r="P908" t="str">
        <f>IF($G908=0,"",IF(对账补充行!$J301=0,"",对账补充行!$J301))</f>
        <v/>
      </c>
    </row>
    <row r="909" spans="1:22">
      <c r="A909" t="str">
        <f>IF(成本费用登记表!$C7="","",成本费用登记表!$C7)</f>
        <v/>
      </c>
      <c r="B909">
        <f t="shared" si="137"/>
        <v>0</v>
      </c>
      <c r="C909">
        <f t="shared" si="138"/>
        <v>0</v>
      </c>
      <c r="G909">
        <f>IF(OR($G$1="",对账补充行!$C302="",对账补充行!$C302&lt;&gt;$G$1),0,IF(NOT(OR(N(对账补充行!$H302)&lt;&gt;0,N(对账补充行!$I302)&lt;&gt;0)),0,IF(对账补充行!$B302="",1,IF(OR(N(对账补充行!$B302)&lt;$H$1,N(对账补充行!$B302)&gt;$I$1),0,1))))</f>
        <v>0</v>
      </c>
      <c r="H909">
        <f t="shared" si="139"/>
        <v>0</v>
      </c>
      <c r="I909" t="str">
        <f>IF($G909=0,"",IF(对账补充行!$B302=0,"",对账补充行!$B302))</f>
        <v/>
      </c>
      <c r="J909" t="str">
        <f>IF($G909=0,"",IF(对账补充行!$D302=0,"",对账补充行!$D302))</f>
        <v/>
      </c>
      <c r="K909" t="str">
        <f>IF($G909=0,"",IF(对账补充行!$E302=0,"",对账补充行!$E302))</f>
        <v/>
      </c>
      <c r="L909" t="str">
        <f>IF($G909=0,"",IF(对账补充行!$F302=0,"",对账补充行!$F302))</f>
        <v/>
      </c>
      <c r="M909" t="str">
        <f>IF($G909=0,"",IF(对账补充行!$G302=0,"",对账补充行!$G302))</f>
        <v/>
      </c>
      <c r="N909" t="str">
        <f>IF($G909=0,"",IF(对账补充行!$H302=0,"",对账补充行!$H302))</f>
        <v/>
      </c>
      <c r="O909" t="str">
        <f>IF($G909=0,"",IF(对账补充行!$I302=0,"",对账补充行!$I302))</f>
        <v/>
      </c>
      <c r="P909" t="str">
        <f>IF($G909=0,"",IF(对账补充行!$J302=0,"",对账补充行!$J302))</f>
        <v/>
      </c>
    </row>
    <row r="910" spans="1:22">
      <c r="A910" t="str">
        <f>IF(成本费用登记表!$C8="","",成本费用登记表!$C8)</f>
        <v/>
      </c>
      <c r="B910">
        <f t="shared" si="137"/>
        <v>0</v>
      </c>
      <c r="C910">
        <f t="shared" si="138"/>
        <v>0</v>
      </c>
      <c r="G910">
        <f>IF(OR($G$1="",对账补充行!$C303="",对账补充行!$C303&lt;&gt;$G$1),0,IF(NOT(OR(N(对账补充行!$H303)&lt;&gt;0,N(对账补充行!$I303)&lt;&gt;0)),0,IF(对账补充行!$B303="",1,IF(OR(N(对账补充行!$B303)&lt;$H$1,N(对账补充行!$B303)&gt;$I$1),0,1))))</f>
        <v>0</v>
      </c>
      <c r="H910">
        <f t="shared" si="139"/>
        <v>0</v>
      </c>
      <c r="I910" t="str">
        <f>IF($G910=0,"",IF(对账补充行!$B303=0,"",对账补充行!$B303))</f>
        <v/>
      </c>
      <c r="J910" t="str">
        <f>IF($G910=0,"",IF(对账补充行!$D303=0,"",对账补充行!$D303))</f>
        <v/>
      </c>
      <c r="K910" t="str">
        <f>IF($G910=0,"",IF(对账补充行!$E303=0,"",对账补充行!$E303))</f>
        <v/>
      </c>
      <c r="L910" t="str">
        <f>IF($G910=0,"",IF(对账补充行!$F303=0,"",对账补充行!$F303))</f>
        <v/>
      </c>
      <c r="M910" t="str">
        <f>IF($G910=0,"",IF(对账补充行!$G303=0,"",对账补充行!$G303))</f>
        <v/>
      </c>
      <c r="N910" t="str">
        <f>IF($G910=0,"",IF(对账补充行!$H303=0,"",对账补充行!$H303))</f>
        <v/>
      </c>
      <c r="O910" t="str">
        <f>IF($G910=0,"",IF(对账补充行!$I303=0,"",对账补充行!$I303))</f>
        <v/>
      </c>
      <c r="P910" t="str">
        <f>IF($G910=0,"",IF(对账补充行!$J303=0,"",对账补充行!$J303))</f>
        <v/>
      </c>
    </row>
    <row r="911" spans="1:22">
      <c r="A911" t="str">
        <f>IF(成本费用登记表!$C9="","",成本费用登记表!$C9)</f>
        <v/>
      </c>
      <c r="B911">
        <f t="shared" si="137"/>
        <v>0</v>
      </c>
      <c r="C911">
        <f t="shared" si="138"/>
        <v>0</v>
      </c>
    </row>
    <row r="912" spans="1:22">
      <c r="A912" t="str">
        <f>IF(成本费用登记表!$C10="","",成本费用登记表!$C10)</f>
        <v/>
      </c>
      <c r="B912">
        <f t="shared" si="137"/>
        <v>0</v>
      </c>
      <c r="C912">
        <f t="shared" si="138"/>
        <v>0</v>
      </c>
    </row>
    <row r="913" spans="1:3">
      <c r="A913" t="str">
        <f>IF(成本费用登记表!$C11="","",成本费用登记表!$C11)</f>
        <v/>
      </c>
      <c r="B913">
        <f t="shared" si="137"/>
        <v>0</v>
      </c>
      <c r="C913">
        <f t="shared" si="138"/>
        <v>0</v>
      </c>
    </row>
    <row r="914" spans="1:3">
      <c r="A914" t="str">
        <f>IF(成本费用登记表!$C12="","",成本费用登记表!$C12)</f>
        <v/>
      </c>
      <c r="B914">
        <f t="shared" si="137"/>
        <v>0</v>
      </c>
      <c r="C914">
        <f t="shared" si="138"/>
        <v>0</v>
      </c>
    </row>
    <row r="915" spans="1:3">
      <c r="A915" t="str">
        <f>IF(成本费用登记表!$C13="","",成本费用登记表!$C13)</f>
        <v/>
      </c>
      <c r="B915">
        <f t="shared" si="137"/>
        <v>0</v>
      </c>
      <c r="C915">
        <f t="shared" si="138"/>
        <v>0</v>
      </c>
    </row>
    <row r="916" spans="1:3">
      <c r="A916" t="str">
        <f>IF(成本费用登记表!$C14="","",成本费用登记表!$C14)</f>
        <v/>
      </c>
      <c r="B916">
        <f t="shared" si="137"/>
        <v>0</v>
      </c>
      <c r="C916">
        <f t="shared" si="138"/>
        <v>0</v>
      </c>
    </row>
    <row r="917" spans="1:3">
      <c r="A917" t="str">
        <f>IF(成本费用登记表!$C15="","",成本费用登记表!$C15)</f>
        <v/>
      </c>
      <c r="B917">
        <f t="shared" si="137"/>
        <v>0</v>
      </c>
      <c r="C917">
        <f t="shared" si="138"/>
        <v>0</v>
      </c>
    </row>
    <row r="918" spans="1:3">
      <c r="A918" t="str">
        <f>IF(成本费用登记表!$C16="","",成本费用登记表!$C16)</f>
        <v/>
      </c>
      <c r="B918">
        <f t="shared" si="137"/>
        <v>0</v>
      </c>
      <c r="C918">
        <f t="shared" si="138"/>
        <v>0</v>
      </c>
    </row>
    <row r="919" spans="1:3">
      <c r="A919" t="str">
        <f>IF(成本费用登记表!$C17="","",成本费用登记表!$C17)</f>
        <v/>
      </c>
      <c r="B919">
        <f t="shared" si="137"/>
        <v>0</v>
      </c>
      <c r="C919">
        <f t="shared" si="138"/>
        <v>0</v>
      </c>
    </row>
    <row r="920" spans="1:3">
      <c r="A920" t="str">
        <f>IF(成本费用登记表!$C18="","",成本费用登记表!$C18)</f>
        <v/>
      </c>
      <c r="B920">
        <f t="shared" si="137"/>
        <v>0</v>
      </c>
      <c r="C920">
        <f t="shared" si="138"/>
        <v>0</v>
      </c>
    </row>
    <row r="921" spans="1:3">
      <c r="A921" t="str">
        <f>IF(成本费用登记表!$C19="","",成本费用登记表!$C19)</f>
        <v/>
      </c>
      <c r="B921">
        <f t="shared" si="137"/>
        <v>0</v>
      </c>
      <c r="C921">
        <f t="shared" si="138"/>
        <v>0</v>
      </c>
    </row>
    <row r="922" spans="1:3">
      <c r="A922" t="str">
        <f>IF(成本费用登记表!$C20="","",成本费用登记表!$C20)</f>
        <v/>
      </c>
      <c r="B922">
        <f t="shared" si="137"/>
        <v>0</v>
      </c>
      <c r="C922">
        <f t="shared" si="138"/>
        <v>0</v>
      </c>
    </row>
    <row r="923" spans="1:3">
      <c r="A923" t="str">
        <f>IF(成本费用登记表!$C21="","",成本费用登记表!$C21)</f>
        <v/>
      </c>
      <c r="B923">
        <f t="shared" si="137"/>
        <v>0</v>
      </c>
      <c r="C923">
        <f t="shared" si="138"/>
        <v>0</v>
      </c>
    </row>
    <row r="924" spans="1:3">
      <c r="A924" t="str">
        <f>IF(成本费用登记表!$C22="","",成本费用登记表!$C22)</f>
        <v/>
      </c>
      <c r="B924">
        <f t="shared" si="137"/>
        <v>0</v>
      </c>
      <c r="C924">
        <f t="shared" si="138"/>
        <v>0</v>
      </c>
    </row>
    <row r="925" spans="1:3">
      <c r="A925" t="str">
        <f>IF(成本费用登记表!$C23="","",成本费用登记表!$C23)</f>
        <v/>
      </c>
      <c r="B925">
        <f t="shared" si="137"/>
        <v>0</v>
      </c>
      <c r="C925">
        <f t="shared" si="138"/>
        <v>0</v>
      </c>
    </row>
    <row r="926" spans="1:3">
      <c r="A926" t="str">
        <f>IF(成本费用登记表!$C24="","",成本费用登记表!$C24)</f>
        <v/>
      </c>
      <c r="B926">
        <f t="shared" si="137"/>
        <v>0</v>
      </c>
      <c r="C926">
        <f t="shared" si="138"/>
        <v>0</v>
      </c>
    </row>
    <row r="927" spans="1:3">
      <c r="A927" t="str">
        <f>IF(成本费用登记表!$C25="","",成本费用登记表!$C25)</f>
        <v/>
      </c>
      <c r="B927">
        <f t="shared" si="137"/>
        <v>0</v>
      </c>
      <c r="C927">
        <f t="shared" si="138"/>
        <v>0</v>
      </c>
    </row>
    <row r="928" spans="1:3">
      <c r="A928" t="str">
        <f>IF(成本费用登记表!$C26="","",成本费用登记表!$C26)</f>
        <v/>
      </c>
      <c r="B928">
        <f t="shared" si="137"/>
        <v>0</v>
      </c>
      <c r="C928">
        <f t="shared" si="138"/>
        <v>0</v>
      </c>
    </row>
    <row r="929" spans="1:3">
      <c r="A929" t="str">
        <f>IF(成本费用登记表!$C27="","",成本费用登记表!$C27)</f>
        <v/>
      </c>
      <c r="B929">
        <f t="shared" si="137"/>
        <v>0</v>
      </c>
      <c r="C929">
        <f t="shared" si="138"/>
        <v>0</v>
      </c>
    </row>
    <row r="930" spans="1:3">
      <c r="A930" t="str">
        <f>IF(成本费用登记表!$C28="","",成本费用登记表!$C28)</f>
        <v/>
      </c>
      <c r="B930">
        <f t="shared" si="137"/>
        <v>0</v>
      </c>
      <c r="C930">
        <f t="shared" si="138"/>
        <v>0</v>
      </c>
    </row>
    <row r="931" spans="1:3">
      <c r="A931" t="str">
        <f>IF(成本费用登记表!$C29="","",成本费用登记表!$C29)</f>
        <v/>
      </c>
      <c r="B931">
        <f t="shared" si="137"/>
        <v>0</v>
      </c>
      <c r="C931">
        <f t="shared" si="138"/>
        <v>0</v>
      </c>
    </row>
    <row r="932" spans="1:3">
      <c r="A932" t="str">
        <f>IF(成本费用登记表!$C30="","",成本费用登记表!$C30)</f>
        <v/>
      </c>
      <c r="B932">
        <f t="shared" si="137"/>
        <v>0</v>
      </c>
      <c r="C932">
        <f t="shared" si="138"/>
        <v>0</v>
      </c>
    </row>
    <row r="933" spans="1:3">
      <c r="A933" t="str">
        <f>IF(成本费用登记表!$C31="","",成本费用登记表!$C31)</f>
        <v/>
      </c>
      <c r="B933">
        <f t="shared" si="137"/>
        <v>0</v>
      </c>
      <c r="C933">
        <f t="shared" si="138"/>
        <v>0</v>
      </c>
    </row>
    <row r="934" spans="1:3">
      <c r="A934" t="str">
        <f>IF(成本费用登记表!$C32="","",成本费用登记表!$C32)</f>
        <v/>
      </c>
      <c r="B934">
        <f t="shared" si="137"/>
        <v>0</v>
      </c>
      <c r="C934">
        <f t="shared" si="138"/>
        <v>0</v>
      </c>
    </row>
    <row r="935" spans="1:3">
      <c r="A935" t="str">
        <f>IF(成本费用登记表!$C33="","",成本费用登记表!$C33)</f>
        <v/>
      </c>
      <c r="B935">
        <f t="shared" si="137"/>
        <v>0</v>
      </c>
      <c r="C935">
        <f t="shared" si="138"/>
        <v>0</v>
      </c>
    </row>
    <row r="936" spans="1:3">
      <c r="A936" t="str">
        <f>IF(成本费用登记表!$C34="","",成本费用登记表!$C34)</f>
        <v/>
      </c>
      <c r="B936">
        <f t="shared" si="137"/>
        <v>0</v>
      </c>
      <c r="C936">
        <f t="shared" si="138"/>
        <v>0</v>
      </c>
    </row>
    <row r="937" spans="1:3">
      <c r="A937" t="str">
        <f>IF(成本费用登记表!$C35="","",成本费用登记表!$C35)</f>
        <v/>
      </c>
      <c r="B937">
        <f t="shared" si="137"/>
        <v>0</v>
      </c>
      <c r="C937">
        <f t="shared" si="138"/>
        <v>0</v>
      </c>
    </row>
    <row r="938" spans="1:3">
      <c r="A938" t="str">
        <f>IF(成本费用登记表!$C36="","",成本费用登记表!$C36)</f>
        <v/>
      </c>
      <c r="B938">
        <f t="shared" si="137"/>
        <v>0</v>
      </c>
      <c r="C938">
        <f t="shared" si="138"/>
        <v>0</v>
      </c>
    </row>
    <row r="939" spans="1:3">
      <c r="A939" t="str">
        <f>IF(成本费用登记表!$C37="","",成本费用登记表!$C37)</f>
        <v/>
      </c>
      <c r="B939">
        <f t="shared" si="137"/>
        <v>0</v>
      </c>
      <c r="C939">
        <f t="shared" si="138"/>
        <v>0</v>
      </c>
    </row>
    <row r="940" spans="1:3">
      <c r="A940" t="str">
        <f>IF(成本费用登记表!$C38="","",成本费用登记表!$C38)</f>
        <v/>
      </c>
      <c r="B940">
        <f t="shared" si="137"/>
        <v>0</v>
      </c>
      <c r="C940">
        <f t="shared" si="138"/>
        <v>0</v>
      </c>
    </row>
    <row r="941" spans="1:3">
      <c r="A941" t="str">
        <f>IF(成本费用登记表!$C39="","",成本费用登记表!$C39)</f>
        <v/>
      </c>
      <c r="B941">
        <f t="shared" si="137"/>
        <v>0</v>
      </c>
      <c r="C941">
        <f t="shared" si="138"/>
        <v>0</v>
      </c>
    </row>
    <row r="942" spans="1:3">
      <c r="A942" t="str">
        <f>IF(成本费用登记表!$C40="","",成本费用登记表!$C40)</f>
        <v/>
      </c>
      <c r="B942">
        <f t="shared" si="137"/>
        <v>0</v>
      </c>
      <c r="C942">
        <f t="shared" si="138"/>
        <v>0</v>
      </c>
    </row>
    <row r="943" spans="1:3">
      <c r="A943" t="str">
        <f>IF(成本费用登记表!$C41="","",成本费用登记表!$C41)</f>
        <v/>
      </c>
      <c r="B943">
        <f t="shared" si="137"/>
        <v>0</v>
      </c>
      <c r="C943">
        <f t="shared" si="138"/>
        <v>0</v>
      </c>
    </row>
    <row r="944" spans="1:3">
      <c r="A944" t="str">
        <f>IF(成本费用登记表!$C42="","",成本费用登记表!$C42)</f>
        <v/>
      </c>
      <c r="B944">
        <f t="shared" si="137"/>
        <v>0</v>
      </c>
      <c r="C944">
        <f t="shared" si="138"/>
        <v>0</v>
      </c>
    </row>
    <row r="945" spans="1:3">
      <c r="A945" t="str">
        <f>IF(成本费用登记表!$C43="","",成本费用登记表!$C43)</f>
        <v/>
      </c>
      <c r="B945">
        <f t="shared" si="137"/>
        <v>0</v>
      </c>
      <c r="C945">
        <f t="shared" si="138"/>
        <v>0</v>
      </c>
    </row>
    <row r="946" spans="1:3">
      <c r="A946" t="str">
        <f>IF(成本费用登记表!$C44="","",成本费用登记表!$C44)</f>
        <v/>
      </c>
      <c r="B946">
        <f t="shared" si="137"/>
        <v>0</v>
      </c>
      <c r="C946">
        <f t="shared" si="138"/>
        <v>0</v>
      </c>
    </row>
    <row r="947" spans="1:3">
      <c r="A947" t="str">
        <f>IF(成本费用登记表!$C45="","",成本费用登记表!$C45)</f>
        <v/>
      </c>
      <c r="B947">
        <f t="shared" si="137"/>
        <v>0</v>
      </c>
      <c r="C947">
        <f t="shared" si="138"/>
        <v>0</v>
      </c>
    </row>
    <row r="948" spans="1:3">
      <c r="A948" t="str">
        <f>IF(成本费用登记表!$C46="","",成本费用登记表!$C46)</f>
        <v/>
      </c>
      <c r="B948">
        <f t="shared" si="137"/>
        <v>0</v>
      </c>
      <c r="C948">
        <f t="shared" si="138"/>
        <v>0</v>
      </c>
    </row>
    <row r="949" spans="1:3">
      <c r="A949" t="str">
        <f>IF(成本费用登记表!$C47="","",成本费用登记表!$C47)</f>
        <v/>
      </c>
      <c r="B949">
        <f t="shared" si="137"/>
        <v>0</v>
      </c>
      <c r="C949">
        <f t="shared" si="138"/>
        <v>0</v>
      </c>
    </row>
    <row r="950" spans="1:3">
      <c r="A950" t="str">
        <f>IF(成本费用登记表!$C48="","",成本费用登记表!$C48)</f>
        <v/>
      </c>
      <c r="B950">
        <f t="shared" si="137"/>
        <v>0</v>
      </c>
      <c r="C950">
        <f t="shared" si="138"/>
        <v>0</v>
      </c>
    </row>
    <row r="951" spans="1:3">
      <c r="A951" t="str">
        <f>IF(成本费用登记表!$C49="","",成本费用登记表!$C49)</f>
        <v/>
      </c>
      <c r="B951">
        <f t="shared" si="137"/>
        <v>0</v>
      </c>
      <c r="C951">
        <f t="shared" si="138"/>
        <v>0</v>
      </c>
    </row>
    <row r="952" spans="1:3">
      <c r="A952" t="str">
        <f>IF(成本费用登记表!$C50="","",成本费用登记表!$C50)</f>
        <v/>
      </c>
      <c r="B952">
        <f t="shared" si="137"/>
        <v>0</v>
      </c>
      <c r="C952">
        <f t="shared" si="138"/>
        <v>0</v>
      </c>
    </row>
    <row r="953" spans="1:3">
      <c r="A953" t="str">
        <f>IF(成本费用登记表!$C51="","",成本费用登记表!$C51)</f>
        <v/>
      </c>
      <c r="B953">
        <f t="shared" si="137"/>
        <v>0</v>
      </c>
      <c r="C953">
        <f t="shared" si="138"/>
        <v>0</v>
      </c>
    </row>
    <row r="954" spans="1:3">
      <c r="A954" t="str">
        <f>IF(成本费用登记表!$C52="","",成本费用登记表!$C52)</f>
        <v/>
      </c>
      <c r="B954">
        <f t="shared" si="137"/>
        <v>0</v>
      </c>
      <c r="C954">
        <f t="shared" si="138"/>
        <v>0</v>
      </c>
    </row>
    <row r="955" spans="1:3">
      <c r="A955" t="str">
        <f>IF(成本费用登记表!$C53="","",成本费用登记表!$C53)</f>
        <v/>
      </c>
      <c r="B955">
        <f t="shared" si="137"/>
        <v>0</v>
      </c>
      <c r="C955">
        <f t="shared" si="138"/>
        <v>0</v>
      </c>
    </row>
    <row r="956" spans="1:3">
      <c r="A956" t="str">
        <f>IF(成本费用登记表!$C54="","",成本费用登记表!$C54)</f>
        <v/>
      </c>
      <c r="B956">
        <f t="shared" si="137"/>
        <v>0</v>
      </c>
      <c r="C956">
        <f t="shared" si="138"/>
        <v>0</v>
      </c>
    </row>
    <row r="957" spans="1:3">
      <c r="A957" t="str">
        <f>IF(成本费用登记表!$C55="","",成本费用登记表!$C55)</f>
        <v/>
      </c>
      <c r="B957">
        <f t="shared" si="137"/>
        <v>0</v>
      </c>
      <c r="C957">
        <f t="shared" si="138"/>
        <v>0</v>
      </c>
    </row>
    <row r="958" spans="1:3">
      <c r="A958" t="str">
        <f>IF(成本费用登记表!$C56="","",成本费用登记表!$C56)</f>
        <v/>
      </c>
      <c r="B958">
        <f t="shared" si="137"/>
        <v>0</v>
      </c>
      <c r="C958">
        <f t="shared" si="138"/>
        <v>0</v>
      </c>
    </row>
    <row r="959" spans="1:3">
      <c r="A959" t="str">
        <f>IF(成本费用登记表!$C57="","",成本费用登记表!$C57)</f>
        <v/>
      </c>
      <c r="B959">
        <f t="shared" si="137"/>
        <v>0</v>
      </c>
      <c r="C959">
        <f t="shared" si="138"/>
        <v>0</v>
      </c>
    </row>
    <row r="960" spans="1:3">
      <c r="A960" t="str">
        <f>IF(成本费用登记表!$C58="","",成本费用登记表!$C58)</f>
        <v/>
      </c>
      <c r="B960">
        <f t="shared" si="137"/>
        <v>0</v>
      </c>
      <c r="C960">
        <f t="shared" si="138"/>
        <v>0</v>
      </c>
    </row>
    <row r="961" spans="1:3">
      <c r="A961" t="str">
        <f>IF(成本费用登记表!$C59="","",成本费用登记表!$C59)</f>
        <v/>
      </c>
      <c r="B961">
        <f t="shared" si="137"/>
        <v>0</v>
      </c>
      <c r="C961">
        <f t="shared" si="138"/>
        <v>0</v>
      </c>
    </row>
    <row r="962" spans="1:3">
      <c r="A962" t="str">
        <f>IF(成本费用登记表!$C60="","",成本费用登记表!$C60)</f>
        <v/>
      </c>
      <c r="B962">
        <f t="shared" si="137"/>
        <v>0</v>
      </c>
      <c r="C962">
        <f t="shared" si="138"/>
        <v>0</v>
      </c>
    </row>
    <row r="963" spans="1:3">
      <c r="A963" t="str">
        <f>IF(成本费用登记表!$C61="","",成本费用登记表!$C61)</f>
        <v/>
      </c>
      <c r="B963">
        <f t="shared" si="137"/>
        <v>0</v>
      </c>
      <c r="C963">
        <f t="shared" si="138"/>
        <v>0</v>
      </c>
    </row>
    <row r="964" spans="1:3">
      <c r="A964" t="str">
        <f>IF(成本费用登记表!$C62="","",成本费用登记表!$C62)</f>
        <v/>
      </c>
      <c r="B964">
        <f t="shared" ref="B964:B1027" si="140">IF(A964="",0,IF(MATCH(A964,$A$4:$A$1805,0)=ROW()-3,1,0))</f>
        <v>0</v>
      </c>
      <c r="C964">
        <f t="shared" ref="C964:C1027" si="141">N(C963)+B964</f>
        <v>0</v>
      </c>
    </row>
    <row r="965" spans="1:3">
      <c r="A965" t="str">
        <f>IF(成本费用登记表!$C63="","",成本费用登记表!$C63)</f>
        <v/>
      </c>
      <c r="B965">
        <f t="shared" si="140"/>
        <v>0</v>
      </c>
      <c r="C965">
        <f t="shared" si="141"/>
        <v>0</v>
      </c>
    </row>
    <row r="966" spans="1:3">
      <c r="A966" t="str">
        <f>IF(成本费用登记表!$C64="","",成本费用登记表!$C64)</f>
        <v/>
      </c>
      <c r="B966">
        <f t="shared" si="140"/>
        <v>0</v>
      </c>
      <c r="C966">
        <f t="shared" si="141"/>
        <v>0</v>
      </c>
    </row>
    <row r="967" spans="1:3">
      <c r="A967" t="str">
        <f>IF(成本费用登记表!$C65="","",成本费用登记表!$C65)</f>
        <v/>
      </c>
      <c r="B967">
        <f t="shared" si="140"/>
        <v>0</v>
      </c>
      <c r="C967">
        <f t="shared" si="141"/>
        <v>0</v>
      </c>
    </row>
    <row r="968" spans="1:3">
      <c r="A968" t="str">
        <f>IF(成本费用登记表!$C66="","",成本费用登记表!$C66)</f>
        <v/>
      </c>
      <c r="B968">
        <f t="shared" si="140"/>
        <v>0</v>
      </c>
      <c r="C968">
        <f t="shared" si="141"/>
        <v>0</v>
      </c>
    </row>
    <row r="969" spans="1:3">
      <c r="A969" t="str">
        <f>IF(成本费用登记表!$C67="","",成本费用登记表!$C67)</f>
        <v/>
      </c>
      <c r="B969">
        <f t="shared" si="140"/>
        <v>0</v>
      </c>
      <c r="C969">
        <f t="shared" si="141"/>
        <v>0</v>
      </c>
    </row>
    <row r="970" spans="1:3">
      <c r="A970" t="str">
        <f>IF(成本费用登记表!$C68="","",成本费用登记表!$C68)</f>
        <v/>
      </c>
      <c r="B970">
        <f t="shared" si="140"/>
        <v>0</v>
      </c>
      <c r="C970">
        <f t="shared" si="141"/>
        <v>0</v>
      </c>
    </row>
    <row r="971" spans="1:3">
      <c r="A971" t="str">
        <f>IF(成本费用登记表!$C69="","",成本费用登记表!$C69)</f>
        <v/>
      </c>
      <c r="B971">
        <f t="shared" si="140"/>
        <v>0</v>
      </c>
      <c r="C971">
        <f t="shared" si="141"/>
        <v>0</v>
      </c>
    </row>
    <row r="972" spans="1:3">
      <c r="A972" t="str">
        <f>IF(成本费用登记表!$C70="","",成本费用登记表!$C70)</f>
        <v/>
      </c>
      <c r="B972">
        <f t="shared" si="140"/>
        <v>0</v>
      </c>
      <c r="C972">
        <f t="shared" si="141"/>
        <v>0</v>
      </c>
    </row>
    <row r="973" spans="1:3">
      <c r="A973" t="str">
        <f>IF(成本费用登记表!$C71="","",成本费用登记表!$C71)</f>
        <v/>
      </c>
      <c r="B973">
        <f t="shared" si="140"/>
        <v>0</v>
      </c>
      <c r="C973">
        <f t="shared" si="141"/>
        <v>0</v>
      </c>
    </row>
    <row r="974" spans="1:3">
      <c r="A974" t="str">
        <f>IF(成本费用登记表!$C72="","",成本费用登记表!$C72)</f>
        <v/>
      </c>
      <c r="B974">
        <f t="shared" si="140"/>
        <v>0</v>
      </c>
      <c r="C974">
        <f t="shared" si="141"/>
        <v>0</v>
      </c>
    </row>
    <row r="975" spans="1:3">
      <c r="A975" t="str">
        <f>IF(成本费用登记表!$C73="","",成本费用登记表!$C73)</f>
        <v/>
      </c>
      <c r="B975">
        <f t="shared" si="140"/>
        <v>0</v>
      </c>
      <c r="C975">
        <f t="shared" si="141"/>
        <v>0</v>
      </c>
    </row>
    <row r="976" spans="1:3">
      <c r="A976" t="str">
        <f>IF(成本费用登记表!$C74="","",成本费用登记表!$C74)</f>
        <v/>
      </c>
      <c r="B976">
        <f t="shared" si="140"/>
        <v>0</v>
      </c>
      <c r="C976">
        <f t="shared" si="141"/>
        <v>0</v>
      </c>
    </row>
    <row r="977" spans="1:3">
      <c r="A977" t="str">
        <f>IF(成本费用登记表!$C75="","",成本费用登记表!$C75)</f>
        <v/>
      </c>
      <c r="B977">
        <f t="shared" si="140"/>
        <v>0</v>
      </c>
      <c r="C977">
        <f t="shared" si="141"/>
        <v>0</v>
      </c>
    </row>
    <row r="978" spans="1:3">
      <c r="A978" t="str">
        <f>IF(成本费用登记表!$C76="","",成本费用登记表!$C76)</f>
        <v/>
      </c>
      <c r="B978">
        <f t="shared" si="140"/>
        <v>0</v>
      </c>
      <c r="C978">
        <f t="shared" si="141"/>
        <v>0</v>
      </c>
    </row>
    <row r="979" spans="1:3">
      <c r="A979" t="str">
        <f>IF(成本费用登记表!$C77="","",成本费用登记表!$C77)</f>
        <v/>
      </c>
      <c r="B979">
        <f t="shared" si="140"/>
        <v>0</v>
      </c>
      <c r="C979">
        <f t="shared" si="141"/>
        <v>0</v>
      </c>
    </row>
    <row r="980" spans="1:3">
      <c r="A980" t="str">
        <f>IF(成本费用登记表!$C78="","",成本费用登记表!$C78)</f>
        <v/>
      </c>
      <c r="B980">
        <f t="shared" si="140"/>
        <v>0</v>
      </c>
      <c r="C980">
        <f t="shared" si="141"/>
        <v>0</v>
      </c>
    </row>
    <row r="981" spans="1:3">
      <c r="A981" t="str">
        <f>IF(成本费用登记表!$C79="","",成本费用登记表!$C79)</f>
        <v/>
      </c>
      <c r="B981">
        <f t="shared" si="140"/>
        <v>0</v>
      </c>
      <c r="C981">
        <f t="shared" si="141"/>
        <v>0</v>
      </c>
    </row>
    <row r="982" spans="1:3">
      <c r="A982" t="str">
        <f>IF(成本费用登记表!$C80="","",成本费用登记表!$C80)</f>
        <v/>
      </c>
      <c r="B982">
        <f t="shared" si="140"/>
        <v>0</v>
      </c>
      <c r="C982">
        <f t="shared" si="141"/>
        <v>0</v>
      </c>
    </row>
    <row r="983" spans="1:3">
      <c r="A983" t="str">
        <f>IF(成本费用登记表!$C81="","",成本费用登记表!$C81)</f>
        <v/>
      </c>
      <c r="B983">
        <f t="shared" si="140"/>
        <v>0</v>
      </c>
      <c r="C983">
        <f t="shared" si="141"/>
        <v>0</v>
      </c>
    </row>
    <row r="984" spans="1:3">
      <c r="A984" t="str">
        <f>IF(成本费用登记表!$C82="","",成本费用登记表!$C82)</f>
        <v/>
      </c>
      <c r="B984">
        <f t="shared" si="140"/>
        <v>0</v>
      </c>
      <c r="C984">
        <f t="shared" si="141"/>
        <v>0</v>
      </c>
    </row>
    <row r="985" spans="1:3">
      <c r="A985" t="str">
        <f>IF(成本费用登记表!$C83="","",成本费用登记表!$C83)</f>
        <v/>
      </c>
      <c r="B985">
        <f t="shared" si="140"/>
        <v>0</v>
      </c>
      <c r="C985">
        <f t="shared" si="141"/>
        <v>0</v>
      </c>
    </row>
    <row r="986" spans="1:3">
      <c r="A986" t="str">
        <f>IF(成本费用登记表!$C84="","",成本费用登记表!$C84)</f>
        <v/>
      </c>
      <c r="B986">
        <f t="shared" si="140"/>
        <v>0</v>
      </c>
      <c r="C986">
        <f t="shared" si="141"/>
        <v>0</v>
      </c>
    </row>
    <row r="987" spans="1:3">
      <c r="A987" t="str">
        <f>IF(成本费用登记表!$C85="","",成本费用登记表!$C85)</f>
        <v/>
      </c>
      <c r="B987">
        <f t="shared" si="140"/>
        <v>0</v>
      </c>
      <c r="C987">
        <f t="shared" si="141"/>
        <v>0</v>
      </c>
    </row>
    <row r="988" spans="1:3">
      <c r="A988" t="str">
        <f>IF(成本费用登记表!$C86="","",成本费用登记表!$C86)</f>
        <v/>
      </c>
      <c r="B988">
        <f t="shared" si="140"/>
        <v>0</v>
      </c>
      <c r="C988">
        <f t="shared" si="141"/>
        <v>0</v>
      </c>
    </row>
    <row r="989" spans="1:3">
      <c r="A989" t="str">
        <f>IF(成本费用登记表!$C87="","",成本费用登记表!$C87)</f>
        <v/>
      </c>
      <c r="B989">
        <f t="shared" si="140"/>
        <v>0</v>
      </c>
      <c r="C989">
        <f t="shared" si="141"/>
        <v>0</v>
      </c>
    </row>
    <row r="990" spans="1:3">
      <c r="A990" t="str">
        <f>IF(成本费用登记表!$C88="","",成本费用登记表!$C88)</f>
        <v/>
      </c>
      <c r="B990">
        <f t="shared" si="140"/>
        <v>0</v>
      </c>
      <c r="C990">
        <f t="shared" si="141"/>
        <v>0</v>
      </c>
    </row>
    <row r="991" spans="1:3">
      <c r="A991" t="str">
        <f>IF(成本费用登记表!$C89="","",成本费用登记表!$C89)</f>
        <v/>
      </c>
      <c r="B991">
        <f t="shared" si="140"/>
        <v>0</v>
      </c>
      <c r="C991">
        <f t="shared" si="141"/>
        <v>0</v>
      </c>
    </row>
    <row r="992" spans="1:3">
      <c r="A992" t="str">
        <f>IF(成本费用登记表!$C90="","",成本费用登记表!$C90)</f>
        <v/>
      </c>
      <c r="B992">
        <f t="shared" si="140"/>
        <v>0</v>
      </c>
      <c r="C992">
        <f t="shared" si="141"/>
        <v>0</v>
      </c>
    </row>
    <row r="993" spans="1:3">
      <c r="A993" t="str">
        <f>IF(成本费用登记表!$C91="","",成本费用登记表!$C91)</f>
        <v/>
      </c>
      <c r="B993">
        <f t="shared" si="140"/>
        <v>0</v>
      </c>
      <c r="C993">
        <f t="shared" si="141"/>
        <v>0</v>
      </c>
    </row>
    <row r="994" spans="1:3">
      <c r="A994" t="str">
        <f>IF(成本费用登记表!$C92="","",成本费用登记表!$C92)</f>
        <v/>
      </c>
      <c r="B994">
        <f t="shared" si="140"/>
        <v>0</v>
      </c>
      <c r="C994">
        <f t="shared" si="141"/>
        <v>0</v>
      </c>
    </row>
    <row r="995" spans="1:3">
      <c r="A995" t="str">
        <f>IF(成本费用登记表!$C93="","",成本费用登记表!$C93)</f>
        <v/>
      </c>
      <c r="B995">
        <f t="shared" si="140"/>
        <v>0</v>
      </c>
      <c r="C995">
        <f t="shared" si="141"/>
        <v>0</v>
      </c>
    </row>
    <row r="996" spans="1:3">
      <c r="A996" t="str">
        <f>IF(成本费用登记表!$C94="","",成本费用登记表!$C94)</f>
        <v/>
      </c>
      <c r="B996">
        <f t="shared" si="140"/>
        <v>0</v>
      </c>
      <c r="C996">
        <f t="shared" si="141"/>
        <v>0</v>
      </c>
    </row>
    <row r="997" spans="1:3">
      <c r="A997" t="str">
        <f>IF(成本费用登记表!$C95="","",成本费用登记表!$C95)</f>
        <v/>
      </c>
      <c r="B997">
        <f t="shared" si="140"/>
        <v>0</v>
      </c>
      <c r="C997">
        <f t="shared" si="141"/>
        <v>0</v>
      </c>
    </row>
    <row r="998" spans="1:3">
      <c r="A998" t="str">
        <f>IF(成本费用登记表!$C96="","",成本费用登记表!$C96)</f>
        <v/>
      </c>
      <c r="B998">
        <f t="shared" si="140"/>
        <v>0</v>
      </c>
      <c r="C998">
        <f t="shared" si="141"/>
        <v>0</v>
      </c>
    </row>
    <row r="999" spans="1:3">
      <c r="A999" t="str">
        <f>IF(成本费用登记表!$C97="","",成本费用登记表!$C97)</f>
        <v/>
      </c>
      <c r="B999">
        <f t="shared" si="140"/>
        <v>0</v>
      </c>
      <c r="C999">
        <f t="shared" si="141"/>
        <v>0</v>
      </c>
    </row>
    <row r="1000" spans="1:3">
      <c r="A1000" t="str">
        <f>IF(成本费用登记表!$C98="","",成本费用登记表!$C98)</f>
        <v/>
      </c>
      <c r="B1000">
        <f t="shared" si="140"/>
        <v>0</v>
      </c>
      <c r="C1000">
        <f t="shared" si="141"/>
        <v>0</v>
      </c>
    </row>
    <row r="1001" spans="1:3">
      <c r="A1001" t="str">
        <f>IF(成本费用登记表!$C99="","",成本费用登记表!$C99)</f>
        <v/>
      </c>
      <c r="B1001">
        <f t="shared" si="140"/>
        <v>0</v>
      </c>
      <c r="C1001">
        <f t="shared" si="141"/>
        <v>0</v>
      </c>
    </row>
    <row r="1002" spans="1:3">
      <c r="A1002" t="str">
        <f>IF(成本费用登记表!$C100="","",成本费用登记表!$C100)</f>
        <v/>
      </c>
      <c r="B1002">
        <f t="shared" si="140"/>
        <v>0</v>
      </c>
      <c r="C1002">
        <f t="shared" si="141"/>
        <v>0</v>
      </c>
    </row>
    <row r="1003" spans="1:3">
      <c r="A1003" t="str">
        <f>IF(成本费用登记表!$C101="","",成本费用登记表!$C101)</f>
        <v/>
      </c>
      <c r="B1003">
        <f t="shared" si="140"/>
        <v>0</v>
      </c>
      <c r="C1003">
        <f t="shared" si="141"/>
        <v>0</v>
      </c>
    </row>
    <row r="1004" spans="1:3">
      <c r="A1004" t="str">
        <f>IF(成本费用登记表!$C102="","",成本费用登记表!$C102)</f>
        <v/>
      </c>
      <c r="B1004">
        <f t="shared" si="140"/>
        <v>0</v>
      </c>
      <c r="C1004">
        <f t="shared" si="141"/>
        <v>0</v>
      </c>
    </row>
    <row r="1005" spans="1:3">
      <c r="A1005" t="str">
        <f>IF(成本费用登记表!$C103="","",成本费用登记表!$C103)</f>
        <v/>
      </c>
      <c r="B1005">
        <f t="shared" si="140"/>
        <v>0</v>
      </c>
      <c r="C1005">
        <f t="shared" si="141"/>
        <v>0</v>
      </c>
    </row>
    <row r="1006" spans="1:3">
      <c r="A1006" t="str">
        <f>IF(成本费用登记表!$C104="","",成本费用登记表!$C104)</f>
        <v/>
      </c>
      <c r="B1006">
        <f t="shared" si="140"/>
        <v>0</v>
      </c>
      <c r="C1006">
        <f t="shared" si="141"/>
        <v>0</v>
      </c>
    </row>
    <row r="1007" spans="1:3">
      <c r="A1007" t="str">
        <f>IF(成本费用登记表!$C105="","",成本费用登记表!$C105)</f>
        <v/>
      </c>
      <c r="B1007">
        <f t="shared" si="140"/>
        <v>0</v>
      </c>
      <c r="C1007">
        <f t="shared" si="141"/>
        <v>0</v>
      </c>
    </row>
    <row r="1008" spans="1:3">
      <c r="A1008" t="str">
        <f>IF(成本费用登记表!$C106="","",成本费用登记表!$C106)</f>
        <v/>
      </c>
      <c r="B1008">
        <f t="shared" si="140"/>
        <v>0</v>
      </c>
      <c r="C1008">
        <f t="shared" si="141"/>
        <v>0</v>
      </c>
    </row>
    <row r="1009" spans="1:3">
      <c r="A1009" t="str">
        <f>IF(成本费用登记表!$C107="","",成本费用登记表!$C107)</f>
        <v/>
      </c>
      <c r="B1009">
        <f t="shared" si="140"/>
        <v>0</v>
      </c>
      <c r="C1009">
        <f t="shared" si="141"/>
        <v>0</v>
      </c>
    </row>
    <row r="1010" spans="1:3">
      <c r="A1010" t="str">
        <f>IF(成本费用登记表!$C108="","",成本费用登记表!$C108)</f>
        <v/>
      </c>
      <c r="B1010">
        <f t="shared" si="140"/>
        <v>0</v>
      </c>
      <c r="C1010">
        <f t="shared" si="141"/>
        <v>0</v>
      </c>
    </row>
    <row r="1011" spans="1:3">
      <c r="A1011" t="str">
        <f>IF(成本费用登记表!$C109="","",成本费用登记表!$C109)</f>
        <v/>
      </c>
      <c r="B1011">
        <f t="shared" si="140"/>
        <v>0</v>
      </c>
      <c r="C1011">
        <f t="shared" si="141"/>
        <v>0</v>
      </c>
    </row>
    <row r="1012" spans="1:3">
      <c r="A1012" t="str">
        <f>IF(成本费用登记表!$C110="","",成本费用登记表!$C110)</f>
        <v/>
      </c>
      <c r="B1012">
        <f t="shared" si="140"/>
        <v>0</v>
      </c>
      <c r="C1012">
        <f t="shared" si="141"/>
        <v>0</v>
      </c>
    </row>
    <row r="1013" spans="1:3">
      <c r="A1013" t="str">
        <f>IF(成本费用登记表!$C111="","",成本费用登记表!$C111)</f>
        <v/>
      </c>
      <c r="B1013">
        <f t="shared" si="140"/>
        <v>0</v>
      </c>
      <c r="C1013">
        <f t="shared" si="141"/>
        <v>0</v>
      </c>
    </row>
    <row r="1014" spans="1:3">
      <c r="A1014" t="str">
        <f>IF(成本费用登记表!$C112="","",成本费用登记表!$C112)</f>
        <v/>
      </c>
      <c r="B1014">
        <f t="shared" si="140"/>
        <v>0</v>
      </c>
      <c r="C1014">
        <f t="shared" si="141"/>
        <v>0</v>
      </c>
    </row>
    <row r="1015" spans="1:3">
      <c r="A1015" t="str">
        <f>IF(成本费用登记表!$C113="","",成本费用登记表!$C113)</f>
        <v/>
      </c>
      <c r="B1015">
        <f t="shared" si="140"/>
        <v>0</v>
      </c>
      <c r="C1015">
        <f t="shared" si="141"/>
        <v>0</v>
      </c>
    </row>
    <row r="1016" spans="1:3">
      <c r="A1016" t="str">
        <f>IF(成本费用登记表!$C114="","",成本费用登记表!$C114)</f>
        <v/>
      </c>
      <c r="B1016">
        <f t="shared" si="140"/>
        <v>0</v>
      </c>
      <c r="C1016">
        <f t="shared" si="141"/>
        <v>0</v>
      </c>
    </row>
    <row r="1017" spans="1:3">
      <c r="A1017" t="str">
        <f>IF(成本费用登记表!$C115="","",成本费用登记表!$C115)</f>
        <v/>
      </c>
      <c r="B1017">
        <f t="shared" si="140"/>
        <v>0</v>
      </c>
      <c r="C1017">
        <f t="shared" si="141"/>
        <v>0</v>
      </c>
    </row>
    <row r="1018" spans="1:3">
      <c r="A1018" t="str">
        <f>IF(成本费用登记表!$C116="","",成本费用登记表!$C116)</f>
        <v/>
      </c>
      <c r="B1018">
        <f t="shared" si="140"/>
        <v>0</v>
      </c>
      <c r="C1018">
        <f t="shared" si="141"/>
        <v>0</v>
      </c>
    </row>
    <row r="1019" spans="1:3">
      <c r="A1019" t="str">
        <f>IF(成本费用登记表!$C117="","",成本费用登记表!$C117)</f>
        <v/>
      </c>
      <c r="B1019">
        <f t="shared" si="140"/>
        <v>0</v>
      </c>
      <c r="C1019">
        <f t="shared" si="141"/>
        <v>0</v>
      </c>
    </row>
    <row r="1020" spans="1:3">
      <c r="A1020" t="str">
        <f>IF(成本费用登记表!$C118="","",成本费用登记表!$C118)</f>
        <v/>
      </c>
      <c r="B1020">
        <f t="shared" si="140"/>
        <v>0</v>
      </c>
      <c r="C1020">
        <f t="shared" si="141"/>
        <v>0</v>
      </c>
    </row>
    <row r="1021" spans="1:3">
      <c r="A1021" t="str">
        <f>IF(成本费用登记表!$C119="","",成本费用登记表!$C119)</f>
        <v/>
      </c>
      <c r="B1021">
        <f t="shared" si="140"/>
        <v>0</v>
      </c>
      <c r="C1021">
        <f t="shared" si="141"/>
        <v>0</v>
      </c>
    </row>
    <row r="1022" spans="1:3">
      <c r="A1022" t="str">
        <f>IF(成本费用登记表!$C120="","",成本费用登记表!$C120)</f>
        <v/>
      </c>
      <c r="B1022">
        <f t="shared" si="140"/>
        <v>0</v>
      </c>
      <c r="C1022">
        <f t="shared" si="141"/>
        <v>0</v>
      </c>
    </row>
    <row r="1023" spans="1:3">
      <c r="A1023" t="str">
        <f>IF(成本费用登记表!$C121="","",成本费用登记表!$C121)</f>
        <v/>
      </c>
      <c r="B1023">
        <f t="shared" si="140"/>
        <v>0</v>
      </c>
      <c r="C1023">
        <f t="shared" si="141"/>
        <v>0</v>
      </c>
    </row>
    <row r="1024" spans="1:3">
      <c r="A1024" t="str">
        <f>IF(成本费用登记表!$C122="","",成本费用登记表!$C122)</f>
        <v/>
      </c>
      <c r="B1024">
        <f t="shared" si="140"/>
        <v>0</v>
      </c>
      <c r="C1024">
        <f t="shared" si="141"/>
        <v>0</v>
      </c>
    </row>
    <row r="1025" spans="1:3">
      <c r="A1025" t="str">
        <f>IF(成本费用登记表!$C123="","",成本费用登记表!$C123)</f>
        <v/>
      </c>
      <c r="B1025">
        <f t="shared" si="140"/>
        <v>0</v>
      </c>
      <c r="C1025">
        <f t="shared" si="141"/>
        <v>0</v>
      </c>
    </row>
    <row r="1026" spans="1:3">
      <c r="A1026" t="str">
        <f>IF(成本费用登记表!$C124="","",成本费用登记表!$C124)</f>
        <v/>
      </c>
      <c r="B1026">
        <f t="shared" si="140"/>
        <v>0</v>
      </c>
      <c r="C1026">
        <f t="shared" si="141"/>
        <v>0</v>
      </c>
    </row>
    <row r="1027" spans="1:3">
      <c r="A1027" t="str">
        <f>IF(成本费用登记表!$C125="","",成本费用登记表!$C125)</f>
        <v/>
      </c>
      <c r="B1027">
        <f t="shared" si="140"/>
        <v>0</v>
      </c>
      <c r="C1027">
        <f t="shared" si="141"/>
        <v>0</v>
      </c>
    </row>
    <row r="1028" spans="1:3">
      <c r="A1028" t="str">
        <f>IF(成本费用登记表!$C126="","",成本费用登记表!$C126)</f>
        <v/>
      </c>
      <c r="B1028">
        <f t="shared" ref="B1028:B1091" si="142">IF(A1028="",0,IF(MATCH(A1028,$A$4:$A$1805,0)=ROW()-3,1,0))</f>
        <v>0</v>
      </c>
      <c r="C1028">
        <f t="shared" ref="C1028:C1091" si="143">N(C1027)+B1028</f>
        <v>0</v>
      </c>
    </row>
    <row r="1029" spans="1:3">
      <c r="A1029" t="str">
        <f>IF(成本费用登记表!$C127="","",成本费用登记表!$C127)</f>
        <v/>
      </c>
      <c r="B1029">
        <f t="shared" si="142"/>
        <v>0</v>
      </c>
      <c r="C1029">
        <f t="shared" si="143"/>
        <v>0</v>
      </c>
    </row>
    <row r="1030" spans="1:3">
      <c r="A1030" t="str">
        <f>IF(成本费用登记表!$C128="","",成本费用登记表!$C128)</f>
        <v/>
      </c>
      <c r="B1030">
        <f t="shared" si="142"/>
        <v>0</v>
      </c>
      <c r="C1030">
        <f t="shared" si="143"/>
        <v>0</v>
      </c>
    </row>
    <row r="1031" spans="1:3">
      <c r="A1031" t="str">
        <f>IF(成本费用登记表!$C129="","",成本费用登记表!$C129)</f>
        <v/>
      </c>
      <c r="B1031">
        <f t="shared" si="142"/>
        <v>0</v>
      </c>
      <c r="C1031">
        <f t="shared" si="143"/>
        <v>0</v>
      </c>
    </row>
    <row r="1032" spans="1:3">
      <c r="A1032" t="str">
        <f>IF(成本费用登记表!$C130="","",成本费用登记表!$C130)</f>
        <v/>
      </c>
      <c r="B1032">
        <f t="shared" si="142"/>
        <v>0</v>
      </c>
      <c r="C1032">
        <f t="shared" si="143"/>
        <v>0</v>
      </c>
    </row>
    <row r="1033" spans="1:3">
      <c r="A1033" t="str">
        <f>IF(成本费用登记表!$C131="","",成本费用登记表!$C131)</f>
        <v/>
      </c>
      <c r="B1033">
        <f t="shared" si="142"/>
        <v>0</v>
      </c>
      <c r="C1033">
        <f t="shared" si="143"/>
        <v>0</v>
      </c>
    </row>
    <row r="1034" spans="1:3">
      <c r="A1034" t="str">
        <f>IF(成本费用登记表!$C132="","",成本费用登记表!$C132)</f>
        <v/>
      </c>
      <c r="B1034">
        <f t="shared" si="142"/>
        <v>0</v>
      </c>
      <c r="C1034">
        <f t="shared" si="143"/>
        <v>0</v>
      </c>
    </row>
    <row r="1035" spans="1:3">
      <c r="A1035" t="str">
        <f>IF(成本费用登记表!$C133="","",成本费用登记表!$C133)</f>
        <v/>
      </c>
      <c r="B1035">
        <f t="shared" si="142"/>
        <v>0</v>
      </c>
      <c r="C1035">
        <f t="shared" si="143"/>
        <v>0</v>
      </c>
    </row>
    <row r="1036" spans="1:3">
      <c r="A1036" t="str">
        <f>IF(成本费用登记表!$C134="","",成本费用登记表!$C134)</f>
        <v/>
      </c>
      <c r="B1036">
        <f t="shared" si="142"/>
        <v>0</v>
      </c>
      <c r="C1036">
        <f t="shared" si="143"/>
        <v>0</v>
      </c>
    </row>
    <row r="1037" spans="1:3">
      <c r="A1037" t="str">
        <f>IF(成本费用登记表!$C135="","",成本费用登记表!$C135)</f>
        <v/>
      </c>
      <c r="B1037">
        <f t="shared" si="142"/>
        <v>0</v>
      </c>
      <c r="C1037">
        <f t="shared" si="143"/>
        <v>0</v>
      </c>
    </row>
    <row r="1038" spans="1:3">
      <c r="A1038" t="str">
        <f>IF(成本费用登记表!$C136="","",成本费用登记表!$C136)</f>
        <v/>
      </c>
      <c r="B1038">
        <f t="shared" si="142"/>
        <v>0</v>
      </c>
      <c r="C1038">
        <f t="shared" si="143"/>
        <v>0</v>
      </c>
    </row>
    <row r="1039" spans="1:3">
      <c r="A1039" t="str">
        <f>IF(成本费用登记表!$C137="","",成本费用登记表!$C137)</f>
        <v/>
      </c>
      <c r="B1039">
        <f t="shared" si="142"/>
        <v>0</v>
      </c>
      <c r="C1039">
        <f t="shared" si="143"/>
        <v>0</v>
      </c>
    </row>
    <row r="1040" spans="1:3">
      <c r="A1040" t="str">
        <f>IF(成本费用登记表!$C138="","",成本费用登记表!$C138)</f>
        <v/>
      </c>
      <c r="B1040">
        <f t="shared" si="142"/>
        <v>0</v>
      </c>
      <c r="C1040">
        <f t="shared" si="143"/>
        <v>0</v>
      </c>
    </row>
    <row r="1041" spans="1:3">
      <c r="A1041" t="str">
        <f>IF(成本费用登记表!$C139="","",成本费用登记表!$C139)</f>
        <v/>
      </c>
      <c r="B1041">
        <f t="shared" si="142"/>
        <v>0</v>
      </c>
      <c r="C1041">
        <f t="shared" si="143"/>
        <v>0</v>
      </c>
    </row>
    <row r="1042" spans="1:3">
      <c r="A1042" t="str">
        <f>IF(成本费用登记表!$C140="","",成本费用登记表!$C140)</f>
        <v/>
      </c>
      <c r="B1042">
        <f t="shared" si="142"/>
        <v>0</v>
      </c>
      <c r="C1042">
        <f t="shared" si="143"/>
        <v>0</v>
      </c>
    </row>
    <row r="1043" spans="1:3">
      <c r="A1043" t="str">
        <f>IF(成本费用登记表!$C141="","",成本费用登记表!$C141)</f>
        <v/>
      </c>
      <c r="B1043">
        <f t="shared" si="142"/>
        <v>0</v>
      </c>
      <c r="C1043">
        <f t="shared" si="143"/>
        <v>0</v>
      </c>
    </row>
    <row r="1044" spans="1:3">
      <c r="A1044" t="str">
        <f>IF(成本费用登记表!$C142="","",成本费用登记表!$C142)</f>
        <v/>
      </c>
      <c r="B1044">
        <f t="shared" si="142"/>
        <v>0</v>
      </c>
      <c r="C1044">
        <f t="shared" si="143"/>
        <v>0</v>
      </c>
    </row>
    <row r="1045" spans="1:3">
      <c r="A1045" t="str">
        <f>IF(成本费用登记表!$C143="","",成本费用登记表!$C143)</f>
        <v/>
      </c>
      <c r="B1045">
        <f t="shared" si="142"/>
        <v>0</v>
      </c>
      <c r="C1045">
        <f t="shared" si="143"/>
        <v>0</v>
      </c>
    </row>
    <row r="1046" spans="1:3">
      <c r="A1046" t="str">
        <f>IF(成本费用登记表!$C144="","",成本费用登记表!$C144)</f>
        <v/>
      </c>
      <c r="B1046">
        <f t="shared" si="142"/>
        <v>0</v>
      </c>
      <c r="C1046">
        <f t="shared" si="143"/>
        <v>0</v>
      </c>
    </row>
    <row r="1047" spans="1:3">
      <c r="A1047" t="str">
        <f>IF(成本费用登记表!$C145="","",成本费用登记表!$C145)</f>
        <v/>
      </c>
      <c r="B1047">
        <f t="shared" si="142"/>
        <v>0</v>
      </c>
      <c r="C1047">
        <f t="shared" si="143"/>
        <v>0</v>
      </c>
    </row>
    <row r="1048" spans="1:3">
      <c r="A1048" t="str">
        <f>IF(成本费用登记表!$C146="","",成本费用登记表!$C146)</f>
        <v/>
      </c>
      <c r="B1048">
        <f t="shared" si="142"/>
        <v>0</v>
      </c>
      <c r="C1048">
        <f t="shared" si="143"/>
        <v>0</v>
      </c>
    </row>
    <row r="1049" spans="1:3">
      <c r="A1049" t="str">
        <f>IF(成本费用登记表!$C147="","",成本费用登记表!$C147)</f>
        <v/>
      </c>
      <c r="B1049">
        <f t="shared" si="142"/>
        <v>0</v>
      </c>
      <c r="C1049">
        <f t="shared" si="143"/>
        <v>0</v>
      </c>
    </row>
    <row r="1050" spans="1:3">
      <c r="A1050" t="str">
        <f>IF(成本费用登记表!$C148="","",成本费用登记表!$C148)</f>
        <v/>
      </c>
      <c r="B1050">
        <f t="shared" si="142"/>
        <v>0</v>
      </c>
      <c r="C1050">
        <f t="shared" si="143"/>
        <v>0</v>
      </c>
    </row>
    <row r="1051" spans="1:3">
      <c r="A1051" t="str">
        <f>IF(成本费用登记表!$C149="","",成本费用登记表!$C149)</f>
        <v/>
      </c>
      <c r="B1051">
        <f t="shared" si="142"/>
        <v>0</v>
      </c>
      <c r="C1051">
        <f t="shared" si="143"/>
        <v>0</v>
      </c>
    </row>
    <row r="1052" spans="1:3">
      <c r="A1052" t="str">
        <f>IF(成本费用登记表!$C150="","",成本费用登记表!$C150)</f>
        <v/>
      </c>
      <c r="B1052">
        <f t="shared" si="142"/>
        <v>0</v>
      </c>
      <c r="C1052">
        <f t="shared" si="143"/>
        <v>0</v>
      </c>
    </row>
    <row r="1053" spans="1:3">
      <c r="A1053" t="str">
        <f>IF(成本费用登记表!$C151="","",成本费用登记表!$C151)</f>
        <v/>
      </c>
      <c r="B1053">
        <f t="shared" si="142"/>
        <v>0</v>
      </c>
      <c r="C1053">
        <f t="shared" si="143"/>
        <v>0</v>
      </c>
    </row>
    <row r="1054" spans="1:3">
      <c r="A1054" t="str">
        <f>IF(成本费用登记表!$C152="","",成本费用登记表!$C152)</f>
        <v/>
      </c>
      <c r="B1054">
        <f t="shared" si="142"/>
        <v>0</v>
      </c>
      <c r="C1054">
        <f t="shared" si="143"/>
        <v>0</v>
      </c>
    </row>
    <row r="1055" spans="1:3">
      <c r="A1055" t="str">
        <f>IF(成本费用登记表!$C153="","",成本费用登记表!$C153)</f>
        <v/>
      </c>
      <c r="B1055">
        <f t="shared" si="142"/>
        <v>0</v>
      </c>
      <c r="C1055">
        <f t="shared" si="143"/>
        <v>0</v>
      </c>
    </row>
    <row r="1056" spans="1:3">
      <c r="A1056" t="str">
        <f>IF(成本费用登记表!$C154="","",成本费用登记表!$C154)</f>
        <v/>
      </c>
      <c r="B1056">
        <f t="shared" si="142"/>
        <v>0</v>
      </c>
      <c r="C1056">
        <f t="shared" si="143"/>
        <v>0</v>
      </c>
    </row>
    <row r="1057" spans="1:3">
      <c r="A1057" t="str">
        <f>IF(成本费用登记表!$C155="","",成本费用登记表!$C155)</f>
        <v/>
      </c>
      <c r="B1057">
        <f t="shared" si="142"/>
        <v>0</v>
      </c>
      <c r="C1057">
        <f t="shared" si="143"/>
        <v>0</v>
      </c>
    </row>
    <row r="1058" spans="1:3">
      <c r="A1058" t="str">
        <f>IF(成本费用登记表!$C156="","",成本费用登记表!$C156)</f>
        <v/>
      </c>
      <c r="B1058">
        <f t="shared" si="142"/>
        <v>0</v>
      </c>
      <c r="C1058">
        <f t="shared" si="143"/>
        <v>0</v>
      </c>
    </row>
    <row r="1059" spans="1:3">
      <c r="A1059" t="str">
        <f>IF(成本费用登记表!$C157="","",成本费用登记表!$C157)</f>
        <v/>
      </c>
      <c r="B1059">
        <f t="shared" si="142"/>
        <v>0</v>
      </c>
      <c r="C1059">
        <f t="shared" si="143"/>
        <v>0</v>
      </c>
    </row>
    <row r="1060" spans="1:3">
      <c r="A1060" t="str">
        <f>IF(成本费用登记表!$C158="","",成本费用登记表!$C158)</f>
        <v/>
      </c>
      <c r="B1060">
        <f t="shared" si="142"/>
        <v>0</v>
      </c>
      <c r="C1060">
        <f t="shared" si="143"/>
        <v>0</v>
      </c>
    </row>
    <row r="1061" spans="1:3">
      <c r="A1061" t="str">
        <f>IF(成本费用登记表!$C159="","",成本费用登记表!$C159)</f>
        <v/>
      </c>
      <c r="B1061">
        <f t="shared" si="142"/>
        <v>0</v>
      </c>
      <c r="C1061">
        <f t="shared" si="143"/>
        <v>0</v>
      </c>
    </row>
    <row r="1062" spans="1:3">
      <c r="A1062" t="str">
        <f>IF(成本费用登记表!$C160="","",成本费用登记表!$C160)</f>
        <v/>
      </c>
      <c r="B1062">
        <f t="shared" si="142"/>
        <v>0</v>
      </c>
      <c r="C1062">
        <f t="shared" si="143"/>
        <v>0</v>
      </c>
    </row>
    <row r="1063" spans="1:3">
      <c r="A1063" t="str">
        <f>IF(成本费用登记表!$C161="","",成本费用登记表!$C161)</f>
        <v/>
      </c>
      <c r="B1063">
        <f t="shared" si="142"/>
        <v>0</v>
      </c>
      <c r="C1063">
        <f t="shared" si="143"/>
        <v>0</v>
      </c>
    </row>
    <row r="1064" spans="1:3">
      <c r="A1064" t="str">
        <f>IF(成本费用登记表!$C162="","",成本费用登记表!$C162)</f>
        <v/>
      </c>
      <c r="B1064">
        <f t="shared" si="142"/>
        <v>0</v>
      </c>
      <c r="C1064">
        <f t="shared" si="143"/>
        <v>0</v>
      </c>
    </row>
    <row r="1065" spans="1:3">
      <c r="A1065" t="str">
        <f>IF(成本费用登记表!$C163="","",成本费用登记表!$C163)</f>
        <v/>
      </c>
      <c r="B1065">
        <f t="shared" si="142"/>
        <v>0</v>
      </c>
      <c r="C1065">
        <f t="shared" si="143"/>
        <v>0</v>
      </c>
    </row>
    <row r="1066" spans="1:3">
      <c r="A1066" t="str">
        <f>IF(成本费用登记表!$C164="","",成本费用登记表!$C164)</f>
        <v/>
      </c>
      <c r="B1066">
        <f t="shared" si="142"/>
        <v>0</v>
      </c>
      <c r="C1066">
        <f t="shared" si="143"/>
        <v>0</v>
      </c>
    </row>
    <row r="1067" spans="1:3">
      <c r="A1067" t="str">
        <f>IF(成本费用登记表!$C165="","",成本费用登记表!$C165)</f>
        <v/>
      </c>
      <c r="B1067">
        <f t="shared" si="142"/>
        <v>0</v>
      </c>
      <c r="C1067">
        <f t="shared" si="143"/>
        <v>0</v>
      </c>
    </row>
    <row r="1068" spans="1:3">
      <c r="A1068" t="str">
        <f>IF(成本费用登记表!$C166="","",成本费用登记表!$C166)</f>
        <v/>
      </c>
      <c r="B1068">
        <f t="shared" si="142"/>
        <v>0</v>
      </c>
      <c r="C1068">
        <f t="shared" si="143"/>
        <v>0</v>
      </c>
    </row>
    <row r="1069" spans="1:3">
      <c r="A1069" t="str">
        <f>IF(成本费用登记表!$C167="","",成本费用登记表!$C167)</f>
        <v/>
      </c>
      <c r="B1069">
        <f t="shared" si="142"/>
        <v>0</v>
      </c>
      <c r="C1069">
        <f t="shared" si="143"/>
        <v>0</v>
      </c>
    </row>
    <row r="1070" spans="1:3">
      <c r="A1070" t="str">
        <f>IF(成本费用登记表!$C168="","",成本费用登记表!$C168)</f>
        <v/>
      </c>
      <c r="B1070">
        <f t="shared" si="142"/>
        <v>0</v>
      </c>
      <c r="C1070">
        <f t="shared" si="143"/>
        <v>0</v>
      </c>
    </row>
    <row r="1071" spans="1:3">
      <c r="A1071" t="str">
        <f>IF(成本费用登记表!$C169="","",成本费用登记表!$C169)</f>
        <v/>
      </c>
      <c r="B1071">
        <f t="shared" si="142"/>
        <v>0</v>
      </c>
      <c r="C1071">
        <f t="shared" si="143"/>
        <v>0</v>
      </c>
    </row>
    <row r="1072" spans="1:3">
      <c r="A1072" t="str">
        <f>IF(成本费用登记表!$C170="","",成本费用登记表!$C170)</f>
        <v/>
      </c>
      <c r="B1072">
        <f t="shared" si="142"/>
        <v>0</v>
      </c>
      <c r="C1072">
        <f t="shared" si="143"/>
        <v>0</v>
      </c>
    </row>
    <row r="1073" spans="1:3">
      <c r="A1073" t="str">
        <f>IF(成本费用登记表!$C171="","",成本费用登记表!$C171)</f>
        <v/>
      </c>
      <c r="B1073">
        <f t="shared" si="142"/>
        <v>0</v>
      </c>
      <c r="C1073">
        <f t="shared" si="143"/>
        <v>0</v>
      </c>
    </row>
    <row r="1074" spans="1:3">
      <c r="A1074" t="str">
        <f>IF(成本费用登记表!$C172="","",成本费用登记表!$C172)</f>
        <v/>
      </c>
      <c r="B1074">
        <f t="shared" si="142"/>
        <v>0</v>
      </c>
      <c r="C1074">
        <f t="shared" si="143"/>
        <v>0</v>
      </c>
    </row>
    <row r="1075" spans="1:3">
      <c r="A1075" t="str">
        <f>IF(成本费用登记表!$C173="","",成本费用登记表!$C173)</f>
        <v/>
      </c>
      <c r="B1075">
        <f t="shared" si="142"/>
        <v>0</v>
      </c>
      <c r="C1075">
        <f t="shared" si="143"/>
        <v>0</v>
      </c>
    </row>
    <row r="1076" spans="1:3">
      <c r="A1076" t="str">
        <f>IF(成本费用登记表!$C174="","",成本费用登记表!$C174)</f>
        <v/>
      </c>
      <c r="B1076">
        <f t="shared" si="142"/>
        <v>0</v>
      </c>
      <c r="C1076">
        <f t="shared" si="143"/>
        <v>0</v>
      </c>
    </row>
    <row r="1077" spans="1:3">
      <c r="A1077" t="str">
        <f>IF(成本费用登记表!$C175="","",成本费用登记表!$C175)</f>
        <v/>
      </c>
      <c r="B1077">
        <f t="shared" si="142"/>
        <v>0</v>
      </c>
      <c r="C1077">
        <f t="shared" si="143"/>
        <v>0</v>
      </c>
    </row>
    <row r="1078" spans="1:3">
      <c r="A1078" t="str">
        <f>IF(成本费用登记表!$C176="","",成本费用登记表!$C176)</f>
        <v/>
      </c>
      <c r="B1078">
        <f t="shared" si="142"/>
        <v>0</v>
      </c>
      <c r="C1078">
        <f t="shared" si="143"/>
        <v>0</v>
      </c>
    </row>
    <row r="1079" spans="1:3">
      <c r="A1079" t="str">
        <f>IF(成本费用登记表!$C177="","",成本费用登记表!$C177)</f>
        <v/>
      </c>
      <c r="B1079">
        <f t="shared" si="142"/>
        <v>0</v>
      </c>
      <c r="C1079">
        <f t="shared" si="143"/>
        <v>0</v>
      </c>
    </row>
    <row r="1080" spans="1:3">
      <c r="A1080" t="str">
        <f>IF(成本费用登记表!$C178="","",成本费用登记表!$C178)</f>
        <v/>
      </c>
      <c r="B1080">
        <f t="shared" si="142"/>
        <v>0</v>
      </c>
      <c r="C1080">
        <f t="shared" si="143"/>
        <v>0</v>
      </c>
    </row>
    <row r="1081" spans="1:3">
      <c r="A1081" t="str">
        <f>IF(成本费用登记表!$C179="","",成本费用登记表!$C179)</f>
        <v/>
      </c>
      <c r="B1081">
        <f t="shared" si="142"/>
        <v>0</v>
      </c>
      <c r="C1081">
        <f t="shared" si="143"/>
        <v>0</v>
      </c>
    </row>
    <row r="1082" spans="1:3">
      <c r="A1082" t="str">
        <f>IF(成本费用登记表!$C180="","",成本费用登记表!$C180)</f>
        <v/>
      </c>
      <c r="B1082">
        <f t="shared" si="142"/>
        <v>0</v>
      </c>
      <c r="C1082">
        <f t="shared" si="143"/>
        <v>0</v>
      </c>
    </row>
    <row r="1083" spans="1:3">
      <c r="A1083" t="str">
        <f>IF(成本费用登记表!$C181="","",成本费用登记表!$C181)</f>
        <v/>
      </c>
      <c r="B1083">
        <f t="shared" si="142"/>
        <v>0</v>
      </c>
      <c r="C1083">
        <f t="shared" si="143"/>
        <v>0</v>
      </c>
    </row>
    <row r="1084" spans="1:3">
      <c r="A1084" t="str">
        <f>IF(成本费用登记表!$C182="","",成本费用登记表!$C182)</f>
        <v/>
      </c>
      <c r="B1084">
        <f t="shared" si="142"/>
        <v>0</v>
      </c>
      <c r="C1084">
        <f t="shared" si="143"/>
        <v>0</v>
      </c>
    </row>
    <row r="1085" spans="1:3">
      <c r="A1085" t="str">
        <f>IF(成本费用登记表!$C183="","",成本费用登记表!$C183)</f>
        <v/>
      </c>
      <c r="B1085">
        <f t="shared" si="142"/>
        <v>0</v>
      </c>
      <c r="C1085">
        <f t="shared" si="143"/>
        <v>0</v>
      </c>
    </row>
    <row r="1086" spans="1:3">
      <c r="A1086" t="str">
        <f>IF(成本费用登记表!$C184="","",成本费用登记表!$C184)</f>
        <v/>
      </c>
      <c r="B1086">
        <f t="shared" si="142"/>
        <v>0</v>
      </c>
      <c r="C1086">
        <f t="shared" si="143"/>
        <v>0</v>
      </c>
    </row>
    <row r="1087" spans="1:3">
      <c r="A1087" t="str">
        <f>IF(成本费用登记表!$C185="","",成本费用登记表!$C185)</f>
        <v/>
      </c>
      <c r="B1087">
        <f t="shared" si="142"/>
        <v>0</v>
      </c>
      <c r="C1087">
        <f t="shared" si="143"/>
        <v>0</v>
      </c>
    </row>
    <row r="1088" spans="1:3">
      <c r="A1088" t="str">
        <f>IF(成本费用登记表!$C186="","",成本费用登记表!$C186)</f>
        <v/>
      </c>
      <c r="B1088">
        <f t="shared" si="142"/>
        <v>0</v>
      </c>
      <c r="C1088">
        <f t="shared" si="143"/>
        <v>0</v>
      </c>
    </row>
    <row r="1089" spans="1:3">
      <c r="A1089" t="str">
        <f>IF(成本费用登记表!$C187="","",成本费用登记表!$C187)</f>
        <v/>
      </c>
      <c r="B1089">
        <f t="shared" si="142"/>
        <v>0</v>
      </c>
      <c r="C1089">
        <f t="shared" si="143"/>
        <v>0</v>
      </c>
    </row>
    <row r="1090" spans="1:3">
      <c r="A1090" t="str">
        <f>IF(成本费用登记表!$C188="","",成本费用登记表!$C188)</f>
        <v/>
      </c>
      <c r="B1090">
        <f t="shared" si="142"/>
        <v>0</v>
      </c>
      <c r="C1090">
        <f t="shared" si="143"/>
        <v>0</v>
      </c>
    </row>
    <row r="1091" spans="1:3">
      <c r="A1091" t="str">
        <f>IF(成本费用登记表!$C189="","",成本费用登记表!$C189)</f>
        <v/>
      </c>
      <c r="B1091">
        <f t="shared" si="142"/>
        <v>0</v>
      </c>
      <c r="C1091">
        <f t="shared" si="143"/>
        <v>0</v>
      </c>
    </row>
    <row r="1092" spans="1:3">
      <c r="A1092" t="str">
        <f>IF(成本费用登记表!$C190="","",成本费用登记表!$C190)</f>
        <v/>
      </c>
      <c r="B1092">
        <f t="shared" ref="B1092:B1155" si="144">IF(A1092="",0,IF(MATCH(A1092,$A$4:$A$1805,0)=ROW()-3,1,0))</f>
        <v>0</v>
      </c>
      <c r="C1092">
        <f t="shared" ref="C1092:C1155" si="145">N(C1091)+B1092</f>
        <v>0</v>
      </c>
    </row>
    <row r="1093" spans="1:3">
      <c r="A1093" t="str">
        <f>IF(成本费用登记表!$C191="","",成本费用登记表!$C191)</f>
        <v/>
      </c>
      <c r="B1093">
        <f t="shared" si="144"/>
        <v>0</v>
      </c>
      <c r="C1093">
        <f t="shared" si="145"/>
        <v>0</v>
      </c>
    </row>
    <row r="1094" spans="1:3">
      <c r="A1094" t="str">
        <f>IF(成本费用登记表!$C192="","",成本费用登记表!$C192)</f>
        <v/>
      </c>
      <c r="B1094">
        <f t="shared" si="144"/>
        <v>0</v>
      </c>
      <c r="C1094">
        <f t="shared" si="145"/>
        <v>0</v>
      </c>
    </row>
    <row r="1095" spans="1:3">
      <c r="A1095" t="str">
        <f>IF(成本费用登记表!$C193="","",成本费用登记表!$C193)</f>
        <v/>
      </c>
      <c r="B1095">
        <f t="shared" si="144"/>
        <v>0</v>
      </c>
      <c r="C1095">
        <f t="shared" si="145"/>
        <v>0</v>
      </c>
    </row>
    <row r="1096" spans="1:3">
      <c r="A1096" t="str">
        <f>IF(成本费用登记表!$C194="","",成本费用登记表!$C194)</f>
        <v/>
      </c>
      <c r="B1096">
        <f t="shared" si="144"/>
        <v>0</v>
      </c>
      <c r="C1096">
        <f t="shared" si="145"/>
        <v>0</v>
      </c>
    </row>
    <row r="1097" spans="1:3">
      <c r="A1097" t="str">
        <f>IF(成本费用登记表!$C195="","",成本费用登记表!$C195)</f>
        <v/>
      </c>
      <c r="B1097">
        <f t="shared" si="144"/>
        <v>0</v>
      </c>
      <c r="C1097">
        <f t="shared" si="145"/>
        <v>0</v>
      </c>
    </row>
    <row r="1098" spans="1:3">
      <c r="A1098" t="str">
        <f>IF(成本费用登记表!$C196="","",成本费用登记表!$C196)</f>
        <v/>
      </c>
      <c r="B1098">
        <f t="shared" si="144"/>
        <v>0</v>
      </c>
      <c r="C1098">
        <f t="shared" si="145"/>
        <v>0</v>
      </c>
    </row>
    <row r="1099" spans="1:3">
      <c r="A1099" t="str">
        <f>IF(成本费用登记表!$C197="","",成本费用登记表!$C197)</f>
        <v/>
      </c>
      <c r="B1099">
        <f t="shared" si="144"/>
        <v>0</v>
      </c>
      <c r="C1099">
        <f t="shared" si="145"/>
        <v>0</v>
      </c>
    </row>
    <row r="1100" spans="1:3">
      <c r="A1100" t="str">
        <f>IF(成本费用登记表!$C198="","",成本费用登记表!$C198)</f>
        <v/>
      </c>
      <c r="B1100">
        <f t="shared" si="144"/>
        <v>0</v>
      </c>
      <c r="C1100">
        <f t="shared" si="145"/>
        <v>0</v>
      </c>
    </row>
    <row r="1101" spans="1:3">
      <c r="A1101" t="str">
        <f>IF(成本费用登记表!$C199="","",成本费用登记表!$C199)</f>
        <v/>
      </c>
      <c r="B1101">
        <f t="shared" si="144"/>
        <v>0</v>
      </c>
      <c r="C1101">
        <f t="shared" si="145"/>
        <v>0</v>
      </c>
    </row>
    <row r="1102" spans="1:3">
      <c r="A1102" t="str">
        <f>IF(成本费用登记表!$C200="","",成本费用登记表!$C200)</f>
        <v/>
      </c>
      <c r="B1102">
        <f t="shared" si="144"/>
        <v>0</v>
      </c>
      <c r="C1102">
        <f t="shared" si="145"/>
        <v>0</v>
      </c>
    </row>
    <row r="1103" spans="1:3">
      <c r="A1103" t="str">
        <f>IF(成本费用登记表!$C201="","",成本费用登记表!$C201)</f>
        <v/>
      </c>
      <c r="B1103">
        <f t="shared" si="144"/>
        <v>0</v>
      </c>
      <c r="C1103">
        <f t="shared" si="145"/>
        <v>0</v>
      </c>
    </row>
    <row r="1104" spans="1:3">
      <c r="A1104" t="str">
        <f>IF(成本费用登记表!$C202="","",成本费用登记表!$C202)</f>
        <v/>
      </c>
      <c r="B1104">
        <f t="shared" si="144"/>
        <v>0</v>
      </c>
      <c r="C1104">
        <f t="shared" si="145"/>
        <v>0</v>
      </c>
    </row>
    <row r="1105" spans="1:3">
      <c r="A1105" t="str">
        <f>IF(成本费用登记表!$C203="","",成本费用登记表!$C203)</f>
        <v/>
      </c>
      <c r="B1105">
        <f t="shared" si="144"/>
        <v>0</v>
      </c>
      <c r="C1105">
        <f t="shared" si="145"/>
        <v>0</v>
      </c>
    </row>
    <row r="1106" spans="1:3">
      <c r="A1106" t="str">
        <f>IF(成本费用登记表!$C204="","",成本费用登记表!$C204)</f>
        <v/>
      </c>
      <c r="B1106">
        <f t="shared" si="144"/>
        <v>0</v>
      </c>
      <c r="C1106">
        <f t="shared" si="145"/>
        <v>0</v>
      </c>
    </row>
    <row r="1107" spans="1:3">
      <c r="A1107" t="str">
        <f>IF(成本费用登记表!$C205="","",成本费用登记表!$C205)</f>
        <v/>
      </c>
      <c r="B1107">
        <f t="shared" si="144"/>
        <v>0</v>
      </c>
      <c r="C1107">
        <f t="shared" si="145"/>
        <v>0</v>
      </c>
    </row>
    <row r="1108" spans="1:3">
      <c r="A1108" t="str">
        <f>IF(成本费用登记表!$C206="","",成本费用登记表!$C206)</f>
        <v/>
      </c>
      <c r="B1108">
        <f t="shared" si="144"/>
        <v>0</v>
      </c>
      <c r="C1108">
        <f t="shared" si="145"/>
        <v>0</v>
      </c>
    </row>
    <row r="1109" spans="1:3">
      <c r="A1109" t="str">
        <f>IF(成本费用登记表!$C207="","",成本费用登记表!$C207)</f>
        <v/>
      </c>
      <c r="B1109">
        <f t="shared" si="144"/>
        <v>0</v>
      </c>
      <c r="C1109">
        <f t="shared" si="145"/>
        <v>0</v>
      </c>
    </row>
    <row r="1110" spans="1:3">
      <c r="A1110" t="str">
        <f>IF(成本费用登记表!$C208="","",成本费用登记表!$C208)</f>
        <v/>
      </c>
      <c r="B1110">
        <f t="shared" si="144"/>
        <v>0</v>
      </c>
      <c r="C1110">
        <f t="shared" si="145"/>
        <v>0</v>
      </c>
    </row>
    <row r="1111" spans="1:3">
      <c r="A1111" t="str">
        <f>IF(成本费用登记表!$C209="","",成本费用登记表!$C209)</f>
        <v/>
      </c>
      <c r="B1111">
        <f t="shared" si="144"/>
        <v>0</v>
      </c>
      <c r="C1111">
        <f t="shared" si="145"/>
        <v>0</v>
      </c>
    </row>
    <row r="1112" spans="1:3">
      <c r="A1112" t="str">
        <f>IF(成本费用登记表!$C210="","",成本费用登记表!$C210)</f>
        <v/>
      </c>
      <c r="B1112">
        <f t="shared" si="144"/>
        <v>0</v>
      </c>
      <c r="C1112">
        <f t="shared" si="145"/>
        <v>0</v>
      </c>
    </row>
    <row r="1113" spans="1:3">
      <c r="A1113" t="str">
        <f>IF(成本费用登记表!$C211="","",成本费用登记表!$C211)</f>
        <v/>
      </c>
      <c r="B1113">
        <f t="shared" si="144"/>
        <v>0</v>
      </c>
      <c r="C1113">
        <f t="shared" si="145"/>
        <v>0</v>
      </c>
    </row>
    <row r="1114" spans="1:3">
      <c r="A1114" t="str">
        <f>IF(成本费用登记表!$C212="","",成本费用登记表!$C212)</f>
        <v/>
      </c>
      <c r="B1114">
        <f t="shared" si="144"/>
        <v>0</v>
      </c>
      <c r="C1114">
        <f t="shared" si="145"/>
        <v>0</v>
      </c>
    </row>
    <row r="1115" spans="1:3">
      <c r="A1115" t="str">
        <f>IF(成本费用登记表!$C213="","",成本费用登记表!$C213)</f>
        <v/>
      </c>
      <c r="B1115">
        <f t="shared" si="144"/>
        <v>0</v>
      </c>
      <c r="C1115">
        <f t="shared" si="145"/>
        <v>0</v>
      </c>
    </row>
    <row r="1116" spans="1:3">
      <c r="A1116" t="str">
        <f>IF(成本费用登记表!$C214="","",成本费用登记表!$C214)</f>
        <v/>
      </c>
      <c r="B1116">
        <f t="shared" si="144"/>
        <v>0</v>
      </c>
      <c r="C1116">
        <f t="shared" si="145"/>
        <v>0</v>
      </c>
    </row>
    <row r="1117" spans="1:3">
      <c r="A1117" t="str">
        <f>IF(成本费用登记表!$C215="","",成本费用登记表!$C215)</f>
        <v/>
      </c>
      <c r="B1117">
        <f t="shared" si="144"/>
        <v>0</v>
      </c>
      <c r="C1117">
        <f t="shared" si="145"/>
        <v>0</v>
      </c>
    </row>
    <row r="1118" spans="1:3">
      <c r="A1118" t="str">
        <f>IF(成本费用登记表!$C216="","",成本费用登记表!$C216)</f>
        <v/>
      </c>
      <c r="B1118">
        <f t="shared" si="144"/>
        <v>0</v>
      </c>
      <c r="C1118">
        <f t="shared" si="145"/>
        <v>0</v>
      </c>
    </row>
    <row r="1119" spans="1:3">
      <c r="A1119" t="str">
        <f>IF(成本费用登记表!$C217="","",成本费用登记表!$C217)</f>
        <v/>
      </c>
      <c r="B1119">
        <f t="shared" si="144"/>
        <v>0</v>
      </c>
      <c r="C1119">
        <f t="shared" si="145"/>
        <v>0</v>
      </c>
    </row>
    <row r="1120" spans="1:3">
      <c r="A1120" t="str">
        <f>IF(成本费用登记表!$C218="","",成本费用登记表!$C218)</f>
        <v/>
      </c>
      <c r="B1120">
        <f t="shared" si="144"/>
        <v>0</v>
      </c>
      <c r="C1120">
        <f t="shared" si="145"/>
        <v>0</v>
      </c>
    </row>
    <row r="1121" spans="1:3">
      <c r="A1121" t="str">
        <f>IF(成本费用登记表!$C219="","",成本费用登记表!$C219)</f>
        <v/>
      </c>
      <c r="B1121">
        <f t="shared" si="144"/>
        <v>0</v>
      </c>
      <c r="C1121">
        <f t="shared" si="145"/>
        <v>0</v>
      </c>
    </row>
    <row r="1122" spans="1:3">
      <c r="A1122" t="str">
        <f>IF(成本费用登记表!$C220="","",成本费用登记表!$C220)</f>
        <v/>
      </c>
      <c r="B1122">
        <f t="shared" si="144"/>
        <v>0</v>
      </c>
      <c r="C1122">
        <f t="shared" si="145"/>
        <v>0</v>
      </c>
    </row>
    <row r="1123" spans="1:3">
      <c r="A1123" t="str">
        <f>IF(成本费用登记表!$C221="","",成本费用登记表!$C221)</f>
        <v/>
      </c>
      <c r="B1123">
        <f t="shared" si="144"/>
        <v>0</v>
      </c>
      <c r="C1123">
        <f t="shared" si="145"/>
        <v>0</v>
      </c>
    </row>
    <row r="1124" spans="1:3">
      <c r="A1124" t="str">
        <f>IF(成本费用登记表!$C222="","",成本费用登记表!$C222)</f>
        <v/>
      </c>
      <c r="B1124">
        <f t="shared" si="144"/>
        <v>0</v>
      </c>
      <c r="C1124">
        <f t="shared" si="145"/>
        <v>0</v>
      </c>
    </row>
    <row r="1125" spans="1:3">
      <c r="A1125" t="str">
        <f>IF(成本费用登记表!$C223="","",成本费用登记表!$C223)</f>
        <v/>
      </c>
      <c r="B1125">
        <f t="shared" si="144"/>
        <v>0</v>
      </c>
      <c r="C1125">
        <f t="shared" si="145"/>
        <v>0</v>
      </c>
    </row>
    <row r="1126" spans="1:3">
      <c r="A1126" t="str">
        <f>IF(成本费用登记表!$C224="","",成本费用登记表!$C224)</f>
        <v/>
      </c>
      <c r="B1126">
        <f t="shared" si="144"/>
        <v>0</v>
      </c>
      <c r="C1126">
        <f t="shared" si="145"/>
        <v>0</v>
      </c>
    </row>
    <row r="1127" spans="1:3">
      <c r="A1127" t="str">
        <f>IF(成本费用登记表!$C225="","",成本费用登记表!$C225)</f>
        <v/>
      </c>
      <c r="B1127">
        <f t="shared" si="144"/>
        <v>0</v>
      </c>
      <c r="C1127">
        <f t="shared" si="145"/>
        <v>0</v>
      </c>
    </row>
    <row r="1128" spans="1:3">
      <c r="A1128" t="str">
        <f>IF(成本费用登记表!$C226="","",成本费用登记表!$C226)</f>
        <v/>
      </c>
      <c r="B1128">
        <f t="shared" si="144"/>
        <v>0</v>
      </c>
      <c r="C1128">
        <f t="shared" si="145"/>
        <v>0</v>
      </c>
    </row>
    <row r="1129" spans="1:3">
      <c r="A1129" t="str">
        <f>IF(成本费用登记表!$C227="","",成本费用登记表!$C227)</f>
        <v/>
      </c>
      <c r="B1129">
        <f t="shared" si="144"/>
        <v>0</v>
      </c>
      <c r="C1129">
        <f t="shared" si="145"/>
        <v>0</v>
      </c>
    </row>
    <row r="1130" spans="1:3">
      <c r="A1130" t="str">
        <f>IF(成本费用登记表!$C228="","",成本费用登记表!$C228)</f>
        <v/>
      </c>
      <c r="B1130">
        <f t="shared" si="144"/>
        <v>0</v>
      </c>
      <c r="C1130">
        <f t="shared" si="145"/>
        <v>0</v>
      </c>
    </row>
    <row r="1131" spans="1:3">
      <c r="A1131" t="str">
        <f>IF(成本费用登记表!$C229="","",成本费用登记表!$C229)</f>
        <v/>
      </c>
      <c r="B1131">
        <f t="shared" si="144"/>
        <v>0</v>
      </c>
      <c r="C1131">
        <f t="shared" si="145"/>
        <v>0</v>
      </c>
    </row>
    <row r="1132" spans="1:3">
      <c r="A1132" t="str">
        <f>IF(成本费用登记表!$C230="","",成本费用登记表!$C230)</f>
        <v/>
      </c>
      <c r="B1132">
        <f t="shared" si="144"/>
        <v>0</v>
      </c>
      <c r="C1132">
        <f t="shared" si="145"/>
        <v>0</v>
      </c>
    </row>
    <row r="1133" spans="1:3">
      <c r="A1133" t="str">
        <f>IF(成本费用登记表!$C231="","",成本费用登记表!$C231)</f>
        <v/>
      </c>
      <c r="B1133">
        <f t="shared" si="144"/>
        <v>0</v>
      </c>
      <c r="C1133">
        <f t="shared" si="145"/>
        <v>0</v>
      </c>
    </row>
    <row r="1134" spans="1:3">
      <c r="A1134" t="str">
        <f>IF(成本费用登记表!$C232="","",成本费用登记表!$C232)</f>
        <v/>
      </c>
      <c r="B1134">
        <f t="shared" si="144"/>
        <v>0</v>
      </c>
      <c r="C1134">
        <f t="shared" si="145"/>
        <v>0</v>
      </c>
    </row>
    <row r="1135" spans="1:3">
      <c r="A1135" t="str">
        <f>IF(成本费用登记表!$C233="","",成本费用登记表!$C233)</f>
        <v/>
      </c>
      <c r="B1135">
        <f t="shared" si="144"/>
        <v>0</v>
      </c>
      <c r="C1135">
        <f t="shared" si="145"/>
        <v>0</v>
      </c>
    </row>
    <row r="1136" spans="1:3">
      <c r="A1136" t="str">
        <f>IF(成本费用登记表!$C234="","",成本费用登记表!$C234)</f>
        <v/>
      </c>
      <c r="B1136">
        <f t="shared" si="144"/>
        <v>0</v>
      </c>
      <c r="C1136">
        <f t="shared" si="145"/>
        <v>0</v>
      </c>
    </row>
    <row r="1137" spans="1:3">
      <c r="A1137" t="str">
        <f>IF(成本费用登记表!$C235="","",成本费用登记表!$C235)</f>
        <v/>
      </c>
      <c r="B1137">
        <f t="shared" si="144"/>
        <v>0</v>
      </c>
      <c r="C1137">
        <f t="shared" si="145"/>
        <v>0</v>
      </c>
    </row>
    <row r="1138" spans="1:3">
      <c r="A1138" t="str">
        <f>IF(成本费用登记表!$C236="","",成本费用登记表!$C236)</f>
        <v/>
      </c>
      <c r="B1138">
        <f t="shared" si="144"/>
        <v>0</v>
      </c>
      <c r="C1138">
        <f t="shared" si="145"/>
        <v>0</v>
      </c>
    </row>
    <row r="1139" spans="1:3">
      <c r="A1139" t="str">
        <f>IF(成本费用登记表!$C237="","",成本费用登记表!$C237)</f>
        <v/>
      </c>
      <c r="B1139">
        <f t="shared" si="144"/>
        <v>0</v>
      </c>
      <c r="C1139">
        <f t="shared" si="145"/>
        <v>0</v>
      </c>
    </row>
    <row r="1140" spans="1:3">
      <c r="A1140" t="str">
        <f>IF(成本费用登记表!$C238="","",成本费用登记表!$C238)</f>
        <v/>
      </c>
      <c r="B1140">
        <f t="shared" si="144"/>
        <v>0</v>
      </c>
      <c r="C1140">
        <f t="shared" si="145"/>
        <v>0</v>
      </c>
    </row>
    <row r="1141" spans="1:3">
      <c r="A1141" t="str">
        <f>IF(成本费用登记表!$C239="","",成本费用登记表!$C239)</f>
        <v/>
      </c>
      <c r="B1141">
        <f t="shared" si="144"/>
        <v>0</v>
      </c>
      <c r="C1141">
        <f t="shared" si="145"/>
        <v>0</v>
      </c>
    </row>
    <row r="1142" spans="1:3">
      <c r="A1142" t="str">
        <f>IF(成本费用登记表!$C240="","",成本费用登记表!$C240)</f>
        <v/>
      </c>
      <c r="B1142">
        <f t="shared" si="144"/>
        <v>0</v>
      </c>
      <c r="C1142">
        <f t="shared" si="145"/>
        <v>0</v>
      </c>
    </row>
    <row r="1143" spans="1:3">
      <c r="A1143" t="str">
        <f>IF(成本费用登记表!$C241="","",成本费用登记表!$C241)</f>
        <v/>
      </c>
      <c r="B1143">
        <f t="shared" si="144"/>
        <v>0</v>
      </c>
      <c r="C1143">
        <f t="shared" si="145"/>
        <v>0</v>
      </c>
    </row>
    <row r="1144" spans="1:3">
      <c r="A1144" t="str">
        <f>IF(成本费用登记表!$C242="","",成本费用登记表!$C242)</f>
        <v/>
      </c>
      <c r="B1144">
        <f t="shared" si="144"/>
        <v>0</v>
      </c>
      <c r="C1144">
        <f t="shared" si="145"/>
        <v>0</v>
      </c>
    </row>
    <row r="1145" spans="1:3">
      <c r="A1145" t="str">
        <f>IF(成本费用登记表!$C243="","",成本费用登记表!$C243)</f>
        <v/>
      </c>
      <c r="B1145">
        <f t="shared" si="144"/>
        <v>0</v>
      </c>
      <c r="C1145">
        <f t="shared" si="145"/>
        <v>0</v>
      </c>
    </row>
    <row r="1146" spans="1:3">
      <c r="A1146" t="str">
        <f>IF(成本费用登记表!$C244="","",成本费用登记表!$C244)</f>
        <v/>
      </c>
      <c r="B1146">
        <f t="shared" si="144"/>
        <v>0</v>
      </c>
      <c r="C1146">
        <f t="shared" si="145"/>
        <v>0</v>
      </c>
    </row>
    <row r="1147" spans="1:3">
      <c r="A1147" t="str">
        <f>IF(成本费用登记表!$C245="","",成本费用登记表!$C245)</f>
        <v/>
      </c>
      <c r="B1147">
        <f t="shared" si="144"/>
        <v>0</v>
      </c>
      <c r="C1147">
        <f t="shared" si="145"/>
        <v>0</v>
      </c>
    </row>
    <row r="1148" spans="1:3">
      <c r="A1148" t="str">
        <f>IF(成本费用登记表!$C246="","",成本费用登记表!$C246)</f>
        <v/>
      </c>
      <c r="B1148">
        <f t="shared" si="144"/>
        <v>0</v>
      </c>
      <c r="C1148">
        <f t="shared" si="145"/>
        <v>0</v>
      </c>
    </row>
    <row r="1149" spans="1:3">
      <c r="A1149" t="str">
        <f>IF(成本费用登记表!$C247="","",成本费用登记表!$C247)</f>
        <v/>
      </c>
      <c r="B1149">
        <f t="shared" si="144"/>
        <v>0</v>
      </c>
      <c r="C1149">
        <f t="shared" si="145"/>
        <v>0</v>
      </c>
    </row>
    <row r="1150" spans="1:3">
      <c r="A1150" t="str">
        <f>IF(成本费用登记表!$C248="","",成本费用登记表!$C248)</f>
        <v/>
      </c>
      <c r="B1150">
        <f t="shared" si="144"/>
        <v>0</v>
      </c>
      <c r="C1150">
        <f t="shared" si="145"/>
        <v>0</v>
      </c>
    </row>
    <row r="1151" spans="1:3">
      <c r="A1151" t="str">
        <f>IF(成本费用登记表!$C249="","",成本费用登记表!$C249)</f>
        <v/>
      </c>
      <c r="B1151">
        <f t="shared" si="144"/>
        <v>0</v>
      </c>
      <c r="C1151">
        <f t="shared" si="145"/>
        <v>0</v>
      </c>
    </row>
    <row r="1152" spans="1:3">
      <c r="A1152" t="str">
        <f>IF(成本费用登记表!$C250="","",成本费用登记表!$C250)</f>
        <v/>
      </c>
      <c r="B1152">
        <f t="shared" si="144"/>
        <v>0</v>
      </c>
      <c r="C1152">
        <f t="shared" si="145"/>
        <v>0</v>
      </c>
    </row>
    <row r="1153" spans="1:3">
      <c r="A1153" t="str">
        <f>IF(成本费用登记表!$C251="","",成本费用登记表!$C251)</f>
        <v/>
      </c>
      <c r="B1153">
        <f t="shared" si="144"/>
        <v>0</v>
      </c>
      <c r="C1153">
        <f t="shared" si="145"/>
        <v>0</v>
      </c>
    </row>
    <row r="1154" spans="1:3">
      <c r="A1154" t="str">
        <f>IF(成本费用登记表!$C252="","",成本费用登记表!$C252)</f>
        <v/>
      </c>
      <c r="B1154">
        <f t="shared" si="144"/>
        <v>0</v>
      </c>
      <c r="C1154">
        <f t="shared" si="145"/>
        <v>0</v>
      </c>
    </row>
    <row r="1155" spans="1:3">
      <c r="A1155" t="str">
        <f>IF(成本费用登记表!$C253="","",成本费用登记表!$C253)</f>
        <v/>
      </c>
      <c r="B1155">
        <f t="shared" si="144"/>
        <v>0</v>
      </c>
      <c r="C1155">
        <f t="shared" si="145"/>
        <v>0</v>
      </c>
    </row>
    <row r="1156" spans="1:3">
      <c r="A1156" t="str">
        <f>IF(成本费用登记表!$C254="","",成本费用登记表!$C254)</f>
        <v/>
      </c>
      <c r="B1156">
        <f t="shared" ref="B1156:B1219" si="146">IF(A1156="",0,IF(MATCH(A1156,$A$4:$A$1805,0)=ROW()-3,1,0))</f>
        <v>0</v>
      </c>
      <c r="C1156">
        <f t="shared" ref="C1156:C1219" si="147">N(C1155)+B1156</f>
        <v>0</v>
      </c>
    </row>
    <row r="1157" spans="1:3">
      <c r="A1157" t="str">
        <f>IF(成本费用登记表!$C255="","",成本费用登记表!$C255)</f>
        <v/>
      </c>
      <c r="B1157">
        <f t="shared" si="146"/>
        <v>0</v>
      </c>
      <c r="C1157">
        <f t="shared" si="147"/>
        <v>0</v>
      </c>
    </row>
    <row r="1158" spans="1:3">
      <c r="A1158" t="str">
        <f>IF(成本费用登记表!$C256="","",成本费用登记表!$C256)</f>
        <v/>
      </c>
      <c r="B1158">
        <f t="shared" si="146"/>
        <v>0</v>
      </c>
      <c r="C1158">
        <f t="shared" si="147"/>
        <v>0</v>
      </c>
    </row>
    <row r="1159" spans="1:3">
      <c r="A1159" t="str">
        <f>IF(成本费用登记表!$C257="","",成本费用登记表!$C257)</f>
        <v/>
      </c>
      <c r="B1159">
        <f t="shared" si="146"/>
        <v>0</v>
      </c>
      <c r="C1159">
        <f t="shared" si="147"/>
        <v>0</v>
      </c>
    </row>
    <row r="1160" spans="1:3">
      <c r="A1160" t="str">
        <f>IF(成本费用登记表!$C258="","",成本费用登记表!$C258)</f>
        <v/>
      </c>
      <c r="B1160">
        <f t="shared" si="146"/>
        <v>0</v>
      </c>
      <c r="C1160">
        <f t="shared" si="147"/>
        <v>0</v>
      </c>
    </row>
    <row r="1161" spans="1:3">
      <c r="A1161" t="str">
        <f>IF(成本费用登记表!$C259="","",成本费用登记表!$C259)</f>
        <v/>
      </c>
      <c r="B1161">
        <f t="shared" si="146"/>
        <v>0</v>
      </c>
      <c r="C1161">
        <f t="shared" si="147"/>
        <v>0</v>
      </c>
    </row>
    <row r="1162" spans="1:3">
      <c r="A1162" t="str">
        <f>IF(成本费用登记表!$C260="","",成本费用登记表!$C260)</f>
        <v/>
      </c>
      <c r="B1162">
        <f t="shared" si="146"/>
        <v>0</v>
      </c>
      <c r="C1162">
        <f t="shared" si="147"/>
        <v>0</v>
      </c>
    </row>
    <row r="1163" spans="1:3">
      <c r="A1163" t="str">
        <f>IF(成本费用登记表!$C261="","",成本费用登记表!$C261)</f>
        <v/>
      </c>
      <c r="B1163">
        <f t="shared" si="146"/>
        <v>0</v>
      </c>
      <c r="C1163">
        <f t="shared" si="147"/>
        <v>0</v>
      </c>
    </row>
    <row r="1164" spans="1:3">
      <c r="A1164" t="str">
        <f>IF(成本费用登记表!$C262="","",成本费用登记表!$C262)</f>
        <v/>
      </c>
      <c r="B1164">
        <f t="shared" si="146"/>
        <v>0</v>
      </c>
      <c r="C1164">
        <f t="shared" si="147"/>
        <v>0</v>
      </c>
    </row>
    <row r="1165" spans="1:3">
      <c r="A1165" t="str">
        <f>IF(成本费用登记表!$C263="","",成本费用登记表!$C263)</f>
        <v/>
      </c>
      <c r="B1165">
        <f t="shared" si="146"/>
        <v>0</v>
      </c>
      <c r="C1165">
        <f t="shared" si="147"/>
        <v>0</v>
      </c>
    </row>
    <row r="1166" spans="1:3">
      <c r="A1166" t="str">
        <f>IF(成本费用登记表!$C264="","",成本费用登记表!$C264)</f>
        <v/>
      </c>
      <c r="B1166">
        <f t="shared" si="146"/>
        <v>0</v>
      </c>
      <c r="C1166">
        <f t="shared" si="147"/>
        <v>0</v>
      </c>
    </row>
    <row r="1167" spans="1:3">
      <c r="A1167" t="str">
        <f>IF(成本费用登记表!$C265="","",成本费用登记表!$C265)</f>
        <v/>
      </c>
      <c r="B1167">
        <f t="shared" si="146"/>
        <v>0</v>
      </c>
      <c r="C1167">
        <f t="shared" si="147"/>
        <v>0</v>
      </c>
    </row>
    <row r="1168" spans="1:3">
      <c r="A1168" t="str">
        <f>IF(成本费用登记表!$C266="","",成本费用登记表!$C266)</f>
        <v/>
      </c>
      <c r="B1168">
        <f t="shared" si="146"/>
        <v>0</v>
      </c>
      <c r="C1168">
        <f t="shared" si="147"/>
        <v>0</v>
      </c>
    </row>
    <row r="1169" spans="1:3">
      <c r="A1169" t="str">
        <f>IF(成本费用登记表!$C267="","",成本费用登记表!$C267)</f>
        <v/>
      </c>
      <c r="B1169">
        <f t="shared" si="146"/>
        <v>0</v>
      </c>
      <c r="C1169">
        <f t="shared" si="147"/>
        <v>0</v>
      </c>
    </row>
    <row r="1170" spans="1:3">
      <c r="A1170" t="str">
        <f>IF(成本费用登记表!$C268="","",成本费用登记表!$C268)</f>
        <v/>
      </c>
      <c r="B1170">
        <f t="shared" si="146"/>
        <v>0</v>
      </c>
      <c r="C1170">
        <f t="shared" si="147"/>
        <v>0</v>
      </c>
    </row>
    <row r="1171" spans="1:3">
      <c r="A1171" t="str">
        <f>IF(成本费用登记表!$C269="","",成本费用登记表!$C269)</f>
        <v/>
      </c>
      <c r="B1171">
        <f t="shared" si="146"/>
        <v>0</v>
      </c>
      <c r="C1171">
        <f t="shared" si="147"/>
        <v>0</v>
      </c>
    </row>
    <row r="1172" spans="1:3">
      <c r="A1172" t="str">
        <f>IF(成本费用登记表!$C270="","",成本费用登记表!$C270)</f>
        <v/>
      </c>
      <c r="B1172">
        <f t="shared" si="146"/>
        <v>0</v>
      </c>
      <c r="C1172">
        <f t="shared" si="147"/>
        <v>0</v>
      </c>
    </row>
    <row r="1173" spans="1:3">
      <c r="A1173" t="str">
        <f>IF(成本费用登记表!$C271="","",成本费用登记表!$C271)</f>
        <v/>
      </c>
      <c r="B1173">
        <f t="shared" si="146"/>
        <v>0</v>
      </c>
      <c r="C1173">
        <f t="shared" si="147"/>
        <v>0</v>
      </c>
    </row>
    <row r="1174" spans="1:3">
      <c r="A1174" t="str">
        <f>IF(成本费用登记表!$C272="","",成本费用登记表!$C272)</f>
        <v/>
      </c>
      <c r="B1174">
        <f t="shared" si="146"/>
        <v>0</v>
      </c>
      <c r="C1174">
        <f t="shared" si="147"/>
        <v>0</v>
      </c>
    </row>
    <row r="1175" spans="1:3">
      <c r="A1175" t="str">
        <f>IF(成本费用登记表!$C273="","",成本费用登记表!$C273)</f>
        <v/>
      </c>
      <c r="B1175">
        <f t="shared" si="146"/>
        <v>0</v>
      </c>
      <c r="C1175">
        <f t="shared" si="147"/>
        <v>0</v>
      </c>
    </row>
    <row r="1176" spans="1:3">
      <c r="A1176" t="str">
        <f>IF(成本费用登记表!$C274="","",成本费用登记表!$C274)</f>
        <v/>
      </c>
      <c r="B1176">
        <f t="shared" si="146"/>
        <v>0</v>
      </c>
      <c r="C1176">
        <f t="shared" si="147"/>
        <v>0</v>
      </c>
    </row>
    <row r="1177" spans="1:3">
      <c r="A1177" t="str">
        <f>IF(成本费用登记表!$C275="","",成本费用登记表!$C275)</f>
        <v/>
      </c>
      <c r="B1177">
        <f t="shared" si="146"/>
        <v>0</v>
      </c>
      <c r="C1177">
        <f t="shared" si="147"/>
        <v>0</v>
      </c>
    </row>
    <row r="1178" spans="1:3">
      <c r="A1178" t="str">
        <f>IF(成本费用登记表!$C276="","",成本费用登记表!$C276)</f>
        <v/>
      </c>
      <c r="B1178">
        <f t="shared" si="146"/>
        <v>0</v>
      </c>
      <c r="C1178">
        <f t="shared" si="147"/>
        <v>0</v>
      </c>
    </row>
    <row r="1179" spans="1:3">
      <c r="A1179" t="str">
        <f>IF(成本费用登记表!$C277="","",成本费用登记表!$C277)</f>
        <v/>
      </c>
      <c r="B1179">
        <f t="shared" si="146"/>
        <v>0</v>
      </c>
      <c r="C1179">
        <f t="shared" si="147"/>
        <v>0</v>
      </c>
    </row>
    <row r="1180" spans="1:3">
      <c r="A1180" t="str">
        <f>IF(成本费用登记表!$C278="","",成本费用登记表!$C278)</f>
        <v/>
      </c>
      <c r="B1180">
        <f t="shared" si="146"/>
        <v>0</v>
      </c>
      <c r="C1180">
        <f t="shared" si="147"/>
        <v>0</v>
      </c>
    </row>
    <row r="1181" spans="1:3">
      <c r="A1181" t="str">
        <f>IF(成本费用登记表!$C279="","",成本费用登记表!$C279)</f>
        <v/>
      </c>
      <c r="B1181">
        <f t="shared" si="146"/>
        <v>0</v>
      </c>
      <c r="C1181">
        <f t="shared" si="147"/>
        <v>0</v>
      </c>
    </row>
    <row r="1182" spans="1:3">
      <c r="A1182" t="str">
        <f>IF(成本费用登记表!$C280="","",成本费用登记表!$C280)</f>
        <v/>
      </c>
      <c r="B1182">
        <f t="shared" si="146"/>
        <v>0</v>
      </c>
      <c r="C1182">
        <f t="shared" si="147"/>
        <v>0</v>
      </c>
    </row>
    <row r="1183" spans="1:3">
      <c r="A1183" t="str">
        <f>IF(成本费用登记表!$C281="","",成本费用登记表!$C281)</f>
        <v/>
      </c>
      <c r="B1183">
        <f t="shared" si="146"/>
        <v>0</v>
      </c>
      <c r="C1183">
        <f t="shared" si="147"/>
        <v>0</v>
      </c>
    </row>
    <row r="1184" spans="1:3">
      <c r="A1184" t="str">
        <f>IF(成本费用登记表!$C282="","",成本费用登记表!$C282)</f>
        <v/>
      </c>
      <c r="B1184">
        <f t="shared" si="146"/>
        <v>0</v>
      </c>
      <c r="C1184">
        <f t="shared" si="147"/>
        <v>0</v>
      </c>
    </row>
    <row r="1185" spans="1:3">
      <c r="A1185" t="str">
        <f>IF(成本费用登记表!$C283="","",成本费用登记表!$C283)</f>
        <v/>
      </c>
      <c r="B1185">
        <f t="shared" si="146"/>
        <v>0</v>
      </c>
      <c r="C1185">
        <f t="shared" si="147"/>
        <v>0</v>
      </c>
    </row>
    <row r="1186" spans="1:3">
      <c r="A1186" t="str">
        <f>IF(成本费用登记表!$C284="","",成本费用登记表!$C284)</f>
        <v/>
      </c>
      <c r="B1186">
        <f t="shared" si="146"/>
        <v>0</v>
      </c>
      <c r="C1186">
        <f t="shared" si="147"/>
        <v>0</v>
      </c>
    </row>
    <row r="1187" spans="1:3">
      <c r="A1187" t="str">
        <f>IF(成本费用登记表!$C285="","",成本费用登记表!$C285)</f>
        <v/>
      </c>
      <c r="B1187">
        <f t="shared" si="146"/>
        <v>0</v>
      </c>
      <c r="C1187">
        <f t="shared" si="147"/>
        <v>0</v>
      </c>
    </row>
    <row r="1188" spans="1:3">
      <c r="A1188" t="str">
        <f>IF(成本费用登记表!$C286="","",成本费用登记表!$C286)</f>
        <v/>
      </c>
      <c r="B1188">
        <f t="shared" si="146"/>
        <v>0</v>
      </c>
      <c r="C1188">
        <f t="shared" si="147"/>
        <v>0</v>
      </c>
    </row>
    <row r="1189" spans="1:3">
      <c r="A1189" t="str">
        <f>IF(成本费用登记表!$C287="","",成本费用登记表!$C287)</f>
        <v/>
      </c>
      <c r="B1189">
        <f t="shared" si="146"/>
        <v>0</v>
      </c>
      <c r="C1189">
        <f t="shared" si="147"/>
        <v>0</v>
      </c>
    </row>
    <row r="1190" spans="1:3">
      <c r="A1190" t="str">
        <f>IF(成本费用登记表!$C288="","",成本费用登记表!$C288)</f>
        <v/>
      </c>
      <c r="B1190">
        <f t="shared" si="146"/>
        <v>0</v>
      </c>
      <c r="C1190">
        <f t="shared" si="147"/>
        <v>0</v>
      </c>
    </row>
    <row r="1191" spans="1:3">
      <c r="A1191" t="str">
        <f>IF(成本费用登记表!$C289="","",成本费用登记表!$C289)</f>
        <v/>
      </c>
      <c r="B1191">
        <f t="shared" si="146"/>
        <v>0</v>
      </c>
      <c r="C1191">
        <f t="shared" si="147"/>
        <v>0</v>
      </c>
    </row>
    <row r="1192" spans="1:3">
      <c r="A1192" t="str">
        <f>IF(成本费用登记表!$C290="","",成本费用登记表!$C290)</f>
        <v/>
      </c>
      <c r="B1192">
        <f t="shared" si="146"/>
        <v>0</v>
      </c>
      <c r="C1192">
        <f t="shared" si="147"/>
        <v>0</v>
      </c>
    </row>
    <row r="1193" spans="1:3">
      <c r="A1193" t="str">
        <f>IF(成本费用登记表!$C291="","",成本费用登记表!$C291)</f>
        <v/>
      </c>
      <c r="B1193">
        <f t="shared" si="146"/>
        <v>0</v>
      </c>
      <c r="C1193">
        <f t="shared" si="147"/>
        <v>0</v>
      </c>
    </row>
    <row r="1194" spans="1:3">
      <c r="A1194" t="str">
        <f>IF(成本费用登记表!$C292="","",成本费用登记表!$C292)</f>
        <v/>
      </c>
      <c r="B1194">
        <f t="shared" si="146"/>
        <v>0</v>
      </c>
      <c r="C1194">
        <f t="shared" si="147"/>
        <v>0</v>
      </c>
    </row>
    <row r="1195" spans="1:3">
      <c r="A1195" t="str">
        <f>IF(成本费用登记表!$C293="","",成本费用登记表!$C293)</f>
        <v/>
      </c>
      <c r="B1195">
        <f t="shared" si="146"/>
        <v>0</v>
      </c>
      <c r="C1195">
        <f t="shared" si="147"/>
        <v>0</v>
      </c>
    </row>
    <row r="1196" spans="1:3">
      <c r="A1196" t="str">
        <f>IF(成本费用登记表!$C294="","",成本费用登记表!$C294)</f>
        <v/>
      </c>
      <c r="B1196">
        <f t="shared" si="146"/>
        <v>0</v>
      </c>
      <c r="C1196">
        <f t="shared" si="147"/>
        <v>0</v>
      </c>
    </row>
    <row r="1197" spans="1:3">
      <c r="A1197" t="str">
        <f>IF(成本费用登记表!$C295="","",成本费用登记表!$C295)</f>
        <v/>
      </c>
      <c r="B1197">
        <f t="shared" si="146"/>
        <v>0</v>
      </c>
      <c r="C1197">
        <f t="shared" si="147"/>
        <v>0</v>
      </c>
    </row>
    <row r="1198" spans="1:3">
      <c r="A1198" t="str">
        <f>IF(成本费用登记表!$C296="","",成本费用登记表!$C296)</f>
        <v/>
      </c>
      <c r="B1198">
        <f t="shared" si="146"/>
        <v>0</v>
      </c>
      <c r="C1198">
        <f t="shared" si="147"/>
        <v>0</v>
      </c>
    </row>
    <row r="1199" spans="1:3">
      <c r="A1199" t="str">
        <f>IF(成本费用登记表!$C297="","",成本费用登记表!$C297)</f>
        <v/>
      </c>
      <c r="B1199">
        <f t="shared" si="146"/>
        <v>0</v>
      </c>
      <c r="C1199">
        <f t="shared" si="147"/>
        <v>0</v>
      </c>
    </row>
    <row r="1200" spans="1:3">
      <c r="A1200" t="str">
        <f>IF(成本费用登记表!$C298="","",成本费用登记表!$C298)</f>
        <v/>
      </c>
      <c r="B1200">
        <f t="shared" si="146"/>
        <v>0</v>
      </c>
      <c r="C1200">
        <f t="shared" si="147"/>
        <v>0</v>
      </c>
    </row>
    <row r="1201" spans="1:3">
      <c r="A1201" t="str">
        <f>IF(成本费用登记表!$C299="","",成本费用登记表!$C299)</f>
        <v/>
      </c>
      <c r="B1201">
        <f t="shared" si="146"/>
        <v>0</v>
      </c>
      <c r="C1201">
        <f t="shared" si="147"/>
        <v>0</v>
      </c>
    </row>
    <row r="1202" spans="1:3">
      <c r="A1202" t="str">
        <f>IF(成本费用登记表!$C300="","",成本费用登记表!$C300)</f>
        <v/>
      </c>
      <c r="B1202">
        <f t="shared" si="146"/>
        <v>0</v>
      </c>
      <c r="C1202">
        <f t="shared" si="147"/>
        <v>0</v>
      </c>
    </row>
    <row r="1203" spans="1:3">
      <c r="A1203" t="str">
        <f>IF(成本费用登记表!$C301="","",成本费用登记表!$C301)</f>
        <v/>
      </c>
      <c r="B1203">
        <f t="shared" si="146"/>
        <v>0</v>
      </c>
      <c r="C1203">
        <f t="shared" si="147"/>
        <v>0</v>
      </c>
    </row>
    <row r="1204" spans="1:3">
      <c r="A1204" t="str">
        <f>IF(成本费用登记表!$C302="","",成本费用登记表!$C302)</f>
        <v/>
      </c>
      <c r="B1204">
        <f t="shared" si="146"/>
        <v>0</v>
      </c>
      <c r="C1204">
        <f t="shared" si="147"/>
        <v>0</v>
      </c>
    </row>
    <row r="1205" spans="1:3">
      <c r="A1205" t="str">
        <f>IF(成本费用登记表!$C303="","",成本费用登记表!$C303)</f>
        <v/>
      </c>
      <c r="B1205">
        <f t="shared" si="146"/>
        <v>0</v>
      </c>
      <c r="C1205">
        <f t="shared" si="147"/>
        <v>0</v>
      </c>
    </row>
    <row r="1206" spans="1:3">
      <c r="A1206" t="str">
        <f>IF(记账凭证!$J3010="","",记账凭证!$J3010)</f>
        <v/>
      </c>
      <c r="B1206">
        <f t="shared" si="146"/>
        <v>0</v>
      </c>
      <c r="C1206">
        <f t="shared" si="147"/>
        <v>0</v>
      </c>
    </row>
    <row r="1207" spans="1:3">
      <c r="A1207" t="str">
        <f>IF(记账凭证!$J3011="","",记账凭证!$J3011)</f>
        <v/>
      </c>
      <c r="B1207">
        <f t="shared" si="146"/>
        <v>0</v>
      </c>
      <c r="C1207">
        <f t="shared" si="147"/>
        <v>0</v>
      </c>
    </row>
    <row r="1208" spans="1:3">
      <c r="A1208" t="str">
        <f>IF(记账凭证!$J3012="","",记账凭证!$J3012)</f>
        <v/>
      </c>
      <c r="B1208">
        <f t="shared" si="146"/>
        <v>0</v>
      </c>
      <c r="C1208">
        <f t="shared" si="147"/>
        <v>0</v>
      </c>
    </row>
    <row r="1209" spans="1:3">
      <c r="A1209" t="str">
        <f>IF(记账凭证!$J3013="","",记账凭证!$J3013)</f>
        <v/>
      </c>
      <c r="B1209">
        <f t="shared" si="146"/>
        <v>0</v>
      </c>
      <c r="C1209">
        <f t="shared" si="147"/>
        <v>0</v>
      </c>
    </row>
    <row r="1210" spans="1:3">
      <c r="A1210" t="str">
        <f>IF(记账凭证!$J3014="","",记账凭证!$J3014)</f>
        <v/>
      </c>
      <c r="B1210">
        <f t="shared" si="146"/>
        <v>0</v>
      </c>
      <c r="C1210">
        <f t="shared" si="147"/>
        <v>0</v>
      </c>
    </row>
    <row r="1211" spans="1:3">
      <c r="A1211" t="str">
        <f>IF(记账凭证!$J3015="","",记账凭证!$J3015)</f>
        <v/>
      </c>
      <c r="B1211">
        <f t="shared" si="146"/>
        <v>0</v>
      </c>
      <c r="C1211">
        <f t="shared" si="147"/>
        <v>0</v>
      </c>
    </row>
    <row r="1212" spans="1:3">
      <c r="A1212" t="str">
        <f>IF(记账凭证!$J3016="","",记账凭证!$J3016)</f>
        <v/>
      </c>
      <c r="B1212">
        <f t="shared" si="146"/>
        <v>0</v>
      </c>
      <c r="C1212">
        <f t="shared" si="147"/>
        <v>0</v>
      </c>
    </row>
    <row r="1213" spans="1:3">
      <c r="A1213" t="str">
        <f>IF(记账凭证!$J3017="","",记账凭证!$J3017)</f>
        <v/>
      </c>
      <c r="B1213">
        <f t="shared" si="146"/>
        <v>0</v>
      </c>
      <c r="C1213">
        <f t="shared" si="147"/>
        <v>0</v>
      </c>
    </row>
    <row r="1214" spans="1:3">
      <c r="A1214" t="str">
        <f>IF(记账凭证!$J3018="","",记账凭证!$J3018)</f>
        <v/>
      </c>
      <c r="B1214">
        <f t="shared" si="146"/>
        <v>0</v>
      </c>
      <c r="C1214">
        <f t="shared" si="147"/>
        <v>0</v>
      </c>
    </row>
    <row r="1215" spans="1:3">
      <c r="A1215" t="str">
        <f>IF(记账凭证!$J3019="","",记账凭证!$J3019)</f>
        <v/>
      </c>
      <c r="B1215">
        <f t="shared" si="146"/>
        <v>0</v>
      </c>
      <c r="C1215">
        <f t="shared" si="147"/>
        <v>0</v>
      </c>
    </row>
    <row r="1216" spans="1:3">
      <c r="A1216" t="str">
        <f>IF(记账凭证!$J3020="","",记账凭证!$J3020)</f>
        <v/>
      </c>
      <c r="B1216">
        <f t="shared" si="146"/>
        <v>0</v>
      </c>
      <c r="C1216">
        <f t="shared" si="147"/>
        <v>0</v>
      </c>
    </row>
    <row r="1217" spans="1:3">
      <c r="A1217" t="str">
        <f>IF(记账凭证!$J3021="","",记账凭证!$J3021)</f>
        <v/>
      </c>
      <c r="B1217">
        <f t="shared" si="146"/>
        <v>0</v>
      </c>
      <c r="C1217">
        <f t="shared" si="147"/>
        <v>0</v>
      </c>
    </row>
    <row r="1218" spans="1:3">
      <c r="A1218" t="str">
        <f>IF(记账凭证!$J3022="","",记账凭证!$J3022)</f>
        <v/>
      </c>
      <c r="B1218">
        <f t="shared" si="146"/>
        <v>0</v>
      </c>
      <c r="C1218">
        <f t="shared" si="147"/>
        <v>0</v>
      </c>
    </row>
    <row r="1219" spans="1:3">
      <c r="A1219" t="str">
        <f>IF(记账凭证!$J3023="","",记账凭证!$J3023)</f>
        <v/>
      </c>
      <c r="B1219">
        <f t="shared" si="146"/>
        <v>0</v>
      </c>
      <c r="C1219">
        <f t="shared" si="147"/>
        <v>0</v>
      </c>
    </row>
    <row r="1220" spans="1:3">
      <c r="A1220" t="str">
        <f>IF(记账凭证!$J3024="","",记账凭证!$J3024)</f>
        <v/>
      </c>
      <c r="B1220">
        <f t="shared" ref="B1220:B1283" si="148">IF(A1220="",0,IF(MATCH(A1220,$A$4:$A$1805,0)=ROW()-3,1,0))</f>
        <v>0</v>
      </c>
      <c r="C1220">
        <f t="shared" ref="C1220:C1283" si="149">N(C1219)+B1220</f>
        <v>0</v>
      </c>
    </row>
    <row r="1221" spans="1:3">
      <c r="A1221" t="str">
        <f>IF(记账凭证!$J3025="","",记账凭证!$J3025)</f>
        <v/>
      </c>
      <c r="B1221">
        <f t="shared" si="148"/>
        <v>0</v>
      </c>
      <c r="C1221">
        <f t="shared" si="149"/>
        <v>0</v>
      </c>
    </row>
    <row r="1222" spans="1:3">
      <c r="A1222" t="str">
        <f>IF(记账凭证!$J3026="","",记账凭证!$J3026)</f>
        <v/>
      </c>
      <c r="B1222">
        <f t="shared" si="148"/>
        <v>0</v>
      </c>
      <c r="C1222">
        <f t="shared" si="149"/>
        <v>0</v>
      </c>
    </row>
    <row r="1223" spans="1:3">
      <c r="A1223" t="str">
        <f>IF(记账凭证!$J3027="","",记账凭证!$J3027)</f>
        <v/>
      </c>
      <c r="B1223">
        <f t="shared" si="148"/>
        <v>0</v>
      </c>
      <c r="C1223">
        <f t="shared" si="149"/>
        <v>0</v>
      </c>
    </row>
    <row r="1224" spans="1:3">
      <c r="A1224" t="str">
        <f>IF(记账凭证!$J3028="","",记账凭证!$J3028)</f>
        <v/>
      </c>
      <c r="B1224">
        <f t="shared" si="148"/>
        <v>0</v>
      </c>
      <c r="C1224">
        <f t="shared" si="149"/>
        <v>0</v>
      </c>
    </row>
    <row r="1225" spans="1:3">
      <c r="A1225" t="str">
        <f>IF(记账凭证!$J3029="","",记账凭证!$J3029)</f>
        <v/>
      </c>
      <c r="B1225">
        <f t="shared" si="148"/>
        <v>0</v>
      </c>
      <c r="C1225">
        <f t="shared" si="149"/>
        <v>0</v>
      </c>
    </row>
    <row r="1226" spans="1:3">
      <c r="A1226" t="str">
        <f>IF(记账凭证!$J3030="","",记账凭证!$J3030)</f>
        <v/>
      </c>
      <c r="B1226">
        <f t="shared" si="148"/>
        <v>0</v>
      </c>
      <c r="C1226">
        <f t="shared" si="149"/>
        <v>0</v>
      </c>
    </row>
    <row r="1227" spans="1:3">
      <c r="A1227" t="str">
        <f>IF(记账凭证!$J3031="","",记账凭证!$J3031)</f>
        <v/>
      </c>
      <c r="B1227">
        <f t="shared" si="148"/>
        <v>0</v>
      </c>
      <c r="C1227">
        <f t="shared" si="149"/>
        <v>0</v>
      </c>
    </row>
    <row r="1228" spans="1:3">
      <c r="A1228" t="str">
        <f>IF(记账凭证!$J3032="","",记账凭证!$J3032)</f>
        <v/>
      </c>
      <c r="B1228">
        <f t="shared" si="148"/>
        <v>0</v>
      </c>
      <c r="C1228">
        <f t="shared" si="149"/>
        <v>0</v>
      </c>
    </row>
    <row r="1229" spans="1:3">
      <c r="A1229" t="str">
        <f>IF(记账凭证!$J3033="","",记账凭证!$J3033)</f>
        <v/>
      </c>
      <c r="B1229">
        <f t="shared" si="148"/>
        <v>0</v>
      </c>
      <c r="C1229">
        <f t="shared" si="149"/>
        <v>0</v>
      </c>
    </row>
    <row r="1230" spans="1:3">
      <c r="A1230" t="str">
        <f>IF(记账凭证!$J3034="","",记账凭证!$J3034)</f>
        <v/>
      </c>
      <c r="B1230">
        <f t="shared" si="148"/>
        <v>0</v>
      </c>
      <c r="C1230">
        <f t="shared" si="149"/>
        <v>0</v>
      </c>
    </row>
    <row r="1231" spans="1:3">
      <c r="A1231" t="str">
        <f>IF(记账凭证!$J3035="","",记账凭证!$J3035)</f>
        <v/>
      </c>
      <c r="B1231">
        <f t="shared" si="148"/>
        <v>0</v>
      </c>
      <c r="C1231">
        <f t="shared" si="149"/>
        <v>0</v>
      </c>
    </row>
    <row r="1232" spans="1:3">
      <c r="A1232" t="str">
        <f>IF(记账凭证!$J3036="","",记账凭证!$J3036)</f>
        <v/>
      </c>
      <c r="B1232">
        <f t="shared" si="148"/>
        <v>0</v>
      </c>
      <c r="C1232">
        <f t="shared" si="149"/>
        <v>0</v>
      </c>
    </row>
    <row r="1233" spans="1:3">
      <c r="A1233" t="str">
        <f>IF(记账凭证!$J3037="","",记账凭证!$J3037)</f>
        <v/>
      </c>
      <c r="B1233">
        <f t="shared" si="148"/>
        <v>0</v>
      </c>
      <c r="C1233">
        <f t="shared" si="149"/>
        <v>0</v>
      </c>
    </row>
    <row r="1234" spans="1:3">
      <c r="A1234" t="str">
        <f>IF(记账凭证!$J3038="","",记账凭证!$J3038)</f>
        <v/>
      </c>
      <c r="B1234">
        <f t="shared" si="148"/>
        <v>0</v>
      </c>
      <c r="C1234">
        <f t="shared" si="149"/>
        <v>0</v>
      </c>
    </row>
    <row r="1235" spans="1:3">
      <c r="A1235" t="str">
        <f>IF(记账凭证!$J3039="","",记账凭证!$J3039)</f>
        <v/>
      </c>
      <c r="B1235">
        <f t="shared" si="148"/>
        <v>0</v>
      </c>
      <c r="C1235">
        <f t="shared" si="149"/>
        <v>0</v>
      </c>
    </row>
    <row r="1236" spans="1:3">
      <c r="A1236" t="str">
        <f>IF(记账凭证!$J3040="","",记账凭证!$J3040)</f>
        <v/>
      </c>
      <c r="B1236">
        <f t="shared" si="148"/>
        <v>0</v>
      </c>
      <c r="C1236">
        <f t="shared" si="149"/>
        <v>0</v>
      </c>
    </row>
    <row r="1237" spans="1:3">
      <c r="A1237" t="str">
        <f>IF(记账凭证!$J3041="","",记账凭证!$J3041)</f>
        <v/>
      </c>
      <c r="B1237">
        <f t="shared" si="148"/>
        <v>0</v>
      </c>
      <c r="C1237">
        <f t="shared" si="149"/>
        <v>0</v>
      </c>
    </row>
    <row r="1238" spans="1:3">
      <c r="A1238" t="str">
        <f>IF(记账凭证!$J3042="","",记账凭证!$J3042)</f>
        <v/>
      </c>
      <c r="B1238">
        <f t="shared" si="148"/>
        <v>0</v>
      </c>
      <c r="C1238">
        <f t="shared" si="149"/>
        <v>0</v>
      </c>
    </row>
    <row r="1239" spans="1:3">
      <c r="A1239" t="str">
        <f>IF(记账凭证!$J3043="","",记账凭证!$J3043)</f>
        <v/>
      </c>
      <c r="B1239">
        <f t="shared" si="148"/>
        <v>0</v>
      </c>
      <c r="C1239">
        <f t="shared" si="149"/>
        <v>0</v>
      </c>
    </row>
    <row r="1240" spans="1:3">
      <c r="A1240" t="str">
        <f>IF(记账凭证!$J3044="","",记账凭证!$J3044)</f>
        <v/>
      </c>
      <c r="B1240">
        <f t="shared" si="148"/>
        <v>0</v>
      </c>
      <c r="C1240">
        <f t="shared" si="149"/>
        <v>0</v>
      </c>
    </row>
    <row r="1241" spans="1:3">
      <c r="A1241" t="str">
        <f>IF(记账凭证!$J3045="","",记账凭证!$J3045)</f>
        <v/>
      </c>
      <c r="B1241">
        <f t="shared" si="148"/>
        <v>0</v>
      </c>
      <c r="C1241">
        <f t="shared" si="149"/>
        <v>0</v>
      </c>
    </row>
    <row r="1242" spans="1:3">
      <c r="A1242" t="str">
        <f>IF(记账凭证!$J3046="","",记账凭证!$J3046)</f>
        <v/>
      </c>
      <c r="B1242">
        <f t="shared" si="148"/>
        <v>0</v>
      </c>
      <c r="C1242">
        <f t="shared" si="149"/>
        <v>0</v>
      </c>
    </row>
    <row r="1243" spans="1:3">
      <c r="A1243" t="str">
        <f>IF(记账凭证!$J3047="","",记账凭证!$J3047)</f>
        <v/>
      </c>
      <c r="B1243">
        <f t="shared" si="148"/>
        <v>0</v>
      </c>
      <c r="C1243">
        <f t="shared" si="149"/>
        <v>0</v>
      </c>
    </row>
    <row r="1244" spans="1:3">
      <c r="A1244" t="str">
        <f>IF(记账凭证!$J3048="","",记账凭证!$J3048)</f>
        <v/>
      </c>
      <c r="B1244">
        <f t="shared" si="148"/>
        <v>0</v>
      </c>
      <c r="C1244">
        <f t="shared" si="149"/>
        <v>0</v>
      </c>
    </row>
    <row r="1245" spans="1:3">
      <c r="A1245" t="str">
        <f>IF(记账凭证!$J3049="","",记账凭证!$J3049)</f>
        <v/>
      </c>
      <c r="B1245">
        <f t="shared" si="148"/>
        <v>0</v>
      </c>
      <c r="C1245">
        <f t="shared" si="149"/>
        <v>0</v>
      </c>
    </row>
    <row r="1246" spans="1:3">
      <c r="A1246" t="str">
        <f>IF(记账凭证!$J3050="","",记账凭证!$J3050)</f>
        <v/>
      </c>
      <c r="B1246">
        <f t="shared" si="148"/>
        <v>0</v>
      </c>
      <c r="C1246">
        <f t="shared" si="149"/>
        <v>0</v>
      </c>
    </row>
    <row r="1247" spans="1:3">
      <c r="A1247" t="str">
        <f>IF(记账凭证!$J3051="","",记账凭证!$J3051)</f>
        <v/>
      </c>
      <c r="B1247">
        <f t="shared" si="148"/>
        <v>0</v>
      </c>
      <c r="C1247">
        <f t="shared" si="149"/>
        <v>0</v>
      </c>
    </row>
    <row r="1248" spans="1:3">
      <c r="A1248" t="str">
        <f>IF(记账凭证!$J3052="","",记账凭证!$J3052)</f>
        <v/>
      </c>
      <c r="B1248">
        <f t="shared" si="148"/>
        <v>0</v>
      </c>
      <c r="C1248">
        <f t="shared" si="149"/>
        <v>0</v>
      </c>
    </row>
    <row r="1249" spans="1:3">
      <c r="A1249" t="str">
        <f>IF(记账凭证!$J3053="","",记账凭证!$J3053)</f>
        <v/>
      </c>
      <c r="B1249">
        <f t="shared" si="148"/>
        <v>0</v>
      </c>
      <c r="C1249">
        <f t="shared" si="149"/>
        <v>0</v>
      </c>
    </row>
    <row r="1250" spans="1:3">
      <c r="A1250" t="str">
        <f>IF(记账凭证!$J3054="","",记账凭证!$J3054)</f>
        <v/>
      </c>
      <c r="B1250">
        <f t="shared" si="148"/>
        <v>0</v>
      </c>
      <c r="C1250">
        <f t="shared" si="149"/>
        <v>0</v>
      </c>
    </row>
    <row r="1251" spans="1:3">
      <c r="A1251" t="str">
        <f>IF(记账凭证!$J3055="","",记账凭证!$J3055)</f>
        <v/>
      </c>
      <c r="B1251">
        <f t="shared" si="148"/>
        <v>0</v>
      </c>
      <c r="C1251">
        <f t="shared" si="149"/>
        <v>0</v>
      </c>
    </row>
    <row r="1252" spans="1:3">
      <c r="A1252" t="str">
        <f>IF(记账凭证!$J3056="","",记账凭证!$J3056)</f>
        <v/>
      </c>
      <c r="B1252">
        <f t="shared" si="148"/>
        <v>0</v>
      </c>
      <c r="C1252">
        <f t="shared" si="149"/>
        <v>0</v>
      </c>
    </row>
    <row r="1253" spans="1:3">
      <c r="A1253" t="str">
        <f>IF(记账凭证!$J3057="","",记账凭证!$J3057)</f>
        <v/>
      </c>
      <c r="B1253">
        <f t="shared" si="148"/>
        <v>0</v>
      </c>
      <c r="C1253">
        <f t="shared" si="149"/>
        <v>0</v>
      </c>
    </row>
    <row r="1254" spans="1:3">
      <c r="A1254" t="str">
        <f>IF(记账凭证!$J3058="","",记账凭证!$J3058)</f>
        <v/>
      </c>
      <c r="B1254">
        <f t="shared" si="148"/>
        <v>0</v>
      </c>
      <c r="C1254">
        <f t="shared" si="149"/>
        <v>0</v>
      </c>
    </row>
    <row r="1255" spans="1:3">
      <c r="A1255" t="str">
        <f>IF(记账凭证!$J3059="","",记账凭证!$J3059)</f>
        <v/>
      </c>
      <c r="B1255">
        <f t="shared" si="148"/>
        <v>0</v>
      </c>
      <c r="C1255">
        <f t="shared" si="149"/>
        <v>0</v>
      </c>
    </row>
    <row r="1256" spans="1:3">
      <c r="A1256" t="str">
        <f>IF(记账凭证!$J3060="","",记账凭证!$J3060)</f>
        <v/>
      </c>
      <c r="B1256">
        <f t="shared" si="148"/>
        <v>0</v>
      </c>
      <c r="C1256">
        <f t="shared" si="149"/>
        <v>0</v>
      </c>
    </row>
    <row r="1257" spans="1:3">
      <c r="A1257" t="str">
        <f>IF(记账凭证!$J3061="","",记账凭证!$J3061)</f>
        <v/>
      </c>
      <c r="B1257">
        <f t="shared" si="148"/>
        <v>0</v>
      </c>
      <c r="C1257">
        <f t="shared" si="149"/>
        <v>0</v>
      </c>
    </row>
    <row r="1258" spans="1:3">
      <c r="A1258" t="str">
        <f>IF(记账凭证!$J3062="","",记账凭证!$J3062)</f>
        <v/>
      </c>
      <c r="B1258">
        <f t="shared" si="148"/>
        <v>0</v>
      </c>
      <c r="C1258">
        <f t="shared" si="149"/>
        <v>0</v>
      </c>
    </row>
    <row r="1259" spans="1:3">
      <c r="A1259" t="str">
        <f>IF(记账凭证!$J3063="","",记账凭证!$J3063)</f>
        <v/>
      </c>
      <c r="B1259">
        <f t="shared" si="148"/>
        <v>0</v>
      </c>
      <c r="C1259">
        <f t="shared" si="149"/>
        <v>0</v>
      </c>
    </row>
    <row r="1260" spans="1:3">
      <c r="A1260" t="str">
        <f>IF(记账凭证!$J3064="","",记账凭证!$J3064)</f>
        <v/>
      </c>
      <c r="B1260">
        <f t="shared" si="148"/>
        <v>0</v>
      </c>
      <c r="C1260">
        <f t="shared" si="149"/>
        <v>0</v>
      </c>
    </row>
    <row r="1261" spans="1:3">
      <c r="A1261" t="str">
        <f>IF(记账凭证!$J3065="","",记账凭证!$J3065)</f>
        <v/>
      </c>
      <c r="B1261">
        <f t="shared" si="148"/>
        <v>0</v>
      </c>
      <c r="C1261">
        <f t="shared" si="149"/>
        <v>0</v>
      </c>
    </row>
    <row r="1262" spans="1:3">
      <c r="A1262" t="str">
        <f>IF(记账凭证!$J3066="","",记账凭证!$J3066)</f>
        <v/>
      </c>
      <c r="B1262">
        <f t="shared" si="148"/>
        <v>0</v>
      </c>
      <c r="C1262">
        <f t="shared" si="149"/>
        <v>0</v>
      </c>
    </row>
    <row r="1263" spans="1:3">
      <c r="A1263" t="str">
        <f>IF(记账凭证!$J3067="","",记账凭证!$J3067)</f>
        <v/>
      </c>
      <c r="B1263">
        <f t="shared" si="148"/>
        <v>0</v>
      </c>
      <c r="C1263">
        <f t="shared" si="149"/>
        <v>0</v>
      </c>
    </row>
    <row r="1264" spans="1:3">
      <c r="A1264" t="str">
        <f>IF(记账凭证!$J3068="","",记账凭证!$J3068)</f>
        <v/>
      </c>
      <c r="B1264">
        <f t="shared" si="148"/>
        <v>0</v>
      </c>
      <c r="C1264">
        <f t="shared" si="149"/>
        <v>0</v>
      </c>
    </row>
    <row r="1265" spans="1:3">
      <c r="A1265" t="str">
        <f>IF(记账凭证!$J3069="","",记账凭证!$J3069)</f>
        <v/>
      </c>
      <c r="B1265">
        <f t="shared" si="148"/>
        <v>0</v>
      </c>
      <c r="C1265">
        <f t="shared" si="149"/>
        <v>0</v>
      </c>
    </row>
    <row r="1266" spans="1:3">
      <c r="A1266" t="str">
        <f>IF(记账凭证!$J3070="","",记账凭证!$J3070)</f>
        <v/>
      </c>
      <c r="B1266">
        <f t="shared" si="148"/>
        <v>0</v>
      </c>
      <c r="C1266">
        <f t="shared" si="149"/>
        <v>0</v>
      </c>
    </row>
    <row r="1267" spans="1:3">
      <c r="A1267" t="str">
        <f>IF(记账凭证!$J3071="","",记账凭证!$J3071)</f>
        <v/>
      </c>
      <c r="B1267">
        <f t="shared" si="148"/>
        <v>0</v>
      </c>
      <c r="C1267">
        <f t="shared" si="149"/>
        <v>0</v>
      </c>
    </row>
    <row r="1268" spans="1:3">
      <c r="A1268" t="str">
        <f>IF(记账凭证!$J3072="","",记账凭证!$J3072)</f>
        <v/>
      </c>
      <c r="B1268">
        <f t="shared" si="148"/>
        <v>0</v>
      </c>
      <c r="C1268">
        <f t="shared" si="149"/>
        <v>0</v>
      </c>
    </row>
    <row r="1269" spans="1:3">
      <c r="A1269" t="str">
        <f>IF(记账凭证!$J3073="","",记账凭证!$J3073)</f>
        <v/>
      </c>
      <c r="B1269">
        <f t="shared" si="148"/>
        <v>0</v>
      </c>
      <c r="C1269">
        <f t="shared" si="149"/>
        <v>0</v>
      </c>
    </row>
    <row r="1270" spans="1:3">
      <c r="A1270" t="str">
        <f>IF(记账凭证!$J3074="","",记账凭证!$J3074)</f>
        <v/>
      </c>
      <c r="B1270">
        <f t="shared" si="148"/>
        <v>0</v>
      </c>
      <c r="C1270">
        <f t="shared" si="149"/>
        <v>0</v>
      </c>
    </row>
    <row r="1271" spans="1:3">
      <c r="A1271" t="str">
        <f>IF(记账凭证!$J3075="","",记账凭证!$J3075)</f>
        <v/>
      </c>
      <c r="B1271">
        <f t="shared" si="148"/>
        <v>0</v>
      </c>
      <c r="C1271">
        <f t="shared" si="149"/>
        <v>0</v>
      </c>
    </row>
    <row r="1272" spans="1:3">
      <c r="A1272" t="str">
        <f>IF(记账凭证!$J3076="","",记账凭证!$J3076)</f>
        <v/>
      </c>
      <c r="B1272">
        <f t="shared" si="148"/>
        <v>0</v>
      </c>
      <c r="C1272">
        <f t="shared" si="149"/>
        <v>0</v>
      </c>
    </row>
    <row r="1273" spans="1:3">
      <c r="A1273" t="str">
        <f>IF(记账凭证!$J3077="","",记账凭证!$J3077)</f>
        <v/>
      </c>
      <c r="B1273">
        <f t="shared" si="148"/>
        <v>0</v>
      </c>
      <c r="C1273">
        <f t="shared" si="149"/>
        <v>0</v>
      </c>
    </row>
    <row r="1274" spans="1:3">
      <c r="A1274" t="str">
        <f>IF(记账凭证!$J3078="","",记账凭证!$J3078)</f>
        <v/>
      </c>
      <c r="B1274">
        <f t="shared" si="148"/>
        <v>0</v>
      </c>
      <c r="C1274">
        <f t="shared" si="149"/>
        <v>0</v>
      </c>
    </row>
    <row r="1275" spans="1:3">
      <c r="A1275" t="str">
        <f>IF(记账凭证!$J3079="","",记账凭证!$J3079)</f>
        <v/>
      </c>
      <c r="B1275">
        <f t="shared" si="148"/>
        <v>0</v>
      </c>
      <c r="C1275">
        <f t="shared" si="149"/>
        <v>0</v>
      </c>
    </row>
    <row r="1276" spans="1:3">
      <c r="A1276" t="str">
        <f>IF(记账凭证!$J3080="","",记账凭证!$J3080)</f>
        <v/>
      </c>
      <c r="B1276">
        <f t="shared" si="148"/>
        <v>0</v>
      </c>
      <c r="C1276">
        <f t="shared" si="149"/>
        <v>0</v>
      </c>
    </row>
    <row r="1277" spans="1:3">
      <c r="A1277" t="str">
        <f>IF(记账凭证!$J3081="","",记账凭证!$J3081)</f>
        <v/>
      </c>
      <c r="B1277">
        <f t="shared" si="148"/>
        <v>0</v>
      </c>
      <c r="C1277">
        <f t="shared" si="149"/>
        <v>0</v>
      </c>
    </row>
    <row r="1278" spans="1:3">
      <c r="A1278" t="str">
        <f>IF(记账凭证!$J3082="","",记账凭证!$J3082)</f>
        <v/>
      </c>
      <c r="B1278">
        <f t="shared" si="148"/>
        <v>0</v>
      </c>
      <c r="C1278">
        <f t="shared" si="149"/>
        <v>0</v>
      </c>
    </row>
    <row r="1279" spans="1:3">
      <c r="A1279" t="str">
        <f>IF(记账凭证!$J3083="","",记账凭证!$J3083)</f>
        <v/>
      </c>
      <c r="B1279">
        <f t="shared" si="148"/>
        <v>0</v>
      </c>
      <c r="C1279">
        <f t="shared" si="149"/>
        <v>0</v>
      </c>
    </row>
    <row r="1280" spans="1:3">
      <c r="A1280" t="str">
        <f>IF(记账凭证!$J3084="","",记账凭证!$J3084)</f>
        <v/>
      </c>
      <c r="B1280">
        <f t="shared" si="148"/>
        <v>0</v>
      </c>
      <c r="C1280">
        <f t="shared" si="149"/>
        <v>0</v>
      </c>
    </row>
    <row r="1281" spans="1:3">
      <c r="A1281" t="str">
        <f>IF(记账凭证!$J3085="","",记账凭证!$J3085)</f>
        <v/>
      </c>
      <c r="B1281">
        <f t="shared" si="148"/>
        <v>0</v>
      </c>
      <c r="C1281">
        <f t="shared" si="149"/>
        <v>0</v>
      </c>
    </row>
    <row r="1282" spans="1:3">
      <c r="A1282" t="str">
        <f>IF(记账凭证!$J3086="","",记账凭证!$J3086)</f>
        <v/>
      </c>
      <c r="B1282">
        <f t="shared" si="148"/>
        <v>0</v>
      </c>
      <c r="C1282">
        <f t="shared" si="149"/>
        <v>0</v>
      </c>
    </row>
    <row r="1283" spans="1:3">
      <c r="A1283" t="str">
        <f>IF(记账凭证!$J3087="","",记账凭证!$J3087)</f>
        <v/>
      </c>
      <c r="B1283">
        <f t="shared" si="148"/>
        <v>0</v>
      </c>
      <c r="C1283">
        <f t="shared" si="149"/>
        <v>0</v>
      </c>
    </row>
    <row r="1284" spans="1:3">
      <c r="A1284" t="str">
        <f>IF(记账凭证!$J3088="","",记账凭证!$J3088)</f>
        <v/>
      </c>
      <c r="B1284">
        <f t="shared" ref="B1284:B1347" si="150">IF(A1284="",0,IF(MATCH(A1284,$A$4:$A$1805,0)=ROW()-3,1,0))</f>
        <v>0</v>
      </c>
      <c r="C1284">
        <f t="shared" ref="C1284:C1347" si="151">N(C1283)+B1284</f>
        <v>0</v>
      </c>
    </row>
    <row r="1285" spans="1:3">
      <c r="A1285" t="str">
        <f>IF(记账凭证!$J3089="","",记账凭证!$J3089)</f>
        <v/>
      </c>
      <c r="B1285">
        <f t="shared" si="150"/>
        <v>0</v>
      </c>
      <c r="C1285">
        <f t="shared" si="151"/>
        <v>0</v>
      </c>
    </row>
    <row r="1286" spans="1:3">
      <c r="A1286" t="str">
        <f>IF(记账凭证!$J3090="","",记账凭证!$J3090)</f>
        <v/>
      </c>
      <c r="B1286">
        <f t="shared" si="150"/>
        <v>0</v>
      </c>
      <c r="C1286">
        <f t="shared" si="151"/>
        <v>0</v>
      </c>
    </row>
    <row r="1287" spans="1:3">
      <c r="A1287" t="str">
        <f>IF(记账凭证!$J3091="","",记账凭证!$J3091)</f>
        <v/>
      </c>
      <c r="B1287">
        <f t="shared" si="150"/>
        <v>0</v>
      </c>
      <c r="C1287">
        <f t="shared" si="151"/>
        <v>0</v>
      </c>
    </row>
    <row r="1288" spans="1:3">
      <c r="A1288" t="str">
        <f>IF(记账凭证!$J3092="","",记账凭证!$J3092)</f>
        <v/>
      </c>
      <c r="B1288">
        <f t="shared" si="150"/>
        <v>0</v>
      </c>
      <c r="C1288">
        <f t="shared" si="151"/>
        <v>0</v>
      </c>
    </row>
    <row r="1289" spans="1:3">
      <c r="A1289" t="str">
        <f>IF(记账凭证!$J3093="","",记账凭证!$J3093)</f>
        <v/>
      </c>
      <c r="B1289">
        <f t="shared" si="150"/>
        <v>0</v>
      </c>
      <c r="C1289">
        <f t="shared" si="151"/>
        <v>0</v>
      </c>
    </row>
    <row r="1290" spans="1:3">
      <c r="A1290" t="str">
        <f>IF(记账凭证!$J3094="","",记账凭证!$J3094)</f>
        <v/>
      </c>
      <c r="B1290">
        <f t="shared" si="150"/>
        <v>0</v>
      </c>
      <c r="C1290">
        <f t="shared" si="151"/>
        <v>0</v>
      </c>
    </row>
    <row r="1291" spans="1:3">
      <c r="A1291" t="str">
        <f>IF(记账凭证!$J3095="","",记账凭证!$J3095)</f>
        <v/>
      </c>
      <c r="B1291">
        <f t="shared" si="150"/>
        <v>0</v>
      </c>
      <c r="C1291">
        <f t="shared" si="151"/>
        <v>0</v>
      </c>
    </row>
    <row r="1292" spans="1:3">
      <c r="A1292" t="str">
        <f>IF(记账凭证!$J3096="","",记账凭证!$J3096)</f>
        <v/>
      </c>
      <c r="B1292">
        <f t="shared" si="150"/>
        <v>0</v>
      </c>
      <c r="C1292">
        <f t="shared" si="151"/>
        <v>0</v>
      </c>
    </row>
    <row r="1293" spans="1:3">
      <c r="A1293" t="str">
        <f>IF(记账凭证!$J3097="","",记账凭证!$J3097)</f>
        <v/>
      </c>
      <c r="B1293">
        <f t="shared" si="150"/>
        <v>0</v>
      </c>
      <c r="C1293">
        <f t="shared" si="151"/>
        <v>0</v>
      </c>
    </row>
    <row r="1294" spans="1:3">
      <c r="A1294" t="str">
        <f>IF(记账凭证!$J3098="","",记账凭证!$J3098)</f>
        <v/>
      </c>
      <c r="B1294">
        <f t="shared" si="150"/>
        <v>0</v>
      </c>
      <c r="C1294">
        <f t="shared" si="151"/>
        <v>0</v>
      </c>
    </row>
    <row r="1295" spans="1:3">
      <c r="A1295" t="str">
        <f>IF(记账凭证!$J3099="","",记账凭证!$J3099)</f>
        <v/>
      </c>
      <c r="B1295">
        <f t="shared" si="150"/>
        <v>0</v>
      </c>
      <c r="C1295">
        <f t="shared" si="151"/>
        <v>0</v>
      </c>
    </row>
    <row r="1296" spans="1:3">
      <c r="A1296" t="str">
        <f>IF(记账凭证!$J3100="","",记账凭证!$J3100)</f>
        <v/>
      </c>
      <c r="B1296">
        <f t="shared" si="150"/>
        <v>0</v>
      </c>
      <c r="C1296">
        <f t="shared" si="151"/>
        <v>0</v>
      </c>
    </row>
    <row r="1297" spans="1:3">
      <c r="A1297" t="str">
        <f>IF(记账凭证!$J3101="","",记账凭证!$J3101)</f>
        <v/>
      </c>
      <c r="B1297">
        <f t="shared" si="150"/>
        <v>0</v>
      </c>
      <c r="C1297">
        <f t="shared" si="151"/>
        <v>0</v>
      </c>
    </row>
    <row r="1298" spans="1:3">
      <c r="A1298" t="str">
        <f>IF(记账凭证!$J3102="","",记账凭证!$J3102)</f>
        <v/>
      </c>
      <c r="B1298">
        <f t="shared" si="150"/>
        <v>0</v>
      </c>
      <c r="C1298">
        <f t="shared" si="151"/>
        <v>0</v>
      </c>
    </row>
    <row r="1299" spans="1:3">
      <c r="A1299" t="str">
        <f>IF(记账凭证!$J3103="","",记账凭证!$J3103)</f>
        <v/>
      </c>
      <c r="B1299">
        <f t="shared" si="150"/>
        <v>0</v>
      </c>
      <c r="C1299">
        <f t="shared" si="151"/>
        <v>0</v>
      </c>
    </row>
    <row r="1300" spans="1:3">
      <c r="A1300" t="str">
        <f>IF(记账凭证!$J3104="","",记账凭证!$J3104)</f>
        <v/>
      </c>
      <c r="B1300">
        <f t="shared" si="150"/>
        <v>0</v>
      </c>
      <c r="C1300">
        <f t="shared" si="151"/>
        <v>0</v>
      </c>
    </row>
    <row r="1301" spans="1:3">
      <c r="A1301" t="str">
        <f>IF(记账凭证!$J3105="","",记账凭证!$J3105)</f>
        <v/>
      </c>
      <c r="B1301">
        <f t="shared" si="150"/>
        <v>0</v>
      </c>
      <c r="C1301">
        <f t="shared" si="151"/>
        <v>0</v>
      </c>
    </row>
    <row r="1302" spans="1:3">
      <c r="A1302" t="str">
        <f>IF(记账凭证!$J3106="","",记账凭证!$J3106)</f>
        <v/>
      </c>
      <c r="B1302">
        <f t="shared" si="150"/>
        <v>0</v>
      </c>
      <c r="C1302">
        <f t="shared" si="151"/>
        <v>0</v>
      </c>
    </row>
    <row r="1303" spans="1:3">
      <c r="A1303" t="str">
        <f>IF(记账凭证!$J3107="","",记账凭证!$J3107)</f>
        <v/>
      </c>
      <c r="B1303">
        <f t="shared" si="150"/>
        <v>0</v>
      </c>
      <c r="C1303">
        <f t="shared" si="151"/>
        <v>0</v>
      </c>
    </row>
    <row r="1304" spans="1:3">
      <c r="A1304" t="str">
        <f>IF(记账凭证!$J3108="","",记账凭证!$J3108)</f>
        <v/>
      </c>
      <c r="B1304">
        <f t="shared" si="150"/>
        <v>0</v>
      </c>
      <c r="C1304">
        <f t="shared" si="151"/>
        <v>0</v>
      </c>
    </row>
    <row r="1305" spans="1:3">
      <c r="A1305" t="str">
        <f>IF(记账凭证!$J3109="","",记账凭证!$J3109)</f>
        <v/>
      </c>
      <c r="B1305">
        <f t="shared" si="150"/>
        <v>0</v>
      </c>
      <c r="C1305">
        <f t="shared" si="151"/>
        <v>0</v>
      </c>
    </row>
    <row r="1306" spans="1:3">
      <c r="A1306" t="str">
        <f>IF(记账凭证!$J3110="","",记账凭证!$J3110)</f>
        <v/>
      </c>
      <c r="B1306">
        <f t="shared" si="150"/>
        <v>0</v>
      </c>
      <c r="C1306">
        <f t="shared" si="151"/>
        <v>0</v>
      </c>
    </row>
    <row r="1307" spans="1:3">
      <c r="A1307" t="str">
        <f>IF(记账凭证!$J3111="","",记账凭证!$J3111)</f>
        <v/>
      </c>
      <c r="B1307">
        <f t="shared" si="150"/>
        <v>0</v>
      </c>
      <c r="C1307">
        <f t="shared" si="151"/>
        <v>0</v>
      </c>
    </row>
    <row r="1308" spans="1:3">
      <c r="A1308" t="str">
        <f>IF(记账凭证!$J3112="","",记账凭证!$J3112)</f>
        <v/>
      </c>
      <c r="B1308">
        <f t="shared" si="150"/>
        <v>0</v>
      </c>
      <c r="C1308">
        <f t="shared" si="151"/>
        <v>0</v>
      </c>
    </row>
    <row r="1309" spans="1:3">
      <c r="A1309" t="str">
        <f>IF(记账凭证!$J3113="","",记账凭证!$J3113)</f>
        <v/>
      </c>
      <c r="B1309">
        <f t="shared" si="150"/>
        <v>0</v>
      </c>
      <c r="C1309">
        <f t="shared" si="151"/>
        <v>0</v>
      </c>
    </row>
    <row r="1310" spans="1:3">
      <c r="A1310" t="str">
        <f>IF(记账凭证!$J3114="","",记账凭证!$J3114)</f>
        <v/>
      </c>
      <c r="B1310">
        <f t="shared" si="150"/>
        <v>0</v>
      </c>
      <c r="C1310">
        <f t="shared" si="151"/>
        <v>0</v>
      </c>
    </row>
    <row r="1311" spans="1:3">
      <c r="A1311" t="str">
        <f>IF(记账凭证!$J3115="","",记账凭证!$J3115)</f>
        <v/>
      </c>
      <c r="B1311">
        <f t="shared" si="150"/>
        <v>0</v>
      </c>
      <c r="C1311">
        <f t="shared" si="151"/>
        <v>0</v>
      </c>
    </row>
    <row r="1312" spans="1:3">
      <c r="A1312" t="str">
        <f>IF(记账凭证!$J3116="","",记账凭证!$J3116)</f>
        <v/>
      </c>
      <c r="B1312">
        <f t="shared" si="150"/>
        <v>0</v>
      </c>
      <c r="C1312">
        <f t="shared" si="151"/>
        <v>0</v>
      </c>
    </row>
    <row r="1313" spans="1:3">
      <c r="A1313" t="str">
        <f>IF(记账凭证!$J3117="","",记账凭证!$J3117)</f>
        <v/>
      </c>
      <c r="B1313">
        <f t="shared" si="150"/>
        <v>0</v>
      </c>
      <c r="C1313">
        <f t="shared" si="151"/>
        <v>0</v>
      </c>
    </row>
    <row r="1314" spans="1:3">
      <c r="A1314" t="str">
        <f>IF(记账凭证!$J3118="","",记账凭证!$J3118)</f>
        <v/>
      </c>
      <c r="B1314">
        <f t="shared" si="150"/>
        <v>0</v>
      </c>
      <c r="C1314">
        <f t="shared" si="151"/>
        <v>0</v>
      </c>
    </row>
    <row r="1315" spans="1:3">
      <c r="A1315" t="str">
        <f>IF(记账凭证!$J3119="","",记账凭证!$J3119)</f>
        <v/>
      </c>
      <c r="B1315">
        <f t="shared" si="150"/>
        <v>0</v>
      </c>
      <c r="C1315">
        <f t="shared" si="151"/>
        <v>0</v>
      </c>
    </row>
    <row r="1316" spans="1:3">
      <c r="A1316" t="str">
        <f>IF(记账凭证!$J3120="","",记账凭证!$J3120)</f>
        <v/>
      </c>
      <c r="B1316">
        <f t="shared" si="150"/>
        <v>0</v>
      </c>
      <c r="C1316">
        <f t="shared" si="151"/>
        <v>0</v>
      </c>
    </row>
    <row r="1317" spans="1:3">
      <c r="A1317" t="str">
        <f>IF(记账凭证!$J3121="","",记账凭证!$J3121)</f>
        <v/>
      </c>
      <c r="B1317">
        <f t="shared" si="150"/>
        <v>0</v>
      </c>
      <c r="C1317">
        <f t="shared" si="151"/>
        <v>0</v>
      </c>
    </row>
    <row r="1318" spans="1:3">
      <c r="A1318" t="str">
        <f>IF(记账凭证!$J3122="","",记账凭证!$J3122)</f>
        <v/>
      </c>
      <c r="B1318">
        <f t="shared" si="150"/>
        <v>0</v>
      </c>
      <c r="C1318">
        <f t="shared" si="151"/>
        <v>0</v>
      </c>
    </row>
    <row r="1319" spans="1:3">
      <c r="A1319" t="str">
        <f>IF(记账凭证!$J3123="","",记账凭证!$J3123)</f>
        <v/>
      </c>
      <c r="B1319">
        <f t="shared" si="150"/>
        <v>0</v>
      </c>
      <c r="C1319">
        <f t="shared" si="151"/>
        <v>0</v>
      </c>
    </row>
    <row r="1320" spans="1:3">
      <c r="A1320" t="str">
        <f>IF(记账凭证!$J3124="","",记账凭证!$J3124)</f>
        <v/>
      </c>
      <c r="B1320">
        <f t="shared" si="150"/>
        <v>0</v>
      </c>
      <c r="C1320">
        <f t="shared" si="151"/>
        <v>0</v>
      </c>
    </row>
    <row r="1321" spans="1:3">
      <c r="A1321" t="str">
        <f>IF(记账凭证!$J3125="","",记账凭证!$J3125)</f>
        <v/>
      </c>
      <c r="B1321">
        <f t="shared" si="150"/>
        <v>0</v>
      </c>
      <c r="C1321">
        <f t="shared" si="151"/>
        <v>0</v>
      </c>
    </row>
    <row r="1322" spans="1:3">
      <c r="A1322" t="str">
        <f>IF(记账凭证!$J3126="","",记账凭证!$J3126)</f>
        <v/>
      </c>
      <c r="B1322">
        <f t="shared" si="150"/>
        <v>0</v>
      </c>
      <c r="C1322">
        <f t="shared" si="151"/>
        <v>0</v>
      </c>
    </row>
    <row r="1323" spans="1:3">
      <c r="A1323" t="str">
        <f>IF(记账凭证!$J3127="","",记账凭证!$J3127)</f>
        <v/>
      </c>
      <c r="B1323">
        <f t="shared" si="150"/>
        <v>0</v>
      </c>
      <c r="C1323">
        <f t="shared" si="151"/>
        <v>0</v>
      </c>
    </row>
    <row r="1324" spans="1:3">
      <c r="A1324" t="str">
        <f>IF(记账凭证!$J3128="","",记账凭证!$J3128)</f>
        <v/>
      </c>
      <c r="B1324">
        <f t="shared" si="150"/>
        <v>0</v>
      </c>
      <c r="C1324">
        <f t="shared" si="151"/>
        <v>0</v>
      </c>
    </row>
    <row r="1325" spans="1:3">
      <c r="A1325" t="str">
        <f>IF(记账凭证!$J3129="","",记账凭证!$J3129)</f>
        <v/>
      </c>
      <c r="B1325">
        <f t="shared" si="150"/>
        <v>0</v>
      </c>
      <c r="C1325">
        <f t="shared" si="151"/>
        <v>0</v>
      </c>
    </row>
    <row r="1326" spans="1:3">
      <c r="A1326" t="str">
        <f>IF(记账凭证!$J3130="","",记账凭证!$J3130)</f>
        <v/>
      </c>
      <c r="B1326">
        <f t="shared" si="150"/>
        <v>0</v>
      </c>
      <c r="C1326">
        <f t="shared" si="151"/>
        <v>0</v>
      </c>
    </row>
    <row r="1327" spans="1:3">
      <c r="A1327" t="str">
        <f>IF(记账凭证!$J3131="","",记账凭证!$J3131)</f>
        <v/>
      </c>
      <c r="B1327">
        <f t="shared" si="150"/>
        <v>0</v>
      </c>
      <c r="C1327">
        <f t="shared" si="151"/>
        <v>0</v>
      </c>
    </row>
    <row r="1328" spans="1:3">
      <c r="A1328" t="str">
        <f>IF(记账凭证!$J3132="","",记账凭证!$J3132)</f>
        <v/>
      </c>
      <c r="B1328">
        <f t="shared" si="150"/>
        <v>0</v>
      </c>
      <c r="C1328">
        <f t="shared" si="151"/>
        <v>0</v>
      </c>
    </row>
    <row r="1329" spans="1:3">
      <c r="A1329" t="str">
        <f>IF(记账凭证!$J3133="","",记账凭证!$J3133)</f>
        <v/>
      </c>
      <c r="B1329">
        <f t="shared" si="150"/>
        <v>0</v>
      </c>
      <c r="C1329">
        <f t="shared" si="151"/>
        <v>0</v>
      </c>
    </row>
    <row r="1330" spans="1:3">
      <c r="A1330" t="str">
        <f>IF(记账凭证!$J3134="","",记账凭证!$J3134)</f>
        <v/>
      </c>
      <c r="B1330">
        <f t="shared" si="150"/>
        <v>0</v>
      </c>
      <c r="C1330">
        <f t="shared" si="151"/>
        <v>0</v>
      </c>
    </row>
    <row r="1331" spans="1:3">
      <c r="A1331" t="str">
        <f>IF(记账凭证!$J3135="","",记账凭证!$J3135)</f>
        <v/>
      </c>
      <c r="B1331">
        <f t="shared" si="150"/>
        <v>0</v>
      </c>
      <c r="C1331">
        <f t="shared" si="151"/>
        <v>0</v>
      </c>
    </row>
    <row r="1332" spans="1:3">
      <c r="A1332" t="str">
        <f>IF(记账凭证!$J3136="","",记账凭证!$J3136)</f>
        <v/>
      </c>
      <c r="B1332">
        <f t="shared" si="150"/>
        <v>0</v>
      </c>
      <c r="C1332">
        <f t="shared" si="151"/>
        <v>0</v>
      </c>
    </row>
    <row r="1333" spans="1:3">
      <c r="A1333" t="str">
        <f>IF(记账凭证!$J3137="","",记账凭证!$J3137)</f>
        <v/>
      </c>
      <c r="B1333">
        <f t="shared" si="150"/>
        <v>0</v>
      </c>
      <c r="C1333">
        <f t="shared" si="151"/>
        <v>0</v>
      </c>
    </row>
    <row r="1334" spans="1:3">
      <c r="A1334" t="str">
        <f>IF(记账凭证!$J3138="","",记账凭证!$J3138)</f>
        <v/>
      </c>
      <c r="B1334">
        <f t="shared" si="150"/>
        <v>0</v>
      </c>
      <c r="C1334">
        <f t="shared" si="151"/>
        <v>0</v>
      </c>
    </row>
    <row r="1335" spans="1:3">
      <c r="A1335" t="str">
        <f>IF(记账凭证!$J3139="","",记账凭证!$J3139)</f>
        <v/>
      </c>
      <c r="B1335">
        <f t="shared" si="150"/>
        <v>0</v>
      </c>
      <c r="C1335">
        <f t="shared" si="151"/>
        <v>0</v>
      </c>
    </row>
    <row r="1336" spans="1:3">
      <c r="A1336" t="str">
        <f>IF(记账凭证!$J3140="","",记账凭证!$J3140)</f>
        <v/>
      </c>
      <c r="B1336">
        <f t="shared" si="150"/>
        <v>0</v>
      </c>
      <c r="C1336">
        <f t="shared" si="151"/>
        <v>0</v>
      </c>
    </row>
    <row r="1337" spans="1:3">
      <c r="A1337" t="str">
        <f>IF(记账凭证!$J3141="","",记账凭证!$J3141)</f>
        <v/>
      </c>
      <c r="B1337">
        <f t="shared" si="150"/>
        <v>0</v>
      </c>
      <c r="C1337">
        <f t="shared" si="151"/>
        <v>0</v>
      </c>
    </row>
    <row r="1338" spans="1:3">
      <c r="A1338" t="str">
        <f>IF(记账凭证!$J3142="","",记账凭证!$J3142)</f>
        <v/>
      </c>
      <c r="B1338">
        <f t="shared" si="150"/>
        <v>0</v>
      </c>
      <c r="C1338">
        <f t="shared" si="151"/>
        <v>0</v>
      </c>
    </row>
    <row r="1339" spans="1:3">
      <c r="A1339" t="str">
        <f>IF(记账凭证!$J3143="","",记账凭证!$J3143)</f>
        <v/>
      </c>
      <c r="B1339">
        <f t="shared" si="150"/>
        <v>0</v>
      </c>
      <c r="C1339">
        <f t="shared" si="151"/>
        <v>0</v>
      </c>
    </row>
    <row r="1340" spans="1:3">
      <c r="A1340" t="str">
        <f>IF(记账凭证!$J3144="","",记账凭证!$J3144)</f>
        <v/>
      </c>
      <c r="B1340">
        <f t="shared" si="150"/>
        <v>0</v>
      </c>
      <c r="C1340">
        <f t="shared" si="151"/>
        <v>0</v>
      </c>
    </row>
    <row r="1341" spans="1:3">
      <c r="A1341" t="str">
        <f>IF(记账凭证!$J3145="","",记账凭证!$J3145)</f>
        <v/>
      </c>
      <c r="B1341">
        <f t="shared" si="150"/>
        <v>0</v>
      </c>
      <c r="C1341">
        <f t="shared" si="151"/>
        <v>0</v>
      </c>
    </row>
    <row r="1342" spans="1:3">
      <c r="A1342" t="str">
        <f>IF(记账凭证!$J3146="","",记账凭证!$J3146)</f>
        <v/>
      </c>
      <c r="B1342">
        <f t="shared" si="150"/>
        <v>0</v>
      </c>
      <c r="C1342">
        <f t="shared" si="151"/>
        <v>0</v>
      </c>
    </row>
    <row r="1343" spans="1:3">
      <c r="A1343" t="str">
        <f>IF(记账凭证!$J3147="","",记账凭证!$J3147)</f>
        <v/>
      </c>
      <c r="B1343">
        <f t="shared" si="150"/>
        <v>0</v>
      </c>
      <c r="C1343">
        <f t="shared" si="151"/>
        <v>0</v>
      </c>
    </row>
    <row r="1344" spans="1:3">
      <c r="A1344" t="str">
        <f>IF(记账凭证!$J3148="","",记账凭证!$J3148)</f>
        <v/>
      </c>
      <c r="B1344">
        <f t="shared" si="150"/>
        <v>0</v>
      </c>
      <c r="C1344">
        <f t="shared" si="151"/>
        <v>0</v>
      </c>
    </row>
    <row r="1345" spans="1:3">
      <c r="A1345" t="str">
        <f>IF(记账凭证!$J3149="","",记账凭证!$J3149)</f>
        <v/>
      </c>
      <c r="B1345">
        <f t="shared" si="150"/>
        <v>0</v>
      </c>
      <c r="C1345">
        <f t="shared" si="151"/>
        <v>0</v>
      </c>
    </row>
    <row r="1346" spans="1:3">
      <c r="A1346" t="str">
        <f>IF(记账凭证!$J3150="","",记账凭证!$J3150)</f>
        <v/>
      </c>
      <c r="B1346">
        <f t="shared" si="150"/>
        <v>0</v>
      </c>
      <c r="C1346">
        <f t="shared" si="151"/>
        <v>0</v>
      </c>
    </row>
    <row r="1347" spans="1:3">
      <c r="A1347" t="str">
        <f>IF(记账凭证!$J3151="","",记账凭证!$J3151)</f>
        <v/>
      </c>
      <c r="B1347">
        <f t="shared" si="150"/>
        <v>0</v>
      </c>
      <c r="C1347">
        <f t="shared" si="151"/>
        <v>0</v>
      </c>
    </row>
    <row r="1348" spans="1:3">
      <c r="A1348" t="str">
        <f>IF(记账凭证!$J3152="","",记账凭证!$J3152)</f>
        <v/>
      </c>
      <c r="B1348">
        <f t="shared" ref="B1348:B1411" si="152">IF(A1348="",0,IF(MATCH(A1348,$A$4:$A$1805,0)=ROW()-3,1,0))</f>
        <v>0</v>
      </c>
      <c r="C1348">
        <f t="shared" ref="C1348:C1411" si="153">N(C1347)+B1348</f>
        <v>0</v>
      </c>
    </row>
    <row r="1349" spans="1:3">
      <c r="A1349" t="str">
        <f>IF(记账凭证!$J3153="","",记账凭证!$J3153)</f>
        <v/>
      </c>
      <c r="B1349">
        <f t="shared" si="152"/>
        <v>0</v>
      </c>
      <c r="C1349">
        <f t="shared" si="153"/>
        <v>0</v>
      </c>
    </row>
    <row r="1350" spans="1:3">
      <c r="A1350" t="str">
        <f>IF(记账凭证!$J3154="","",记账凭证!$J3154)</f>
        <v/>
      </c>
      <c r="B1350">
        <f t="shared" si="152"/>
        <v>0</v>
      </c>
      <c r="C1350">
        <f t="shared" si="153"/>
        <v>0</v>
      </c>
    </row>
    <row r="1351" spans="1:3">
      <c r="A1351" t="str">
        <f>IF(记账凭证!$J3155="","",记账凭证!$J3155)</f>
        <v/>
      </c>
      <c r="B1351">
        <f t="shared" si="152"/>
        <v>0</v>
      </c>
      <c r="C1351">
        <f t="shared" si="153"/>
        <v>0</v>
      </c>
    </row>
    <row r="1352" spans="1:3">
      <c r="A1352" t="str">
        <f>IF(记账凭证!$J3156="","",记账凭证!$J3156)</f>
        <v/>
      </c>
      <c r="B1352">
        <f t="shared" si="152"/>
        <v>0</v>
      </c>
      <c r="C1352">
        <f t="shared" si="153"/>
        <v>0</v>
      </c>
    </row>
    <row r="1353" spans="1:3">
      <c r="A1353" t="str">
        <f>IF(记账凭证!$J3157="","",记账凭证!$J3157)</f>
        <v/>
      </c>
      <c r="B1353">
        <f t="shared" si="152"/>
        <v>0</v>
      </c>
      <c r="C1353">
        <f t="shared" si="153"/>
        <v>0</v>
      </c>
    </row>
    <row r="1354" spans="1:3">
      <c r="A1354" t="str">
        <f>IF(记账凭证!$J3158="","",记账凭证!$J3158)</f>
        <v/>
      </c>
      <c r="B1354">
        <f t="shared" si="152"/>
        <v>0</v>
      </c>
      <c r="C1354">
        <f t="shared" si="153"/>
        <v>0</v>
      </c>
    </row>
    <row r="1355" spans="1:3">
      <c r="A1355" t="str">
        <f>IF(记账凭证!$J3159="","",记账凭证!$J3159)</f>
        <v/>
      </c>
      <c r="B1355">
        <f t="shared" si="152"/>
        <v>0</v>
      </c>
      <c r="C1355">
        <f t="shared" si="153"/>
        <v>0</v>
      </c>
    </row>
    <row r="1356" spans="1:3">
      <c r="A1356" t="str">
        <f>IF(记账凭证!$J3160="","",记账凭证!$J3160)</f>
        <v/>
      </c>
      <c r="B1356">
        <f t="shared" si="152"/>
        <v>0</v>
      </c>
      <c r="C1356">
        <f t="shared" si="153"/>
        <v>0</v>
      </c>
    </row>
    <row r="1357" spans="1:3">
      <c r="A1357" t="str">
        <f>IF(记账凭证!$J3161="","",记账凭证!$J3161)</f>
        <v/>
      </c>
      <c r="B1357">
        <f t="shared" si="152"/>
        <v>0</v>
      </c>
      <c r="C1357">
        <f t="shared" si="153"/>
        <v>0</v>
      </c>
    </row>
    <row r="1358" spans="1:3">
      <c r="A1358" t="str">
        <f>IF(记账凭证!$J3162="","",记账凭证!$J3162)</f>
        <v/>
      </c>
      <c r="B1358">
        <f t="shared" si="152"/>
        <v>0</v>
      </c>
      <c r="C1358">
        <f t="shared" si="153"/>
        <v>0</v>
      </c>
    </row>
    <row r="1359" spans="1:3">
      <c r="A1359" t="str">
        <f>IF(记账凭证!$J3163="","",记账凭证!$J3163)</f>
        <v/>
      </c>
      <c r="B1359">
        <f t="shared" si="152"/>
        <v>0</v>
      </c>
      <c r="C1359">
        <f t="shared" si="153"/>
        <v>0</v>
      </c>
    </row>
    <row r="1360" spans="1:3">
      <c r="A1360" t="str">
        <f>IF(记账凭证!$J3164="","",记账凭证!$J3164)</f>
        <v/>
      </c>
      <c r="B1360">
        <f t="shared" si="152"/>
        <v>0</v>
      </c>
      <c r="C1360">
        <f t="shared" si="153"/>
        <v>0</v>
      </c>
    </row>
    <row r="1361" spans="1:3">
      <c r="A1361" t="str">
        <f>IF(记账凭证!$J3165="","",记账凭证!$J3165)</f>
        <v/>
      </c>
      <c r="B1361">
        <f t="shared" si="152"/>
        <v>0</v>
      </c>
      <c r="C1361">
        <f t="shared" si="153"/>
        <v>0</v>
      </c>
    </row>
    <row r="1362" spans="1:3">
      <c r="A1362" t="str">
        <f>IF(记账凭证!$J3166="","",记账凭证!$J3166)</f>
        <v/>
      </c>
      <c r="B1362">
        <f t="shared" si="152"/>
        <v>0</v>
      </c>
      <c r="C1362">
        <f t="shared" si="153"/>
        <v>0</v>
      </c>
    </row>
    <row r="1363" spans="1:3">
      <c r="A1363" t="str">
        <f>IF(记账凭证!$J3167="","",记账凭证!$J3167)</f>
        <v/>
      </c>
      <c r="B1363">
        <f t="shared" si="152"/>
        <v>0</v>
      </c>
      <c r="C1363">
        <f t="shared" si="153"/>
        <v>0</v>
      </c>
    </row>
    <row r="1364" spans="1:3">
      <c r="A1364" t="str">
        <f>IF(记账凭证!$J3168="","",记账凭证!$J3168)</f>
        <v/>
      </c>
      <c r="B1364">
        <f t="shared" si="152"/>
        <v>0</v>
      </c>
      <c r="C1364">
        <f t="shared" si="153"/>
        <v>0</v>
      </c>
    </row>
    <row r="1365" spans="1:3">
      <c r="A1365" t="str">
        <f>IF(记账凭证!$J3169="","",记账凭证!$J3169)</f>
        <v/>
      </c>
      <c r="B1365">
        <f t="shared" si="152"/>
        <v>0</v>
      </c>
      <c r="C1365">
        <f t="shared" si="153"/>
        <v>0</v>
      </c>
    </row>
    <row r="1366" spans="1:3">
      <c r="A1366" t="str">
        <f>IF(记账凭证!$J3170="","",记账凭证!$J3170)</f>
        <v/>
      </c>
      <c r="B1366">
        <f t="shared" si="152"/>
        <v>0</v>
      </c>
      <c r="C1366">
        <f t="shared" si="153"/>
        <v>0</v>
      </c>
    </row>
    <row r="1367" spans="1:3">
      <c r="A1367" t="str">
        <f>IF(记账凭证!$J3171="","",记账凭证!$J3171)</f>
        <v/>
      </c>
      <c r="B1367">
        <f t="shared" si="152"/>
        <v>0</v>
      </c>
      <c r="C1367">
        <f t="shared" si="153"/>
        <v>0</v>
      </c>
    </row>
    <row r="1368" spans="1:3">
      <c r="A1368" t="str">
        <f>IF(记账凭证!$J3172="","",记账凭证!$J3172)</f>
        <v/>
      </c>
      <c r="B1368">
        <f t="shared" si="152"/>
        <v>0</v>
      </c>
      <c r="C1368">
        <f t="shared" si="153"/>
        <v>0</v>
      </c>
    </row>
    <row r="1369" spans="1:3">
      <c r="A1369" t="str">
        <f>IF(记账凭证!$J3173="","",记账凭证!$J3173)</f>
        <v/>
      </c>
      <c r="B1369">
        <f t="shared" si="152"/>
        <v>0</v>
      </c>
      <c r="C1369">
        <f t="shared" si="153"/>
        <v>0</v>
      </c>
    </row>
    <row r="1370" spans="1:3">
      <c r="A1370" t="str">
        <f>IF(记账凭证!$J3174="","",记账凭证!$J3174)</f>
        <v/>
      </c>
      <c r="B1370">
        <f t="shared" si="152"/>
        <v>0</v>
      </c>
      <c r="C1370">
        <f t="shared" si="153"/>
        <v>0</v>
      </c>
    </row>
    <row r="1371" spans="1:3">
      <c r="A1371" t="str">
        <f>IF(记账凭证!$J3175="","",记账凭证!$J3175)</f>
        <v/>
      </c>
      <c r="B1371">
        <f t="shared" si="152"/>
        <v>0</v>
      </c>
      <c r="C1371">
        <f t="shared" si="153"/>
        <v>0</v>
      </c>
    </row>
    <row r="1372" spans="1:3">
      <c r="A1372" t="str">
        <f>IF(记账凭证!$J3176="","",记账凭证!$J3176)</f>
        <v/>
      </c>
      <c r="B1372">
        <f t="shared" si="152"/>
        <v>0</v>
      </c>
      <c r="C1372">
        <f t="shared" si="153"/>
        <v>0</v>
      </c>
    </row>
    <row r="1373" spans="1:3">
      <c r="A1373" t="str">
        <f>IF(记账凭证!$J3177="","",记账凭证!$J3177)</f>
        <v/>
      </c>
      <c r="B1373">
        <f t="shared" si="152"/>
        <v>0</v>
      </c>
      <c r="C1373">
        <f t="shared" si="153"/>
        <v>0</v>
      </c>
    </row>
    <row r="1374" spans="1:3">
      <c r="A1374" t="str">
        <f>IF(记账凭证!$J3178="","",记账凭证!$J3178)</f>
        <v/>
      </c>
      <c r="B1374">
        <f t="shared" si="152"/>
        <v>0</v>
      </c>
      <c r="C1374">
        <f t="shared" si="153"/>
        <v>0</v>
      </c>
    </row>
    <row r="1375" spans="1:3">
      <c r="A1375" t="str">
        <f>IF(记账凭证!$J3179="","",记账凭证!$J3179)</f>
        <v/>
      </c>
      <c r="B1375">
        <f t="shared" si="152"/>
        <v>0</v>
      </c>
      <c r="C1375">
        <f t="shared" si="153"/>
        <v>0</v>
      </c>
    </row>
    <row r="1376" spans="1:3">
      <c r="A1376" t="str">
        <f>IF(记账凭证!$J3180="","",记账凭证!$J3180)</f>
        <v/>
      </c>
      <c r="B1376">
        <f t="shared" si="152"/>
        <v>0</v>
      </c>
      <c r="C1376">
        <f t="shared" si="153"/>
        <v>0</v>
      </c>
    </row>
    <row r="1377" spans="1:3">
      <c r="A1377" t="str">
        <f>IF(记账凭证!$J3181="","",记账凭证!$J3181)</f>
        <v/>
      </c>
      <c r="B1377">
        <f t="shared" si="152"/>
        <v>0</v>
      </c>
      <c r="C1377">
        <f t="shared" si="153"/>
        <v>0</v>
      </c>
    </row>
    <row r="1378" spans="1:3">
      <c r="A1378" t="str">
        <f>IF(记账凭证!$J3182="","",记账凭证!$J3182)</f>
        <v/>
      </c>
      <c r="B1378">
        <f t="shared" si="152"/>
        <v>0</v>
      </c>
      <c r="C1378">
        <f t="shared" si="153"/>
        <v>0</v>
      </c>
    </row>
    <row r="1379" spans="1:3">
      <c r="A1379" t="str">
        <f>IF(记账凭证!$J3183="","",记账凭证!$J3183)</f>
        <v/>
      </c>
      <c r="B1379">
        <f t="shared" si="152"/>
        <v>0</v>
      </c>
      <c r="C1379">
        <f t="shared" si="153"/>
        <v>0</v>
      </c>
    </row>
    <row r="1380" spans="1:3">
      <c r="A1380" t="str">
        <f>IF(记账凭证!$J3184="","",记账凭证!$J3184)</f>
        <v/>
      </c>
      <c r="B1380">
        <f t="shared" si="152"/>
        <v>0</v>
      </c>
      <c r="C1380">
        <f t="shared" si="153"/>
        <v>0</v>
      </c>
    </row>
    <row r="1381" spans="1:3">
      <c r="A1381" t="str">
        <f>IF(记账凭证!$J3185="","",记账凭证!$J3185)</f>
        <v/>
      </c>
      <c r="B1381">
        <f t="shared" si="152"/>
        <v>0</v>
      </c>
      <c r="C1381">
        <f t="shared" si="153"/>
        <v>0</v>
      </c>
    </row>
    <row r="1382" spans="1:3">
      <c r="A1382" t="str">
        <f>IF(记账凭证!$J3186="","",记账凭证!$J3186)</f>
        <v/>
      </c>
      <c r="B1382">
        <f t="shared" si="152"/>
        <v>0</v>
      </c>
      <c r="C1382">
        <f t="shared" si="153"/>
        <v>0</v>
      </c>
    </row>
    <row r="1383" spans="1:3">
      <c r="A1383" t="str">
        <f>IF(记账凭证!$J3187="","",记账凭证!$J3187)</f>
        <v/>
      </c>
      <c r="B1383">
        <f t="shared" si="152"/>
        <v>0</v>
      </c>
      <c r="C1383">
        <f t="shared" si="153"/>
        <v>0</v>
      </c>
    </row>
    <row r="1384" spans="1:3">
      <c r="A1384" t="str">
        <f>IF(记账凭证!$J3188="","",记账凭证!$J3188)</f>
        <v/>
      </c>
      <c r="B1384">
        <f t="shared" si="152"/>
        <v>0</v>
      </c>
      <c r="C1384">
        <f t="shared" si="153"/>
        <v>0</v>
      </c>
    </row>
    <row r="1385" spans="1:3">
      <c r="A1385" t="str">
        <f>IF(记账凭证!$J3189="","",记账凭证!$J3189)</f>
        <v/>
      </c>
      <c r="B1385">
        <f t="shared" si="152"/>
        <v>0</v>
      </c>
      <c r="C1385">
        <f t="shared" si="153"/>
        <v>0</v>
      </c>
    </row>
    <row r="1386" spans="1:3">
      <c r="A1386" t="str">
        <f>IF(记账凭证!$J3190="","",记账凭证!$J3190)</f>
        <v/>
      </c>
      <c r="B1386">
        <f t="shared" si="152"/>
        <v>0</v>
      </c>
      <c r="C1386">
        <f t="shared" si="153"/>
        <v>0</v>
      </c>
    </row>
    <row r="1387" spans="1:3">
      <c r="A1387" t="str">
        <f>IF(记账凭证!$J3191="","",记账凭证!$J3191)</f>
        <v/>
      </c>
      <c r="B1387">
        <f t="shared" si="152"/>
        <v>0</v>
      </c>
      <c r="C1387">
        <f t="shared" si="153"/>
        <v>0</v>
      </c>
    </row>
    <row r="1388" spans="1:3">
      <c r="A1388" t="str">
        <f>IF(记账凭证!$J3192="","",记账凭证!$J3192)</f>
        <v/>
      </c>
      <c r="B1388">
        <f t="shared" si="152"/>
        <v>0</v>
      </c>
      <c r="C1388">
        <f t="shared" si="153"/>
        <v>0</v>
      </c>
    </row>
    <row r="1389" spans="1:3">
      <c r="A1389" t="str">
        <f>IF(记账凭证!$J3193="","",记账凭证!$J3193)</f>
        <v/>
      </c>
      <c r="B1389">
        <f t="shared" si="152"/>
        <v>0</v>
      </c>
      <c r="C1389">
        <f t="shared" si="153"/>
        <v>0</v>
      </c>
    </row>
    <row r="1390" spans="1:3">
      <c r="A1390" t="str">
        <f>IF(记账凭证!$J3194="","",记账凭证!$J3194)</f>
        <v/>
      </c>
      <c r="B1390">
        <f t="shared" si="152"/>
        <v>0</v>
      </c>
      <c r="C1390">
        <f t="shared" si="153"/>
        <v>0</v>
      </c>
    </row>
    <row r="1391" spans="1:3">
      <c r="A1391" t="str">
        <f>IF(记账凭证!$J3195="","",记账凭证!$J3195)</f>
        <v/>
      </c>
      <c r="B1391">
        <f t="shared" si="152"/>
        <v>0</v>
      </c>
      <c r="C1391">
        <f t="shared" si="153"/>
        <v>0</v>
      </c>
    </row>
    <row r="1392" spans="1:3">
      <c r="A1392" t="str">
        <f>IF(记账凭证!$J3196="","",记账凭证!$J3196)</f>
        <v/>
      </c>
      <c r="B1392">
        <f t="shared" si="152"/>
        <v>0</v>
      </c>
      <c r="C1392">
        <f t="shared" si="153"/>
        <v>0</v>
      </c>
    </row>
    <row r="1393" spans="1:3">
      <c r="A1393" t="str">
        <f>IF(记账凭证!$J3197="","",记账凭证!$J3197)</f>
        <v/>
      </c>
      <c r="B1393">
        <f t="shared" si="152"/>
        <v>0</v>
      </c>
      <c r="C1393">
        <f t="shared" si="153"/>
        <v>0</v>
      </c>
    </row>
    <row r="1394" spans="1:3">
      <c r="A1394" t="str">
        <f>IF(记账凭证!$J3198="","",记账凭证!$J3198)</f>
        <v/>
      </c>
      <c r="B1394">
        <f t="shared" si="152"/>
        <v>0</v>
      </c>
      <c r="C1394">
        <f t="shared" si="153"/>
        <v>0</v>
      </c>
    </row>
    <row r="1395" spans="1:3">
      <c r="A1395" t="str">
        <f>IF(记账凭证!$J3199="","",记账凭证!$J3199)</f>
        <v/>
      </c>
      <c r="B1395">
        <f t="shared" si="152"/>
        <v>0</v>
      </c>
      <c r="C1395">
        <f t="shared" si="153"/>
        <v>0</v>
      </c>
    </row>
    <row r="1396" spans="1:3">
      <c r="A1396" t="str">
        <f>IF(记账凭证!$J3200="","",记账凭证!$J3200)</f>
        <v/>
      </c>
      <c r="B1396">
        <f t="shared" si="152"/>
        <v>0</v>
      </c>
      <c r="C1396">
        <f t="shared" si="153"/>
        <v>0</v>
      </c>
    </row>
    <row r="1397" spans="1:3">
      <c r="A1397" t="str">
        <f>IF(记账凭证!$J3201="","",记账凭证!$J3201)</f>
        <v/>
      </c>
      <c r="B1397">
        <f t="shared" si="152"/>
        <v>0</v>
      </c>
      <c r="C1397">
        <f t="shared" si="153"/>
        <v>0</v>
      </c>
    </row>
    <row r="1398" spans="1:3">
      <c r="A1398" t="str">
        <f>IF(记账凭证!$J3202="","",记账凭证!$J3202)</f>
        <v/>
      </c>
      <c r="B1398">
        <f t="shared" si="152"/>
        <v>0</v>
      </c>
      <c r="C1398">
        <f t="shared" si="153"/>
        <v>0</v>
      </c>
    </row>
    <row r="1399" spans="1:3">
      <c r="A1399" t="str">
        <f>IF(记账凭证!$J3203="","",记账凭证!$J3203)</f>
        <v/>
      </c>
      <c r="B1399">
        <f t="shared" si="152"/>
        <v>0</v>
      </c>
      <c r="C1399">
        <f t="shared" si="153"/>
        <v>0</v>
      </c>
    </row>
    <row r="1400" spans="1:3">
      <c r="A1400" t="str">
        <f>IF(记账凭证!$J3204="","",记账凭证!$J3204)</f>
        <v/>
      </c>
      <c r="B1400">
        <f t="shared" si="152"/>
        <v>0</v>
      </c>
      <c r="C1400">
        <f t="shared" si="153"/>
        <v>0</v>
      </c>
    </row>
    <row r="1401" spans="1:3">
      <c r="A1401" t="str">
        <f>IF(记账凭证!$J3205="","",记账凭证!$J3205)</f>
        <v/>
      </c>
      <c r="B1401">
        <f t="shared" si="152"/>
        <v>0</v>
      </c>
      <c r="C1401">
        <f t="shared" si="153"/>
        <v>0</v>
      </c>
    </row>
    <row r="1402" spans="1:3">
      <c r="A1402" t="str">
        <f>IF(记账凭证!$J3206="","",记账凭证!$J3206)</f>
        <v/>
      </c>
      <c r="B1402">
        <f t="shared" si="152"/>
        <v>0</v>
      </c>
      <c r="C1402">
        <f t="shared" si="153"/>
        <v>0</v>
      </c>
    </row>
    <row r="1403" spans="1:3">
      <c r="A1403" t="str">
        <f>IF(记账凭证!$J3207="","",记账凭证!$J3207)</f>
        <v/>
      </c>
      <c r="B1403">
        <f t="shared" si="152"/>
        <v>0</v>
      </c>
      <c r="C1403">
        <f t="shared" si="153"/>
        <v>0</v>
      </c>
    </row>
    <row r="1404" spans="1:3">
      <c r="A1404" t="str">
        <f>IF(记账凭证!$J3208="","",记账凭证!$J3208)</f>
        <v/>
      </c>
      <c r="B1404">
        <f t="shared" si="152"/>
        <v>0</v>
      </c>
      <c r="C1404">
        <f t="shared" si="153"/>
        <v>0</v>
      </c>
    </row>
    <row r="1405" spans="1:3">
      <c r="A1405" t="str">
        <f>IF(记账凭证!$J3209="","",记账凭证!$J3209)</f>
        <v/>
      </c>
      <c r="B1405">
        <f t="shared" si="152"/>
        <v>0</v>
      </c>
      <c r="C1405">
        <f t="shared" si="153"/>
        <v>0</v>
      </c>
    </row>
    <row r="1406" spans="1:3">
      <c r="A1406" t="str">
        <f>IF(记账凭证!$J3210="","",记账凭证!$J3210)</f>
        <v/>
      </c>
      <c r="B1406">
        <f t="shared" si="152"/>
        <v>0</v>
      </c>
      <c r="C1406">
        <f t="shared" si="153"/>
        <v>0</v>
      </c>
    </row>
    <row r="1407" spans="1:3">
      <c r="A1407" t="str">
        <f>IF(记账凭证!$J3211="","",记账凭证!$J3211)</f>
        <v/>
      </c>
      <c r="B1407">
        <f t="shared" si="152"/>
        <v>0</v>
      </c>
      <c r="C1407">
        <f t="shared" si="153"/>
        <v>0</v>
      </c>
    </row>
    <row r="1408" spans="1:3">
      <c r="A1408" t="str">
        <f>IF(记账凭证!$J3212="","",记账凭证!$J3212)</f>
        <v/>
      </c>
      <c r="B1408">
        <f t="shared" si="152"/>
        <v>0</v>
      </c>
      <c r="C1408">
        <f t="shared" si="153"/>
        <v>0</v>
      </c>
    </row>
    <row r="1409" spans="1:3">
      <c r="A1409" t="str">
        <f>IF(记账凭证!$J3213="","",记账凭证!$J3213)</f>
        <v/>
      </c>
      <c r="B1409">
        <f t="shared" si="152"/>
        <v>0</v>
      </c>
      <c r="C1409">
        <f t="shared" si="153"/>
        <v>0</v>
      </c>
    </row>
    <row r="1410" spans="1:3">
      <c r="A1410" t="str">
        <f>IF(记账凭证!$J3214="","",记账凭证!$J3214)</f>
        <v/>
      </c>
      <c r="B1410">
        <f t="shared" si="152"/>
        <v>0</v>
      </c>
      <c r="C1410">
        <f t="shared" si="153"/>
        <v>0</v>
      </c>
    </row>
    <row r="1411" spans="1:3">
      <c r="A1411" t="str">
        <f>IF(记账凭证!$J3215="","",记账凭证!$J3215)</f>
        <v/>
      </c>
      <c r="B1411">
        <f t="shared" si="152"/>
        <v>0</v>
      </c>
      <c r="C1411">
        <f t="shared" si="153"/>
        <v>0</v>
      </c>
    </row>
    <row r="1412" spans="1:3">
      <c r="A1412" t="str">
        <f>IF(记账凭证!$J3216="","",记账凭证!$J3216)</f>
        <v/>
      </c>
      <c r="B1412">
        <f t="shared" ref="B1412:B1475" si="154">IF(A1412="",0,IF(MATCH(A1412,$A$4:$A$1805,0)=ROW()-3,1,0))</f>
        <v>0</v>
      </c>
      <c r="C1412">
        <f t="shared" ref="C1412:C1475" si="155">N(C1411)+B1412</f>
        <v>0</v>
      </c>
    </row>
    <row r="1413" spans="1:3">
      <c r="A1413" t="str">
        <f>IF(记账凭证!$J3217="","",记账凭证!$J3217)</f>
        <v/>
      </c>
      <c r="B1413">
        <f t="shared" si="154"/>
        <v>0</v>
      </c>
      <c r="C1413">
        <f t="shared" si="155"/>
        <v>0</v>
      </c>
    </row>
    <row r="1414" spans="1:3">
      <c r="A1414" t="str">
        <f>IF(记账凭证!$J3218="","",记账凭证!$J3218)</f>
        <v/>
      </c>
      <c r="B1414">
        <f t="shared" si="154"/>
        <v>0</v>
      </c>
      <c r="C1414">
        <f t="shared" si="155"/>
        <v>0</v>
      </c>
    </row>
    <row r="1415" spans="1:3">
      <c r="A1415" t="str">
        <f>IF(记账凭证!$J3219="","",记账凭证!$J3219)</f>
        <v/>
      </c>
      <c r="B1415">
        <f t="shared" si="154"/>
        <v>0</v>
      </c>
      <c r="C1415">
        <f t="shared" si="155"/>
        <v>0</v>
      </c>
    </row>
    <row r="1416" spans="1:3">
      <c r="A1416" t="str">
        <f>IF(记账凭证!$J3220="","",记账凭证!$J3220)</f>
        <v/>
      </c>
      <c r="B1416">
        <f t="shared" si="154"/>
        <v>0</v>
      </c>
      <c r="C1416">
        <f t="shared" si="155"/>
        <v>0</v>
      </c>
    </row>
    <row r="1417" spans="1:3">
      <c r="A1417" t="str">
        <f>IF(记账凭证!$J3221="","",记账凭证!$J3221)</f>
        <v/>
      </c>
      <c r="B1417">
        <f t="shared" si="154"/>
        <v>0</v>
      </c>
      <c r="C1417">
        <f t="shared" si="155"/>
        <v>0</v>
      </c>
    </row>
    <row r="1418" spans="1:3">
      <c r="A1418" t="str">
        <f>IF(记账凭证!$J3222="","",记账凭证!$J3222)</f>
        <v/>
      </c>
      <c r="B1418">
        <f t="shared" si="154"/>
        <v>0</v>
      </c>
      <c r="C1418">
        <f t="shared" si="155"/>
        <v>0</v>
      </c>
    </row>
    <row r="1419" spans="1:3">
      <c r="A1419" t="str">
        <f>IF(记账凭证!$J3223="","",记账凭证!$J3223)</f>
        <v/>
      </c>
      <c r="B1419">
        <f t="shared" si="154"/>
        <v>0</v>
      </c>
      <c r="C1419">
        <f t="shared" si="155"/>
        <v>0</v>
      </c>
    </row>
    <row r="1420" spans="1:3">
      <c r="A1420" t="str">
        <f>IF(记账凭证!$J3224="","",记账凭证!$J3224)</f>
        <v/>
      </c>
      <c r="B1420">
        <f t="shared" si="154"/>
        <v>0</v>
      </c>
      <c r="C1420">
        <f t="shared" si="155"/>
        <v>0</v>
      </c>
    </row>
    <row r="1421" spans="1:3">
      <c r="A1421" t="str">
        <f>IF(记账凭证!$J3225="","",记账凭证!$J3225)</f>
        <v/>
      </c>
      <c r="B1421">
        <f t="shared" si="154"/>
        <v>0</v>
      </c>
      <c r="C1421">
        <f t="shared" si="155"/>
        <v>0</v>
      </c>
    </row>
    <row r="1422" spans="1:3">
      <c r="A1422" t="str">
        <f>IF(记账凭证!$J3226="","",记账凭证!$J3226)</f>
        <v/>
      </c>
      <c r="B1422">
        <f t="shared" si="154"/>
        <v>0</v>
      </c>
      <c r="C1422">
        <f t="shared" si="155"/>
        <v>0</v>
      </c>
    </row>
    <row r="1423" spans="1:3">
      <c r="A1423" t="str">
        <f>IF(记账凭证!$J3227="","",记账凭证!$J3227)</f>
        <v/>
      </c>
      <c r="B1423">
        <f t="shared" si="154"/>
        <v>0</v>
      </c>
      <c r="C1423">
        <f t="shared" si="155"/>
        <v>0</v>
      </c>
    </row>
    <row r="1424" spans="1:3">
      <c r="A1424" t="str">
        <f>IF(记账凭证!$J3228="","",记账凭证!$J3228)</f>
        <v/>
      </c>
      <c r="B1424">
        <f t="shared" si="154"/>
        <v>0</v>
      </c>
      <c r="C1424">
        <f t="shared" si="155"/>
        <v>0</v>
      </c>
    </row>
    <row r="1425" spans="1:3">
      <c r="A1425" t="str">
        <f>IF(记账凭证!$J3229="","",记账凭证!$J3229)</f>
        <v/>
      </c>
      <c r="B1425">
        <f t="shared" si="154"/>
        <v>0</v>
      </c>
      <c r="C1425">
        <f t="shared" si="155"/>
        <v>0</v>
      </c>
    </row>
    <row r="1426" spans="1:3">
      <c r="A1426" t="str">
        <f>IF(记账凭证!$J3230="","",记账凭证!$J3230)</f>
        <v/>
      </c>
      <c r="B1426">
        <f t="shared" si="154"/>
        <v>0</v>
      </c>
      <c r="C1426">
        <f t="shared" si="155"/>
        <v>0</v>
      </c>
    </row>
    <row r="1427" spans="1:3">
      <c r="A1427" t="str">
        <f>IF(记账凭证!$J3231="","",记账凭证!$J3231)</f>
        <v/>
      </c>
      <c r="B1427">
        <f t="shared" si="154"/>
        <v>0</v>
      </c>
      <c r="C1427">
        <f t="shared" si="155"/>
        <v>0</v>
      </c>
    </row>
    <row r="1428" spans="1:3">
      <c r="A1428" t="str">
        <f>IF(记账凭证!$J3232="","",记账凭证!$J3232)</f>
        <v/>
      </c>
      <c r="B1428">
        <f t="shared" si="154"/>
        <v>0</v>
      </c>
      <c r="C1428">
        <f t="shared" si="155"/>
        <v>0</v>
      </c>
    </row>
    <row r="1429" spans="1:3">
      <c r="A1429" t="str">
        <f>IF(记账凭证!$J3233="","",记账凭证!$J3233)</f>
        <v/>
      </c>
      <c r="B1429">
        <f t="shared" si="154"/>
        <v>0</v>
      </c>
      <c r="C1429">
        <f t="shared" si="155"/>
        <v>0</v>
      </c>
    </row>
    <row r="1430" spans="1:3">
      <c r="A1430" t="str">
        <f>IF(记账凭证!$J3234="","",记账凭证!$J3234)</f>
        <v/>
      </c>
      <c r="B1430">
        <f t="shared" si="154"/>
        <v>0</v>
      </c>
      <c r="C1430">
        <f t="shared" si="155"/>
        <v>0</v>
      </c>
    </row>
    <row r="1431" spans="1:3">
      <c r="A1431" t="str">
        <f>IF(记账凭证!$J3235="","",记账凭证!$J3235)</f>
        <v/>
      </c>
      <c r="B1431">
        <f t="shared" si="154"/>
        <v>0</v>
      </c>
      <c r="C1431">
        <f t="shared" si="155"/>
        <v>0</v>
      </c>
    </row>
    <row r="1432" spans="1:3">
      <c r="A1432" t="str">
        <f>IF(记账凭证!$J3236="","",记账凭证!$J3236)</f>
        <v/>
      </c>
      <c r="B1432">
        <f t="shared" si="154"/>
        <v>0</v>
      </c>
      <c r="C1432">
        <f t="shared" si="155"/>
        <v>0</v>
      </c>
    </row>
    <row r="1433" spans="1:3">
      <c r="A1433" t="str">
        <f>IF(记账凭证!$J3237="","",记账凭证!$J3237)</f>
        <v/>
      </c>
      <c r="B1433">
        <f t="shared" si="154"/>
        <v>0</v>
      </c>
      <c r="C1433">
        <f t="shared" si="155"/>
        <v>0</v>
      </c>
    </row>
    <row r="1434" spans="1:3">
      <c r="A1434" t="str">
        <f>IF(记账凭证!$J3238="","",记账凭证!$J3238)</f>
        <v/>
      </c>
      <c r="B1434">
        <f t="shared" si="154"/>
        <v>0</v>
      </c>
      <c r="C1434">
        <f t="shared" si="155"/>
        <v>0</v>
      </c>
    </row>
    <row r="1435" spans="1:3">
      <c r="A1435" t="str">
        <f>IF(记账凭证!$J3239="","",记账凭证!$J3239)</f>
        <v/>
      </c>
      <c r="B1435">
        <f t="shared" si="154"/>
        <v>0</v>
      </c>
      <c r="C1435">
        <f t="shared" si="155"/>
        <v>0</v>
      </c>
    </row>
    <row r="1436" spans="1:3">
      <c r="A1436" t="str">
        <f>IF(记账凭证!$J3240="","",记账凭证!$J3240)</f>
        <v/>
      </c>
      <c r="B1436">
        <f t="shared" si="154"/>
        <v>0</v>
      </c>
      <c r="C1436">
        <f t="shared" si="155"/>
        <v>0</v>
      </c>
    </row>
    <row r="1437" spans="1:3">
      <c r="A1437" t="str">
        <f>IF(记账凭证!$J3241="","",记账凭证!$J3241)</f>
        <v/>
      </c>
      <c r="B1437">
        <f t="shared" si="154"/>
        <v>0</v>
      </c>
      <c r="C1437">
        <f t="shared" si="155"/>
        <v>0</v>
      </c>
    </row>
    <row r="1438" spans="1:3">
      <c r="A1438" t="str">
        <f>IF(记账凭证!$J3242="","",记账凭证!$J3242)</f>
        <v/>
      </c>
      <c r="B1438">
        <f t="shared" si="154"/>
        <v>0</v>
      </c>
      <c r="C1438">
        <f t="shared" si="155"/>
        <v>0</v>
      </c>
    </row>
    <row r="1439" spans="1:3">
      <c r="A1439" t="str">
        <f>IF(记账凭证!$J3243="","",记账凭证!$J3243)</f>
        <v/>
      </c>
      <c r="B1439">
        <f t="shared" si="154"/>
        <v>0</v>
      </c>
      <c r="C1439">
        <f t="shared" si="155"/>
        <v>0</v>
      </c>
    </row>
    <row r="1440" spans="1:3">
      <c r="A1440" t="str">
        <f>IF(记账凭证!$J3244="","",记账凭证!$J3244)</f>
        <v/>
      </c>
      <c r="B1440">
        <f t="shared" si="154"/>
        <v>0</v>
      </c>
      <c r="C1440">
        <f t="shared" si="155"/>
        <v>0</v>
      </c>
    </row>
    <row r="1441" spans="1:3">
      <c r="A1441" t="str">
        <f>IF(记账凭证!$J3245="","",记账凭证!$J3245)</f>
        <v/>
      </c>
      <c r="B1441">
        <f t="shared" si="154"/>
        <v>0</v>
      </c>
      <c r="C1441">
        <f t="shared" si="155"/>
        <v>0</v>
      </c>
    </row>
    <row r="1442" spans="1:3">
      <c r="A1442" t="str">
        <f>IF(记账凭证!$J3246="","",记账凭证!$J3246)</f>
        <v/>
      </c>
      <c r="B1442">
        <f t="shared" si="154"/>
        <v>0</v>
      </c>
      <c r="C1442">
        <f t="shared" si="155"/>
        <v>0</v>
      </c>
    </row>
    <row r="1443" spans="1:3">
      <c r="A1443" t="str">
        <f>IF(记账凭证!$J3247="","",记账凭证!$J3247)</f>
        <v/>
      </c>
      <c r="B1443">
        <f t="shared" si="154"/>
        <v>0</v>
      </c>
      <c r="C1443">
        <f t="shared" si="155"/>
        <v>0</v>
      </c>
    </row>
    <row r="1444" spans="1:3">
      <c r="A1444" t="str">
        <f>IF(记账凭证!$J3248="","",记账凭证!$J3248)</f>
        <v/>
      </c>
      <c r="B1444">
        <f t="shared" si="154"/>
        <v>0</v>
      </c>
      <c r="C1444">
        <f t="shared" si="155"/>
        <v>0</v>
      </c>
    </row>
    <row r="1445" spans="1:3">
      <c r="A1445" t="str">
        <f>IF(记账凭证!$J3249="","",记账凭证!$J3249)</f>
        <v/>
      </c>
      <c r="B1445">
        <f t="shared" si="154"/>
        <v>0</v>
      </c>
      <c r="C1445">
        <f t="shared" si="155"/>
        <v>0</v>
      </c>
    </row>
    <row r="1446" spans="1:3">
      <c r="A1446" t="str">
        <f>IF(记账凭证!$J3250="","",记账凭证!$J3250)</f>
        <v/>
      </c>
      <c r="B1446">
        <f t="shared" si="154"/>
        <v>0</v>
      </c>
      <c r="C1446">
        <f t="shared" si="155"/>
        <v>0</v>
      </c>
    </row>
    <row r="1447" spans="1:3">
      <c r="A1447" t="str">
        <f>IF(记账凭证!$J3251="","",记账凭证!$J3251)</f>
        <v/>
      </c>
      <c r="B1447">
        <f t="shared" si="154"/>
        <v>0</v>
      </c>
      <c r="C1447">
        <f t="shared" si="155"/>
        <v>0</v>
      </c>
    </row>
    <row r="1448" spans="1:3">
      <c r="A1448" t="str">
        <f>IF(记账凭证!$J3252="","",记账凭证!$J3252)</f>
        <v/>
      </c>
      <c r="B1448">
        <f t="shared" si="154"/>
        <v>0</v>
      </c>
      <c r="C1448">
        <f t="shared" si="155"/>
        <v>0</v>
      </c>
    </row>
    <row r="1449" spans="1:3">
      <c r="A1449" t="str">
        <f>IF(记账凭证!$J3253="","",记账凭证!$J3253)</f>
        <v/>
      </c>
      <c r="B1449">
        <f t="shared" si="154"/>
        <v>0</v>
      </c>
      <c r="C1449">
        <f t="shared" si="155"/>
        <v>0</v>
      </c>
    </row>
    <row r="1450" spans="1:3">
      <c r="A1450" t="str">
        <f>IF(记账凭证!$J3254="","",记账凭证!$J3254)</f>
        <v/>
      </c>
      <c r="B1450">
        <f t="shared" si="154"/>
        <v>0</v>
      </c>
      <c r="C1450">
        <f t="shared" si="155"/>
        <v>0</v>
      </c>
    </row>
    <row r="1451" spans="1:3">
      <c r="A1451" t="str">
        <f>IF(记账凭证!$J3255="","",记账凭证!$J3255)</f>
        <v/>
      </c>
      <c r="B1451">
        <f t="shared" si="154"/>
        <v>0</v>
      </c>
      <c r="C1451">
        <f t="shared" si="155"/>
        <v>0</v>
      </c>
    </row>
    <row r="1452" spans="1:3">
      <c r="A1452" t="str">
        <f>IF(记账凭证!$J3256="","",记账凭证!$J3256)</f>
        <v/>
      </c>
      <c r="B1452">
        <f t="shared" si="154"/>
        <v>0</v>
      </c>
      <c r="C1452">
        <f t="shared" si="155"/>
        <v>0</v>
      </c>
    </row>
    <row r="1453" spans="1:3">
      <c r="A1453" t="str">
        <f>IF(记账凭证!$J3257="","",记账凭证!$J3257)</f>
        <v/>
      </c>
      <c r="B1453">
        <f t="shared" si="154"/>
        <v>0</v>
      </c>
      <c r="C1453">
        <f t="shared" si="155"/>
        <v>0</v>
      </c>
    </row>
    <row r="1454" spans="1:3">
      <c r="A1454" t="str">
        <f>IF(记账凭证!$J3258="","",记账凭证!$J3258)</f>
        <v/>
      </c>
      <c r="B1454">
        <f t="shared" si="154"/>
        <v>0</v>
      </c>
      <c r="C1454">
        <f t="shared" si="155"/>
        <v>0</v>
      </c>
    </row>
    <row r="1455" spans="1:3">
      <c r="A1455" t="str">
        <f>IF(记账凭证!$J3259="","",记账凭证!$J3259)</f>
        <v/>
      </c>
      <c r="B1455">
        <f t="shared" si="154"/>
        <v>0</v>
      </c>
      <c r="C1455">
        <f t="shared" si="155"/>
        <v>0</v>
      </c>
    </row>
    <row r="1456" spans="1:3">
      <c r="A1456" t="str">
        <f>IF(记账凭证!$J3260="","",记账凭证!$J3260)</f>
        <v/>
      </c>
      <c r="B1456">
        <f t="shared" si="154"/>
        <v>0</v>
      </c>
      <c r="C1456">
        <f t="shared" si="155"/>
        <v>0</v>
      </c>
    </row>
    <row r="1457" spans="1:3">
      <c r="A1457" t="str">
        <f>IF(记账凭证!$J3261="","",记账凭证!$J3261)</f>
        <v/>
      </c>
      <c r="B1457">
        <f t="shared" si="154"/>
        <v>0</v>
      </c>
      <c r="C1457">
        <f t="shared" si="155"/>
        <v>0</v>
      </c>
    </row>
    <row r="1458" spans="1:3">
      <c r="A1458" t="str">
        <f>IF(记账凭证!$J3262="","",记账凭证!$J3262)</f>
        <v/>
      </c>
      <c r="B1458">
        <f t="shared" si="154"/>
        <v>0</v>
      </c>
      <c r="C1458">
        <f t="shared" si="155"/>
        <v>0</v>
      </c>
    </row>
    <row r="1459" spans="1:3">
      <c r="A1459" t="str">
        <f>IF(记账凭证!$J3263="","",记账凭证!$J3263)</f>
        <v/>
      </c>
      <c r="B1459">
        <f t="shared" si="154"/>
        <v>0</v>
      </c>
      <c r="C1459">
        <f t="shared" si="155"/>
        <v>0</v>
      </c>
    </row>
    <row r="1460" spans="1:3">
      <c r="A1460" t="str">
        <f>IF(记账凭证!$J3264="","",记账凭证!$J3264)</f>
        <v/>
      </c>
      <c r="B1460">
        <f t="shared" si="154"/>
        <v>0</v>
      </c>
      <c r="C1460">
        <f t="shared" si="155"/>
        <v>0</v>
      </c>
    </row>
    <row r="1461" spans="1:3">
      <c r="A1461" t="str">
        <f>IF(记账凭证!$J3265="","",记账凭证!$J3265)</f>
        <v/>
      </c>
      <c r="B1461">
        <f t="shared" si="154"/>
        <v>0</v>
      </c>
      <c r="C1461">
        <f t="shared" si="155"/>
        <v>0</v>
      </c>
    </row>
    <row r="1462" spans="1:3">
      <c r="A1462" t="str">
        <f>IF(记账凭证!$J3266="","",记账凭证!$J3266)</f>
        <v/>
      </c>
      <c r="B1462">
        <f t="shared" si="154"/>
        <v>0</v>
      </c>
      <c r="C1462">
        <f t="shared" si="155"/>
        <v>0</v>
      </c>
    </row>
    <row r="1463" spans="1:3">
      <c r="A1463" t="str">
        <f>IF(记账凭证!$J3267="","",记账凭证!$J3267)</f>
        <v/>
      </c>
      <c r="B1463">
        <f t="shared" si="154"/>
        <v>0</v>
      </c>
      <c r="C1463">
        <f t="shared" si="155"/>
        <v>0</v>
      </c>
    </row>
    <row r="1464" spans="1:3">
      <c r="A1464" t="str">
        <f>IF(记账凭证!$J3268="","",记账凭证!$J3268)</f>
        <v/>
      </c>
      <c r="B1464">
        <f t="shared" si="154"/>
        <v>0</v>
      </c>
      <c r="C1464">
        <f t="shared" si="155"/>
        <v>0</v>
      </c>
    </row>
    <row r="1465" spans="1:3">
      <c r="A1465" t="str">
        <f>IF(记账凭证!$J3269="","",记账凭证!$J3269)</f>
        <v/>
      </c>
      <c r="B1465">
        <f t="shared" si="154"/>
        <v>0</v>
      </c>
      <c r="C1465">
        <f t="shared" si="155"/>
        <v>0</v>
      </c>
    </row>
    <row r="1466" spans="1:3">
      <c r="A1466" t="str">
        <f>IF(记账凭证!$J3270="","",记账凭证!$J3270)</f>
        <v/>
      </c>
      <c r="B1466">
        <f t="shared" si="154"/>
        <v>0</v>
      </c>
      <c r="C1466">
        <f t="shared" si="155"/>
        <v>0</v>
      </c>
    </row>
    <row r="1467" spans="1:3">
      <c r="A1467" t="str">
        <f>IF(记账凭证!$J3271="","",记账凭证!$J3271)</f>
        <v/>
      </c>
      <c r="B1467">
        <f t="shared" si="154"/>
        <v>0</v>
      </c>
      <c r="C1467">
        <f t="shared" si="155"/>
        <v>0</v>
      </c>
    </row>
    <row r="1468" spans="1:3">
      <c r="A1468" t="str">
        <f>IF(记账凭证!$J3272="","",记账凭证!$J3272)</f>
        <v/>
      </c>
      <c r="B1468">
        <f t="shared" si="154"/>
        <v>0</v>
      </c>
      <c r="C1468">
        <f t="shared" si="155"/>
        <v>0</v>
      </c>
    </row>
    <row r="1469" spans="1:3">
      <c r="A1469" t="str">
        <f>IF(记账凭证!$J3273="","",记账凭证!$J3273)</f>
        <v/>
      </c>
      <c r="B1469">
        <f t="shared" si="154"/>
        <v>0</v>
      </c>
      <c r="C1469">
        <f t="shared" si="155"/>
        <v>0</v>
      </c>
    </row>
    <row r="1470" spans="1:3">
      <c r="A1470" t="str">
        <f>IF(记账凭证!$J3274="","",记账凭证!$J3274)</f>
        <v/>
      </c>
      <c r="B1470">
        <f t="shared" si="154"/>
        <v>0</v>
      </c>
      <c r="C1470">
        <f t="shared" si="155"/>
        <v>0</v>
      </c>
    </row>
    <row r="1471" spans="1:3">
      <c r="A1471" t="str">
        <f>IF(记账凭证!$J3275="","",记账凭证!$J3275)</f>
        <v/>
      </c>
      <c r="B1471">
        <f t="shared" si="154"/>
        <v>0</v>
      </c>
      <c r="C1471">
        <f t="shared" si="155"/>
        <v>0</v>
      </c>
    </row>
    <row r="1472" spans="1:3">
      <c r="A1472" t="str">
        <f>IF(记账凭证!$J3276="","",记账凭证!$J3276)</f>
        <v/>
      </c>
      <c r="B1472">
        <f t="shared" si="154"/>
        <v>0</v>
      </c>
      <c r="C1472">
        <f t="shared" si="155"/>
        <v>0</v>
      </c>
    </row>
    <row r="1473" spans="1:3">
      <c r="A1473" t="str">
        <f>IF(记账凭证!$J3277="","",记账凭证!$J3277)</f>
        <v/>
      </c>
      <c r="B1473">
        <f t="shared" si="154"/>
        <v>0</v>
      </c>
      <c r="C1473">
        <f t="shared" si="155"/>
        <v>0</v>
      </c>
    </row>
    <row r="1474" spans="1:3">
      <c r="A1474" t="str">
        <f>IF(记账凭证!$J3278="","",记账凭证!$J3278)</f>
        <v/>
      </c>
      <c r="B1474">
        <f t="shared" si="154"/>
        <v>0</v>
      </c>
      <c r="C1474">
        <f t="shared" si="155"/>
        <v>0</v>
      </c>
    </row>
    <row r="1475" spans="1:3">
      <c r="A1475" t="str">
        <f>IF(记账凭证!$J3279="","",记账凭证!$J3279)</f>
        <v/>
      </c>
      <c r="B1475">
        <f t="shared" si="154"/>
        <v>0</v>
      </c>
      <c r="C1475">
        <f t="shared" si="155"/>
        <v>0</v>
      </c>
    </row>
    <row r="1476" spans="1:3">
      <c r="A1476" t="str">
        <f>IF(记账凭证!$J3280="","",记账凭证!$J3280)</f>
        <v/>
      </c>
      <c r="B1476">
        <f t="shared" ref="B1476:B1539" si="156">IF(A1476="",0,IF(MATCH(A1476,$A$4:$A$1805,0)=ROW()-3,1,0))</f>
        <v>0</v>
      </c>
      <c r="C1476">
        <f t="shared" ref="C1476:C1539" si="157">N(C1475)+B1476</f>
        <v>0</v>
      </c>
    </row>
    <row r="1477" spans="1:3">
      <c r="A1477" t="str">
        <f>IF(记账凭证!$J3281="","",记账凭证!$J3281)</f>
        <v/>
      </c>
      <c r="B1477">
        <f t="shared" si="156"/>
        <v>0</v>
      </c>
      <c r="C1477">
        <f t="shared" si="157"/>
        <v>0</v>
      </c>
    </row>
    <row r="1478" spans="1:3">
      <c r="A1478" t="str">
        <f>IF(记账凭证!$J3282="","",记账凭证!$J3282)</f>
        <v/>
      </c>
      <c r="B1478">
        <f t="shared" si="156"/>
        <v>0</v>
      </c>
      <c r="C1478">
        <f t="shared" si="157"/>
        <v>0</v>
      </c>
    </row>
    <row r="1479" spans="1:3">
      <c r="A1479" t="str">
        <f>IF(记账凭证!$J3283="","",记账凭证!$J3283)</f>
        <v/>
      </c>
      <c r="B1479">
        <f t="shared" si="156"/>
        <v>0</v>
      </c>
      <c r="C1479">
        <f t="shared" si="157"/>
        <v>0</v>
      </c>
    </row>
    <row r="1480" spans="1:3">
      <c r="A1480" t="str">
        <f>IF(记账凭证!$J3284="","",记账凭证!$J3284)</f>
        <v/>
      </c>
      <c r="B1480">
        <f t="shared" si="156"/>
        <v>0</v>
      </c>
      <c r="C1480">
        <f t="shared" si="157"/>
        <v>0</v>
      </c>
    </row>
    <row r="1481" spans="1:3">
      <c r="A1481" t="str">
        <f>IF(记账凭证!$J3285="","",记账凭证!$J3285)</f>
        <v/>
      </c>
      <c r="B1481">
        <f t="shared" si="156"/>
        <v>0</v>
      </c>
      <c r="C1481">
        <f t="shared" si="157"/>
        <v>0</v>
      </c>
    </row>
    <row r="1482" spans="1:3">
      <c r="A1482" t="str">
        <f>IF(记账凭证!$J3286="","",记账凭证!$J3286)</f>
        <v/>
      </c>
      <c r="B1482">
        <f t="shared" si="156"/>
        <v>0</v>
      </c>
      <c r="C1482">
        <f t="shared" si="157"/>
        <v>0</v>
      </c>
    </row>
    <row r="1483" spans="1:3">
      <c r="A1483" t="str">
        <f>IF(记账凭证!$J3287="","",记账凭证!$J3287)</f>
        <v/>
      </c>
      <c r="B1483">
        <f t="shared" si="156"/>
        <v>0</v>
      </c>
      <c r="C1483">
        <f t="shared" si="157"/>
        <v>0</v>
      </c>
    </row>
    <row r="1484" spans="1:3">
      <c r="A1484" t="str">
        <f>IF(记账凭证!$J3288="","",记账凭证!$J3288)</f>
        <v/>
      </c>
      <c r="B1484">
        <f t="shared" si="156"/>
        <v>0</v>
      </c>
      <c r="C1484">
        <f t="shared" si="157"/>
        <v>0</v>
      </c>
    </row>
    <row r="1485" spans="1:3">
      <c r="A1485" t="str">
        <f>IF(记账凭证!$J3289="","",记账凭证!$J3289)</f>
        <v/>
      </c>
      <c r="B1485">
        <f t="shared" si="156"/>
        <v>0</v>
      </c>
      <c r="C1485">
        <f t="shared" si="157"/>
        <v>0</v>
      </c>
    </row>
    <row r="1486" spans="1:3">
      <c r="A1486" t="str">
        <f>IF(记账凭证!$J3290="","",记账凭证!$J3290)</f>
        <v/>
      </c>
      <c r="B1486">
        <f t="shared" si="156"/>
        <v>0</v>
      </c>
      <c r="C1486">
        <f t="shared" si="157"/>
        <v>0</v>
      </c>
    </row>
    <row r="1487" spans="1:3">
      <c r="A1487" t="str">
        <f>IF(记账凭证!$J3291="","",记账凭证!$J3291)</f>
        <v/>
      </c>
      <c r="B1487">
        <f t="shared" si="156"/>
        <v>0</v>
      </c>
      <c r="C1487">
        <f t="shared" si="157"/>
        <v>0</v>
      </c>
    </row>
    <row r="1488" spans="1:3">
      <c r="A1488" t="str">
        <f>IF(记账凭证!$J3292="","",记账凭证!$J3292)</f>
        <v/>
      </c>
      <c r="B1488">
        <f t="shared" si="156"/>
        <v>0</v>
      </c>
      <c r="C1488">
        <f t="shared" si="157"/>
        <v>0</v>
      </c>
    </row>
    <row r="1489" spans="1:3">
      <c r="A1489" t="str">
        <f>IF(记账凭证!$J3293="","",记账凭证!$J3293)</f>
        <v/>
      </c>
      <c r="B1489">
        <f t="shared" si="156"/>
        <v>0</v>
      </c>
      <c r="C1489">
        <f t="shared" si="157"/>
        <v>0</v>
      </c>
    </row>
    <row r="1490" spans="1:3">
      <c r="A1490" t="str">
        <f>IF(记账凭证!$J3294="","",记账凭证!$J3294)</f>
        <v/>
      </c>
      <c r="B1490">
        <f t="shared" si="156"/>
        <v>0</v>
      </c>
      <c r="C1490">
        <f t="shared" si="157"/>
        <v>0</v>
      </c>
    </row>
    <row r="1491" spans="1:3">
      <c r="A1491" t="str">
        <f>IF(记账凭证!$J3295="","",记账凭证!$J3295)</f>
        <v/>
      </c>
      <c r="B1491">
        <f t="shared" si="156"/>
        <v>0</v>
      </c>
      <c r="C1491">
        <f t="shared" si="157"/>
        <v>0</v>
      </c>
    </row>
    <row r="1492" spans="1:3">
      <c r="A1492" t="str">
        <f>IF(记账凭证!$J3296="","",记账凭证!$J3296)</f>
        <v/>
      </c>
      <c r="B1492">
        <f t="shared" si="156"/>
        <v>0</v>
      </c>
      <c r="C1492">
        <f t="shared" si="157"/>
        <v>0</v>
      </c>
    </row>
    <row r="1493" spans="1:3">
      <c r="A1493" t="str">
        <f>IF(记账凭证!$J3297="","",记账凭证!$J3297)</f>
        <v/>
      </c>
      <c r="B1493">
        <f t="shared" si="156"/>
        <v>0</v>
      </c>
      <c r="C1493">
        <f t="shared" si="157"/>
        <v>0</v>
      </c>
    </row>
    <row r="1494" spans="1:3">
      <c r="A1494" t="str">
        <f>IF(记账凭证!$J3298="","",记账凭证!$J3298)</f>
        <v/>
      </c>
      <c r="B1494">
        <f t="shared" si="156"/>
        <v>0</v>
      </c>
      <c r="C1494">
        <f t="shared" si="157"/>
        <v>0</v>
      </c>
    </row>
    <row r="1495" spans="1:3">
      <c r="A1495" t="str">
        <f>IF(记账凭证!$J3299="","",记账凭证!$J3299)</f>
        <v/>
      </c>
      <c r="B1495">
        <f t="shared" si="156"/>
        <v>0</v>
      </c>
      <c r="C1495">
        <f t="shared" si="157"/>
        <v>0</v>
      </c>
    </row>
    <row r="1496" spans="1:3">
      <c r="A1496" t="str">
        <f>IF(记账凭证!$J3300="","",记账凭证!$J3300)</f>
        <v/>
      </c>
      <c r="B1496">
        <f t="shared" si="156"/>
        <v>0</v>
      </c>
      <c r="C1496">
        <f t="shared" si="157"/>
        <v>0</v>
      </c>
    </row>
    <row r="1497" spans="1:3">
      <c r="A1497" t="str">
        <f>IF(记账凭证!$J3301="","",记账凭证!$J3301)</f>
        <v/>
      </c>
      <c r="B1497">
        <f t="shared" si="156"/>
        <v>0</v>
      </c>
      <c r="C1497">
        <f t="shared" si="157"/>
        <v>0</v>
      </c>
    </row>
    <row r="1498" spans="1:3">
      <c r="A1498" t="str">
        <f>IF(记账凭证!$J3302="","",记账凭证!$J3302)</f>
        <v/>
      </c>
      <c r="B1498">
        <f t="shared" si="156"/>
        <v>0</v>
      </c>
      <c r="C1498">
        <f t="shared" si="157"/>
        <v>0</v>
      </c>
    </row>
    <row r="1499" spans="1:3">
      <c r="A1499" t="str">
        <f>IF(记账凭证!$J3303="","",记账凭证!$J3303)</f>
        <v/>
      </c>
      <c r="B1499">
        <f t="shared" si="156"/>
        <v>0</v>
      </c>
      <c r="C1499">
        <f t="shared" si="157"/>
        <v>0</v>
      </c>
    </row>
    <row r="1500" spans="1:3">
      <c r="A1500" t="str">
        <f>IF(记账凭证!$J3304="","",记账凭证!$J3304)</f>
        <v/>
      </c>
      <c r="B1500">
        <f t="shared" si="156"/>
        <v>0</v>
      </c>
      <c r="C1500">
        <f t="shared" si="157"/>
        <v>0</v>
      </c>
    </row>
    <row r="1501" spans="1:3">
      <c r="A1501" t="str">
        <f>IF(记账凭证!$J3305="","",记账凭证!$J3305)</f>
        <v/>
      </c>
      <c r="B1501">
        <f t="shared" si="156"/>
        <v>0</v>
      </c>
      <c r="C1501">
        <f t="shared" si="157"/>
        <v>0</v>
      </c>
    </row>
    <row r="1502" spans="1:3">
      <c r="A1502" t="str">
        <f>IF(记账凭证!$J3306="","",记账凭证!$J3306)</f>
        <v/>
      </c>
      <c r="B1502">
        <f t="shared" si="156"/>
        <v>0</v>
      </c>
      <c r="C1502">
        <f t="shared" si="157"/>
        <v>0</v>
      </c>
    </row>
    <row r="1503" spans="1:3">
      <c r="A1503" t="str">
        <f>IF(记账凭证!$J3307="","",记账凭证!$J3307)</f>
        <v/>
      </c>
      <c r="B1503">
        <f t="shared" si="156"/>
        <v>0</v>
      </c>
      <c r="C1503">
        <f t="shared" si="157"/>
        <v>0</v>
      </c>
    </row>
    <row r="1504" spans="1:3">
      <c r="A1504" t="str">
        <f>IF(记账凭证!$J3308="","",记账凭证!$J3308)</f>
        <v/>
      </c>
      <c r="B1504">
        <f t="shared" si="156"/>
        <v>0</v>
      </c>
      <c r="C1504">
        <f t="shared" si="157"/>
        <v>0</v>
      </c>
    </row>
    <row r="1505" spans="1:3">
      <c r="A1505" t="str">
        <f>IF(记账凭证!$J3309="","",记账凭证!$J3309)</f>
        <v/>
      </c>
      <c r="B1505">
        <f t="shared" si="156"/>
        <v>0</v>
      </c>
      <c r="C1505">
        <f t="shared" si="157"/>
        <v>0</v>
      </c>
    </row>
    <row r="1506" spans="1:3">
      <c r="A1506" t="str">
        <f>IF(记账凭证!$J3310="","",记账凭证!$J3310)</f>
        <v/>
      </c>
      <c r="B1506">
        <f t="shared" si="156"/>
        <v>0</v>
      </c>
      <c r="C1506">
        <f t="shared" si="157"/>
        <v>0</v>
      </c>
    </row>
    <row r="1507" spans="1:3">
      <c r="A1507" t="str">
        <f>IF(记账凭证!$J3311="","",记账凭证!$J3311)</f>
        <v/>
      </c>
      <c r="B1507">
        <f t="shared" si="156"/>
        <v>0</v>
      </c>
      <c r="C1507">
        <f t="shared" si="157"/>
        <v>0</v>
      </c>
    </row>
    <row r="1508" spans="1:3">
      <c r="A1508" t="str">
        <f>IF(记账凭证!$J3312="","",记账凭证!$J3312)</f>
        <v/>
      </c>
      <c r="B1508">
        <f t="shared" si="156"/>
        <v>0</v>
      </c>
      <c r="C1508">
        <f t="shared" si="157"/>
        <v>0</v>
      </c>
    </row>
    <row r="1509" spans="1:3">
      <c r="A1509" t="str">
        <f>IF(记账凭证!$J3313="","",记账凭证!$J3313)</f>
        <v/>
      </c>
      <c r="B1509">
        <f t="shared" si="156"/>
        <v>0</v>
      </c>
      <c r="C1509">
        <f t="shared" si="157"/>
        <v>0</v>
      </c>
    </row>
    <row r="1510" spans="1:3">
      <c r="A1510" t="str">
        <f>IF(记账凭证!$J3314="","",记账凭证!$J3314)</f>
        <v/>
      </c>
      <c r="B1510">
        <f t="shared" si="156"/>
        <v>0</v>
      </c>
      <c r="C1510">
        <f t="shared" si="157"/>
        <v>0</v>
      </c>
    </row>
    <row r="1511" spans="1:3">
      <c r="A1511" t="str">
        <f>IF(记账凭证!$J3315="","",记账凭证!$J3315)</f>
        <v/>
      </c>
      <c r="B1511">
        <f t="shared" si="156"/>
        <v>0</v>
      </c>
      <c r="C1511">
        <f t="shared" si="157"/>
        <v>0</v>
      </c>
    </row>
    <row r="1512" spans="1:3">
      <c r="A1512" t="str">
        <f>IF(记账凭证!$J3316="","",记账凭证!$J3316)</f>
        <v/>
      </c>
      <c r="B1512">
        <f t="shared" si="156"/>
        <v>0</v>
      </c>
      <c r="C1512">
        <f t="shared" si="157"/>
        <v>0</v>
      </c>
    </row>
    <row r="1513" spans="1:3">
      <c r="A1513" t="str">
        <f>IF(记账凭证!$J3317="","",记账凭证!$J3317)</f>
        <v/>
      </c>
      <c r="B1513">
        <f t="shared" si="156"/>
        <v>0</v>
      </c>
      <c r="C1513">
        <f t="shared" si="157"/>
        <v>0</v>
      </c>
    </row>
    <row r="1514" spans="1:3">
      <c r="A1514" t="str">
        <f>IF(记账凭证!$J3318="","",记账凭证!$J3318)</f>
        <v/>
      </c>
      <c r="B1514">
        <f t="shared" si="156"/>
        <v>0</v>
      </c>
      <c r="C1514">
        <f t="shared" si="157"/>
        <v>0</v>
      </c>
    </row>
    <row r="1515" spans="1:3">
      <c r="A1515" t="str">
        <f>IF(记账凭证!$J3319="","",记账凭证!$J3319)</f>
        <v/>
      </c>
      <c r="B1515">
        <f t="shared" si="156"/>
        <v>0</v>
      </c>
      <c r="C1515">
        <f t="shared" si="157"/>
        <v>0</v>
      </c>
    </row>
    <row r="1516" spans="1:3">
      <c r="A1516" t="str">
        <f>IF(记账凭证!$J3320="","",记账凭证!$J3320)</f>
        <v/>
      </c>
      <c r="B1516">
        <f t="shared" si="156"/>
        <v>0</v>
      </c>
      <c r="C1516">
        <f t="shared" si="157"/>
        <v>0</v>
      </c>
    </row>
    <row r="1517" spans="1:3">
      <c r="A1517" t="str">
        <f>IF(记账凭证!$J3321="","",记账凭证!$J3321)</f>
        <v/>
      </c>
      <c r="B1517">
        <f t="shared" si="156"/>
        <v>0</v>
      </c>
      <c r="C1517">
        <f t="shared" si="157"/>
        <v>0</v>
      </c>
    </row>
    <row r="1518" spans="1:3">
      <c r="A1518" t="str">
        <f>IF(记账凭证!$J3322="","",记账凭证!$J3322)</f>
        <v/>
      </c>
      <c r="B1518">
        <f t="shared" si="156"/>
        <v>0</v>
      </c>
      <c r="C1518">
        <f t="shared" si="157"/>
        <v>0</v>
      </c>
    </row>
    <row r="1519" spans="1:3">
      <c r="A1519" t="str">
        <f>IF(记账凭证!$J3323="","",记账凭证!$J3323)</f>
        <v/>
      </c>
      <c r="B1519">
        <f t="shared" si="156"/>
        <v>0</v>
      </c>
      <c r="C1519">
        <f t="shared" si="157"/>
        <v>0</v>
      </c>
    </row>
    <row r="1520" spans="1:3">
      <c r="A1520" t="str">
        <f>IF(记账凭证!$J3324="","",记账凭证!$J3324)</f>
        <v/>
      </c>
      <c r="B1520">
        <f t="shared" si="156"/>
        <v>0</v>
      </c>
      <c r="C1520">
        <f t="shared" si="157"/>
        <v>0</v>
      </c>
    </row>
    <row r="1521" spans="1:3">
      <c r="A1521" t="str">
        <f>IF(记账凭证!$J3325="","",记账凭证!$J3325)</f>
        <v/>
      </c>
      <c r="B1521">
        <f t="shared" si="156"/>
        <v>0</v>
      </c>
      <c r="C1521">
        <f t="shared" si="157"/>
        <v>0</v>
      </c>
    </row>
    <row r="1522" spans="1:3">
      <c r="A1522" t="str">
        <f>IF(记账凭证!$J3326="","",记账凭证!$J3326)</f>
        <v/>
      </c>
      <c r="B1522">
        <f t="shared" si="156"/>
        <v>0</v>
      </c>
      <c r="C1522">
        <f t="shared" si="157"/>
        <v>0</v>
      </c>
    </row>
    <row r="1523" spans="1:3">
      <c r="A1523" t="str">
        <f>IF(记账凭证!$J3327="","",记账凭证!$J3327)</f>
        <v/>
      </c>
      <c r="B1523">
        <f t="shared" si="156"/>
        <v>0</v>
      </c>
      <c r="C1523">
        <f t="shared" si="157"/>
        <v>0</v>
      </c>
    </row>
    <row r="1524" spans="1:3">
      <c r="A1524" t="str">
        <f>IF(记账凭证!$J3328="","",记账凭证!$J3328)</f>
        <v/>
      </c>
      <c r="B1524">
        <f t="shared" si="156"/>
        <v>0</v>
      </c>
      <c r="C1524">
        <f t="shared" si="157"/>
        <v>0</v>
      </c>
    </row>
    <row r="1525" spans="1:3">
      <c r="A1525" t="str">
        <f>IF(记账凭证!$J3329="","",记账凭证!$J3329)</f>
        <v/>
      </c>
      <c r="B1525">
        <f t="shared" si="156"/>
        <v>0</v>
      </c>
      <c r="C1525">
        <f t="shared" si="157"/>
        <v>0</v>
      </c>
    </row>
    <row r="1526" spans="1:3">
      <c r="A1526" t="str">
        <f>IF(记账凭证!$J3330="","",记账凭证!$J3330)</f>
        <v/>
      </c>
      <c r="B1526">
        <f t="shared" si="156"/>
        <v>0</v>
      </c>
      <c r="C1526">
        <f t="shared" si="157"/>
        <v>0</v>
      </c>
    </row>
    <row r="1527" spans="1:3">
      <c r="A1527" t="str">
        <f>IF(记账凭证!$J3331="","",记账凭证!$J3331)</f>
        <v/>
      </c>
      <c r="B1527">
        <f t="shared" si="156"/>
        <v>0</v>
      </c>
      <c r="C1527">
        <f t="shared" si="157"/>
        <v>0</v>
      </c>
    </row>
    <row r="1528" spans="1:3">
      <c r="A1528" t="str">
        <f>IF(记账凭证!$J3332="","",记账凭证!$J3332)</f>
        <v/>
      </c>
      <c r="B1528">
        <f t="shared" si="156"/>
        <v>0</v>
      </c>
      <c r="C1528">
        <f t="shared" si="157"/>
        <v>0</v>
      </c>
    </row>
    <row r="1529" spans="1:3">
      <c r="A1529" t="str">
        <f>IF(记账凭证!$J3333="","",记账凭证!$J3333)</f>
        <v/>
      </c>
      <c r="B1529">
        <f t="shared" si="156"/>
        <v>0</v>
      </c>
      <c r="C1529">
        <f t="shared" si="157"/>
        <v>0</v>
      </c>
    </row>
    <row r="1530" spans="1:3">
      <c r="A1530" t="str">
        <f>IF(记账凭证!$J3334="","",记账凭证!$J3334)</f>
        <v/>
      </c>
      <c r="B1530">
        <f t="shared" si="156"/>
        <v>0</v>
      </c>
      <c r="C1530">
        <f t="shared" si="157"/>
        <v>0</v>
      </c>
    </row>
    <row r="1531" spans="1:3">
      <c r="A1531" t="str">
        <f>IF(记账凭证!$J3335="","",记账凭证!$J3335)</f>
        <v/>
      </c>
      <c r="B1531">
        <f t="shared" si="156"/>
        <v>0</v>
      </c>
      <c r="C1531">
        <f t="shared" si="157"/>
        <v>0</v>
      </c>
    </row>
    <row r="1532" spans="1:3">
      <c r="A1532" t="str">
        <f>IF(记账凭证!$J3336="","",记账凭证!$J3336)</f>
        <v/>
      </c>
      <c r="B1532">
        <f t="shared" si="156"/>
        <v>0</v>
      </c>
      <c r="C1532">
        <f t="shared" si="157"/>
        <v>0</v>
      </c>
    </row>
    <row r="1533" spans="1:3">
      <c r="A1533" t="str">
        <f>IF(记账凭证!$J3337="","",记账凭证!$J3337)</f>
        <v/>
      </c>
      <c r="B1533">
        <f t="shared" si="156"/>
        <v>0</v>
      </c>
      <c r="C1533">
        <f t="shared" si="157"/>
        <v>0</v>
      </c>
    </row>
    <row r="1534" spans="1:3">
      <c r="A1534" t="str">
        <f>IF(记账凭证!$J3338="","",记账凭证!$J3338)</f>
        <v/>
      </c>
      <c r="B1534">
        <f t="shared" si="156"/>
        <v>0</v>
      </c>
      <c r="C1534">
        <f t="shared" si="157"/>
        <v>0</v>
      </c>
    </row>
    <row r="1535" spans="1:3">
      <c r="A1535" t="str">
        <f>IF(记账凭证!$J3339="","",记账凭证!$J3339)</f>
        <v/>
      </c>
      <c r="B1535">
        <f t="shared" si="156"/>
        <v>0</v>
      </c>
      <c r="C1535">
        <f t="shared" si="157"/>
        <v>0</v>
      </c>
    </row>
    <row r="1536" spans="1:3">
      <c r="A1536" t="str">
        <f>IF(记账凭证!$J3340="","",记账凭证!$J3340)</f>
        <v/>
      </c>
      <c r="B1536">
        <f t="shared" si="156"/>
        <v>0</v>
      </c>
      <c r="C1536">
        <f t="shared" si="157"/>
        <v>0</v>
      </c>
    </row>
    <row r="1537" spans="1:3">
      <c r="A1537" t="str">
        <f>IF(记账凭证!$J3341="","",记账凭证!$J3341)</f>
        <v/>
      </c>
      <c r="B1537">
        <f t="shared" si="156"/>
        <v>0</v>
      </c>
      <c r="C1537">
        <f t="shared" si="157"/>
        <v>0</v>
      </c>
    </row>
    <row r="1538" spans="1:3">
      <c r="A1538" t="str">
        <f>IF(记账凭证!$J3342="","",记账凭证!$J3342)</f>
        <v/>
      </c>
      <c r="B1538">
        <f t="shared" si="156"/>
        <v>0</v>
      </c>
      <c r="C1538">
        <f t="shared" si="157"/>
        <v>0</v>
      </c>
    </row>
    <row r="1539" spans="1:3">
      <c r="A1539" t="str">
        <f>IF(记账凭证!$J3343="","",记账凭证!$J3343)</f>
        <v/>
      </c>
      <c r="B1539">
        <f t="shared" si="156"/>
        <v>0</v>
      </c>
      <c r="C1539">
        <f t="shared" si="157"/>
        <v>0</v>
      </c>
    </row>
    <row r="1540" spans="1:3">
      <c r="A1540" t="str">
        <f>IF(记账凭证!$J3344="","",记账凭证!$J3344)</f>
        <v/>
      </c>
      <c r="B1540">
        <f t="shared" ref="B1540:B1603" si="158">IF(A1540="",0,IF(MATCH(A1540,$A$4:$A$1805,0)=ROW()-3,1,0))</f>
        <v>0</v>
      </c>
      <c r="C1540">
        <f t="shared" ref="C1540:C1603" si="159">N(C1539)+B1540</f>
        <v>0</v>
      </c>
    </row>
    <row r="1541" spans="1:3">
      <c r="A1541" t="str">
        <f>IF(记账凭证!$J3345="","",记账凭证!$J3345)</f>
        <v/>
      </c>
      <c r="B1541">
        <f t="shared" si="158"/>
        <v>0</v>
      </c>
      <c r="C1541">
        <f t="shared" si="159"/>
        <v>0</v>
      </c>
    </row>
    <row r="1542" spans="1:3">
      <c r="A1542" t="str">
        <f>IF(记账凭证!$J3346="","",记账凭证!$J3346)</f>
        <v/>
      </c>
      <c r="B1542">
        <f t="shared" si="158"/>
        <v>0</v>
      </c>
      <c r="C1542">
        <f t="shared" si="159"/>
        <v>0</v>
      </c>
    </row>
    <row r="1543" spans="1:3">
      <c r="A1543" t="str">
        <f>IF(记账凭证!$J3347="","",记账凭证!$J3347)</f>
        <v/>
      </c>
      <c r="B1543">
        <f t="shared" si="158"/>
        <v>0</v>
      </c>
      <c r="C1543">
        <f t="shared" si="159"/>
        <v>0</v>
      </c>
    </row>
    <row r="1544" spans="1:3">
      <c r="A1544" t="str">
        <f>IF(记账凭证!$J3348="","",记账凭证!$J3348)</f>
        <v/>
      </c>
      <c r="B1544">
        <f t="shared" si="158"/>
        <v>0</v>
      </c>
      <c r="C1544">
        <f t="shared" si="159"/>
        <v>0</v>
      </c>
    </row>
    <row r="1545" spans="1:3">
      <c r="A1545" t="str">
        <f>IF(记账凭证!$J3349="","",记账凭证!$J3349)</f>
        <v/>
      </c>
      <c r="B1545">
        <f t="shared" si="158"/>
        <v>0</v>
      </c>
      <c r="C1545">
        <f t="shared" si="159"/>
        <v>0</v>
      </c>
    </row>
    <row r="1546" spans="1:3">
      <c r="A1546" t="str">
        <f>IF(记账凭证!$J3350="","",记账凭证!$J3350)</f>
        <v/>
      </c>
      <c r="B1546">
        <f t="shared" si="158"/>
        <v>0</v>
      </c>
      <c r="C1546">
        <f t="shared" si="159"/>
        <v>0</v>
      </c>
    </row>
    <row r="1547" spans="1:3">
      <c r="A1547" t="str">
        <f>IF(记账凭证!$J3351="","",记账凭证!$J3351)</f>
        <v/>
      </c>
      <c r="B1547">
        <f t="shared" si="158"/>
        <v>0</v>
      </c>
      <c r="C1547">
        <f t="shared" si="159"/>
        <v>0</v>
      </c>
    </row>
    <row r="1548" spans="1:3">
      <c r="A1548" t="str">
        <f>IF(记账凭证!$J3352="","",记账凭证!$J3352)</f>
        <v/>
      </c>
      <c r="B1548">
        <f t="shared" si="158"/>
        <v>0</v>
      </c>
      <c r="C1548">
        <f t="shared" si="159"/>
        <v>0</v>
      </c>
    </row>
    <row r="1549" spans="1:3">
      <c r="A1549" t="str">
        <f>IF(记账凭证!$J3353="","",记账凭证!$J3353)</f>
        <v/>
      </c>
      <c r="B1549">
        <f t="shared" si="158"/>
        <v>0</v>
      </c>
      <c r="C1549">
        <f t="shared" si="159"/>
        <v>0</v>
      </c>
    </row>
    <row r="1550" spans="1:3">
      <c r="A1550" t="str">
        <f>IF(记账凭证!$J3354="","",记账凭证!$J3354)</f>
        <v/>
      </c>
      <c r="B1550">
        <f t="shared" si="158"/>
        <v>0</v>
      </c>
      <c r="C1550">
        <f t="shared" si="159"/>
        <v>0</v>
      </c>
    </row>
    <row r="1551" spans="1:3">
      <c r="A1551" t="str">
        <f>IF(记账凭证!$J3355="","",记账凭证!$J3355)</f>
        <v/>
      </c>
      <c r="B1551">
        <f t="shared" si="158"/>
        <v>0</v>
      </c>
      <c r="C1551">
        <f t="shared" si="159"/>
        <v>0</v>
      </c>
    </row>
    <row r="1552" spans="1:3">
      <c r="A1552" t="str">
        <f>IF(记账凭证!$J3356="","",记账凭证!$J3356)</f>
        <v/>
      </c>
      <c r="B1552">
        <f t="shared" si="158"/>
        <v>0</v>
      </c>
      <c r="C1552">
        <f t="shared" si="159"/>
        <v>0</v>
      </c>
    </row>
    <row r="1553" spans="1:3">
      <c r="A1553" t="str">
        <f>IF(记账凭证!$J3357="","",记账凭证!$J3357)</f>
        <v/>
      </c>
      <c r="B1553">
        <f t="shared" si="158"/>
        <v>0</v>
      </c>
      <c r="C1553">
        <f t="shared" si="159"/>
        <v>0</v>
      </c>
    </row>
    <row r="1554" spans="1:3">
      <c r="A1554" t="str">
        <f>IF(记账凭证!$J3358="","",记账凭证!$J3358)</f>
        <v/>
      </c>
      <c r="B1554">
        <f t="shared" si="158"/>
        <v>0</v>
      </c>
      <c r="C1554">
        <f t="shared" si="159"/>
        <v>0</v>
      </c>
    </row>
    <row r="1555" spans="1:3">
      <c r="A1555" t="str">
        <f>IF(记账凭证!$J3359="","",记账凭证!$J3359)</f>
        <v/>
      </c>
      <c r="B1555">
        <f t="shared" si="158"/>
        <v>0</v>
      </c>
      <c r="C1555">
        <f t="shared" si="159"/>
        <v>0</v>
      </c>
    </row>
    <row r="1556" spans="1:3">
      <c r="A1556" t="str">
        <f>IF(记账凭证!$J3360="","",记账凭证!$J3360)</f>
        <v/>
      </c>
      <c r="B1556">
        <f t="shared" si="158"/>
        <v>0</v>
      </c>
      <c r="C1556">
        <f t="shared" si="159"/>
        <v>0</v>
      </c>
    </row>
    <row r="1557" spans="1:3">
      <c r="A1557" t="str">
        <f>IF(记账凭证!$J3361="","",记账凭证!$J3361)</f>
        <v/>
      </c>
      <c r="B1557">
        <f t="shared" si="158"/>
        <v>0</v>
      </c>
      <c r="C1557">
        <f t="shared" si="159"/>
        <v>0</v>
      </c>
    </row>
    <row r="1558" spans="1:3">
      <c r="A1558" t="str">
        <f>IF(记账凭证!$J3362="","",记账凭证!$J3362)</f>
        <v/>
      </c>
      <c r="B1558">
        <f t="shared" si="158"/>
        <v>0</v>
      </c>
      <c r="C1558">
        <f t="shared" si="159"/>
        <v>0</v>
      </c>
    </row>
    <row r="1559" spans="1:3">
      <c r="A1559" t="str">
        <f>IF(记账凭证!$J3363="","",记账凭证!$J3363)</f>
        <v/>
      </c>
      <c r="B1559">
        <f t="shared" si="158"/>
        <v>0</v>
      </c>
      <c r="C1559">
        <f t="shared" si="159"/>
        <v>0</v>
      </c>
    </row>
    <row r="1560" spans="1:3">
      <c r="A1560" t="str">
        <f>IF(记账凭证!$J3364="","",记账凭证!$J3364)</f>
        <v/>
      </c>
      <c r="B1560">
        <f t="shared" si="158"/>
        <v>0</v>
      </c>
      <c r="C1560">
        <f t="shared" si="159"/>
        <v>0</v>
      </c>
    </row>
    <row r="1561" spans="1:3">
      <c r="A1561" t="str">
        <f>IF(记账凭证!$J3365="","",记账凭证!$J3365)</f>
        <v/>
      </c>
      <c r="B1561">
        <f t="shared" si="158"/>
        <v>0</v>
      </c>
      <c r="C1561">
        <f t="shared" si="159"/>
        <v>0</v>
      </c>
    </row>
    <row r="1562" spans="1:3">
      <c r="A1562" t="str">
        <f>IF(记账凭证!$J3366="","",记账凭证!$J3366)</f>
        <v/>
      </c>
      <c r="B1562">
        <f t="shared" si="158"/>
        <v>0</v>
      </c>
      <c r="C1562">
        <f t="shared" si="159"/>
        <v>0</v>
      </c>
    </row>
    <row r="1563" spans="1:3">
      <c r="A1563" t="str">
        <f>IF(记账凭证!$J3367="","",记账凭证!$J3367)</f>
        <v/>
      </c>
      <c r="B1563">
        <f t="shared" si="158"/>
        <v>0</v>
      </c>
      <c r="C1563">
        <f t="shared" si="159"/>
        <v>0</v>
      </c>
    </row>
    <row r="1564" spans="1:3">
      <c r="A1564" t="str">
        <f>IF(记账凭证!$J3368="","",记账凭证!$J3368)</f>
        <v/>
      </c>
      <c r="B1564">
        <f t="shared" si="158"/>
        <v>0</v>
      </c>
      <c r="C1564">
        <f t="shared" si="159"/>
        <v>0</v>
      </c>
    </row>
    <row r="1565" spans="1:3">
      <c r="A1565" t="str">
        <f>IF(记账凭证!$J3369="","",记账凭证!$J3369)</f>
        <v/>
      </c>
      <c r="B1565">
        <f t="shared" si="158"/>
        <v>0</v>
      </c>
      <c r="C1565">
        <f t="shared" si="159"/>
        <v>0</v>
      </c>
    </row>
    <row r="1566" spans="1:3">
      <c r="A1566" t="str">
        <f>IF(记账凭证!$J3370="","",记账凭证!$J3370)</f>
        <v/>
      </c>
      <c r="B1566">
        <f t="shared" si="158"/>
        <v>0</v>
      </c>
      <c r="C1566">
        <f t="shared" si="159"/>
        <v>0</v>
      </c>
    </row>
    <row r="1567" spans="1:3">
      <c r="A1567" t="str">
        <f>IF(记账凭证!$J3371="","",记账凭证!$J3371)</f>
        <v/>
      </c>
      <c r="B1567">
        <f t="shared" si="158"/>
        <v>0</v>
      </c>
      <c r="C1567">
        <f t="shared" si="159"/>
        <v>0</v>
      </c>
    </row>
    <row r="1568" spans="1:3">
      <c r="A1568" t="str">
        <f>IF(记账凭证!$J3372="","",记账凭证!$J3372)</f>
        <v/>
      </c>
      <c r="B1568">
        <f t="shared" si="158"/>
        <v>0</v>
      </c>
      <c r="C1568">
        <f t="shared" si="159"/>
        <v>0</v>
      </c>
    </row>
    <row r="1569" spans="1:3">
      <c r="A1569" t="str">
        <f>IF(记账凭证!$J3373="","",记账凭证!$J3373)</f>
        <v/>
      </c>
      <c r="B1569">
        <f t="shared" si="158"/>
        <v>0</v>
      </c>
      <c r="C1569">
        <f t="shared" si="159"/>
        <v>0</v>
      </c>
    </row>
    <row r="1570" spans="1:3">
      <c r="A1570" t="str">
        <f>IF(记账凭证!$J3374="","",记账凭证!$J3374)</f>
        <v/>
      </c>
      <c r="B1570">
        <f t="shared" si="158"/>
        <v>0</v>
      </c>
      <c r="C1570">
        <f t="shared" si="159"/>
        <v>0</v>
      </c>
    </row>
    <row r="1571" spans="1:3">
      <c r="A1571" t="str">
        <f>IF(记账凭证!$J3375="","",记账凭证!$J3375)</f>
        <v/>
      </c>
      <c r="B1571">
        <f t="shared" si="158"/>
        <v>0</v>
      </c>
      <c r="C1571">
        <f t="shared" si="159"/>
        <v>0</v>
      </c>
    </row>
    <row r="1572" spans="1:3">
      <c r="A1572" t="str">
        <f>IF(记账凭证!$J3376="","",记账凭证!$J3376)</f>
        <v/>
      </c>
      <c r="B1572">
        <f t="shared" si="158"/>
        <v>0</v>
      </c>
      <c r="C1572">
        <f t="shared" si="159"/>
        <v>0</v>
      </c>
    </row>
    <row r="1573" spans="1:3">
      <c r="A1573" t="str">
        <f>IF(记账凭证!$J3377="","",记账凭证!$J3377)</f>
        <v/>
      </c>
      <c r="B1573">
        <f t="shared" si="158"/>
        <v>0</v>
      </c>
      <c r="C1573">
        <f t="shared" si="159"/>
        <v>0</v>
      </c>
    </row>
    <row r="1574" spans="1:3">
      <c r="A1574" t="str">
        <f>IF(记账凭证!$J3378="","",记账凭证!$J3378)</f>
        <v/>
      </c>
      <c r="B1574">
        <f t="shared" si="158"/>
        <v>0</v>
      </c>
      <c r="C1574">
        <f t="shared" si="159"/>
        <v>0</v>
      </c>
    </row>
    <row r="1575" spans="1:3">
      <c r="A1575" t="str">
        <f>IF(记账凭证!$J3379="","",记账凭证!$J3379)</f>
        <v/>
      </c>
      <c r="B1575">
        <f t="shared" si="158"/>
        <v>0</v>
      </c>
      <c r="C1575">
        <f t="shared" si="159"/>
        <v>0</v>
      </c>
    </row>
    <row r="1576" spans="1:3">
      <c r="A1576" t="str">
        <f>IF(记账凭证!$J3380="","",记账凭证!$J3380)</f>
        <v/>
      </c>
      <c r="B1576">
        <f t="shared" si="158"/>
        <v>0</v>
      </c>
      <c r="C1576">
        <f t="shared" si="159"/>
        <v>0</v>
      </c>
    </row>
    <row r="1577" spans="1:3">
      <c r="A1577" t="str">
        <f>IF(记账凭证!$J3381="","",记账凭证!$J3381)</f>
        <v/>
      </c>
      <c r="B1577">
        <f t="shared" si="158"/>
        <v>0</v>
      </c>
      <c r="C1577">
        <f t="shared" si="159"/>
        <v>0</v>
      </c>
    </row>
    <row r="1578" spans="1:3">
      <c r="A1578" t="str">
        <f>IF(记账凭证!$J3382="","",记账凭证!$J3382)</f>
        <v/>
      </c>
      <c r="B1578">
        <f t="shared" si="158"/>
        <v>0</v>
      </c>
      <c r="C1578">
        <f t="shared" si="159"/>
        <v>0</v>
      </c>
    </row>
    <row r="1579" spans="1:3">
      <c r="A1579" t="str">
        <f>IF(记账凭证!$J3383="","",记账凭证!$J3383)</f>
        <v/>
      </c>
      <c r="B1579">
        <f t="shared" si="158"/>
        <v>0</v>
      </c>
      <c r="C1579">
        <f t="shared" si="159"/>
        <v>0</v>
      </c>
    </row>
    <row r="1580" spans="1:3">
      <c r="A1580" t="str">
        <f>IF(记账凭证!$J3384="","",记账凭证!$J3384)</f>
        <v/>
      </c>
      <c r="B1580">
        <f t="shared" si="158"/>
        <v>0</v>
      </c>
      <c r="C1580">
        <f t="shared" si="159"/>
        <v>0</v>
      </c>
    </row>
    <row r="1581" spans="1:3">
      <c r="A1581" t="str">
        <f>IF(记账凭证!$J3385="","",记账凭证!$J3385)</f>
        <v/>
      </c>
      <c r="B1581">
        <f t="shared" si="158"/>
        <v>0</v>
      </c>
      <c r="C1581">
        <f t="shared" si="159"/>
        <v>0</v>
      </c>
    </row>
    <row r="1582" spans="1:3">
      <c r="A1582" t="str">
        <f>IF(记账凭证!$J3386="","",记账凭证!$J3386)</f>
        <v/>
      </c>
      <c r="B1582">
        <f t="shared" si="158"/>
        <v>0</v>
      </c>
      <c r="C1582">
        <f t="shared" si="159"/>
        <v>0</v>
      </c>
    </row>
    <row r="1583" spans="1:3">
      <c r="A1583" t="str">
        <f>IF(记账凭证!$J3387="","",记账凭证!$J3387)</f>
        <v/>
      </c>
      <c r="B1583">
        <f t="shared" si="158"/>
        <v>0</v>
      </c>
      <c r="C1583">
        <f t="shared" si="159"/>
        <v>0</v>
      </c>
    </row>
    <row r="1584" spans="1:3">
      <c r="A1584" t="str">
        <f>IF(记账凭证!$J3388="","",记账凭证!$J3388)</f>
        <v/>
      </c>
      <c r="B1584">
        <f t="shared" si="158"/>
        <v>0</v>
      </c>
      <c r="C1584">
        <f t="shared" si="159"/>
        <v>0</v>
      </c>
    </row>
    <row r="1585" spans="1:3">
      <c r="A1585" t="str">
        <f>IF(记账凭证!$J3389="","",记账凭证!$J3389)</f>
        <v/>
      </c>
      <c r="B1585">
        <f t="shared" si="158"/>
        <v>0</v>
      </c>
      <c r="C1585">
        <f t="shared" si="159"/>
        <v>0</v>
      </c>
    </row>
    <row r="1586" spans="1:3">
      <c r="A1586" t="str">
        <f>IF(记账凭证!$J3390="","",记账凭证!$J3390)</f>
        <v/>
      </c>
      <c r="B1586">
        <f t="shared" si="158"/>
        <v>0</v>
      </c>
      <c r="C1586">
        <f t="shared" si="159"/>
        <v>0</v>
      </c>
    </row>
    <row r="1587" spans="1:3">
      <c r="A1587" t="str">
        <f>IF(记账凭证!$J3391="","",记账凭证!$J3391)</f>
        <v/>
      </c>
      <c r="B1587">
        <f t="shared" si="158"/>
        <v>0</v>
      </c>
      <c r="C1587">
        <f t="shared" si="159"/>
        <v>0</v>
      </c>
    </row>
    <row r="1588" spans="1:3">
      <c r="A1588" t="str">
        <f>IF(记账凭证!$J3392="","",记账凭证!$J3392)</f>
        <v/>
      </c>
      <c r="B1588">
        <f t="shared" si="158"/>
        <v>0</v>
      </c>
      <c r="C1588">
        <f t="shared" si="159"/>
        <v>0</v>
      </c>
    </row>
    <row r="1589" spans="1:3">
      <c r="A1589" t="str">
        <f>IF(记账凭证!$J3393="","",记账凭证!$J3393)</f>
        <v/>
      </c>
      <c r="B1589">
        <f t="shared" si="158"/>
        <v>0</v>
      </c>
      <c r="C1589">
        <f t="shared" si="159"/>
        <v>0</v>
      </c>
    </row>
    <row r="1590" spans="1:3">
      <c r="A1590" t="str">
        <f>IF(记账凭证!$J3394="","",记账凭证!$J3394)</f>
        <v/>
      </c>
      <c r="B1590">
        <f t="shared" si="158"/>
        <v>0</v>
      </c>
      <c r="C1590">
        <f t="shared" si="159"/>
        <v>0</v>
      </c>
    </row>
    <row r="1591" spans="1:3">
      <c r="A1591" t="str">
        <f>IF(记账凭证!$J3395="","",记账凭证!$J3395)</f>
        <v/>
      </c>
      <c r="B1591">
        <f t="shared" si="158"/>
        <v>0</v>
      </c>
      <c r="C1591">
        <f t="shared" si="159"/>
        <v>0</v>
      </c>
    </row>
    <row r="1592" spans="1:3">
      <c r="A1592" t="str">
        <f>IF(记账凭证!$J3396="","",记账凭证!$J3396)</f>
        <v/>
      </c>
      <c r="B1592">
        <f t="shared" si="158"/>
        <v>0</v>
      </c>
      <c r="C1592">
        <f t="shared" si="159"/>
        <v>0</v>
      </c>
    </row>
    <row r="1593" spans="1:3">
      <c r="A1593" t="str">
        <f>IF(记账凭证!$J3397="","",记账凭证!$J3397)</f>
        <v/>
      </c>
      <c r="B1593">
        <f t="shared" si="158"/>
        <v>0</v>
      </c>
      <c r="C1593">
        <f t="shared" si="159"/>
        <v>0</v>
      </c>
    </row>
    <row r="1594" spans="1:3">
      <c r="A1594" t="str">
        <f>IF(记账凭证!$J3398="","",记账凭证!$J3398)</f>
        <v/>
      </c>
      <c r="B1594">
        <f t="shared" si="158"/>
        <v>0</v>
      </c>
      <c r="C1594">
        <f t="shared" si="159"/>
        <v>0</v>
      </c>
    </row>
    <row r="1595" spans="1:3">
      <c r="A1595" t="str">
        <f>IF(记账凭证!$J3399="","",记账凭证!$J3399)</f>
        <v/>
      </c>
      <c r="B1595">
        <f t="shared" si="158"/>
        <v>0</v>
      </c>
      <c r="C1595">
        <f t="shared" si="159"/>
        <v>0</v>
      </c>
    </row>
    <row r="1596" spans="1:3">
      <c r="A1596" t="str">
        <f>IF(记账凭证!$J3400="","",记账凭证!$J3400)</f>
        <v/>
      </c>
      <c r="B1596">
        <f t="shared" si="158"/>
        <v>0</v>
      </c>
      <c r="C1596">
        <f t="shared" si="159"/>
        <v>0</v>
      </c>
    </row>
    <row r="1597" spans="1:3">
      <c r="A1597" t="str">
        <f>IF(记账凭证!$J3401="","",记账凭证!$J3401)</f>
        <v/>
      </c>
      <c r="B1597">
        <f t="shared" si="158"/>
        <v>0</v>
      </c>
      <c r="C1597">
        <f t="shared" si="159"/>
        <v>0</v>
      </c>
    </row>
    <row r="1598" spans="1:3">
      <c r="A1598" t="str">
        <f>IF(记账凭证!$J3402="","",记账凭证!$J3402)</f>
        <v/>
      </c>
      <c r="B1598">
        <f t="shared" si="158"/>
        <v>0</v>
      </c>
      <c r="C1598">
        <f t="shared" si="159"/>
        <v>0</v>
      </c>
    </row>
    <row r="1599" spans="1:3">
      <c r="A1599" t="str">
        <f>IF(记账凭证!$J3403="","",记账凭证!$J3403)</f>
        <v/>
      </c>
      <c r="B1599">
        <f t="shared" si="158"/>
        <v>0</v>
      </c>
      <c r="C1599">
        <f t="shared" si="159"/>
        <v>0</v>
      </c>
    </row>
    <row r="1600" spans="1:3">
      <c r="A1600" t="str">
        <f>IF(记账凭证!$J3404="","",记账凭证!$J3404)</f>
        <v/>
      </c>
      <c r="B1600">
        <f t="shared" si="158"/>
        <v>0</v>
      </c>
      <c r="C1600">
        <f t="shared" si="159"/>
        <v>0</v>
      </c>
    </row>
    <row r="1601" spans="1:3">
      <c r="A1601" t="str">
        <f>IF(记账凭证!$J3405="","",记账凭证!$J3405)</f>
        <v/>
      </c>
      <c r="B1601">
        <f t="shared" si="158"/>
        <v>0</v>
      </c>
      <c r="C1601">
        <f t="shared" si="159"/>
        <v>0</v>
      </c>
    </row>
    <row r="1602" spans="1:3">
      <c r="A1602" t="str">
        <f>IF(记账凭证!$J3406="","",记账凭证!$J3406)</f>
        <v/>
      </c>
      <c r="B1602">
        <f t="shared" si="158"/>
        <v>0</v>
      </c>
      <c r="C1602">
        <f t="shared" si="159"/>
        <v>0</v>
      </c>
    </row>
    <row r="1603" spans="1:3">
      <c r="A1603" t="str">
        <f>IF(记账凭证!$J3407="","",记账凭证!$J3407)</f>
        <v/>
      </c>
      <c r="B1603">
        <f t="shared" si="158"/>
        <v>0</v>
      </c>
      <c r="C1603">
        <f t="shared" si="159"/>
        <v>0</v>
      </c>
    </row>
    <row r="1604" spans="1:3">
      <c r="A1604" t="str">
        <f>IF(记账凭证!$J3408="","",记账凭证!$J3408)</f>
        <v/>
      </c>
      <c r="B1604">
        <f t="shared" ref="B1604:B1667" si="160">IF(A1604="",0,IF(MATCH(A1604,$A$4:$A$1805,0)=ROW()-3,1,0))</f>
        <v>0</v>
      </c>
      <c r="C1604">
        <f t="shared" ref="C1604:C1667" si="161">N(C1603)+B1604</f>
        <v>0</v>
      </c>
    </row>
    <row r="1605" spans="1:3">
      <c r="A1605" t="str">
        <f>IF(记账凭证!$J3409="","",记账凭证!$J3409)</f>
        <v/>
      </c>
      <c r="B1605">
        <f t="shared" si="160"/>
        <v>0</v>
      </c>
      <c r="C1605">
        <f t="shared" si="161"/>
        <v>0</v>
      </c>
    </row>
    <row r="1606" spans="1:3">
      <c r="A1606" t="str">
        <f>IF(记账凭证!$J3410="","",记账凭证!$J3410)</f>
        <v/>
      </c>
      <c r="B1606">
        <f t="shared" si="160"/>
        <v>0</v>
      </c>
      <c r="C1606">
        <f t="shared" si="161"/>
        <v>0</v>
      </c>
    </row>
    <row r="1607" spans="1:3">
      <c r="A1607" t="str">
        <f>IF(记账凭证!$J3411="","",记账凭证!$J3411)</f>
        <v/>
      </c>
      <c r="B1607">
        <f t="shared" si="160"/>
        <v>0</v>
      </c>
      <c r="C1607">
        <f t="shared" si="161"/>
        <v>0</v>
      </c>
    </row>
    <row r="1608" spans="1:3">
      <c r="A1608" t="str">
        <f>IF(记账凭证!$J3412="","",记账凭证!$J3412)</f>
        <v/>
      </c>
      <c r="B1608">
        <f t="shared" si="160"/>
        <v>0</v>
      </c>
      <c r="C1608">
        <f t="shared" si="161"/>
        <v>0</v>
      </c>
    </row>
    <row r="1609" spans="1:3">
      <c r="A1609" t="str">
        <f>IF(记账凭证!$J3413="","",记账凭证!$J3413)</f>
        <v/>
      </c>
      <c r="B1609">
        <f t="shared" si="160"/>
        <v>0</v>
      </c>
      <c r="C1609">
        <f t="shared" si="161"/>
        <v>0</v>
      </c>
    </row>
    <row r="1610" spans="1:3">
      <c r="A1610" t="str">
        <f>IF(记账凭证!$J3414="","",记账凭证!$J3414)</f>
        <v/>
      </c>
      <c r="B1610">
        <f t="shared" si="160"/>
        <v>0</v>
      </c>
      <c r="C1610">
        <f t="shared" si="161"/>
        <v>0</v>
      </c>
    </row>
    <row r="1611" spans="1:3">
      <c r="A1611" t="str">
        <f>IF(记账凭证!$J3415="","",记账凭证!$J3415)</f>
        <v/>
      </c>
      <c r="B1611">
        <f t="shared" si="160"/>
        <v>0</v>
      </c>
      <c r="C1611">
        <f t="shared" si="161"/>
        <v>0</v>
      </c>
    </row>
    <row r="1612" spans="1:3">
      <c r="A1612" t="str">
        <f>IF(记账凭证!$J3416="","",记账凭证!$J3416)</f>
        <v/>
      </c>
      <c r="B1612">
        <f t="shared" si="160"/>
        <v>0</v>
      </c>
      <c r="C1612">
        <f t="shared" si="161"/>
        <v>0</v>
      </c>
    </row>
    <row r="1613" spans="1:3">
      <c r="A1613" t="str">
        <f>IF(记账凭证!$J3417="","",记账凭证!$J3417)</f>
        <v/>
      </c>
      <c r="B1613">
        <f t="shared" si="160"/>
        <v>0</v>
      </c>
      <c r="C1613">
        <f t="shared" si="161"/>
        <v>0</v>
      </c>
    </row>
    <row r="1614" spans="1:3">
      <c r="A1614" t="str">
        <f>IF(记账凭证!$J3418="","",记账凭证!$J3418)</f>
        <v/>
      </c>
      <c r="B1614">
        <f t="shared" si="160"/>
        <v>0</v>
      </c>
      <c r="C1614">
        <f t="shared" si="161"/>
        <v>0</v>
      </c>
    </row>
    <row r="1615" spans="1:3">
      <c r="A1615" t="str">
        <f>IF(记账凭证!$J3419="","",记账凭证!$J3419)</f>
        <v/>
      </c>
      <c r="B1615">
        <f t="shared" si="160"/>
        <v>0</v>
      </c>
      <c r="C1615">
        <f t="shared" si="161"/>
        <v>0</v>
      </c>
    </row>
    <row r="1616" spans="1:3">
      <c r="A1616" t="str">
        <f>IF(记账凭证!$J3420="","",记账凭证!$J3420)</f>
        <v/>
      </c>
      <c r="B1616">
        <f t="shared" si="160"/>
        <v>0</v>
      </c>
      <c r="C1616">
        <f t="shared" si="161"/>
        <v>0</v>
      </c>
    </row>
    <row r="1617" spans="1:3">
      <c r="A1617" t="str">
        <f>IF(记账凭证!$J3421="","",记账凭证!$J3421)</f>
        <v/>
      </c>
      <c r="B1617">
        <f t="shared" si="160"/>
        <v>0</v>
      </c>
      <c r="C1617">
        <f t="shared" si="161"/>
        <v>0</v>
      </c>
    </row>
    <row r="1618" spans="1:3">
      <c r="A1618" t="str">
        <f>IF(记账凭证!$J3422="","",记账凭证!$J3422)</f>
        <v/>
      </c>
      <c r="B1618">
        <f t="shared" si="160"/>
        <v>0</v>
      </c>
      <c r="C1618">
        <f t="shared" si="161"/>
        <v>0</v>
      </c>
    </row>
    <row r="1619" spans="1:3">
      <c r="A1619" t="str">
        <f>IF(记账凭证!$J3423="","",记账凭证!$J3423)</f>
        <v/>
      </c>
      <c r="B1619">
        <f t="shared" si="160"/>
        <v>0</v>
      </c>
      <c r="C1619">
        <f t="shared" si="161"/>
        <v>0</v>
      </c>
    </row>
    <row r="1620" spans="1:3">
      <c r="A1620" t="str">
        <f>IF(记账凭证!$J3424="","",记账凭证!$J3424)</f>
        <v/>
      </c>
      <c r="B1620">
        <f t="shared" si="160"/>
        <v>0</v>
      </c>
      <c r="C1620">
        <f t="shared" si="161"/>
        <v>0</v>
      </c>
    </row>
    <row r="1621" spans="1:3">
      <c r="A1621" t="str">
        <f>IF(记账凭证!$J3425="","",记账凭证!$J3425)</f>
        <v/>
      </c>
      <c r="B1621">
        <f t="shared" si="160"/>
        <v>0</v>
      </c>
      <c r="C1621">
        <f t="shared" si="161"/>
        <v>0</v>
      </c>
    </row>
    <row r="1622" spans="1:3">
      <c r="A1622" t="str">
        <f>IF(记账凭证!$J3426="","",记账凭证!$J3426)</f>
        <v/>
      </c>
      <c r="B1622">
        <f t="shared" si="160"/>
        <v>0</v>
      </c>
      <c r="C1622">
        <f t="shared" si="161"/>
        <v>0</v>
      </c>
    </row>
    <row r="1623" spans="1:3">
      <c r="A1623" t="str">
        <f>IF(记账凭证!$J3427="","",记账凭证!$J3427)</f>
        <v/>
      </c>
      <c r="B1623">
        <f t="shared" si="160"/>
        <v>0</v>
      </c>
      <c r="C1623">
        <f t="shared" si="161"/>
        <v>0</v>
      </c>
    </row>
    <row r="1624" spans="1:3">
      <c r="A1624" t="str">
        <f>IF(记账凭证!$J3428="","",记账凭证!$J3428)</f>
        <v/>
      </c>
      <c r="B1624">
        <f t="shared" si="160"/>
        <v>0</v>
      </c>
      <c r="C1624">
        <f t="shared" si="161"/>
        <v>0</v>
      </c>
    </row>
    <row r="1625" spans="1:3">
      <c r="A1625" t="str">
        <f>IF(记账凭证!$J3429="","",记账凭证!$J3429)</f>
        <v/>
      </c>
      <c r="B1625">
        <f t="shared" si="160"/>
        <v>0</v>
      </c>
      <c r="C1625">
        <f t="shared" si="161"/>
        <v>0</v>
      </c>
    </row>
    <row r="1626" spans="1:3">
      <c r="A1626" t="str">
        <f>IF(记账凭证!$J3430="","",记账凭证!$J3430)</f>
        <v/>
      </c>
      <c r="B1626">
        <f t="shared" si="160"/>
        <v>0</v>
      </c>
      <c r="C1626">
        <f t="shared" si="161"/>
        <v>0</v>
      </c>
    </row>
    <row r="1627" spans="1:3">
      <c r="A1627" t="str">
        <f>IF(记账凭证!$J3431="","",记账凭证!$J3431)</f>
        <v/>
      </c>
      <c r="B1627">
        <f t="shared" si="160"/>
        <v>0</v>
      </c>
      <c r="C1627">
        <f t="shared" si="161"/>
        <v>0</v>
      </c>
    </row>
    <row r="1628" spans="1:3">
      <c r="A1628" t="str">
        <f>IF(记账凭证!$J3432="","",记账凭证!$J3432)</f>
        <v/>
      </c>
      <c r="B1628">
        <f t="shared" si="160"/>
        <v>0</v>
      </c>
      <c r="C1628">
        <f t="shared" si="161"/>
        <v>0</v>
      </c>
    </row>
    <row r="1629" spans="1:3">
      <c r="A1629" t="str">
        <f>IF(记账凭证!$J3433="","",记账凭证!$J3433)</f>
        <v/>
      </c>
      <c r="B1629">
        <f t="shared" si="160"/>
        <v>0</v>
      </c>
      <c r="C1629">
        <f t="shared" si="161"/>
        <v>0</v>
      </c>
    </row>
    <row r="1630" spans="1:3">
      <c r="A1630" t="str">
        <f>IF(记账凭证!$J3434="","",记账凭证!$J3434)</f>
        <v/>
      </c>
      <c r="B1630">
        <f t="shared" si="160"/>
        <v>0</v>
      </c>
      <c r="C1630">
        <f t="shared" si="161"/>
        <v>0</v>
      </c>
    </row>
    <row r="1631" spans="1:3">
      <c r="A1631" t="str">
        <f>IF(记账凭证!$J3435="","",记账凭证!$J3435)</f>
        <v/>
      </c>
      <c r="B1631">
        <f t="shared" si="160"/>
        <v>0</v>
      </c>
      <c r="C1631">
        <f t="shared" si="161"/>
        <v>0</v>
      </c>
    </row>
    <row r="1632" spans="1:3">
      <c r="A1632" t="str">
        <f>IF(记账凭证!$J3436="","",记账凭证!$J3436)</f>
        <v/>
      </c>
      <c r="B1632">
        <f t="shared" si="160"/>
        <v>0</v>
      </c>
      <c r="C1632">
        <f t="shared" si="161"/>
        <v>0</v>
      </c>
    </row>
    <row r="1633" spans="1:3">
      <c r="A1633" t="str">
        <f>IF(记账凭证!$J3437="","",记账凭证!$J3437)</f>
        <v/>
      </c>
      <c r="B1633">
        <f t="shared" si="160"/>
        <v>0</v>
      </c>
      <c r="C1633">
        <f t="shared" si="161"/>
        <v>0</v>
      </c>
    </row>
    <row r="1634" spans="1:3">
      <c r="A1634" t="str">
        <f>IF(记账凭证!$J3438="","",记账凭证!$J3438)</f>
        <v/>
      </c>
      <c r="B1634">
        <f t="shared" si="160"/>
        <v>0</v>
      </c>
      <c r="C1634">
        <f t="shared" si="161"/>
        <v>0</v>
      </c>
    </row>
    <row r="1635" spans="1:3">
      <c r="A1635" t="str">
        <f>IF(记账凭证!$J3439="","",记账凭证!$J3439)</f>
        <v/>
      </c>
      <c r="B1635">
        <f t="shared" si="160"/>
        <v>0</v>
      </c>
      <c r="C1635">
        <f t="shared" si="161"/>
        <v>0</v>
      </c>
    </row>
    <row r="1636" spans="1:3">
      <c r="A1636" t="str">
        <f>IF(记账凭证!$J3440="","",记账凭证!$J3440)</f>
        <v/>
      </c>
      <c r="B1636">
        <f t="shared" si="160"/>
        <v>0</v>
      </c>
      <c r="C1636">
        <f t="shared" si="161"/>
        <v>0</v>
      </c>
    </row>
    <row r="1637" spans="1:3">
      <c r="A1637" t="str">
        <f>IF(记账凭证!$J3441="","",记账凭证!$J3441)</f>
        <v/>
      </c>
      <c r="B1637">
        <f t="shared" si="160"/>
        <v>0</v>
      </c>
      <c r="C1637">
        <f t="shared" si="161"/>
        <v>0</v>
      </c>
    </row>
    <row r="1638" spans="1:3">
      <c r="A1638" t="str">
        <f>IF(记账凭证!$J3442="","",记账凭证!$J3442)</f>
        <v/>
      </c>
      <c r="B1638">
        <f t="shared" si="160"/>
        <v>0</v>
      </c>
      <c r="C1638">
        <f t="shared" si="161"/>
        <v>0</v>
      </c>
    </row>
    <row r="1639" spans="1:3">
      <c r="A1639" t="str">
        <f>IF(记账凭证!$J3443="","",记账凭证!$J3443)</f>
        <v/>
      </c>
      <c r="B1639">
        <f t="shared" si="160"/>
        <v>0</v>
      </c>
      <c r="C1639">
        <f t="shared" si="161"/>
        <v>0</v>
      </c>
    </row>
    <row r="1640" spans="1:3">
      <c r="A1640" t="str">
        <f>IF(记账凭证!$J3444="","",记账凭证!$J3444)</f>
        <v/>
      </c>
      <c r="B1640">
        <f t="shared" si="160"/>
        <v>0</v>
      </c>
      <c r="C1640">
        <f t="shared" si="161"/>
        <v>0</v>
      </c>
    </row>
    <row r="1641" spans="1:3">
      <c r="A1641" t="str">
        <f>IF(记账凭证!$J3445="","",记账凭证!$J3445)</f>
        <v/>
      </c>
      <c r="B1641">
        <f t="shared" si="160"/>
        <v>0</v>
      </c>
      <c r="C1641">
        <f t="shared" si="161"/>
        <v>0</v>
      </c>
    </row>
    <row r="1642" spans="1:3">
      <c r="A1642" t="str">
        <f>IF(记账凭证!$J3446="","",记账凭证!$J3446)</f>
        <v/>
      </c>
      <c r="B1642">
        <f t="shared" si="160"/>
        <v>0</v>
      </c>
      <c r="C1642">
        <f t="shared" si="161"/>
        <v>0</v>
      </c>
    </row>
    <row r="1643" spans="1:3">
      <c r="A1643" t="str">
        <f>IF(记账凭证!$J3447="","",记账凭证!$J3447)</f>
        <v/>
      </c>
      <c r="B1643">
        <f t="shared" si="160"/>
        <v>0</v>
      </c>
      <c r="C1643">
        <f t="shared" si="161"/>
        <v>0</v>
      </c>
    </row>
    <row r="1644" spans="1:3">
      <c r="A1644" t="str">
        <f>IF(记账凭证!$J3448="","",记账凭证!$J3448)</f>
        <v/>
      </c>
      <c r="B1644">
        <f t="shared" si="160"/>
        <v>0</v>
      </c>
      <c r="C1644">
        <f t="shared" si="161"/>
        <v>0</v>
      </c>
    </row>
    <row r="1645" spans="1:3">
      <c r="A1645" t="str">
        <f>IF(记账凭证!$J3449="","",记账凭证!$J3449)</f>
        <v/>
      </c>
      <c r="B1645">
        <f t="shared" si="160"/>
        <v>0</v>
      </c>
      <c r="C1645">
        <f t="shared" si="161"/>
        <v>0</v>
      </c>
    </row>
    <row r="1646" spans="1:3">
      <c r="A1646" t="str">
        <f>IF(记账凭证!$J3450="","",记账凭证!$J3450)</f>
        <v/>
      </c>
      <c r="B1646">
        <f t="shared" si="160"/>
        <v>0</v>
      </c>
      <c r="C1646">
        <f t="shared" si="161"/>
        <v>0</v>
      </c>
    </row>
    <row r="1647" spans="1:3">
      <c r="A1647" t="str">
        <f>IF(记账凭证!$J3451="","",记账凭证!$J3451)</f>
        <v/>
      </c>
      <c r="B1647">
        <f t="shared" si="160"/>
        <v>0</v>
      </c>
      <c r="C1647">
        <f t="shared" si="161"/>
        <v>0</v>
      </c>
    </row>
    <row r="1648" spans="1:3">
      <c r="A1648" t="str">
        <f>IF(记账凭证!$J3452="","",记账凭证!$J3452)</f>
        <v/>
      </c>
      <c r="B1648">
        <f t="shared" si="160"/>
        <v>0</v>
      </c>
      <c r="C1648">
        <f t="shared" si="161"/>
        <v>0</v>
      </c>
    </row>
    <row r="1649" spans="1:3">
      <c r="A1649" t="str">
        <f>IF(记账凭证!$J3453="","",记账凭证!$J3453)</f>
        <v/>
      </c>
      <c r="B1649">
        <f t="shared" si="160"/>
        <v>0</v>
      </c>
      <c r="C1649">
        <f t="shared" si="161"/>
        <v>0</v>
      </c>
    </row>
    <row r="1650" spans="1:3">
      <c r="A1650" t="str">
        <f>IF(记账凭证!$J3454="","",记账凭证!$J3454)</f>
        <v/>
      </c>
      <c r="B1650">
        <f t="shared" si="160"/>
        <v>0</v>
      </c>
      <c r="C1650">
        <f t="shared" si="161"/>
        <v>0</v>
      </c>
    </row>
    <row r="1651" spans="1:3">
      <c r="A1651" t="str">
        <f>IF(记账凭证!$J3455="","",记账凭证!$J3455)</f>
        <v/>
      </c>
      <c r="B1651">
        <f t="shared" si="160"/>
        <v>0</v>
      </c>
      <c r="C1651">
        <f t="shared" si="161"/>
        <v>0</v>
      </c>
    </row>
    <row r="1652" spans="1:3">
      <c r="A1652" t="str">
        <f>IF(记账凭证!$J3456="","",记账凭证!$J3456)</f>
        <v/>
      </c>
      <c r="B1652">
        <f t="shared" si="160"/>
        <v>0</v>
      </c>
      <c r="C1652">
        <f t="shared" si="161"/>
        <v>0</v>
      </c>
    </row>
    <row r="1653" spans="1:3">
      <c r="A1653" t="str">
        <f>IF(记账凭证!$J3457="","",记账凭证!$J3457)</f>
        <v/>
      </c>
      <c r="B1653">
        <f t="shared" si="160"/>
        <v>0</v>
      </c>
      <c r="C1653">
        <f t="shared" si="161"/>
        <v>0</v>
      </c>
    </row>
    <row r="1654" spans="1:3">
      <c r="A1654" t="str">
        <f>IF(记账凭证!$J3458="","",记账凭证!$J3458)</f>
        <v/>
      </c>
      <c r="B1654">
        <f t="shared" si="160"/>
        <v>0</v>
      </c>
      <c r="C1654">
        <f t="shared" si="161"/>
        <v>0</v>
      </c>
    </row>
    <row r="1655" spans="1:3">
      <c r="A1655" t="str">
        <f>IF(记账凭证!$J3459="","",记账凭证!$J3459)</f>
        <v/>
      </c>
      <c r="B1655">
        <f t="shared" si="160"/>
        <v>0</v>
      </c>
      <c r="C1655">
        <f t="shared" si="161"/>
        <v>0</v>
      </c>
    </row>
    <row r="1656" spans="1:3">
      <c r="A1656" t="str">
        <f>IF(记账凭证!$J3460="","",记账凭证!$J3460)</f>
        <v/>
      </c>
      <c r="B1656">
        <f t="shared" si="160"/>
        <v>0</v>
      </c>
      <c r="C1656">
        <f t="shared" si="161"/>
        <v>0</v>
      </c>
    </row>
    <row r="1657" spans="1:3">
      <c r="A1657" t="str">
        <f>IF(记账凭证!$J3461="","",记账凭证!$J3461)</f>
        <v/>
      </c>
      <c r="B1657">
        <f t="shared" si="160"/>
        <v>0</v>
      </c>
      <c r="C1657">
        <f t="shared" si="161"/>
        <v>0</v>
      </c>
    </row>
    <row r="1658" spans="1:3">
      <c r="A1658" t="str">
        <f>IF(记账凭证!$J3462="","",记账凭证!$J3462)</f>
        <v/>
      </c>
      <c r="B1658">
        <f t="shared" si="160"/>
        <v>0</v>
      </c>
      <c r="C1658">
        <f t="shared" si="161"/>
        <v>0</v>
      </c>
    </row>
    <row r="1659" spans="1:3">
      <c r="A1659" t="str">
        <f>IF(记账凭证!$J3463="","",记账凭证!$J3463)</f>
        <v/>
      </c>
      <c r="B1659">
        <f t="shared" si="160"/>
        <v>0</v>
      </c>
      <c r="C1659">
        <f t="shared" si="161"/>
        <v>0</v>
      </c>
    </row>
    <row r="1660" spans="1:3">
      <c r="A1660" t="str">
        <f>IF(记账凭证!$J3464="","",记账凭证!$J3464)</f>
        <v/>
      </c>
      <c r="B1660">
        <f t="shared" si="160"/>
        <v>0</v>
      </c>
      <c r="C1660">
        <f t="shared" si="161"/>
        <v>0</v>
      </c>
    </row>
    <row r="1661" spans="1:3">
      <c r="A1661" t="str">
        <f>IF(记账凭证!$J3465="","",记账凭证!$J3465)</f>
        <v/>
      </c>
      <c r="B1661">
        <f t="shared" si="160"/>
        <v>0</v>
      </c>
      <c r="C1661">
        <f t="shared" si="161"/>
        <v>0</v>
      </c>
    </row>
    <row r="1662" spans="1:3">
      <c r="A1662" t="str">
        <f>IF(记账凭证!$J3466="","",记账凭证!$J3466)</f>
        <v/>
      </c>
      <c r="B1662">
        <f t="shared" si="160"/>
        <v>0</v>
      </c>
      <c r="C1662">
        <f t="shared" si="161"/>
        <v>0</v>
      </c>
    </row>
    <row r="1663" spans="1:3">
      <c r="A1663" t="str">
        <f>IF(记账凭证!$J3467="","",记账凭证!$J3467)</f>
        <v/>
      </c>
      <c r="B1663">
        <f t="shared" si="160"/>
        <v>0</v>
      </c>
      <c r="C1663">
        <f t="shared" si="161"/>
        <v>0</v>
      </c>
    </row>
    <row r="1664" spans="1:3">
      <c r="A1664" t="str">
        <f>IF(记账凭证!$J3468="","",记账凭证!$J3468)</f>
        <v/>
      </c>
      <c r="B1664">
        <f t="shared" si="160"/>
        <v>0</v>
      </c>
      <c r="C1664">
        <f t="shared" si="161"/>
        <v>0</v>
      </c>
    </row>
    <row r="1665" spans="1:3">
      <c r="A1665" t="str">
        <f>IF(记账凭证!$J3469="","",记账凭证!$J3469)</f>
        <v/>
      </c>
      <c r="B1665">
        <f t="shared" si="160"/>
        <v>0</v>
      </c>
      <c r="C1665">
        <f t="shared" si="161"/>
        <v>0</v>
      </c>
    </row>
    <row r="1666" spans="1:3">
      <c r="A1666" t="str">
        <f>IF(记账凭证!$J3470="","",记账凭证!$J3470)</f>
        <v/>
      </c>
      <c r="B1666">
        <f t="shared" si="160"/>
        <v>0</v>
      </c>
      <c r="C1666">
        <f t="shared" si="161"/>
        <v>0</v>
      </c>
    </row>
    <row r="1667" spans="1:3">
      <c r="A1667" t="str">
        <f>IF(记账凭证!$J3471="","",记账凭证!$J3471)</f>
        <v/>
      </c>
      <c r="B1667">
        <f t="shared" si="160"/>
        <v>0</v>
      </c>
      <c r="C1667">
        <f t="shared" si="161"/>
        <v>0</v>
      </c>
    </row>
    <row r="1668" spans="1:3">
      <c r="A1668" t="str">
        <f>IF(记账凭证!$J3472="","",记账凭证!$J3472)</f>
        <v/>
      </c>
      <c r="B1668">
        <f t="shared" ref="B1668:B1731" si="162">IF(A1668="",0,IF(MATCH(A1668,$A$4:$A$1805,0)=ROW()-3,1,0))</f>
        <v>0</v>
      </c>
      <c r="C1668">
        <f t="shared" ref="C1668:C1731" si="163">N(C1667)+B1668</f>
        <v>0</v>
      </c>
    </row>
    <row r="1669" spans="1:3">
      <c r="A1669" t="str">
        <f>IF(记账凭证!$J3473="","",记账凭证!$J3473)</f>
        <v/>
      </c>
      <c r="B1669">
        <f t="shared" si="162"/>
        <v>0</v>
      </c>
      <c r="C1669">
        <f t="shared" si="163"/>
        <v>0</v>
      </c>
    </row>
    <row r="1670" spans="1:3">
      <c r="A1670" t="str">
        <f>IF(记账凭证!$J3474="","",记账凭证!$J3474)</f>
        <v/>
      </c>
      <c r="B1670">
        <f t="shared" si="162"/>
        <v>0</v>
      </c>
      <c r="C1670">
        <f t="shared" si="163"/>
        <v>0</v>
      </c>
    </row>
    <row r="1671" spans="1:3">
      <c r="A1671" t="str">
        <f>IF(记账凭证!$J3475="","",记账凭证!$J3475)</f>
        <v/>
      </c>
      <c r="B1671">
        <f t="shared" si="162"/>
        <v>0</v>
      </c>
      <c r="C1671">
        <f t="shared" si="163"/>
        <v>0</v>
      </c>
    </row>
    <row r="1672" spans="1:3">
      <c r="A1672" t="str">
        <f>IF(记账凭证!$J3476="","",记账凭证!$J3476)</f>
        <v/>
      </c>
      <c r="B1672">
        <f t="shared" si="162"/>
        <v>0</v>
      </c>
      <c r="C1672">
        <f t="shared" si="163"/>
        <v>0</v>
      </c>
    </row>
    <row r="1673" spans="1:3">
      <c r="A1673" t="str">
        <f>IF(记账凭证!$J3477="","",记账凭证!$J3477)</f>
        <v/>
      </c>
      <c r="B1673">
        <f t="shared" si="162"/>
        <v>0</v>
      </c>
      <c r="C1673">
        <f t="shared" si="163"/>
        <v>0</v>
      </c>
    </row>
    <row r="1674" spans="1:3">
      <c r="A1674" t="str">
        <f>IF(记账凭证!$J3478="","",记账凭证!$J3478)</f>
        <v/>
      </c>
      <c r="B1674">
        <f t="shared" si="162"/>
        <v>0</v>
      </c>
      <c r="C1674">
        <f t="shared" si="163"/>
        <v>0</v>
      </c>
    </row>
    <row r="1675" spans="1:3">
      <c r="A1675" t="str">
        <f>IF(记账凭证!$J3479="","",记账凭证!$J3479)</f>
        <v/>
      </c>
      <c r="B1675">
        <f t="shared" si="162"/>
        <v>0</v>
      </c>
      <c r="C1675">
        <f t="shared" si="163"/>
        <v>0</v>
      </c>
    </row>
    <row r="1676" spans="1:3">
      <c r="A1676" t="str">
        <f>IF(记账凭证!$J3480="","",记账凭证!$J3480)</f>
        <v/>
      </c>
      <c r="B1676">
        <f t="shared" si="162"/>
        <v>0</v>
      </c>
      <c r="C1676">
        <f t="shared" si="163"/>
        <v>0</v>
      </c>
    </row>
    <row r="1677" spans="1:3">
      <c r="A1677" t="str">
        <f>IF(记账凭证!$J3481="","",记账凭证!$J3481)</f>
        <v/>
      </c>
      <c r="B1677">
        <f t="shared" si="162"/>
        <v>0</v>
      </c>
      <c r="C1677">
        <f t="shared" si="163"/>
        <v>0</v>
      </c>
    </row>
    <row r="1678" spans="1:3">
      <c r="A1678" t="str">
        <f>IF(记账凭证!$J3482="","",记账凭证!$J3482)</f>
        <v/>
      </c>
      <c r="B1678">
        <f t="shared" si="162"/>
        <v>0</v>
      </c>
      <c r="C1678">
        <f t="shared" si="163"/>
        <v>0</v>
      </c>
    </row>
    <row r="1679" spans="1:3">
      <c r="A1679" t="str">
        <f>IF(记账凭证!$J3483="","",记账凭证!$J3483)</f>
        <v/>
      </c>
      <c r="B1679">
        <f t="shared" si="162"/>
        <v>0</v>
      </c>
      <c r="C1679">
        <f t="shared" si="163"/>
        <v>0</v>
      </c>
    </row>
    <row r="1680" spans="1:3">
      <c r="A1680" t="str">
        <f>IF(记账凭证!$J3484="","",记账凭证!$J3484)</f>
        <v/>
      </c>
      <c r="B1680">
        <f t="shared" si="162"/>
        <v>0</v>
      </c>
      <c r="C1680">
        <f t="shared" si="163"/>
        <v>0</v>
      </c>
    </row>
    <row r="1681" spans="1:3">
      <c r="A1681" t="str">
        <f>IF(记账凭证!$J3485="","",记账凭证!$J3485)</f>
        <v/>
      </c>
      <c r="B1681">
        <f t="shared" si="162"/>
        <v>0</v>
      </c>
      <c r="C1681">
        <f t="shared" si="163"/>
        <v>0</v>
      </c>
    </row>
    <row r="1682" spans="1:3">
      <c r="A1682" t="str">
        <f>IF(记账凭证!$J3486="","",记账凭证!$J3486)</f>
        <v/>
      </c>
      <c r="B1682">
        <f t="shared" si="162"/>
        <v>0</v>
      </c>
      <c r="C1682">
        <f t="shared" si="163"/>
        <v>0</v>
      </c>
    </row>
    <row r="1683" spans="1:3">
      <c r="A1683" t="str">
        <f>IF(记账凭证!$J3487="","",记账凭证!$J3487)</f>
        <v/>
      </c>
      <c r="B1683">
        <f t="shared" si="162"/>
        <v>0</v>
      </c>
      <c r="C1683">
        <f t="shared" si="163"/>
        <v>0</v>
      </c>
    </row>
    <row r="1684" spans="1:3">
      <c r="A1684" t="str">
        <f>IF(记账凭证!$J3488="","",记账凭证!$J3488)</f>
        <v/>
      </c>
      <c r="B1684">
        <f t="shared" si="162"/>
        <v>0</v>
      </c>
      <c r="C1684">
        <f t="shared" si="163"/>
        <v>0</v>
      </c>
    </row>
    <row r="1685" spans="1:3">
      <c r="A1685" t="str">
        <f>IF(记账凭证!$J3489="","",记账凭证!$J3489)</f>
        <v/>
      </c>
      <c r="B1685">
        <f t="shared" si="162"/>
        <v>0</v>
      </c>
      <c r="C1685">
        <f t="shared" si="163"/>
        <v>0</v>
      </c>
    </row>
    <row r="1686" spans="1:3">
      <c r="A1686" t="str">
        <f>IF(记账凭证!$J3490="","",记账凭证!$J3490)</f>
        <v/>
      </c>
      <c r="B1686">
        <f t="shared" si="162"/>
        <v>0</v>
      </c>
      <c r="C1686">
        <f t="shared" si="163"/>
        <v>0</v>
      </c>
    </row>
    <row r="1687" spans="1:3">
      <c r="A1687" t="str">
        <f>IF(记账凭证!$J3491="","",记账凭证!$J3491)</f>
        <v/>
      </c>
      <c r="B1687">
        <f t="shared" si="162"/>
        <v>0</v>
      </c>
      <c r="C1687">
        <f t="shared" si="163"/>
        <v>0</v>
      </c>
    </row>
    <row r="1688" spans="1:3">
      <c r="A1688" t="str">
        <f>IF(记账凭证!$J3492="","",记账凭证!$J3492)</f>
        <v/>
      </c>
      <c r="B1688">
        <f t="shared" si="162"/>
        <v>0</v>
      </c>
      <c r="C1688">
        <f t="shared" si="163"/>
        <v>0</v>
      </c>
    </row>
    <row r="1689" spans="1:3">
      <c r="A1689" t="str">
        <f>IF(记账凭证!$J3493="","",记账凭证!$J3493)</f>
        <v/>
      </c>
      <c r="B1689">
        <f t="shared" si="162"/>
        <v>0</v>
      </c>
      <c r="C1689">
        <f t="shared" si="163"/>
        <v>0</v>
      </c>
    </row>
    <row r="1690" spans="1:3">
      <c r="A1690" t="str">
        <f>IF(记账凭证!$J3494="","",记账凭证!$J3494)</f>
        <v/>
      </c>
      <c r="B1690">
        <f t="shared" si="162"/>
        <v>0</v>
      </c>
      <c r="C1690">
        <f t="shared" si="163"/>
        <v>0</v>
      </c>
    </row>
    <row r="1691" spans="1:3">
      <c r="A1691" t="str">
        <f>IF(记账凭证!$J3495="","",记账凭证!$J3495)</f>
        <v/>
      </c>
      <c r="B1691">
        <f t="shared" si="162"/>
        <v>0</v>
      </c>
      <c r="C1691">
        <f t="shared" si="163"/>
        <v>0</v>
      </c>
    </row>
    <row r="1692" spans="1:3">
      <c r="A1692" t="str">
        <f>IF(记账凭证!$J3496="","",记账凭证!$J3496)</f>
        <v/>
      </c>
      <c r="B1692">
        <f t="shared" si="162"/>
        <v>0</v>
      </c>
      <c r="C1692">
        <f t="shared" si="163"/>
        <v>0</v>
      </c>
    </row>
    <row r="1693" spans="1:3">
      <c r="A1693" t="str">
        <f>IF(记账凭证!$J3497="","",记账凭证!$J3497)</f>
        <v/>
      </c>
      <c r="B1693">
        <f t="shared" si="162"/>
        <v>0</v>
      </c>
      <c r="C1693">
        <f t="shared" si="163"/>
        <v>0</v>
      </c>
    </row>
    <row r="1694" spans="1:3">
      <c r="A1694" t="str">
        <f>IF(记账凭证!$J3498="","",记账凭证!$J3498)</f>
        <v/>
      </c>
      <c r="B1694">
        <f t="shared" si="162"/>
        <v>0</v>
      </c>
      <c r="C1694">
        <f t="shared" si="163"/>
        <v>0</v>
      </c>
    </row>
    <row r="1695" spans="1:3">
      <c r="A1695" t="str">
        <f>IF(记账凭证!$J3499="","",记账凭证!$J3499)</f>
        <v/>
      </c>
      <c r="B1695">
        <f t="shared" si="162"/>
        <v>0</v>
      </c>
      <c r="C1695">
        <f t="shared" si="163"/>
        <v>0</v>
      </c>
    </row>
    <row r="1696" spans="1:3">
      <c r="A1696" t="str">
        <f>IF(记账凭证!$J3500="","",记账凭证!$J3500)</f>
        <v/>
      </c>
      <c r="B1696">
        <f t="shared" si="162"/>
        <v>0</v>
      </c>
      <c r="C1696">
        <f t="shared" si="163"/>
        <v>0</v>
      </c>
    </row>
    <row r="1697" spans="1:3">
      <c r="A1697" t="str">
        <f>IF(记账凭证!$J3501="","",记账凭证!$J3501)</f>
        <v/>
      </c>
      <c r="B1697">
        <f t="shared" si="162"/>
        <v>0</v>
      </c>
      <c r="C1697">
        <f t="shared" si="163"/>
        <v>0</v>
      </c>
    </row>
    <row r="1698" spans="1:3">
      <c r="A1698" t="str">
        <f>IF(记账凭证!$J3502="","",记账凭证!$J3502)</f>
        <v/>
      </c>
      <c r="B1698">
        <f t="shared" si="162"/>
        <v>0</v>
      </c>
      <c r="C1698">
        <f t="shared" si="163"/>
        <v>0</v>
      </c>
    </row>
    <row r="1699" spans="1:3">
      <c r="A1699" t="str">
        <f>IF(记账凭证!$J3503="","",记账凭证!$J3503)</f>
        <v/>
      </c>
      <c r="B1699">
        <f t="shared" si="162"/>
        <v>0</v>
      </c>
      <c r="C1699">
        <f t="shared" si="163"/>
        <v>0</v>
      </c>
    </row>
    <row r="1700" spans="1:3">
      <c r="A1700" t="str">
        <f>IF(记账凭证!$J3504="","",记账凭证!$J3504)</f>
        <v/>
      </c>
      <c r="B1700">
        <f t="shared" si="162"/>
        <v>0</v>
      </c>
      <c r="C1700">
        <f t="shared" si="163"/>
        <v>0</v>
      </c>
    </row>
    <row r="1701" spans="1:3">
      <c r="A1701" t="str">
        <f>IF(记账凭证!$J3505="","",记账凭证!$J3505)</f>
        <v/>
      </c>
      <c r="B1701">
        <f t="shared" si="162"/>
        <v>0</v>
      </c>
      <c r="C1701">
        <f t="shared" si="163"/>
        <v>0</v>
      </c>
    </row>
    <row r="1702" spans="1:3">
      <c r="A1702" t="str">
        <f>IF(记账凭证!$J3506="","",记账凭证!$J3506)</f>
        <v/>
      </c>
      <c r="B1702">
        <f t="shared" si="162"/>
        <v>0</v>
      </c>
      <c r="C1702">
        <f t="shared" si="163"/>
        <v>0</v>
      </c>
    </row>
    <row r="1703" spans="1:3">
      <c r="A1703" t="str">
        <f>IF(记账凭证!$J3507="","",记账凭证!$J3507)</f>
        <v/>
      </c>
      <c r="B1703">
        <f t="shared" si="162"/>
        <v>0</v>
      </c>
      <c r="C1703">
        <f t="shared" si="163"/>
        <v>0</v>
      </c>
    </row>
    <row r="1704" spans="1:3">
      <c r="A1704" t="str">
        <f>IF(记账凭证!$J3508="","",记账凭证!$J3508)</f>
        <v/>
      </c>
      <c r="B1704">
        <f t="shared" si="162"/>
        <v>0</v>
      </c>
      <c r="C1704">
        <f t="shared" si="163"/>
        <v>0</v>
      </c>
    </row>
    <row r="1705" spans="1:3">
      <c r="A1705" t="str">
        <f>IF(记账凭证!$J3509="","",记账凭证!$J3509)</f>
        <v/>
      </c>
      <c r="B1705">
        <f t="shared" si="162"/>
        <v>0</v>
      </c>
      <c r="C1705">
        <f t="shared" si="163"/>
        <v>0</v>
      </c>
    </row>
    <row r="1706" spans="1:3">
      <c r="A1706" t="str">
        <f>IF(记账凭证!$J3510="","",记账凭证!$J3510)</f>
        <v/>
      </c>
      <c r="B1706">
        <f t="shared" si="162"/>
        <v>0</v>
      </c>
      <c r="C1706">
        <f t="shared" si="163"/>
        <v>0</v>
      </c>
    </row>
    <row r="1707" spans="1:3">
      <c r="A1707" t="str">
        <f>IF(记账凭证!$J3511="","",记账凭证!$J3511)</f>
        <v/>
      </c>
      <c r="B1707">
        <f t="shared" si="162"/>
        <v>0</v>
      </c>
      <c r="C1707">
        <f t="shared" si="163"/>
        <v>0</v>
      </c>
    </row>
    <row r="1708" spans="1:3">
      <c r="A1708" t="str">
        <f>IF(记账凭证!$J3512="","",记账凭证!$J3512)</f>
        <v/>
      </c>
      <c r="B1708">
        <f t="shared" si="162"/>
        <v>0</v>
      </c>
      <c r="C1708">
        <f t="shared" si="163"/>
        <v>0</v>
      </c>
    </row>
    <row r="1709" spans="1:3">
      <c r="A1709" t="str">
        <f>IF(记账凭证!$J3513="","",记账凭证!$J3513)</f>
        <v/>
      </c>
      <c r="B1709">
        <f t="shared" si="162"/>
        <v>0</v>
      </c>
      <c r="C1709">
        <f t="shared" si="163"/>
        <v>0</v>
      </c>
    </row>
    <row r="1710" spans="1:3">
      <c r="A1710" t="str">
        <f>IF(记账凭证!$J3514="","",记账凭证!$J3514)</f>
        <v/>
      </c>
      <c r="B1710">
        <f t="shared" si="162"/>
        <v>0</v>
      </c>
      <c r="C1710">
        <f t="shared" si="163"/>
        <v>0</v>
      </c>
    </row>
    <row r="1711" spans="1:3">
      <c r="A1711" t="str">
        <f>IF(记账凭证!$J3515="","",记账凭证!$J3515)</f>
        <v/>
      </c>
      <c r="B1711">
        <f t="shared" si="162"/>
        <v>0</v>
      </c>
      <c r="C1711">
        <f t="shared" si="163"/>
        <v>0</v>
      </c>
    </row>
    <row r="1712" spans="1:3">
      <c r="A1712" t="str">
        <f>IF(记账凭证!$J3516="","",记账凭证!$J3516)</f>
        <v/>
      </c>
      <c r="B1712">
        <f t="shared" si="162"/>
        <v>0</v>
      </c>
      <c r="C1712">
        <f t="shared" si="163"/>
        <v>0</v>
      </c>
    </row>
    <row r="1713" spans="1:3">
      <c r="A1713" t="str">
        <f>IF(记账凭证!$J3517="","",记账凭证!$J3517)</f>
        <v/>
      </c>
      <c r="B1713">
        <f t="shared" si="162"/>
        <v>0</v>
      </c>
      <c r="C1713">
        <f t="shared" si="163"/>
        <v>0</v>
      </c>
    </row>
    <row r="1714" spans="1:3">
      <c r="A1714" t="str">
        <f>IF(记账凭证!$J3518="","",记账凭证!$J3518)</f>
        <v/>
      </c>
      <c r="B1714">
        <f t="shared" si="162"/>
        <v>0</v>
      </c>
      <c r="C1714">
        <f t="shared" si="163"/>
        <v>0</v>
      </c>
    </row>
    <row r="1715" spans="1:3">
      <c r="A1715" t="str">
        <f>IF(记账凭证!$J3519="","",记账凭证!$J3519)</f>
        <v/>
      </c>
      <c r="B1715">
        <f t="shared" si="162"/>
        <v>0</v>
      </c>
      <c r="C1715">
        <f t="shared" si="163"/>
        <v>0</v>
      </c>
    </row>
    <row r="1716" spans="1:3">
      <c r="A1716" t="str">
        <f>IF(记账凭证!$J3520="","",记账凭证!$J3520)</f>
        <v/>
      </c>
      <c r="B1716">
        <f t="shared" si="162"/>
        <v>0</v>
      </c>
      <c r="C1716">
        <f t="shared" si="163"/>
        <v>0</v>
      </c>
    </row>
    <row r="1717" spans="1:3">
      <c r="A1717" t="str">
        <f>IF(记账凭证!$J3521="","",记账凭证!$J3521)</f>
        <v/>
      </c>
      <c r="B1717">
        <f t="shared" si="162"/>
        <v>0</v>
      </c>
      <c r="C1717">
        <f t="shared" si="163"/>
        <v>0</v>
      </c>
    </row>
    <row r="1718" spans="1:3">
      <c r="A1718" t="str">
        <f>IF(记账凭证!$J3522="","",记账凭证!$J3522)</f>
        <v/>
      </c>
      <c r="B1718">
        <f t="shared" si="162"/>
        <v>0</v>
      </c>
      <c r="C1718">
        <f t="shared" si="163"/>
        <v>0</v>
      </c>
    </row>
    <row r="1719" spans="1:3">
      <c r="A1719" t="str">
        <f>IF(记账凭证!$J3523="","",记账凭证!$J3523)</f>
        <v/>
      </c>
      <c r="B1719">
        <f t="shared" si="162"/>
        <v>0</v>
      </c>
      <c r="C1719">
        <f t="shared" si="163"/>
        <v>0</v>
      </c>
    </row>
    <row r="1720" spans="1:3">
      <c r="A1720" t="str">
        <f>IF(记账凭证!$J3524="","",记账凭证!$J3524)</f>
        <v/>
      </c>
      <c r="B1720">
        <f t="shared" si="162"/>
        <v>0</v>
      </c>
      <c r="C1720">
        <f t="shared" si="163"/>
        <v>0</v>
      </c>
    </row>
    <row r="1721" spans="1:3">
      <c r="A1721" t="str">
        <f>IF(记账凭证!$J3525="","",记账凭证!$J3525)</f>
        <v/>
      </c>
      <c r="B1721">
        <f t="shared" si="162"/>
        <v>0</v>
      </c>
      <c r="C1721">
        <f t="shared" si="163"/>
        <v>0</v>
      </c>
    </row>
    <row r="1722" spans="1:3">
      <c r="A1722" t="str">
        <f>IF(记账凭证!$J3526="","",记账凭证!$J3526)</f>
        <v/>
      </c>
      <c r="B1722">
        <f t="shared" si="162"/>
        <v>0</v>
      </c>
      <c r="C1722">
        <f t="shared" si="163"/>
        <v>0</v>
      </c>
    </row>
    <row r="1723" spans="1:3">
      <c r="A1723" t="str">
        <f>IF(记账凭证!$J3527="","",记账凭证!$J3527)</f>
        <v/>
      </c>
      <c r="B1723">
        <f t="shared" si="162"/>
        <v>0</v>
      </c>
      <c r="C1723">
        <f t="shared" si="163"/>
        <v>0</v>
      </c>
    </row>
    <row r="1724" spans="1:3">
      <c r="A1724" t="str">
        <f>IF(记账凭证!$J3528="","",记账凭证!$J3528)</f>
        <v/>
      </c>
      <c r="B1724">
        <f t="shared" si="162"/>
        <v>0</v>
      </c>
      <c r="C1724">
        <f t="shared" si="163"/>
        <v>0</v>
      </c>
    </row>
    <row r="1725" spans="1:3">
      <c r="A1725" t="str">
        <f>IF(记账凭证!$J3529="","",记账凭证!$J3529)</f>
        <v/>
      </c>
      <c r="B1725">
        <f t="shared" si="162"/>
        <v>0</v>
      </c>
      <c r="C1725">
        <f t="shared" si="163"/>
        <v>0</v>
      </c>
    </row>
    <row r="1726" spans="1:3">
      <c r="A1726" t="str">
        <f>IF(记账凭证!$J3530="","",记账凭证!$J3530)</f>
        <v/>
      </c>
      <c r="B1726">
        <f t="shared" si="162"/>
        <v>0</v>
      </c>
      <c r="C1726">
        <f t="shared" si="163"/>
        <v>0</v>
      </c>
    </row>
    <row r="1727" spans="1:3">
      <c r="A1727" t="str">
        <f>IF(记账凭证!$J3531="","",记账凭证!$J3531)</f>
        <v/>
      </c>
      <c r="B1727">
        <f t="shared" si="162"/>
        <v>0</v>
      </c>
      <c r="C1727">
        <f t="shared" si="163"/>
        <v>0</v>
      </c>
    </row>
    <row r="1728" spans="1:3">
      <c r="A1728" t="str">
        <f>IF(记账凭证!$J3532="","",记账凭证!$J3532)</f>
        <v/>
      </c>
      <c r="B1728">
        <f t="shared" si="162"/>
        <v>0</v>
      </c>
      <c r="C1728">
        <f t="shared" si="163"/>
        <v>0</v>
      </c>
    </row>
    <row r="1729" spans="1:3">
      <c r="A1729" t="str">
        <f>IF(记账凭证!$J3533="","",记账凭证!$J3533)</f>
        <v/>
      </c>
      <c r="B1729">
        <f t="shared" si="162"/>
        <v>0</v>
      </c>
      <c r="C1729">
        <f t="shared" si="163"/>
        <v>0</v>
      </c>
    </row>
    <row r="1730" spans="1:3">
      <c r="A1730" t="str">
        <f>IF(记账凭证!$J3534="","",记账凭证!$J3534)</f>
        <v/>
      </c>
      <c r="B1730">
        <f t="shared" si="162"/>
        <v>0</v>
      </c>
      <c r="C1730">
        <f t="shared" si="163"/>
        <v>0</v>
      </c>
    </row>
    <row r="1731" spans="1:3">
      <c r="A1731" t="str">
        <f>IF(记账凭证!$J3535="","",记账凭证!$J3535)</f>
        <v/>
      </c>
      <c r="B1731">
        <f t="shared" si="162"/>
        <v>0</v>
      </c>
      <c r="C1731">
        <f t="shared" si="163"/>
        <v>0</v>
      </c>
    </row>
    <row r="1732" spans="1:3">
      <c r="A1732" t="str">
        <f>IF(记账凭证!$J3536="","",记账凭证!$J3536)</f>
        <v/>
      </c>
      <c r="B1732">
        <f t="shared" ref="B1732:B1795" si="164">IF(A1732="",0,IF(MATCH(A1732,$A$4:$A$1805,0)=ROW()-3,1,0))</f>
        <v>0</v>
      </c>
      <c r="C1732">
        <f t="shared" ref="C1732:C1795" si="165">N(C1731)+B1732</f>
        <v>0</v>
      </c>
    </row>
    <row r="1733" spans="1:3">
      <c r="A1733" t="str">
        <f>IF(记账凭证!$J3537="","",记账凭证!$J3537)</f>
        <v/>
      </c>
      <c r="B1733">
        <f t="shared" si="164"/>
        <v>0</v>
      </c>
      <c r="C1733">
        <f t="shared" si="165"/>
        <v>0</v>
      </c>
    </row>
    <row r="1734" spans="1:3">
      <c r="A1734" t="str">
        <f>IF(记账凭证!$J3538="","",记账凭证!$J3538)</f>
        <v/>
      </c>
      <c r="B1734">
        <f t="shared" si="164"/>
        <v>0</v>
      </c>
      <c r="C1734">
        <f t="shared" si="165"/>
        <v>0</v>
      </c>
    </row>
    <row r="1735" spans="1:3">
      <c r="A1735" t="str">
        <f>IF(记账凭证!$J3539="","",记账凭证!$J3539)</f>
        <v/>
      </c>
      <c r="B1735">
        <f t="shared" si="164"/>
        <v>0</v>
      </c>
      <c r="C1735">
        <f t="shared" si="165"/>
        <v>0</v>
      </c>
    </row>
    <row r="1736" spans="1:3">
      <c r="A1736" t="str">
        <f>IF(记账凭证!$J3540="","",记账凭证!$J3540)</f>
        <v/>
      </c>
      <c r="B1736">
        <f t="shared" si="164"/>
        <v>0</v>
      </c>
      <c r="C1736">
        <f t="shared" si="165"/>
        <v>0</v>
      </c>
    </row>
    <row r="1737" spans="1:3">
      <c r="A1737" t="str">
        <f>IF(记账凭证!$J3541="","",记账凭证!$J3541)</f>
        <v/>
      </c>
      <c r="B1737">
        <f t="shared" si="164"/>
        <v>0</v>
      </c>
      <c r="C1737">
        <f t="shared" si="165"/>
        <v>0</v>
      </c>
    </row>
    <row r="1738" spans="1:3">
      <c r="A1738" t="str">
        <f>IF(记账凭证!$J3542="","",记账凭证!$J3542)</f>
        <v/>
      </c>
      <c r="B1738">
        <f t="shared" si="164"/>
        <v>0</v>
      </c>
      <c r="C1738">
        <f t="shared" si="165"/>
        <v>0</v>
      </c>
    </row>
    <row r="1739" spans="1:3">
      <c r="A1739" t="str">
        <f>IF(记账凭证!$J3543="","",记账凭证!$J3543)</f>
        <v/>
      </c>
      <c r="B1739">
        <f t="shared" si="164"/>
        <v>0</v>
      </c>
      <c r="C1739">
        <f t="shared" si="165"/>
        <v>0</v>
      </c>
    </row>
    <row r="1740" spans="1:3">
      <c r="A1740" t="str">
        <f>IF(记账凭证!$J3544="","",记账凭证!$J3544)</f>
        <v/>
      </c>
      <c r="B1740">
        <f t="shared" si="164"/>
        <v>0</v>
      </c>
      <c r="C1740">
        <f t="shared" si="165"/>
        <v>0</v>
      </c>
    </row>
    <row r="1741" spans="1:3">
      <c r="A1741" t="str">
        <f>IF(记账凭证!$J3545="","",记账凭证!$J3545)</f>
        <v/>
      </c>
      <c r="B1741">
        <f t="shared" si="164"/>
        <v>0</v>
      </c>
      <c r="C1741">
        <f t="shared" si="165"/>
        <v>0</v>
      </c>
    </row>
    <row r="1742" spans="1:3">
      <c r="A1742" t="str">
        <f>IF(记账凭证!$J3546="","",记账凭证!$J3546)</f>
        <v/>
      </c>
      <c r="B1742">
        <f t="shared" si="164"/>
        <v>0</v>
      </c>
      <c r="C1742">
        <f t="shared" si="165"/>
        <v>0</v>
      </c>
    </row>
    <row r="1743" spans="1:3">
      <c r="A1743" t="str">
        <f>IF(记账凭证!$J3547="","",记账凭证!$J3547)</f>
        <v/>
      </c>
      <c r="B1743">
        <f t="shared" si="164"/>
        <v>0</v>
      </c>
      <c r="C1743">
        <f t="shared" si="165"/>
        <v>0</v>
      </c>
    </row>
    <row r="1744" spans="1:3">
      <c r="A1744" t="str">
        <f>IF(记账凭证!$J3548="","",记账凭证!$J3548)</f>
        <v/>
      </c>
      <c r="B1744">
        <f t="shared" si="164"/>
        <v>0</v>
      </c>
      <c r="C1744">
        <f t="shared" si="165"/>
        <v>0</v>
      </c>
    </row>
    <row r="1745" spans="1:3">
      <c r="A1745" t="str">
        <f>IF(记账凭证!$J3549="","",记账凭证!$J3549)</f>
        <v/>
      </c>
      <c r="B1745">
        <f t="shared" si="164"/>
        <v>0</v>
      </c>
      <c r="C1745">
        <f t="shared" si="165"/>
        <v>0</v>
      </c>
    </row>
    <row r="1746" spans="1:3">
      <c r="A1746" t="str">
        <f>IF(记账凭证!$J3550="","",记账凭证!$J3550)</f>
        <v/>
      </c>
      <c r="B1746">
        <f t="shared" si="164"/>
        <v>0</v>
      </c>
      <c r="C1746">
        <f t="shared" si="165"/>
        <v>0</v>
      </c>
    </row>
    <row r="1747" spans="1:3">
      <c r="A1747" t="str">
        <f>IF(记账凭证!$J3551="","",记账凭证!$J3551)</f>
        <v/>
      </c>
      <c r="B1747">
        <f t="shared" si="164"/>
        <v>0</v>
      </c>
      <c r="C1747">
        <f t="shared" si="165"/>
        <v>0</v>
      </c>
    </row>
    <row r="1748" spans="1:3">
      <c r="A1748" t="str">
        <f>IF(记账凭证!$J3552="","",记账凭证!$J3552)</f>
        <v/>
      </c>
      <c r="B1748">
        <f t="shared" si="164"/>
        <v>0</v>
      </c>
      <c r="C1748">
        <f t="shared" si="165"/>
        <v>0</v>
      </c>
    </row>
    <row r="1749" spans="1:3">
      <c r="A1749" t="str">
        <f>IF(记账凭证!$J3553="","",记账凭证!$J3553)</f>
        <v/>
      </c>
      <c r="B1749">
        <f t="shared" si="164"/>
        <v>0</v>
      </c>
      <c r="C1749">
        <f t="shared" si="165"/>
        <v>0</v>
      </c>
    </row>
    <row r="1750" spans="1:3">
      <c r="A1750" t="str">
        <f>IF(记账凭证!$J3554="","",记账凭证!$J3554)</f>
        <v/>
      </c>
      <c r="B1750">
        <f t="shared" si="164"/>
        <v>0</v>
      </c>
      <c r="C1750">
        <f t="shared" si="165"/>
        <v>0</v>
      </c>
    </row>
    <row r="1751" spans="1:3">
      <c r="A1751" t="str">
        <f>IF(记账凭证!$J3555="","",记账凭证!$J3555)</f>
        <v/>
      </c>
      <c r="B1751">
        <f t="shared" si="164"/>
        <v>0</v>
      </c>
      <c r="C1751">
        <f t="shared" si="165"/>
        <v>0</v>
      </c>
    </row>
    <row r="1752" spans="1:3">
      <c r="A1752" t="str">
        <f>IF(记账凭证!$J3556="","",记账凭证!$J3556)</f>
        <v/>
      </c>
      <c r="B1752">
        <f t="shared" si="164"/>
        <v>0</v>
      </c>
      <c r="C1752">
        <f t="shared" si="165"/>
        <v>0</v>
      </c>
    </row>
    <row r="1753" spans="1:3">
      <c r="A1753" t="str">
        <f>IF(记账凭证!$J3557="","",记账凭证!$J3557)</f>
        <v/>
      </c>
      <c r="B1753">
        <f t="shared" si="164"/>
        <v>0</v>
      </c>
      <c r="C1753">
        <f t="shared" si="165"/>
        <v>0</v>
      </c>
    </row>
    <row r="1754" spans="1:3">
      <c r="A1754" t="str">
        <f>IF(记账凭证!$J3558="","",记账凭证!$J3558)</f>
        <v/>
      </c>
      <c r="B1754">
        <f t="shared" si="164"/>
        <v>0</v>
      </c>
      <c r="C1754">
        <f t="shared" si="165"/>
        <v>0</v>
      </c>
    </row>
    <row r="1755" spans="1:3">
      <c r="A1755" t="str">
        <f>IF(记账凭证!$J3559="","",记账凭证!$J3559)</f>
        <v/>
      </c>
      <c r="B1755">
        <f t="shared" si="164"/>
        <v>0</v>
      </c>
      <c r="C1755">
        <f t="shared" si="165"/>
        <v>0</v>
      </c>
    </row>
    <row r="1756" spans="1:3">
      <c r="A1756" t="str">
        <f>IF(记账凭证!$J3560="","",记账凭证!$J3560)</f>
        <v/>
      </c>
      <c r="B1756">
        <f t="shared" si="164"/>
        <v>0</v>
      </c>
      <c r="C1756">
        <f t="shared" si="165"/>
        <v>0</v>
      </c>
    </row>
    <row r="1757" spans="1:3">
      <c r="A1757" t="str">
        <f>IF(记账凭证!$J3561="","",记账凭证!$J3561)</f>
        <v/>
      </c>
      <c r="B1757">
        <f t="shared" si="164"/>
        <v>0</v>
      </c>
      <c r="C1757">
        <f t="shared" si="165"/>
        <v>0</v>
      </c>
    </row>
    <row r="1758" spans="1:3">
      <c r="A1758" t="str">
        <f>IF(记账凭证!$J3562="","",记账凭证!$J3562)</f>
        <v/>
      </c>
      <c r="B1758">
        <f t="shared" si="164"/>
        <v>0</v>
      </c>
      <c r="C1758">
        <f t="shared" si="165"/>
        <v>0</v>
      </c>
    </row>
    <row r="1759" spans="1:3">
      <c r="A1759" t="str">
        <f>IF(记账凭证!$J3563="","",记账凭证!$J3563)</f>
        <v/>
      </c>
      <c r="B1759">
        <f t="shared" si="164"/>
        <v>0</v>
      </c>
      <c r="C1759">
        <f t="shared" si="165"/>
        <v>0</v>
      </c>
    </row>
    <row r="1760" spans="1:3">
      <c r="A1760" t="str">
        <f>IF(记账凭证!$J3564="","",记账凭证!$J3564)</f>
        <v/>
      </c>
      <c r="B1760">
        <f t="shared" si="164"/>
        <v>0</v>
      </c>
      <c r="C1760">
        <f t="shared" si="165"/>
        <v>0</v>
      </c>
    </row>
    <row r="1761" spans="1:3">
      <c r="A1761" t="str">
        <f>IF(记账凭证!$J3565="","",记账凭证!$J3565)</f>
        <v/>
      </c>
      <c r="B1761">
        <f t="shared" si="164"/>
        <v>0</v>
      </c>
      <c r="C1761">
        <f t="shared" si="165"/>
        <v>0</v>
      </c>
    </row>
    <row r="1762" spans="1:3">
      <c r="A1762" t="str">
        <f>IF(记账凭证!$J3566="","",记账凭证!$J3566)</f>
        <v/>
      </c>
      <c r="B1762">
        <f t="shared" si="164"/>
        <v>0</v>
      </c>
      <c r="C1762">
        <f t="shared" si="165"/>
        <v>0</v>
      </c>
    </row>
    <row r="1763" spans="1:3">
      <c r="A1763" t="str">
        <f>IF(记账凭证!$J3567="","",记账凭证!$J3567)</f>
        <v/>
      </c>
      <c r="B1763">
        <f t="shared" si="164"/>
        <v>0</v>
      </c>
      <c r="C1763">
        <f t="shared" si="165"/>
        <v>0</v>
      </c>
    </row>
    <row r="1764" spans="1:3">
      <c r="A1764" t="str">
        <f>IF(记账凭证!$J3568="","",记账凭证!$J3568)</f>
        <v/>
      </c>
      <c r="B1764">
        <f t="shared" si="164"/>
        <v>0</v>
      </c>
      <c r="C1764">
        <f t="shared" si="165"/>
        <v>0</v>
      </c>
    </row>
    <row r="1765" spans="1:3">
      <c r="A1765" t="str">
        <f>IF(记账凭证!$J3569="","",记账凭证!$J3569)</f>
        <v/>
      </c>
      <c r="B1765">
        <f t="shared" si="164"/>
        <v>0</v>
      </c>
      <c r="C1765">
        <f t="shared" si="165"/>
        <v>0</v>
      </c>
    </row>
    <row r="1766" spans="1:3">
      <c r="A1766" t="str">
        <f>IF(记账凭证!$J3570="","",记账凭证!$J3570)</f>
        <v/>
      </c>
      <c r="B1766">
        <f t="shared" si="164"/>
        <v>0</v>
      </c>
      <c r="C1766">
        <f t="shared" si="165"/>
        <v>0</v>
      </c>
    </row>
    <row r="1767" spans="1:3">
      <c r="A1767" t="str">
        <f>IF(记账凭证!$J3571="","",记账凭证!$J3571)</f>
        <v/>
      </c>
      <c r="B1767">
        <f t="shared" si="164"/>
        <v>0</v>
      </c>
      <c r="C1767">
        <f t="shared" si="165"/>
        <v>0</v>
      </c>
    </row>
    <row r="1768" spans="1:3">
      <c r="A1768" t="str">
        <f>IF(记账凭证!$J3572="","",记账凭证!$J3572)</f>
        <v/>
      </c>
      <c r="B1768">
        <f t="shared" si="164"/>
        <v>0</v>
      </c>
      <c r="C1768">
        <f t="shared" si="165"/>
        <v>0</v>
      </c>
    </row>
    <row r="1769" spans="1:3">
      <c r="A1769" t="str">
        <f>IF(记账凭证!$J3573="","",记账凭证!$J3573)</f>
        <v/>
      </c>
      <c r="B1769">
        <f t="shared" si="164"/>
        <v>0</v>
      </c>
      <c r="C1769">
        <f t="shared" si="165"/>
        <v>0</v>
      </c>
    </row>
    <row r="1770" spans="1:3">
      <c r="A1770" t="str">
        <f>IF(记账凭证!$J3574="","",记账凭证!$J3574)</f>
        <v/>
      </c>
      <c r="B1770">
        <f t="shared" si="164"/>
        <v>0</v>
      </c>
      <c r="C1770">
        <f t="shared" si="165"/>
        <v>0</v>
      </c>
    </row>
    <row r="1771" spans="1:3">
      <c r="A1771" t="str">
        <f>IF(记账凭证!$J3575="","",记账凭证!$J3575)</f>
        <v/>
      </c>
      <c r="B1771">
        <f t="shared" si="164"/>
        <v>0</v>
      </c>
      <c r="C1771">
        <f t="shared" si="165"/>
        <v>0</v>
      </c>
    </row>
    <row r="1772" spans="1:3">
      <c r="A1772" t="str">
        <f>IF(记账凭证!$J3576="","",记账凭证!$J3576)</f>
        <v/>
      </c>
      <c r="B1772">
        <f t="shared" si="164"/>
        <v>0</v>
      </c>
      <c r="C1772">
        <f t="shared" si="165"/>
        <v>0</v>
      </c>
    </row>
    <row r="1773" spans="1:3">
      <c r="A1773" t="str">
        <f>IF(记账凭证!$J3577="","",记账凭证!$J3577)</f>
        <v/>
      </c>
      <c r="B1773">
        <f t="shared" si="164"/>
        <v>0</v>
      </c>
      <c r="C1773">
        <f t="shared" si="165"/>
        <v>0</v>
      </c>
    </row>
    <row r="1774" spans="1:3">
      <c r="A1774" t="str">
        <f>IF(记账凭证!$J3578="","",记账凭证!$J3578)</f>
        <v/>
      </c>
      <c r="B1774">
        <f t="shared" si="164"/>
        <v>0</v>
      </c>
      <c r="C1774">
        <f t="shared" si="165"/>
        <v>0</v>
      </c>
    </row>
    <row r="1775" spans="1:3">
      <c r="A1775" t="str">
        <f>IF(记账凭证!$J3579="","",记账凭证!$J3579)</f>
        <v/>
      </c>
      <c r="B1775">
        <f t="shared" si="164"/>
        <v>0</v>
      </c>
      <c r="C1775">
        <f t="shared" si="165"/>
        <v>0</v>
      </c>
    </row>
    <row r="1776" spans="1:3">
      <c r="A1776" t="str">
        <f>IF(记账凭证!$J3580="","",记账凭证!$J3580)</f>
        <v/>
      </c>
      <c r="B1776">
        <f t="shared" si="164"/>
        <v>0</v>
      </c>
      <c r="C1776">
        <f t="shared" si="165"/>
        <v>0</v>
      </c>
    </row>
    <row r="1777" spans="1:3">
      <c r="A1777" t="str">
        <f>IF(记账凭证!$J3581="","",记账凭证!$J3581)</f>
        <v/>
      </c>
      <c r="B1777">
        <f t="shared" si="164"/>
        <v>0</v>
      </c>
      <c r="C1777">
        <f t="shared" si="165"/>
        <v>0</v>
      </c>
    </row>
    <row r="1778" spans="1:3">
      <c r="A1778" t="str">
        <f>IF(记账凭证!$J3582="","",记账凭证!$J3582)</f>
        <v/>
      </c>
      <c r="B1778">
        <f t="shared" si="164"/>
        <v>0</v>
      </c>
      <c r="C1778">
        <f t="shared" si="165"/>
        <v>0</v>
      </c>
    </row>
    <row r="1779" spans="1:3">
      <c r="A1779" t="str">
        <f>IF(记账凭证!$J3583="","",记账凭证!$J3583)</f>
        <v/>
      </c>
      <c r="B1779">
        <f t="shared" si="164"/>
        <v>0</v>
      </c>
      <c r="C1779">
        <f t="shared" si="165"/>
        <v>0</v>
      </c>
    </row>
    <row r="1780" spans="1:3">
      <c r="A1780" t="str">
        <f>IF(记账凭证!$J3584="","",记账凭证!$J3584)</f>
        <v/>
      </c>
      <c r="B1780">
        <f t="shared" si="164"/>
        <v>0</v>
      </c>
      <c r="C1780">
        <f t="shared" si="165"/>
        <v>0</v>
      </c>
    </row>
    <row r="1781" spans="1:3">
      <c r="A1781" t="str">
        <f>IF(记账凭证!$J3585="","",记账凭证!$J3585)</f>
        <v/>
      </c>
      <c r="B1781">
        <f t="shared" si="164"/>
        <v>0</v>
      </c>
      <c r="C1781">
        <f t="shared" si="165"/>
        <v>0</v>
      </c>
    </row>
    <row r="1782" spans="1:3">
      <c r="A1782" t="str">
        <f>IF(记账凭证!$J3586="","",记账凭证!$J3586)</f>
        <v/>
      </c>
      <c r="B1782">
        <f t="shared" si="164"/>
        <v>0</v>
      </c>
      <c r="C1782">
        <f t="shared" si="165"/>
        <v>0</v>
      </c>
    </row>
    <row r="1783" spans="1:3">
      <c r="A1783" t="str">
        <f>IF(记账凭证!$J3587="","",记账凭证!$J3587)</f>
        <v/>
      </c>
      <c r="B1783">
        <f t="shared" si="164"/>
        <v>0</v>
      </c>
      <c r="C1783">
        <f t="shared" si="165"/>
        <v>0</v>
      </c>
    </row>
    <row r="1784" spans="1:3">
      <c r="A1784" t="str">
        <f>IF(记账凭证!$J3588="","",记账凭证!$J3588)</f>
        <v/>
      </c>
      <c r="B1784">
        <f t="shared" si="164"/>
        <v>0</v>
      </c>
      <c r="C1784">
        <f t="shared" si="165"/>
        <v>0</v>
      </c>
    </row>
    <row r="1785" spans="1:3">
      <c r="A1785" t="str">
        <f>IF(记账凭证!$J3589="","",记账凭证!$J3589)</f>
        <v/>
      </c>
      <c r="B1785">
        <f t="shared" si="164"/>
        <v>0</v>
      </c>
      <c r="C1785">
        <f t="shared" si="165"/>
        <v>0</v>
      </c>
    </row>
    <row r="1786" spans="1:3">
      <c r="A1786" t="str">
        <f>IF(记账凭证!$J3590="","",记账凭证!$J3590)</f>
        <v/>
      </c>
      <c r="B1786">
        <f t="shared" si="164"/>
        <v>0</v>
      </c>
      <c r="C1786">
        <f t="shared" si="165"/>
        <v>0</v>
      </c>
    </row>
    <row r="1787" spans="1:3">
      <c r="A1787" t="str">
        <f>IF(记账凭证!$J3591="","",记账凭证!$J3591)</f>
        <v/>
      </c>
      <c r="B1787">
        <f t="shared" si="164"/>
        <v>0</v>
      </c>
      <c r="C1787">
        <f t="shared" si="165"/>
        <v>0</v>
      </c>
    </row>
    <row r="1788" spans="1:3">
      <c r="A1788" t="str">
        <f>IF(记账凭证!$J3592="","",记账凭证!$J3592)</f>
        <v/>
      </c>
      <c r="B1788">
        <f t="shared" si="164"/>
        <v>0</v>
      </c>
      <c r="C1788">
        <f t="shared" si="165"/>
        <v>0</v>
      </c>
    </row>
    <row r="1789" spans="1:3">
      <c r="A1789" t="str">
        <f>IF(记账凭证!$J3593="","",记账凭证!$J3593)</f>
        <v/>
      </c>
      <c r="B1789">
        <f t="shared" si="164"/>
        <v>0</v>
      </c>
      <c r="C1789">
        <f t="shared" si="165"/>
        <v>0</v>
      </c>
    </row>
    <row r="1790" spans="1:3">
      <c r="A1790" t="str">
        <f>IF(记账凭证!$J3594="","",记账凭证!$J3594)</f>
        <v/>
      </c>
      <c r="B1790">
        <f t="shared" si="164"/>
        <v>0</v>
      </c>
      <c r="C1790">
        <f t="shared" si="165"/>
        <v>0</v>
      </c>
    </row>
    <row r="1791" spans="1:3">
      <c r="A1791" t="str">
        <f>IF(记账凭证!$J3595="","",记账凭证!$J3595)</f>
        <v/>
      </c>
      <c r="B1791">
        <f t="shared" si="164"/>
        <v>0</v>
      </c>
      <c r="C1791">
        <f t="shared" si="165"/>
        <v>0</v>
      </c>
    </row>
    <row r="1792" spans="1:3">
      <c r="A1792" t="str">
        <f>IF(记账凭证!$J3596="","",记账凭证!$J3596)</f>
        <v/>
      </c>
      <c r="B1792">
        <f t="shared" si="164"/>
        <v>0</v>
      </c>
      <c r="C1792">
        <f t="shared" si="165"/>
        <v>0</v>
      </c>
    </row>
    <row r="1793" spans="1:3">
      <c r="A1793" t="str">
        <f>IF(记账凭证!$J3597="","",记账凭证!$J3597)</f>
        <v/>
      </c>
      <c r="B1793">
        <f t="shared" si="164"/>
        <v>0</v>
      </c>
      <c r="C1793">
        <f t="shared" si="165"/>
        <v>0</v>
      </c>
    </row>
    <row r="1794" spans="1:3">
      <c r="A1794" t="str">
        <f>IF(记账凭证!$J3598="","",记账凭证!$J3598)</f>
        <v/>
      </c>
      <c r="B1794">
        <f t="shared" si="164"/>
        <v>0</v>
      </c>
      <c r="C1794">
        <f t="shared" si="165"/>
        <v>0</v>
      </c>
    </row>
    <row r="1795" spans="1:3">
      <c r="A1795" t="str">
        <f>IF(记账凭证!$J3599="","",记账凭证!$J3599)</f>
        <v/>
      </c>
      <c r="B1795">
        <f t="shared" si="164"/>
        <v>0</v>
      </c>
      <c r="C1795">
        <f t="shared" si="165"/>
        <v>0</v>
      </c>
    </row>
    <row r="1796" spans="1:3">
      <c r="A1796" t="str">
        <f>IF(记账凭证!$J3600="","",记账凭证!$J3600)</f>
        <v/>
      </c>
      <c r="B1796">
        <f t="shared" ref="B1796:B1805" si="166">IF(A1796="",0,IF(MATCH(A1796,$A$4:$A$1805,0)=ROW()-3,1,0))</f>
        <v>0</v>
      </c>
      <c r="C1796">
        <f t="shared" ref="C1796:C1805" si="167">N(C1795)+B1796</f>
        <v>0</v>
      </c>
    </row>
    <row r="1797" spans="1:3">
      <c r="A1797" t="str">
        <f>IF(记账凭证!$J3601="","",记账凭证!$J3601)</f>
        <v/>
      </c>
      <c r="B1797">
        <f t="shared" si="166"/>
        <v>0</v>
      </c>
      <c r="C1797">
        <f t="shared" si="167"/>
        <v>0</v>
      </c>
    </row>
    <row r="1798" spans="1:3">
      <c r="A1798" t="str">
        <f>IF(记账凭证!$J3602="","",记账凭证!$J3602)</f>
        <v/>
      </c>
      <c r="B1798">
        <f t="shared" si="166"/>
        <v>0</v>
      </c>
      <c r="C1798">
        <f t="shared" si="167"/>
        <v>0</v>
      </c>
    </row>
    <row r="1799" spans="1:3">
      <c r="A1799" t="str">
        <f>IF(记账凭证!$J3603="","",记账凭证!$J3603)</f>
        <v/>
      </c>
      <c r="B1799">
        <f t="shared" si="166"/>
        <v>0</v>
      </c>
      <c r="C1799">
        <f t="shared" si="167"/>
        <v>0</v>
      </c>
    </row>
    <row r="1800" spans="1:3">
      <c r="A1800" t="str">
        <f>IF(记账凭证!$J3604="","",记账凭证!$J3604)</f>
        <v/>
      </c>
      <c r="B1800">
        <f t="shared" si="166"/>
        <v>0</v>
      </c>
      <c r="C1800">
        <f t="shared" si="167"/>
        <v>0</v>
      </c>
    </row>
    <row r="1801" spans="1:3">
      <c r="A1801" t="str">
        <f>IF(记账凭证!$J3605="","",记账凭证!$J3605)</f>
        <v/>
      </c>
      <c r="B1801">
        <f t="shared" si="166"/>
        <v>0</v>
      </c>
      <c r="C1801">
        <f t="shared" si="167"/>
        <v>0</v>
      </c>
    </row>
    <row r="1802" spans="1:3">
      <c r="A1802" t="str">
        <f>IF(记账凭证!$J3606="","",记账凭证!$J3606)</f>
        <v/>
      </c>
      <c r="B1802">
        <f t="shared" si="166"/>
        <v>0</v>
      </c>
      <c r="C1802">
        <f t="shared" si="167"/>
        <v>0</v>
      </c>
    </row>
    <row r="1803" spans="1:3">
      <c r="A1803" t="str">
        <f>IF(记账凭证!$J3607="","",记账凭证!$J3607)</f>
        <v/>
      </c>
      <c r="B1803">
        <f t="shared" si="166"/>
        <v>0</v>
      </c>
      <c r="C1803">
        <f t="shared" si="167"/>
        <v>0</v>
      </c>
    </row>
    <row r="1804" spans="1:3">
      <c r="A1804" t="str">
        <f>IF(记账凭证!$J3608="","",记账凭证!$J3608)</f>
        <v/>
      </c>
      <c r="B1804">
        <f t="shared" si="166"/>
        <v>0</v>
      </c>
      <c r="C1804">
        <f t="shared" si="167"/>
        <v>0</v>
      </c>
    </row>
    <row r="1805" spans="1:3">
      <c r="A1805" t="str">
        <f>IF(记账凭证!$J3609="","",记账凭证!$J3609)</f>
        <v/>
      </c>
      <c r="B1805">
        <f t="shared" si="166"/>
        <v>0</v>
      </c>
      <c r="C1805">
        <f t="shared" si="167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主页</vt:lpstr>
      <vt:lpstr>使用说明</vt:lpstr>
      <vt:lpstr>对接源_01水果</vt:lpstr>
      <vt:lpstr>对接源_02物料</vt:lpstr>
      <vt:lpstr>对接源_01入库吨位</vt:lpstr>
      <vt:lpstr>进销存对接</vt:lpstr>
      <vt:lpstr>原料入库计价</vt:lpstr>
      <vt:lpstr>收入成本映射</vt:lpstr>
      <vt:lpstr>自动规则</vt:lpstr>
      <vt:lpstr>科目表</vt:lpstr>
      <vt:lpstr>期初余额</vt:lpstr>
      <vt:lpstr>资金日记账</vt:lpstr>
      <vt:lpstr>成本费用登记表</vt:lpstr>
      <vt:lpstr>对账补充行</vt:lpstr>
      <vt:lpstr>记账凭证</vt:lpstr>
      <vt:lpstr>资金与往来余额表</vt:lpstr>
      <vt:lpstr>应收应付汇总表</vt:lpstr>
      <vt:lpstr>收入月度汇总</vt:lpstr>
      <vt:lpstr>费用月度汇总</vt:lpstr>
      <vt:lpstr>应付账款明细</vt:lpstr>
      <vt:lpstr>往来对账单</vt:lpstr>
      <vt:lpstr>常用分录参考</vt:lpstr>
      <vt:lpstr>科目余额表</vt:lpstr>
      <vt:lpstr>资产负债表</vt:lpstr>
      <vt:lpstr>利润表</vt:lpstr>
      <vt:lpstr>_自动清单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</cp:lastModifiedBy>
  <dcterms:created xsi:type="dcterms:W3CDTF">2026-08-26T17:17:00Z</dcterms:created>
  <dcterms:modified xsi:type="dcterms:W3CDTF">2026-09-14T13:58:13Z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AD4E354D4EE143DDB90286BFF64E1DBD_13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